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codeName="ThisWorkbook" defaultThemeVersion="166925"/>
  <mc:AlternateContent xmlns:mc="http://schemas.openxmlformats.org/markup-compatibility/2006">
    <mc:Choice Requires="x15">
      <x15ac:absPath xmlns:x15ac="http://schemas.microsoft.com/office/spreadsheetml/2010/11/ac" url="/Users/aidanmoran/Desktop/"/>
    </mc:Choice>
  </mc:AlternateContent>
  <xr:revisionPtr revIDLastSave="0" documentId="13_ncr:1_{0D76EE76-7A2C-7B43-9038-B0863A9157C0}" xr6:coauthVersionLast="47" xr6:coauthVersionMax="47" xr10:uidLastSave="{00000000-0000-0000-0000-000000000000}"/>
  <bookViews>
    <workbookView xWindow="14520" yWindow="500" windowWidth="14280" windowHeight="16320" activeTab="3" xr2:uid="{00000000-000D-0000-FFFF-FFFF00000000}"/>
  </bookViews>
  <sheets>
    <sheet name="Overview" sheetId="1" r:id="rId1"/>
    <sheet name="Southern Islands" sheetId="13" r:id="rId2"/>
    <sheet name="Nintendo Black Star Promos" sheetId="19" r:id="rId3"/>
    <sheet name="EX Dragon" sheetId="22" r:id="rId4"/>
    <sheet name="EX Team Magma vs Team Aqua" sheetId="23" r:id="rId5"/>
    <sheet name="EX Trainer Kit" sheetId="24" r:id="rId6"/>
    <sheet name="EX Hidden Legends" sheetId="25" r:id="rId7"/>
    <sheet name="EX FireRed &amp; LeafGreen" sheetId="26" r:id="rId8"/>
    <sheet name="EX Team Rocket Returns" sheetId="27" r:id="rId9"/>
    <sheet name="EX Deoxys" sheetId="28" r:id="rId10"/>
    <sheet name="EX Emerald" sheetId="29" r:id="rId11"/>
    <sheet name="POP Series 2" sheetId="30" r:id="rId12"/>
    <sheet name="EX Unseen Forces" sheetId="31" r:id="rId13"/>
    <sheet name="EX Delta Species" sheetId="32" r:id="rId14"/>
    <sheet name="EX Legend Maker" sheetId="33" r:id="rId15"/>
    <sheet name="EX Trainer Kit 2" sheetId="34" r:id="rId16"/>
    <sheet name="EX Holon Phantoms" sheetId="35" r:id="rId17"/>
    <sheet name="EX Crystal Guardians" sheetId="36" r:id="rId18"/>
    <sheet name="EX Dragon Frontiers" sheetId="37" r:id="rId19"/>
    <sheet name="EX Power Keepers" sheetId="38" r:id="rId20"/>
    <sheet name="POP Series 5" sheetId="39" r:id="rId21"/>
    <sheet name="DP Black Star Promos" sheetId="40" r:id="rId22"/>
    <sheet name="Diamond &amp; Pearl" sheetId="41" r:id="rId23"/>
    <sheet name="Mysterious Treasures" sheetId="42" r:id="rId24"/>
    <sheet name="POP Series 6" sheetId="43" r:id="rId25"/>
    <sheet name="Diamond &amp; Pearl Trainer Kit" sheetId="44" r:id="rId26"/>
    <sheet name="Secret Wonders" sheetId="45" r:id="rId27"/>
    <sheet name="Great Encounters" sheetId="46" r:id="rId28"/>
    <sheet name="Majestic Dawn" sheetId="47" r:id="rId29"/>
    <sheet name="Legends Awakened" sheetId="48" r:id="rId30"/>
    <sheet name="Stormfront" sheetId="49" r:id="rId31"/>
    <sheet name="Platinum" sheetId="50" r:id="rId32"/>
    <sheet name="Rising Rivals" sheetId="51" r:id="rId33"/>
    <sheet name="Arceus" sheetId="52" r:id="rId34"/>
    <sheet name="Unleashed" sheetId="53" r:id="rId35"/>
    <sheet name="Undaunted" sheetId="54" r:id="rId36"/>
    <sheet name="McDonalds Collection" sheetId="55" r:id="rId37"/>
    <sheet name="Noble Victories" sheetId="56" r:id="rId38"/>
    <sheet name="Next Destinies" sheetId="57" r:id="rId39"/>
    <sheet name="Dark Explorers" sheetId="58" r:id="rId40"/>
    <sheet name="McDonalds Collection 2012" sheetId="59" r:id="rId41"/>
    <sheet name="Dragons Exalted" sheetId="60" r:id="rId42"/>
    <sheet name="Boundaries Crossed" sheetId="61" r:id="rId43"/>
    <sheet name="Plasma Storm" sheetId="62" r:id="rId44"/>
    <sheet name="Plasma Blast" sheetId="63" r:id="rId45"/>
    <sheet name="Legendary Treasures" sheetId="64" r:id="rId46"/>
    <sheet name="X and Y Promos" sheetId="65" r:id="rId47"/>
    <sheet name="Kalos Starter Set" sheetId="66" r:id="rId48"/>
    <sheet name="X and Y" sheetId="67" r:id="rId49"/>
    <sheet name="XY Trainer Kit" sheetId="68" r:id="rId50"/>
    <sheet name="Flashfire" sheetId="69" r:id="rId51"/>
    <sheet name="Mcdonalds Collection 2014" sheetId="70" r:id="rId52"/>
    <sheet name="Furious Fists" sheetId="71" r:id="rId53"/>
    <sheet name="Phantom Forces" sheetId="72" r:id="rId54"/>
    <sheet name="Primal Clash" sheetId="73" r:id="rId55"/>
    <sheet name="XY Trainer Kit Latias &amp; Latios" sheetId="74" r:id="rId56"/>
    <sheet name="Roaring Skies" sheetId="75" r:id="rId57"/>
    <sheet name="Ancient Origins" sheetId="76" r:id="rId58"/>
    <sheet name="Mcdonalds Collection 2015" sheetId="77" r:id="rId59"/>
    <sheet name="BREAKthrough" sheetId="78" r:id="rId60"/>
    <sheet name="BREAKpoint" sheetId="79" r:id="rId61"/>
    <sheet name="Generations" sheetId="80" r:id="rId62"/>
    <sheet name="Fates Collide" sheetId="81" r:id="rId63"/>
    <sheet name="Steam Siege" sheetId="82" r:id="rId64"/>
    <sheet name="Evolutions" sheetId="83" r:id="rId65"/>
    <sheet name="Sun and Moon Promos" sheetId="84" r:id="rId66"/>
    <sheet name="Sun and Moon" sheetId="85" r:id="rId67"/>
    <sheet name="Guardians Rising" sheetId="86" r:id="rId68"/>
    <sheet name="Burning Shadows" sheetId="87" r:id="rId69"/>
    <sheet name="Shining Legends" sheetId="88" r:id="rId70"/>
    <sheet name="Crimson Invasion" sheetId="89" r:id="rId71"/>
    <sheet name="Ultra Prism" sheetId="90" r:id="rId72"/>
    <sheet name="Forbidden Light" sheetId="91" r:id="rId73"/>
    <sheet name="Celestial Storm" sheetId="92" r:id="rId74"/>
    <sheet name="Dragon Majesty" sheetId="93" r:id="rId75"/>
    <sheet name="Lost Thunder" sheetId="94" r:id="rId76"/>
    <sheet name="Team Up" sheetId="95" r:id="rId77"/>
    <sheet name="Detective Pikachu" sheetId="96" r:id="rId78"/>
    <sheet name="Unbroken Bonds" sheetId="97" r:id="rId79"/>
    <sheet name="Unified Minds" sheetId="98" r:id="rId80"/>
    <sheet name="Hidden Fates" sheetId="99" r:id="rId81"/>
    <sheet name="Cosmic Eclipse" sheetId="100" r:id="rId82"/>
    <sheet name="Sword and Shield Promos" sheetId="101" r:id="rId83"/>
    <sheet name="Sword and Shield" sheetId="102" r:id="rId84"/>
    <sheet name="Rebel Clash" sheetId="103" r:id="rId85"/>
    <sheet name="Darkness Ablaze" sheetId="104" r:id="rId86"/>
    <sheet name="Champions Path" sheetId="105" r:id="rId87"/>
    <sheet name="Vivid Voltage" sheetId="106" r:id="rId88"/>
    <sheet name="McDonalds Collection 2021" sheetId="107" r:id="rId89"/>
    <sheet name="Shining Fates" sheetId="108" r:id="rId90"/>
    <sheet name="Battle Styles" sheetId="109" r:id="rId91"/>
    <sheet name="Chilling Reign" sheetId="110" r:id="rId92"/>
    <sheet name="Evolving Skies" sheetId="111" r:id="rId93"/>
    <sheet name="Celebrations" sheetId="112" r:id="rId94"/>
    <sheet name="Fusion Strike" sheetId="113" r:id="rId95"/>
    <sheet name="Brilliant Stars" sheetId="114" r:id="rId9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114" l="1"/>
  <c r="D2" i="113"/>
  <c r="D2" i="112"/>
  <c r="D2" i="111"/>
  <c r="D2" i="110"/>
  <c r="D2" i="109"/>
  <c r="D2" i="108"/>
  <c r="D2" i="107"/>
  <c r="D2" i="106"/>
  <c r="D2" i="105"/>
  <c r="D2" i="104"/>
  <c r="B210" i="103"/>
  <c r="B203" i="103"/>
  <c r="B202" i="103"/>
  <c r="B201" i="103"/>
  <c r="B200" i="103"/>
  <c r="B199" i="103"/>
  <c r="B198" i="103"/>
  <c r="B197" i="103"/>
  <c r="B192" i="103"/>
  <c r="B191" i="103"/>
  <c r="B190" i="103"/>
  <c r="B189" i="103"/>
  <c r="B188" i="103"/>
  <c r="B187" i="103"/>
  <c r="B186" i="103"/>
  <c r="B185" i="103"/>
  <c r="B184" i="103"/>
  <c r="B183" i="103"/>
  <c r="B182" i="103"/>
  <c r="B181" i="103"/>
  <c r="B180" i="103"/>
  <c r="B179" i="103"/>
  <c r="B157" i="103"/>
  <c r="B141" i="103"/>
  <c r="B140" i="103"/>
  <c r="B126" i="103"/>
  <c r="B125" i="103"/>
  <c r="B114" i="103"/>
  <c r="B112" i="103"/>
  <c r="B97" i="103"/>
  <c r="B96" i="103"/>
  <c r="B76" i="103"/>
  <c r="B75" i="103"/>
  <c r="B74" i="103"/>
  <c r="B71" i="103"/>
  <c r="B59" i="103"/>
  <c r="B54" i="103"/>
  <c r="B53" i="103"/>
  <c r="B47" i="103"/>
  <c r="B40" i="103"/>
  <c r="B39" i="103"/>
  <c r="B37" i="103"/>
  <c r="B30" i="103"/>
  <c r="B23" i="103"/>
  <c r="B22" i="103"/>
  <c r="B21" i="103"/>
  <c r="D2" i="103"/>
  <c r="B216" i="102"/>
  <c r="B215" i="102"/>
  <c r="B210" i="102"/>
  <c r="B209" i="102"/>
  <c r="B208" i="102"/>
  <c r="B207" i="102"/>
  <c r="B202" i="102"/>
  <c r="B201" i="102"/>
  <c r="B200" i="102"/>
  <c r="B199" i="102"/>
  <c r="B198" i="102"/>
  <c r="B197" i="102"/>
  <c r="B196" i="102"/>
  <c r="B195" i="102"/>
  <c r="B194" i="102"/>
  <c r="B193" i="102"/>
  <c r="B192" i="102"/>
  <c r="B191" i="102"/>
  <c r="B159" i="102"/>
  <c r="B146" i="102"/>
  <c r="B145" i="102"/>
  <c r="B143" i="102"/>
  <c r="B142" i="102"/>
  <c r="B124" i="102"/>
  <c r="B120" i="102"/>
  <c r="B119" i="102"/>
  <c r="B108" i="102"/>
  <c r="B95" i="102"/>
  <c r="B90" i="102"/>
  <c r="B84" i="102"/>
  <c r="B83" i="102"/>
  <c r="B76" i="102"/>
  <c r="B57" i="102"/>
  <c r="B54" i="102"/>
  <c r="B53" i="102"/>
  <c r="B52" i="102"/>
  <c r="B29" i="102"/>
  <c r="B28" i="102"/>
  <c r="B13" i="102"/>
  <c r="B5" i="102"/>
  <c r="D2" i="102"/>
  <c r="B29" i="101"/>
  <c r="B28" i="101"/>
  <c r="B27" i="101"/>
  <c r="B26" i="101"/>
  <c r="B13" i="101"/>
  <c r="B12" i="101"/>
  <c r="B11" i="101"/>
  <c r="B10" i="101"/>
  <c r="D2" i="101"/>
  <c r="B264" i="100"/>
  <c r="B263" i="100"/>
  <c r="B262" i="100"/>
  <c r="B261" i="100"/>
  <c r="B260" i="100"/>
  <c r="B259" i="100"/>
  <c r="B258" i="100"/>
  <c r="B257" i="100"/>
  <c r="B256" i="100"/>
  <c r="B255" i="100"/>
  <c r="B254" i="100"/>
  <c r="B253" i="100"/>
  <c r="B252" i="100"/>
  <c r="B251" i="100"/>
  <c r="B231" i="100"/>
  <c r="B230" i="100"/>
  <c r="B229" i="100"/>
  <c r="B228" i="100"/>
  <c r="B227" i="100"/>
  <c r="B226" i="100"/>
  <c r="B225" i="100"/>
  <c r="B224" i="100"/>
  <c r="B223" i="100"/>
  <c r="B222" i="100"/>
  <c r="B221" i="100"/>
  <c r="B220" i="100"/>
  <c r="B219" i="100"/>
  <c r="B218" i="100"/>
  <c r="B217" i="100"/>
  <c r="B216" i="100"/>
  <c r="B215" i="100"/>
  <c r="B214" i="100"/>
  <c r="B188" i="100"/>
  <c r="B169" i="100"/>
  <c r="B162" i="100"/>
  <c r="B161" i="100"/>
  <c r="B160" i="100"/>
  <c r="B147" i="100"/>
  <c r="B133" i="100"/>
  <c r="B114" i="100"/>
  <c r="B99" i="100"/>
  <c r="B79" i="100"/>
  <c r="B67" i="100"/>
  <c r="B42" i="100"/>
  <c r="B39" i="100"/>
  <c r="B26" i="100"/>
  <c r="B8" i="100"/>
  <c r="B5" i="100"/>
  <c r="D2" i="100"/>
  <c r="B169" i="99"/>
  <c r="B168" i="99"/>
  <c r="B167" i="99"/>
  <c r="B166" i="99"/>
  <c r="B155" i="99"/>
  <c r="B154" i="99"/>
  <c r="B153" i="99"/>
  <c r="B152" i="99"/>
  <c r="B151" i="99"/>
  <c r="B150" i="99"/>
  <c r="B149" i="99"/>
  <c r="B148" i="99"/>
  <c r="B147" i="99"/>
  <c r="B146" i="99"/>
  <c r="B145" i="99"/>
  <c r="B144" i="99"/>
  <c r="B143" i="99"/>
  <c r="B142" i="99"/>
  <c r="B141" i="99"/>
  <c r="B140" i="99"/>
  <c r="B139" i="99"/>
  <c r="B138" i="99"/>
  <c r="B137" i="99"/>
  <c r="B136" i="99"/>
  <c r="B135" i="99"/>
  <c r="B134" i="99"/>
  <c r="B133" i="99"/>
  <c r="B132" i="99"/>
  <c r="B131" i="99"/>
  <c r="B130" i="99"/>
  <c r="B129" i="99"/>
  <c r="B128" i="99"/>
  <c r="B127" i="99"/>
  <c r="B126" i="99"/>
  <c r="B125" i="99"/>
  <c r="B124" i="99"/>
  <c r="B123" i="99"/>
  <c r="B122" i="99"/>
  <c r="B121" i="99"/>
  <c r="B73" i="99"/>
  <c r="B70" i="99"/>
  <c r="B48" i="99"/>
  <c r="B46" i="99"/>
  <c r="B40" i="99"/>
  <c r="B35" i="99"/>
  <c r="B24" i="99"/>
  <c r="B20" i="99"/>
  <c r="B18" i="99"/>
  <c r="B13" i="99"/>
  <c r="B10" i="99"/>
  <c r="D2" i="99"/>
  <c r="B254" i="98"/>
  <c r="B253" i="98"/>
  <c r="B252" i="98"/>
  <c r="B251" i="98"/>
  <c r="B250" i="98"/>
  <c r="B249" i="98"/>
  <c r="B248" i="98"/>
  <c r="B247" i="98"/>
  <c r="B246" i="98"/>
  <c r="B245" i="98"/>
  <c r="B244" i="98"/>
  <c r="B243" i="98"/>
  <c r="B242" i="98"/>
  <c r="B235" i="98"/>
  <c r="B234" i="98"/>
  <c r="B233" i="98"/>
  <c r="B232" i="98"/>
  <c r="B231" i="98"/>
  <c r="B230" i="98"/>
  <c r="B229" i="98"/>
  <c r="B228" i="98"/>
  <c r="B227" i="98"/>
  <c r="B226" i="98"/>
  <c r="B225" i="98"/>
  <c r="B224" i="98"/>
  <c r="B223" i="98"/>
  <c r="B222" i="98"/>
  <c r="B221" i="98"/>
  <c r="B220" i="98"/>
  <c r="B219" i="98"/>
  <c r="B164" i="98"/>
  <c r="B156" i="98"/>
  <c r="B150" i="98"/>
  <c r="B145" i="98"/>
  <c r="B136" i="98"/>
  <c r="B130" i="98"/>
  <c r="B129" i="98"/>
  <c r="B110" i="98"/>
  <c r="B83" i="98"/>
  <c r="B82" i="98"/>
  <c r="B76" i="98"/>
  <c r="B75" i="98"/>
  <c r="B58" i="98"/>
  <c r="B51" i="98"/>
  <c r="B39" i="98"/>
  <c r="B29" i="98"/>
  <c r="B5" i="98"/>
  <c r="D2" i="98"/>
  <c r="B234" i="97"/>
  <c r="B233" i="97"/>
  <c r="B232" i="97"/>
  <c r="B231" i="97"/>
  <c r="B230" i="97"/>
  <c r="B229" i="97"/>
  <c r="B228" i="97"/>
  <c r="B227" i="97"/>
  <c r="B226" i="97"/>
  <c r="B225" i="97"/>
  <c r="B224" i="97"/>
  <c r="B223" i="97"/>
  <c r="B222" i="97"/>
  <c r="B221" i="97"/>
  <c r="B214" i="97"/>
  <c r="B213" i="97"/>
  <c r="B212" i="97"/>
  <c r="B211" i="97"/>
  <c r="B210" i="97"/>
  <c r="B209" i="97"/>
  <c r="B208" i="97"/>
  <c r="B207" i="97"/>
  <c r="B206" i="97"/>
  <c r="B205" i="97"/>
  <c r="B204" i="97"/>
  <c r="B203" i="97"/>
  <c r="B202" i="97"/>
  <c r="B201" i="97"/>
  <c r="B200" i="97"/>
  <c r="B199" i="97"/>
  <c r="B198" i="97"/>
  <c r="B197" i="97"/>
  <c r="B196" i="97"/>
  <c r="B167" i="97"/>
  <c r="B153" i="97"/>
  <c r="B144" i="97"/>
  <c r="B134" i="97"/>
  <c r="B124" i="97"/>
  <c r="B113" i="97"/>
  <c r="B111" i="97"/>
  <c r="B86" i="97"/>
  <c r="B65" i="97"/>
  <c r="B61" i="97"/>
  <c r="B39" i="97"/>
  <c r="B24" i="97"/>
  <c r="B16" i="97"/>
  <c r="B5" i="97"/>
  <c r="D2" i="97"/>
  <c r="D2" i="96"/>
  <c r="K41" i="1" s="1"/>
  <c r="B196" i="95"/>
  <c r="B195" i="95"/>
  <c r="B194" i="95"/>
  <c r="B193" i="95"/>
  <c r="B192" i="95"/>
  <c r="B191" i="95"/>
  <c r="B190" i="95"/>
  <c r="B189" i="95"/>
  <c r="B188" i="95"/>
  <c r="B187" i="95"/>
  <c r="B176" i="95"/>
  <c r="B175" i="95"/>
  <c r="B174" i="95"/>
  <c r="B173" i="95"/>
  <c r="B172" i="95"/>
  <c r="B171" i="95"/>
  <c r="B170" i="95"/>
  <c r="B169" i="95"/>
  <c r="B168" i="95"/>
  <c r="B167" i="95"/>
  <c r="B166" i="95"/>
  <c r="B165" i="95"/>
  <c r="B164" i="95"/>
  <c r="B163" i="95"/>
  <c r="B138" i="95"/>
  <c r="B124" i="95"/>
  <c r="B117" i="95"/>
  <c r="B110" i="95"/>
  <c r="B101" i="95"/>
  <c r="B100" i="95"/>
  <c r="B86" i="95"/>
  <c r="B71" i="95"/>
  <c r="B57" i="95"/>
  <c r="B55" i="95"/>
  <c r="B47" i="95"/>
  <c r="B37" i="95"/>
  <c r="B14" i="95"/>
  <c r="B5" i="95"/>
  <c r="D2" i="95"/>
  <c r="B233" i="94"/>
  <c r="B232" i="94"/>
  <c r="B231" i="94"/>
  <c r="B230" i="94"/>
  <c r="B229" i="94"/>
  <c r="B228" i="94"/>
  <c r="B227" i="94"/>
  <c r="B226" i="94"/>
  <c r="B225" i="94"/>
  <c r="B224" i="94"/>
  <c r="B223" i="94"/>
  <c r="B222" i="94"/>
  <c r="B221" i="94"/>
  <c r="B213" i="94"/>
  <c r="B212" i="94"/>
  <c r="B211" i="94"/>
  <c r="B210" i="94"/>
  <c r="B209" i="94"/>
  <c r="B208" i="94"/>
  <c r="B207" i="94"/>
  <c r="B206" i="94"/>
  <c r="B205" i="94"/>
  <c r="B204" i="94"/>
  <c r="B203" i="94"/>
  <c r="B202" i="94"/>
  <c r="B201" i="94"/>
  <c r="B197" i="94"/>
  <c r="B187" i="94"/>
  <c r="B185" i="94"/>
  <c r="B183" i="94"/>
  <c r="B163" i="94"/>
  <c r="B158" i="94"/>
  <c r="B153" i="94"/>
  <c r="B148" i="94"/>
  <c r="B136" i="94"/>
  <c r="B134" i="94"/>
  <c r="B125" i="94"/>
  <c r="B102" i="94"/>
  <c r="B90" i="94"/>
  <c r="B64" i="94"/>
  <c r="B56" i="94"/>
  <c r="B48" i="94"/>
  <c r="B38" i="94"/>
  <c r="B26" i="94"/>
  <c r="B23" i="94"/>
  <c r="B21" i="94"/>
  <c r="D2" i="94"/>
  <c r="B84" i="93"/>
  <c r="B80" i="93"/>
  <c r="B79" i="93"/>
  <c r="B78" i="93"/>
  <c r="B77" i="93"/>
  <c r="B74" i="93"/>
  <c r="B73" i="93"/>
  <c r="B72" i="93"/>
  <c r="B71" i="93"/>
  <c r="B67" i="93"/>
  <c r="B53" i="93"/>
  <c r="B49" i="93"/>
  <c r="B46" i="93"/>
  <c r="B41" i="93"/>
  <c r="B22" i="93"/>
  <c r="B15" i="93"/>
  <c r="B11" i="93"/>
  <c r="D2" i="93"/>
  <c r="K38" i="1" s="1"/>
  <c r="B183" i="92"/>
  <c r="B182" i="92"/>
  <c r="B181" i="92"/>
  <c r="B180" i="92"/>
  <c r="B179" i="92"/>
  <c r="B178" i="92"/>
  <c r="B177" i="92"/>
  <c r="B176" i="92"/>
  <c r="B175" i="92"/>
  <c r="B174" i="92"/>
  <c r="B165" i="92"/>
  <c r="B164" i="92"/>
  <c r="B163" i="92"/>
  <c r="B162" i="92"/>
  <c r="B161" i="92"/>
  <c r="B160" i="92"/>
  <c r="B159" i="92"/>
  <c r="B158" i="92"/>
  <c r="B157" i="92"/>
  <c r="B114" i="92"/>
  <c r="B113" i="92"/>
  <c r="B112" i="92"/>
  <c r="B107" i="92"/>
  <c r="B102" i="92"/>
  <c r="B95" i="92"/>
  <c r="B90" i="92"/>
  <c r="B87" i="92"/>
  <c r="B71" i="92"/>
  <c r="B61" i="92"/>
  <c r="B53" i="92"/>
  <c r="B36" i="92"/>
  <c r="B33" i="92"/>
  <c r="B19" i="92"/>
  <c r="D2" i="92"/>
  <c r="B147" i="91"/>
  <c r="B146" i="91"/>
  <c r="B145" i="91"/>
  <c r="B144" i="91"/>
  <c r="B143" i="91"/>
  <c r="B142" i="91"/>
  <c r="B141" i="91"/>
  <c r="B140" i="91"/>
  <c r="B139" i="91"/>
  <c r="B134" i="91"/>
  <c r="B133" i="91"/>
  <c r="B132" i="91"/>
  <c r="B131" i="91"/>
  <c r="B130" i="91"/>
  <c r="B129" i="91"/>
  <c r="B128" i="91"/>
  <c r="B127" i="91"/>
  <c r="B126" i="91"/>
  <c r="B124" i="91"/>
  <c r="B115" i="91"/>
  <c r="B101" i="91"/>
  <c r="B100" i="91"/>
  <c r="B95" i="91"/>
  <c r="B87" i="91"/>
  <c r="B84" i="91"/>
  <c r="B79" i="91"/>
  <c r="B78" i="91"/>
  <c r="B61" i="91"/>
  <c r="B36" i="91"/>
  <c r="B29" i="91"/>
  <c r="B25" i="91"/>
  <c r="D2" i="91"/>
  <c r="B177" i="90"/>
  <c r="B176" i="90"/>
  <c r="B169" i="90"/>
  <c r="B168" i="90"/>
  <c r="B167" i="90"/>
  <c r="B166" i="90"/>
  <c r="B165" i="90"/>
  <c r="B164" i="90"/>
  <c r="B163" i="90"/>
  <c r="B162" i="90"/>
  <c r="B161" i="90"/>
  <c r="B151" i="90"/>
  <c r="B150" i="90"/>
  <c r="B149" i="90"/>
  <c r="B148" i="90"/>
  <c r="B147" i="90"/>
  <c r="B146" i="90"/>
  <c r="B145" i="90"/>
  <c r="B144" i="90"/>
  <c r="B143" i="90"/>
  <c r="B140" i="90"/>
  <c r="B124" i="90"/>
  <c r="B120" i="90"/>
  <c r="B105" i="90"/>
  <c r="B104" i="90"/>
  <c r="B94" i="90"/>
  <c r="B93" i="90"/>
  <c r="B81" i="90"/>
  <c r="B67" i="90"/>
  <c r="B66" i="90"/>
  <c r="B62" i="90"/>
  <c r="B43" i="90"/>
  <c r="B17" i="90"/>
  <c r="D2" i="90"/>
  <c r="K35" i="1" s="1"/>
  <c r="K28" i="1" s="1"/>
  <c r="B124" i="89"/>
  <c r="B123" i="89"/>
  <c r="B122" i="89"/>
  <c r="B121" i="89"/>
  <c r="B120" i="89"/>
  <c r="B119" i="89"/>
  <c r="B118" i="89"/>
  <c r="B117" i="89"/>
  <c r="B113" i="89"/>
  <c r="B112" i="89"/>
  <c r="B111" i="89"/>
  <c r="B110" i="89"/>
  <c r="B109" i="89"/>
  <c r="B108" i="89"/>
  <c r="B107" i="89"/>
  <c r="B106" i="89"/>
  <c r="B95" i="89"/>
  <c r="B78" i="89"/>
  <c r="B74" i="89"/>
  <c r="B67" i="89"/>
  <c r="B61" i="89"/>
  <c r="B53" i="89"/>
  <c r="B38" i="89"/>
  <c r="B22" i="89"/>
  <c r="D2" i="89"/>
  <c r="B84" i="88"/>
  <c r="B83" i="88"/>
  <c r="B82" i="88"/>
  <c r="B81" i="88"/>
  <c r="B80" i="88"/>
  <c r="B79" i="88"/>
  <c r="B77" i="88"/>
  <c r="B76" i="88"/>
  <c r="B57" i="88"/>
  <c r="B43" i="88"/>
  <c r="B33" i="88"/>
  <c r="B14" i="88"/>
  <c r="D2" i="88"/>
  <c r="B170" i="87"/>
  <c r="B169" i="87"/>
  <c r="B168" i="87"/>
  <c r="B167" i="87"/>
  <c r="B166" i="87"/>
  <c r="B165" i="87"/>
  <c r="B164" i="87"/>
  <c r="B163" i="87"/>
  <c r="B162" i="87"/>
  <c r="B161" i="87"/>
  <c r="B160" i="87"/>
  <c r="B159" i="87"/>
  <c r="B158" i="87"/>
  <c r="B151" i="87"/>
  <c r="B150" i="87"/>
  <c r="B149" i="87"/>
  <c r="B148" i="87"/>
  <c r="B147" i="87"/>
  <c r="B146" i="87"/>
  <c r="B145" i="87"/>
  <c r="B144" i="87"/>
  <c r="B143" i="87"/>
  <c r="B142" i="87"/>
  <c r="B141" i="87"/>
  <c r="B140" i="87"/>
  <c r="B139" i="87"/>
  <c r="B105" i="87"/>
  <c r="B99" i="87"/>
  <c r="B93" i="87"/>
  <c r="B91" i="87"/>
  <c r="B89" i="87"/>
  <c r="B85" i="87"/>
  <c r="B69" i="87"/>
  <c r="B68" i="87"/>
  <c r="B44" i="87"/>
  <c r="B43" i="87"/>
  <c r="B29" i="87"/>
  <c r="B25" i="87"/>
  <c r="B24" i="87"/>
  <c r="B21" i="87"/>
  <c r="D2" i="87"/>
  <c r="B174" i="86"/>
  <c r="B173" i="86"/>
  <c r="B172" i="86"/>
  <c r="B171" i="86"/>
  <c r="B170" i="86"/>
  <c r="B169" i="86"/>
  <c r="B168" i="86"/>
  <c r="B167" i="86"/>
  <c r="B166" i="86"/>
  <c r="B165" i="86"/>
  <c r="B164" i="86"/>
  <c r="B163" i="86"/>
  <c r="B162" i="86"/>
  <c r="B161" i="86"/>
  <c r="B160" i="86"/>
  <c r="B159" i="86"/>
  <c r="B155" i="86"/>
  <c r="B154" i="86"/>
  <c r="B153" i="86"/>
  <c r="B152" i="86"/>
  <c r="B151" i="86"/>
  <c r="B150" i="86"/>
  <c r="B149" i="86"/>
  <c r="B148" i="86"/>
  <c r="B147" i="86"/>
  <c r="B146" i="86"/>
  <c r="B145" i="86"/>
  <c r="B144" i="86"/>
  <c r="B124" i="86"/>
  <c r="B109" i="86"/>
  <c r="B101" i="86"/>
  <c r="B100" i="86"/>
  <c r="B93" i="86"/>
  <c r="B82" i="86"/>
  <c r="B68" i="86"/>
  <c r="B67" i="86"/>
  <c r="B64" i="86"/>
  <c r="B53" i="86"/>
  <c r="B51" i="86"/>
  <c r="B44" i="86"/>
  <c r="B28" i="86"/>
  <c r="B22" i="86"/>
  <c r="D2" i="86"/>
  <c r="B161" i="85"/>
  <c r="B160" i="85"/>
  <c r="B159" i="85"/>
  <c r="B158" i="85"/>
  <c r="B157" i="85"/>
  <c r="B156" i="85"/>
  <c r="B155" i="85"/>
  <c r="B154" i="85"/>
  <c r="B149" i="85"/>
  <c r="B148" i="85"/>
  <c r="B147" i="85"/>
  <c r="B146" i="85"/>
  <c r="B145" i="85"/>
  <c r="B144" i="85"/>
  <c r="B143" i="85"/>
  <c r="B142" i="85"/>
  <c r="B114" i="85"/>
  <c r="B104" i="85"/>
  <c r="B93" i="85"/>
  <c r="B84" i="85"/>
  <c r="B70" i="85"/>
  <c r="B65" i="85"/>
  <c r="B46" i="85"/>
  <c r="B39" i="85"/>
  <c r="B31" i="85"/>
  <c r="B19" i="85"/>
  <c r="B16" i="85"/>
  <c r="D2" i="85"/>
  <c r="B243" i="84"/>
  <c r="B240" i="84"/>
  <c r="B239" i="84"/>
  <c r="B238" i="84"/>
  <c r="B237" i="84"/>
  <c r="B236" i="84"/>
  <c r="B228" i="84"/>
  <c r="B227" i="84"/>
  <c r="B226" i="84"/>
  <c r="B225" i="84"/>
  <c r="B224" i="84"/>
  <c r="B223" i="84"/>
  <c r="B220" i="84"/>
  <c r="B219" i="84"/>
  <c r="B218" i="84"/>
  <c r="B217" i="84"/>
  <c r="B212" i="84"/>
  <c r="B211" i="84"/>
  <c r="B210" i="84"/>
  <c r="B209" i="84"/>
  <c r="B208" i="84"/>
  <c r="B204" i="84"/>
  <c r="B203" i="84"/>
  <c r="B202" i="84"/>
  <c r="B200" i="84"/>
  <c r="B199" i="84"/>
  <c r="B198" i="84"/>
  <c r="B195" i="84"/>
  <c r="B194" i="84"/>
  <c r="B189" i="84"/>
  <c r="B188" i="84"/>
  <c r="B187" i="84"/>
  <c r="B186" i="84"/>
  <c r="B185" i="84"/>
  <c r="B183" i="84"/>
  <c r="B182" i="84"/>
  <c r="B181" i="84"/>
  <c r="B180" i="84"/>
  <c r="B179" i="84"/>
  <c r="B178" i="84"/>
  <c r="B176" i="84"/>
  <c r="B175" i="84"/>
  <c r="B174" i="84"/>
  <c r="B173" i="84"/>
  <c r="B168" i="84"/>
  <c r="B167" i="84"/>
  <c r="B166" i="84"/>
  <c r="B165" i="84"/>
  <c r="B163" i="84"/>
  <c r="B162" i="84"/>
  <c r="B159" i="84"/>
  <c r="B158" i="84"/>
  <c r="B157" i="84"/>
  <c r="B156" i="84"/>
  <c r="B155" i="84"/>
  <c r="B154" i="84"/>
  <c r="B153" i="84"/>
  <c r="B148" i="84"/>
  <c r="B146" i="84"/>
  <c r="B145" i="84"/>
  <c r="B144" i="84"/>
  <c r="B141" i="84"/>
  <c r="B140" i="84"/>
  <c r="B139" i="84"/>
  <c r="B138" i="84"/>
  <c r="B137" i="84"/>
  <c r="B136" i="84"/>
  <c r="B133" i="84"/>
  <c r="B132" i="84"/>
  <c r="B129" i="84"/>
  <c r="B128" i="84"/>
  <c r="B125" i="84"/>
  <c r="B124" i="84"/>
  <c r="B123" i="84"/>
  <c r="B122" i="84"/>
  <c r="B111" i="84"/>
  <c r="B110" i="84"/>
  <c r="B109" i="84"/>
  <c r="B108" i="84"/>
  <c r="B107" i="84"/>
  <c r="B106" i="84"/>
  <c r="B105" i="84"/>
  <c r="B102" i="84"/>
  <c r="B101" i="84"/>
  <c r="B100" i="84"/>
  <c r="B99" i="84"/>
  <c r="B97" i="84"/>
  <c r="B96" i="84"/>
  <c r="B95" i="84"/>
  <c r="B91" i="84"/>
  <c r="B89" i="84"/>
  <c r="B85" i="84"/>
  <c r="B83" i="84"/>
  <c r="B80" i="84"/>
  <c r="B79" i="84"/>
  <c r="B78" i="84"/>
  <c r="B77" i="84"/>
  <c r="B76" i="84"/>
  <c r="B74" i="84"/>
  <c r="B73" i="84"/>
  <c r="B72" i="84"/>
  <c r="B71" i="84"/>
  <c r="B68" i="84"/>
  <c r="B67" i="84"/>
  <c r="B66" i="84"/>
  <c r="B65" i="84"/>
  <c r="B64" i="84"/>
  <c r="B63" i="84"/>
  <c r="B62" i="84"/>
  <c r="B61" i="84"/>
  <c r="B55" i="84"/>
  <c r="B54" i="84"/>
  <c r="B53" i="84"/>
  <c r="B52" i="84"/>
  <c r="B51" i="84"/>
  <c r="B47" i="84"/>
  <c r="B45" i="84"/>
  <c r="B44" i="84"/>
  <c r="B43" i="84"/>
  <c r="B42" i="84"/>
  <c r="B41" i="84"/>
  <c r="B40" i="84"/>
  <c r="B39" i="84"/>
  <c r="B38" i="84"/>
  <c r="B37" i="84"/>
  <c r="B25" i="84"/>
  <c r="B24" i="84"/>
  <c r="B23" i="84"/>
  <c r="B22" i="84"/>
  <c r="B21" i="84"/>
  <c r="B20" i="84"/>
  <c r="B18" i="84"/>
  <c r="B17" i="84"/>
  <c r="B16" i="84"/>
  <c r="B15" i="84"/>
  <c r="B14" i="84"/>
  <c r="B10" i="84"/>
  <c r="B9" i="84"/>
  <c r="B8" i="84"/>
  <c r="B7" i="84"/>
  <c r="B6" i="84"/>
  <c r="B5" i="84"/>
  <c r="D2" i="84"/>
  <c r="B110" i="83"/>
  <c r="B109" i="83"/>
  <c r="B108" i="83"/>
  <c r="B107" i="83"/>
  <c r="B106" i="83"/>
  <c r="B105" i="83"/>
  <c r="B104" i="83"/>
  <c r="B76" i="83"/>
  <c r="B69" i="83"/>
  <c r="B68" i="83"/>
  <c r="B64" i="83"/>
  <c r="B56" i="83"/>
  <c r="B50" i="83"/>
  <c r="B36" i="83"/>
  <c r="B31" i="83"/>
  <c r="B30" i="83"/>
  <c r="B26" i="83"/>
  <c r="B25" i="83"/>
  <c r="B20" i="83"/>
  <c r="B17" i="83"/>
  <c r="B16" i="83"/>
  <c r="B6" i="83"/>
  <c r="B5" i="83"/>
  <c r="D2" i="83"/>
  <c r="B120" i="82"/>
  <c r="B119" i="82"/>
  <c r="B116" i="82"/>
  <c r="B115" i="82"/>
  <c r="B114" i="82"/>
  <c r="B113" i="82"/>
  <c r="B112" i="82"/>
  <c r="B111" i="82"/>
  <c r="B91" i="82"/>
  <c r="B86" i="82"/>
  <c r="B83" i="82"/>
  <c r="B82" i="82"/>
  <c r="B79" i="82"/>
  <c r="B72" i="82"/>
  <c r="B71" i="82"/>
  <c r="B70" i="82"/>
  <c r="B39" i="82"/>
  <c r="B30" i="82"/>
  <c r="B28" i="82"/>
  <c r="B25" i="82"/>
  <c r="B12" i="82"/>
  <c r="D2" i="82"/>
  <c r="B129" i="81"/>
  <c r="B127" i="81"/>
  <c r="B126" i="81"/>
  <c r="B125" i="81"/>
  <c r="B124" i="81"/>
  <c r="B123" i="81"/>
  <c r="B122" i="81"/>
  <c r="B121" i="81"/>
  <c r="B120" i="81"/>
  <c r="B89" i="81"/>
  <c r="B88" i="81"/>
  <c r="B87" i="81"/>
  <c r="B83" i="81"/>
  <c r="B77" i="81"/>
  <c r="B76" i="81"/>
  <c r="B73" i="81"/>
  <c r="B68" i="81"/>
  <c r="B66" i="81"/>
  <c r="B59" i="81"/>
  <c r="B58" i="81"/>
  <c r="B55" i="81"/>
  <c r="B47" i="81"/>
  <c r="B30" i="81"/>
  <c r="B29" i="81"/>
  <c r="B24" i="81"/>
  <c r="B23" i="81"/>
  <c r="B18" i="81"/>
  <c r="D2" i="81"/>
  <c r="B121" i="80"/>
  <c r="B120" i="80"/>
  <c r="B119" i="80"/>
  <c r="B117" i="80"/>
  <c r="B110" i="80"/>
  <c r="B95" i="80"/>
  <c r="B50" i="80"/>
  <c r="B41" i="80"/>
  <c r="B32" i="80"/>
  <c r="B28" i="80"/>
  <c r="B22" i="80"/>
  <c r="B21" i="80"/>
  <c r="B17" i="80"/>
  <c r="B16" i="80"/>
  <c r="B15" i="80"/>
  <c r="B14" i="80"/>
  <c r="B6" i="80"/>
  <c r="B5" i="80"/>
  <c r="D2" i="80"/>
  <c r="B127" i="79"/>
  <c r="B125" i="79"/>
  <c r="B124" i="79"/>
  <c r="B123" i="79"/>
  <c r="B122" i="79"/>
  <c r="B121" i="79"/>
  <c r="B120" i="79"/>
  <c r="B119" i="79"/>
  <c r="B118" i="79"/>
  <c r="B96" i="79"/>
  <c r="B93" i="79"/>
  <c r="B87" i="79"/>
  <c r="B81" i="79"/>
  <c r="B80" i="79"/>
  <c r="B78" i="79"/>
  <c r="B70" i="79"/>
  <c r="B56" i="79"/>
  <c r="B51" i="79"/>
  <c r="B45" i="79"/>
  <c r="B36" i="79"/>
  <c r="B35" i="79"/>
  <c r="B31" i="79"/>
  <c r="B30" i="79"/>
  <c r="B22" i="79"/>
  <c r="B18" i="79"/>
  <c r="D2" i="79"/>
  <c r="B168" i="78"/>
  <c r="B167" i="78"/>
  <c r="B164" i="78"/>
  <c r="B163" i="78"/>
  <c r="B162" i="78"/>
  <c r="B161" i="78"/>
  <c r="B160" i="78"/>
  <c r="B159" i="78"/>
  <c r="B158" i="78"/>
  <c r="B157" i="78"/>
  <c r="B117" i="78"/>
  <c r="B108" i="78"/>
  <c r="B96" i="78"/>
  <c r="B83" i="78"/>
  <c r="B68" i="78"/>
  <c r="B67" i="78"/>
  <c r="B66" i="78"/>
  <c r="B65" i="78"/>
  <c r="B54" i="78"/>
  <c r="B39" i="78"/>
  <c r="B38" i="78"/>
  <c r="B26" i="78"/>
  <c r="B25" i="78"/>
  <c r="B16" i="78"/>
  <c r="D2" i="78"/>
  <c r="D2" i="77"/>
  <c r="B102" i="76"/>
  <c r="B101" i="76"/>
  <c r="B100" i="76"/>
  <c r="B98" i="76"/>
  <c r="B97" i="76"/>
  <c r="B96" i="76"/>
  <c r="B95" i="76"/>
  <c r="B94" i="76"/>
  <c r="B93" i="76"/>
  <c r="B92" i="76"/>
  <c r="B91" i="76"/>
  <c r="B90" i="76"/>
  <c r="B89" i="76"/>
  <c r="B88" i="76"/>
  <c r="B72" i="76"/>
  <c r="B61" i="76"/>
  <c r="B47" i="76"/>
  <c r="B46" i="76"/>
  <c r="B41" i="76"/>
  <c r="B40" i="76"/>
  <c r="B32" i="76"/>
  <c r="B31" i="76"/>
  <c r="B29" i="76"/>
  <c r="B12" i="76"/>
  <c r="B11" i="76"/>
  <c r="D2" i="76"/>
  <c r="H40" i="1" s="1"/>
  <c r="B110" i="75"/>
  <c r="B109" i="75"/>
  <c r="B108" i="75"/>
  <c r="B107" i="75"/>
  <c r="B106" i="75"/>
  <c r="B105" i="75"/>
  <c r="B104" i="75"/>
  <c r="B103" i="75"/>
  <c r="B102" i="75"/>
  <c r="B81" i="75"/>
  <c r="B80" i="75"/>
  <c r="B79" i="75"/>
  <c r="B66" i="75"/>
  <c r="B65" i="75"/>
  <c r="B64" i="75"/>
  <c r="B63" i="75"/>
  <c r="B62" i="75"/>
  <c r="B39" i="75"/>
  <c r="B38" i="75"/>
  <c r="B30" i="75"/>
  <c r="D2" i="75"/>
  <c r="D2" i="74"/>
  <c r="B160" i="73"/>
  <c r="B159" i="73"/>
  <c r="B158" i="73"/>
  <c r="B157" i="73"/>
  <c r="B156" i="73"/>
  <c r="B155" i="73"/>
  <c r="B154" i="73"/>
  <c r="B153" i="73"/>
  <c r="B152" i="73"/>
  <c r="B151" i="73"/>
  <c r="B150" i="73"/>
  <c r="B149" i="73"/>
  <c r="B110" i="73"/>
  <c r="B109" i="73"/>
  <c r="B98" i="73"/>
  <c r="B97" i="73"/>
  <c r="B95" i="73"/>
  <c r="B90" i="73"/>
  <c r="B89" i="73"/>
  <c r="B59" i="73"/>
  <c r="B58" i="73"/>
  <c r="B42" i="73"/>
  <c r="B33" i="73"/>
  <c r="B23" i="73"/>
  <c r="D2" i="73"/>
  <c r="B126" i="72"/>
  <c r="B125" i="72"/>
  <c r="B124" i="72"/>
  <c r="B120" i="72"/>
  <c r="B119" i="72"/>
  <c r="B118" i="72"/>
  <c r="B117" i="72"/>
  <c r="B71" i="72"/>
  <c r="B69" i="72"/>
  <c r="B66" i="72"/>
  <c r="B62" i="72"/>
  <c r="B39" i="72"/>
  <c r="B38" i="72"/>
  <c r="B28" i="72"/>
  <c r="B27" i="72"/>
  <c r="D2" i="72"/>
  <c r="B117" i="71"/>
  <c r="B116" i="71"/>
  <c r="B112" i="71"/>
  <c r="B111" i="71"/>
  <c r="B110" i="71"/>
  <c r="B109" i="71"/>
  <c r="B78" i="71"/>
  <c r="B68" i="71"/>
  <c r="B59" i="71"/>
  <c r="B58" i="71"/>
  <c r="B24" i="71"/>
  <c r="B9" i="71"/>
  <c r="B8" i="71"/>
  <c r="D2" i="71"/>
  <c r="D2" i="70"/>
  <c r="B113" i="69"/>
  <c r="B112" i="69"/>
  <c r="B111" i="69"/>
  <c r="B107" i="69"/>
  <c r="B106" i="69"/>
  <c r="B105" i="69"/>
  <c r="B104" i="69"/>
  <c r="B83" i="69"/>
  <c r="B82" i="69"/>
  <c r="B73" i="69"/>
  <c r="B45" i="69"/>
  <c r="B39" i="69"/>
  <c r="B17" i="69"/>
  <c r="B16" i="69"/>
  <c r="B15" i="69"/>
  <c r="D2" i="69"/>
  <c r="D2" i="68"/>
  <c r="B150" i="67"/>
  <c r="B149" i="67"/>
  <c r="B148" i="67"/>
  <c r="B147" i="67"/>
  <c r="B146" i="67"/>
  <c r="B145" i="67"/>
  <c r="B101" i="67"/>
  <c r="B84" i="67"/>
  <c r="B83" i="67"/>
  <c r="B50" i="67"/>
  <c r="B34" i="67"/>
  <c r="B33" i="67"/>
  <c r="B21" i="67"/>
  <c r="B6" i="67"/>
  <c r="B5" i="67"/>
  <c r="D2" i="67"/>
  <c r="D2" i="66"/>
  <c r="H30" i="1" s="1"/>
  <c r="H28" i="1" s="1"/>
  <c r="B209" i="65"/>
  <c r="B208" i="65"/>
  <c r="B206" i="65"/>
  <c r="B205" i="65"/>
  <c r="B190" i="65"/>
  <c r="B189" i="65"/>
  <c r="B188" i="65"/>
  <c r="B187" i="65"/>
  <c r="B182" i="65"/>
  <c r="B181" i="65"/>
  <c r="B180" i="65"/>
  <c r="B179" i="65"/>
  <c r="B177" i="65"/>
  <c r="B176" i="65"/>
  <c r="B174" i="65"/>
  <c r="B173" i="65"/>
  <c r="B172" i="65"/>
  <c r="B164" i="65"/>
  <c r="B163" i="65"/>
  <c r="B161" i="65"/>
  <c r="B160" i="65"/>
  <c r="B157" i="65"/>
  <c r="B156" i="65"/>
  <c r="B155" i="65"/>
  <c r="B154" i="65"/>
  <c r="B153" i="65"/>
  <c r="B152" i="65"/>
  <c r="B151" i="65"/>
  <c r="B150" i="65"/>
  <c r="B149" i="65"/>
  <c r="B141" i="65"/>
  <c r="B140" i="65"/>
  <c r="B139" i="65"/>
  <c r="B138" i="65"/>
  <c r="B135" i="65"/>
  <c r="B134" i="65"/>
  <c r="B133" i="65"/>
  <c r="B132" i="65"/>
  <c r="B131" i="65"/>
  <c r="B130" i="65"/>
  <c r="B129" i="65"/>
  <c r="B128" i="65"/>
  <c r="B127" i="65"/>
  <c r="B126" i="65"/>
  <c r="B113" i="65"/>
  <c r="B112" i="65"/>
  <c r="B111" i="65"/>
  <c r="B109" i="65"/>
  <c r="B108" i="65"/>
  <c r="B107" i="65"/>
  <c r="B103" i="65"/>
  <c r="B102" i="65"/>
  <c r="B99" i="65"/>
  <c r="B96" i="65"/>
  <c r="B92" i="65"/>
  <c r="B91" i="65"/>
  <c r="B90" i="65"/>
  <c r="B89" i="65"/>
  <c r="B78" i="65"/>
  <c r="B77" i="65"/>
  <c r="B76" i="65"/>
  <c r="B75" i="65"/>
  <c r="B74" i="65"/>
  <c r="B73" i="65"/>
  <c r="B70" i="65"/>
  <c r="B67" i="65"/>
  <c r="B66" i="65"/>
  <c r="B65" i="65"/>
  <c r="B64" i="65"/>
  <c r="B59" i="65"/>
  <c r="B58" i="65"/>
  <c r="B57" i="65"/>
  <c r="B50" i="65"/>
  <c r="B49" i="65"/>
  <c r="B48" i="65"/>
  <c r="B47" i="65"/>
  <c r="B46" i="65"/>
  <c r="B45" i="65"/>
  <c r="B43" i="65"/>
  <c r="B39" i="65"/>
  <c r="B38" i="65"/>
  <c r="B34" i="65"/>
  <c r="B33" i="65"/>
  <c r="B32" i="65"/>
  <c r="B31" i="65"/>
  <c r="B29" i="65"/>
  <c r="B25" i="65"/>
  <c r="B24" i="65"/>
  <c r="B23" i="65"/>
  <c r="B22" i="65"/>
  <c r="B21" i="65"/>
  <c r="B17" i="65"/>
  <c r="B14" i="65"/>
  <c r="B13" i="65"/>
  <c r="B12" i="65"/>
  <c r="B11" i="65"/>
  <c r="D2" i="65"/>
  <c r="B146" i="64"/>
  <c r="B145" i="64"/>
  <c r="B142" i="64"/>
  <c r="B132" i="64"/>
  <c r="B106" i="64"/>
  <c r="B105" i="64"/>
  <c r="B104" i="64"/>
  <c r="B92" i="64"/>
  <c r="B86" i="64"/>
  <c r="B81" i="64"/>
  <c r="B58" i="64"/>
  <c r="B56" i="64"/>
  <c r="B49" i="64"/>
  <c r="B48" i="64"/>
  <c r="B33" i="64"/>
  <c r="B28" i="64"/>
  <c r="D2" i="64"/>
  <c r="D2" i="63"/>
  <c r="D2" i="62"/>
  <c r="D2" i="61"/>
  <c r="D2" i="60"/>
  <c r="D2" i="59"/>
  <c r="B112" i="58"/>
  <c r="B111" i="58"/>
  <c r="B110" i="58"/>
  <c r="B109" i="58"/>
  <c r="B108" i="58"/>
  <c r="B107" i="58"/>
  <c r="B94" i="58"/>
  <c r="B67" i="58"/>
  <c r="B58" i="58"/>
  <c r="B42" i="58"/>
  <c r="B30" i="58"/>
  <c r="B17" i="58"/>
  <c r="D2" i="58"/>
  <c r="B103" i="57"/>
  <c r="B102" i="57"/>
  <c r="B101" i="57"/>
  <c r="B100" i="57"/>
  <c r="B99" i="57"/>
  <c r="B98" i="57"/>
  <c r="B86" i="57"/>
  <c r="B58" i="57"/>
  <c r="B55" i="57"/>
  <c r="B42" i="57"/>
  <c r="B26" i="57"/>
  <c r="B9" i="57"/>
  <c r="D2" i="57"/>
  <c r="D2" i="56"/>
  <c r="D2" i="55"/>
  <c r="D2" i="54"/>
  <c r="D2" i="53"/>
  <c r="D2" i="52"/>
  <c r="D2" i="51"/>
  <c r="B129" i="50"/>
  <c r="B126" i="50"/>
  <c r="B98" i="50"/>
  <c r="B92" i="50"/>
  <c r="B81" i="50"/>
  <c r="B54" i="50"/>
  <c r="B51" i="50"/>
  <c r="B45" i="50"/>
  <c r="B44" i="50"/>
  <c r="B34" i="50"/>
  <c r="B21" i="50"/>
  <c r="B16" i="50"/>
  <c r="B11" i="50"/>
  <c r="D2" i="50"/>
  <c r="D2" i="49"/>
  <c r="D2" i="48"/>
  <c r="D2" i="47"/>
  <c r="D2" i="46"/>
  <c r="D2" i="45"/>
  <c r="D2" i="44"/>
  <c r="D2" i="43"/>
  <c r="D2" i="42"/>
  <c r="D2" i="41"/>
  <c r="B52" i="40"/>
  <c r="B51" i="40"/>
  <c r="B50" i="40"/>
  <c r="B49" i="40"/>
  <c r="B47" i="40"/>
  <c r="B46" i="40"/>
  <c r="B45" i="40"/>
  <c r="B29" i="40"/>
  <c r="B9" i="40"/>
  <c r="D2" i="40"/>
  <c r="B21" i="39"/>
  <c r="B20" i="39"/>
  <c r="D2" i="39"/>
  <c r="B106" i="38"/>
  <c r="B105" i="38"/>
  <c r="B104" i="38"/>
  <c r="D2" i="38"/>
  <c r="B105" i="37"/>
  <c r="B104" i="37"/>
  <c r="D2" i="37"/>
  <c r="B104" i="36"/>
  <c r="B103" i="36"/>
  <c r="D2" i="36"/>
  <c r="B108" i="35"/>
  <c r="B107" i="35"/>
  <c r="B106" i="35"/>
  <c r="D2" i="35"/>
  <c r="D2" i="34"/>
  <c r="B96" i="33"/>
  <c r="B95" i="33"/>
  <c r="B94" i="33"/>
  <c r="D2" i="33"/>
  <c r="B117" i="32"/>
  <c r="B116" i="32"/>
  <c r="B115" i="32"/>
  <c r="D2" i="32"/>
  <c r="B119" i="31"/>
  <c r="B118" i="31"/>
  <c r="B117" i="31"/>
  <c r="D2" i="31"/>
  <c r="D2" i="30"/>
  <c r="D2" i="29"/>
  <c r="B111" i="28"/>
  <c r="B110" i="28"/>
  <c r="B109" i="28"/>
  <c r="D2" i="28"/>
  <c r="K13" i="1" s="1"/>
  <c r="B113" i="27"/>
  <c r="B112" i="27"/>
  <c r="B111" i="27"/>
  <c r="D2" i="27"/>
  <c r="D2" i="26"/>
  <c r="D2" i="25"/>
  <c r="D2" i="24"/>
  <c r="D2" i="23"/>
  <c r="K8" i="1" s="1"/>
  <c r="K3" i="1" s="1"/>
  <c r="D2" i="22"/>
  <c r="B40" i="19"/>
  <c r="B31" i="19"/>
  <c r="B30" i="19"/>
  <c r="B23" i="19"/>
  <c r="B22" i="19"/>
  <c r="B21" i="19"/>
  <c r="B20" i="19"/>
  <c r="D2" i="19"/>
  <c r="D2" i="13"/>
  <c r="H47" i="1"/>
  <c r="H46" i="1"/>
  <c r="K45" i="1"/>
  <c r="H45" i="1"/>
  <c r="K44" i="1"/>
  <c r="H44" i="1"/>
  <c r="K43" i="1"/>
  <c r="H43" i="1"/>
  <c r="N42" i="1"/>
  <c r="K42" i="1"/>
  <c r="H42" i="1"/>
  <c r="N41" i="1"/>
  <c r="H41" i="1"/>
  <c r="N40" i="1"/>
  <c r="N28" i="1" s="1"/>
  <c r="K40" i="1"/>
  <c r="N39" i="1"/>
  <c r="K39" i="1"/>
  <c r="H39" i="1"/>
  <c r="N38" i="1"/>
  <c r="H38" i="1"/>
  <c r="E38" i="1"/>
  <c r="N37" i="1"/>
  <c r="K37" i="1"/>
  <c r="H37" i="1"/>
  <c r="E37" i="1"/>
  <c r="N36" i="1"/>
  <c r="K36" i="1"/>
  <c r="H36" i="1"/>
  <c r="E36" i="1"/>
  <c r="N35" i="1"/>
  <c r="H35" i="1"/>
  <c r="E35" i="1"/>
  <c r="N34" i="1"/>
  <c r="K34" i="1"/>
  <c r="H34" i="1"/>
  <c r="E34" i="1"/>
  <c r="N33" i="1"/>
  <c r="K33" i="1"/>
  <c r="H33" i="1"/>
  <c r="E33" i="1"/>
  <c r="N32" i="1"/>
  <c r="K32" i="1"/>
  <c r="H32" i="1"/>
  <c r="E32" i="1"/>
  <c r="N31" i="1"/>
  <c r="K31" i="1"/>
  <c r="H31" i="1"/>
  <c r="E31" i="1"/>
  <c r="N30" i="1"/>
  <c r="K30" i="1"/>
  <c r="E30" i="1"/>
  <c r="N29" i="1"/>
  <c r="K29" i="1"/>
  <c r="H29" i="1"/>
  <c r="E29" i="1"/>
  <c r="E28" i="1"/>
  <c r="K24" i="1"/>
  <c r="K23" i="1"/>
  <c r="K22" i="1"/>
  <c r="K21" i="1"/>
  <c r="K20" i="1"/>
  <c r="K19" i="1"/>
  <c r="N18" i="1"/>
  <c r="K18" i="1"/>
  <c r="N17" i="1"/>
  <c r="K17" i="1"/>
  <c r="N16" i="1"/>
  <c r="K16" i="1"/>
  <c r="N15" i="1"/>
  <c r="K15" i="1"/>
  <c r="N14" i="1"/>
  <c r="K14" i="1"/>
  <c r="N13" i="1"/>
  <c r="N3" i="1" s="1"/>
  <c r="N12" i="1"/>
  <c r="K12" i="1"/>
  <c r="E12" i="1"/>
  <c r="N11" i="1"/>
  <c r="K11" i="1"/>
  <c r="H11" i="1"/>
  <c r="E11" i="1"/>
  <c r="N10" i="1"/>
  <c r="K10" i="1"/>
  <c r="H10" i="1"/>
  <c r="E10" i="1"/>
  <c r="N9" i="1"/>
  <c r="K9" i="1"/>
  <c r="H9" i="1"/>
  <c r="E9" i="1"/>
  <c r="N8" i="1"/>
  <c r="H8" i="1"/>
  <c r="E8" i="1"/>
  <c r="N7" i="1"/>
  <c r="K7" i="1"/>
  <c r="H7" i="1"/>
  <c r="E7" i="1"/>
  <c r="N6" i="1"/>
  <c r="K6" i="1"/>
  <c r="H6" i="1"/>
  <c r="E6" i="1"/>
  <c r="N5" i="1"/>
  <c r="K5" i="1"/>
  <c r="H5" i="1"/>
  <c r="E5" i="1"/>
  <c r="N4" i="1"/>
  <c r="K4" i="1"/>
  <c r="H4" i="1"/>
  <c r="H3" i="1" s="1"/>
  <c r="E4" i="1"/>
  <c r="E3" i="1" s="1"/>
  <c r="B3" i="1" l="1"/>
</calcChain>
</file>

<file path=xl/sharedStrings.xml><?xml version="1.0" encoding="utf-8"?>
<sst xmlns="http://schemas.openxmlformats.org/spreadsheetml/2006/main" count="34489" uniqueCount="11594">
  <si>
    <t>TOTAL CARDS OVERVIEW</t>
  </si>
  <si>
    <t>Gen 1 (Base Set)</t>
  </si>
  <si>
    <t>Gen 2 (Neo Genesis)</t>
  </si>
  <si>
    <t>Gen 3 (EX Ruby &amp; Sapphire)</t>
  </si>
  <si>
    <t>Gen 4 (Diamond &amp; Pearl)</t>
  </si>
  <si>
    <t>Grand Total</t>
  </si>
  <si>
    <t>Gen 1 Total</t>
  </si>
  <si>
    <t>Gen 2 Total</t>
  </si>
  <si>
    <t>Gen 3 Total</t>
  </si>
  <si>
    <t>Gen 4 Total</t>
  </si>
  <si>
    <t>Wizards Black Star Promos</t>
  </si>
  <si>
    <t>Neo Genesis</t>
  </si>
  <si>
    <t>Nintendo Black Star Promos</t>
  </si>
  <si>
    <t>DP Black Star Promos</t>
  </si>
  <si>
    <t>Unlimited only</t>
  </si>
  <si>
    <t>Base Set</t>
  </si>
  <si>
    <t>Neo Discovery</t>
  </si>
  <si>
    <t>EX Ruby &amp; Sapphire</t>
  </si>
  <si>
    <t>Diamond &amp; Pearl</t>
  </si>
  <si>
    <t>Expanded</t>
  </si>
  <si>
    <t>Jungle</t>
  </si>
  <si>
    <t>Southern Islands</t>
  </si>
  <si>
    <t>EX Sandstorm</t>
  </si>
  <si>
    <t>Mysterious Treasures</t>
  </si>
  <si>
    <t>Standard/Expanded mix</t>
  </si>
  <si>
    <t>Fossil</t>
  </si>
  <si>
    <t>Neo Revelation</t>
  </si>
  <si>
    <t>EX Dragon</t>
  </si>
  <si>
    <t>POP Series 6</t>
  </si>
  <si>
    <t>Standard</t>
  </si>
  <si>
    <t>Base Set 2</t>
  </si>
  <si>
    <t>Neo Destiny</t>
  </si>
  <si>
    <t>EX Team Magma vs Team Aqua</t>
  </si>
  <si>
    <t>Diamond and Pearl Trainer Kit</t>
  </si>
  <si>
    <t>Team Rocket</t>
  </si>
  <si>
    <t>Expedition Base Set</t>
  </si>
  <si>
    <t>EX Trainer Kit</t>
  </si>
  <si>
    <t>Secret Wonders</t>
  </si>
  <si>
    <t>Gym Heroes</t>
  </si>
  <si>
    <t>Aquapolis</t>
  </si>
  <si>
    <t>EX Hidden Legends</t>
  </si>
  <si>
    <t>Great Encounters</t>
  </si>
  <si>
    <t>Gym Challenge</t>
  </si>
  <si>
    <t>Skyridge</t>
  </si>
  <si>
    <t>EX FireRed &amp; LeafGreen</t>
  </si>
  <si>
    <t>Majestic Dawn</t>
  </si>
  <si>
    <t>Legendary Collection</t>
  </si>
  <si>
    <t>EX Team Rocket Returns</t>
  </si>
  <si>
    <t>Legends Awakened</t>
  </si>
  <si>
    <t>EX Deoxys</t>
  </si>
  <si>
    <t>Stormfront</t>
  </si>
  <si>
    <t>EX Emerald</t>
  </si>
  <si>
    <t>Platinum</t>
  </si>
  <si>
    <t>POP Series 2</t>
  </si>
  <si>
    <t>Rising Rivals</t>
  </si>
  <si>
    <t>EX Unseen Forces</t>
  </si>
  <si>
    <t>Arceus</t>
  </si>
  <si>
    <t>EX Delta Species</t>
  </si>
  <si>
    <t>Unleashed</t>
  </si>
  <si>
    <t>EX Legend Maker</t>
  </si>
  <si>
    <t>Undaunted</t>
  </si>
  <si>
    <t>EX Trainer Kit 2</t>
  </si>
  <si>
    <t>EX Holon Phantoms</t>
  </si>
  <si>
    <t>EX Crystal Guardians</t>
  </si>
  <si>
    <t>EX Dragon Frontiers</t>
  </si>
  <si>
    <t>EX Power Keepers</t>
  </si>
  <si>
    <t>POP Series 5</t>
  </si>
  <si>
    <t>Gen 5 (Black and White)</t>
  </si>
  <si>
    <t>Gen 6 (X and Y)</t>
  </si>
  <si>
    <t>Gen 7 (Sun and Moon)</t>
  </si>
  <si>
    <t>Gen 8 (Sword and Shield)</t>
  </si>
  <si>
    <t>Gen 5 Total</t>
  </si>
  <si>
    <t>Gen 6 Total</t>
  </si>
  <si>
    <t>Gen 7 Total</t>
  </si>
  <si>
    <t>Gen 8 Total</t>
  </si>
  <si>
    <t>McDonald's Collection</t>
  </si>
  <si>
    <t>X and Y Promos</t>
  </si>
  <si>
    <t>Sun and Moon Promos</t>
  </si>
  <si>
    <t>Sword and Shield Promos</t>
  </si>
  <si>
    <t>Noble Victories</t>
  </si>
  <si>
    <t>Kalos Starter Set</t>
  </si>
  <si>
    <t>Sun and Moon</t>
  </si>
  <si>
    <t>Sword and Shield</t>
  </si>
  <si>
    <t>Next Destinies</t>
  </si>
  <si>
    <t>X and Y</t>
  </si>
  <si>
    <t>Guardians Rising</t>
  </si>
  <si>
    <t>Rebel Clash</t>
  </si>
  <si>
    <t>Dark Explorers</t>
  </si>
  <si>
    <t>XY Trainer Kit</t>
  </si>
  <si>
    <t>Burning Shadows</t>
  </si>
  <si>
    <t>Darkness Ablaze</t>
  </si>
  <si>
    <t>McDonald's Collection 2012</t>
  </si>
  <si>
    <t>Flashfire</t>
  </si>
  <si>
    <t>Shining Legends</t>
  </si>
  <si>
    <t>Champion's Path</t>
  </si>
  <si>
    <t>Dragons Exalted</t>
  </si>
  <si>
    <t>McDonald's Collection 2014</t>
  </si>
  <si>
    <t>Crimson Invasion</t>
  </si>
  <si>
    <t>Vivid Voltage</t>
  </si>
  <si>
    <t>Boundaries Crossed</t>
  </si>
  <si>
    <t>Furious Fists</t>
  </si>
  <si>
    <t>Ultra Prism</t>
  </si>
  <si>
    <t>McDonald's Collection 2021</t>
  </si>
  <si>
    <t>Plasma Storm</t>
  </si>
  <si>
    <t>Phantom Forces</t>
  </si>
  <si>
    <t>Forbidden Light</t>
  </si>
  <si>
    <t>Shining Fates</t>
  </si>
  <si>
    <t>Plasma Blast</t>
  </si>
  <si>
    <t>Primal Clash</t>
  </si>
  <si>
    <t>Celestial Storm</t>
  </si>
  <si>
    <t>Battle Styles</t>
  </si>
  <si>
    <t>Legendary Treasures</t>
  </si>
  <si>
    <t>XY Trainer Kit: Latias &amp; Latios</t>
  </si>
  <si>
    <t>Dragon Majesty</t>
  </si>
  <si>
    <t>Chilling Reign</t>
  </si>
  <si>
    <t>Roaring Skies</t>
  </si>
  <si>
    <t>Lost Thunder</t>
  </si>
  <si>
    <t>Evolving Skies</t>
  </si>
  <si>
    <t>Ancient Origins</t>
  </si>
  <si>
    <t>Team Up</t>
  </si>
  <si>
    <t>Celebrations</t>
  </si>
  <si>
    <t>McDonald's Collection 2015</t>
  </si>
  <si>
    <t>Detective Pikachu</t>
  </si>
  <si>
    <t>Fusion Strike</t>
  </si>
  <si>
    <t>BREAKthrough</t>
  </si>
  <si>
    <t>Unbroken Bonds</t>
  </si>
  <si>
    <t>Brilliant Stars</t>
  </si>
  <si>
    <t>BREAKpoint</t>
  </si>
  <si>
    <t>Unified Minds</t>
  </si>
  <si>
    <t>Generations</t>
  </si>
  <si>
    <t>Hidden Fates</t>
  </si>
  <si>
    <t>Fates Collide</t>
  </si>
  <si>
    <t>Cosmic Eclipse</t>
  </si>
  <si>
    <t>Steam Siege</t>
  </si>
  <si>
    <t>Evolutions</t>
  </si>
  <si>
    <t>VERSION 2.0 UPDATE</t>
  </si>
  <si>
    <t>1. Added pages for Wizards Black Star Promos, Base Set, Jungle, Fossil, Base Set 2, Team Rocket, Gym Heroes, Gym Challenge, Neo Genesis, Southern Islands, Neo Discovery, Neo Revelation, Next Destinies, Dark Explorers, and Legendary Treasures. These were just because I happened to have cards from those sets and wanted to add sheets for the cards I have. I can add more by request, and as I get new cards from garage sales and the like, I'll add even more. Also, feel free to add your own. It's fairly easy to do if you just dupplicate an existing sheet and change the data. Rembmer, I copy everything out of Bulbapedia, fix the links for cards that have special characters in them and re-make the links, and update the overview page. Be sure to check the totals field as well as it changes from set to set. Oh, and you'll need to manually update the types field because the image from bulbapedia doesn't copy over.</t>
  </si>
  <si>
    <t>2. Added individual sheets for the McDonalds Collections since I thought it was messy the way they were.</t>
  </si>
  <si>
    <t>3. Added sheets for Detective Pikachu and Unbroken Bonds.</t>
  </si>
  <si>
    <t>4. Added the overview sheet as the first sheet, which tallies up the cards from the other sheets. If you add your own sheets, remember to manually update the overview sheet.</t>
  </si>
  <si>
    <t>5. Froze the first 5 rows of each sheet to make it easier to view the columns while working.</t>
  </si>
  <si>
    <t>6. Added three new columns. Holo and Promos for those, and the deck column for when you have cards in decks.</t>
  </si>
  <si>
    <t>7. Went through and fixed various errors, including the wrong names on sheets and incorrect sheet total functions.</t>
  </si>
  <si>
    <t>8. Moved the totals functions to be on top instead of where they were.</t>
  </si>
  <si>
    <t>9. Shrunk down some rows and did some other spacing cleanup.</t>
  </si>
  <si>
    <t>10. Added some notes to the overview sheet.</t>
  </si>
  <si>
    <t>11. Removed the word "BASE SET" from every sheet about the set number. Not sure why I put it there in the first place. I also moved everything up one row to accomodate for that.</t>
  </si>
  <si>
    <t>12. Added new sheets for Unified Minds and Hidden Fates but left them blank.</t>
  </si>
  <si>
    <t>VERSION 2.01</t>
  </si>
  <si>
    <t>1. Added EX Ruby and Sapphire sheet and modified the overview sheet to accomodate.</t>
  </si>
  <si>
    <t>VERSION 3.0</t>
  </si>
  <si>
    <t>1. Added tons of older sets</t>
  </si>
  <si>
    <t>2. Reformatted Overview</t>
  </si>
  <si>
    <t>3. Added Unified Minds data</t>
  </si>
  <si>
    <t>4. Updated rotation colors</t>
  </si>
  <si>
    <t>VERSION 3.01</t>
  </si>
  <si>
    <t>1. Added hidden fates data</t>
  </si>
  <si>
    <t>2. Added cosmic eclipse sheet</t>
  </si>
  <si>
    <t>3. Slightly updated overview sheet</t>
  </si>
  <si>
    <t>4. Created blank sheets for Sword and Shield</t>
  </si>
  <si>
    <t>VERSION 3.1</t>
  </si>
  <si>
    <t>1. Added sword and shield data</t>
  </si>
  <si>
    <t>2. Added some Sword and Shield promo data</t>
  </si>
  <si>
    <t>3. Added loan and borrow section. Don't use it if you don't want it.</t>
  </si>
  <si>
    <t>VERSION 3.11</t>
  </si>
  <si>
    <t>1. Added Rebel Clash</t>
  </si>
  <si>
    <t>VERSION 3.2</t>
  </si>
  <si>
    <t>1. Fixed some alightment mistakes in some old sets</t>
  </si>
  <si>
    <t>2. Added Champion's Path, Vivid Voltage, McDonald's Collection 2021, Shining Fates, and Battle Styles. Also added some more SWSH Promos.</t>
  </si>
  <si>
    <t>3. Removed some stuff I don't think anyone used.</t>
  </si>
  <si>
    <t>VERSION 3.21</t>
  </si>
  <si>
    <t>1. Added Chiling Reign</t>
  </si>
  <si>
    <t>2. Fixed the totals for the sword and shield block.</t>
  </si>
  <si>
    <t>3. Updated SWSH Promos</t>
  </si>
  <si>
    <t>VERSION 3.211</t>
  </si>
  <si>
    <t>1. Updated Chilling Reign with all the secret rares</t>
  </si>
  <si>
    <t>VERSION 3.22</t>
  </si>
  <si>
    <t>1. Added Evolving Skies, Celebrations, and Fusion Stirke</t>
  </si>
  <si>
    <t>2. Fixed an incorrect typing for Slowpoke in Battle Styles (thanks to reddit user Fr0mMagna for letting me know about this!)</t>
  </si>
  <si>
    <t>VERSION 3.23</t>
  </si>
  <si>
    <t>1. Added Brilliant Stars (and updated promos)</t>
  </si>
  <si>
    <t>TOTAL OWNED CARDS IN SET</t>
  </si>
  <si>
    <t>Release date</t>
  </si>
  <si>
    <t>Set #</t>
  </si>
  <si>
    <t>Name</t>
  </si>
  <si>
    <t>Type</t>
  </si>
  <si>
    <t>Quantity-Normal</t>
  </si>
  <si>
    <t>Quantity-Reverse</t>
  </si>
  <si>
    <t>Quantity-Holo</t>
  </si>
  <si>
    <t>Quantity-Promo</t>
  </si>
  <si>
    <t>Note</t>
  </si>
  <si>
    <t>Pikachu</t>
  </si>
  <si>
    <t>Lightning</t>
  </si>
  <si>
    <t>Electabuzz</t>
  </si>
  <si>
    <t>Mewtwo</t>
  </si>
  <si>
    <t>Psychic</t>
  </si>
  <si>
    <t>Dragonite</t>
  </si>
  <si>
    <t>Colorless</t>
  </si>
  <si>
    <t>Arcanine</t>
  </si>
  <si>
    <t>Fire</t>
  </si>
  <si>
    <t>Jigglypuff</t>
  </si>
  <si>
    <t>Mew</t>
  </si>
  <si>
    <t>Meowth</t>
  </si>
  <si>
    <t>Eevee</t>
  </si>
  <si>
    <t>Venusaur</t>
  </si>
  <si>
    <t>Grass</t>
  </si>
  <si>
    <t>Trainer</t>
  </si>
  <si>
    <t>Psyduck</t>
  </si>
  <si>
    <t>Water</t>
  </si>
  <si>
    <t>Moltres</t>
  </si>
  <si>
    <t>Articuno</t>
  </si>
  <si>
    <t>Zapdos</t>
  </si>
  <si>
    <t>_____'s Pikachu</t>
  </si>
  <si>
    <t>Flying Pikachu</t>
  </si>
  <si>
    <t>Surfing Pikachu</t>
  </si>
  <si>
    <t>Marill</t>
  </si>
  <si>
    <t>Togepi</t>
  </si>
  <si>
    <t>Cleffa</t>
  </si>
  <si>
    <t>Smeargle</t>
  </si>
  <si>
    <t>Scizor</t>
  </si>
  <si>
    <t>Metal</t>
  </si>
  <si>
    <t>Entei</t>
  </si>
  <si>
    <t>Pichu</t>
  </si>
  <si>
    <t>Igglybuff</t>
  </si>
  <si>
    <t>Hitmontop</t>
  </si>
  <si>
    <t>Fighting</t>
  </si>
  <si>
    <t>Unown J</t>
  </si>
  <si>
    <t>Misdreavus</t>
  </si>
  <si>
    <t>Pokémon Center</t>
  </si>
  <si>
    <t>Stadium</t>
  </si>
  <si>
    <t>Machamp</t>
  </si>
  <si>
    <t>Magmar</t>
  </si>
  <si>
    <t>Scyther</t>
  </si>
  <si>
    <t>Snorlax</t>
  </si>
  <si>
    <t>Celebi</t>
  </si>
  <si>
    <t>Rapidash</t>
  </si>
  <si>
    <t>Ho-Oh</t>
  </si>
  <si>
    <t>Suicune</t>
  </si>
  <si>
    <t>Alakazam</t>
  </si>
  <si>
    <t>2/102</t>
  </si>
  <si>
    <t>Blastoise</t>
  </si>
  <si>
    <t>Chansey</t>
  </si>
  <si>
    <t>4/102</t>
  </si>
  <si>
    <t>Charizard</t>
  </si>
  <si>
    <t>Clefairy</t>
  </si>
  <si>
    <t>Gyarados</t>
  </si>
  <si>
    <t>Hitmonchan</t>
  </si>
  <si>
    <t>Magneton</t>
  </si>
  <si>
    <t>Nidoking</t>
  </si>
  <si>
    <t>Ninetales</t>
  </si>
  <si>
    <t>Poliwrath</t>
  </si>
  <si>
    <t>Raichu</t>
  </si>
  <si>
    <t>15/102</t>
  </si>
  <si>
    <t>Beedrill</t>
  </si>
  <si>
    <t>Dragonair</t>
  </si>
  <si>
    <t>Dugtrio</t>
  </si>
  <si>
    <t>Electrode</t>
  </si>
  <si>
    <t>Pidgeotto</t>
  </si>
  <si>
    <t>Charmeleon</t>
  </si>
  <si>
    <t>Dewgong</t>
  </si>
  <si>
    <t>Dratini</t>
  </si>
  <si>
    <t>Farfetch'd</t>
  </si>
  <si>
    <t>Growlithe</t>
  </si>
  <si>
    <t>Haunter</t>
  </si>
  <si>
    <t>Ivysaur</t>
  </si>
  <si>
    <t>Jynx</t>
  </si>
  <si>
    <t>Kakuna</t>
  </si>
  <si>
    <t>Machoke</t>
  </si>
  <si>
    <t>Magikarp</t>
  </si>
  <si>
    <t>Nidorino</t>
  </si>
  <si>
    <t>Poliwhirl</t>
  </si>
  <si>
    <t>Porygon</t>
  </si>
  <si>
    <t>Raticate</t>
  </si>
  <si>
    <t>Seel</t>
  </si>
  <si>
    <t>Wartortle</t>
  </si>
  <si>
    <t>Abra</t>
  </si>
  <si>
    <t>Bulbasaur</t>
  </si>
  <si>
    <t>Caterpie</t>
  </si>
  <si>
    <t>Charmander</t>
  </si>
  <si>
    <t>Diglett</t>
  </si>
  <si>
    <t>Doduo</t>
  </si>
  <si>
    <t>Drowzee</t>
  </si>
  <si>
    <t>Gastly</t>
  </si>
  <si>
    <t>Koffing</t>
  </si>
  <si>
    <t>Machop</t>
  </si>
  <si>
    <t>Magnemite</t>
  </si>
  <si>
    <t>Metapod</t>
  </si>
  <si>
    <t>Nidoran♂</t>
  </si>
  <si>
    <t>Onix</t>
  </si>
  <si>
    <t>Pidgey</t>
  </si>
  <si>
    <t>Poliwag</t>
  </si>
  <si>
    <t>Ponyta</t>
  </si>
  <si>
    <t>Rattata</t>
  </si>
  <si>
    <t>Sandshrew</t>
  </si>
  <si>
    <t>Squirtle</t>
  </si>
  <si>
    <t>Starmie</t>
  </si>
  <si>
    <t>Staryu</t>
  </si>
  <si>
    <t>Tangela</t>
  </si>
  <si>
    <t>Voltorb</t>
  </si>
  <si>
    <t>Vulpix</t>
  </si>
  <si>
    <t>Weedle</t>
  </si>
  <si>
    <t>Computer Search</t>
  </si>
  <si>
    <t>Devolution Spray</t>
  </si>
  <si>
    <t>73/102</t>
  </si>
  <si>
    <t>Imposter Professor Oak</t>
  </si>
  <si>
    <t>Pokémon Breeder</t>
  </si>
  <si>
    <t>Defender</t>
  </si>
  <si>
    <t>Energy Retrieval</t>
  </si>
  <si>
    <t>Full Heal</t>
  </si>
  <si>
    <t>Maintenance</t>
  </si>
  <si>
    <t>PlusPower</t>
  </si>
  <si>
    <t>Pokédex</t>
  </si>
  <si>
    <t>Revive</t>
  </si>
  <si>
    <t>Super Potion</t>
  </si>
  <si>
    <t>Potion</t>
  </si>
  <si>
    <t>Switch</t>
  </si>
  <si>
    <t>Double Colorless Energy</t>
  </si>
  <si>
    <t>Energy</t>
  </si>
  <si>
    <t>Clefable</t>
  </si>
  <si>
    <t>Flareon</t>
  </si>
  <si>
    <t>Jolteon</t>
  </si>
  <si>
    <t>Kangaskhan</t>
  </si>
  <si>
    <t>Mr. Mime</t>
  </si>
  <si>
    <t>Nidoqueen</t>
  </si>
  <si>
    <t>Pidgeot</t>
  </si>
  <si>
    <t>Pinsir</t>
  </si>
  <si>
    <t>Vaporeon</t>
  </si>
  <si>
    <t>Venomoth</t>
  </si>
  <si>
    <t>Victreebel</t>
  </si>
  <si>
    <t>Vileplume</t>
  </si>
  <si>
    <t>Wigglytuff</t>
  </si>
  <si>
    <t>Butterfree</t>
  </si>
  <si>
    <t>Dodrio</t>
  </si>
  <si>
    <t>Exeggutor</t>
  </si>
  <si>
    <t>Fearow</t>
  </si>
  <si>
    <t>Gloom</t>
  </si>
  <si>
    <t>Lickitung</t>
  </si>
  <si>
    <t>Marowak</t>
  </si>
  <si>
    <t>Nidorina</t>
  </si>
  <si>
    <t>Parasect</t>
  </si>
  <si>
    <t>Persian</t>
  </si>
  <si>
    <t>Primeape</t>
  </si>
  <si>
    <t>Rhydon</t>
  </si>
  <si>
    <t>Seaking</t>
  </si>
  <si>
    <t>Tauros</t>
  </si>
  <si>
    <t>Weepinbell</t>
  </si>
  <si>
    <t>Bellsprout</t>
  </si>
  <si>
    <t>Cubone</t>
  </si>
  <si>
    <t>Exeggcute</t>
  </si>
  <si>
    <t>Goldeen</t>
  </si>
  <si>
    <t>Mankey</t>
  </si>
  <si>
    <t>Nidoran♀</t>
  </si>
  <si>
    <t>Oddish</t>
  </si>
  <si>
    <t>Paras</t>
  </si>
  <si>
    <t>Rhyhorn</t>
  </si>
  <si>
    <t>Spearow</t>
  </si>
  <si>
    <t>Venonat</t>
  </si>
  <si>
    <t>Poké Ball</t>
  </si>
  <si>
    <t>Aerodactyl</t>
  </si>
  <si>
    <t>Ditto</t>
  </si>
  <si>
    <t>Gengar</t>
  </si>
  <si>
    <t>Hitmonlee</t>
  </si>
  <si>
    <t>Hypno</t>
  </si>
  <si>
    <t>Kabutops</t>
  </si>
  <si>
    <t>Lapras</t>
  </si>
  <si>
    <t>Muk</t>
  </si>
  <si>
    <t>Arbok</t>
  </si>
  <si>
    <t>Cloyster</t>
  </si>
  <si>
    <t>Golbat</t>
  </si>
  <si>
    <t>Golduck</t>
  </si>
  <si>
    <t>Golem</t>
  </si>
  <si>
    <t>Graveler</t>
  </si>
  <si>
    <t>Kingler</t>
  </si>
  <si>
    <t>Omastar</t>
  </si>
  <si>
    <t>Sandslash</t>
  </si>
  <si>
    <t>Seadra</t>
  </si>
  <si>
    <t>Slowbro</t>
  </si>
  <si>
    <t>Tentacruel</t>
  </si>
  <si>
    <t>Weezing</t>
  </si>
  <si>
    <t>Ekans</t>
  </si>
  <si>
    <t>Geodude</t>
  </si>
  <si>
    <t>Grimer</t>
  </si>
  <si>
    <t>Horsea</t>
  </si>
  <si>
    <t>Kabuto</t>
  </si>
  <si>
    <t>Krabby</t>
  </si>
  <si>
    <t>Omanyte</t>
  </si>
  <si>
    <t>Shellder</t>
  </si>
  <si>
    <t>Slowpoke</t>
  </si>
  <si>
    <t>Tentacool</t>
  </si>
  <si>
    <t>Zubat</t>
  </si>
  <si>
    <t>Energy Search</t>
  </si>
  <si>
    <t>Mysterious Fossil</t>
  </si>
  <si>
    <t>1/130</t>
  </si>
  <si>
    <t>2/130</t>
  </si>
  <si>
    <t>3/130</t>
  </si>
  <si>
    <t>4/130</t>
  </si>
  <si>
    <t>5/130</t>
  </si>
  <si>
    <t>6/130</t>
  </si>
  <si>
    <t>7/130</t>
  </si>
  <si>
    <t>8/130</t>
  </si>
  <si>
    <t>9/130</t>
  </si>
  <si>
    <t>10/130</t>
  </si>
  <si>
    <t>11/130</t>
  </si>
  <si>
    <t>12/130</t>
  </si>
  <si>
    <t>13/130</t>
  </si>
  <si>
    <t>14/130</t>
  </si>
  <si>
    <t>15/130</t>
  </si>
  <si>
    <t>16/130</t>
  </si>
  <si>
    <t>17/130</t>
  </si>
  <si>
    <t>18/130</t>
  </si>
  <si>
    <t>19/130</t>
  </si>
  <si>
    <t>20/130</t>
  </si>
  <si>
    <t>21/130</t>
  </si>
  <si>
    <t>22/130</t>
  </si>
  <si>
    <t>23/130</t>
  </si>
  <si>
    <t>24/130</t>
  </si>
  <si>
    <t>25/130</t>
  </si>
  <si>
    <t>26/130</t>
  </si>
  <si>
    <t>27/130</t>
  </si>
  <si>
    <t>28/130</t>
  </si>
  <si>
    <t>29/130</t>
  </si>
  <si>
    <t>30/130</t>
  </si>
  <si>
    <t>31/130</t>
  </si>
  <si>
    <t>32/130</t>
  </si>
  <si>
    <t>33/130</t>
  </si>
  <si>
    <t>34/130</t>
  </si>
  <si>
    <t>35/130</t>
  </si>
  <si>
    <t>36/130</t>
  </si>
  <si>
    <t>37/130</t>
  </si>
  <si>
    <t>38/130</t>
  </si>
  <si>
    <t>39/130</t>
  </si>
  <si>
    <t>40/130</t>
  </si>
  <si>
    <t>41/130</t>
  </si>
  <si>
    <t>42/130</t>
  </si>
  <si>
    <t>43/130</t>
  </si>
  <si>
    <t>44/130</t>
  </si>
  <si>
    <t>45/130</t>
  </si>
  <si>
    <t>46/130</t>
  </si>
  <si>
    <t>47/130</t>
  </si>
  <si>
    <t>48/130</t>
  </si>
  <si>
    <t>49/130</t>
  </si>
  <si>
    <t>50/130</t>
  </si>
  <si>
    <t>51/130</t>
  </si>
  <si>
    <t>52/130</t>
  </si>
  <si>
    <t>53/130</t>
  </si>
  <si>
    <t>54/130</t>
  </si>
  <si>
    <t>55/130</t>
  </si>
  <si>
    <t>56/130</t>
  </si>
  <si>
    <t>57/130</t>
  </si>
  <si>
    <t>58/130</t>
  </si>
  <si>
    <t>59/130</t>
  </si>
  <si>
    <t>60/130</t>
  </si>
  <si>
    <t>61/130</t>
  </si>
  <si>
    <t>62/130</t>
  </si>
  <si>
    <t>63/130</t>
  </si>
  <si>
    <t>64/130</t>
  </si>
  <si>
    <t>65/130</t>
  </si>
  <si>
    <t>66/130</t>
  </si>
  <si>
    <t>67/130</t>
  </si>
  <si>
    <t>68/130</t>
  </si>
  <si>
    <t>69/130</t>
  </si>
  <si>
    <t>70/130</t>
  </si>
  <si>
    <t>71/130</t>
  </si>
  <si>
    <t>72/130</t>
  </si>
  <si>
    <t>73/130</t>
  </si>
  <si>
    <t>74/130</t>
  </si>
  <si>
    <t>75/130</t>
  </si>
  <si>
    <t>76/130</t>
  </si>
  <si>
    <t>77/130</t>
  </si>
  <si>
    <t>78/130</t>
  </si>
  <si>
    <t>79/130</t>
  </si>
  <si>
    <t>80/130</t>
  </si>
  <si>
    <t>81/130</t>
  </si>
  <si>
    <t>82/130</t>
  </si>
  <si>
    <t>83/130</t>
  </si>
  <si>
    <t>84/130</t>
  </si>
  <si>
    <t>85/130</t>
  </si>
  <si>
    <t>86/130</t>
  </si>
  <si>
    <t>87/130</t>
  </si>
  <si>
    <t>88/130</t>
  </si>
  <si>
    <t>89/130</t>
  </si>
  <si>
    <t>90/130</t>
  </si>
  <si>
    <t>91/130</t>
  </si>
  <si>
    <t>92/130</t>
  </si>
  <si>
    <t>93/130</t>
  </si>
  <si>
    <t>94/130</t>
  </si>
  <si>
    <t>95/130</t>
  </si>
  <si>
    <t>96/130</t>
  </si>
  <si>
    <t>97/130</t>
  </si>
  <si>
    <t>98/130</t>
  </si>
  <si>
    <t>99/130</t>
  </si>
  <si>
    <t>100/130</t>
  </si>
  <si>
    <t>101/130</t>
  </si>
  <si>
    <t>102/130</t>
  </si>
  <si>
    <t>103/130</t>
  </si>
  <si>
    <t>104/130</t>
  </si>
  <si>
    <t>105/130</t>
  </si>
  <si>
    <t>106/130</t>
  </si>
  <si>
    <t>107/130</t>
  </si>
  <si>
    <t>108/130</t>
  </si>
  <si>
    <t>109/130</t>
  </si>
  <si>
    <t>110/130</t>
  </si>
  <si>
    <t>111/130</t>
  </si>
  <si>
    <t>112/130</t>
  </si>
  <si>
    <t>113/130</t>
  </si>
  <si>
    <t>114/130</t>
  </si>
  <si>
    <t>115/130</t>
  </si>
  <si>
    <t>116/130</t>
  </si>
  <si>
    <t>117/130</t>
  </si>
  <si>
    <t>118/130</t>
  </si>
  <si>
    <t>119/130</t>
  </si>
  <si>
    <t>120/130</t>
  </si>
  <si>
    <t>121/130</t>
  </si>
  <si>
    <t>122/130</t>
  </si>
  <si>
    <t>Dark Arbok</t>
  </si>
  <si>
    <t>Dark Dragonite</t>
  </si>
  <si>
    <t>Dark Golbat</t>
  </si>
  <si>
    <t>8/82</t>
  </si>
  <si>
    <t>Dark Gyarados</t>
  </si>
  <si>
    <t>Dark Hypno</t>
  </si>
  <si>
    <t>Dark Magneton</t>
  </si>
  <si>
    <t>Dark Weezing</t>
  </si>
  <si>
    <t>15/82</t>
  </si>
  <si>
    <t>Here Comes Team Rocket!</t>
  </si>
  <si>
    <t>Rainbow Energy</t>
  </si>
  <si>
    <t>Dark Dragonair</t>
  </si>
  <si>
    <t>Dark Electrode</t>
  </si>
  <si>
    <t>Dark Golduck</t>
  </si>
  <si>
    <t>Dark Muk</t>
  </si>
  <si>
    <t>Dark Raticate</t>
  </si>
  <si>
    <t>1/132</t>
  </si>
  <si>
    <t>2/132</t>
  </si>
  <si>
    <t>3/132</t>
  </si>
  <si>
    <t>4/132</t>
  </si>
  <si>
    <t>5/132</t>
  </si>
  <si>
    <t>6/132</t>
  </si>
  <si>
    <t>7/132</t>
  </si>
  <si>
    <t>8/132</t>
  </si>
  <si>
    <t>9/132</t>
  </si>
  <si>
    <t>10/132</t>
  </si>
  <si>
    <t>11/132</t>
  </si>
  <si>
    <t>12/132</t>
  </si>
  <si>
    <t>13/132</t>
  </si>
  <si>
    <t>14/132</t>
  </si>
  <si>
    <t>15/132</t>
  </si>
  <si>
    <t>16/132</t>
  </si>
  <si>
    <t>Erika</t>
  </si>
  <si>
    <t>17/132</t>
  </si>
  <si>
    <t>18/132</t>
  </si>
  <si>
    <t>19/132</t>
  </si>
  <si>
    <t>20/132</t>
  </si>
  <si>
    <t>21/132</t>
  </si>
  <si>
    <t>22/132</t>
  </si>
  <si>
    <t>23/132</t>
  </si>
  <si>
    <t>24/132</t>
  </si>
  <si>
    <t>25/132</t>
  </si>
  <si>
    <t>26/132</t>
  </si>
  <si>
    <t>27/132</t>
  </si>
  <si>
    <t>28/132</t>
  </si>
  <si>
    <t>29/132</t>
  </si>
  <si>
    <t>30/132</t>
  </si>
  <si>
    <t>31/132</t>
  </si>
  <si>
    <t>32/132</t>
  </si>
  <si>
    <t>33/132</t>
  </si>
  <si>
    <t>34/132</t>
  </si>
  <si>
    <t>35/132</t>
  </si>
  <si>
    <t>36/132</t>
  </si>
  <si>
    <t>37/132</t>
  </si>
  <si>
    <t>38/132</t>
  </si>
  <si>
    <t>39/132</t>
  </si>
  <si>
    <t>40/132</t>
  </si>
  <si>
    <t>41/132</t>
  </si>
  <si>
    <t>42/132</t>
  </si>
  <si>
    <t>43/132</t>
  </si>
  <si>
    <t>44/132</t>
  </si>
  <si>
    <t>45/132</t>
  </si>
  <si>
    <t>46/132</t>
  </si>
  <si>
    <t>47/132</t>
  </si>
  <si>
    <t>48/132</t>
  </si>
  <si>
    <t>49/132</t>
  </si>
  <si>
    <t>50/132</t>
  </si>
  <si>
    <t>51/132</t>
  </si>
  <si>
    <t>52/132</t>
  </si>
  <si>
    <t>53/132</t>
  </si>
  <si>
    <t>54/132</t>
  </si>
  <si>
    <t>55/132</t>
  </si>
  <si>
    <t>56/132</t>
  </si>
  <si>
    <t>57/132</t>
  </si>
  <si>
    <t>58/132</t>
  </si>
  <si>
    <t>59/132</t>
  </si>
  <si>
    <t>60/132</t>
  </si>
  <si>
    <t>61/132</t>
  </si>
  <si>
    <t>62/132</t>
  </si>
  <si>
    <t>63/132</t>
  </si>
  <si>
    <t>64/132</t>
  </si>
  <si>
    <t>65/132</t>
  </si>
  <si>
    <t>66/132</t>
  </si>
  <si>
    <t>67/132</t>
  </si>
  <si>
    <t>68/132</t>
  </si>
  <si>
    <t>69/132</t>
  </si>
  <si>
    <t>70/132</t>
  </si>
  <si>
    <t>71/132</t>
  </si>
  <si>
    <t>72/132</t>
  </si>
  <si>
    <t>73/132</t>
  </si>
  <si>
    <t>74/132</t>
  </si>
  <si>
    <t>75/132</t>
  </si>
  <si>
    <t>76/132</t>
  </si>
  <si>
    <t>77/132</t>
  </si>
  <si>
    <t>78/132</t>
  </si>
  <si>
    <t>79/132</t>
  </si>
  <si>
    <t>80/132</t>
  </si>
  <si>
    <t>81/132</t>
  </si>
  <si>
    <t>82/132</t>
  </si>
  <si>
    <t>83/132</t>
  </si>
  <si>
    <t>84/132</t>
  </si>
  <si>
    <t>85/132</t>
  </si>
  <si>
    <t>86/132</t>
  </si>
  <si>
    <t>87/132</t>
  </si>
  <si>
    <t>88/132</t>
  </si>
  <si>
    <t>89/132</t>
  </si>
  <si>
    <t>90/132</t>
  </si>
  <si>
    <t>91/132</t>
  </si>
  <si>
    <t>92/132</t>
  </si>
  <si>
    <t>93/132</t>
  </si>
  <si>
    <t>94/132</t>
  </si>
  <si>
    <t>95/132</t>
  </si>
  <si>
    <t>96/132</t>
  </si>
  <si>
    <t>97/132</t>
  </si>
  <si>
    <t>98/132</t>
  </si>
  <si>
    <t>99/132</t>
  </si>
  <si>
    <t>100/132</t>
  </si>
  <si>
    <t>101/132</t>
  </si>
  <si>
    <t>102/132</t>
  </si>
  <si>
    <t>103/132</t>
  </si>
  <si>
    <t>104/132</t>
  </si>
  <si>
    <t>105/132</t>
  </si>
  <si>
    <t>106/132</t>
  </si>
  <si>
    <t>107/132</t>
  </si>
  <si>
    <t>108/132</t>
  </si>
  <si>
    <t>109/132</t>
  </si>
  <si>
    <t>110/132</t>
  </si>
  <si>
    <t>111/132</t>
  </si>
  <si>
    <t>112/132</t>
  </si>
  <si>
    <t>113/132</t>
  </si>
  <si>
    <t>114/132</t>
  </si>
  <si>
    <t>115/132</t>
  </si>
  <si>
    <t>116/132</t>
  </si>
  <si>
    <t>117/132</t>
  </si>
  <si>
    <t>118/132</t>
  </si>
  <si>
    <t>119/132</t>
  </si>
  <si>
    <t>120/132</t>
  </si>
  <si>
    <t>121/132</t>
  </si>
  <si>
    <t>122/132</t>
  </si>
  <si>
    <t>123/132</t>
  </si>
  <si>
    <t>124/132</t>
  </si>
  <si>
    <t>125/132</t>
  </si>
  <si>
    <t>126/132</t>
  </si>
  <si>
    <t>Rocket's Zapdos</t>
  </si>
  <si>
    <t>Master Ball</t>
  </si>
  <si>
    <t>Max Revive</t>
  </si>
  <si>
    <t>Warp Point</t>
  </si>
  <si>
    <t>1/110</t>
  </si>
  <si>
    <t>2/110</t>
  </si>
  <si>
    <t>3/110</t>
  </si>
  <si>
    <t>4/110</t>
  </si>
  <si>
    <t>5/110</t>
  </si>
  <si>
    <t>6/110</t>
  </si>
  <si>
    <t>7/110</t>
  </si>
  <si>
    <t>8/110</t>
  </si>
  <si>
    <t>9/110</t>
  </si>
  <si>
    <t>10/110</t>
  </si>
  <si>
    <t>11/110</t>
  </si>
  <si>
    <t>12/110</t>
  </si>
  <si>
    <t>13/110</t>
  </si>
  <si>
    <t>14/110</t>
  </si>
  <si>
    <t>15/110</t>
  </si>
  <si>
    <t>16/110</t>
  </si>
  <si>
    <t>17/110</t>
  </si>
  <si>
    <t>18/110</t>
  </si>
  <si>
    <t>19/110</t>
  </si>
  <si>
    <t>20/110</t>
  </si>
  <si>
    <t>21/110</t>
  </si>
  <si>
    <t>22/110</t>
  </si>
  <si>
    <t>23/110</t>
  </si>
  <si>
    <t>24/110</t>
  </si>
  <si>
    <t>25/110</t>
  </si>
  <si>
    <t>26/110</t>
  </si>
  <si>
    <t>27/110</t>
  </si>
  <si>
    <t>28/110</t>
  </si>
  <si>
    <t>29/110</t>
  </si>
  <si>
    <t>30/110</t>
  </si>
  <si>
    <t>31/110</t>
  </si>
  <si>
    <t>32/110</t>
  </si>
  <si>
    <t>33/110</t>
  </si>
  <si>
    <t>34/110</t>
  </si>
  <si>
    <t>35/110</t>
  </si>
  <si>
    <t>36/110</t>
  </si>
  <si>
    <t>37/110</t>
  </si>
  <si>
    <t>38/110</t>
  </si>
  <si>
    <t>39/110</t>
  </si>
  <si>
    <t>40/110</t>
  </si>
  <si>
    <t>41/110</t>
  </si>
  <si>
    <t>42/110</t>
  </si>
  <si>
    <t>43/110</t>
  </si>
  <si>
    <t>44/110</t>
  </si>
  <si>
    <t>45/110</t>
  </si>
  <si>
    <t>46/110</t>
  </si>
  <si>
    <t>47/110</t>
  </si>
  <si>
    <t>48/110</t>
  </si>
  <si>
    <t>49/110</t>
  </si>
  <si>
    <t>50/110</t>
  </si>
  <si>
    <t>51/110</t>
  </si>
  <si>
    <t>52/110</t>
  </si>
  <si>
    <t>53/110</t>
  </si>
  <si>
    <t>54/110</t>
  </si>
  <si>
    <t>55/110</t>
  </si>
  <si>
    <t>56/110</t>
  </si>
  <si>
    <t>57/110</t>
  </si>
  <si>
    <t>58/110</t>
  </si>
  <si>
    <t>59/110</t>
  </si>
  <si>
    <t>60/110</t>
  </si>
  <si>
    <t>61/110</t>
  </si>
  <si>
    <t>62/110</t>
  </si>
  <si>
    <t>63/110</t>
  </si>
  <si>
    <t>64/110</t>
  </si>
  <si>
    <t>65/110</t>
  </si>
  <si>
    <t>66/110</t>
  </si>
  <si>
    <t>67/110</t>
  </si>
  <si>
    <t>68/110</t>
  </si>
  <si>
    <t>69/110</t>
  </si>
  <si>
    <t>70/110</t>
  </si>
  <si>
    <t>71/110</t>
  </si>
  <si>
    <t>72/110</t>
  </si>
  <si>
    <t>73/110</t>
  </si>
  <si>
    <t>74/110</t>
  </si>
  <si>
    <t>75/110</t>
  </si>
  <si>
    <t>76/110</t>
  </si>
  <si>
    <t>77/110</t>
  </si>
  <si>
    <t>78/110</t>
  </si>
  <si>
    <t>79/110</t>
  </si>
  <si>
    <t>80/110</t>
  </si>
  <si>
    <t>81/110</t>
  </si>
  <si>
    <t>82/110</t>
  </si>
  <si>
    <t>83/110</t>
  </si>
  <si>
    <t>84/110</t>
  </si>
  <si>
    <t>85/110</t>
  </si>
  <si>
    <t>86/110</t>
  </si>
  <si>
    <t>87/110</t>
  </si>
  <si>
    <t>88/110</t>
  </si>
  <si>
    <t>89/110</t>
  </si>
  <si>
    <t>90/110</t>
  </si>
  <si>
    <t>91/110</t>
  </si>
  <si>
    <t>92/110</t>
  </si>
  <si>
    <t>93/110</t>
  </si>
  <si>
    <t>94/110</t>
  </si>
  <si>
    <t>95/110</t>
  </si>
  <si>
    <t>96/110</t>
  </si>
  <si>
    <t>97/110</t>
  </si>
  <si>
    <t>98/110</t>
  </si>
  <si>
    <t>99/110</t>
  </si>
  <si>
    <t>100/110</t>
  </si>
  <si>
    <t>101/110</t>
  </si>
  <si>
    <t>102/110</t>
  </si>
  <si>
    <t>103/110</t>
  </si>
  <si>
    <t>104/110</t>
  </si>
  <si>
    <t>1/111</t>
  </si>
  <si>
    <t>Ampharos</t>
  </si>
  <si>
    <t>2/111</t>
  </si>
  <si>
    <t>Azumarill</t>
  </si>
  <si>
    <t>3/111</t>
  </si>
  <si>
    <t>Bellossom</t>
  </si>
  <si>
    <t>4/111</t>
  </si>
  <si>
    <t>Feraligatr</t>
  </si>
  <si>
    <t>5/111</t>
  </si>
  <si>
    <t>6/111</t>
  </si>
  <si>
    <t>Heracross</t>
  </si>
  <si>
    <t>7/111</t>
  </si>
  <si>
    <t>Jumpluff</t>
  </si>
  <si>
    <t>8/111</t>
  </si>
  <si>
    <t>Kingdra</t>
  </si>
  <si>
    <t>9/111</t>
  </si>
  <si>
    <t>Lugia</t>
  </si>
  <si>
    <t>10/111</t>
  </si>
  <si>
    <t>Meganium</t>
  </si>
  <si>
    <t>11/111</t>
  </si>
  <si>
    <t>12/111</t>
  </si>
  <si>
    <t>13/111</t>
  </si>
  <si>
    <t>Skarmory</t>
  </si>
  <si>
    <t>14/111</t>
  </si>
  <si>
    <t>Slowking</t>
  </si>
  <si>
    <t>15/111</t>
  </si>
  <si>
    <t>Steelix</t>
  </si>
  <si>
    <t>16/111</t>
  </si>
  <si>
    <t>Togetic</t>
  </si>
  <si>
    <t>17/111</t>
  </si>
  <si>
    <t>Typhlosion</t>
  </si>
  <si>
    <t>18/111</t>
  </si>
  <si>
    <t>19/111</t>
  </si>
  <si>
    <t>Metal Energy</t>
  </si>
  <si>
    <t>20/111</t>
  </si>
  <si>
    <t>21/111</t>
  </si>
  <si>
    <t>Donphan</t>
  </si>
  <si>
    <t>22/111</t>
  </si>
  <si>
    <t>Elekid</t>
  </si>
  <si>
    <t>23/111</t>
  </si>
  <si>
    <t>Magby</t>
  </si>
  <si>
    <t>24/111</t>
  </si>
  <si>
    <t>Murkrow</t>
  </si>
  <si>
    <t>Darkness</t>
  </si>
  <si>
    <t>25/111</t>
  </si>
  <si>
    <t>Sneasel</t>
  </si>
  <si>
    <t>26/111</t>
  </si>
  <si>
    <t>Aipom</t>
  </si>
  <si>
    <t>27/111</t>
  </si>
  <si>
    <t>Ariados</t>
  </si>
  <si>
    <t>28/111</t>
  </si>
  <si>
    <t>Bayleef</t>
  </si>
  <si>
    <t>29/111</t>
  </si>
  <si>
    <t>30/111</t>
  </si>
  <si>
    <t>31/111</t>
  </si>
  <si>
    <t>Croconaw</t>
  </si>
  <si>
    <t>32/111</t>
  </si>
  <si>
    <t>33/111</t>
  </si>
  <si>
    <t>34/111</t>
  </si>
  <si>
    <t>Flaaffy</t>
  </si>
  <si>
    <t>35/111</t>
  </si>
  <si>
    <t>Furret</t>
  </si>
  <si>
    <t>36/111</t>
  </si>
  <si>
    <t>37/111</t>
  </si>
  <si>
    <t>Granbull</t>
  </si>
  <si>
    <t>38/111</t>
  </si>
  <si>
    <t>Lanturn</t>
  </si>
  <si>
    <t>39/111</t>
  </si>
  <si>
    <t>Ledian</t>
  </si>
  <si>
    <t>40/111</t>
  </si>
  <si>
    <t>41/111</t>
  </si>
  <si>
    <t>Miltank</t>
  </si>
  <si>
    <t>42/111</t>
  </si>
  <si>
    <t>Noctowl</t>
  </si>
  <si>
    <t>43/111</t>
  </si>
  <si>
    <t>Phanpy</t>
  </si>
  <si>
    <t>44/111</t>
  </si>
  <si>
    <t>Piloswine</t>
  </si>
  <si>
    <t>45/111</t>
  </si>
  <si>
    <t>Quagsire</t>
  </si>
  <si>
    <t>46/111</t>
  </si>
  <si>
    <t>Quilava</t>
  </si>
  <si>
    <t>47/111</t>
  </si>
  <si>
    <t>48/111</t>
  </si>
  <si>
    <t>49/111</t>
  </si>
  <si>
    <t>Skiploom</t>
  </si>
  <si>
    <t>50/111</t>
  </si>
  <si>
    <t>Sunflora</t>
  </si>
  <si>
    <t>51/111</t>
  </si>
  <si>
    <t>52/111</t>
  </si>
  <si>
    <t>Xatu</t>
  </si>
  <si>
    <t>53/111</t>
  </si>
  <si>
    <t>Chikorita</t>
  </si>
  <si>
    <t>54/111</t>
  </si>
  <si>
    <t>55/111</t>
  </si>
  <si>
    <t>Chinchou</t>
  </si>
  <si>
    <t>56/111</t>
  </si>
  <si>
    <t>Cyndaquil</t>
  </si>
  <si>
    <t>57/111</t>
  </si>
  <si>
    <t>58/111</t>
  </si>
  <si>
    <t>Girafarig</t>
  </si>
  <si>
    <t>59/111</t>
  </si>
  <si>
    <t>Gligar</t>
  </si>
  <si>
    <t>60/111</t>
  </si>
  <si>
    <t>Hoothoot</t>
  </si>
  <si>
    <t>61/111</t>
  </si>
  <si>
    <t>Hoppip</t>
  </si>
  <si>
    <t>62/111</t>
  </si>
  <si>
    <t>63/111</t>
  </si>
  <si>
    <t>Ledyba</t>
  </si>
  <si>
    <t>64/111</t>
  </si>
  <si>
    <t>Mantine</t>
  </si>
  <si>
    <t>65/111</t>
  </si>
  <si>
    <t>Mareep</t>
  </si>
  <si>
    <t>66/111</t>
  </si>
  <si>
    <t>67/111</t>
  </si>
  <si>
    <t>Natu</t>
  </si>
  <si>
    <t>68/111</t>
  </si>
  <si>
    <t>69/111</t>
  </si>
  <si>
    <t>70/111</t>
  </si>
  <si>
    <t>71/111</t>
  </si>
  <si>
    <t>Sentret</t>
  </si>
  <si>
    <t>72/111</t>
  </si>
  <si>
    <t>Shuckle</t>
  </si>
  <si>
    <t>73/111</t>
  </si>
  <si>
    <t>74/111</t>
  </si>
  <si>
    <t>Snubbull</t>
  </si>
  <si>
    <t>75/111</t>
  </si>
  <si>
    <t>Spinarak</t>
  </si>
  <si>
    <t>76/111</t>
  </si>
  <si>
    <t>Stantler</t>
  </si>
  <si>
    <t>77/111</t>
  </si>
  <si>
    <t>Sudowoodo</t>
  </si>
  <si>
    <t>78/111</t>
  </si>
  <si>
    <t>Sunkern</t>
  </si>
  <si>
    <t>79/111</t>
  </si>
  <si>
    <t>Swinub</t>
  </si>
  <si>
    <t>80/111</t>
  </si>
  <si>
    <t>Totodile</t>
  </si>
  <si>
    <t>81/111</t>
  </si>
  <si>
    <t>82/111</t>
  </si>
  <si>
    <t>Wooper</t>
  </si>
  <si>
    <t>83/111</t>
  </si>
  <si>
    <t>84/111</t>
  </si>
  <si>
    <t>85/111</t>
  </si>
  <si>
    <t>Energy Charge</t>
  </si>
  <si>
    <t>86/111</t>
  </si>
  <si>
    <t>Tool</t>
  </si>
  <si>
    <t>87/111</t>
  </si>
  <si>
    <t>88/111</t>
  </si>
  <si>
    <t>89/111</t>
  </si>
  <si>
    <t>90/111</t>
  </si>
  <si>
    <t>91/111</t>
  </si>
  <si>
    <t>92/111</t>
  </si>
  <si>
    <t>93/111</t>
  </si>
  <si>
    <t>94/111</t>
  </si>
  <si>
    <t>95/111</t>
  </si>
  <si>
    <t>96/111</t>
  </si>
  <si>
    <t>97/111</t>
  </si>
  <si>
    <t>98/111</t>
  </si>
  <si>
    <t>Super Scoop Up</t>
  </si>
  <si>
    <t>99/111</t>
  </si>
  <si>
    <t>100/111</t>
  </si>
  <si>
    <t>101/111</t>
  </si>
  <si>
    <t>102/111</t>
  </si>
  <si>
    <t>103/111</t>
  </si>
  <si>
    <t>Super Rod</t>
  </si>
  <si>
    <t>104/111</t>
  </si>
  <si>
    <t>Darkness Energy</t>
  </si>
  <si>
    <t>105/111</t>
  </si>
  <si>
    <t>Recycle Energy</t>
  </si>
  <si>
    <t>Espeon</t>
  </si>
  <si>
    <t>Forretress</t>
  </si>
  <si>
    <t>Houndoom</t>
  </si>
  <si>
    <t>Houndour</t>
  </si>
  <si>
    <t>Politoed</t>
  </si>
  <si>
    <t>Tyranitar</t>
  </si>
  <si>
    <t>Umbreon</t>
  </si>
  <si>
    <t>Unown A</t>
  </si>
  <si>
    <t>Ursaring</t>
  </si>
  <si>
    <t>Wobbuffet</t>
  </si>
  <si>
    <t>Yanma</t>
  </si>
  <si>
    <t>Corsola</t>
  </si>
  <si>
    <t>Pupitar</t>
  </si>
  <si>
    <t>Unown D</t>
  </si>
  <si>
    <t>Unown F</t>
  </si>
  <si>
    <t>Unown M</t>
  </si>
  <si>
    <t>Unown N</t>
  </si>
  <si>
    <t>Unown U</t>
  </si>
  <si>
    <t>Dunsparce</t>
  </si>
  <si>
    <t>Larvitar</t>
  </si>
  <si>
    <t>Pineco</t>
  </si>
  <si>
    <t>Teddiursa</t>
  </si>
  <si>
    <t>Tyrogue</t>
  </si>
  <si>
    <t>Unown E</t>
  </si>
  <si>
    <t>Unown I</t>
  </si>
  <si>
    <t>Unown O</t>
  </si>
  <si>
    <t>13/18</t>
  </si>
  <si>
    <t>14/18</t>
  </si>
  <si>
    <t>15/18</t>
  </si>
  <si>
    <t>16/18</t>
  </si>
  <si>
    <t>17/18</t>
  </si>
  <si>
    <t>18/18</t>
  </si>
  <si>
    <t>Blissey</t>
  </si>
  <si>
    <t>Crobat</t>
  </si>
  <si>
    <t>Delibird</t>
  </si>
  <si>
    <t>Porygon2</t>
  </si>
  <si>
    <t>Raikou</t>
  </si>
  <si>
    <t>Fightning</t>
  </si>
  <si>
    <t>Magcargo</t>
  </si>
  <si>
    <t>Octillery</t>
  </si>
  <si>
    <t>Unown B</t>
  </si>
  <si>
    <t>Unown Y</t>
  </si>
  <si>
    <t>Qwilfish</t>
  </si>
  <si>
    <t>Remoraid</t>
  </si>
  <si>
    <t>Slugma</t>
  </si>
  <si>
    <t>Smoochum</t>
  </si>
  <si>
    <t>Unown K</t>
  </si>
  <si>
    <t>Balloon Berry</t>
  </si>
  <si>
    <t>Rocket's Hideout</t>
  </si>
  <si>
    <t>Old Rod</t>
  </si>
  <si>
    <t>66/64</t>
  </si>
  <si>
    <t>Shining Magikarp</t>
  </si>
  <si>
    <t>Dark Ampharos</t>
  </si>
  <si>
    <t>Dark Crobat</t>
  </si>
  <si>
    <t>Dark Houndoom</t>
  </si>
  <si>
    <t>Dark Tyranitar</t>
  </si>
  <si>
    <t>Dark Ariados</t>
  </si>
  <si>
    <t>Dark Magcargo</t>
  </si>
  <si>
    <t>Dark Slowking</t>
  </si>
  <si>
    <t>Unown G</t>
  </si>
  <si>
    <t>Unown H</t>
  </si>
  <si>
    <t>Unown W</t>
  </si>
  <si>
    <t>Unown X</t>
  </si>
  <si>
    <t>Dark Flaaffy</t>
  </si>
  <si>
    <t>Dark Pupitar</t>
  </si>
  <si>
    <t>Unown C</t>
  </si>
  <si>
    <t>Unown P</t>
  </si>
  <si>
    <t>Unown Q</t>
  </si>
  <si>
    <t>Unown Z</t>
  </si>
  <si>
    <t>Dark Octillery</t>
  </si>
  <si>
    <t>Unown L</t>
  </si>
  <si>
    <t>Unown S</t>
  </si>
  <si>
    <t>Unown T</t>
  </si>
  <si>
    <t>Unown V</t>
  </si>
  <si>
    <t>EXP.ALL</t>
  </si>
  <si>
    <t>Shining Celebi</t>
  </si>
  <si>
    <t>Bill's Maintenance</t>
  </si>
  <si>
    <t>Supporter</t>
  </si>
  <si>
    <t>Copycat</t>
  </si>
  <si>
    <t>Dual Ball</t>
  </si>
  <si>
    <t>Energy Removal 2</t>
  </si>
  <si>
    <t>Energy Restore</t>
  </si>
  <si>
    <t>Multi Technical Machine 01</t>
  </si>
  <si>
    <t>TM</t>
  </si>
  <si>
    <t>Pokémon Reversal</t>
  </si>
  <si>
    <t>Professor Elm's Training Method</t>
  </si>
  <si>
    <t>Professor Oak's Research</t>
  </si>
  <si>
    <t>Strength Charm</t>
  </si>
  <si>
    <t>1/147</t>
  </si>
  <si>
    <t>2/147</t>
  </si>
  <si>
    <t>3/147</t>
  </si>
  <si>
    <t>4/147</t>
  </si>
  <si>
    <t>5/147</t>
  </si>
  <si>
    <t>6/147</t>
  </si>
  <si>
    <t>7/147</t>
  </si>
  <si>
    <t>8/147</t>
  </si>
  <si>
    <t>9/147</t>
  </si>
  <si>
    <t>10/147</t>
  </si>
  <si>
    <t>11/147</t>
  </si>
  <si>
    <t>12/147</t>
  </si>
  <si>
    <t>13/147</t>
  </si>
  <si>
    <t>14/147</t>
  </si>
  <si>
    <t>15/147</t>
  </si>
  <si>
    <t>16/147</t>
  </si>
  <si>
    <t>17/147</t>
  </si>
  <si>
    <t>18/147</t>
  </si>
  <si>
    <t>19/147</t>
  </si>
  <si>
    <t>20/147</t>
  </si>
  <si>
    <t>21/147</t>
  </si>
  <si>
    <t>22/147</t>
  </si>
  <si>
    <t>23/147</t>
  </si>
  <si>
    <t>24/147</t>
  </si>
  <si>
    <t>25/147</t>
  </si>
  <si>
    <t>26/147</t>
  </si>
  <si>
    <t>27/147</t>
  </si>
  <si>
    <t>28/147</t>
  </si>
  <si>
    <t>29/147</t>
  </si>
  <si>
    <t>30/147</t>
  </si>
  <si>
    <t>31/147</t>
  </si>
  <si>
    <t>32/147</t>
  </si>
  <si>
    <t>33/147</t>
  </si>
  <si>
    <t>34/147</t>
  </si>
  <si>
    <t>35/147</t>
  </si>
  <si>
    <t>36/147</t>
  </si>
  <si>
    <t>37/147</t>
  </si>
  <si>
    <t>38/147</t>
  </si>
  <si>
    <t>39/147</t>
  </si>
  <si>
    <t>40/147</t>
  </si>
  <si>
    <t>41/147</t>
  </si>
  <si>
    <t>42/147</t>
  </si>
  <si>
    <t>43/147</t>
  </si>
  <si>
    <t>44/147</t>
  </si>
  <si>
    <t>45/147</t>
  </si>
  <si>
    <t>46/147</t>
  </si>
  <si>
    <t>47/147</t>
  </si>
  <si>
    <t>48/147</t>
  </si>
  <si>
    <t>49/147</t>
  </si>
  <si>
    <t>51/147</t>
  </si>
  <si>
    <t>52/147</t>
  </si>
  <si>
    <t>53/147</t>
  </si>
  <si>
    <t>54/147</t>
  </si>
  <si>
    <t>55/147</t>
  </si>
  <si>
    <t>56/147</t>
  </si>
  <si>
    <t>57/147</t>
  </si>
  <si>
    <t>58/147</t>
  </si>
  <si>
    <t>59/147</t>
  </si>
  <si>
    <t>60/147</t>
  </si>
  <si>
    <t>61/147</t>
  </si>
  <si>
    <t>62/147</t>
  </si>
  <si>
    <t>63/147</t>
  </si>
  <si>
    <t>64/147</t>
  </si>
  <si>
    <t>65/147</t>
  </si>
  <si>
    <t>66/147</t>
  </si>
  <si>
    <t>67/147</t>
  </si>
  <si>
    <t>68/147</t>
  </si>
  <si>
    <t>69/147</t>
  </si>
  <si>
    <t>70/147</t>
  </si>
  <si>
    <t>71/147</t>
  </si>
  <si>
    <t>72/147</t>
  </si>
  <si>
    <t>73/147</t>
  </si>
  <si>
    <t>75/147</t>
  </si>
  <si>
    <t>76/147</t>
  </si>
  <si>
    <t>77/147</t>
  </si>
  <si>
    <t>78/147</t>
  </si>
  <si>
    <t>79/147</t>
  </si>
  <si>
    <t>80/147</t>
  </si>
  <si>
    <t>81/147</t>
  </si>
  <si>
    <t>82/147</t>
  </si>
  <si>
    <t>83/147</t>
  </si>
  <si>
    <t>84/147</t>
  </si>
  <si>
    <t>85/147</t>
  </si>
  <si>
    <t>86/147</t>
  </si>
  <si>
    <t>87/147</t>
  </si>
  <si>
    <t>88/147</t>
  </si>
  <si>
    <t>89/147</t>
  </si>
  <si>
    <t>90/147</t>
  </si>
  <si>
    <t>91/147</t>
  </si>
  <si>
    <t>92/147</t>
  </si>
  <si>
    <t>93/147</t>
  </si>
  <si>
    <t>94/147</t>
  </si>
  <si>
    <t>96/147</t>
  </si>
  <si>
    <t>97/147</t>
  </si>
  <si>
    <t>98/147</t>
  </si>
  <si>
    <t>99/147</t>
  </si>
  <si>
    <t>100/147</t>
  </si>
  <si>
    <t>101/147</t>
  </si>
  <si>
    <t>102/147</t>
  </si>
  <si>
    <t>104/147</t>
  </si>
  <si>
    <t>105/147</t>
  </si>
  <si>
    <t>106/147</t>
  </si>
  <si>
    <t>107/147</t>
  </si>
  <si>
    <t>108/147</t>
  </si>
  <si>
    <t>109/147</t>
  </si>
  <si>
    <t>110/147</t>
  </si>
  <si>
    <t>111/147</t>
  </si>
  <si>
    <t>112/147</t>
  </si>
  <si>
    <t>113/147</t>
  </si>
  <si>
    <t>114/147</t>
  </si>
  <si>
    <t>115/147</t>
  </si>
  <si>
    <t>116/147</t>
  </si>
  <si>
    <t>117/147</t>
  </si>
  <si>
    <t>118/147</t>
  </si>
  <si>
    <t>119/147</t>
  </si>
  <si>
    <t>120/147</t>
  </si>
  <si>
    <t>Energy Switch</t>
  </si>
  <si>
    <t>121/147</t>
  </si>
  <si>
    <t>122/147</t>
  </si>
  <si>
    <t>123/147</t>
  </si>
  <si>
    <t>124/147</t>
  </si>
  <si>
    <t>125/147</t>
  </si>
  <si>
    <t>126/147</t>
  </si>
  <si>
    <t>127/147</t>
  </si>
  <si>
    <t>128/147</t>
  </si>
  <si>
    <t>Memory Berry</t>
  </si>
  <si>
    <t>129/147</t>
  </si>
  <si>
    <t>130/147</t>
  </si>
  <si>
    <t>Pokémon Fan Club</t>
  </si>
  <si>
    <t>131/147</t>
  </si>
  <si>
    <t>Pokémon Park</t>
  </si>
  <si>
    <t>132/147</t>
  </si>
  <si>
    <t>133/147</t>
  </si>
  <si>
    <t>134/147</t>
  </si>
  <si>
    <t>135/147</t>
  </si>
  <si>
    <t>136/147</t>
  </si>
  <si>
    <t>137/147</t>
  </si>
  <si>
    <t>138/147</t>
  </si>
  <si>
    <t>139/147</t>
  </si>
  <si>
    <t>Power Plant</t>
  </si>
  <si>
    <t>140/147</t>
  </si>
  <si>
    <t>141/147</t>
  </si>
  <si>
    <t>142/147</t>
  </si>
  <si>
    <t>143/147</t>
  </si>
  <si>
    <t>144/147</t>
  </si>
  <si>
    <t>145/147</t>
  </si>
  <si>
    <t>Boost Energy</t>
  </si>
  <si>
    <t>146/147</t>
  </si>
  <si>
    <t>147/147</t>
  </si>
  <si>
    <t>Warp Energy</t>
  </si>
  <si>
    <t>148/147</t>
  </si>
  <si>
    <t>149/147</t>
  </si>
  <si>
    <t>150/147</t>
  </si>
  <si>
    <t>Apricorn Maker</t>
  </si>
  <si>
    <t>Crystal Shard</t>
  </si>
  <si>
    <t>Fisherman</t>
  </si>
  <si>
    <t>Friend Ball</t>
  </si>
  <si>
    <t>Hyper Potion</t>
  </si>
  <si>
    <t>Lure Ball</t>
  </si>
  <si>
    <t>Underground Expedition</t>
  </si>
  <si>
    <t>Cyclone Energy</t>
  </si>
  <si>
    <t>Kyogre ex</t>
  </si>
  <si>
    <t>Groudon ex</t>
  </si>
  <si>
    <t>Treecko</t>
  </si>
  <si>
    <t>Grovyle</t>
  </si>
  <si>
    <t>Mudkip</t>
  </si>
  <si>
    <t>Torchic</t>
  </si>
  <si>
    <t>Combusken</t>
  </si>
  <si>
    <t>Marshtomp</t>
  </si>
  <si>
    <t>Latias</t>
  </si>
  <si>
    <t>Latios</t>
  </si>
  <si>
    <t>Ludicolo</t>
  </si>
  <si>
    <t>Jirachi</t>
  </si>
  <si>
    <t>Beldum</t>
  </si>
  <si>
    <t>Metang</t>
  </si>
  <si>
    <t>Chimecho</t>
  </si>
  <si>
    <t>Flygon</t>
  </si>
  <si>
    <t>Championship Arena</t>
  </si>
  <si>
    <t>Moltres ex</t>
  </si>
  <si>
    <t>Articuno ex</t>
  </si>
  <si>
    <t>Zapdos ex</t>
  </si>
  <si>
    <t>Pikachu δ</t>
  </si>
  <si>
    <t>Rayquaza ex</t>
  </si>
  <si>
    <t>1/109</t>
  </si>
  <si>
    <t>Aggron</t>
  </si>
  <si>
    <t>2/109</t>
  </si>
  <si>
    <t>Beautifly</t>
  </si>
  <si>
    <t>3/109</t>
  </si>
  <si>
    <t>Blaziken</t>
  </si>
  <si>
    <t>4/109</t>
  </si>
  <si>
    <t>Camerupt</t>
  </si>
  <si>
    <t>5/109</t>
  </si>
  <si>
    <t>Delcatty</t>
  </si>
  <si>
    <t>6/109</t>
  </si>
  <si>
    <t>Dustox</t>
  </si>
  <si>
    <t>7/109</t>
  </si>
  <si>
    <t>Gardevoir</t>
  </si>
  <si>
    <t>8/109</t>
  </si>
  <si>
    <t>Hariyama</t>
  </si>
  <si>
    <t>9/109</t>
  </si>
  <si>
    <t>Manectric</t>
  </si>
  <si>
    <t>10/109</t>
  </si>
  <si>
    <t>Mightyena</t>
  </si>
  <si>
    <t>11/109</t>
  </si>
  <si>
    <t>Sceptile</t>
  </si>
  <si>
    <t>12/109</t>
  </si>
  <si>
    <t>Slaking</t>
  </si>
  <si>
    <t>13/109</t>
  </si>
  <si>
    <t>Swampert</t>
  </si>
  <si>
    <t>14/109</t>
  </si>
  <si>
    <t>Wailord</t>
  </si>
  <si>
    <t>15/109</t>
  </si>
  <si>
    <t>16/109</t>
  </si>
  <si>
    <t>Breloom</t>
  </si>
  <si>
    <t>17/109</t>
  </si>
  <si>
    <t>18/109</t>
  </si>
  <si>
    <t>Nosepass</t>
  </si>
  <si>
    <t>19/109</t>
  </si>
  <si>
    <t>Pelipper</t>
  </si>
  <si>
    <t>20/109</t>
  </si>
  <si>
    <t>21/109</t>
  </si>
  <si>
    <t>22/109</t>
  </si>
  <si>
    <t>Sharpedo</t>
  </si>
  <si>
    <t>23/109</t>
  </si>
  <si>
    <t>24/109</t>
  </si>
  <si>
    <t>25/109</t>
  </si>
  <si>
    <t>Aron</t>
  </si>
  <si>
    <t>26/109</t>
  </si>
  <si>
    <t>Cascoon</t>
  </si>
  <si>
    <t>27/109</t>
  </si>
  <si>
    <t>28/109</t>
  </si>
  <si>
    <t>29/109</t>
  </si>
  <si>
    <t>30/109</t>
  </si>
  <si>
    <t>Electrike</t>
  </si>
  <si>
    <t>31/109</t>
  </si>
  <si>
    <t>32/109</t>
  </si>
  <si>
    <t>33/109</t>
  </si>
  <si>
    <t>34/109</t>
  </si>
  <si>
    <t>Kirlia</t>
  </si>
  <si>
    <t>35/109</t>
  </si>
  <si>
    <t>36/109</t>
  </si>
  <si>
    <t>Lairon</t>
  </si>
  <si>
    <t>37/109</t>
  </si>
  <si>
    <t>38/109</t>
  </si>
  <si>
    <t>Linoone</t>
  </si>
  <si>
    <t>39/109</t>
  </si>
  <si>
    <t>40/109</t>
  </si>
  <si>
    <t>41/109</t>
  </si>
  <si>
    <t>42/109</t>
  </si>
  <si>
    <t>43/109</t>
  </si>
  <si>
    <t>Silcoon</t>
  </si>
  <si>
    <t>44/109</t>
  </si>
  <si>
    <t>Skitty</t>
  </si>
  <si>
    <t>45/109</t>
  </si>
  <si>
    <t>Slakoth</t>
  </si>
  <si>
    <t>46/109</t>
  </si>
  <si>
    <t>Swellow</t>
  </si>
  <si>
    <t>47/109</t>
  </si>
  <si>
    <t>Vigoroth</t>
  </si>
  <si>
    <t>48/109</t>
  </si>
  <si>
    <t>Wailmer</t>
  </si>
  <si>
    <t>49/109</t>
  </si>
  <si>
    <t>50/109</t>
  </si>
  <si>
    <t>51/109</t>
  </si>
  <si>
    <t>Carvanha</t>
  </si>
  <si>
    <t>52/109</t>
  </si>
  <si>
    <t>53/109</t>
  </si>
  <si>
    <t>54/109</t>
  </si>
  <si>
    <t>55/109</t>
  </si>
  <si>
    <t>56/109</t>
  </si>
  <si>
    <t>Makuhita</t>
  </si>
  <si>
    <t>57/109</t>
  </si>
  <si>
    <t>58/109</t>
  </si>
  <si>
    <t>59/109</t>
  </si>
  <si>
    <t>60/109</t>
  </si>
  <si>
    <t>61/109</t>
  </si>
  <si>
    <t>Numel</t>
  </si>
  <si>
    <t>62/109</t>
  </si>
  <si>
    <t>63/109</t>
  </si>
  <si>
    <t>Poochyena</t>
  </si>
  <si>
    <t>64/109</t>
  </si>
  <si>
    <t>65/109</t>
  </si>
  <si>
    <t>66/109</t>
  </si>
  <si>
    <t>Ralts</t>
  </si>
  <si>
    <t>67/109</t>
  </si>
  <si>
    <t>68/109</t>
  </si>
  <si>
    <t>69/109</t>
  </si>
  <si>
    <t>Shroomish</t>
  </si>
  <si>
    <t>70/109</t>
  </si>
  <si>
    <t>71/109</t>
  </si>
  <si>
    <t>72/109</t>
  </si>
  <si>
    <t>Taillow</t>
  </si>
  <si>
    <t>73/109</t>
  </si>
  <si>
    <t>74/109</t>
  </si>
  <si>
    <t>75/109</t>
  </si>
  <si>
    <t>76/109</t>
  </si>
  <si>
    <t>77/109</t>
  </si>
  <si>
    <t>Wingull</t>
  </si>
  <si>
    <t>78/109</t>
  </si>
  <si>
    <t>Wurmple</t>
  </si>
  <si>
    <t>79/109</t>
  </si>
  <si>
    <t>Zigzagoon</t>
  </si>
  <si>
    <t>80/109</t>
  </si>
  <si>
    <t>81/109</t>
  </si>
  <si>
    <t>82/109</t>
  </si>
  <si>
    <t>83/109</t>
  </si>
  <si>
    <t>Lady Outing</t>
  </si>
  <si>
    <t>84/109</t>
  </si>
  <si>
    <t>Lum Berry</t>
  </si>
  <si>
    <t>85/109</t>
  </si>
  <si>
    <t>Oran Berry</t>
  </si>
  <si>
    <t>86/109</t>
  </si>
  <si>
    <t>87/109</t>
  </si>
  <si>
    <t>88/109</t>
  </si>
  <si>
    <t>PokéNav</t>
  </si>
  <si>
    <t>89/109</t>
  </si>
  <si>
    <t>Professor Birch</t>
  </si>
  <si>
    <t>90/109</t>
  </si>
  <si>
    <t>91/109</t>
  </si>
  <si>
    <t>92/109</t>
  </si>
  <si>
    <t>93/109</t>
  </si>
  <si>
    <t>94/109</t>
  </si>
  <si>
    <t>95/109</t>
  </si>
  <si>
    <t>96/109</t>
  </si>
  <si>
    <t>97/109</t>
  </si>
  <si>
    <t>98/109</t>
  </si>
  <si>
    <t>99/109</t>
  </si>
  <si>
    <t>100/109</t>
  </si>
  <si>
    <t>101/109</t>
  </si>
  <si>
    <t>102/109</t>
  </si>
  <si>
    <t>1/100</t>
  </si>
  <si>
    <t>Armaldo</t>
  </si>
  <si>
    <t>2/100</t>
  </si>
  <si>
    <t>Cacturne</t>
  </si>
  <si>
    <t>3/100</t>
  </si>
  <si>
    <t>Cradily</t>
  </si>
  <si>
    <t>4/100</t>
  </si>
  <si>
    <t>Dusclops</t>
  </si>
  <si>
    <t>5/100</t>
  </si>
  <si>
    <t>6/100</t>
  </si>
  <si>
    <t>7/100</t>
  </si>
  <si>
    <t>8/100</t>
  </si>
  <si>
    <t>Lunatone</t>
  </si>
  <si>
    <t>9/100</t>
  </si>
  <si>
    <t>Mawile</t>
  </si>
  <si>
    <t>10/100</t>
  </si>
  <si>
    <t>Sableye</t>
  </si>
  <si>
    <t>11/100</t>
  </si>
  <si>
    <t>Seviper</t>
  </si>
  <si>
    <t>12/100</t>
  </si>
  <si>
    <t>Shiftry</t>
  </si>
  <si>
    <t>13/100</t>
  </si>
  <si>
    <t>Solrock</t>
  </si>
  <si>
    <t>14/100</t>
  </si>
  <si>
    <t>Zangoose</t>
  </si>
  <si>
    <t>15/100</t>
  </si>
  <si>
    <t>16/100</t>
  </si>
  <si>
    <t>17/100</t>
  </si>
  <si>
    <t>18/100</t>
  </si>
  <si>
    <t>Kecleon</t>
  </si>
  <si>
    <t>19/100</t>
  </si>
  <si>
    <t>20/100</t>
  </si>
  <si>
    <t>21/100</t>
  </si>
  <si>
    <t>22/100</t>
  </si>
  <si>
    <t>23/100</t>
  </si>
  <si>
    <t>24/100</t>
  </si>
  <si>
    <t>25/100</t>
  </si>
  <si>
    <t>26/100</t>
  </si>
  <si>
    <t>27/100</t>
  </si>
  <si>
    <t>Anorith</t>
  </si>
  <si>
    <t>28/100</t>
  </si>
  <si>
    <t>29/100</t>
  </si>
  <si>
    <t>30/100</t>
  </si>
  <si>
    <t>31/100</t>
  </si>
  <si>
    <t>Azurill</t>
  </si>
  <si>
    <t>32/100</t>
  </si>
  <si>
    <t>Baltoy</t>
  </si>
  <si>
    <t>33/100</t>
  </si>
  <si>
    <t>34/100</t>
  </si>
  <si>
    <t>35/100</t>
  </si>
  <si>
    <t>36/100</t>
  </si>
  <si>
    <t>37/100</t>
  </si>
  <si>
    <t>38/100</t>
  </si>
  <si>
    <t>Illumise</t>
  </si>
  <si>
    <t>39/100</t>
  </si>
  <si>
    <t>40/100</t>
  </si>
  <si>
    <t>41/100</t>
  </si>
  <si>
    <t>42/100</t>
  </si>
  <si>
    <t>Lileep</t>
  </si>
  <si>
    <t>43/100</t>
  </si>
  <si>
    <t>44/100</t>
  </si>
  <si>
    <t>45/100</t>
  </si>
  <si>
    <t>Lombre</t>
  </si>
  <si>
    <t>46/100</t>
  </si>
  <si>
    <t>47/100</t>
  </si>
  <si>
    <t>48/100</t>
  </si>
  <si>
    <t>Nuzleaf</t>
  </si>
  <si>
    <t>49/100</t>
  </si>
  <si>
    <t>50/100</t>
  </si>
  <si>
    <t>51/100</t>
  </si>
  <si>
    <t>52/100</t>
  </si>
  <si>
    <t>53/100</t>
  </si>
  <si>
    <t>Volbeat</t>
  </si>
  <si>
    <t>54/100</t>
  </si>
  <si>
    <t>Wynaut</t>
  </si>
  <si>
    <t>55/100</t>
  </si>
  <si>
    <t>56/100</t>
  </si>
  <si>
    <t>57/100</t>
  </si>
  <si>
    <t>Cacnea</t>
  </si>
  <si>
    <t>58/100</t>
  </si>
  <si>
    <t>59/100</t>
  </si>
  <si>
    <t>60/100</t>
  </si>
  <si>
    <t>61/100</t>
  </si>
  <si>
    <t>Duskull</t>
  </si>
  <si>
    <t>62/100</t>
  </si>
  <si>
    <t>63/100</t>
  </si>
  <si>
    <t>64/100</t>
  </si>
  <si>
    <t>65/100</t>
  </si>
  <si>
    <t>66/100</t>
  </si>
  <si>
    <t>Lotad</t>
  </si>
  <si>
    <t>67/100</t>
  </si>
  <si>
    <t>68/100</t>
  </si>
  <si>
    <t>69/100</t>
  </si>
  <si>
    <t>70/100</t>
  </si>
  <si>
    <t>71/100</t>
  </si>
  <si>
    <t>72/100</t>
  </si>
  <si>
    <t>73/100</t>
  </si>
  <si>
    <t>74/100</t>
  </si>
  <si>
    <t>75/100</t>
  </si>
  <si>
    <t>76/100</t>
  </si>
  <si>
    <t>Seedot</t>
  </si>
  <si>
    <t>77/100</t>
  </si>
  <si>
    <t>78/100</t>
  </si>
  <si>
    <t>79/100</t>
  </si>
  <si>
    <t>80/100</t>
  </si>
  <si>
    <t>81/100</t>
  </si>
  <si>
    <t>82/100</t>
  </si>
  <si>
    <t>Trapinch</t>
  </si>
  <si>
    <t>83/100</t>
  </si>
  <si>
    <t>84/100</t>
  </si>
  <si>
    <t>85/100</t>
  </si>
  <si>
    <t>86/100</t>
  </si>
  <si>
    <t>Double Full Heal</t>
  </si>
  <si>
    <t>87/100</t>
  </si>
  <si>
    <t>Lanette's Net Search</t>
  </si>
  <si>
    <t>88/100</t>
  </si>
  <si>
    <t>Rare Candy</t>
  </si>
  <si>
    <t>89/100</t>
  </si>
  <si>
    <t>Wally's Training</t>
  </si>
  <si>
    <t>90/100</t>
  </si>
  <si>
    <t>Claw Fossil</t>
  </si>
  <si>
    <t>91/100</t>
  </si>
  <si>
    <t>92/100</t>
  </si>
  <si>
    <t>Root Fossil</t>
  </si>
  <si>
    <t>93/100</t>
  </si>
  <si>
    <t>Multi Energy</t>
  </si>
  <si>
    <t>94/100</t>
  </si>
  <si>
    <t>95/100</t>
  </si>
  <si>
    <t>Aggron ex</t>
  </si>
  <si>
    <t>96/100</t>
  </si>
  <si>
    <t>97/100</t>
  </si>
  <si>
    <t>98/100</t>
  </si>
  <si>
    <t>Raichu ex</t>
  </si>
  <si>
    <t>99/100</t>
  </si>
  <si>
    <t>Typhlosion ex</t>
  </si>
  <si>
    <t>100/100</t>
  </si>
  <si>
    <t>1/97</t>
  </si>
  <si>
    <t>Absol</t>
  </si>
  <si>
    <t>2/97</t>
  </si>
  <si>
    <t>Altaria</t>
  </si>
  <si>
    <t>3/97</t>
  </si>
  <si>
    <t>Crawdaunt</t>
  </si>
  <si>
    <t>4/97</t>
  </si>
  <si>
    <t>5/97</t>
  </si>
  <si>
    <t>6/97</t>
  </si>
  <si>
    <t>Grumpig</t>
  </si>
  <si>
    <t>7/97</t>
  </si>
  <si>
    <t>Minun</t>
  </si>
  <si>
    <t>8/97</t>
  </si>
  <si>
    <t>Plusle</t>
  </si>
  <si>
    <t>9/97</t>
  </si>
  <si>
    <t>Roselia</t>
  </si>
  <si>
    <t>10/97</t>
  </si>
  <si>
    <t>Salamence</t>
  </si>
  <si>
    <t>11/97</t>
  </si>
  <si>
    <t>Shedinja</t>
  </si>
  <si>
    <t>12/97</t>
  </si>
  <si>
    <t>Torkoal</t>
  </si>
  <si>
    <t>13/97</t>
  </si>
  <si>
    <t>14/97</t>
  </si>
  <si>
    <t>15/97</t>
  </si>
  <si>
    <t>16/97</t>
  </si>
  <si>
    <t>17/97</t>
  </si>
  <si>
    <t>18/97</t>
  </si>
  <si>
    <t>Ninjask</t>
  </si>
  <si>
    <t>19/97</t>
  </si>
  <si>
    <t>20/97</t>
  </si>
  <si>
    <t>Shelgon</t>
  </si>
  <si>
    <t>21/97</t>
  </si>
  <si>
    <t>22/97</t>
  </si>
  <si>
    <t>Vibrava</t>
  </si>
  <si>
    <t>23/97</t>
  </si>
  <si>
    <t>Bagon</t>
  </si>
  <si>
    <t>24/97</t>
  </si>
  <si>
    <t>25/97</t>
  </si>
  <si>
    <t>26/97</t>
  </si>
  <si>
    <t>27/97</t>
  </si>
  <si>
    <t>28/97</t>
  </si>
  <si>
    <t>29/97</t>
  </si>
  <si>
    <t>30/97</t>
  </si>
  <si>
    <t>31/97</t>
  </si>
  <si>
    <t>32/97</t>
  </si>
  <si>
    <t>33/97</t>
  </si>
  <si>
    <t>34/97</t>
  </si>
  <si>
    <t>35/97</t>
  </si>
  <si>
    <t>36/97</t>
  </si>
  <si>
    <t>37/97</t>
  </si>
  <si>
    <t>Meditite</t>
  </si>
  <si>
    <t>38/97</t>
  </si>
  <si>
    <t>39/97</t>
  </si>
  <si>
    <t>40/97</t>
  </si>
  <si>
    <t>41/97</t>
  </si>
  <si>
    <t>42/97</t>
  </si>
  <si>
    <t>43/97</t>
  </si>
  <si>
    <t>Shuppet</t>
  </si>
  <si>
    <t>44/97</t>
  </si>
  <si>
    <t>Snorunt</t>
  </si>
  <si>
    <t>45/97</t>
  </si>
  <si>
    <t>46/97</t>
  </si>
  <si>
    <t>47/97</t>
  </si>
  <si>
    <t>48/97</t>
  </si>
  <si>
    <t>Whiscash</t>
  </si>
  <si>
    <t>49/97</t>
  </si>
  <si>
    <t>50/97</t>
  </si>
  <si>
    <t>51/97</t>
  </si>
  <si>
    <t>Barboach</t>
  </si>
  <si>
    <t>52/97</t>
  </si>
  <si>
    <t>Corphish</t>
  </si>
  <si>
    <t>53/97</t>
  </si>
  <si>
    <t>54/97</t>
  </si>
  <si>
    <t>55/97</t>
  </si>
  <si>
    <t>56/97</t>
  </si>
  <si>
    <t>57/97</t>
  </si>
  <si>
    <t>58/97</t>
  </si>
  <si>
    <t>59/97</t>
  </si>
  <si>
    <t>60/97</t>
  </si>
  <si>
    <t>61/97</t>
  </si>
  <si>
    <t>62/97</t>
  </si>
  <si>
    <t>63/97</t>
  </si>
  <si>
    <t>64/97</t>
  </si>
  <si>
    <t>65/97</t>
  </si>
  <si>
    <t>66/97</t>
  </si>
  <si>
    <t>Nincada</t>
  </si>
  <si>
    <t>67/97</t>
  </si>
  <si>
    <t>68/97</t>
  </si>
  <si>
    <t>69/97</t>
  </si>
  <si>
    <t>70/97</t>
  </si>
  <si>
    <t>71/97</t>
  </si>
  <si>
    <t>72/97</t>
  </si>
  <si>
    <t>73/97</t>
  </si>
  <si>
    <t>Spoink</t>
  </si>
  <si>
    <t>74/97</t>
  </si>
  <si>
    <t>75/97</t>
  </si>
  <si>
    <t>Swablu</t>
  </si>
  <si>
    <t>76/97</t>
  </si>
  <si>
    <t>77/97</t>
  </si>
  <si>
    <t>78/97</t>
  </si>
  <si>
    <t>79/97</t>
  </si>
  <si>
    <t>80/97</t>
  </si>
  <si>
    <t>81/97</t>
  </si>
  <si>
    <t>82/97</t>
  </si>
  <si>
    <t>83/97</t>
  </si>
  <si>
    <t>Buffer Piece</t>
  </si>
  <si>
    <t>84/97</t>
  </si>
  <si>
    <t>Energy Recycle System</t>
  </si>
  <si>
    <t>85/97</t>
  </si>
  <si>
    <t>High Pressure System</t>
  </si>
  <si>
    <t>86/97</t>
  </si>
  <si>
    <t>Low Pressure System</t>
  </si>
  <si>
    <t>87/97</t>
  </si>
  <si>
    <t>Mr. Briney's Compassion</t>
  </si>
  <si>
    <t>88/97</t>
  </si>
  <si>
    <t>TV Reporter</t>
  </si>
  <si>
    <t>89/97</t>
  </si>
  <si>
    <t>Ampharos ex</t>
  </si>
  <si>
    <t>90/97</t>
  </si>
  <si>
    <t>Dragonite ex</t>
  </si>
  <si>
    <t>91/97</t>
  </si>
  <si>
    <t>Golem ex</t>
  </si>
  <si>
    <t>92/97</t>
  </si>
  <si>
    <t>Kingdra ex</t>
  </si>
  <si>
    <t>93/97</t>
  </si>
  <si>
    <t>Latias ex</t>
  </si>
  <si>
    <t>94/97</t>
  </si>
  <si>
    <t>Latios ex</t>
  </si>
  <si>
    <t>95/97</t>
  </si>
  <si>
    <t>Magcargo ex</t>
  </si>
  <si>
    <t>96/97</t>
  </si>
  <si>
    <t>Muk ex</t>
  </si>
  <si>
    <t>97/97</t>
  </si>
  <si>
    <t>98/97</t>
  </si>
  <si>
    <t>99/97</t>
  </si>
  <si>
    <t>100/97</t>
  </si>
  <si>
    <t>1/95</t>
  </si>
  <si>
    <t>Team Aqua's Cacturne</t>
  </si>
  <si>
    <t>Grass/Darkness</t>
  </si>
  <si>
    <t>2/95</t>
  </si>
  <si>
    <t>Team Aqua's Crawdaunt</t>
  </si>
  <si>
    <t>Water/Darkness</t>
  </si>
  <si>
    <t>3/95</t>
  </si>
  <si>
    <t>Team Aqua's Kyogre</t>
  </si>
  <si>
    <t>4/95</t>
  </si>
  <si>
    <t>Team Aqua's Manectric</t>
  </si>
  <si>
    <t>Lightning/Darkness</t>
  </si>
  <si>
    <t>5/95</t>
  </si>
  <si>
    <t>Team Aqua's Sharpedo</t>
  </si>
  <si>
    <t>6/95</t>
  </si>
  <si>
    <t>Team Aqua's Walrein</t>
  </si>
  <si>
    <t>7/95</t>
  </si>
  <si>
    <t>Team Magma's Aggron</t>
  </si>
  <si>
    <t>Fighting/Darkness</t>
  </si>
  <si>
    <t>8/95</t>
  </si>
  <si>
    <t>Team Magma's Claydol</t>
  </si>
  <si>
    <t>Psychic/Darkness</t>
  </si>
  <si>
    <t>9/95</t>
  </si>
  <si>
    <t>Team Magma's Groudon</t>
  </si>
  <si>
    <t>10/95</t>
  </si>
  <si>
    <t>Team Magma's Houndoom</t>
  </si>
  <si>
    <t>Fire/Darkness</t>
  </si>
  <si>
    <t>11/95</t>
  </si>
  <si>
    <t>Team Magma's Rhydon</t>
  </si>
  <si>
    <t>12/95</t>
  </si>
  <si>
    <t>Team Magma's Torkoal</t>
  </si>
  <si>
    <t>13/95</t>
  </si>
  <si>
    <t>14/95</t>
  </si>
  <si>
    <t>15/95</t>
  </si>
  <si>
    <t>Team Aqua's Mightyena</t>
  </si>
  <si>
    <t>16/95</t>
  </si>
  <si>
    <t>Team Aqua's Sealeo</t>
  </si>
  <si>
    <t>17/95</t>
  </si>
  <si>
    <t>Team Aqua's Seviper</t>
  </si>
  <si>
    <t>18/95</t>
  </si>
  <si>
    <t>19/95</t>
  </si>
  <si>
    <t>Team Magma's Camerupt</t>
  </si>
  <si>
    <t>20/95</t>
  </si>
  <si>
    <t>Team Magma's Lairon</t>
  </si>
  <si>
    <t>21/95</t>
  </si>
  <si>
    <t>Team Magma's Mightyena</t>
  </si>
  <si>
    <t>22/95</t>
  </si>
  <si>
    <t>23/95</t>
  </si>
  <si>
    <t>Team Magma's Zangoose</t>
  </si>
  <si>
    <t>24/95</t>
  </si>
  <si>
    <t>Team Aqua's Cacnea</t>
  </si>
  <si>
    <t>25/95</t>
  </si>
  <si>
    <t>Team Aqua's Carvanha</t>
  </si>
  <si>
    <t>26/95</t>
  </si>
  <si>
    <t>Team Aqua's Corphish</t>
  </si>
  <si>
    <t>27/95</t>
  </si>
  <si>
    <t>Team Aqua's Electrike</t>
  </si>
  <si>
    <t>28/95</t>
  </si>
  <si>
    <t>Team Aqua's Lanturn</t>
  </si>
  <si>
    <t>29/95</t>
  </si>
  <si>
    <t>30/95</t>
  </si>
  <si>
    <t>31/95</t>
  </si>
  <si>
    <t>32/95</t>
  </si>
  <si>
    <t>Team Magma's Baltoy</t>
  </si>
  <si>
    <t>33/95</t>
  </si>
  <si>
    <t>34/95</t>
  </si>
  <si>
    <t>35/95</t>
  </si>
  <si>
    <t>Team Magma's Houndour</t>
  </si>
  <si>
    <t>36/95</t>
  </si>
  <si>
    <t>37/95</t>
  </si>
  <si>
    <t>38/95</t>
  </si>
  <si>
    <t>Team Magma's Rhyhorn</t>
  </si>
  <si>
    <t>39/95</t>
  </si>
  <si>
    <t>40/95</t>
  </si>
  <si>
    <t>41/95</t>
  </si>
  <si>
    <t>42/95</t>
  </si>
  <si>
    <t>43/95</t>
  </si>
  <si>
    <t>44/95</t>
  </si>
  <si>
    <t>45/95</t>
  </si>
  <si>
    <t>46/95</t>
  </si>
  <si>
    <t>47/95</t>
  </si>
  <si>
    <t>48/95</t>
  </si>
  <si>
    <t>49/95</t>
  </si>
  <si>
    <t>Team Aqua's Chinchou</t>
  </si>
  <si>
    <t>50/95</t>
  </si>
  <si>
    <t>51/95</t>
  </si>
  <si>
    <t>52/95</t>
  </si>
  <si>
    <t>53/95</t>
  </si>
  <si>
    <t>54/95</t>
  </si>
  <si>
    <t>Team Aqua's Poochyena</t>
  </si>
  <si>
    <t>55/95</t>
  </si>
  <si>
    <t>56/95</t>
  </si>
  <si>
    <t>Team Aqua's Spheal</t>
  </si>
  <si>
    <t>57/95</t>
  </si>
  <si>
    <t>58/95</t>
  </si>
  <si>
    <t>Team Magma's Aron</t>
  </si>
  <si>
    <t>59/95</t>
  </si>
  <si>
    <t>60/95</t>
  </si>
  <si>
    <t>61/95</t>
  </si>
  <si>
    <t>62/95</t>
  </si>
  <si>
    <t>63/95</t>
  </si>
  <si>
    <t>64/95</t>
  </si>
  <si>
    <t>Team Magma's Numel</t>
  </si>
  <si>
    <t>65/95</t>
  </si>
  <si>
    <t>Team Magma's Poochyena</t>
  </si>
  <si>
    <t>66/95</t>
  </si>
  <si>
    <t>67/95</t>
  </si>
  <si>
    <t>68/95</t>
  </si>
  <si>
    <t>69/95</t>
  </si>
  <si>
    <t>Team Aqua Schemer</t>
  </si>
  <si>
    <t>70/95</t>
  </si>
  <si>
    <t>Team Magma Schemer</t>
  </si>
  <si>
    <t>71/95</t>
  </si>
  <si>
    <t>Archie</t>
  </si>
  <si>
    <t>72/95</t>
  </si>
  <si>
    <t>73/95</t>
  </si>
  <si>
    <t>Maxie</t>
  </si>
  <si>
    <t>74/95</t>
  </si>
  <si>
    <t>75/95</t>
  </si>
  <si>
    <t>Team Aqua Ball</t>
  </si>
  <si>
    <t>76/95</t>
  </si>
  <si>
    <t>Team Aqua Belt</t>
  </si>
  <si>
    <t>77/95</t>
  </si>
  <si>
    <t>Team Aqua Conspirator</t>
  </si>
  <si>
    <t>78/95</t>
  </si>
  <si>
    <t>Team Aqua Hideout</t>
  </si>
  <si>
    <t>79/95</t>
  </si>
  <si>
    <t>Team Aqua Technical Machine 01</t>
  </si>
  <si>
    <t>80/95</t>
  </si>
  <si>
    <t>Team Magma Ball</t>
  </si>
  <si>
    <t>81/95</t>
  </si>
  <si>
    <t>Team Magma Belt</t>
  </si>
  <si>
    <t>82/95</t>
  </si>
  <si>
    <t>Team Magma Conspirator</t>
  </si>
  <si>
    <t>83/95</t>
  </si>
  <si>
    <t>Team Magma Hideout</t>
  </si>
  <si>
    <t>84/95</t>
  </si>
  <si>
    <t>Team Magma Technical Machine 01</t>
  </si>
  <si>
    <t>85/95</t>
  </si>
  <si>
    <t>86/95</t>
  </si>
  <si>
    <t>Aqua Energy</t>
  </si>
  <si>
    <t>87/95</t>
  </si>
  <si>
    <t>Magma Energy</t>
  </si>
  <si>
    <t>88/95</t>
  </si>
  <si>
    <t>Double Rainbow Energy</t>
  </si>
  <si>
    <t>89/95</t>
  </si>
  <si>
    <t>Blaziken ex</t>
  </si>
  <si>
    <t>90/95</t>
  </si>
  <si>
    <t>Cradily ex</t>
  </si>
  <si>
    <t>91/95</t>
  </si>
  <si>
    <t>Entei ex</t>
  </si>
  <si>
    <t>92/95</t>
  </si>
  <si>
    <t>Raikou ex</t>
  </si>
  <si>
    <t>93/95</t>
  </si>
  <si>
    <t>Sceptile ex</t>
  </si>
  <si>
    <t>94/95</t>
  </si>
  <si>
    <t>Suicune ex</t>
  </si>
  <si>
    <t>95/95</t>
  </si>
  <si>
    <t>Swampert ex</t>
  </si>
  <si>
    <t>96/95</t>
  </si>
  <si>
    <t>97/95</t>
  </si>
  <si>
    <t>1/101</t>
  </si>
  <si>
    <t>Banette</t>
  </si>
  <si>
    <t>2/101</t>
  </si>
  <si>
    <t>Claydol</t>
  </si>
  <si>
    <t>3/101</t>
  </si>
  <si>
    <t>4/101</t>
  </si>
  <si>
    <t>Dark Celebi</t>
  </si>
  <si>
    <t>5/101</t>
  </si>
  <si>
    <t>6/101</t>
  </si>
  <si>
    <t>Exploud</t>
  </si>
  <si>
    <t>7/101</t>
  </si>
  <si>
    <t>8/101</t>
  </si>
  <si>
    <t>Psychic/Metal</t>
  </si>
  <si>
    <t>9/101</t>
  </si>
  <si>
    <t>10/101</t>
  </si>
  <si>
    <t>Medicham</t>
  </si>
  <si>
    <t>11/101</t>
  </si>
  <si>
    <t>Metagross</t>
  </si>
  <si>
    <t>12/101</t>
  </si>
  <si>
    <t>Milotic</t>
  </si>
  <si>
    <t>13/101</t>
  </si>
  <si>
    <t>14/101</t>
  </si>
  <si>
    <t>15/101</t>
  </si>
  <si>
    <t>Walrein</t>
  </si>
  <si>
    <t>16/101</t>
  </si>
  <si>
    <t>17/101</t>
  </si>
  <si>
    <t>18/101</t>
  </si>
  <si>
    <t>Gorebyss</t>
  </si>
  <si>
    <t>19/101</t>
  </si>
  <si>
    <t>Huntail</t>
  </si>
  <si>
    <t>20/101</t>
  </si>
  <si>
    <t>Masquerain</t>
  </si>
  <si>
    <t>21/101</t>
  </si>
  <si>
    <t>22/101</t>
  </si>
  <si>
    <t>23/101</t>
  </si>
  <si>
    <t>Rain Castform</t>
  </si>
  <si>
    <t>24/101</t>
  </si>
  <si>
    <t>Relicanth</t>
  </si>
  <si>
    <t>25/101</t>
  </si>
  <si>
    <t>Snow-cloud Castform</t>
  </si>
  <si>
    <t>26/101</t>
  </si>
  <si>
    <t>Sunny Castform</t>
  </si>
  <si>
    <t>27/101</t>
  </si>
  <si>
    <t>Tropius</t>
  </si>
  <si>
    <t>28/101</t>
  </si>
  <si>
    <t>29/101</t>
  </si>
  <si>
    <t>30/101</t>
  </si>
  <si>
    <t>Castform</t>
  </si>
  <si>
    <t>31/101</t>
  </si>
  <si>
    <t>32/101</t>
  </si>
  <si>
    <t>33/101</t>
  </si>
  <si>
    <t>34/101</t>
  </si>
  <si>
    <t>Glalie</t>
  </si>
  <si>
    <t>35/101</t>
  </si>
  <si>
    <t>36/101</t>
  </si>
  <si>
    <t>37/101</t>
  </si>
  <si>
    <t>38/101</t>
  </si>
  <si>
    <t>39/101</t>
  </si>
  <si>
    <t>Loudred</t>
  </si>
  <si>
    <t>40/101</t>
  </si>
  <si>
    <t>Luvdisc</t>
  </si>
  <si>
    <t>41/101</t>
  </si>
  <si>
    <t>42/101</t>
  </si>
  <si>
    <t>43/101</t>
  </si>
  <si>
    <t>44/101</t>
  </si>
  <si>
    <t>45/101</t>
  </si>
  <si>
    <t>46/101</t>
  </si>
  <si>
    <t>47/101</t>
  </si>
  <si>
    <t>Sealeo</t>
  </si>
  <si>
    <t>48/101</t>
  </si>
  <si>
    <t>Spinda</t>
  </si>
  <si>
    <t>49/101</t>
  </si>
  <si>
    <t>50/101</t>
  </si>
  <si>
    <t>Swalot</t>
  </si>
  <si>
    <t>51/101</t>
  </si>
  <si>
    <t>52/101</t>
  </si>
  <si>
    <t>53/101</t>
  </si>
  <si>
    <t>54/101</t>
  </si>
  <si>
    <t>55/101</t>
  </si>
  <si>
    <t>56/101</t>
  </si>
  <si>
    <t>57/101</t>
  </si>
  <si>
    <t>58/101</t>
  </si>
  <si>
    <t>Clamperl</t>
  </si>
  <si>
    <t>59/101</t>
  </si>
  <si>
    <t>60/101</t>
  </si>
  <si>
    <t>61/101</t>
  </si>
  <si>
    <t>Feebas</t>
  </si>
  <si>
    <t>62/101</t>
  </si>
  <si>
    <t>Gulpin</t>
  </si>
  <si>
    <t>63/101</t>
  </si>
  <si>
    <t>64/101</t>
  </si>
  <si>
    <t>65/101</t>
  </si>
  <si>
    <t>66/101</t>
  </si>
  <si>
    <t>67/101</t>
  </si>
  <si>
    <t>68/101</t>
  </si>
  <si>
    <t>69/101</t>
  </si>
  <si>
    <t>70/101</t>
  </si>
  <si>
    <t>71/101</t>
  </si>
  <si>
    <t>72/101</t>
  </si>
  <si>
    <t>73/101</t>
  </si>
  <si>
    <t>74/101</t>
  </si>
  <si>
    <t>Spheal</t>
  </si>
  <si>
    <t>75/101</t>
  </si>
  <si>
    <t>76/101</t>
  </si>
  <si>
    <t>Surskit</t>
  </si>
  <si>
    <t>77/101</t>
  </si>
  <si>
    <t>78/101</t>
  </si>
  <si>
    <t>79/101</t>
  </si>
  <si>
    <t>80/101</t>
  </si>
  <si>
    <t>81/101</t>
  </si>
  <si>
    <t>82/101</t>
  </si>
  <si>
    <t>Whismur</t>
  </si>
  <si>
    <t>83/101</t>
  </si>
  <si>
    <t>84/101</t>
  </si>
  <si>
    <t>Ancient Technical Machine [Ice]</t>
  </si>
  <si>
    <t>85/101</t>
  </si>
  <si>
    <t>Ancient Technical Machine [Rock]</t>
  </si>
  <si>
    <t>86/101</t>
  </si>
  <si>
    <t>Ancient Technical Machine [Steel]</t>
  </si>
  <si>
    <t>87/101</t>
  </si>
  <si>
    <t>Ancient Tomb</t>
  </si>
  <si>
    <t>88/101</t>
  </si>
  <si>
    <t>Desert Ruins</t>
  </si>
  <si>
    <t>89/101</t>
  </si>
  <si>
    <t>Island Cave</t>
  </si>
  <si>
    <t>90/101</t>
  </si>
  <si>
    <t>Life Herb</t>
  </si>
  <si>
    <t>91/101</t>
  </si>
  <si>
    <t>Magnetic Storm</t>
  </si>
  <si>
    <t>92/101</t>
  </si>
  <si>
    <t>Steven's Advice</t>
  </si>
  <si>
    <t>93/101</t>
  </si>
  <si>
    <t>94/101</t>
  </si>
  <si>
    <t>95/101</t>
  </si>
  <si>
    <t>Metagross ex</t>
  </si>
  <si>
    <t>96/101</t>
  </si>
  <si>
    <t>Ninetales ex</t>
  </si>
  <si>
    <t>97/101</t>
  </si>
  <si>
    <t>Regice ex</t>
  </si>
  <si>
    <t>98/101</t>
  </si>
  <si>
    <t>Regirock ex</t>
  </si>
  <si>
    <t>99/101</t>
  </si>
  <si>
    <t>Registeel ex</t>
  </si>
  <si>
    <t>100/101</t>
  </si>
  <si>
    <t>Vileplume ex</t>
  </si>
  <si>
    <t>101/101</t>
  </si>
  <si>
    <t>Wigglytuff ex</t>
  </si>
  <si>
    <t>102/101</t>
  </si>
  <si>
    <t>Groudon</t>
  </si>
  <si>
    <t>1/112</t>
  </si>
  <si>
    <t>2/112</t>
  </si>
  <si>
    <t>3/112</t>
  </si>
  <si>
    <t>4/112</t>
  </si>
  <si>
    <t>5/112</t>
  </si>
  <si>
    <t>6/112</t>
  </si>
  <si>
    <t>7/112</t>
  </si>
  <si>
    <t>8/112</t>
  </si>
  <si>
    <t>9/112</t>
  </si>
  <si>
    <t>10/112</t>
  </si>
  <si>
    <t>11/112</t>
  </si>
  <si>
    <t>12/112</t>
  </si>
  <si>
    <t>13/112</t>
  </si>
  <si>
    <t>14/112</t>
  </si>
  <si>
    <t>15/112</t>
  </si>
  <si>
    <t>16/112</t>
  </si>
  <si>
    <t>17/112</t>
  </si>
  <si>
    <t>18/112</t>
  </si>
  <si>
    <t>19/112</t>
  </si>
  <si>
    <t>20/112</t>
  </si>
  <si>
    <t>21/112</t>
  </si>
  <si>
    <t>22/112</t>
  </si>
  <si>
    <t>23/112</t>
  </si>
  <si>
    <t>24/112</t>
  </si>
  <si>
    <t>25/112</t>
  </si>
  <si>
    <t>26/112</t>
  </si>
  <si>
    <t>27/112</t>
  </si>
  <si>
    <t>28/112</t>
  </si>
  <si>
    <t>29/112</t>
  </si>
  <si>
    <t>30/112</t>
  </si>
  <si>
    <t>31/112</t>
  </si>
  <si>
    <t>32/112</t>
  </si>
  <si>
    <t>33/112</t>
  </si>
  <si>
    <t>34/112</t>
  </si>
  <si>
    <t>35/112</t>
  </si>
  <si>
    <t>36/112</t>
  </si>
  <si>
    <t>37/112</t>
  </si>
  <si>
    <t>38/112</t>
  </si>
  <si>
    <t>39/112</t>
  </si>
  <si>
    <t>40/112</t>
  </si>
  <si>
    <t>41/112</t>
  </si>
  <si>
    <t>42/112</t>
  </si>
  <si>
    <t>43/112</t>
  </si>
  <si>
    <t>44/112</t>
  </si>
  <si>
    <t>45/112</t>
  </si>
  <si>
    <t>46/112</t>
  </si>
  <si>
    <t>47/112</t>
  </si>
  <si>
    <t>48/112</t>
  </si>
  <si>
    <t>49/112</t>
  </si>
  <si>
    <t>50/112</t>
  </si>
  <si>
    <t>51/112</t>
  </si>
  <si>
    <t>52/112</t>
  </si>
  <si>
    <t>53/112</t>
  </si>
  <si>
    <t>54/112</t>
  </si>
  <si>
    <t>55/112</t>
  </si>
  <si>
    <t>56/112</t>
  </si>
  <si>
    <t>57/112</t>
  </si>
  <si>
    <t>58/112</t>
  </si>
  <si>
    <t>59/112</t>
  </si>
  <si>
    <t>60/112</t>
  </si>
  <si>
    <t>61/112</t>
  </si>
  <si>
    <t>62/112</t>
  </si>
  <si>
    <t>63/112</t>
  </si>
  <si>
    <t>64/112</t>
  </si>
  <si>
    <t>65/112</t>
  </si>
  <si>
    <t>66/112</t>
  </si>
  <si>
    <t>67/112</t>
  </si>
  <si>
    <t>68/112</t>
  </si>
  <si>
    <t>69/112</t>
  </si>
  <si>
    <t>70/112</t>
  </si>
  <si>
    <t>71/112</t>
  </si>
  <si>
    <t>72/112</t>
  </si>
  <si>
    <t>73/112</t>
  </si>
  <si>
    <t>74/112</t>
  </si>
  <si>
    <t>75/112</t>
  </si>
  <si>
    <t>76/112</t>
  </si>
  <si>
    <t>77/112</t>
  </si>
  <si>
    <t>78/112</t>
  </si>
  <si>
    <t>79/112</t>
  </si>
  <si>
    <t>80/112</t>
  </si>
  <si>
    <t>81/112</t>
  </si>
  <si>
    <t>82/112</t>
  </si>
  <si>
    <t>83/112</t>
  </si>
  <si>
    <t>84/112</t>
  </si>
  <si>
    <t>85/112</t>
  </si>
  <si>
    <t>86/112</t>
  </si>
  <si>
    <t>87/112</t>
  </si>
  <si>
    <t>88/112</t>
  </si>
  <si>
    <t>Celio's Network</t>
  </si>
  <si>
    <t>89/112</t>
  </si>
  <si>
    <t>90/112</t>
  </si>
  <si>
    <t>91/112</t>
  </si>
  <si>
    <t>92/112</t>
  </si>
  <si>
    <t>Great Ball</t>
  </si>
  <si>
    <t>93/112</t>
  </si>
  <si>
    <t>94/112</t>
  </si>
  <si>
    <t>Mt. Moon</t>
  </si>
  <si>
    <t>95/112</t>
  </si>
  <si>
    <t>96/112</t>
  </si>
  <si>
    <t>PokéDex HANDY909</t>
  </si>
  <si>
    <t>97/112</t>
  </si>
  <si>
    <t>98/112</t>
  </si>
  <si>
    <t>Prof. Oak's Research</t>
  </si>
  <si>
    <t>99/112</t>
  </si>
  <si>
    <t>100/112</t>
  </si>
  <si>
    <t>VS Seeker</t>
  </si>
  <si>
    <t>101/112</t>
  </si>
  <si>
    <t>102/112</t>
  </si>
  <si>
    <t>103/112</t>
  </si>
  <si>
    <t>104/112</t>
  </si>
  <si>
    <t>Blastoise ex</t>
  </si>
  <si>
    <t>105/112</t>
  </si>
  <si>
    <t>Charizard ex</t>
  </si>
  <si>
    <t>106/112</t>
  </si>
  <si>
    <t>Clefable ex</t>
  </si>
  <si>
    <t>107/112</t>
  </si>
  <si>
    <t>Electrode ex</t>
  </si>
  <si>
    <t>108/112</t>
  </si>
  <si>
    <t>Gengar ex</t>
  </si>
  <si>
    <t>109/112</t>
  </si>
  <si>
    <t>Gyarados ex</t>
  </si>
  <si>
    <t>110/112</t>
  </si>
  <si>
    <t>Mr. Mime ex</t>
  </si>
  <si>
    <t>111/112</t>
  </si>
  <si>
    <t>112/112</t>
  </si>
  <si>
    <t>Venusaur ex</t>
  </si>
  <si>
    <t>113/112</t>
  </si>
  <si>
    <t>114/112</t>
  </si>
  <si>
    <t>115/112</t>
  </si>
  <si>
    <t>116/112</t>
  </si>
  <si>
    <t>Dark Marowak</t>
  </si>
  <si>
    <t>Dark Steelix</t>
  </si>
  <si>
    <t>Darkness/Metal</t>
  </si>
  <si>
    <t>Dark Sandslash</t>
  </si>
  <si>
    <t>Rocket's Meowth</t>
  </si>
  <si>
    <t>Rocket's Wobbuffet</t>
  </si>
  <si>
    <t>Pokémon Retriever</t>
  </si>
  <si>
    <t>Pow! Hand Extension</t>
  </si>
  <si>
    <t>Rocket's Admin.</t>
  </si>
  <si>
    <t>Rocket's Mission</t>
  </si>
  <si>
    <t>Rocket's Poké Ball</t>
  </si>
  <si>
    <t>Rocket's Tricky Gym</t>
  </si>
  <si>
    <t>Surprise! Time Machine</t>
  </si>
  <si>
    <t>Swoop! Teleporter</t>
  </si>
  <si>
    <t>Venture Bomb</t>
  </si>
  <si>
    <t>Dark Metal Energy</t>
  </si>
  <si>
    <t>R Energy</t>
  </si>
  <si>
    <t>Rocket's Articuno ex</t>
  </si>
  <si>
    <t>Rocket's Entei ex</t>
  </si>
  <si>
    <t>Rocket's Hitmonchan ex</t>
  </si>
  <si>
    <t>Rocket's Mewtwo ex</t>
  </si>
  <si>
    <t>Rocket's Moltres ex</t>
  </si>
  <si>
    <t>Rocket's Scizor ex</t>
  </si>
  <si>
    <t>Rocket's Scyther ex</t>
  </si>
  <si>
    <t>103/109</t>
  </si>
  <si>
    <t>Rocket's Sneasel ex</t>
  </si>
  <si>
    <t>104/109</t>
  </si>
  <si>
    <t>Rocket's Snorlax ex</t>
  </si>
  <si>
    <t>105/109</t>
  </si>
  <si>
    <t>Rocket's Suicune ex</t>
  </si>
  <si>
    <t>106/109</t>
  </si>
  <si>
    <t>Rocket's Zapdos ex</t>
  </si>
  <si>
    <t>107/109</t>
  </si>
  <si>
    <t>108/109</t>
  </si>
  <si>
    <t>109/109</t>
  </si>
  <si>
    <t>110/109</t>
  </si>
  <si>
    <t>111/109</t>
  </si>
  <si>
    <t>1/107</t>
  </si>
  <si>
    <t>2/107</t>
  </si>
  <si>
    <t>3/107</t>
  </si>
  <si>
    <t>4/107</t>
  </si>
  <si>
    <t>5/107</t>
  </si>
  <si>
    <t>6/107</t>
  </si>
  <si>
    <t>7/107</t>
  </si>
  <si>
    <t>8/107</t>
  </si>
  <si>
    <t>9/107</t>
  </si>
  <si>
    <t>10/107</t>
  </si>
  <si>
    <t>11/107</t>
  </si>
  <si>
    <t>12/107</t>
  </si>
  <si>
    <t>13/107</t>
  </si>
  <si>
    <t>14/107</t>
  </si>
  <si>
    <t>15/107</t>
  </si>
  <si>
    <t>16/107</t>
  </si>
  <si>
    <t>Deoxys [Normal]</t>
  </si>
  <si>
    <t>17/107</t>
  </si>
  <si>
    <t>Deoxys [Attack]</t>
  </si>
  <si>
    <t>18/107</t>
  </si>
  <si>
    <t>Deoxys [Defense]</t>
  </si>
  <si>
    <t>19/107</t>
  </si>
  <si>
    <t>20/107</t>
  </si>
  <si>
    <t>21/107</t>
  </si>
  <si>
    <t>22/107</t>
  </si>
  <si>
    <t>Rayquaza</t>
  </si>
  <si>
    <t>23/107</t>
  </si>
  <si>
    <t>24/107</t>
  </si>
  <si>
    <t>25/107</t>
  </si>
  <si>
    <t>26/107</t>
  </si>
  <si>
    <t>27/107</t>
  </si>
  <si>
    <t>28/107</t>
  </si>
  <si>
    <t>29/107</t>
  </si>
  <si>
    <t>30/107</t>
  </si>
  <si>
    <t>31/107</t>
  </si>
  <si>
    <t>32/107</t>
  </si>
  <si>
    <t>33/107</t>
  </si>
  <si>
    <t>34/107</t>
  </si>
  <si>
    <t>35/107</t>
  </si>
  <si>
    <t>36/107</t>
  </si>
  <si>
    <t>37/107</t>
  </si>
  <si>
    <t>38/107</t>
  </si>
  <si>
    <t>39/107</t>
  </si>
  <si>
    <t>40/107</t>
  </si>
  <si>
    <t>41/107</t>
  </si>
  <si>
    <t>42/107</t>
  </si>
  <si>
    <t>43/107</t>
  </si>
  <si>
    <t>44/107</t>
  </si>
  <si>
    <t>45/107</t>
  </si>
  <si>
    <t>46/107</t>
  </si>
  <si>
    <t>47/107</t>
  </si>
  <si>
    <t>48/107</t>
  </si>
  <si>
    <t>49/107</t>
  </si>
  <si>
    <t>50/107</t>
  </si>
  <si>
    <t>51/107</t>
  </si>
  <si>
    <t>52/107</t>
  </si>
  <si>
    <t>53/107</t>
  </si>
  <si>
    <t>54/107</t>
  </si>
  <si>
    <t>55/107</t>
  </si>
  <si>
    <t>56/107</t>
  </si>
  <si>
    <t>57/107</t>
  </si>
  <si>
    <t>58/107</t>
  </si>
  <si>
    <t>59/107</t>
  </si>
  <si>
    <t>60/107</t>
  </si>
  <si>
    <t>61/107</t>
  </si>
  <si>
    <t>62/107</t>
  </si>
  <si>
    <t>63/107</t>
  </si>
  <si>
    <t>64/107</t>
  </si>
  <si>
    <t>65/107</t>
  </si>
  <si>
    <t>66/107</t>
  </si>
  <si>
    <t>67/107</t>
  </si>
  <si>
    <t>68/107</t>
  </si>
  <si>
    <t>69/107</t>
  </si>
  <si>
    <t>70/107</t>
  </si>
  <si>
    <t>71/107</t>
  </si>
  <si>
    <t>72/107</t>
  </si>
  <si>
    <t>73/107</t>
  </si>
  <si>
    <t>74/107</t>
  </si>
  <si>
    <t>75/107</t>
  </si>
  <si>
    <t>76/107</t>
  </si>
  <si>
    <t>77/107</t>
  </si>
  <si>
    <t>78/107</t>
  </si>
  <si>
    <t>79/107</t>
  </si>
  <si>
    <t>80/107</t>
  </si>
  <si>
    <t>81/107</t>
  </si>
  <si>
    <t>82/107</t>
  </si>
  <si>
    <t>83/107</t>
  </si>
  <si>
    <t>84/107</t>
  </si>
  <si>
    <t>85/107</t>
  </si>
  <si>
    <t>86/107</t>
  </si>
  <si>
    <t>87/107</t>
  </si>
  <si>
    <t>88/107</t>
  </si>
  <si>
    <t>89/107</t>
  </si>
  <si>
    <t>Meteor Falls</t>
  </si>
  <si>
    <t>90/107</t>
  </si>
  <si>
    <t>Professor Cozmo's Discovery</t>
  </si>
  <si>
    <t>91/107</t>
  </si>
  <si>
    <t>Space Center</t>
  </si>
  <si>
    <t>92/107</t>
  </si>
  <si>
    <t>93/107</t>
  </si>
  <si>
    <t>94/107</t>
  </si>
  <si>
    <t>Heal Energy</t>
  </si>
  <si>
    <t>95/107</t>
  </si>
  <si>
    <t>Scramble Energy</t>
  </si>
  <si>
    <t>96/107</t>
  </si>
  <si>
    <t>Crobat ex</t>
  </si>
  <si>
    <t>97/107</t>
  </si>
  <si>
    <t>Deoxys ex [Normal]</t>
  </si>
  <si>
    <t>98/107</t>
  </si>
  <si>
    <t>Deoxys ex [Attack]</t>
  </si>
  <si>
    <t>99/107</t>
  </si>
  <si>
    <t>Deoxys ex [Defense]</t>
  </si>
  <si>
    <t>100/107</t>
  </si>
  <si>
    <t>Hariyama ex</t>
  </si>
  <si>
    <t>101/107</t>
  </si>
  <si>
    <t>Manectric ex</t>
  </si>
  <si>
    <t>102/107</t>
  </si>
  <si>
    <t>103/107</t>
  </si>
  <si>
    <t>Salamence ex</t>
  </si>
  <si>
    <t>104/107</t>
  </si>
  <si>
    <t>Sharpedo ex</t>
  </si>
  <si>
    <t>105/107</t>
  </si>
  <si>
    <t>106/107</t>
  </si>
  <si>
    <t>107/107</t>
  </si>
  <si>
    <t>108/107</t>
  </si>
  <si>
    <t>Rocket's Raikou ex</t>
  </si>
  <si>
    <t>1/106</t>
  </si>
  <si>
    <t>2/106</t>
  </si>
  <si>
    <t>Deoxys [Speed]</t>
  </si>
  <si>
    <t>3/106</t>
  </si>
  <si>
    <t>4/106</t>
  </si>
  <si>
    <t>5/106</t>
  </si>
  <si>
    <t>6/106</t>
  </si>
  <si>
    <t>Kyogre</t>
  </si>
  <si>
    <t>7/106</t>
  </si>
  <si>
    <t>8/106</t>
  </si>
  <si>
    <t>9/106</t>
  </si>
  <si>
    <t>10/106</t>
  </si>
  <si>
    <t>11/106</t>
  </si>
  <si>
    <t>12/106</t>
  </si>
  <si>
    <t>13/106</t>
  </si>
  <si>
    <t>14/106</t>
  </si>
  <si>
    <t>15/106</t>
  </si>
  <si>
    <t>16/106</t>
  </si>
  <si>
    <t>17/106</t>
  </si>
  <si>
    <t>18/106</t>
  </si>
  <si>
    <t>19/106</t>
  </si>
  <si>
    <t>20/106</t>
  </si>
  <si>
    <t>21/106</t>
  </si>
  <si>
    <t>22/106</t>
  </si>
  <si>
    <t>23/106</t>
  </si>
  <si>
    <t>24/106</t>
  </si>
  <si>
    <t>25/106</t>
  </si>
  <si>
    <t>26/106</t>
  </si>
  <si>
    <t>27/106</t>
  </si>
  <si>
    <t>28/106</t>
  </si>
  <si>
    <t>29/106</t>
  </si>
  <si>
    <t>30/106</t>
  </si>
  <si>
    <t>31/106</t>
  </si>
  <si>
    <t>32/106</t>
  </si>
  <si>
    <t>33/106</t>
  </si>
  <si>
    <t>34/106</t>
  </si>
  <si>
    <t>35/106</t>
  </si>
  <si>
    <t>36/106</t>
  </si>
  <si>
    <t>37/106</t>
  </si>
  <si>
    <t>38/106</t>
  </si>
  <si>
    <t>39/106</t>
  </si>
  <si>
    <t>40/106</t>
  </si>
  <si>
    <t>41/106</t>
  </si>
  <si>
    <t>42/106</t>
  </si>
  <si>
    <t>43/106</t>
  </si>
  <si>
    <t>44/106</t>
  </si>
  <si>
    <t>45/106</t>
  </si>
  <si>
    <t>46/106</t>
  </si>
  <si>
    <t>47/106</t>
  </si>
  <si>
    <t>48/106</t>
  </si>
  <si>
    <t>49/106</t>
  </si>
  <si>
    <t>50/106</t>
  </si>
  <si>
    <t>51/106</t>
  </si>
  <si>
    <t>52/106</t>
  </si>
  <si>
    <t>53/106</t>
  </si>
  <si>
    <t>54/106</t>
  </si>
  <si>
    <t>55/106</t>
  </si>
  <si>
    <t>56/106</t>
  </si>
  <si>
    <t>57/106</t>
  </si>
  <si>
    <t>58/106</t>
  </si>
  <si>
    <t>59/106</t>
  </si>
  <si>
    <t>60/106</t>
  </si>
  <si>
    <t>61/106</t>
  </si>
  <si>
    <t>62/106</t>
  </si>
  <si>
    <t>63/106</t>
  </si>
  <si>
    <t>64/106</t>
  </si>
  <si>
    <t>65/106</t>
  </si>
  <si>
    <t>66/106</t>
  </si>
  <si>
    <t>67/106</t>
  </si>
  <si>
    <t>68/106</t>
  </si>
  <si>
    <t>69/106</t>
  </si>
  <si>
    <t>70/106</t>
  </si>
  <si>
    <t>71/106</t>
  </si>
  <si>
    <t>72/106</t>
  </si>
  <si>
    <t>73/106</t>
  </si>
  <si>
    <t>74/106</t>
  </si>
  <si>
    <t>75/106</t>
  </si>
  <si>
    <t>Battle Frontier</t>
  </si>
  <si>
    <t>76/106</t>
  </si>
  <si>
    <t>77/106</t>
  </si>
  <si>
    <t>78/106</t>
  </si>
  <si>
    <t>79/106</t>
  </si>
  <si>
    <t>Mr. Stone's Project</t>
  </si>
  <si>
    <t>80/106</t>
  </si>
  <si>
    <t>81/106</t>
  </si>
  <si>
    <t>82/106</t>
  </si>
  <si>
    <t>83/106</t>
  </si>
  <si>
    <t>84/106</t>
  </si>
  <si>
    <t>Scott</t>
  </si>
  <si>
    <t>85/106</t>
  </si>
  <si>
    <t>86/106</t>
  </si>
  <si>
    <t>87/106</t>
  </si>
  <si>
    <t>88/106</t>
  </si>
  <si>
    <t>89/106</t>
  </si>
  <si>
    <t>90/106</t>
  </si>
  <si>
    <t>Altaria ex</t>
  </si>
  <si>
    <t>91/106</t>
  </si>
  <si>
    <t>Cacturne ex</t>
  </si>
  <si>
    <t>92/106</t>
  </si>
  <si>
    <t>Camerupt ex</t>
  </si>
  <si>
    <t>93/106</t>
  </si>
  <si>
    <t>Deoxys ex [Speed]</t>
  </si>
  <si>
    <t>94/106</t>
  </si>
  <si>
    <t>Dusclops ex</t>
  </si>
  <si>
    <t>95/106</t>
  </si>
  <si>
    <t>Medicham ex</t>
  </si>
  <si>
    <t>96/106</t>
  </si>
  <si>
    <t>Milotic ex</t>
  </si>
  <si>
    <t>97/106</t>
  </si>
  <si>
    <t>98/106</t>
  </si>
  <si>
    <t>99/106</t>
  </si>
  <si>
    <t>100/106</t>
  </si>
  <si>
    <t>107/106</t>
  </si>
  <si>
    <t>13/17</t>
  </si>
  <si>
    <t>14/17</t>
  </si>
  <si>
    <t>15/17</t>
  </si>
  <si>
    <t>16/17</t>
  </si>
  <si>
    <t>17/17</t>
  </si>
  <si>
    <t>Celebi ex</t>
  </si>
  <si>
    <t>1/115</t>
  </si>
  <si>
    <t>2/115</t>
  </si>
  <si>
    <t>3/115</t>
  </si>
  <si>
    <t>4/115</t>
  </si>
  <si>
    <t>5/115</t>
  </si>
  <si>
    <t>6/115</t>
  </si>
  <si>
    <t>7/115</t>
  </si>
  <si>
    <t>8/115</t>
  </si>
  <si>
    <t>9/115</t>
  </si>
  <si>
    <t>10/115</t>
  </si>
  <si>
    <t>11/115</t>
  </si>
  <si>
    <t>12/115</t>
  </si>
  <si>
    <t>13/115</t>
  </si>
  <si>
    <t>14/115</t>
  </si>
  <si>
    <t>15/115</t>
  </si>
  <si>
    <t>16/115</t>
  </si>
  <si>
    <t>17/115</t>
  </si>
  <si>
    <t>18/115</t>
  </si>
  <si>
    <t>19/115</t>
  </si>
  <si>
    <t>20/115</t>
  </si>
  <si>
    <t>21/115</t>
  </si>
  <si>
    <t>22/115</t>
  </si>
  <si>
    <t>23/115</t>
  </si>
  <si>
    <t>24/115</t>
  </si>
  <si>
    <t>25/115</t>
  </si>
  <si>
    <t>26/115</t>
  </si>
  <si>
    <t>27/115</t>
  </si>
  <si>
    <t>28/115</t>
  </si>
  <si>
    <t>29/115</t>
  </si>
  <si>
    <t>30/115</t>
  </si>
  <si>
    <t>31/115</t>
  </si>
  <si>
    <t>32/115</t>
  </si>
  <si>
    <t>33/115</t>
  </si>
  <si>
    <t>34/115</t>
  </si>
  <si>
    <t>35/115</t>
  </si>
  <si>
    <t>36/115</t>
  </si>
  <si>
    <t>37/115</t>
  </si>
  <si>
    <t>38/115</t>
  </si>
  <si>
    <t>39/115</t>
  </si>
  <si>
    <t>40/115</t>
  </si>
  <si>
    <t>41/115</t>
  </si>
  <si>
    <t>42/115</t>
  </si>
  <si>
    <t>43/115</t>
  </si>
  <si>
    <t>44/115</t>
  </si>
  <si>
    <t>45/115</t>
  </si>
  <si>
    <t>46/115</t>
  </si>
  <si>
    <t>47/115</t>
  </si>
  <si>
    <t>48/115</t>
  </si>
  <si>
    <t>49/115</t>
  </si>
  <si>
    <t>50/115</t>
  </si>
  <si>
    <t>51/115</t>
  </si>
  <si>
    <t>52/115</t>
  </si>
  <si>
    <t>53/115</t>
  </si>
  <si>
    <t>54/115</t>
  </si>
  <si>
    <t>55/115</t>
  </si>
  <si>
    <t>56/115</t>
  </si>
  <si>
    <t>57/115</t>
  </si>
  <si>
    <t>58/115</t>
  </si>
  <si>
    <t>59/115</t>
  </si>
  <si>
    <t>60/115</t>
  </si>
  <si>
    <t>61/115</t>
  </si>
  <si>
    <t>62/115</t>
  </si>
  <si>
    <t>63/115</t>
  </si>
  <si>
    <t>64/115</t>
  </si>
  <si>
    <t>65/115</t>
  </si>
  <si>
    <t>66/115</t>
  </si>
  <si>
    <t>67/115</t>
  </si>
  <si>
    <t>68/115</t>
  </si>
  <si>
    <t>69/115</t>
  </si>
  <si>
    <t>70/115</t>
  </si>
  <si>
    <t>71/115</t>
  </si>
  <si>
    <t>72/115</t>
  </si>
  <si>
    <t>73/115</t>
  </si>
  <si>
    <t>74/115</t>
  </si>
  <si>
    <t>75/115</t>
  </si>
  <si>
    <t>76/115</t>
  </si>
  <si>
    <t>77/115</t>
  </si>
  <si>
    <t>78/115</t>
  </si>
  <si>
    <t>79/115</t>
  </si>
  <si>
    <t>80/115</t>
  </si>
  <si>
    <t>Curse Powder</t>
  </si>
  <si>
    <t>81/115</t>
  </si>
  <si>
    <t>82/115</t>
  </si>
  <si>
    <t>83/115</t>
  </si>
  <si>
    <t>Energy Root</t>
  </si>
  <si>
    <t>84/115</t>
  </si>
  <si>
    <t>85/115</t>
  </si>
  <si>
    <t>Fluffy Berry</t>
  </si>
  <si>
    <t>86/115</t>
  </si>
  <si>
    <t>Mary's Request</t>
  </si>
  <si>
    <t>87/115</t>
  </si>
  <si>
    <t>88/115</t>
  </si>
  <si>
    <t>89/115</t>
  </si>
  <si>
    <t>90/115</t>
  </si>
  <si>
    <t>Protective Orb</t>
  </si>
  <si>
    <t>91/115</t>
  </si>
  <si>
    <t>Sitrus Berry</t>
  </si>
  <si>
    <t>92/115</t>
  </si>
  <si>
    <t>Solid Rage</t>
  </si>
  <si>
    <t>93/115</t>
  </si>
  <si>
    <t>94/115</t>
  </si>
  <si>
    <t>95/115</t>
  </si>
  <si>
    <t>96/115</t>
  </si>
  <si>
    <t>97/115</t>
  </si>
  <si>
    <t>98/115</t>
  </si>
  <si>
    <t>99/115</t>
  </si>
  <si>
    <t>100/115</t>
  </si>
  <si>
    <t>101/115</t>
  </si>
  <si>
    <t>Blissey ex</t>
  </si>
  <si>
    <t>102/115</t>
  </si>
  <si>
    <t>Espeon ex</t>
  </si>
  <si>
    <t>103/115</t>
  </si>
  <si>
    <t>Feraligatr ex</t>
  </si>
  <si>
    <t>104/115</t>
  </si>
  <si>
    <t>Ho-Oh ex</t>
  </si>
  <si>
    <t>105/115</t>
  </si>
  <si>
    <t>Lugia ex</t>
  </si>
  <si>
    <t>106/115</t>
  </si>
  <si>
    <t>Meganium ex</t>
  </si>
  <si>
    <t>107/115</t>
  </si>
  <si>
    <t>Politoed ex</t>
  </si>
  <si>
    <t>108/115</t>
  </si>
  <si>
    <t>Scizor ex</t>
  </si>
  <si>
    <t>109/115</t>
  </si>
  <si>
    <t>Steelix ex</t>
  </si>
  <si>
    <t>110/115</t>
  </si>
  <si>
    <t>111/115</t>
  </si>
  <si>
    <t>Tyranitar ex</t>
  </si>
  <si>
    <t>112/115</t>
  </si>
  <si>
    <t>Umbreon ex</t>
  </si>
  <si>
    <t>113/115</t>
  </si>
  <si>
    <t>114/115</t>
  </si>
  <si>
    <t>115/115</t>
  </si>
  <si>
    <t>116/115</t>
  </si>
  <si>
    <t>Rocket's Persian ex</t>
  </si>
  <si>
    <t>117/115</t>
  </si>
  <si>
    <t>1/113</t>
  </si>
  <si>
    <t>Beedrill δ</t>
  </si>
  <si>
    <t>Grass/Metal</t>
  </si>
  <si>
    <t>2/113</t>
  </si>
  <si>
    <t>Crobat δ</t>
  </si>
  <si>
    <t>3/113</t>
  </si>
  <si>
    <t>Dragonite δ</t>
  </si>
  <si>
    <t>Lightning/Metal</t>
  </si>
  <si>
    <t>4/113</t>
  </si>
  <si>
    <t>Espeon δ</t>
  </si>
  <si>
    <t>5/113</t>
  </si>
  <si>
    <t>Flareon δ</t>
  </si>
  <si>
    <t>Fire/Metal</t>
  </si>
  <si>
    <t>6/113</t>
  </si>
  <si>
    <t>Gardevoir δ</t>
  </si>
  <si>
    <t>7/113</t>
  </si>
  <si>
    <t>Jolteon δ</t>
  </si>
  <si>
    <t>8/113</t>
  </si>
  <si>
    <t>Latias δ</t>
  </si>
  <si>
    <t>9/113</t>
  </si>
  <si>
    <t>Latios δ</t>
  </si>
  <si>
    <t>10/113</t>
  </si>
  <si>
    <t>Marowak δ</t>
  </si>
  <si>
    <t>Fighting/Metal</t>
  </si>
  <si>
    <t>11/113</t>
  </si>
  <si>
    <t>Metagross δ</t>
  </si>
  <si>
    <t>12/113</t>
  </si>
  <si>
    <t>Mewtwo δ</t>
  </si>
  <si>
    <t>13/113</t>
  </si>
  <si>
    <t>Rayquaza δ</t>
  </si>
  <si>
    <t>14/113</t>
  </si>
  <si>
    <t>Salamence δ</t>
  </si>
  <si>
    <t>15/113</t>
  </si>
  <si>
    <t>Starmie δ</t>
  </si>
  <si>
    <t>Water/Metal</t>
  </si>
  <si>
    <t>16/113</t>
  </si>
  <si>
    <t>Tyranitar δ</t>
  </si>
  <si>
    <t>17/113</t>
  </si>
  <si>
    <t>Umbreon δ</t>
  </si>
  <si>
    <t>18/113</t>
  </si>
  <si>
    <t>Vaporeon δ</t>
  </si>
  <si>
    <t>19/113</t>
  </si>
  <si>
    <t>Azumarill δ</t>
  </si>
  <si>
    <t>20/113</t>
  </si>
  <si>
    <t>21/113</t>
  </si>
  <si>
    <t>Holon's Electrode</t>
  </si>
  <si>
    <t>22/113</t>
  </si>
  <si>
    <t>Holon's Magneton</t>
  </si>
  <si>
    <t>23/113</t>
  </si>
  <si>
    <t>24/113</t>
  </si>
  <si>
    <t>Mightyena δ</t>
  </si>
  <si>
    <t>25/113</t>
  </si>
  <si>
    <t>26/113</t>
  </si>
  <si>
    <t>27/113</t>
  </si>
  <si>
    <t>Sandslash δ</t>
  </si>
  <si>
    <t>28/113</t>
  </si>
  <si>
    <t>29/113</t>
  </si>
  <si>
    <t>30/113</t>
  </si>
  <si>
    <t>31/113</t>
  </si>
  <si>
    <t>32/113</t>
  </si>
  <si>
    <t>33/113</t>
  </si>
  <si>
    <t>34/113</t>
  </si>
  <si>
    <t>35/113</t>
  </si>
  <si>
    <t>36/113</t>
  </si>
  <si>
    <t>Ditto [Bulbasaur]</t>
  </si>
  <si>
    <t>37/113</t>
  </si>
  <si>
    <t>Ditto [Charmander]</t>
  </si>
  <si>
    <t>38/113</t>
  </si>
  <si>
    <t>Ditto [Mr. Mime]</t>
  </si>
  <si>
    <t>39/113</t>
  </si>
  <si>
    <t>Ditto [Pikachu]</t>
  </si>
  <si>
    <t>40/113</t>
  </si>
  <si>
    <t>Ditto [Squirtle]</t>
  </si>
  <si>
    <t>41/113</t>
  </si>
  <si>
    <t>Dragonair δ</t>
  </si>
  <si>
    <t>42/113</t>
  </si>
  <si>
    <t>43/113</t>
  </si>
  <si>
    <t>44/113</t>
  </si>
  <si>
    <t>45/113</t>
  </si>
  <si>
    <t>46/113</t>
  </si>
  <si>
    <t>47/113</t>
  </si>
  <si>
    <t>48/113</t>
  </si>
  <si>
    <t>49/113</t>
  </si>
  <si>
    <t>Metang δ</t>
  </si>
  <si>
    <t>50/113</t>
  </si>
  <si>
    <t>51/113</t>
  </si>
  <si>
    <t>Pupitar δ</t>
  </si>
  <si>
    <t>52/113</t>
  </si>
  <si>
    <t>53/113</t>
  </si>
  <si>
    <t>Shelgon δ</t>
  </si>
  <si>
    <t>54/113</t>
  </si>
  <si>
    <t>55/113</t>
  </si>
  <si>
    <t>56/113</t>
  </si>
  <si>
    <t>57/113</t>
  </si>
  <si>
    <t>Bagon δ</t>
  </si>
  <si>
    <t>58/113</t>
  </si>
  <si>
    <t>59/113</t>
  </si>
  <si>
    <t>Beldum δ</t>
  </si>
  <si>
    <t>60/113</t>
  </si>
  <si>
    <t>61/113</t>
  </si>
  <si>
    <t>62/113</t>
  </si>
  <si>
    <t>Ditto [Geodude]</t>
  </si>
  <si>
    <t>63/113</t>
  </si>
  <si>
    <t>64/113</t>
  </si>
  <si>
    <t>65/113</t>
  </si>
  <si>
    <t>Dratini δ</t>
  </si>
  <si>
    <t>66/113</t>
  </si>
  <si>
    <t>67/113</t>
  </si>
  <si>
    <t>68/113</t>
  </si>
  <si>
    <t>Eevee δ</t>
  </si>
  <si>
    <t>69/113</t>
  </si>
  <si>
    <t>70/113</t>
  </si>
  <si>
    <t>Holon's Magnemite</t>
  </si>
  <si>
    <t>71/113</t>
  </si>
  <si>
    <t>Holon's Voltorb</t>
  </si>
  <si>
    <t>72/113</t>
  </si>
  <si>
    <t>73/113</t>
  </si>
  <si>
    <t>Larvitar δ</t>
  </si>
  <si>
    <t>74/113</t>
  </si>
  <si>
    <t>75/113</t>
  </si>
  <si>
    <t>76/113</t>
  </si>
  <si>
    <t>77/113</t>
  </si>
  <si>
    <t>78/113</t>
  </si>
  <si>
    <t>79/113</t>
  </si>
  <si>
    <t>80/113</t>
  </si>
  <si>
    <t>81/113</t>
  </si>
  <si>
    <t>82/113</t>
  </si>
  <si>
    <t>83/113</t>
  </si>
  <si>
    <t>84/113</t>
  </si>
  <si>
    <t>85/113</t>
  </si>
  <si>
    <t>86/113</t>
  </si>
  <si>
    <t>87/113</t>
  </si>
  <si>
    <t>88/113</t>
  </si>
  <si>
    <t>89/113</t>
  </si>
  <si>
    <t>90/113</t>
  </si>
  <si>
    <t>91/113</t>
  </si>
  <si>
    <t>Holon Farmer</t>
  </si>
  <si>
    <t>92/113</t>
  </si>
  <si>
    <t>Holon Lass</t>
  </si>
  <si>
    <t>93/113</t>
  </si>
  <si>
    <t>Holon Mentor</t>
  </si>
  <si>
    <t>94/113</t>
  </si>
  <si>
    <t>Holon Research Tower</t>
  </si>
  <si>
    <t>95/113</t>
  </si>
  <si>
    <t>Holon Researcher</t>
  </si>
  <si>
    <t>96/113</t>
  </si>
  <si>
    <t>Holon Ruins</t>
  </si>
  <si>
    <t>97/113</t>
  </si>
  <si>
    <t>Holon Scientist</t>
  </si>
  <si>
    <t>98/113</t>
  </si>
  <si>
    <t>Holon Transceiver</t>
  </si>
  <si>
    <t>99/113</t>
  </si>
  <si>
    <t>100/113</t>
  </si>
  <si>
    <t>101/113</t>
  </si>
  <si>
    <t>102/113</t>
  </si>
  <si>
    <t>103/113</t>
  </si>
  <si>
    <t>104/113</t>
  </si>
  <si>
    <t>Holon Energy FF</t>
  </si>
  <si>
    <t>105/113</t>
  </si>
  <si>
    <t>Holon Energy GL</t>
  </si>
  <si>
    <t>106/113</t>
  </si>
  <si>
    <t>Holon Energy WP</t>
  </si>
  <si>
    <t>107/113</t>
  </si>
  <si>
    <t>108/113</t>
  </si>
  <si>
    <t>Flareon ex</t>
  </si>
  <si>
    <t>109/113</t>
  </si>
  <si>
    <t>Jolteon ex</t>
  </si>
  <si>
    <t>110/113</t>
  </si>
  <si>
    <t>Vaporeon ex</t>
  </si>
  <si>
    <t>111/113</t>
  </si>
  <si>
    <t>112/113</t>
  </si>
  <si>
    <t>113/113</t>
  </si>
  <si>
    <t>114/113</t>
  </si>
  <si>
    <t>1/92</t>
  </si>
  <si>
    <t>2/92</t>
  </si>
  <si>
    <t>3/92</t>
  </si>
  <si>
    <t>4/92</t>
  </si>
  <si>
    <t>5/92</t>
  </si>
  <si>
    <t>6/92</t>
  </si>
  <si>
    <t>7/92</t>
  </si>
  <si>
    <t>8/92</t>
  </si>
  <si>
    <t>9/92</t>
  </si>
  <si>
    <t>10/92</t>
  </si>
  <si>
    <t>11/92</t>
  </si>
  <si>
    <t>12/92</t>
  </si>
  <si>
    <t>13/92</t>
  </si>
  <si>
    <t>14/92</t>
  </si>
  <si>
    <t>15/92</t>
  </si>
  <si>
    <t>16/92</t>
  </si>
  <si>
    <t>17/92</t>
  </si>
  <si>
    <t>18/92</t>
  </si>
  <si>
    <t>19/92</t>
  </si>
  <si>
    <t>20/92</t>
  </si>
  <si>
    <t>21/92</t>
  </si>
  <si>
    <t>22/92</t>
  </si>
  <si>
    <t>23/92</t>
  </si>
  <si>
    <t>24/92</t>
  </si>
  <si>
    <t>25/92</t>
  </si>
  <si>
    <t>26/92</t>
  </si>
  <si>
    <t>27/92</t>
  </si>
  <si>
    <t>28/92</t>
  </si>
  <si>
    <t>29/92</t>
  </si>
  <si>
    <t>30/92</t>
  </si>
  <si>
    <t>31/92</t>
  </si>
  <si>
    <t>32/92</t>
  </si>
  <si>
    <t>33/92</t>
  </si>
  <si>
    <t>34/92</t>
  </si>
  <si>
    <t>35/92</t>
  </si>
  <si>
    <t>36/92</t>
  </si>
  <si>
    <t>37/92</t>
  </si>
  <si>
    <t>38/92</t>
  </si>
  <si>
    <t>39/92</t>
  </si>
  <si>
    <t>40/92</t>
  </si>
  <si>
    <t>41/92</t>
  </si>
  <si>
    <t>42/92</t>
  </si>
  <si>
    <t>43/92</t>
  </si>
  <si>
    <t>44/92</t>
  </si>
  <si>
    <t>45/92</t>
  </si>
  <si>
    <t>46/92</t>
  </si>
  <si>
    <t>47/92</t>
  </si>
  <si>
    <t>48/92</t>
  </si>
  <si>
    <t>49/92</t>
  </si>
  <si>
    <t>50/92</t>
  </si>
  <si>
    <t>51/92</t>
  </si>
  <si>
    <t>52/92</t>
  </si>
  <si>
    <t>53/92</t>
  </si>
  <si>
    <t>54/92</t>
  </si>
  <si>
    <t>55/92</t>
  </si>
  <si>
    <t>56/92</t>
  </si>
  <si>
    <t>57/92</t>
  </si>
  <si>
    <t>58/92</t>
  </si>
  <si>
    <t>59/92</t>
  </si>
  <si>
    <t>60/92</t>
  </si>
  <si>
    <t>61/92</t>
  </si>
  <si>
    <t>62/92</t>
  </si>
  <si>
    <t>63/92</t>
  </si>
  <si>
    <t>64/92</t>
  </si>
  <si>
    <t>65/92</t>
  </si>
  <si>
    <t>66/92</t>
  </si>
  <si>
    <t>67/92</t>
  </si>
  <si>
    <t>68/92</t>
  </si>
  <si>
    <t>69/92</t>
  </si>
  <si>
    <t>70/92</t>
  </si>
  <si>
    <t>71/92</t>
  </si>
  <si>
    <t>72/92</t>
  </si>
  <si>
    <t>Cursed Stone</t>
  </si>
  <si>
    <t>73/92</t>
  </si>
  <si>
    <t>Fieldworker</t>
  </si>
  <si>
    <t>74/92</t>
  </si>
  <si>
    <t>Full Flame</t>
  </si>
  <si>
    <t>75/92</t>
  </si>
  <si>
    <t>Giant Stump</t>
  </si>
  <si>
    <t>76/92</t>
  </si>
  <si>
    <t>Power Tree</t>
  </si>
  <si>
    <t>77/92</t>
  </si>
  <si>
    <t>Strange Cave</t>
  </si>
  <si>
    <t>78/92</t>
  </si>
  <si>
    <t>79/92</t>
  </si>
  <si>
    <t>80/92</t>
  </si>
  <si>
    <t>81/92</t>
  </si>
  <si>
    <t>82/92</t>
  </si>
  <si>
    <t>React Energy</t>
  </si>
  <si>
    <t>83/92</t>
  </si>
  <si>
    <t>Arcanine ex</t>
  </si>
  <si>
    <t>84/92</t>
  </si>
  <si>
    <t>Armaldo ex</t>
  </si>
  <si>
    <t>85/92</t>
  </si>
  <si>
    <t>Banette ex</t>
  </si>
  <si>
    <t>86/92</t>
  </si>
  <si>
    <t>Dustox ex</t>
  </si>
  <si>
    <t>87/92</t>
  </si>
  <si>
    <t>Flygon ex</t>
  </si>
  <si>
    <t>88/92</t>
  </si>
  <si>
    <t>Mew ex</t>
  </si>
  <si>
    <t>89/92</t>
  </si>
  <si>
    <t>Walrein ex</t>
  </si>
  <si>
    <t>90/92</t>
  </si>
  <si>
    <t>91/92</t>
  </si>
  <si>
    <t>92/92</t>
  </si>
  <si>
    <t>93/92</t>
  </si>
  <si>
    <t>Armaldo δ</t>
  </si>
  <si>
    <t>Cradily δ</t>
  </si>
  <si>
    <t>Deoxys δ [Attack]</t>
  </si>
  <si>
    <t>Deoxys δ [Defense]</t>
  </si>
  <si>
    <t>Deoxys δ [Normal]</t>
  </si>
  <si>
    <t>Deoxys δ [Speed]</t>
  </si>
  <si>
    <t>Flygon δ</t>
  </si>
  <si>
    <t>Gyarados δ</t>
  </si>
  <si>
    <t>Kabutops δ</t>
  </si>
  <si>
    <t>Kingdra δ</t>
  </si>
  <si>
    <t>Omastar δ</t>
  </si>
  <si>
    <t>Pidgeot δ</t>
  </si>
  <si>
    <t>Raichu δ</t>
  </si>
  <si>
    <t>Vileplume δ</t>
  </si>
  <si>
    <t>Bellossom δ</t>
  </si>
  <si>
    <t>Regice</t>
  </si>
  <si>
    <t>Regirock</t>
  </si>
  <si>
    <t>Registeel</t>
  </si>
  <si>
    <t>Aerodactyl δ</t>
  </si>
  <si>
    <t>Chimecho δ</t>
  </si>
  <si>
    <t>Exeggutor δ</t>
  </si>
  <si>
    <t>Gloom δ</t>
  </si>
  <si>
    <t>Golduck δ</t>
  </si>
  <si>
    <t>Holon's Castform</t>
  </si>
  <si>
    <t>Persian δ</t>
  </si>
  <si>
    <t>Pidgeotto δ</t>
  </si>
  <si>
    <t>Primeape δ</t>
  </si>
  <si>
    <t>Lightnijg</t>
  </si>
  <si>
    <t>Seadra δ</t>
  </si>
  <si>
    <t>Sharpedo δ</t>
  </si>
  <si>
    <t>Vibrava δ</t>
  </si>
  <si>
    <t>Anorith δ</t>
  </si>
  <si>
    <t>Carvanha δ</t>
  </si>
  <si>
    <t>Exeggcute δ</t>
  </si>
  <si>
    <t>Horsea δ</t>
  </si>
  <si>
    <t>Kabuto δ</t>
  </si>
  <si>
    <t>Lileep δ</t>
  </si>
  <si>
    <t>Magikarp δ</t>
  </si>
  <si>
    <t>Mankey δ</t>
  </si>
  <si>
    <t>Meowth δ</t>
  </si>
  <si>
    <t>Oddish δ</t>
  </si>
  <si>
    <t>Omanyte δ</t>
  </si>
  <si>
    <t>Pichu δ</t>
  </si>
  <si>
    <t>Pidgey δ</t>
  </si>
  <si>
    <t>Psyduck δ</t>
  </si>
  <si>
    <t>Trapinch δ</t>
  </si>
  <si>
    <t>Holon Adventurer</t>
  </si>
  <si>
    <t>Holon Fossil</t>
  </si>
  <si>
    <t>Holon Lake</t>
  </si>
  <si>
    <t>δ Rainbow Energy</t>
  </si>
  <si>
    <t>Crawdaunt ex</t>
  </si>
  <si>
    <t>Mightyena ex</t>
  </si>
  <si>
    <t>111/110</t>
  </si>
  <si>
    <t>Blastoise δ</t>
  </si>
  <si>
    <t>Charizard δ</t>
  </si>
  <si>
    <t>Ludicolo δ</t>
  </si>
  <si>
    <t>Cacturne δ</t>
  </si>
  <si>
    <t>Fearow δ</t>
  </si>
  <si>
    <t>Grovyle δ</t>
  </si>
  <si>
    <t>Kingler δ</t>
  </si>
  <si>
    <t>Pelipper δ</t>
  </si>
  <si>
    <t>Charmeleon δ</t>
  </si>
  <si>
    <t>Charmander δ</t>
  </si>
  <si>
    <t>Treecko δ</t>
  </si>
  <si>
    <t>Castaway</t>
  </si>
  <si>
    <t>Cessation Crystal</t>
  </si>
  <si>
    <t>Crystal Beach</t>
  </si>
  <si>
    <t>Holon Circle</t>
  </si>
  <si>
    <t>Mysterious Shard</t>
  </si>
  <si>
    <t>Windstorm</t>
  </si>
  <si>
    <t>Delcatty ex</t>
  </si>
  <si>
    <t>Exploud ex</t>
  </si>
  <si>
    <t>Jirachi ex</t>
  </si>
  <si>
    <t>Sceptile ex δ</t>
  </si>
  <si>
    <t>Shiftry ex</t>
  </si>
  <si>
    <t>Ampharos δ</t>
  </si>
  <si>
    <t>Feraligatr δ</t>
  </si>
  <si>
    <t>Heracross δ</t>
  </si>
  <si>
    <t>Meganium δ</t>
  </si>
  <si>
    <t>Milotic δ</t>
  </si>
  <si>
    <t>Nidoking δ</t>
  </si>
  <si>
    <t>Nidoqueen δ</t>
  </si>
  <si>
    <t>Ninetales δ</t>
  </si>
  <si>
    <t>Pinsir δ</t>
  </si>
  <si>
    <t>Snorlax δ</t>
  </si>
  <si>
    <t>Togetic δ</t>
  </si>
  <si>
    <t>Typhlosion δ</t>
  </si>
  <si>
    <t>Arbok δ</t>
  </si>
  <si>
    <t>Cloyster δ</t>
  </si>
  <si>
    <t>Dewgong δ</t>
  </si>
  <si>
    <t>Gligar δ</t>
  </si>
  <si>
    <t>Jynx δ</t>
  </si>
  <si>
    <t>Ledian δ</t>
  </si>
  <si>
    <t>Lickitung δ</t>
  </si>
  <si>
    <t>Mantine δ</t>
  </si>
  <si>
    <t>Quagsire δ</t>
  </si>
  <si>
    <t>Tropius δ</t>
  </si>
  <si>
    <t>Xatu δ</t>
  </si>
  <si>
    <t>Bayleef δ</t>
  </si>
  <si>
    <t>Croconaw δ</t>
  </si>
  <si>
    <t>Electabuzz δ</t>
  </si>
  <si>
    <t>Flaaffy δ</t>
  </si>
  <si>
    <t>Kirlia δ</t>
  </si>
  <si>
    <t>Nidorina δ</t>
  </si>
  <si>
    <t>Nidorino δ</t>
  </si>
  <si>
    <t>Quilava δ</t>
  </si>
  <si>
    <t>Smeargle δ</t>
  </si>
  <si>
    <t>Swellow δ</t>
  </si>
  <si>
    <t>Togepi δ</t>
  </si>
  <si>
    <t>Chikorita δ</t>
  </si>
  <si>
    <t>Cyndaquil δ</t>
  </si>
  <si>
    <t>Ekans δ</t>
  </si>
  <si>
    <t>Elekid δ</t>
  </si>
  <si>
    <t>Feebas δ</t>
  </si>
  <si>
    <t>Ledyba δ</t>
  </si>
  <si>
    <t>Mareep δ</t>
  </si>
  <si>
    <t>Natu δ</t>
  </si>
  <si>
    <t>Nidoran♀ δ</t>
  </si>
  <si>
    <t>Nidoran♂ δ</t>
  </si>
  <si>
    <t>Ralts δ</t>
  </si>
  <si>
    <t>Seel δ</t>
  </si>
  <si>
    <t>Shellder δ</t>
  </si>
  <si>
    <t>Smoochum δ</t>
  </si>
  <si>
    <t>Swablu δ</t>
  </si>
  <si>
    <t>Taillow δ</t>
  </si>
  <si>
    <t>Totodile δ</t>
  </si>
  <si>
    <t>Vulpix δ</t>
  </si>
  <si>
    <t>Wooper δ</t>
  </si>
  <si>
    <t>Holon Legacy</t>
  </si>
  <si>
    <t>Island Hermit</t>
  </si>
  <si>
    <t>Altaria ex δ</t>
  </si>
  <si>
    <t>Dragonite ex δ</t>
  </si>
  <si>
    <t>Flygon ex δ</t>
  </si>
  <si>
    <t>Gardevoir ex δ</t>
  </si>
  <si>
    <t>Kingdra ex δ</t>
  </si>
  <si>
    <t>Latias ex δ</t>
  </si>
  <si>
    <t>Latios ex δ</t>
  </si>
  <si>
    <t>Rayquaza ex δ</t>
  </si>
  <si>
    <t>Salamence ex δ</t>
  </si>
  <si>
    <t>Tyranitar ex δ</t>
  </si>
  <si>
    <t>1/108</t>
  </si>
  <si>
    <t>2/108</t>
  </si>
  <si>
    <t>3/108</t>
  </si>
  <si>
    <t>4/108</t>
  </si>
  <si>
    <t>5/108</t>
  </si>
  <si>
    <t>6/108</t>
  </si>
  <si>
    <t>7/108</t>
  </si>
  <si>
    <t>8/108</t>
  </si>
  <si>
    <t>9/108</t>
  </si>
  <si>
    <t>10/108</t>
  </si>
  <si>
    <t>11/108</t>
  </si>
  <si>
    <t>12/108</t>
  </si>
  <si>
    <t>13/108</t>
  </si>
  <si>
    <t>14/108</t>
  </si>
  <si>
    <t>15/108</t>
  </si>
  <si>
    <t>16/108</t>
  </si>
  <si>
    <t>17/108</t>
  </si>
  <si>
    <t>18/108</t>
  </si>
  <si>
    <t>19/108</t>
  </si>
  <si>
    <t>20/108</t>
  </si>
  <si>
    <t>21/108</t>
  </si>
  <si>
    <t>22/108</t>
  </si>
  <si>
    <t>23/108</t>
  </si>
  <si>
    <t>24/108</t>
  </si>
  <si>
    <t>25/108</t>
  </si>
  <si>
    <t>26/108</t>
  </si>
  <si>
    <t>27/108</t>
  </si>
  <si>
    <t>28/108</t>
  </si>
  <si>
    <t>29/108</t>
  </si>
  <si>
    <t>30/108</t>
  </si>
  <si>
    <t>31/108</t>
  </si>
  <si>
    <t>32/108</t>
  </si>
  <si>
    <t>33/108</t>
  </si>
  <si>
    <t>34/108</t>
  </si>
  <si>
    <t>35/108</t>
  </si>
  <si>
    <t>36/108</t>
  </si>
  <si>
    <t>37/108</t>
  </si>
  <si>
    <t>38/108</t>
  </si>
  <si>
    <t>39/108</t>
  </si>
  <si>
    <t>40/108</t>
  </si>
  <si>
    <t>41/108</t>
  </si>
  <si>
    <t>42/108</t>
  </si>
  <si>
    <t>43/108</t>
  </si>
  <si>
    <t>44/108</t>
  </si>
  <si>
    <t>45/108</t>
  </si>
  <si>
    <t>46/108</t>
  </si>
  <si>
    <t>47/108</t>
  </si>
  <si>
    <t>48/108</t>
  </si>
  <si>
    <t>49/108</t>
  </si>
  <si>
    <t>50/108</t>
  </si>
  <si>
    <t>51/108</t>
  </si>
  <si>
    <t>52/108</t>
  </si>
  <si>
    <t>53/108</t>
  </si>
  <si>
    <t>54/108</t>
  </si>
  <si>
    <t>55/108</t>
  </si>
  <si>
    <t>56/108</t>
  </si>
  <si>
    <t>57/108</t>
  </si>
  <si>
    <t>58/108</t>
  </si>
  <si>
    <t>59/108</t>
  </si>
  <si>
    <t>60/108</t>
  </si>
  <si>
    <t>61/108</t>
  </si>
  <si>
    <t>62/108</t>
  </si>
  <si>
    <t>63/108</t>
  </si>
  <si>
    <t>64/108</t>
  </si>
  <si>
    <t>65/108</t>
  </si>
  <si>
    <t>66/108</t>
  </si>
  <si>
    <t>67/108</t>
  </si>
  <si>
    <t>68/108</t>
  </si>
  <si>
    <t>69/108</t>
  </si>
  <si>
    <t>70/108</t>
  </si>
  <si>
    <t>71/108</t>
  </si>
  <si>
    <t>72/108</t>
  </si>
  <si>
    <t>Drake's Stadium</t>
  </si>
  <si>
    <t>73/108</t>
  </si>
  <si>
    <t>74/108</t>
  </si>
  <si>
    <t>75/108</t>
  </si>
  <si>
    <t>76/108</t>
  </si>
  <si>
    <t>Glacia's Stadium</t>
  </si>
  <si>
    <t>77/108</t>
  </si>
  <si>
    <t>78/108</t>
  </si>
  <si>
    <t>79/108</t>
  </si>
  <si>
    <t>Phoebe's Stadium</t>
  </si>
  <si>
    <t>80/108</t>
  </si>
  <si>
    <t>81/108</t>
  </si>
  <si>
    <t>82/108</t>
  </si>
  <si>
    <t>Sidney's Stadium</t>
  </si>
  <si>
    <t>83/108</t>
  </si>
  <si>
    <t>84/108</t>
  </si>
  <si>
    <t>85/108</t>
  </si>
  <si>
    <t>86/108</t>
  </si>
  <si>
    <t>87/108</t>
  </si>
  <si>
    <t>88/108</t>
  </si>
  <si>
    <t>89/108</t>
  </si>
  <si>
    <t>90/108</t>
  </si>
  <si>
    <t>91/108</t>
  </si>
  <si>
    <t>92/108</t>
  </si>
  <si>
    <t>Absol ex</t>
  </si>
  <si>
    <t>93/108</t>
  </si>
  <si>
    <t>Claydol ex</t>
  </si>
  <si>
    <t>94/108</t>
  </si>
  <si>
    <t>95/108</t>
  </si>
  <si>
    <t>96/108</t>
  </si>
  <si>
    <t>97/108</t>
  </si>
  <si>
    <t>98/108</t>
  </si>
  <si>
    <t>Skarmory ex</t>
  </si>
  <si>
    <t>99/108</t>
  </si>
  <si>
    <t>100/108</t>
  </si>
  <si>
    <t>101/108</t>
  </si>
  <si>
    <t>102/108</t>
  </si>
  <si>
    <t>Mew δ</t>
  </si>
  <si>
    <t>Zangoose δ</t>
  </si>
  <si>
    <t>DP01</t>
  </si>
  <si>
    <t>Turtwig</t>
  </si>
  <si>
    <t>DP02</t>
  </si>
  <si>
    <t>Chimchar</t>
  </si>
  <si>
    <t>DP03</t>
  </si>
  <si>
    <t>Piplup</t>
  </si>
  <si>
    <t>DP04</t>
  </si>
  <si>
    <t>Pachirisu</t>
  </si>
  <si>
    <t>DP05</t>
  </si>
  <si>
    <t>DP06</t>
  </si>
  <si>
    <t>Buneary</t>
  </si>
  <si>
    <t>DP07</t>
  </si>
  <si>
    <t>Cranidos</t>
  </si>
  <si>
    <t>DP08</t>
  </si>
  <si>
    <t>Shieldon</t>
  </si>
  <si>
    <t>DP09</t>
  </si>
  <si>
    <t>Torterra LV.X</t>
  </si>
  <si>
    <t>DP10</t>
  </si>
  <si>
    <t>Infernape LV.X</t>
  </si>
  <si>
    <t>DP11</t>
  </si>
  <si>
    <t>Empoleon LV.X</t>
  </si>
  <si>
    <t>DP12</t>
  </si>
  <si>
    <t>Lucario LV.X</t>
  </si>
  <si>
    <t>DP13</t>
  </si>
  <si>
    <t>Buizel</t>
  </si>
  <si>
    <t>DP14</t>
  </si>
  <si>
    <t>Chatot</t>
  </si>
  <si>
    <t>DP15</t>
  </si>
  <si>
    <t>Shinx</t>
  </si>
  <si>
    <t>DP16</t>
  </si>
  <si>
    <t>DP17</t>
  </si>
  <si>
    <t>Dialga LV.X</t>
  </si>
  <si>
    <t>DP18</t>
  </si>
  <si>
    <t>Palkia LV.X</t>
  </si>
  <si>
    <t>DP19</t>
  </si>
  <si>
    <t>Darkrai LV.X</t>
  </si>
  <si>
    <t>DP20</t>
  </si>
  <si>
    <t>Magmortar</t>
  </si>
  <si>
    <t>DP21</t>
  </si>
  <si>
    <t>DP22</t>
  </si>
  <si>
    <t>Mime Jr.</t>
  </si>
  <si>
    <t>DP23</t>
  </si>
  <si>
    <t>Glameow</t>
  </si>
  <si>
    <t>DP24</t>
  </si>
  <si>
    <t>Darkrai</t>
  </si>
  <si>
    <t>DP25</t>
  </si>
  <si>
    <t>DP26</t>
  </si>
  <si>
    <t>Dialga</t>
  </si>
  <si>
    <t>DP27</t>
  </si>
  <si>
    <t>Palkia</t>
  </si>
  <si>
    <t>DP28</t>
  </si>
  <si>
    <t>Mewtwo LV.X</t>
  </si>
  <si>
    <t>DP29</t>
  </si>
  <si>
    <t>Rhyperior LV.X</t>
  </si>
  <si>
    <t>DP30</t>
  </si>
  <si>
    <t>Regigigas LV.X</t>
  </si>
  <si>
    <t>DP31</t>
  </si>
  <si>
    <t>Heatran LV.X</t>
  </si>
  <si>
    <t>DP32</t>
  </si>
  <si>
    <t>Magnezone</t>
  </si>
  <si>
    <t>DP33</t>
  </si>
  <si>
    <t>Dusknoir</t>
  </si>
  <si>
    <t>DP34</t>
  </si>
  <si>
    <t>Drifblim</t>
  </si>
  <si>
    <t>DP35</t>
  </si>
  <si>
    <t>Porygon-Z</t>
  </si>
  <si>
    <t>DP36</t>
  </si>
  <si>
    <t>Gliscor</t>
  </si>
  <si>
    <t>DP37</t>
  </si>
  <si>
    <t>DP38</t>
  </si>
  <si>
    <t>Giratina LV.X</t>
  </si>
  <si>
    <t>DP39</t>
  </si>
  <si>
    <t>Shaymin LV.X</t>
  </si>
  <si>
    <t>DP40</t>
  </si>
  <si>
    <t>Regigigas</t>
  </si>
  <si>
    <t>DP41</t>
  </si>
  <si>
    <t>DP42</t>
  </si>
  <si>
    <t>DP43</t>
  </si>
  <si>
    <t>DP44</t>
  </si>
  <si>
    <t>DP45</t>
  </si>
  <si>
    <t>DP46</t>
  </si>
  <si>
    <t>DP47</t>
  </si>
  <si>
    <t>DP48</t>
  </si>
  <si>
    <t>DP49</t>
  </si>
  <si>
    <t>DP50</t>
  </si>
  <si>
    <t>DP51</t>
  </si>
  <si>
    <t>Cresselia</t>
  </si>
  <si>
    <t>DP52</t>
  </si>
  <si>
    <t>DP53</t>
  </si>
  <si>
    <t>Arceus LV.X</t>
  </si>
  <si>
    <t>DP54</t>
  </si>
  <si>
    <t>Beginning Door</t>
  </si>
  <si>
    <t>DP55</t>
  </si>
  <si>
    <t>Ultimate Zone</t>
  </si>
  <si>
    <t>DP56</t>
  </si>
  <si>
    <t>Electivire</t>
  </si>
  <si>
    <t>Empoleon</t>
  </si>
  <si>
    <t>Infernape</t>
  </si>
  <si>
    <t>Lucario</t>
  </si>
  <si>
    <t>Luxray</t>
  </si>
  <si>
    <t>Manaphy</t>
  </si>
  <si>
    <t>Mismagius</t>
  </si>
  <si>
    <t>Rhyperior</t>
  </si>
  <si>
    <t>Roserade</t>
  </si>
  <si>
    <t>Skuntank</t>
  </si>
  <si>
    <t>Staraptor</t>
  </si>
  <si>
    <t>Torterra</t>
  </si>
  <si>
    <t>Bibarel</t>
  </si>
  <si>
    <t>Carnivine</t>
  </si>
  <si>
    <t>Drapion</t>
  </si>
  <si>
    <t>Floatzel</t>
  </si>
  <si>
    <t>Hippowdon</t>
  </si>
  <si>
    <t>Lopunny</t>
  </si>
  <si>
    <t>Munchlax</t>
  </si>
  <si>
    <t>Purugly</t>
  </si>
  <si>
    <t>Vespiquen</t>
  </si>
  <si>
    <t>Weavile</t>
  </si>
  <si>
    <t>Budew</t>
  </si>
  <si>
    <t>Cherrim</t>
  </si>
  <si>
    <t>Drifloon</t>
  </si>
  <si>
    <t>Grotle</t>
  </si>
  <si>
    <t>Hippopotas</t>
  </si>
  <si>
    <t>Luxio</t>
  </si>
  <si>
    <t>Mantyke</t>
  </si>
  <si>
    <t>Monferno</t>
  </si>
  <si>
    <t>Prinplup</t>
  </si>
  <si>
    <t>Riolu</t>
  </si>
  <si>
    <t>Staravia</t>
  </si>
  <si>
    <t>Bidoof</t>
  </si>
  <si>
    <t>Bonsly</t>
  </si>
  <si>
    <t>Cherubi</t>
  </si>
  <si>
    <t>Combee</t>
  </si>
  <si>
    <t>Skorupi</t>
  </si>
  <si>
    <t>Starly</t>
  </si>
  <si>
    <t>Stunky</t>
  </si>
  <si>
    <t>Night Pokémon Center</t>
  </si>
  <si>
    <t>Pokédex HANDY910is</t>
  </si>
  <si>
    <t>Professor Rowan</t>
  </si>
  <si>
    <t>Rival</t>
  </si>
  <si>
    <t>Speed Stadium</t>
  </si>
  <si>
    <t>1/123</t>
  </si>
  <si>
    <t>2/123</t>
  </si>
  <si>
    <t>3/123</t>
  </si>
  <si>
    <t>Ambipom</t>
  </si>
  <si>
    <t>4/123</t>
  </si>
  <si>
    <t>Azelf</t>
  </si>
  <si>
    <t>5/123</t>
  </si>
  <si>
    <t>6/123</t>
  </si>
  <si>
    <t>Bronzong</t>
  </si>
  <si>
    <t>7/123</t>
  </si>
  <si>
    <t>8/123</t>
  </si>
  <si>
    <t>9/123</t>
  </si>
  <si>
    <t>Garchomp</t>
  </si>
  <si>
    <t>10/123</t>
  </si>
  <si>
    <t>Honchkrow</t>
  </si>
  <si>
    <t>11/123</t>
  </si>
  <si>
    <t>Lumineon</t>
  </si>
  <si>
    <t>12/123</t>
  </si>
  <si>
    <t>13/123</t>
  </si>
  <si>
    <t>14/123</t>
  </si>
  <si>
    <t>Mesprit</t>
  </si>
  <si>
    <t>15/123</t>
  </si>
  <si>
    <t>16/123</t>
  </si>
  <si>
    <t>17/123</t>
  </si>
  <si>
    <t>18/123</t>
  </si>
  <si>
    <t>Uxie</t>
  </si>
  <si>
    <t>19/123</t>
  </si>
  <si>
    <t>Abomasnow</t>
  </si>
  <si>
    <t>20/123</t>
  </si>
  <si>
    <t>21/123</t>
  </si>
  <si>
    <t>Bastiodon</t>
  </si>
  <si>
    <t>22/123</t>
  </si>
  <si>
    <t>23/123</t>
  </si>
  <si>
    <t>24/123</t>
  </si>
  <si>
    <t>25/123</t>
  </si>
  <si>
    <t>26/123</t>
  </si>
  <si>
    <t>27/123</t>
  </si>
  <si>
    <t>Kricketune</t>
  </si>
  <si>
    <t>28/123</t>
  </si>
  <si>
    <t>29/123</t>
  </si>
  <si>
    <t>30/123</t>
  </si>
  <si>
    <t>31/123</t>
  </si>
  <si>
    <t>32/123</t>
  </si>
  <si>
    <t>33/123</t>
  </si>
  <si>
    <t>Rampardos</t>
  </si>
  <si>
    <t>34/123</t>
  </si>
  <si>
    <t>35/123</t>
  </si>
  <si>
    <t>36/123</t>
  </si>
  <si>
    <t>Toxicroak</t>
  </si>
  <si>
    <t>37/123</t>
  </si>
  <si>
    <t>38/123</t>
  </si>
  <si>
    <t>39/123</t>
  </si>
  <si>
    <t>40/123</t>
  </si>
  <si>
    <t>41/123</t>
  </si>
  <si>
    <t>42/123</t>
  </si>
  <si>
    <t>Chingling</t>
  </si>
  <si>
    <t>43/123</t>
  </si>
  <si>
    <t>44/123</t>
  </si>
  <si>
    <t>45/123</t>
  </si>
  <si>
    <t>46/123</t>
  </si>
  <si>
    <t>47/123</t>
  </si>
  <si>
    <t>48/123</t>
  </si>
  <si>
    <t>Gabite</t>
  </si>
  <si>
    <t>49/123</t>
  </si>
  <si>
    <t>50/123</t>
  </si>
  <si>
    <t>51/123</t>
  </si>
  <si>
    <t>52/123</t>
  </si>
  <si>
    <t>Happiny</t>
  </si>
  <si>
    <t>53/123</t>
  </si>
  <si>
    <t>54/123</t>
  </si>
  <si>
    <t>55/123</t>
  </si>
  <si>
    <t>56/123</t>
  </si>
  <si>
    <t>57/123</t>
  </si>
  <si>
    <t>58/123</t>
  </si>
  <si>
    <t>59/123</t>
  </si>
  <si>
    <t>60/123</t>
  </si>
  <si>
    <t>61/123</t>
  </si>
  <si>
    <t>62/123</t>
  </si>
  <si>
    <t>63/123</t>
  </si>
  <si>
    <t>64/123</t>
  </si>
  <si>
    <t>65/123</t>
  </si>
  <si>
    <t>66/123</t>
  </si>
  <si>
    <t>67/123</t>
  </si>
  <si>
    <t>68/123</t>
  </si>
  <si>
    <t>69/123</t>
  </si>
  <si>
    <t>70/123</t>
  </si>
  <si>
    <t>71/123</t>
  </si>
  <si>
    <t>72/123</t>
  </si>
  <si>
    <t>73/123</t>
  </si>
  <si>
    <t>74/123</t>
  </si>
  <si>
    <t>Bronzor</t>
  </si>
  <si>
    <t>75/123</t>
  </si>
  <si>
    <t>76/123</t>
  </si>
  <si>
    <t>77/123</t>
  </si>
  <si>
    <t>78/123</t>
  </si>
  <si>
    <t>Croagunk</t>
  </si>
  <si>
    <t>79/123</t>
  </si>
  <si>
    <t>80/123</t>
  </si>
  <si>
    <t>81/123</t>
  </si>
  <si>
    <t>82/123</t>
  </si>
  <si>
    <t>83/123</t>
  </si>
  <si>
    <t>Finneon</t>
  </si>
  <si>
    <t>84/123</t>
  </si>
  <si>
    <t>85/123</t>
  </si>
  <si>
    <t>Gible</t>
  </si>
  <si>
    <t>86/123</t>
  </si>
  <si>
    <t>Kricketot</t>
  </si>
  <si>
    <t>87/123</t>
  </si>
  <si>
    <t>88/123</t>
  </si>
  <si>
    <t>89/123</t>
  </si>
  <si>
    <t>90/123</t>
  </si>
  <si>
    <t>91/123</t>
  </si>
  <si>
    <t>92/123</t>
  </si>
  <si>
    <t>93/123</t>
  </si>
  <si>
    <t>94/123</t>
  </si>
  <si>
    <t>95/123</t>
  </si>
  <si>
    <t>96/123</t>
  </si>
  <si>
    <t>97/123</t>
  </si>
  <si>
    <t>98/123</t>
  </si>
  <si>
    <t>99/123</t>
  </si>
  <si>
    <t>100/123</t>
  </si>
  <si>
    <t>101/123</t>
  </si>
  <si>
    <t>Snover</t>
  </si>
  <si>
    <t>102/123</t>
  </si>
  <si>
    <t>103/123</t>
  </si>
  <si>
    <t>104/123</t>
  </si>
  <si>
    <t>105/123</t>
  </si>
  <si>
    <t>106/123</t>
  </si>
  <si>
    <t>107/123</t>
  </si>
  <si>
    <t>108/123</t>
  </si>
  <si>
    <t>109/123</t>
  </si>
  <si>
    <t>Bebe's Search</t>
  </si>
  <si>
    <t>110/123</t>
  </si>
  <si>
    <t>Dusk Ball</t>
  </si>
  <si>
    <t>111/123</t>
  </si>
  <si>
    <t>Fossil Excavator</t>
  </si>
  <si>
    <t>112/123</t>
  </si>
  <si>
    <t>Lake Boundary</t>
  </si>
  <si>
    <t>113/123</t>
  </si>
  <si>
    <t>Night Maintenance</t>
  </si>
  <si>
    <t>114/123</t>
  </si>
  <si>
    <t>Quick Ball</t>
  </si>
  <si>
    <t>115/123</t>
  </si>
  <si>
    <t>Team Galactic's Wager</t>
  </si>
  <si>
    <t>116/123</t>
  </si>
  <si>
    <t>Armor Fossil</t>
  </si>
  <si>
    <t>117/123</t>
  </si>
  <si>
    <t>Skull Fossil</t>
  </si>
  <si>
    <t>118/123</t>
  </si>
  <si>
    <t>119/123</t>
  </si>
  <si>
    <t>120/123</t>
  </si>
  <si>
    <t>121/123</t>
  </si>
  <si>
    <t>Electivire LV.X</t>
  </si>
  <si>
    <t>122/123</t>
  </si>
  <si>
    <t>123/123</t>
  </si>
  <si>
    <t>Magmortar LV.X</t>
  </si>
  <si>
    <t>124/123</t>
  </si>
  <si>
    <t>Time-Space Distortion</t>
  </si>
  <si>
    <t>Diamond &amp; Pearl Trainer Kit</t>
  </si>
  <si>
    <t>Gallade</t>
  </si>
  <si>
    <t>Gastrodon East Sea</t>
  </si>
  <si>
    <t>Gastrodon West Sea</t>
  </si>
  <si>
    <t>Lickilicky</t>
  </si>
  <si>
    <t>Mothim</t>
  </si>
  <si>
    <t>Wormadam Plant Cloak</t>
  </si>
  <si>
    <t>Wormadam Sandy Cloak</t>
  </si>
  <si>
    <t>Wormadam Trash Cloak</t>
  </si>
  <si>
    <t>Burmy Plant Cloak</t>
  </si>
  <si>
    <t>Burmy Sandy Cloak</t>
  </si>
  <si>
    <t>Burmy Trash Cloak</t>
  </si>
  <si>
    <t>Shellos East Sea</t>
  </si>
  <si>
    <t>Shellos West Sea</t>
  </si>
  <si>
    <t>Professor Oak's Visit</t>
  </si>
  <si>
    <t>Roseanne's Research</t>
  </si>
  <si>
    <t>Team Galactic's Mars</t>
  </si>
  <si>
    <t>127/132</t>
  </si>
  <si>
    <t>128/132</t>
  </si>
  <si>
    <t>129/132</t>
  </si>
  <si>
    <t>130/132</t>
  </si>
  <si>
    <t>131/132</t>
  </si>
  <si>
    <t>Gardevoir LV.X</t>
  </si>
  <si>
    <t>132/132</t>
  </si>
  <si>
    <t>Honchkrow LV.X</t>
  </si>
  <si>
    <t>Rotom</t>
  </si>
  <si>
    <t>Tangrowth</t>
  </si>
  <si>
    <t>Togekiss</t>
  </si>
  <si>
    <t>Amulet Coin</t>
  </si>
  <si>
    <t>Felicity's Drawing</t>
  </si>
  <si>
    <t>Leftovers</t>
  </si>
  <si>
    <t>Moonlight Stadium</t>
  </si>
  <si>
    <t>101/106</t>
  </si>
  <si>
    <t>Premier Ball</t>
  </si>
  <si>
    <t>102/106</t>
  </si>
  <si>
    <t>103/106</t>
  </si>
  <si>
    <t>Cresselia LV.X</t>
  </si>
  <si>
    <t>104/106</t>
  </si>
  <si>
    <t>105/106</t>
  </si>
  <si>
    <t>106/106</t>
  </si>
  <si>
    <t>Glaceon</t>
  </si>
  <si>
    <t>Leafeon</t>
  </si>
  <si>
    <t>Phione</t>
  </si>
  <si>
    <t>Dawn Stadium</t>
  </si>
  <si>
    <t>Mom's Kindness</t>
  </si>
  <si>
    <t>Old Amber</t>
  </si>
  <si>
    <t>Dome Fossil</t>
  </si>
  <si>
    <t>Helix Fossil</t>
  </si>
  <si>
    <t>Call Energy</t>
  </si>
  <si>
    <t>Health Energy</t>
  </si>
  <si>
    <t>Recover Energy</t>
  </si>
  <si>
    <t>Garchomp LV.X</t>
  </si>
  <si>
    <t>Glaceon LV.X</t>
  </si>
  <si>
    <t>Leafeon LV.X</t>
  </si>
  <si>
    <t>Porygon-Z LV.X</t>
  </si>
  <si>
    <t>1/146</t>
  </si>
  <si>
    <t>Deoxys Normal Forme</t>
  </si>
  <si>
    <t>2/146</t>
  </si>
  <si>
    <t>3/146</t>
  </si>
  <si>
    <t>Froslass</t>
  </si>
  <si>
    <t>4/146</t>
  </si>
  <si>
    <t>Giratina</t>
  </si>
  <si>
    <t>5/146</t>
  </si>
  <si>
    <t>6/146</t>
  </si>
  <si>
    <t>Heatran</t>
  </si>
  <si>
    <t>7/146</t>
  </si>
  <si>
    <t>8/146</t>
  </si>
  <si>
    <t>9/146</t>
  </si>
  <si>
    <t>Mamoswine</t>
  </si>
  <si>
    <t>10/146</t>
  </si>
  <si>
    <t>11/146</t>
  </si>
  <si>
    <t>12/146</t>
  </si>
  <si>
    <t>13/146</t>
  </si>
  <si>
    <t>Probopass</t>
  </si>
  <si>
    <t>14/146</t>
  </si>
  <si>
    <t>15/146</t>
  </si>
  <si>
    <t>16/146</t>
  </si>
  <si>
    <t>Spiritomb</t>
  </si>
  <si>
    <t>17/146</t>
  </si>
  <si>
    <t>Yanmega</t>
  </si>
  <si>
    <t>18/146</t>
  </si>
  <si>
    <t>19/146</t>
  </si>
  <si>
    <t>20/146</t>
  </si>
  <si>
    <t>21/146</t>
  </si>
  <si>
    <t>22/146</t>
  </si>
  <si>
    <t>23/146</t>
  </si>
  <si>
    <t>24/146</t>
  </si>
  <si>
    <t>Deoxys Attack Forme</t>
  </si>
  <si>
    <t>25/146</t>
  </si>
  <si>
    <t>Deoxys Defense Forme</t>
  </si>
  <si>
    <t>26/146</t>
  </si>
  <si>
    <t>Deoxys Speed Forme</t>
  </si>
  <si>
    <t>27/146</t>
  </si>
  <si>
    <t>28/146</t>
  </si>
  <si>
    <t>29/146</t>
  </si>
  <si>
    <t>30/146</t>
  </si>
  <si>
    <t>31/146</t>
  </si>
  <si>
    <t>32/146</t>
  </si>
  <si>
    <t>33/146</t>
  </si>
  <si>
    <t>34/146</t>
  </si>
  <si>
    <t>35/146</t>
  </si>
  <si>
    <t>36/146</t>
  </si>
  <si>
    <t>37/146</t>
  </si>
  <si>
    <t>38/146</t>
  </si>
  <si>
    <t>39/146</t>
  </si>
  <si>
    <t>40/146</t>
  </si>
  <si>
    <t>41/146</t>
  </si>
  <si>
    <t>42/146</t>
  </si>
  <si>
    <t>Unown !</t>
  </si>
  <si>
    <t>43/146</t>
  </si>
  <si>
    <t>44/146</t>
  </si>
  <si>
    <t>45/146</t>
  </si>
  <si>
    <t>46/146</t>
  </si>
  <si>
    <t>47/146</t>
  </si>
  <si>
    <t>48/146</t>
  </si>
  <si>
    <t>49/146</t>
  </si>
  <si>
    <t>Castform Rain Form</t>
  </si>
  <si>
    <t>50/146</t>
  </si>
  <si>
    <t>Castform Snow-cloud Form</t>
  </si>
  <si>
    <t>51/146</t>
  </si>
  <si>
    <t>Castform Sunny Form</t>
  </si>
  <si>
    <t>52/146</t>
  </si>
  <si>
    <t>53/146</t>
  </si>
  <si>
    <t>54/146</t>
  </si>
  <si>
    <t>55/146</t>
  </si>
  <si>
    <t>56/146</t>
  </si>
  <si>
    <t>57/146</t>
  </si>
  <si>
    <t>58/146</t>
  </si>
  <si>
    <t>59/146</t>
  </si>
  <si>
    <t>60/146</t>
  </si>
  <si>
    <t>61/146</t>
  </si>
  <si>
    <t>62/146</t>
  </si>
  <si>
    <t>63/146</t>
  </si>
  <si>
    <t>64/146</t>
  </si>
  <si>
    <t>65/146</t>
  </si>
  <si>
    <t>66/146</t>
  </si>
  <si>
    <t>67/146</t>
  </si>
  <si>
    <t>68/146</t>
  </si>
  <si>
    <t>69/146</t>
  </si>
  <si>
    <t>70/146</t>
  </si>
  <si>
    <t>71/146</t>
  </si>
  <si>
    <t>72/146</t>
  </si>
  <si>
    <t>73/146</t>
  </si>
  <si>
    <t>74/146</t>
  </si>
  <si>
    <t>75/146</t>
  </si>
  <si>
    <t>76/146</t>
  </si>
  <si>
    <t>77/146</t>
  </si>
  <si>
    <t>Unown R</t>
  </si>
  <si>
    <t>78/146</t>
  </si>
  <si>
    <t>79/146</t>
  </si>
  <si>
    <t>80/146</t>
  </si>
  <si>
    <t>81/146</t>
  </si>
  <si>
    <t>82/146</t>
  </si>
  <si>
    <t>Unown ?</t>
  </si>
  <si>
    <t>83/146</t>
  </si>
  <si>
    <t>84/146</t>
  </si>
  <si>
    <t>85/146</t>
  </si>
  <si>
    <t>86/146</t>
  </si>
  <si>
    <t>87/146</t>
  </si>
  <si>
    <t>88/146</t>
  </si>
  <si>
    <t>89/146</t>
  </si>
  <si>
    <t>90/146</t>
  </si>
  <si>
    <t>91/146</t>
  </si>
  <si>
    <t>92/146</t>
  </si>
  <si>
    <t>93/146</t>
  </si>
  <si>
    <t>94/146</t>
  </si>
  <si>
    <t>95/146</t>
  </si>
  <si>
    <t>96/146</t>
  </si>
  <si>
    <t>97/146</t>
  </si>
  <si>
    <t>98/146</t>
  </si>
  <si>
    <t>99/146</t>
  </si>
  <si>
    <t>100/146</t>
  </si>
  <si>
    <t>101/146</t>
  </si>
  <si>
    <t>102/146</t>
  </si>
  <si>
    <t>103/146</t>
  </si>
  <si>
    <t>104/146</t>
  </si>
  <si>
    <t>105/146</t>
  </si>
  <si>
    <t>106/146</t>
  </si>
  <si>
    <t>107/146</t>
  </si>
  <si>
    <t>108/146</t>
  </si>
  <si>
    <t>109/146</t>
  </si>
  <si>
    <t>110/146</t>
  </si>
  <si>
    <t>111/146</t>
  </si>
  <si>
    <t>112/146</t>
  </si>
  <si>
    <t>113/146</t>
  </si>
  <si>
    <t>114/146</t>
  </si>
  <si>
    <t>115/146</t>
  </si>
  <si>
    <t>116/146</t>
  </si>
  <si>
    <t>117/146</t>
  </si>
  <si>
    <t>118/146</t>
  </si>
  <si>
    <t>119/146</t>
  </si>
  <si>
    <t>120/146</t>
  </si>
  <si>
    <t>121/146</t>
  </si>
  <si>
    <t>122/146</t>
  </si>
  <si>
    <t>123/146</t>
  </si>
  <si>
    <t>124/146</t>
  </si>
  <si>
    <t>125/146</t>
  </si>
  <si>
    <t>126/146</t>
  </si>
  <si>
    <t>127/146</t>
  </si>
  <si>
    <t>128/146</t>
  </si>
  <si>
    <t>129/146</t>
  </si>
  <si>
    <t>Bubble Coat</t>
  </si>
  <si>
    <t>130/146</t>
  </si>
  <si>
    <t>Buck's Training</t>
  </si>
  <si>
    <t>131/146</t>
  </si>
  <si>
    <t>Cynthia's Feelings</t>
  </si>
  <si>
    <t>132/146</t>
  </si>
  <si>
    <t>Energy Pickup</t>
  </si>
  <si>
    <t>133/146</t>
  </si>
  <si>
    <t>Poké Radar</t>
  </si>
  <si>
    <t>134/146</t>
  </si>
  <si>
    <t>Snowpoint Temple</t>
  </si>
  <si>
    <t>135/146</t>
  </si>
  <si>
    <t>Stark Mountain</t>
  </si>
  <si>
    <t>136/146</t>
  </si>
  <si>
    <t>Technical Machine TS-1</t>
  </si>
  <si>
    <t>137/146</t>
  </si>
  <si>
    <t>Technical Machine TS-2</t>
  </si>
  <si>
    <t>138/146</t>
  </si>
  <si>
    <t>139/146</t>
  </si>
  <si>
    <t>140/146</t>
  </si>
  <si>
    <t>Azelf LV.X</t>
  </si>
  <si>
    <t>141/146</t>
  </si>
  <si>
    <t>Gliscor LV.X</t>
  </si>
  <si>
    <t>142/146</t>
  </si>
  <si>
    <t>Magnezone LV.X</t>
  </si>
  <si>
    <t>143/146</t>
  </si>
  <si>
    <t>Mesprit LV.X</t>
  </si>
  <si>
    <t>144/146</t>
  </si>
  <si>
    <t>145/146</t>
  </si>
  <si>
    <t>146/146</t>
  </si>
  <si>
    <t>Uxie LV.X</t>
  </si>
  <si>
    <t>Conductive Quarry</t>
  </si>
  <si>
    <t>Energy Link</t>
  </si>
  <si>
    <t>Luxury Ball</t>
  </si>
  <si>
    <t>Marley's Request</t>
  </si>
  <si>
    <t>Poké Blower +</t>
  </si>
  <si>
    <t>Poké Drawer +</t>
  </si>
  <si>
    <t>Poké Healer +</t>
  </si>
  <si>
    <t>Dusknoir LV.X</t>
  </si>
  <si>
    <t>Machamp LV.X</t>
  </si>
  <si>
    <t>Raichu LV.X</t>
  </si>
  <si>
    <t>101/100</t>
  </si>
  <si>
    <t>102/100</t>
  </si>
  <si>
    <t>103/100</t>
  </si>
  <si>
    <t>SH1</t>
  </si>
  <si>
    <t>SH2</t>
  </si>
  <si>
    <t>SH3</t>
  </si>
  <si>
    <t>1/127</t>
  </si>
  <si>
    <t>2/127</t>
  </si>
  <si>
    <t>3/127</t>
  </si>
  <si>
    <t>4/127</t>
  </si>
  <si>
    <t>5/127</t>
  </si>
  <si>
    <t>6/127</t>
  </si>
  <si>
    <t>7/127</t>
  </si>
  <si>
    <t>8/127</t>
  </si>
  <si>
    <t>9/127</t>
  </si>
  <si>
    <t>10/127</t>
  </si>
  <si>
    <t>11/127</t>
  </si>
  <si>
    <t>12/127</t>
  </si>
  <si>
    <t>13/127</t>
  </si>
  <si>
    <t>14/127</t>
  </si>
  <si>
    <t>Shaymin</t>
  </si>
  <si>
    <t>15/127</t>
  </si>
  <si>
    <t>16/127</t>
  </si>
  <si>
    <t>17/127</t>
  </si>
  <si>
    <t>18/127</t>
  </si>
  <si>
    <t>19/127</t>
  </si>
  <si>
    <t>20/127</t>
  </si>
  <si>
    <t>21/127</t>
  </si>
  <si>
    <t>22/127</t>
  </si>
  <si>
    <t>23/127</t>
  </si>
  <si>
    <t>24/127</t>
  </si>
  <si>
    <t>25/127</t>
  </si>
  <si>
    <t>26/127</t>
  </si>
  <si>
    <t>27/127</t>
  </si>
  <si>
    <t>28/127</t>
  </si>
  <si>
    <t>29/127</t>
  </si>
  <si>
    <t>30/127</t>
  </si>
  <si>
    <t>31/127</t>
  </si>
  <si>
    <t>32/127</t>
  </si>
  <si>
    <t>33/127</t>
  </si>
  <si>
    <t>34/127</t>
  </si>
  <si>
    <t>35/127</t>
  </si>
  <si>
    <t>36/127</t>
  </si>
  <si>
    <t>37/127</t>
  </si>
  <si>
    <t>38/127</t>
  </si>
  <si>
    <t>39/127</t>
  </si>
  <si>
    <t>40/127</t>
  </si>
  <si>
    <t>41/127</t>
  </si>
  <si>
    <t>42/127</t>
  </si>
  <si>
    <t>43/127</t>
  </si>
  <si>
    <t>44/127</t>
  </si>
  <si>
    <t>45/127</t>
  </si>
  <si>
    <t>46/127</t>
  </si>
  <si>
    <t>47/127</t>
  </si>
  <si>
    <t>48/127</t>
  </si>
  <si>
    <t>49/127</t>
  </si>
  <si>
    <t>50/127</t>
  </si>
  <si>
    <t>51/127</t>
  </si>
  <si>
    <t>52/127</t>
  </si>
  <si>
    <t>53/127</t>
  </si>
  <si>
    <t>54/127</t>
  </si>
  <si>
    <t>55/127</t>
  </si>
  <si>
    <t>56/127</t>
  </si>
  <si>
    <t>57/127</t>
  </si>
  <si>
    <t>58/127</t>
  </si>
  <si>
    <t>59/127</t>
  </si>
  <si>
    <t>60/127</t>
  </si>
  <si>
    <t>61/127</t>
  </si>
  <si>
    <t>62/127</t>
  </si>
  <si>
    <t>63/127</t>
  </si>
  <si>
    <t>64/127</t>
  </si>
  <si>
    <t>65/127</t>
  </si>
  <si>
    <t>66/127</t>
  </si>
  <si>
    <t>67/127</t>
  </si>
  <si>
    <t>68/127</t>
  </si>
  <si>
    <t>69/127</t>
  </si>
  <si>
    <t>70/127</t>
  </si>
  <si>
    <t>71/127</t>
  </si>
  <si>
    <t>72/127</t>
  </si>
  <si>
    <t>73/127</t>
  </si>
  <si>
    <t>74/127</t>
  </si>
  <si>
    <t>75/127</t>
  </si>
  <si>
    <t>76/127</t>
  </si>
  <si>
    <t>77/127</t>
  </si>
  <si>
    <t>78/127</t>
  </si>
  <si>
    <t>79/127</t>
  </si>
  <si>
    <t>80/127</t>
  </si>
  <si>
    <t>81/127</t>
  </si>
  <si>
    <t>82/127</t>
  </si>
  <si>
    <t>83/127</t>
  </si>
  <si>
    <t>84/127</t>
  </si>
  <si>
    <t>85/127</t>
  </si>
  <si>
    <t>86/127</t>
  </si>
  <si>
    <t>87/127</t>
  </si>
  <si>
    <t>88/127</t>
  </si>
  <si>
    <t>89/127</t>
  </si>
  <si>
    <t>90/127</t>
  </si>
  <si>
    <t>91/127</t>
  </si>
  <si>
    <t>92/127</t>
  </si>
  <si>
    <t>93/127</t>
  </si>
  <si>
    <t>94/127</t>
  </si>
  <si>
    <t>95/127</t>
  </si>
  <si>
    <t>96/127</t>
  </si>
  <si>
    <t>97/127</t>
  </si>
  <si>
    <t>98/127</t>
  </si>
  <si>
    <t>99/127</t>
  </si>
  <si>
    <t>100/127</t>
  </si>
  <si>
    <t>101/127</t>
  </si>
  <si>
    <t>102/127</t>
  </si>
  <si>
    <t>103/127</t>
  </si>
  <si>
    <t>104/127</t>
  </si>
  <si>
    <t>Broken Time-Space</t>
  </si>
  <si>
    <t>105/127</t>
  </si>
  <si>
    <t>Cyrus's Conspiracy</t>
  </si>
  <si>
    <t>106/127</t>
  </si>
  <si>
    <t>Galactic HQ</t>
  </si>
  <si>
    <t>107/127</t>
  </si>
  <si>
    <t>Level Max</t>
  </si>
  <si>
    <t>108/127</t>
  </si>
  <si>
    <t>109/127</t>
  </si>
  <si>
    <t>Looker's Investigation</t>
  </si>
  <si>
    <t>110/127</t>
  </si>
  <si>
    <t>111/127</t>
  </si>
  <si>
    <t>Miasma Valley</t>
  </si>
  <si>
    <t>112/127</t>
  </si>
  <si>
    <t>113/127</t>
  </si>
  <si>
    <t>114/127</t>
  </si>
  <si>
    <t>115/127</t>
  </si>
  <si>
    <t>Pokémon Rescue</t>
  </si>
  <si>
    <t>116/127</t>
  </si>
  <si>
    <t>Team Galactic's Invention G-101 Energy Gain</t>
  </si>
  <si>
    <t>117/127</t>
  </si>
  <si>
    <t>Team Galactic's Invention G-103 Power Spray</t>
  </si>
  <si>
    <t>118/127</t>
  </si>
  <si>
    <t>Team Galactic's Invention G-105 Poké Turn</t>
  </si>
  <si>
    <t>119/127</t>
  </si>
  <si>
    <t>120/127</t>
  </si>
  <si>
    <t>121/127</t>
  </si>
  <si>
    <t>122/127</t>
  </si>
  <si>
    <t>123/127</t>
  </si>
  <si>
    <t>Drapion LV.X</t>
  </si>
  <si>
    <t>124/127</t>
  </si>
  <si>
    <t>125/127</t>
  </si>
  <si>
    <t>126/127</t>
  </si>
  <si>
    <t>127/127</t>
  </si>
  <si>
    <t>128/127</t>
  </si>
  <si>
    <t>129/127</t>
  </si>
  <si>
    <t>130/127</t>
  </si>
  <si>
    <t>SH4</t>
  </si>
  <si>
    <t>SH5</t>
  </si>
  <si>
    <t>SH6</t>
  </si>
  <si>
    <t>BastiodonGL</t>
  </si>
  <si>
    <t>DarkraiG</t>
  </si>
  <si>
    <t>FloatzelGL</t>
  </si>
  <si>
    <t>FroslassGL</t>
  </si>
  <si>
    <t>LucarioGL</t>
  </si>
  <si>
    <t>LuxrayGL</t>
  </si>
  <si>
    <t>MismagiusGL</t>
  </si>
  <si>
    <t>RampardosGL</t>
  </si>
  <si>
    <t>RoseradeGL</t>
  </si>
  <si>
    <t>Bronzong4</t>
  </si>
  <si>
    <t>Drapion4</t>
  </si>
  <si>
    <t>Espeon4</t>
  </si>
  <si>
    <t>Gallade4</t>
  </si>
  <si>
    <t>Golem4</t>
  </si>
  <si>
    <t>Heracross4</t>
  </si>
  <si>
    <t>MamoswineGL</t>
  </si>
  <si>
    <t>Mr. Mime4</t>
  </si>
  <si>
    <t>RaichuGL</t>
  </si>
  <si>
    <t>Rhyperior4</t>
  </si>
  <si>
    <t>Vespiquen4</t>
  </si>
  <si>
    <t>Yanmega4</t>
  </si>
  <si>
    <t>Alakazam4</t>
  </si>
  <si>
    <t>ElectrodeG</t>
  </si>
  <si>
    <t>GengarGL</t>
  </si>
  <si>
    <t>Hippowdon4</t>
  </si>
  <si>
    <t>Infernape4</t>
  </si>
  <si>
    <t>MachampGL</t>
  </si>
  <si>
    <t>Rapidash4</t>
  </si>
  <si>
    <t>Scizor4</t>
  </si>
  <si>
    <t>SteelixGL</t>
  </si>
  <si>
    <t>Whiscash4</t>
  </si>
  <si>
    <t>AerodactylGL</t>
  </si>
  <si>
    <t>AmbipomG</t>
  </si>
  <si>
    <t>Flareon4</t>
  </si>
  <si>
    <t>ForretressG</t>
  </si>
  <si>
    <t>Gliscor4</t>
  </si>
  <si>
    <t>Houndoom4</t>
  </si>
  <si>
    <t>QuagsireGL</t>
  </si>
  <si>
    <t>TurtwigGL</t>
  </si>
  <si>
    <t>Aaron's Collection</t>
  </si>
  <si>
    <t>Bertha's Warmth</t>
  </si>
  <si>
    <t>Flint's Willpower</t>
  </si>
  <si>
    <t>Lucian's Assignment</t>
  </si>
  <si>
    <t>Pokémon Contest Hall</t>
  </si>
  <si>
    <t>Sunyshore City Gym</t>
  </si>
  <si>
    <t>Team Galactic's Invention G-107 Technical MachineG</t>
  </si>
  <si>
    <t>Team Galactic's Invention G-109 SP Radar</t>
  </si>
  <si>
    <t>Volkner's Philosophy</t>
  </si>
  <si>
    <t>SP Energy</t>
  </si>
  <si>
    <t>Upper Energy</t>
  </si>
  <si>
    <t>Alakazam 4 LV.X</t>
  </si>
  <si>
    <t>Floatzel GL LV.X</t>
  </si>
  <si>
    <t>Flygon LV.X</t>
  </si>
  <si>
    <t>106/111</t>
  </si>
  <si>
    <t>Gallade 4 LV.X</t>
  </si>
  <si>
    <t>107/111</t>
  </si>
  <si>
    <t>Hippowdon LV.X</t>
  </si>
  <si>
    <t>108/111</t>
  </si>
  <si>
    <t>Infernape 4 LV.X</t>
  </si>
  <si>
    <t>109/111</t>
  </si>
  <si>
    <t>Luxray GL LV.X</t>
  </si>
  <si>
    <t>110/111</t>
  </si>
  <si>
    <t>Mismagius GL LV.X</t>
  </si>
  <si>
    <t>111/111</t>
  </si>
  <si>
    <t>Snorlax LV.X</t>
  </si>
  <si>
    <t>112/111</t>
  </si>
  <si>
    <t>113/111</t>
  </si>
  <si>
    <t>114/111</t>
  </si>
  <si>
    <t>Rotom sub-set</t>
  </si>
  <si>
    <t>RT1</t>
  </si>
  <si>
    <t>Fan Rotom</t>
  </si>
  <si>
    <t>RT2</t>
  </si>
  <si>
    <t>Frost Rotom</t>
  </si>
  <si>
    <t>RT3</t>
  </si>
  <si>
    <t>Heat Rotom</t>
  </si>
  <si>
    <t>RT4</t>
  </si>
  <si>
    <t>Mow Rotom</t>
  </si>
  <si>
    <t>RT5</t>
  </si>
  <si>
    <t>Wash Rotom</t>
  </si>
  <si>
    <t>RT6</t>
  </si>
  <si>
    <t>Charon's Choice</t>
  </si>
  <si>
    <t>1/99</t>
  </si>
  <si>
    <t>2/99</t>
  </si>
  <si>
    <t>3/99</t>
  </si>
  <si>
    <t>4/99</t>
  </si>
  <si>
    <t>5/99</t>
  </si>
  <si>
    <t>6/99</t>
  </si>
  <si>
    <t>7/99</t>
  </si>
  <si>
    <t>8/99</t>
  </si>
  <si>
    <t>9/99</t>
  </si>
  <si>
    <t>10/99</t>
  </si>
  <si>
    <t>11/99</t>
  </si>
  <si>
    <t>12/99</t>
  </si>
  <si>
    <t>ZapdosG</t>
  </si>
  <si>
    <t>13/99</t>
  </si>
  <si>
    <t>14/99</t>
  </si>
  <si>
    <t>15/99</t>
  </si>
  <si>
    <t>16/99</t>
  </si>
  <si>
    <t>17/99</t>
  </si>
  <si>
    <t>18/99</t>
  </si>
  <si>
    <t>19/99</t>
  </si>
  <si>
    <t>20/99</t>
  </si>
  <si>
    <t>21/99</t>
  </si>
  <si>
    <t>22/99</t>
  </si>
  <si>
    <t>23/99</t>
  </si>
  <si>
    <t>24/99</t>
  </si>
  <si>
    <t>25/99</t>
  </si>
  <si>
    <t>26/99</t>
  </si>
  <si>
    <t>Porygon-ZG</t>
  </si>
  <si>
    <t>27/99</t>
  </si>
  <si>
    <t>28/99</t>
  </si>
  <si>
    <t>29/99</t>
  </si>
  <si>
    <t>30/99</t>
  </si>
  <si>
    <t>31/99</t>
  </si>
  <si>
    <t>32/99</t>
  </si>
  <si>
    <t>33/99</t>
  </si>
  <si>
    <t>34/99</t>
  </si>
  <si>
    <t>35/99</t>
  </si>
  <si>
    <t>36/99</t>
  </si>
  <si>
    <t>37/99</t>
  </si>
  <si>
    <t>38/99</t>
  </si>
  <si>
    <t>39/99</t>
  </si>
  <si>
    <t>40/99</t>
  </si>
  <si>
    <t>41/99</t>
  </si>
  <si>
    <t>42/99</t>
  </si>
  <si>
    <t>43/99</t>
  </si>
  <si>
    <t>44/99</t>
  </si>
  <si>
    <t>45/99</t>
  </si>
  <si>
    <t>46/99</t>
  </si>
  <si>
    <t>47/99</t>
  </si>
  <si>
    <t>48/99</t>
  </si>
  <si>
    <t>49/99</t>
  </si>
  <si>
    <t>50/99</t>
  </si>
  <si>
    <t>51/99</t>
  </si>
  <si>
    <t>52/99</t>
  </si>
  <si>
    <t>53/99</t>
  </si>
  <si>
    <t>54/99</t>
  </si>
  <si>
    <t>55/99</t>
  </si>
  <si>
    <t>56/99</t>
  </si>
  <si>
    <t>57/99</t>
  </si>
  <si>
    <t>58/99</t>
  </si>
  <si>
    <t>59/99</t>
  </si>
  <si>
    <t>60/99</t>
  </si>
  <si>
    <t>61/99</t>
  </si>
  <si>
    <t>62/99</t>
  </si>
  <si>
    <t>63/99</t>
  </si>
  <si>
    <t>64/99</t>
  </si>
  <si>
    <t>65/99</t>
  </si>
  <si>
    <t>66/99</t>
  </si>
  <si>
    <t>67/99</t>
  </si>
  <si>
    <t>68/99</t>
  </si>
  <si>
    <t>69/99</t>
  </si>
  <si>
    <t>70/99</t>
  </si>
  <si>
    <t>71/99</t>
  </si>
  <si>
    <t>72/99</t>
  </si>
  <si>
    <t>73/99</t>
  </si>
  <si>
    <t>74/99</t>
  </si>
  <si>
    <t>75/99</t>
  </si>
  <si>
    <t>76/99</t>
  </si>
  <si>
    <t>77/99</t>
  </si>
  <si>
    <t>78/99</t>
  </si>
  <si>
    <t>79/99</t>
  </si>
  <si>
    <t>80/99</t>
  </si>
  <si>
    <t>81/99</t>
  </si>
  <si>
    <t>82/99</t>
  </si>
  <si>
    <t>83/99</t>
  </si>
  <si>
    <t>Bench Shield</t>
  </si>
  <si>
    <t>84/99</t>
  </si>
  <si>
    <t>85/99</t>
  </si>
  <si>
    <t>Department Store Girl</t>
  </si>
  <si>
    <t>86/99</t>
  </si>
  <si>
    <t>87/99</t>
  </si>
  <si>
    <t>Expert Belt</t>
  </si>
  <si>
    <t>88/99</t>
  </si>
  <si>
    <t>Lucky Egg</t>
  </si>
  <si>
    <t>89/99</t>
  </si>
  <si>
    <t>90/99</t>
  </si>
  <si>
    <t>91/99</t>
  </si>
  <si>
    <t>92/99</t>
  </si>
  <si>
    <t>93/99</t>
  </si>
  <si>
    <t>94/99</t>
  </si>
  <si>
    <t>95/99</t>
  </si>
  <si>
    <t>96/99</t>
  </si>
  <si>
    <t>97/99</t>
  </si>
  <si>
    <t>Gengar LV.X</t>
  </si>
  <si>
    <t>98/99</t>
  </si>
  <si>
    <t>Salamence LV.X</t>
  </si>
  <si>
    <t>99/99</t>
  </si>
  <si>
    <t>Tangrowth LV.X</t>
  </si>
  <si>
    <t>SH10</t>
  </si>
  <si>
    <t>SH11</t>
  </si>
  <si>
    <t>SH12</t>
  </si>
  <si>
    <t>Arceus sub-set</t>
  </si>
  <si>
    <t>AR1</t>
  </si>
  <si>
    <t>AR2</t>
  </si>
  <si>
    <t>AR3</t>
  </si>
  <si>
    <t>AR4</t>
  </si>
  <si>
    <t>AR5</t>
  </si>
  <si>
    <t>AR6</t>
  </si>
  <si>
    <t>AR7</t>
  </si>
  <si>
    <t>AR8</t>
  </si>
  <si>
    <t>AR9</t>
  </si>
  <si>
    <t>Cheerleader's Cheer</t>
  </si>
  <si>
    <t>Emcee's Chatter</t>
  </si>
  <si>
    <t>Energy Returner</t>
  </si>
  <si>
    <t>Engineer's Adjustments</t>
  </si>
  <si>
    <t>Good Rod</t>
  </si>
  <si>
    <t>Interviewer's Questions</t>
  </si>
  <si>
    <t>Judge</t>
  </si>
  <si>
    <t>Pokémon Circulator</t>
  </si>
  <si>
    <t>Entei &amp; Raikou</t>
  </si>
  <si>
    <t>Fire/Lightning</t>
  </si>
  <si>
    <t>Raikou &amp; Suicune</t>
  </si>
  <si>
    <t>Lightning/Water</t>
  </si>
  <si>
    <t>Suicune &amp; Entei</t>
  </si>
  <si>
    <t>Water/Fire</t>
  </si>
  <si>
    <t>TWO</t>
  </si>
  <si>
    <t>Alph Lithograph</t>
  </si>
  <si>
    <t>1/90</t>
  </si>
  <si>
    <t>2/90</t>
  </si>
  <si>
    <t>3/90</t>
  </si>
  <si>
    <t>4/90</t>
  </si>
  <si>
    <t>5/90</t>
  </si>
  <si>
    <t>6/90</t>
  </si>
  <si>
    <t>7/90</t>
  </si>
  <si>
    <t>8/90</t>
  </si>
  <si>
    <t>9/90</t>
  </si>
  <si>
    <t>10/90</t>
  </si>
  <si>
    <t>11/90</t>
  </si>
  <si>
    <t>12/90</t>
  </si>
  <si>
    <t>13/90</t>
  </si>
  <si>
    <t>14/90</t>
  </si>
  <si>
    <t>15/90</t>
  </si>
  <si>
    <t>16/90</t>
  </si>
  <si>
    <t>17/90</t>
  </si>
  <si>
    <t>18/90</t>
  </si>
  <si>
    <t>19/90</t>
  </si>
  <si>
    <t>20/90</t>
  </si>
  <si>
    <t>21/90</t>
  </si>
  <si>
    <t>22/90</t>
  </si>
  <si>
    <t>23/90</t>
  </si>
  <si>
    <t>24/90</t>
  </si>
  <si>
    <t>25/90</t>
  </si>
  <si>
    <t>26/90</t>
  </si>
  <si>
    <t>27/90</t>
  </si>
  <si>
    <t>28/90</t>
  </si>
  <si>
    <t>29/90</t>
  </si>
  <si>
    <t>30/90</t>
  </si>
  <si>
    <t>31/90</t>
  </si>
  <si>
    <t>32/90</t>
  </si>
  <si>
    <t>33/90</t>
  </si>
  <si>
    <t>34/90</t>
  </si>
  <si>
    <t>35/90</t>
  </si>
  <si>
    <t>36/90</t>
  </si>
  <si>
    <t>37/90</t>
  </si>
  <si>
    <t>38/90</t>
  </si>
  <si>
    <t>39/90</t>
  </si>
  <si>
    <t>40/90</t>
  </si>
  <si>
    <t>Unown</t>
  </si>
  <si>
    <t>41/90</t>
  </si>
  <si>
    <t>42/90</t>
  </si>
  <si>
    <t>43/90</t>
  </si>
  <si>
    <t>44/90</t>
  </si>
  <si>
    <t>45/90</t>
  </si>
  <si>
    <t>46/90</t>
  </si>
  <si>
    <t>47/90</t>
  </si>
  <si>
    <t>48/90</t>
  </si>
  <si>
    <t>49/90</t>
  </si>
  <si>
    <t>50/90</t>
  </si>
  <si>
    <t>51/90</t>
  </si>
  <si>
    <t>52/90</t>
  </si>
  <si>
    <t>53/90</t>
  </si>
  <si>
    <t>54/90</t>
  </si>
  <si>
    <t>55/90</t>
  </si>
  <si>
    <t>56/90</t>
  </si>
  <si>
    <t>57/90</t>
  </si>
  <si>
    <t>58/90</t>
  </si>
  <si>
    <t>59/90</t>
  </si>
  <si>
    <t>60/90</t>
  </si>
  <si>
    <t>61/90</t>
  </si>
  <si>
    <t>62/90</t>
  </si>
  <si>
    <t>63/90</t>
  </si>
  <si>
    <t>64/90</t>
  </si>
  <si>
    <t>65/90</t>
  </si>
  <si>
    <t>66/90</t>
  </si>
  <si>
    <t>67/90</t>
  </si>
  <si>
    <t>68/90</t>
  </si>
  <si>
    <t>69/90</t>
  </si>
  <si>
    <t>70/90</t>
  </si>
  <si>
    <t>71/90</t>
  </si>
  <si>
    <t>Burned Tower</t>
  </si>
  <si>
    <t>72/90</t>
  </si>
  <si>
    <t>73/90</t>
  </si>
  <si>
    <t>Energy Exchanger</t>
  </si>
  <si>
    <t>74/90</t>
  </si>
  <si>
    <t>Flower Shop Lady</t>
  </si>
  <si>
    <t>75/90</t>
  </si>
  <si>
    <t>Legend Box</t>
  </si>
  <si>
    <t>76/90</t>
  </si>
  <si>
    <t>Ruins of Alph</t>
  </si>
  <si>
    <t>77/90</t>
  </si>
  <si>
    <t>Sage's Training</t>
  </si>
  <si>
    <t>78/90</t>
  </si>
  <si>
    <t>Team Rocket's Trickery</t>
  </si>
  <si>
    <t>79/90</t>
  </si>
  <si>
    <t>80/90</t>
  </si>
  <si>
    <t>81/90</t>
  </si>
  <si>
    <t>82/90</t>
  </si>
  <si>
    <t>83/90</t>
  </si>
  <si>
    <t>84/90</t>
  </si>
  <si>
    <t>85/90</t>
  </si>
  <si>
    <t>86/90</t>
  </si>
  <si>
    <t>87/90</t>
  </si>
  <si>
    <t>Kyogre &amp; GroudonL</t>
  </si>
  <si>
    <t>Water/Fighting</t>
  </si>
  <si>
    <t>88/90</t>
  </si>
  <si>
    <t>89/90</t>
  </si>
  <si>
    <t>Rayquaza &amp; DeoxysL</t>
  </si>
  <si>
    <t>Colorless/Psychic</t>
  </si>
  <si>
    <t>90/90</t>
  </si>
  <si>
    <t>THREE</t>
  </si>
  <si>
    <t>McDonalds Collection</t>
  </si>
  <si>
    <t>Snivy</t>
  </si>
  <si>
    <t>Maractus</t>
  </si>
  <si>
    <t>Tepig</t>
  </si>
  <si>
    <t>Oshawott</t>
  </si>
  <si>
    <t>Alomomola</t>
  </si>
  <si>
    <t>Blitzle</t>
  </si>
  <si>
    <t>Munna</t>
  </si>
  <si>
    <t>Sandile</t>
  </si>
  <si>
    <t>Zorua</t>
  </si>
  <si>
    <t>Klink</t>
  </si>
  <si>
    <t>Pidove</t>
  </si>
  <si>
    <t>Audino</t>
  </si>
  <si>
    <t>Sewaddle</t>
  </si>
  <si>
    <t>Swadloon</t>
  </si>
  <si>
    <t>Leavanny</t>
  </si>
  <si>
    <t>Petilil</t>
  </si>
  <si>
    <t>Lilligant</t>
  </si>
  <si>
    <t>Dwebble</t>
  </si>
  <si>
    <t>Crustle</t>
  </si>
  <si>
    <t>Karrablast</t>
  </si>
  <si>
    <t>Foongus</t>
  </si>
  <si>
    <t>Amoonguss</t>
  </si>
  <si>
    <t>Shelmet</t>
  </si>
  <si>
    <t>Accelgor</t>
  </si>
  <si>
    <t>Virizion</t>
  </si>
  <si>
    <t>Victini</t>
  </si>
  <si>
    <t>Pansear</t>
  </si>
  <si>
    <t>Simisear</t>
  </si>
  <si>
    <t>Heatmor</t>
  </si>
  <si>
    <t>Larvesta</t>
  </si>
  <si>
    <t>Volcarona</t>
  </si>
  <si>
    <t>Tympole</t>
  </si>
  <si>
    <t>Palpitoad</t>
  </si>
  <si>
    <t>Seismitoad</t>
  </si>
  <si>
    <t>Tirtouga</t>
  </si>
  <si>
    <t>Carracosta</t>
  </si>
  <si>
    <t>Vanillite</t>
  </si>
  <si>
    <t>Vanillish</t>
  </si>
  <si>
    <t>Vanilluxe</t>
  </si>
  <si>
    <t>Frillish</t>
  </si>
  <si>
    <t>Jellicent</t>
  </si>
  <si>
    <t>Cryogonal</t>
  </si>
  <si>
    <t>Kyurem</t>
  </si>
  <si>
    <t>Zebstrika</t>
  </si>
  <si>
    <t>Emolga</t>
  </si>
  <si>
    <t>Tynamo</t>
  </si>
  <si>
    <t>Eelektrik</t>
  </si>
  <si>
    <t>Eelektross</t>
  </si>
  <si>
    <t>Stunfisk</t>
  </si>
  <si>
    <t>Yamask</t>
  </si>
  <si>
    <t>Cofagrigus</t>
  </si>
  <si>
    <t>Trubbish</t>
  </si>
  <si>
    <t>Garbodor</t>
  </si>
  <si>
    <t>Solosis</t>
  </si>
  <si>
    <t>Duosion</t>
  </si>
  <si>
    <t>Reuniclus</t>
  </si>
  <si>
    <t>Elgyem</t>
  </si>
  <si>
    <t>Beheeyem</t>
  </si>
  <si>
    <t>Litwick</t>
  </si>
  <si>
    <t>Lampent</t>
  </si>
  <si>
    <t>Chandelure</t>
  </si>
  <si>
    <t>Gigalith</t>
  </si>
  <si>
    <t>Timburr</t>
  </si>
  <si>
    <t>Gurdurr</t>
  </si>
  <si>
    <t>Conkeldurr</t>
  </si>
  <si>
    <t>Archen</t>
  </si>
  <si>
    <t>Archeops</t>
  </si>
  <si>
    <t>Mienfoo</t>
  </si>
  <si>
    <t>Mienshao</t>
  </si>
  <si>
    <t>Golett</t>
  </si>
  <si>
    <t>Golurk</t>
  </si>
  <si>
    <t>Terrakion</t>
  </si>
  <si>
    <t>Landorus</t>
  </si>
  <si>
    <t>Pawniard</t>
  </si>
  <si>
    <t>Bisharp</t>
  </si>
  <si>
    <t>Deino</t>
  </si>
  <si>
    <t>Zweilous</t>
  </si>
  <si>
    <t>Hydreigon</t>
  </si>
  <si>
    <t>Escavalier</t>
  </si>
  <si>
    <t>Durant</t>
  </si>
  <si>
    <t>Cobalion</t>
  </si>
  <si>
    <t>Axew</t>
  </si>
  <si>
    <t>Fraxure</t>
  </si>
  <si>
    <t>Haxorus</t>
  </si>
  <si>
    <t>Druddigon</t>
  </si>
  <si>
    <t>Cover Fossil</t>
  </si>
  <si>
    <t>Item</t>
  </si>
  <si>
    <t>Eviolite</t>
  </si>
  <si>
    <t>N</t>
  </si>
  <si>
    <t>Plume Fossil</t>
  </si>
  <si>
    <t>Rocky Helmet</t>
  </si>
  <si>
    <t>Xtransceiver</t>
  </si>
  <si>
    <t>Pansage</t>
  </si>
  <si>
    <t>Simisage</t>
  </si>
  <si>
    <t>Darumaka</t>
  </si>
  <si>
    <t>Reshiram</t>
  </si>
  <si>
    <t>Panpour</t>
  </si>
  <si>
    <t>Simipour</t>
  </si>
  <si>
    <t>Basculin</t>
  </si>
  <si>
    <t>Cubchoo</t>
  </si>
  <si>
    <t>Beartic</t>
  </si>
  <si>
    <t>Zekrom</t>
  </si>
  <si>
    <t>Musharna</t>
  </si>
  <si>
    <t>Darmanitan</t>
  </si>
  <si>
    <t>Scraggy</t>
  </si>
  <si>
    <t>Scrafty</t>
  </si>
  <si>
    <t>Ferroseed</t>
  </si>
  <si>
    <t>Minccino</t>
  </si>
  <si>
    <t>Cinccino</t>
  </si>
  <si>
    <t>Cilan</t>
  </si>
  <si>
    <t>Exp. Share</t>
  </si>
  <si>
    <t>Heavy Ball</t>
  </si>
  <si>
    <t>Level Ball</t>
  </si>
  <si>
    <t>Skyarrow Bridge</t>
  </si>
  <si>
    <t>Prism Energy</t>
  </si>
  <si>
    <t>100/99</t>
  </si>
  <si>
    <t>Emboar</t>
  </si>
  <si>
    <t>101/99</t>
  </si>
  <si>
    <t>102/99</t>
  </si>
  <si>
    <t>Zoroark</t>
  </si>
  <si>
    <t>103/99</t>
  </si>
  <si>
    <t>Ducklett</t>
  </si>
  <si>
    <t>Swanna</t>
  </si>
  <si>
    <t>Joltik</t>
  </si>
  <si>
    <t>Galvantula</t>
  </si>
  <si>
    <t>Woobat</t>
  </si>
  <si>
    <t>Drilbur</t>
  </si>
  <si>
    <t>Excadrill</t>
  </si>
  <si>
    <t>Krokorok</t>
  </si>
  <si>
    <t>Krookodile</t>
  </si>
  <si>
    <t>Vullaby</t>
  </si>
  <si>
    <t>Klang</t>
  </si>
  <si>
    <t>Klinklang</t>
  </si>
  <si>
    <t>Lillipup</t>
  </si>
  <si>
    <t>Herdier</t>
  </si>
  <si>
    <t>Stoutland</t>
  </si>
  <si>
    <t>Cheren</t>
  </si>
  <si>
    <t>Dark Claw</t>
  </si>
  <si>
    <t>Dark Patch</t>
  </si>
  <si>
    <t>Enhanced Hammer</t>
  </si>
  <si>
    <t>Hooligans Jim &amp; Cas</t>
  </si>
  <si>
    <t>Old Amber Aerodactyl</t>
  </si>
  <si>
    <t>Professor Juniper</t>
  </si>
  <si>
    <t>Random Receiver</t>
  </si>
  <si>
    <t>Twist Mountain</t>
  </si>
  <si>
    <t>Ultra Ball</t>
  </si>
  <si>
    <t>103/108</t>
  </si>
  <si>
    <t>104/108</t>
  </si>
  <si>
    <t>105/108</t>
  </si>
  <si>
    <t>106/108</t>
  </si>
  <si>
    <t>107/108</t>
  </si>
  <si>
    <t>108/108</t>
  </si>
  <si>
    <t>109/108</t>
  </si>
  <si>
    <t>110/108</t>
  </si>
  <si>
    <t>111/108</t>
  </si>
  <si>
    <t>Pokémon Catcher</t>
  </si>
  <si>
    <t>McDonalds Collection 2012</t>
  </si>
  <si>
    <t>Servine</t>
  </si>
  <si>
    <t>Pignite</t>
  </si>
  <si>
    <t>Dewott</t>
  </si>
  <si>
    <t>Purrloin</t>
  </si>
  <si>
    <t>1/124</t>
  </si>
  <si>
    <t>2/124</t>
  </si>
  <si>
    <t>3/124</t>
  </si>
  <si>
    <t>4/124</t>
  </si>
  <si>
    <t>5/124</t>
  </si>
  <si>
    <t>6/124</t>
  </si>
  <si>
    <t>7/124</t>
  </si>
  <si>
    <t>8/124</t>
  </si>
  <si>
    <t>9/124</t>
  </si>
  <si>
    <t>10/124</t>
  </si>
  <si>
    <t>11/124</t>
  </si>
  <si>
    <t>12/124</t>
  </si>
  <si>
    <t>13/124</t>
  </si>
  <si>
    <t>14/124</t>
  </si>
  <si>
    <t>15/124</t>
  </si>
  <si>
    <t>16/124</t>
  </si>
  <si>
    <t>17/124</t>
  </si>
  <si>
    <t>18/124</t>
  </si>
  <si>
    <t>19/124</t>
  </si>
  <si>
    <t>20/124</t>
  </si>
  <si>
    <t>21/124</t>
  </si>
  <si>
    <t>22/124</t>
  </si>
  <si>
    <t>Ho-OhEX</t>
  </si>
  <si>
    <t>23/124</t>
  </si>
  <si>
    <t>24/124</t>
  </si>
  <si>
    <t>25/124</t>
  </si>
  <si>
    <t>26/124</t>
  </si>
  <si>
    <t>27/124</t>
  </si>
  <si>
    <t>28/124</t>
  </si>
  <si>
    <t>29/124</t>
  </si>
  <si>
    <t>30/124</t>
  </si>
  <si>
    <t>31/124</t>
  </si>
  <si>
    <t>32/124</t>
  </si>
  <si>
    <t>33/124</t>
  </si>
  <si>
    <t>34/124</t>
  </si>
  <si>
    <t>35/124</t>
  </si>
  <si>
    <t>36/124</t>
  </si>
  <si>
    <t>37/124</t>
  </si>
  <si>
    <t>38/124</t>
  </si>
  <si>
    <t>39/124</t>
  </si>
  <si>
    <t>40/124</t>
  </si>
  <si>
    <t>41/124</t>
  </si>
  <si>
    <t>42/124</t>
  </si>
  <si>
    <t>43/124</t>
  </si>
  <si>
    <t>44/124</t>
  </si>
  <si>
    <t>45/124</t>
  </si>
  <si>
    <t>46/124</t>
  </si>
  <si>
    <t>MewEX</t>
  </si>
  <si>
    <t>47/124</t>
  </si>
  <si>
    <t>48/124</t>
  </si>
  <si>
    <t>49/124</t>
  </si>
  <si>
    <t>50/124</t>
  </si>
  <si>
    <t>51/124</t>
  </si>
  <si>
    <t>52/124</t>
  </si>
  <si>
    <t>Sigilyph</t>
  </si>
  <si>
    <t>53/124</t>
  </si>
  <si>
    <t>54/124</t>
  </si>
  <si>
    <t>55/124</t>
  </si>
  <si>
    <t>Gothita</t>
  </si>
  <si>
    <t>56/124</t>
  </si>
  <si>
    <t>Gothorita</t>
  </si>
  <si>
    <t>57/124</t>
  </si>
  <si>
    <t>Gothitelle</t>
  </si>
  <si>
    <t>58/124</t>
  </si>
  <si>
    <t>59/124</t>
  </si>
  <si>
    <t>60/124</t>
  </si>
  <si>
    <t>61/124</t>
  </si>
  <si>
    <t>62/124</t>
  </si>
  <si>
    <t>63/124</t>
  </si>
  <si>
    <t>64/124</t>
  </si>
  <si>
    <t>65/124</t>
  </si>
  <si>
    <t>Roggenrola</t>
  </si>
  <si>
    <t>66/124</t>
  </si>
  <si>
    <t>Boldore</t>
  </si>
  <si>
    <t>67/124</t>
  </si>
  <si>
    <t>68/124</t>
  </si>
  <si>
    <t>Throh</t>
  </si>
  <si>
    <t>69/124</t>
  </si>
  <si>
    <t>Sawk</t>
  </si>
  <si>
    <t>70/124</t>
  </si>
  <si>
    <t>71/124</t>
  </si>
  <si>
    <t>TerrakionEX</t>
  </si>
  <si>
    <t>72/124</t>
  </si>
  <si>
    <t>73/124</t>
  </si>
  <si>
    <t>74/124</t>
  </si>
  <si>
    <t>75/124</t>
  </si>
  <si>
    <t>76/124</t>
  </si>
  <si>
    <t>77/124</t>
  </si>
  <si>
    <t>78/124</t>
  </si>
  <si>
    <t>79/124</t>
  </si>
  <si>
    <t>80/124</t>
  </si>
  <si>
    <t>81/124</t>
  </si>
  <si>
    <t>RegisteelEX</t>
  </si>
  <si>
    <t>82/124</t>
  </si>
  <si>
    <t>83/124</t>
  </si>
  <si>
    <t>84/124</t>
  </si>
  <si>
    <t>Dragon</t>
  </si>
  <si>
    <t>85/124</t>
  </si>
  <si>
    <t>RayquazaEX</t>
  </si>
  <si>
    <t>86/124</t>
  </si>
  <si>
    <t>87/124</t>
  </si>
  <si>
    <t>88/124</t>
  </si>
  <si>
    <t>89/124</t>
  </si>
  <si>
    <t>90/124</t>
  </si>
  <si>
    <t>91/124</t>
  </si>
  <si>
    <t>92/124</t>
  </si>
  <si>
    <t>GiratinaEX</t>
  </si>
  <si>
    <t>93/124</t>
  </si>
  <si>
    <t>94/124</t>
  </si>
  <si>
    <t>95/124</t>
  </si>
  <si>
    <t>96/124</t>
  </si>
  <si>
    <t>97/124</t>
  </si>
  <si>
    <t>98/124</t>
  </si>
  <si>
    <t>99/124</t>
  </si>
  <si>
    <t>100/124</t>
  </si>
  <si>
    <t>101/124</t>
  </si>
  <si>
    <t>102/124</t>
  </si>
  <si>
    <t>103/124</t>
  </si>
  <si>
    <t>104/124</t>
  </si>
  <si>
    <t>105/124</t>
  </si>
  <si>
    <t>106/124</t>
  </si>
  <si>
    <t>107/124</t>
  </si>
  <si>
    <t>108/124</t>
  </si>
  <si>
    <t>109/124</t>
  </si>
  <si>
    <t>110/124</t>
  </si>
  <si>
    <t>Bouffalant</t>
  </si>
  <si>
    <t>111/124</t>
  </si>
  <si>
    <t>Rufflet</t>
  </si>
  <si>
    <t>112/124</t>
  </si>
  <si>
    <t>Braviary</t>
  </si>
  <si>
    <t>113/124</t>
  </si>
  <si>
    <t>114/124</t>
  </si>
  <si>
    <t>Giant Cape</t>
  </si>
  <si>
    <t>115/124</t>
  </si>
  <si>
    <t>Rescue Scarf</t>
  </si>
  <si>
    <t>116/124</t>
  </si>
  <si>
    <t>Tool Scrapper</t>
  </si>
  <si>
    <t>117/124</t>
  </si>
  <si>
    <t>Blend Energy GFPD</t>
  </si>
  <si>
    <t>118/124</t>
  </si>
  <si>
    <t>Blend Energy WLFM</t>
  </si>
  <si>
    <t>119/124</t>
  </si>
  <si>
    <t>120/124</t>
  </si>
  <si>
    <t>121/124</t>
  </si>
  <si>
    <t>122/124</t>
  </si>
  <si>
    <t>123/124</t>
  </si>
  <si>
    <t>124/124</t>
  </si>
  <si>
    <t>125/124</t>
  </si>
  <si>
    <t>Serperior</t>
  </si>
  <si>
    <t>126/124</t>
  </si>
  <si>
    <t>127/124</t>
  </si>
  <si>
    <t>128/124</t>
  </si>
  <si>
    <t>1/149</t>
  </si>
  <si>
    <t>2/149</t>
  </si>
  <si>
    <t>3/149</t>
  </si>
  <si>
    <t>4/149</t>
  </si>
  <si>
    <t>5/149</t>
  </si>
  <si>
    <t>6/149</t>
  </si>
  <si>
    <t>7/149</t>
  </si>
  <si>
    <t>8/149</t>
  </si>
  <si>
    <t>9/149</t>
  </si>
  <si>
    <t>CelebiEX</t>
  </si>
  <si>
    <t>10/149</t>
  </si>
  <si>
    <t>11/149</t>
  </si>
  <si>
    <t>12/149</t>
  </si>
  <si>
    <t>13/149</t>
  </si>
  <si>
    <t>14/149</t>
  </si>
  <si>
    <t>Cottonee</t>
  </si>
  <si>
    <t>15/149</t>
  </si>
  <si>
    <t>Whimsicott</t>
  </si>
  <si>
    <t>16/149</t>
  </si>
  <si>
    <t>17/149</t>
  </si>
  <si>
    <t>18/149</t>
  </si>
  <si>
    <t>19/149</t>
  </si>
  <si>
    <t>20/149</t>
  </si>
  <si>
    <t>21/149</t>
  </si>
  <si>
    <t>22/149</t>
  </si>
  <si>
    <t>23/149</t>
  </si>
  <si>
    <t>24/149</t>
  </si>
  <si>
    <t>25/149</t>
  </si>
  <si>
    <t>26/149</t>
  </si>
  <si>
    <t>27/149</t>
  </si>
  <si>
    <t>28/149</t>
  </si>
  <si>
    <t>29/149</t>
  </si>
  <si>
    <t>30/149</t>
  </si>
  <si>
    <t>31/149</t>
  </si>
  <si>
    <t>32/149</t>
  </si>
  <si>
    <t>33/149</t>
  </si>
  <si>
    <t>34/149</t>
  </si>
  <si>
    <t>35/149</t>
  </si>
  <si>
    <t>36/149</t>
  </si>
  <si>
    <t>37/149</t>
  </si>
  <si>
    <t>38/149</t>
  </si>
  <si>
    <t>39/149</t>
  </si>
  <si>
    <t>40/149</t>
  </si>
  <si>
    <t>41/149</t>
  </si>
  <si>
    <t>Samurott</t>
  </si>
  <si>
    <t>42/149</t>
  </si>
  <si>
    <t>43/149</t>
  </si>
  <si>
    <t>44/149</t>
  </si>
  <si>
    <t>45/149</t>
  </si>
  <si>
    <t>46/149</t>
  </si>
  <si>
    <t>47/149</t>
  </si>
  <si>
    <t>Keldeo</t>
  </si>
  <si>
    <t>48/149</t>
  </si>
  <si>
    <t>49/149</t>
  </si>
  <si>
    <t>KeldeoEX</t>
  </si>
  <si>
    <t>50/149</t>
  </si>
  <si>
    <t>51/149</t>
  </si>
  <si>
    <t>52/149</t>
  </si>
  <si>
    <t>53/149</t>
  </si>
  <si>
    <t>54/149</t>
  </si>
  <si>
    <t>55/149</t>
  </si>
  <si>
    <t>56/149</t>
  </si>
  <si>
    <t>57/149</t>
  </si>
  <si>
    <t>58/149</t>
  </si>
  <si>
    <t>59/149</t>
  </si>
  <si>
    <t>60/149</t>
  </si>
  <si>
    <t>61/149</t>
  </si>
  <si>
    <t>62/149</t>
  </si>
  <si>
    <t>63/149</t>
  </si>
  <si>
    <t>64/149</t>
  </si>
  <si>
    <t>65/149</t>
  </si>
  <si>
    <t>66/149</t>
  </si>
  <si>
    <t>67/149</t>
  </si>
  <si>
    <t>CresseliaEX</t>
  </si>
  <si>
    <t>68/149</t>
  </si>
  <si>
    <t>69/149</t>
  </si>
  <si>
    <t>70/149</t>
  </si>
  <si>
    <t>71/149</t>
  </si>
  <si>
    <t>Swoobat</t>
  </si>
  <si>
    <t>72/149</t>
  </si>
  <si>
    <t>Venipede</t>
  </si>
  <si>
    <t>73/149</t>
  </si>
  <si>
    <t>Whirlipede</t>
  </si>
  <si>
    <t>74/149</t>
  </si>
  <si>
    <t>Scolipede</t>
  </si>
  <si>
    <t>75/149</t>
  </si>
  <si>
    <t>76/149</t>
  </si>
  <si>
    <t>77/149</t>
  </si>
  <si>
    <t>Meloetta</t>
  </si>
  <si>
    <t>78/149</t>
  </si>
  <si>
    <t>79/149</t>
  </si>
  <si>
    <t>80/149</t>
  </si>
  <si>
    <t>81/149</t>
  </si>
  <si>
    <t>82/149</t>
  </si>
  <si>
    <t>83/149</t>
  </si>
  <si>
    <t>84/149</t>
  </si>
  <si>
    <t>85/149</t>
  </si>
  <si>
    <t>86/149</t>
  </si>
  <si>
    <t>87/149</t>
  </si>
  <si>
    <t>88/149</t>
  </si>
  <si>
    <t>89/149</t>
  </si>
  <si>
    <t>LandorusEX</t>
  </si>
  <si>
    <t>90/149</t>
  </si>
  <si>
    <t>91/149</t>
  </si>
  <si>
    <t>Liepard</t>
  </si>
  <si>
    <t>92/149</t>
  </si>
  <si>
    <t>93/149</t>
  </si>
  <si>
    <t>Mandibuzz</t>
  </si>
  <si>
    <t>94/149</t>
  </si>
  <si>
    <t>95/149</t>
  </si>
  <si>
    <t>96/149</t>
  </si>
  <si>
    <t>97/149</t>
  </si>
  <si>
    <t>98/149</t>
  </si>
  <si>
    <t>99/149</t>
  </si>
  <si>
    <t>100/149</t>
  </si>
  <si>
    <t>Black Kyurem</t>
  </si>
  <si>
    <t>101/149</t>
  </si>
  <si>
    <t>Black KyuremEX</t>
  </si>
  <si>
    <t>102/149</t>
  </si>
  <si>
    <t>White Kyurem</t>
  </si>
  <si>
    <t>103/149</t>
  </si>
  <si>
    <t>White KyuremEX</t>
  </si>
  <si>
    <t>104/149</t>
  </si>
  <si>
    <t>105/149</t>
  </si>
  <si>
    <t>106/149</t>
  </si>
  <si>
    <t>107/149</t>
  </si>
  <si>
    <t>108/149</t>
  </si>
  <si>
    <t>109/149</t>
  </si>
  <si>
    <t>110/149</t>
  </si>
  <si>
    <t>111/149</t>
  </si>
  <si>
    <t>112/149</t>
  </si>
  <si>
    <t>113/149</t>
  </si>
  <si>
    <t>114/149</t>
  </si>
  <si>
    <t>115/149</t>
  </si>
  <si>
    <t>116/149</t>
  </si>
  <si>
    <t>117/149</t>
  </si>
  <si>
    <t>118/149</t>
  </si>
  <si>
    <t>Patrat</t>
  </si>
  <si>
    <t>119/149</t>
  </si>
  <si>
    <t>Watchog</t>
  </si>
  <si>
    <t>120/149</t>
  </si>
  <si>
    <t>121/149</t>
  </si>
  <si>
    <t>122/149</t>
  </si>
  <si>
    <t>123/149</t>
  </si>
  <si>
    <t>124/149</t>
  </si>
  <si>
    <t>Tranquill</t>
  </si>
  <si>
    <t>125/149</t>
  </si>
  <si>
    <t>Unfezant</t>
  </si>
  <si>
    <t>126/149</t>
  </si>
  <si>
    <t>127/149</t>
  </si>
  <si>
    <t>Aspertia City Gym</t>
  </si>
  <si>
    <t>128/149</t>
  </si>
  <si>
    <t>129/149</t>
  </si>
  <si>
    <t>130/149</t>
  </si>
  <si>
    <t>Hugh</t>
  </si>
  <si>
    <t>131/149</t>
  </si>
  <si>
    <t>132/149</t>
  </si>
  <si>
    <t>133/149</t>
  </si>
  <si>
    <t>134/149</t>
  </si>
  <si>
    <t>Skyla</t>
  </si>
  <si>
    <t>135/149</t>
  </si>
  <si>
    <t>136/149</t>
  </si>
  <si>
    <t>Town Map</t>
  </si>
  <si>
    <t>137/149</t>
  </si>
  <si>
    <t>138/149</t>
  </si>
  <si>
    <t>Crystal Edge</t>
  </si>
  <si>
    <t>139/149</t>
  </si>
  <si>
    <t>Crystal Wall</t>
  </si>
  <si>
    <t>140/149</t>
  </si>
  <si>
    <t>Gold Potion</t>
  </si>
  <si>
    <t>141/149</t>
  </si>
  <si>
    <t>142/149</t>
  </si>
  <si>
    <t>143/149</t>
  </si>
  <si>
    <t>144/149</t>
  </si>
  <si>
    <t>145/149</t>
  </si>
  <si>
    <t>146/149</t>
  </si>
  <si>
    <t>147/149</t>
  </si>
  <si>
    <t>Bianca</t>
  </si>
  <si>
    <t>148/149</t>
  </si>
  <si>
    <t>149/149</t>
  </si>
  <si>
    <t>150/149</t>
  </si>
  <si>
    <t>151/149</t>
  </si>
  <si>
    <t>152/149</t>
  </si>
  <si>
    <t>153/149</t>
  </si>
  <si>
    <t>1/135</t>
  </si>
  <si>
    <t>2/135</t>
  </si>
  <si>
    <t>3/135</t>
  </si>
  <si>
    <t>4/135</t>
  </si>
  <si>
    <t>5/135</t>
  </si>
  <si>
    <t>6/135</t>
  </si>
  <si>
    <t>7/135</t>
  </si>
  <si>
    <t>8/135</t>
  </si>
  <si>
    <t>9/135</t>
  </si>
  <si>
    <t>10/135</t>
  </si>
  <si>
    <t>11/135</t>
  </si>
  <si>
    <t>12/135</t>
  </si>
  <si>
    <t>13/135</t>
  </si>
  <si>
    <t>14/135</t>
  </si>
  <si>
    <t>MoltresEX</t>
  </si>
  <si>
    <t>15/135</t>
  </si>
  <si>
    <t>16/135</t>
  </si>
  <si>
    <t>17/135</t>
  </si>
  <si>
    <t>18/135</t>
  </si>
  <si>
    <t>VictiniEX</t>
  </si>
  <si>
    <t>19/135</t>
  </si>
  <si>
    <t>20/135</t>
  </si>
  <si>
    <t>21/135</t>
  </si>
  <si>
    <t>22/135</t>
  </si>
  <si>
    <t>23/135</t>
  </si>
  <si>
    <t>24/135</t>
  </si>
  <si>
    <t>25/135</t>
  </si>
  <si>
    <t>ArticunoEX</t>
  </si>
  <si>
    <t>26/135</t>
  </si>
  <si>
    <t>27/135</t>
  </si>
  <si>
    <t>28/135</t>
  </si>
  <si>
    <t>29/135</t>
  </si>
  <si>
    <t>30/135</t>
  </si>
  <si>
    <t>31/135</t>
  </si>
  <si>
    <t>32/135</t>
  </si>
  <si>
    <t>33/135</t>
  </si>
  <si>
    <t>34/135</t>
  </si>
  <si>
    <t>35/135</t>
  </si>
  <si>
    <t>36/135</t>
  </si>
  <si>
    <t>37/135</t>
  </si>
  <si>
    <t>38/135</t>
  </si>
  <si>
    <t>39/135</t>
  </si>
  <si>
    <t>40/135</t>
  </si>
  <si>
    <t>41/135</t>
  </si>
  <si>
    <t>42/135</t>
  </si>
  <si>
    <t>43/135</t>
  </si>
  <si>
    <t>44/135</t>
  </si>
  <si>
    <t>45/135</t>
  </si>
  <si>
    <t>46/135</t>
  </si>
  <si>
    <t>47/135</t>
  </si>
  <si>
    <t>48/135</t>
  </si>
  <si>
    <t>ZapdosEX</t>
  </si>
  <si>
    <t>49/135</t>
  </si>
  <si>
    <t>50/135</t>
  </si>
  <si>
    <t>51/135</t>
  </si>
  <si>
    <t>52/135</t>
  </si>
  <si>
    <t>53/135</t>
  </si>
  <si>
    <t>54/135</t>
  </si>
  <si>
    <t>55/135</t>
  </si>
  <si>
    <t>56/135</t>
  </si>
  <si>
    <t>57/135</t>
  </si>
  <si>
    <t>58/135</t>
  </si>
  <si>
    <t>59/135</t>
  </si>
  <si>
    <t>60/135</t>
  </si>
  <si>
    <t>61/135</t>
  </si>
  <si>
    <t>62/135</t>
  </si>
  <si>
    <t>63/135</t>
  </si>
  <si>
    <t>64/135</t>
  </si>
  <si>
    <t>65/135</t>
  </si>
  <si>
    <t>66/135</t>
  </si>
  <si>
    <t>67/135</t>
  </si>
  <si>
    <t>68/135</t>
  </si>
  <si>
    <t>69/135</t>
  </si>
  <si>
    <t>70/135</t>
  </si>
  <si>
    <t>71/135</t>
  </si>
  <si>
    <t>72/135</t>
  </si>
  <si>
    <t>73/135</t>
  </si>
  <si>
    <t>74/135</t>
  </si>
  <si>
    <t>75/135</t>
  </si>
  <si>
    <t>76/135</t>
  </si>
  <si>
    <t>77/135</t>
  </si>
  <si>
    <t>78/135</t>
  </si>
  <si>
    <t>79/135</t>
  </si>
  <si>
    <t>80/135</t>
  </si>
  <si>
    <t>81/135</t>
  </si>
  <si>
    <t>82/135</t>
  </si>
  <si>
    <t>83/135</t>
  </si>
  <si>
    <t>84/135</t>
  </si>
  <si>
    <t>85/135</t>
  </si>
  <si>
    <t>86/135</t>
  </si>
  <si>
    <t>87/135</t>
  </si>
  <si>
    <t>88/135</t>
  </si>
  <si>
    <t>89/135</t>
  </si>
  <si>
    <t>90/135</t>
  </si>
  <si>
    <t>91/135</t>
  </si>
  <si>
    <t>92/135</t>
  </si>
  <si>
    <t>93/135</t>
  </si>
  <si>
    <t>CobalionEX</t>
  </si>
  <si>
    <t>94/135</t>
  </si>
  <si>
    <t>95/135</t>
  </si>
  <si>
    <t>96/135</t>
  </si>
  <si>
    <t>97/135</t>
  </si>
  <si>
    <t>98/135</t>
  </si>
  <si>
    <t>99/135</t>
  </si>
  <si>
    <t>100/135</t>
  </si>
  <si>
    <t>101/135</t>
  </si>
  <si>
    <t>102/135</t>
  </si>
  <si>
    <t>103/135</t>
  </si>
  <si>
    <t>104/135</t>
  </si>
  <si>
    <t>105/135</t>
  </si>
  <si>
    <t>106/135</t>
  </si>
  <si>
    <t>107/135</t>
  </si>
  <si>
    <t>108/135</t>
  </si>
  <si>
    <t>LugiaEX</t>
  </si>
  <si>
    <t>109/135</t>
  </si>
  <si>
    <t>110/135</t>
  </si>
  <si>
    <t>111/135</t>
  </si>
  <si>
    <t>112/135</t>
  </si>
  <si>
    <t>113/135</t>
  </si>
  <si>
    <t>114/135</t>
  </si>
  <si>
    <t>115/135</t>
  </si>
  <si>
    <t>116/135</t>
  </si>
  <si>
    <t>117/135</t>
  </si>
  <si>
    <t>Bicycle</t>
  </si>
  <si>
    <t>118/135</t>
  </si>
  <si>
    <t>Colress</t>
  </si>
  <si>
    <t>119/135</t>
  </si>
  <si>
    <t>Colress Machine</t>
  </si>
  <si>
    <t>120/135</t>
  </si>
  <si>
    <t>Escape Rope</t>
  </si>
  <si>
    <t>121/135</t>
  </si>
  <si>
    <t>Ether</t>
  </si>
  <si>
    <t>122/135</t>
  </si>
  <si>
    <t>123/135</t>
  </si>
  <si>
    <t>Hypnotoxic Laser</t>
  </si>
  <si>
    <t>124/135</t>
  </si>
  <si>
    <t>Plasma Frigate</t>
  </si>
  <si>
    <t>125/135</t>
  </si>
  <si>
    <t>Team Plasma Grunt</t>
  </si>
  <si>
    <t>126/135</t>
  </si>
  <si>
    <t>Virbank City Gym</t>
  </si>
  <si>
    <t>127/135</t>
  </si>
  <si>
    <t>Plasma Energy</t>
  </si>
  <si>
    <t>128/135</t>
  </si>
  <si>
    <t>Dowsing Machine</t>
  </si>
  <si>
    <t>129/135</t>
  </si>
  <si>
    <t>Scramble Switch</t>
  </si>
  <si>
    <t>130/135</t>
  </si>
  <si>
    <t>Victory Piece</t>
  </si>
  <si>
    <t>131/135</t>
  </si>
  <si>
    <t>132/135</t>
  </si>
  <si>
    <t>133/135</t>
  </si>
  <si>
    <t>134/135</t>
  </si>
  <si>
    <t>135/135</t>
  </si>
  <si>
    <t>136/135</t>
  </si>
  <si>
    <t>137/135</t>
  </si>
  <si>
    <t>138/135</t>
  </si>
  <si>
    <t>VirizionEX</t>
  </si>
  <si>
    <t>Genesect</t>
  </si>
  <si>
    <t>GenesectEX</t>
  </si>
  <si>
    <t>KyuremEX</t>
  </si>
  <si>
    <t>JirachiEX</t>
  </si>
  <si>
    <t>DialgaEX</t>
  </si>
  <si>
    <t>PalkiaEX</t>
  </si>
  <si>
    <t>Caitlin</t>
  </si>
  <si>
    <t>Iris</t>
  </si>
  <si>
    <t>Reversal Trigger</t>
  </si>
  <si>
    <t>Root Fossil Lileep</t>
  </si>
  <si>
    <t>Silver Bangle</t>
  </si>
  <si>
    <t>Silver Mirror</t>
  </si>
  <si>
    <t>G Booster</t>
  </si>
  <si>
    <t>G Scope</t>
  </si>
  <si>
    <t>Scoop Up Cyclone</t>
  </si>
  <si>
    <t>103/101</t>
  </si>
  <si>
    <t>104/101</t>
  </si>
  <si>
    <t>105/101</t>
  </si>
  <si>
    <t>Thundurus</t>
  </si>
  <si>
    <t>Tornadus</t>
  </si>
  <si>
    <t>Cedric Juniper</t>
  </si>
  <si>
    <t>Crushing Hammer</t>
  </si>
  <si>
    <t>115/113</t>
  </si>
  <si>
    <t>RADIANT COLLECTION</t>
  </si>
  <si>
    <t>RC1/RC25</t>
  </si>
  <si>
    <t>RC2/RC25</t>
  </si>
  <si>
    <t>RC3/RC25</t>
  </si>
  <si>
    <t>RC4/RC25</t>
  </si>
  <si>
    <t>RC5/RC25</t>
  </si>
  <si>
    <t>RC6/RC25</t>
  </si>
  <si>
    <t>RC7/RC25</t>
  </si>
  <si>
    <t>Lighting</t>
  </si>
  <si>
    <t>RC8/RC25</t>
  </si>
  <si>
    <t>RC9/RC25</t>
  </si>
  <si>
    <t>RC10/RC25</t>
  </si>
  <si>
    <t>RC11/RC25</t>
  </si>
  <si>
    <t>RC12/RC25</t>
  </si>
  <si>
    <t>RC13/RC25</t>
  </si>
  <si>
    <t>RC14/RC25</t>
  </si>
  <si>
    <t>RC15/RC25</t>
  </si>
  <si>
    <t>RC16/RC25</t>
  </si>
  <si>
    <t>RC17/RC25</t>
  </si>
  <si>
    <t>RC18/RC25</t>
  </si>
  <si>
    <t>RC19/RC25</t>
  </si>
  <si>
    <t>RC20/RC25</t>
  </si>
  <si>
    <t>Elesa</t>
  </si>
  <si>
    <t>RC21/RC25</t>
  </si>
  <si>
    <t>RC22/RC25</t>
  </si>
  <si>
    <t>RC23/RC25</t>
  </si>
  <si>
    <t>RC24/RC25</t>
  </si>
  <si>
    <t>RC25/RC25</t>
  </si>
  <si>
    <t>X and Y Black Star Promos</t>
  </si>
  <si>
    <t>XY01</t>
  </si>
  <si>
    <t>Chespin</t>
  </si>
  <si>
    <t>XY02</t>
  </si>
  <si>
    <t>Fennekin</t>
  </si>
  <si>
    <t>XY03</t>
  </si>
  <si>
    <t>Froakie</t>
  </si>
  <si>
    <t>XY04</t>
  </si>
  <si>
    <t>Sylveon</t>
  </si>
  <si>
    <t>Fairy</t>
  </si>
  <si>
    <t>XY05</t>
  </si>
  <si>
    <t>Xerneas</t>
  </si>
  <si>
    <t>XY06</t>
  </si>
  <si>
    <t>Yveltal</t>
  </si>
  <si>
    <t>XY07</t>
  </si>
  <si>
    <t>XY08</t>
  </si>
  <si>
    <t>XY09</t>
  </si>
  <si>
    <t>XY10</t>
  </si>
  <si>
    <t>XY11</t>
  </si>
  <si>
    <t>Skiddo</t>
  </si>
  <si>
    <t>XY12</t>
  </si>
  <si>
    <t>Honedge</t>
  </si>
  <si>
    <t>XY13</t>
  </si>
  <si>
    <t>XY14</t>
  </si>
  <si>
    <t>Trevenant</t>
  </si>
  <si>
    <t>XY15</t>
  </si>
  <si>
    <t>Slurpuff</t>
  </si>
  <si>
    <t>XY16</t>
  </si>
  <si>
    <t>Gogoat</t>
  </si>
  <si>
    <t>XY17</t>
  </si>
  <si>
    <t>XY18</t>
  </si>
  <si>
    <t>XY19</t>
  </si>
  <si>
    <t>XY20</t>
  </si>
  <si>
    <t>XY21</t>
  </si>
  <si>
    <t>XY22</t>
  </si>
  <si>
    <t>XY23</t>
  </si>
  <si>
    <t>XY24</t>
  </si>
  <si>
    <t>Greninja</t>
  </si>
  <si>
    <t>XY25</t>
  </si>
  <si>
    <t>XY26</t>
  </si>
  <si>
    <t>Pyroar</t>
  </si>
  <si>
    <t>XY27</t>
  </si>
  <si>
    <t>XY28</t>
  </si>
  <si>
    <t>XY29</t>
  </si>
  <si>
    <t>XY30</t>
  </si>
  <si>
    <t>XY31</t>
  </si>
  <si>
    <t>XY32</t>
  </si>
  <si>
    <t>XY33</t>
  </si>
  <si>
    <t>Trevor</t>
  </si>
  <si>
    <t>XY34</t>
  </si>
  <si>
    <t>XY35</t>
  </si>
  <si>
    <t>XY36</t>
  </si>
  <si>
    <t>XY37</t>
  </si>
  <si>
    <t>XY38</t>
  </si>
  <si>
    <t>XY39</t>
  </si>
  <si>
    <t>XY40</t>
  </si>
  <si>
    <t>XY41</t>
  </si>
  <si>
    <t>XY42</t>
  </si>
  <si>
    <t>XY43</t>
  </si>
  <si>
    <t>XY44</t>
  </si>
  <si>
    <t>XY45</t>
  </si>
  <si>
    <t>XY46</t>
  </si>
  <si>
    <t>XY47</t>
  </si>
  <si>
    <t>Heliolisk</t>
  </si>
  <si>
    <t>XY48</t>
  </si>
  <si>
    <t>Meowstic</t>
  </si>
  <si>
    <t>XY49</t>
  </si>
  <si>
    <t>XY50</t>
  </si>
  <si>
    <t>Pangoro</t>
  </si>
  <si>
    <t>XY51</t>
  </si>
  <si>
    <t>XY52</t>
  </si>
  <si>
    <t>XY53</t>
  </si>
  <si>
    <t>XY54</t>
  </si>
  <si>
    <t>XY55</t>
  </si>
  <si>
    <t>XY56</t>
  </si>
  <si>
    <t>XY57</t>
  </si>
  <si>
    <t>XY58</t>
  </si>
  <si>
    <t>Malamar</t>
  </si>
  <si>
    <t>XY59</t>
  </si>
  <si>
    <t>XY60</t>
  </si>
  <si>
    <t>XY61</t>
  </si>
  <si>
    <t>XY62</t>
  </si>
  <si>
    <t>XY63</t>
  </si>
  <si>
    <t>XY64</t>
  </si>
  <si>
    <t>XY65</t>
  </si>
  <si>
    <t>XY66</t>
  </si>
  <si>
    <t>XY67</t>
  </si>
  <si>
    <t>XY67a</t>
  </si>
  <si>
    <t>XY68</t>
  </si>
  <si>
    <t>XY69</t>
  </si>
  <si>
    <t>XY70</t>
  </si>
  <si>
    <t>XY71</t>
  </si>
  <si>
    <t>XY72</t>
  </si>
  <si>
    <t>XY73</t>
  </si>
  <si>
    <t>XY74</t>
  </si>
  <si>
    <t>XY75</t>
  </si>
  <si>
    <t>XY76</t>
  </si>
  <si>
    <t>XY77</t>
  </si>
  <si>
    <t>XY78</t>
  </si>
  <si>
    <t>XY79</t>
  </si>
  <si>
    <t>XY80</t>
  </si>
  <si>
    <t>XY81</t>
  </si>
  <si>
    <t>XY82</t>
  </si>
  <si>
    <t>XY83</t>
  </si>
  <si>
    <t>XY84</t>
  </si>
  <si>
    <t>XY85</t>
  </si>
  <si>
    <t>XY86</t>
  </si>
  <si>
    <t>XY87</t>
  </si>
  <si>
    <t>XY88</t>
  </si>
  <si>
    <t>XY89</t>
  </si>
  <si>
    <t>XY90</t>
  </si>
  <si>
    <t>Hoopa</t>
  </si>
  <si>
    <t>XY91</t>
  </si>
  <si>
    <t>XY92</t>
  </si>
  <si>
    <t>XY93</t>
  </si>
  <si>
    <t>XY94</t>
  </si>
  <si>
    <t>XY95</t>
  </si>
  <si>
    <t>XY96</t>
  </si>
  <si>
    <t>XY97</t>
  </si>
  <si>
    <t>XY98</t>
  </si>
  <si>
    <t>XY99</t>
  </si>
  <si>
    <t>Aerodactyl Spirit Link</t>
  </si>
  <si>
    <t>XY100</t>
  </si>
  <si>
    <t>XY101</t>
  </si>
  <si>
    <t>XY102</t>
  </si>
  <si>
    <t>XY103</t>
  </si>
  <si>
    <t>XY104</t>
  </si>
  <si>
    <t>XY105</t>
  </si>
  <si>
    <t>Mawile Spirit Link</t>
  </si>
  <si>
    <t>XY106</t>
  </si>
  <si>
    <t>XY107</t>
  </si>
  <si>
    <t>XY108</t>
  </si>
  <si>
    <t>XY109</t>
  </si>
  <si>
    <t>XY110</t>
  </si>
  <si>
    <t>XY111</t>
  </si>
  <si>
    <t>XY112</t>
  </si>
  <si>
    <t>XY113</t>
  </si>
  <si>
    <t>XY114</t>
  </si>
  <si>
    <t>XY115</t>
  </si>
  <si>
    <t>XY116</t>
  </si>
  <si>
    <t>XY117</t>
  </si>
  <si>
    <t>XY118</t>
  </si>
  <si>
    <t>XY119</t>
  </si>
  <si>
    <t>XY120</t>
  </si>
  <si>
    <t>XY121</t>
  </si>
  <si>
    <t>XY122</t>
  </si>
  <si>
    <t>XY123</t>
  </si>
  <si>
    <t>XY124</t>
  </si>
  <si>
    <t>XY125</t>
  </si>
  <si>
    <t>XY126</t>
  </si>
  <si>
    <t>XY127</t>
  </si>
  <si>
    <t>XY128</t>
  </si>
  <si>
    <t>XY129</t>
  </si>
  <si>
    <t>XY130</t>
  </si>
  <si>
    <t>XY131</t>
  </si>
  <si>
    <t>XY132</t>
  </si>
  <si>
    <t>XY133</t>
  </si>
  <si>
    <t>XY134</t>
  </si>
  <si>
    <t>XY135</t>
  </si>
  <si>
    <t>XY136</t>
  </si>
  <si>
    <t>XY137</t>
  </si>
  <si>
    <t>Vivillon</t>
  </si>
  <si>
    <t>XY138</t>
  </si>
  <si>
    <t>XY139</t>
  </si>
  <si>
    <t>Floette</t>
  </si>
  <si>
    <t>XY140</t>
  </si>
  <si>
    <t>XY141</t>
  </si>
  <si>
    <t>XY142</t>
  </si>
  <si>
    <t>XY143</t>
  </si>
  <si>
    <t>XY144</t>
  </si>
  <si>
    <t>XY145</t>
  </si>
  <si>
    <t>XY146</t>
  </si>
  <si>
    <t>XY147</t>
  </si>
  <si>
    <t>XY148</t>
  </si>
  <si>
    <t>XY149</t>
  </si>
  <si>
    <t>XY150</t>
  </si>
  <si>
    <t>XY150a</t>
  </si>
  <si>
    <t>XY151</t>
  </si>
  <si>
    <t>XY152</t>
  </si>
  <si>
    <t>Zygarde</t>
  </si>
  <si>
    <t>XY153</t>
  </si>
  <si>
    <t>XY154</t>
  </si>
  <si>
    <t>XY155</t>
  </si>
  <si>
    <t>XY156</t>
  </si>
  <si>
    <t>XY157</t>
  </si>
  <si>
    <t>XY158</t>
  </si>
  <si>
    <t>XY159</t>
  </si>
  <si>
    <t>Beedrill Spirit Link</t>
  </si>
  <si>
    <t>XY160</t>
  </si>
  <si>
    <t>XY161</t>
  </si>
  <si>
    <t>Braixen</t>
  </si>
  <si>
    <t>XY162</t>
  </si>
  <si>
    <t>XY163</t>
  </si>
  <si>
    <t>XY164</t>
  </si>
  <si>
    <t>Volcanion</t>
  </si>
  <si>
    <t>XY165</t>
  </si>
  <si>
    <t>Magearna</t>
  </si>
  <si>
    <t>XY166</t>
  </si>
  <si>
    <t>XY167</t>
  </si>
  <si>
    <t>XY168</t>
  </si>
  <si>
    <t>XY169</t>
  </si>
  <si>
    <t>Garchomp Spirit Link</t>
  </si>
  <si>
    <t>XY170</t>
  </si>
  <si>
    <t>XY171</t>
  </si>
  <si>
    <t>XY172</t>
  </si>
  <si>
    <t>Salamence Spirit Link</t>
  </si>
  <si>
    <t>XY173</t>
  </si>
  <si>
    <t>Fire/Water</t>
  </si>
  <si>
    <t>XY174</t>
  </si>
  <si>
    <t>XY175</t>
  </si>
  <si>
    <t>XY176</t>
  </si>
  <si>
    <t>XY177</t>
  </si>
  <si>
    <t>Karen</t>
  </si>
  <si>
    <t>XY177a</t>
  </si>
  <si>
    <t>XY178</t>
  </si>
  <si>
    <t>XY179</t>
  </si>
  <si>
    <t>XY180</t>
  </si>
  <si>
    <t>XY181</t>
  </si>
  <si>
    <t>XY182</t>
  </si>
  <si>
    <t>XY183</t>
  </si>
  <si>
    <t>XY184</t>
  </si>
  <si>
    <t>XY185</t>
  </si>
  <si>
    <t>XY186</t>
  </si>
  <si>
    <t>XY187</t>
  </si>
  <si>
    <t>XY188</t>
  </si>
  <si>
    <t>XY189</t>
  </si>
  <si>
    <t>XY190</t>
  </si>
  <si>
    <t>XY191</t>
  </si>
  <si>
    <t>XY192</t>
  </si>
  <si>
    <t>XY193</t>
  </si>
  <si>
    <t>XY194</t>
  </si>
  <si>
    <t>XY195</t>
  </si>
  <si>
    <t>XY196</t>
  </si>
  <si>
    <t>XY197</t>
  </si>
  <si>
    <t>XY198</t>
  </si>
  <si>
    <t>XY198a</t>
  </si>
  <si>
    <t>XY199</t>
  </si>
  <si>
    <t>Camerupt Spirit Link</t>
  </si>
  <si>
    <t>XY200</t>
  </si>
  <si>
    <t>XY200a</t>
  </si>
  <si>
    <t>XY201</t>
  </si>
  <si>
    <t>Sharpedo Spirit Link</t>
  </si>
  <si>
    <t>XY202</t>
  </si>
  <si>
    <t>XY203</t>
  </si>
  <si>
    <t>Gym Badge</t>
  </si>
  <si>
    <t>XY204</t>
  </si>
  <si>
    <t>XY205</t>
  </si>
  <si>
    <t>XY206</t>
  </si>
  <si>
    <t>XY207</t>
  </si>
  <si>
    <t>XY208</t>
  </si>
  <si>
    <t>XY209</t>
  </si>
  <si>
    <t>XY210</t>
  </si>
  <si>
    <t>XY211</t>
  </si>
  <si>
    <t>Lucario Spirit Link</t>
  </si>
  <si>
    <t>1/39</t>
  </si>
  <si>
    <t>2/39</t>
  </si>
  <si>
    <t>3/39</t>
  </si>
  <si>
    <t>4/39</t>
  </si>
  <si>
    <t>Quilladin</t>
  </si>
  <si>
    <t>5/39</t>
  </si>
  <si>
    <t>Chesnaught</t>
  </si>
  <si>
    <t>6/39</t>
  </si>
  <si>
    <t>7/39</t>
  </si>
  <si>
    <t>8/39</t>
  </si>
  <si>
    <t>9/39</t>
  </si>
  <si>
    <t>10/39</t>
  </si>
  <si>
    <t>Delphox</t>
  </si>
  <si>
    <t>11/39</t>
  </si>
  <si>
    <t>12/39</t>
  </si>
  <si>
    <t>13/39</t>
  </si>
  <si>
    <t>Frogadier</t>
  </si>
  <si>
    <t>14/39</t>
  </si>
  <si>
    <t>15/39</t>
  </si>
  <si>
    <t>Clauncher</t>
  </si>
  <si>
    <t>16/39</t>
  </si>
  <si>
    <t>17/39</t>
  </si>
  <si>
    <t>18/39</t>
  </si>
  <si>
    <t>Inkay</t>
  </si>
  <si>
    <t>19/39</t>
  </si>
  <si>
    <t>20/39</t>
  </si>
  <si>
    <t>21/39</t>
  </si>
  <si>
    <t>22/39</t>
  </si>
  <si>
    <t>23/39</t>
  </si>
  <si>
    <t>24/39</t>
  </si>
  <si>
    <t>Swirlix</t>
  </si>
  <si>
    <t>25/39</t>
  </si>
  <si>
    <t>26/39</t>
  </si>
  <si>
    <t>27/39</t>
  </si>
  <si>
    <t>28/39</t>
  </si>
  <si>
    <t>29/39</t>
  </si>
  <si>
    <t>30/39</t>
  </si>
  <si>
    <t>Bunnelby</t>
  </si>
  <si>
    <t>31/39</t>
  </si>
  <si>
    <t>Fletchling</t>
  </si>
  <si>
    <t>32/39</t>
  </si>
  <si>
    <t>Furfrou</t>
  </si>
  <si>
    <t>33/39</t>
  </si>
  <si>
    <t>34/39</t>
  </si>
  <si>
    <t>35/39</t>
  </si>
  <si>
    <t>36/39</t>
  </si>
  <si>
    <t>37/39</t>
  </si>
  <si>
    <t>38/39</t>
  </si>
  <si>
    <t>39/39</t>
  </si>
  <si>
    <t>Tierno</t>
  </si>
  <si>
    <t>Scatterbug</t>
  </si>
  <si>
    <t>Spewpa</t>
  </si>
  <si>
    <t>Fletchinder</t>
  </si>
  <si>
    <t>Talonflame</t>
  </si>
  <si>
    <t>Phantump</t>
  </si>
  <si>
    <t>Pumpkaboo</t>
  </si>
  <si>
    <t>Gourgeist</t>
  </si>
  <si>
    <t>Doublade</t>
  </si>
  <si>
    <t>Aegislash</t>
  </si>
  <si>
    <t>Spritzee</t>
  </si>
  <si>
    <t>Aromatisse</t>
  </si>
  <si>
    <t>Diggersby</t>
  </si>
  <si>
    <t>Cassius</t>
  </si>
  <si>
    <t>Evosoda</t>
  </si>
  <si>
    <t>Fairy Garden</t>
  </si>
  <si>
    <t>Hard Charm</t>
  </si>
  <si>
    <t>Muscle Band</t>
  </si>
  <si>
    <t>Professor Sycamore</t>
  </si>
  <si>
    <t>Professor's Letter</t>
  </si>
  <si>
    <t>Red Card</t>
  </si>
  <si>
    <t>Roller Skates</t>
  </si>
  <si>
    <t>Shadow Circle</t>
  </si>
  <si>
    <t>Shauna</t>
  </si>
  <si>
    <t>Team Flare Grunt</t>
  </si>
  <si>
    <t>Grass Energy</t>
  </si>
  <si>
    <t>Fire Energy</t>
  </si>
  <si>
    <t>Water Energy</t>
  </si>
  <si>
    <t>Lightning Energy</t>
  </si>
  <si>
    <t>Psychic Energy</t>
  </si>
  <si>
    <t>Fighting Energy</t>
  </si>
  <si>
    <t>Fairy Energy</t>
  </si>
  <si>
    <t>2/30</t>
  </si>
  <si>
    <t>13/30</t>
  </si>
  <si>
    <t>14/30</t>
  </si>
  <si>
    <t>15/30</t>
  </si>
  <si>
    <t>16/30</t>
  </si>
  <si>
    <t>17/30</t>
  </si>
  <si>
    <t>18/30</t>
  </si>
  <si>
    <t>19/30</t>
  </si>
  <si>
    <t>20/30</t>
  </si>
  <si>
    <t>21/30</t>
  </si>
  <si>
    <t>22/30</t>
  </si>
  <si>
    <t>23/30</t>
  </si>
  <si>
    <t>24/30</t>
  </si>
  <si>
    <t>25/30</t>
  </si>
  <si>
    <t>26/30</t>
  </si>
  <si>
    <t>27/30</t>
  </si>
  <si>
    <t>28/30</t>
  </si>
  <si>
    <t>29/30</t>
  </si>
  <si>
    <t>30/30</t>
  </si>
  <si>
    <t>Noibat</t>
  </si>
  <si>
    <t>Noivern</t>
  </si>
  <si>
    <t>Litleo</t>
  </si>
  <si>
    <t>Bergmite</t>
  </si>
  <si>
    <t>Avalugg</t>
  </si>
  <si>
    <t>Helioptile</t>
  </si>
  <si>
    <t>Espurr</t>
  </si>
  <si>
    <t>Skrelp</t>
  </si>
  <si>
    <t>Binacle</t>
  </si>
  <si>
    <t>Barbaracle</t>
  </si>
  <si>
    <t>Flabébé</t>
  </si>
  <si>
    <t>Florges</t>
  </si>
  <si>
    <t>Carbink</t>
  </si>
  <si>
    <t>Dragalge</t>
  </si>
  <si>
    <t>Goomy</t>
  </si>
  <si>
    <t>Sliggoo</t>
  </si>
  <si>
    <t>Goodra</t>
  </si>
  <si>
    <t>Blacksmith</t>
  </si>
  <si>
    <t>Fiery Torch</t>
  </si>
  <si>
    <t>Lysandre</t>
  </si>
  <si>
    <t>Pal Pad</t>
  </si>
  <si>
    <t>Pokémon Center Lady</t>
  </si>
  <si>
    <t>Protection Cube</t>
  </si>
  <si>
    <t>Sacred Ash</t>
  </si>
  <si>
    <t>Startling Megaphone</t>
  </si>
  <si>
    <t>Trick Shovel</t>
  </si>
  <si>
    <t>108/106</t>
  </si>
  <si>
    <t>109/106</t>
  </si>
  <si>
    <t>Normal</t>
  </si>
  <si>
    <t>Clawitzer</t>
  </si>
  <si>
    <t>Amaura</t>
  </si>
  <si>
    <t>Aurorus</t>
  </si>
  <si>
    <t>Dedenne</t>
  </si>
  <si>
    <t>Pancham</t>
  </si>
  <si>
    <t>Tyrunt</t>
  </si>
  <si>
    <t>Tyrantrum</t>
  </si>
  <si>
    <t>Hawlucha</t>
  </si>
  <si>
    <t>Klefki</t>
  </si>
  <si>
    <t>Battle Reporter</t>
  </si>
  <si>
    <t>Fighting Stadium</t>
  </si>
  <si>
    <t>Focus Sash</t>
  </si>
  <si>
    <t>Fossil Researcher</t>
  </si>
  <si>
    <t>Jaw Fossil</t>
  </si>
  <si>
    <t>Korrina</t>
  </si>
  <si>
    <t>Mountain Ring</t>
  </si>
  <si>
    <t>Sail Fossil</t>
  </si>
  <si>
    <t>Sparkling Robe</t>
  </si>
  <si>
    <t>Tool Retriever</t>
  </si>
  <si>
    <t>Training Center</t>
  </si>
  <si>
    <t>Herbal Energy</t>
  </si>
  <si>
    <t>Strong Energy</t>
  </si>
  <si>
    <t>1/119</t>
  </si>
  <si>
    <t>2/119</t>
  </si>
  <si>
    <t>3/119</t>
  </si>
  <si>
    <t>4/119</t>
  </si>
  <si>
    <t>5/119</t>
  </si>
  <si>
    <t>6/119</t>
  </si>
  <si>
    <t>7/119</t>
  </si>
  <si>
    <t>8/119</t>
  </si>
  <si>
    <t>9/119</t>
  </si>
  <si>
    <t>10/119</t>
  </si>
  <si>
    <t>11/119</t>
  </si>
  <si>
    <t>12/119</t>
  </si>
  <si>
    <t>13/119</t>
  </si>
  <si>
    <t>14/119</t>
  </si>
  <si>
    <t>15/119</t>
  </si>
  <si>
    <t>16/119</t>
  </si>
  <si>
    <t>17/119</t>
  </si>
  <si>
    <t>18/119</t>
  </si>
  <si>
    <t>19/119</t>
  </si>
  <si>
    <t>20/119</t>
  </si>
  <si>
    <t>21/119</t>
  </si>
  <si>
    <t>22/119</t>
  </si>
  <si>
    <t>23/119</t>
  </si>
  <si>
    <t>24/119</t>
  </si>
  <si>
    <t>25/119</t>
  </si>
  <si>
    <t>26/119</t>
  </si>
  <si>
    <t>27/119</t>
  </si>
  <si>
    <t>28/119</t>
  </si>
  <si>
    <t>29/119</t>
  </si>
  <si>
    <t>30/119</t>
  </si>
  <si>
    <t>31/119</t>
  </si>
  <si>
    <t>32/119</t>
  </si>
  <si>
    <t>33/119</t>
  </si>
  <si>
    <t>34/119</t>
  </si>
  <si>
    <t>35/119</t>
  </si>
  <si>
    <t>36/119</t>
  </si>
  <si>
    <t>37/119</t>
  </si>
  <si>
    <t>38/119</t>
  </si>
  <si>
    <t>39/119</t>
  </si>
  <si>
    <t>40/119</t>
  </si>
  <si>
    <t>41/119</t>
  </si>
  <si>
    <t>42/119</t>
  </si>
  <si>
    <t>43/119</t>
  </si>
  <si>
    <t>44/119</t>
  </si>
  <si>
    <t>45/119</t>
  </si>
  <si>
    <t>46/119</t>
  </si>
  <si>
    <t>47/119</t>
  </si>
  <si>
    <t>48/119</t>
  </si>
  <si>
    <t>49/119</t>
  </si>
  <si>
    <t>50/119</t>
  </si>
  <si>
    <t>51/119</t>
  </si>
  <si>
    <t>52/119</t>
  </si>
  <si>
    <t>53/119</t>
  </si>
  <si>
    <t>54/119</t>
  </si>
  <si>
    <t>55/119</t>
  </si>
  <si>
    <t>56/119</t>
  </si>
  <si>
    <t>57/119</t>
  </si>
  <si>
    <t>58/119</t>
  </si>
  <si>
    <t>59/119</t>
  </si>
  <si>
    <t>60/119</t>
  </si>
  <si>
    <t>61/119</t>
  </si>
  <si>
    <t>62/119</t>
  </si>
  <si>
    <t>63/119</t>
  </si>
  <si>
    <t>64/119</t>
  </si>
  <si>
    <t>65/119</t>
  </si>
  <si>
    <t>66/119</t>
  </si>
  <si>
    <t>67/119</t>
  </si>
  <si>
    <t>68/119</t>
  </si>
  <si>
    <t>69/119</t>
  </si>
  <si>
    <t>70/119</t>
  </si>
  <si>
    <t>71/119</t>
  </si>
  <si>
    <t>Diancie</t>
  </si>
  <si>
    <t>72/119</t>
  </si>
  <si>
    <t>73/119</t>
  </si>
  <si>
    <t>74/119</t>
  </si>
  <si>
    <t>75/119</t>
  </si>
  <si>
    <t>76/119</t>
  </si>
  <si>
    <t>77/119</t>
  </si>
  <si>
    <t>78/119</t>
  </si>
  <si>
    <t>79/119</t>
  </si>
  <si>
    <t>80/119</t>
  </si>
  <si>
    <t>81/119</t>
  </si>
  <si>
    <t>82/119</t>
  </si>
  <si>
    <t>83/119</t>
  </si>
  <si>
    <t>84/119</t>
  </si>
  <si>
    <t>85/119</t>
  </si>
  <si>
    <t>86/119</t>
  </si>
  <si>
    <t>87/119</t>
  </si>
  <si>
    <t>88/119</t>
  </si>
  <si>
    <t>89/119</t>
  </si>
  <si>
    <t>90/119</t>
  </si>
  <si>
    <t>91/119</t>
  </si>
  <si>
    <t>AZ</t>
  </si>
  <si>
    <t>92/119</t>
  </si>
  <si>
    <t>Battle Compressor</t>
  </si>
  <si>
    <t>93/119</t>
  </si>
  <si>
    <t>Dimension Valley</t>
  </si>
  <si>
    <t>94/119</t>
  </si>
  <si>
    <t>95/119</t>
  </si>
  <si>
    <t>Gengar Spirit Link</t>
  </si>
  <si>
    <t>96/119</t>
  </si>
  <si>
    <t>Hand Scope</t>
  </si>
  <si>
    <t>97/119</t>
  </si>
  <si>
    <t>Head Ringer</t>
  </si>
  <si>
    <t>98/119</t>
  </si>
  <si>
    <t>Jamming Net</t>
  </si>
  <si>
    <t>99/119</t>
  </si>
  <si>
    <t>Lysandre's Trump Card</t>
  </si>
  <si>
    <t>100/119</t>
  </si>
  <si>
    <t>Manectric Spirit Link</t>
  </si>
  <si>
    <t>101/119</t>
  </si>
  <si>
    <t>102/119</t>
  </si>
  <si>
    <t>Robo Substitute</t>
  </si>
  <si>
    <t>103/119</t>
  </si>
  <si>
    <t>104/119</t>
  </si>
  <si>
    <t>105/119</t>
  </si>
  <si>
    <t>Steel Shelter</t>
  </si>
  <si>
    <t>106/119</t>
  </si>
  <si>
    <t>Target Whistle</t>
  </si>
  <si>
    <t>107/119</t>
  </si>
  <si>
    <t>108/119</t>
  </si>
  <si>
    <t>Trick Coin</t>
  </si>
  <si>
    <t>109/119</t>
  </si>
  <si>
    <t>110/119</t>
  </si>
  <si>
    <t>Xerosic</t>
  </si>
  <si>
    <t>111/119</t>
  </si>
  <si>
    <t>112/119</t>
  </si>
  <si>
    <t>Mystery Energy</t>
  </si>
  <si>
    <t>113/119</t>
  </si>
  <si>
    <t>114/119</t>
  </si>
  <si>
    <t>115/119</t>
  </si>
  <si>
    <t>116/119</t>
  </si>
  <si>
    <t>117/119</t>
  </si>
  <si>
    <t>118/119</t>
  </si>
  <si>
    <t>119/119</t>
  </si>
  <si>
    <t>120/119</t>
  </si>
  <si>
    <t>121/119</t>
  </si>
  <si>
    <t>122/119</t>
  </si>
  <si>
    <t>1/160</t>
  </si>
  <si>
    <t>2/160</t>
  </si>
  <si>
    <t>3/160</t>
  </si>
  <si>
    <t>4/160</t>
  </si>
  <si>
    <t>5/160</t>
  </si>
  <si>
    <t>6/160</t>
  </si>
  <si>
    <t>7/160</t>
  </si>
  <si>
    <t>8/160</t>
  </si>
  <si>
    <t>9/160</t>
  </si>
  <si>
    <t>10/160</t>
  </si>
  <si>
    <t>11/160</t>
  </si>
  <si>
    <t>12/160</t>
  </si>
  <si>
    <t>13/160</t>
  </si>
  <si>
    <t>14/160</t>
  </si>
  <si>
    <t>15/160</t>
  </si>
  <si>
    <t>16/160</t>
  </si>
  <si>
    <t>17/160</t>
  </si>
  <si>
    <t>18/160</t>
  </si>
  <si>
    <t>19/160</t>
  </si>
  <si>
    <t>20/160</t>
  </si>
  <si>
    <t>21/160</t>
  </si>
  <si>
    <t>22/160</t>
  </si>
  <si>
    <t>23/160</t>
  </si>
  <si>
    <t>24/160</t>
  </si>
  <si>
    <t>25/160</t>
  </si>
  <si>
    <t>26/160</t>
  </si>
  <si>
    <t>27/160</t>
  </si>
  <si>
    <t>28/160</t>
  </si>
  <si>
    <t>29/160</t>
  </si>
  <si>
    <t>30/160</t>
  </si>
  <si>
    <t>31/160</t>
  </si>
  <si>
    <t>32/160</t>
  </si>
  <si>
    <t>33/160</t>
  </si>
  <si>
    <t>34/160</t>
  </si>
  <si>
    <t>35/160</t>
  </si>
  <si>
    <t>36/160</t>
  </si>
  <si>
    <t>37/160</t>
  </si>
  <si>
    <t>38/160</t>
  </si>
  <si>
    <t>39/160</t>
  </si>
  <si>
    <t>40/160</t>
  </si>
  <si>
    <t>41/160</t>
  </si>
  <si>
    <t>42/160</t>
  </si>
  <si>
    <t>43/160</t>
  </si>
  <si>
    <t>44/160</t>
  </si>
  <si>
    <t>45/160</t>
  </si>
  <si>
    <t>46/160</t>
  </si>
  <si>
    <t>47/160</t>
  </si>
  <si>
    <t>48/160</t>
  </si>
  <si>
    <t>49/160</t>
  </si>
  <si>
    <t>50/160</t>
  </si>
  <si>
    <t>51/160</t>
  </si>
  <si>
    <t>52/160</t>
  </si>
  <si>
    <t>53/160</t>
  </si>
  <si>
    <t>54/160</t>
  </si>
  <si>
    <t>55/160</t>
  </si>
  <si>
    <t>56/160</t>
  </si>
  <si>
    <t>57/160</t>
  </si>
  <si>
    <t>58/160</t>
  </si>
  <si>
    <t>59/160</t>
  </si>
  <si>
    <t>60/160</t>
  </si>
  <si>
    <t>61/160</t>
  </si>
  <si>
    <t>62/160</t>
  </si>
  <si>
    <t>63/160</t>
  </si>
  <si>
    <t>64/160</t>
  </si>
  <si>
    <t>65/160</t>
  </si>
  <si>
    <t>66/160</t>
  </si>
  <si>
    <t>67/160</t>
  </si>
  <si>
    <t>68/160</t>
  </si>
  <si>
    <t>69/160</t>
  </si>
  <si>
    <t>70/160</t>
  </si>
  <si>
    <t>71/160</t>
  </si>
  <si>
    <t>72/160</t>
  </si>
  <si>
    <t>73/160</t>
  </si>
  <si>
    <t>74/160</t>
  </si>
  <si>
    <t>75/160</t>
  </si>
  <si>
    <t>76/160</t>
  </si>
  <si>
    <t>77/160</t>
  </si>
  <si>
    <t>78/160</t>
  </si>
  <si>
    <t>79/160</t>
  </si>
  <si>
    <t>80/160</t>
  </si>
  <si>
    <t>81/160</t>
  </si>
  <si>
    <t>82/160</t>
  </si>
  <si>
    <t>83/160</t>
  </si>
  <si>
    <t>84/160</t>
  </si>
  <si>
    <t>85/160</t>
  </si>
  <si>
    <t>86/160</t>
  </si>
  <si>
    <t>87/160</t>
  </si>
  <si>
    <t>88/160</t>
  </si>
  <si>
    <t>89/160</t>
  </si>
  <si>
    <t>90/160</t>
  </si>
  <si>
    <t>91/160</t>
  </si>
  <si>
    <t>92/160</t>
  </si>
  <si>
    <t>93/160</t>
  </si>
  <si>
    <t>94/160</t>
  </si>
  <si>
    <t>95/160</t>
  </si>
  <si>
    <t>96/160</t>
  </si>
  <si>
    <t>97/160</t>
  </si>
  <si>
    <t>98/160</t>
  </si>
  <si>
    <t>99/160</t>
  </si>
  <si>
    <t>100/160</t>
  </si>
  <si>
    <t>101/160</t>
  </si>
  <si>
    <t>102/160</t>
  </si>
  <si>
    <t>103/160</t>
  </si>
  <si>
    <t>104/160</t>
  </si>
  <si>
    <t>105/160</t>
  </si>
  <si>
    <t>106/160</t>
  </si>
  <si>
    <t>107/160</t>
  </si>
  <si>
    <t>108/160</t>
  </si>
  <si>
    <t>109/160</t>
  </si>
  <si>
    <t>110/160</t>
  </si>
  <si>
    <t>111/160</t>
  </si>
  <si>
    <t>112/160</t>
  </si>
  <si>
    <t>113/160</t>
  </si>
  <si>
    <t>114/160</t>
  </si>
  <si>
    <t>115/160</t>
  </si>
  <si>
    <t>116/160</t>
  </si>
  <si>
    <t>117/160</t>
  </si>
  <si>
    <t>118/160</t>
  </si>
  <si>
    <t>119/160</t>
  </si>
  <si>
    <t>120/160</t>
  </si>
  <si>
    <t>121/160</t>
  </si>
  <si>
    <t>122/160</t>
  </si>
  <si>
    <t>Acro Bike</t>
  </si>
  <si>
    <t>123/160</t>
  </si>
  <si>
    <t>Aggron Spirit Link</t>
  </si>
  <si>
    <t>124/160</t>
  </si>
  <si>
    <t>Archie's Ace in the Hole</t>
  </si>
  <si>
    <t>125/160</t>
  </si>
  <si>
    <t>Dive Ball</t>
  </si>
  <si>
    <t>126/160</t>
  </si>
  <si>
    <t>127/160</t>
  </si>
  <si>
    <t>128/160</t>
  </si>
  <si>
    <t>129/160</t>
  </si>
  <si>
    <t>Fresh Water Set</t>
  </si>
  <si>
    <t>130/160</t>
  </si>
  <si>
    <t>Gardevoir Spirit Link</t>
  </si>
  <si>
    <t>131/160</t>
  </si>
  <si>
    <t>Groudon Spirit Link</t>
  </si>
  <si>
    <t>132/160</t>
  </si>
  <si>
    <t>Kyogre Spirit Link</t>
  </si>
  <si>
    <t>133/160</t>
  </si>
  <si>
    <t>Maxie's Hidden Ball Trick</t>
  </si>
  <si>
    <t>134/160</t>
  </si>
  <si>
    <t>Professor Birch's Observations</t>
  </si>
  <si>
    <t>135/160</t>
  </si>
  <si>
    <t>136/160</t>
  </si>
  <si>
    <t>Repeat Ball</t>
  </si>
  <si>
    <t>137/160</t>
  </si>
  <si>
    <t>Rough Seas</t>
  </si>
  <si>
    <t>138/160</t>
  </si>
  <si>
    <t>Scorched Earth</t>
  </si>
  <si>
    <t>139/160</t>
  </si>
  <si>
    <t>Shrine of Memories</t>
  </si>
  <si>
    <t>140/160</t>
  </si>
  <si>
    <t>Silent Lab</t>
  </si>
  <si>
    <t>141/160</t>
  </si>
  <si>
    <t>Teammates</t>
  </si>
  <si>
    <t>142/160</t>
  </si>
  <si>
    <t>Weakness Policy</t>
  </si>
  <si>
    <t>143/160</t>
  </si>
  <si>
    <t>Shield Energy</t>
  </si>
  <si>
    <t>144/160</t>
  </si>
  <si>
    <t>Wonder Energy</t>
  </si>
  <si>
    <t>145/160</t>
  </si>
  <si>
    <t>146/160</t>
  </si>
  <si>
    <t>147/160</t>
  </si>
  <si>
    <t>148/160</t>
  </si>
  <si>
    <t>149/160</t>
  </si>
  <si>
    <t>150/160</t>
  </si>
  <si>
    <t>151/160</t>
  </si>
  <si>
    <t>152/160</t>
  </si>
  <si>
    <t>153/160</t>
  </si>
  <si>
    <t>154/160</t>
  </si>
  <si>
    <t>155/160</t>
  </si>
  <si>
    <t>156/160</t>
  </si>
  <si>
    <t>157/160</t>
  </si>
  <si>
    <t>158/160</t>
  </si>
  <si>
    <t>159/160</t>
  </si>
  <si>
    <t>160/160</t>
  </si>
  <si>
    <t>161/160</t>
  </si>
  <si>
    <t>162/160</t>
  </si>
  <si>
    <t>163/160</t>
  </si>
  <si>
    <t>164/160</t>
  </si>
  <si>
    <t>Deoxys</t>
  </si>
  <si>
    <t>Gallade Spirit Link</t>
  </si>
  <si>
    <t>Healing Scarf</t>
  </si>
  <si>
    <t>Latios Spirit Link</t>
  </si>
  <si>
    <t>Mega Turbo</t>
  </si>
  <si>
    <t>Rayquaza Spirit Link</t>
  </si>
  <si>
    <t>Sky Field</t>
  </si>
  <si>
    <t>Steven</t>
  </si>
  <si>
    <t>Trainers' Mail</t>
  </si>
  <si>
    <t>Wally</t>
  </si>
  <si>
    <t>Wide Lens</t>
  </si>
  <si>
    <t>Winona</t>
  </si>
  <si>
    <t>Double Dragon Energy</t>
  </si>
  <si>
    <t>1/98</t>
  </si>
  <si>
    <t>2/98</t>
  </si>
  <si>
    <t>3/98</t>
  </si>
  <si>
    <t>4/98</t>
  </si>
  <si>
    <t>5/98</t>
  </si>
  <si>
    <t>6/98</t>
  </si>
  <si>
    <t>7/98</t>
  </si>
  <si>
    <t>8/98</t>
  </si>
  <si>
    <t>9/98</t>
  </si>
  <si>
    <t>10/98</t>
  </si>
  <si>
    <t>11/98</t>
  </si>
  <si>
    <t>12/98</t>
  </si>
  <si>
    <t>13/98</t>
  </si>
  <si>
    <t>14/98</t>
  </si>
  <si>
    <t>15/98</t>
  </si>
  <si>
    <t>16/98</t>
  </si>
  <si>
    <t>17/98</t>
  </si>
  <si>
    <t>18/98</t>
  </si>
  <si>
    <t>19/98</t>
  </si>
  <si>
    <t>20/98</t>
  </si>
  <si>
    <t>21/98</t>
  </si>
  <si>
    <t>22/98</t>
  </si>
  <si>
    <t>23/98</t>
  </si>
  <si>
    <t>24/98</t>
  </si>
  <si>
    <t>25/98</t>
  </si>
  <si>
    <t>26/98</t>
  </si>
  <si>
    <t>27/98</t>
  </si>
  <si>
    <t>28/98</t>
  </si>
  <si>
    <t>29/98</t>
  </si>
  <si>
    <t>30/98</t>
  </si>
  <si>
    <t>31/98</t>
  </si>
  <si>
    <t>32/98</t>
  </si>
  <si>
    <t>33/98</t>
  </si>
  <si>
    <t>34/98</t>
  </si>
  <si>
    <t>35/98</t>
  </si>
  <si>
    <t>36/98</t>
  </si>
  <si>
    <t>37/98</t>
  </si>
  <si>
    <t>38/98</t>
  </si>
  <si>
    <t>39/98</t>
  </si>
  <si>
    <t>40/98</t>
  </si>
  <si>
    <t>41/98</t>
  </si>
  <si>
    <t>42/98</t>
  </si>
  <si>
    <t>43/98</t>
  </si>
  <si>
    <t>44/98</t>
  </si>
  <si>
    <t>45/98</t>
  </si>
  <si>
    <t>46/98</t>
  </si>
  <si>
    <t>47/98</t>
  </si>
  <si>
    <t>48/98</t>
  </si>
  <si>
    <t>49/98</t>
  </si>
  <si>
    <t>50/98</t>
  </si>
  <si>
    <t>51/98</t>
  </si>
  <si>
    <t>52/98</t>
  </si>
  <si>
    <t>53/98</t>
  </si>
  <si>
    <t>54/98</t>
  </si>
  <si>
    <t>55/98</t>
  </si>
  <si>
    <t>56/98</t>
  </si>
  <si>
    <t>57/98</t>
  </si>
  <si>
    <t>58/98</t>
  </si>
  <si>
    <t>59/98</t>
  </si>
  <si>
    <t>60/98</t>
  </si>
  <si>
    <t>61/98</t>
  </si>
  <si>
    <t>62/98</t>
  </si>
  <si>
    <t>63/98</t>
  </si>
  <si>
    <t>64/98</t>
  </si>
  <si>
    <t>65/98</t>
  </si>
  <si>
    <t>66/98</t>
  </si>
  <si>
    <t>67/98</t>
  </si>
  <si>
    <t>68/98</t>
  </si>
  <si>
    <t>69/98</t>
  </si>
  <si>
    <t>Ace Trainer</t>
  </si>
  <si>
    <t>70/98</t>
  </si>
  <si>
    <t>Ampharos Spirit Link</t>
  </si>
  <si>
    <t>71/98</t>
  </si>
  <si>
    <t>Eco Arm</t>
  </si>
  <si>
    <t>72/98</t>
  </si>
  <si>
    <t>Energy Recycler</t>
  </si>
  <si>
    <t>73/98</t>
  </si>
  <si>
    <t>Faded Town</t>
  </si>
  <si>
    <t>74/98</t>
  </si>
  <si>
    <t>Forest of Giant Plants</t>
  </si>
  <si>
    <t>75/98</t>
  </si>
  <si>
    <t>Hex Maniac</t>
  </si>
  <si>
    <t>76/98</t>
  </si>
  <si>
    <t>77/98</t>
  </si>
  <si>
    <t>Lucky Helmet</t>
  </si>
  <si>
    <t>78/98</t>
  </si>
  <si>
    <t>79/98</t>
  </si>
  <si>
    <t>Paint Roller</t>
  </si>
  <si>
    <t>80/98</t>
  </si>
  <si>
    <t>Sceptile Spirit Link</t>
  </si>
  <si>
    <t>81/98</t>
  </si>
  <si>
    <t>Tyranitar Spirit Link</t>
  </si>
  <si>
    <t>82/98</t>
  </si>
  <si>
    <t>Dangerous Energy</t>
  </si>
  <si>
    <t>83/98</t>
  </si>
  <si>
    <t>Flash Energy</t>
  </si>
  <si>
    <t>84/98</t>
  </si>
  <si>
    <t>85/98</t>
  </si>
  <si>
    <t>86/98</t>
  </si>
  <si>
    <t>87/98</t>
  </si>
  <si>
    <t>88/98</t>
  </si>
  <si>
    <t>89/98</t>
  </si>
  <si>
    <t>90/98</t>
  </si>
  <si>
    <t>91/98</t>
  </si>
  <si>
    <t>92/98</t>
  </si>
  <si>
    <t>93/98</t>
  </si>
  <si>
    <t>94/98</t>
  </si>
  <si>
    <t>95/98</t>
  </si>
  <si>
    <t>96/98</t>
  </si>
  <si>
    <t>97/98</t>
  </si>
  <si>
    <t>98/98</t>
  </si>
  <si>
    <t>99/98</t>
  </si>
  <si>
    <t>100/98</t>
  </si>
  <si>
    <t>1/162</t>
  </si>
  <si>
    <t>2/162</t>
  </si>
  <si>
    <t>3/162</t>
  </si>
  <si>
    <t>4/162</t>
  </si>
  <si>
    <t>5/162</t>
  </si>
  <si>
    <t>6/162</t>
  </si>
  <si>
    <t>7/162</t>
  </si>
  <si>
    <t>8/162</t>
  </si>
  <si>
    <t>9/162</t>
  </si>
  <si>
    <t>10/162</t>
  </si>
  <si>
    <t>11/162</t>
  </si>
  <si>
    <t>12/162</t>
  </si>
  <si>
    <t>13/162</t>
  </si>
  <si>
    <t>14/162</t>
  </si>
  <si>
    <t>15/162</t>
  </si>
  <si>
    <t>16/162</t>
  </si>
  <si>
    <t>17/162</t>
  </si>
  <si>
    <t>18/162</t>
  </si>
  <si>
    <t>19/162</t>
  </si>
  <si>
    <t>20/162</t>
  </si>
  <si>
    <t>21/162</t>
  </si>
  <si>
    <t>22/162</t>
  </si>
  <si>
    <t>23/162</t>
  </si>
  <si>
    <t>24/162</t>
  </si>
  <si>
    <t>25/162</t>
  </si>
  <si>
    <t>26/162</t>
  </si>
  <si>
    <t>27/162</t>
  </si>
  <si>
    <t>28/162</t>
  </si>
  <si>
    <t>29/162</t>
  </si>
  <si>
    <t>30/162</t>
  </si>
  <si>
    <t>31/162</t>
  </si>
  <si>
    <t>32/162</t>
  </si>
  <si>
    <t>33/162</t>
  </si>
  <si>
    <t>34/162</t>
  </si>
  <si>
    <t>35/162</t>
  </si>
  <si>
    <t>36/162</t>
  </si>
  <si>
    <t>37/162</t>
  </si>
  <si>
    <t>38/162</t>
  </si>
  <si>
    <t>39/162</t>
  </si>
  <si>
    <t>40/162</t>
  </si>
  <si>
    <t>41/162</t>
  </si>
  <si>
    <t>42/162</t>
  </si>
  <si>
    <t>43/162</t>
  </si>
  <si>
    <t>44/162</t>
  </si>
  <si>
    <t>45/162</t>
  </si>
  <si>
    <t>46/162</t>
  </si>
  <si>
    <t>47/162</t>
  </si>
  <si>
    <t>48/162</t>
  </si>
  <si>
    <t>49/162</t>
  </si>
  <si>
    <t>50/162</t>
  </si>
  <si>
    <t>51/162</t>
  </si>
  <si>
    <t>52/162</t>
  </si>
  <si>
    <t>53/162</t>
  </si>
  <si>
    <t>54/162</t>
  </si>
  <si>
    <t>55/162</t>
  </si>
  <si>
    <t>56/162</t>
  </si>
  <si>
    <t>57/162</t>
  </si>
  <si>
    <t>58/162</t>
  </si>
  <si>
    <t>59/162</t>
  </si>
  <si>
    <t>60/162</t>
  </si>
  <si>
    <t>61/162</t>
  </si>
  <si>
    <t>62/162</t>
  </si>
  <si>
    <t>63/162</t>
  </si>
  <si>
    <t>64/162</t>
  </si>
  <si>
    <t>65/162</t>
  </si>
  <si>
    <t>66/162</t>
  </si>
  <si>
    <t>67/162</t>
  </si>
  <si>
    <t>68/162</t>
  </si>
  <si>
    <t>69/162</t>
  </si>
  <si>
    <t>70/162</t>
  </si>
  <si>
    <t>71/162</t>
  </si>
  <si>
    <t>72/162</t>
  </si>
  <si>
    <t>73/162</t>
  </si>
  <si>
    <t>74/162</t>
  </si>
  <si>
    <t>75/162</t>
  </si>
  <si>
    <t>76/162</t>
  </si>
  <si>
    <t>77/162</t>
  </si>
  <si>
    <t>78/162</t>
  </si>
  <si>
    <t>79/162</t>
  </si>
  <si>
    <t>80/162</t>
  </si>
  <si>
    <t>81/162</t>
  </si>
  <si>
    <t>82/162</t>
  </si>
  <si>
    <t>83/162</t>
  </si>
  <si>
    <t>84/162</t>
  </si>
  <si>
    <t>85/162</t>
  </si>
  <si>
    <t>86/162</t>
  </si>
  <si>
    <t>87/162</t>
  </si>
  <si>
    <t>88/162</t>
  </si>
  <si>
    <t>89/162</t>
  </si>
  <si>
    <t>90/162</t>
  </si>
  <si>
    <t>91/162</t>
  </si>
  <si>
    <t>92/162</t>
  </si>
  <si>
    <t>93/162</t>
  </si>
  <si>
    <t>94/162</t>
  </si>
  <si>
    <t>95/162</t>
  </si>
  <si>
    <t>96/162</t>
  </si>
  <si>
    <t>97/162</t>
  </si>
  <si>
    <t>98/162</t>
  </si>
  <si>
    <t>99/162</t>
  </si>
  <si>
    <t>100/162</t>
  </si>
  <si>
    <t>101/162</t>
  </si>
  <si>
    <t>102/162</t>
  </si>
  <si>
    <t>103/162</t>
  </si>
  <si>
    <t>104/162</t>
  </si>
  <si>
    <t>105/162</t>
  </si>
  <si>
    <t>106/162</t>
  </si>
  <si>
    <t>107/162</t>
  </si>
  <si>
    <t>108/162</t>
  </si>
  <si>
    <t>109/162</t>
  </si>
  <si>
    <t>110/162</t>
  </si>
  <si>
    <t>111/162</t>
  </si>
  <si>
    <t>112/162</t>
  </si>
  <si>
    <t>113/162</t>
  </si>
  <si>
    <t>114/162</t>
  </si>
  <si>
    <t>115/162</t>
  </si>
  <si>
    <t>116/162</t>
  </si>
  <si>
    <t>117/162</t>
  </si>
  <si>
    <t>118/162</t>
  </si>
  <si>
    <t>119/162</t>
  </si>
  <si>
    <t>120/162</t>
  </si>
  <si>
    <t>121/162</t>
  </si>
  <si>
    <t>122/162</t>
  </si>
  <si>
    <t>123/162</t>
  </si>
  <si>
    <t>124/162</t>
  </si>
  <si>
    <t>125/162</t>
  </si>
  <si>
    <t>126/162</t>
  </si>
  <si>
    <t>127/162</t>
  </si>
  <si>
    <t>128/162</t>
  </si>
  <si>
    <t>129/162</t>
  </si>
  <si>
    <t>130/162</t>
  </si>
  <si>
    <t>131/162</t>
  </si>
  <si>
    <t>132/162</t>
  </si>
  <si>
    <t>133/162</t>
  </si>
  <si>
    <t>Assault Vest</t>
  </si>
  <si>
    <t>134/162</t>
  </si>
  <si>
    <t>Brigette</t>
  </si>
  <si>
    <t>135/162</t>
  </si>
  <si>
    <t>Buddy-Buddy Rescue</t>
  </si>
  <si>
    <t>136/162</t>
  </si>
  <si>
    <t>137/162</t>
  </si>
  <si>
    <t>Float Stone</t>
  </si>
  <si>
    <t>138/162</t>
  </si>
  <si>
    <t>Giovanni's Scheme</t>
  </si>
  <si>
    <t>139/162</t>
  </si>
  <si>
    <t>Glalie Spirit Link</t>
  </si>
  <si>
    <t>140/162</t>
  </si>
  <si>
    <t>141/162</t>
  </si>
  <si>
    <t>Heavy Boots</t>
  </si>
  <si>
    <t>142/162</t>
  </si>
  <si>
    <t>Houndoom Spirit Link</t>
  </si>
  <si>
    <t>143/162</t>
  </si>
  <si>
    <t>144/162</t>
  </si>
  <si>
    <t>Mewtwo Spirit Link</t>
  </si>
  <si>
    <t>145/162</t>
  </si>
  <si>
    <t>Parallel City</t>
  </si>
  <si>
    <t>146/162</t>
  </si>
  <si>
    <t>147/162</t>
  </si>
  <si>
    <t>Reserved Ticket</t>
  </si>
  <si>
    <t>148/162</t>
  </si>
  <si>
    <t>149/162</t>
  </si>
  <si>
    <t>150/162</t>
  </si>
  <si>
    <t>151/162</t>
  </si>
  <si>
    <t>Burning Energy</t>
  </si>
  <si>
    <t>152/162</t>
  </si>
  <si>
    <t>153/162</t>
  </si>
  <si>
    <t>154/162</t>
  </si>
  <si>
    <t>155/162</t>
  </si>
  <si>
    <t>156/162</t>
  </si>
  <si>
    <t>157/162</t>
  </si>
  <si>
    <t>158/162</t>
  </si>
  <si>
    <t>159/162</t>
  </si>
  <si>
    <t>160/162</t>
  </si>
  <si>
    <t>161/162</t>
  </si>
  <si>
    <t>162/162</t>
  </si>
  <si>
    <t>163/162</t>
  </si>
  <si>
    <t>164/162</t>
  </si>
  <si>
    <t>1/122</t>
  </si>
  <si>
    <t>2/122</t>
  </si>
  <si>
    <t>3/122</t>
  </si>
  <si>
    <t>4/122</t>
  </si>
  <si>
    <t>5/122</t>
  </si>
  <si>
    <t>6/122</t>
  </si>
  <si>
    <t>7/122</t>
  </si>
  <si>
    <t>8/122</t>
  </si>
  <si>
    <t>9/122</t>
  </si>
  <si>
    <t>10/122</t>
  </si>
  <si>
    <t>11/122</t>
  </si>
  <si>
    <t>12/122</t>
  </si>
  <si>
    <t>13/122</t>
  </si>
  <si>
    <t>14/122</t>
  </si>
  <si>
    <t>15/122</t>
  </si>
  <si>
    <t>16/122</t>
  </si>
  <si>
    <t>17/122</t>
  </si>
  <si>
    <t>18/122</t>
  </si>
  <si>
    <t>19/122</t>
  </si>
  <si>
    <t>20/122</t>
  </si>
  <si>
    <t>21/122</t>
  </si>
  <si>
    <t>22/122</t>
  </si>
  <si>
    <t>23/122</t>
  </si>
  <si>
    <t>24/122</t>
  </si>
  <si>
    <t>25/122</t>
  </si>
  <si>
    <t>26/122</t>
  </si>
  <si>
    <t>27/122</t>
  </si>
  <si>
    <t>28/122</t>
  </si>
  <si>
    <t>29/122</t>
  </si>
  <si>
    <t>30/122</t>
  </si>
  <si>
    <t>31/122</t>
  </si>
  <si>
    <t>32/122</t>
  </si>
  <si>
    <t>33/122</t>
  </si>
  <si>
    <t>34/122</t>
  </si>
  <si>
    <t>35/122</t>
  </si>
  <si>
    <t>36/122</t>
  </si>
  <si>
    <t>37/122</t>
  </si>
  <si>
    <t>38/122</t>
  </si>
  <si>
    <t>39/122</t>
  </si>
  <si>
    <t>40/122</t>
  </si>
  <si>
    <t>41/122</t>
  </si>
  <si>
    <t>42/122</t>
  </si>
  <si>
    <t>43/122</t>
  </si>
  <si>
    <t>44/122</t>
  </si>
  <si>
    <t>45/122</t>
  </si>
  <si>
    <t>46/122</t>
  </si>
  <si>
    <t>47/122</t>
  </si>
  <si>
    <t>48/122</t>
  </si>
  <si>
    <t>49/122</t>
  </si>
  <si>
    <t>50/122</t>
  </si>
  <si>
    <t>51/122</t>
  </si>
  <si>
    <t>52/122</t>
  </si>
  <si>
    <t>53/122</t>
  </si>
  <si>
    <t>54/122</t>
  </si>
  <si>
    <t>55/122</t>
  </si>
  <si>
    <t>56/122</t>
  </si>
  <si>
    <t>57/122</t>
  </si>
  <si>
    <t>58/122</t>
  </si>
  <si>
    <t>59/122</t>
  </si>
  <si>
    <t>60/122</t>
  </si>
  <si>
    <t>61/122</t>
  </si>
  <si>
    <t>62/122</t>
  </si>
  <si>
    <t>63/122</t>
  </si>
  <si>
    <t>64/122</t>
  </si>
  <si>
    <t>65/122</t>
  </si>
  <si>
    <t>66/122</t>
  </si>
  <si>
    <t>67/122</t>
  </si>
  <si>
    <t>68/122</t>
  </si>
  <si>
    <t>69/122</t>
  </si>
  <si>
    <t>70/122</t>
  </si>
  <si>
    <t>71/122</t>
  </si>
  <si>
    <t>72/122</t>
  </si>
  <si>
    <t>73/122</t>
  </si>
  <si>
    <t>74/122</t>
  </si>
  <si>
    <t>75/122</t>
  </si>
  <si>
    <t>76/122</t>
  </si>
  <si>
    <t>77/122</t>
  </si>
  <si>
    <t>78/122</t>
  </si>
  <si>
    <t>79/122</t>
  </si>
  <si>
    <t>80/122</t>
  </si>
  <si>
    <t>Ferrothorn</t>
  </si>
  <si>
    <t>81/122</t>
  </si>
  <si>
    <t>82/122</t>
  </si>
  <si>
    <t>83/122</t>
  </si>
  <si>
    <t>84/122</t>
  </si>
  <si>
    <t>85/122</t>
  </si>
  <si>
    <t>86/122</t>
  </si>
  <si>
    <t>87/122</t>
  </si>
  <si>
    <t>88/122</t>
  </si>
  <si>
    <t>89/122</t>
  </si>
  <si>
    <t>90/122</t>
  </si>
  <si>
    <t>91/122</t>
  </si>
  <si>
    <t>92/122</t>
  </si>
  <si>
    <t>93/122</t>
  </si>
  <si>
    <t>94/122</t>
  </si>
  <si>
    <t>95/122</t>
  </si>
  <si>
    <t>96/122</t>
  </si>
  <si>
    <t>All-Night Party</t>
  </si>
  <si>
    <t>97/122</t>
  </si>
  <si>
    <t>Bursting Balloon</t>
  </si>
  <si>
    <t>98/122</t>
  </si>
  <si>
    <t>Delinquent</t>
  </si>
  <si>
    <t>99/122</t>
  </si>
  <si>
    <t>Fighting Fury Belt</t>
  </si>
  <si>
    <t>100/122</t>
  </si>
  <si>
    <t>101/122</t>
  </si>
  <si>
    <t>Gyarados Spirit Link</t>
  </si>
  <si>
    <t>102/122</t>
  </si>
  <si>
    <t>Max Elixir</t>
  </si>
  <si>
    <t>103/122</t>
  </si>
  <si>
    <t>Max Potion</t>
  </si>
  <si>
    <t>104/122</t>
  </si>
  <si>
    <t>Misty's Determination</t>
  </si>
  <si>
    <t>105/122</t>
  </si>
  <si>
    <t>106/122</t>
  </si>
  <si>
    <t>107/122</t>
  </si>
  <si>
    <t>108/122</t>
  </si>
  <si>
    <t>Psychic's Third Eye</t>
  </si>
  <si>
    <t>109/122</t>
  </si>
  <si>
    <t>Puzzle of Time</t>
  </si>
  <si>
    <t>110/122</t>
  </si>
  <si>
    <t>Reverse Valley</t>
  </si>
  <si>
    <t>111/122</t>
  </si>
  <si>
    <t>Scizor Spirit Link</t>
  </si>
  <si>
    <t>112/122</t>
  </si>
  <si>
    <t>113/122</t>
  </si>
  <si>
    <t>Splash Energy</t>
  </si>
  <si>
    <t>114/122</t>
  </si>
  <si>
    <t>115/122</t>
  </si>
  <si>
    <t>116/122</t>
  </si>
  <si>
    <t>117/122</t>
  </si>
  <si>
    <t>118/122</t>
  </si>
  <si>
    <t>119/122</t>
  </si>
  <si>
    <t>120/122</t>
  </si>
  <si>
    <t>121/122</t>
  </si>
  <si>
    <t>122/122</t>
  </si>
  <si>
    <t>123/122</t>
  </si>
  <si>
    <t>1/83</t>
  </si>
  <si>
    <t>2/83</t>
  </si>
  <si>
    <t>3/83</t>
  </si>
  <si>
    <t>4/83</t>
  </si>
  <si>
    <t>5/83</t>
  </si>
  <si>
    <t>6/83</t>
  </si>
  <si>
    <t>7/83</t>
  </si>
  <si>
    <t>8/83</t>
  </si>
  <si>
    <t>9/83</t>
  </si>
  <si>
    <t>10/83</t>
  </si>
  <si>
    <t>11/83</t>
  </si>
  <si>
    <t>12/83</t>
  </si>
  <si>
    <t>13/83</t>
  </si>
  <si>
    <t>14/83</t>
  </si>
  <si>
    <t>15/83</t>
  </si>
  <si>
    <t>16/83</t>
  </si>
  <si>
    <t>17/83</t>
  </si>
  <si>
    <t>18/83</t>
  </si>
  <si>
    <t>19/83</t>
  </si>
  <si>
    <t>20/83</t>
  </si>
  <si>
    <t>21/83</t>
  </si>
  <si>
    <t>22/83</t>
  </si>
  <si>
    <t>23/83</t>
  </si>
  <si>
    <t>24/83</t>
  </si>
  <si>
    <t>25/83</t>
  </si>
  <si>
    <t>26/83</t>
  </si>
  <si>
    <t>27/83</t>
  </si>
  <si>
    <t>28/83</t>
  </si>
  <si>
    <t>29/83</t>
  </si>
  <si>
    <t>30/83</t>
  </si>
  <si>
    <t>31/83</t>
  </si>
  <si>
    <t>32/83</t>
  </si>
  <si>
    <t>33/83</t>
  </si>
  <si>
    <t>34/83</t>
  </si>
  <si>
    <t>35/83</t>
  </si>
  <si>
    <t>36/83</t>
  </si>
  <si>
    <t>37/83</t>
  </si>
  <si>
    <t>38/83</t>
  </si>
  <si>
    <t>39/83</t>
  </si>
  <si>
    <t>40/83</t>
  </si>
  <si>
    <t>41/83</t>
  </si>
  <si>
    <t>42/83</t>
  </si>
  <si>
    <t>43/83</t>
  </si>
  <si>
    <t>44/83</t>
  </si>
  <si>
    <t>45/83</t>
  </si>
  <si>
    <t>46/83</t>
  </si>
  <si>
    <t>47/83</t>
  </si>
  <si>
    <t>48/83</t>
  </si>
  <si>
    <t>49/83</t>
  </si>
  <si>
    <t>50/83</t>
  </si>
  <si>
    <t>51/83</t>
  </si>
  <si>
    <t>52/83</t>
  </si>
  <si>
    <t>53/83</t>
  </si>
  <si>
    <t>54/83</t>
  </si>
  <si>
    <t>55/83</t>
  </si>
  <si>
    <t>56/83</t>
  </si>
  <si>
    <t>57/83</t>
  </si>
  <si>
    <t>58/83</t>
  </si>
  <si>
    <t>59/83</t>
  </si>
  <si>
    <t>Clemont</t>
  </si>
  <si>
    <t>60/83</t>
  </si>
  <si>
    <t>61/83</t>
  </si>
  <si>
    <t>62/83</t>
  </si>
  <si>
    <t>63/83</t>
  </si>
  <si>
    <t>Imakuni?</t>
  </si>
  <si>
    <t>64/83</t>
  </si>
  <si>
    <t>65/83</t>
  </si>
  <si>
    <t>66/83</t>
  </si>
  <si>
    <t>Olympia</t>
  </si>
  <si>
    <t>67/83</t>
  </si>
  <si>
    <t>68/83</t>
  </si>
  <si>
    <t>69/83</t>
  </si>
  <si>
    <t>70/83</t>
  </si>
  <si>
    <t>Revitalizer</t>
  </si>
  <si>
    <t>71/83</t>
  </si>
  <si>
    <t>72/83</t>
  </si>
  <si>
    <t>73/83</t>
  </si>
  <si>
    <t>74/83</t>
  </si>
  <si>
    <t>75/83</t>
  </si>
  <si>
    <t>76/83</t>
  </si>
  <si>
    <t>77/83</t>
  </si>
  <si>
    <t>78/83</t>
  </si>
  <si>
    <t>79/83</t>
  </si>
  <si>
    <t>80/83</t>
  </si>
  <si>
    <t>81/83</t>
  </si>
  <si>
    <t>82/83</t>
  </si>
  <si>
    <t>83/83</t>
  </si>
  <si>
    <t>RC1/RC32</t>
  </si>
  <si>
    <t>RC2/RC32</t>
  </si>
  <si>
    <t>RC3/RC32</t>
  </si>
  <si>
    <t>RC4/RC32</t>
  </si>
  <si>
    <t>RC5/RC32</t>
  </si>
  <si>
    <t>RC6/RC32</t>
  </si>
  <si>
    <t>RC7/RC32</t>
  </si>
  <si>
    <t>RC8/RC32</t>
  </si>
  <si>
    <t>RC9/RC32</t>
  </si>
  <si>
    <t>RC10/RC32</t>
  </si>
  <si>
    <t>RC11/RC32</t>
  </si>
  <si>
    <t>RC12/RC32</t>
  </si>
  <si>
    <t>RC13/RC32</t>
  </si>
  <si>
    <t>RC14/RC32</t>
  </si>
  <si>
    <t>RC15/RC32</t>
  </si>
  <si>
    <t>RC16/RC32</t>
  </si>
  <si>
    <t>RC17/RC32</t>
  </si>
  <si>
    <t>RC18/RC32</t>
  </si>
  <si>
    <t>RC19/RC32</t>
  </si>
  <si>
    <t>RC20/RC32</t>
  </si>
  <si>
    <t>RC21/RC32</t>
  </si>
  <si>
    <t>RC22/RC32</t>
  </si>
  <si>
    <t>RC23/RC32</t>
  </si>
  <si>
    <t>RC24/RC32</t>
  </si>
  <si>
    <t>RC25/RC32</t>
  </si>
  <si>
    <t>RC26/RC32</t>
  </si>
  <si>
    <t>Floral Crown</t>
  </si>
  <si>
    <t>RC27/RC32</t>
  </si>
  <si>
    <t>RC28/RC32</t>
  </si>
  <si>
    <t>RC29/RC32</t>
  </si>
  <si>
    <t>RC30/RC32</t>
  </si>
  <si>
    <t>RC31/RC32</t>
  </si>
  <si>
    <t>RC32/RC32</t>
  </si>
  <si>
    <t>Burmy</t>
  </si>
  <si>
    <t>Wormadam</t>
  </si>
  <si>
    <t>Deerling</t>
  </si>
  <si>
    <t>Alakazam Spirit Link</t>
  </si>
  <si>
    <t>Altaria Spirit Link</t>
  </si>
  <si>
    <t>Audino Spirit Link</t>
  </si>
  <si>
    <t>Bent Spoon</t>
  </si>
  <si>
    <t>Chaos Tower</t>
  </si>
  <si>
    <t>Dome Fossil Kabuto</t>
  </si>
  <si>
    <t>Energy Pouch</t>
  </si>
  <si>
    <t>Energy Reset</t>
  </si>
  <si>
    <t>Fairy Drop</t>
  </si>
  <si>
    <t>Fossil Excavation Kit</t>
  </si>
  <si>
    <t>Helix Fossil Omanyte</t>
  </si>
  <si>
    <t>Lass's Special</t>
  </si>
  <si>
    <t>Mega Catcher</t>
  </si>
  <si>
    <t>Power Memory</t>
  </si>
  <si>
    <t>Team Rocket's Handiwork</t>
  </si>
  <si>
    <t>1/114</t>
  </si>
  <si>
    <t>2/114</t>
  </si>
  <si>
    <t>3/114</t>
  </si>
  <si>
    <t>4/114</t>
  </si>
  <si>
    <t>5/114</t>
  </si>
  <si>
    <t>6/114</t>
  </si>
  <si>
    <t>7/114</t>
  </si>
  <si>
    <t>8/114</t>
  </si>
  <si>
    <t>9/114</t>
  </si>
  <si>
    <t>10/114</t>
  </si>
  <si>
    <t>11/114</t>
  </si>
  <si>
    <t>12/114</t>
  </si>
  <si>
    <t>13/114</t>
  </si>
  <si>
    <t>14/114</t>
  </si>
  <si>
    <t>15/114</t>
  </si>
  <si>
    <t>Grass/Fire</t>
  </si>
  <si>
    <t>16/114</t>
  </si>
  <si>
    <t>17/114</t>
  </si>
  <si>
    <t>18/114</t>
  </si>
  <si>
    <t>19/114</t>
  </si>
  <si>
    <t>20/114</t>
  </si>
  <si>
    <t>21/114</t>
  </si>
  <si>
    <t>22/114</t>
  </si>
  <si>
    <t>23/114</t>
  </si>
  <si>
    <t>24/114</t>
  </si>
  <si>
    <t>25/114</t>
  </si>
  <si>
    <t>26/114</t>
  </si>
  <si>
    <t>27/114</t>
  </si>
  <si>
    <t>28/114</t>
  </si>
  <si>
    <t>Shellos</t>
  </si>
  <si>
    <t>29/114</t>
  </si>
  <si>
    <t>Gastrodon</t>
  </si>
  <si>
    <t>30/114</t>
  </si>
  <si>
    <t>31/114</t>
  </si>
  <si>
    <t>32/114</t>
  </si>
  <si>
    <t>33/114</t>
  </si>
  <si>
    <t>34/114</t>
  </si>
  <si>
    <t>35/114</t>
  </si>
  <si>
    <t>36/114</t>
  </si>
  <si>
    <t>37/114</t>
  </si>
  <si>
    <t>38/114</t>
  </si>
  <si>
    <t>39/114</t>
  </si>
  <si>
    <t>40/114</t>
  </si>
  <si>
    <t>41/114</t>
  </si>
  <si>
    <t>42/114</t>
  </si>
  <si>
    <t>Lightning/Grass</t>
  </si>
  <si>
    <t>43/114</t>
  </si>
  <si>
    <t>44/114</t>
  </si>
  <si>
    <t>45/114</t>
  </si>
  <si>
    <t>46/114</t>
  </si>
  <si>
    <t>47/114</t>
  </si>
  <si>
    <t>48/114</t>
  </si>
  <si>
    <t>49/114</t>
  </si>
  <si>
    <t>50/114</t>
  </si>
  <si>
    <t>51/114</t>
  </si>
  <si>
    <t>52/114</t>
  </si>
  <si>
    <t>53/114</t>
  </si>
  <si>
    <t>54/114</t>
  </si>
  <si>
    <t>55/114</t>
  </si>
  <si>
    <t>56/114</t>
  </si>
  <si>
    <t>57/114</t>
  </si>
  <si>
    <t>58/114</t>
  </si>
  <si>
    <t>59/114</t>
  </si>
  <si>
    <t>60/114</t>
  </si>
  <si>
    <t>61/114</t>
  </si>
  <si>
    <t>62/114</t>
  </si>
  <si>
    <t>63/114</t>
  </si>
  <si>
    <t>64/114</t>
  </si>
  <si>
    <t>65/114</t>
  </si>
  <si>
    <t>66/114</t>
  </si>
  <si>
    <t>67/114</t>
  </si>
  <si>
    <t>68/114</t>
  </si>
  <si>
    <t>Metal/Fighting</t>
  </si>
  <si>
    <t>69/114</t>
  </si>
  <si>
    <t>70/114</t>
  </si>
  <si>
    <t>71/114</t>
  </si>
  <si>
    <t>72/114</t>
  </si>
  <si>
    <t>73/114</t>
  </si>
  <si>
    <t>74/114</t>
  </si>
  <si>
    <t>75/114</t>
  </si>
  <si>
    <t>76/114</t>
  </si>
  <si>
    <t>77/114</t>
  </si>
  <si>
    <t>Fairy/Water</t>
  </si>
  <si>
    <t>78/114</t>
  </si>
  <si>
    <t>79/114</t>
  </si>
  <si>
    <t>Fairy/Psychic</t>
  </si>
  <si>
    <t>80/114</t>
  </si>
  <si>
    <t>81/114</t>
  </si>
  <si>
    <t>82/114</t>
  </si>
  <si>
    <t>83/114</t>
  </si>
  <si>
    <t>84/114</t>
  </si>
  <si>
    <t>85/114</t>
  </si>
  <si>
    <t>86/114</t>
  </si>
  <si>
    <t>87/114</t>
  </si>
  <si>
    <t>88/114</t>
  </si>
  <si>
    <t>89/114</t>
  </si>
  <si>
    <t>90/114</t>
  </si>
  <si>
    <t>91/114</t>
  </si>
  <si>
    <t>92/114</t>
  </si>
  <si>
    <t>93/114</t>
  </si>
  <si>
    <t>94/114</t>
  </si>
  <si>
    <t>95/114</t>
  </si>
  <si>
    <t>96/114</t>
  </si>
  <si>
    <t>97/114</t>
  </si>
  <si>
    <t>98/114</t>
  </si>
  <si>
    <t>Armor Fossil Shieldon</t>
  </si>
  <si>
    <t>99/114</t>
  </si>
  <si>
    <t>Captivating Poké Puff</t>
  </si>
  <si>
    <t>100/114</t>
  </si>
  <si>
    <t>Claw Fossil Anorith</t>
  </si>
  <si>
    <t>101/114</t>
  </si>
  <si>
    <t>102/114</t>
  </si>
  <si>
    <t>Greedy Dice</t>
  </si>
  <si>
    <t>103/114</t>
  </si>
  <si>
    <t>Ninja Boy</t>
  </si>
  <si>
    <t>104/114</t>
  </si>
  <si>
    <t>Pokémon Ranger</t>
  </si>
  <si>
    <t>105/114</t>
  </si>
  <si>
    <t>Special Charge</t>
  </si>
  <si>
    <t>106/114</t>
  </si>
  <si>
    <t>Steelix Spirit Link</t>
  </si>
  <si>
    <t>107/114</t>
  </si>
  <si>
    <t>108/114</t>
  </si>
  <si>
    <t>109/114</t>
  </si>
  <si>
    <t>110/114</t>
  </si>
  <si>
    <t>111/114</t>
  </si>
  <si>
    <t>112/114</t>
  </si>
  <si>
    <t>113/114</t>
  </si>
  <si>
    <t>114/114</t>
  </si>
  <si>
    <t>115/114</t>
  </si>
  <si>
    <t>116/114</t>
  </si>
  <si>
    <t>Blastoise Spirit Link</t>
  </si>
  <si>
    <t>Brock's Grit</t>
  </si>
  <si>
    <t>Charizard Spirit Link</t>
  </si>
  <si>
    <t>Pidgeot Spirit Link</t>
  </si>
  <si>
    <t>Professor Oak's Hint</t>
  </si>
  <si>
    <t>Slowbro Spirit Link</t>
  </si>
  <si>
    <t>Venusaur Spirit Link</t>
  </si>
  <si>
    <t>112/108</t>
  </si>
  <si>
    <t>Imakuni?'s Doduo</t>
  </si>
  <si>
    <t>113/108</t>
  </si>
  <si>
    <t>Sun and Moon Black Star Promos</t>
  </si>
  <si>
    <t>SM01-SM157 ROTATE</t>
  </si>
  <si>
    <t>SM01</t>
  </si>
  <si>
    <t>SM02</t>
  </si>
  <si>
    <t>SM03</t>
  </si>
  <si>
    <t>SM04</t>
  </si>
  <si>
    <t>SM05</t>
  </si>
  <si>
    <t>SM06</t>
  </si>
  <si>
    <t>SM07</t>
  </si>
  <si>
    <t>Pikipek</t>
  </si>
  <si>
    <t>SM08</t>
  </si>
  <si>
    <t>Litten</t>
  </si>
  <si>
    <t>SM09</t>
  </si>
  <si>
    <t>Togedemaru</t>
  </si>
  <si>
    <t>SM10</t>
  </si>
  <si>
    <t>SM11</t>
  </si>
  <si>
    <t>SM12</t>
  </si>
  <si>
    <t>SM13</t>
  </si>
  <si>
    <t>SM14</t>
  </si>
  <si>
    <t>SM15</t>
  </si>
  <si>
    <t>SM16</t>
  </si>
  <si>
    <t>SM17</t>
  </si>
  <si>
    <t>SM18</t>
  </si>
  <si>
    <t>SM19</t>
  </si>
  <si>
    <t>SM20</t>
  </si>
  <si>
    <t>SM21</t>
  </si>
  <si>
    <t>SM22</t>
  </si>
  <si>
    <t>Rowlet</t>
  </si>
  <si>
    <t>SM23</t>
  </si>
  <si>
    <t>SM24</t>
  </si>
  <si>
    <t>Popplio</t>
  </si>
  <si>
    <t>SM25</t>
  </si>
  <si>
    <t>Lurantis</t>
  </si>
  <si>
    <t>SM26</t>
  </si>
  <si>
    <t>Tsareena</t>
  </si>
  <si>
    <t>SM27</t>
  </si>
  <si>
    <t>Turtonator</t>
  </si>
  <si>
    <t>SM28</t>
  </si>
  <si>
    <t>Vikavolt</t>
  </si>
  <si>
    <t>SM29</t>
  </si>
  <si>
    <t>Mimikyu</t>
  </si>
  <si>
    <t>SM30</t>
  </si>
  <si>
    <t>Tapu Koko</t>
  </si>
  <si>
    <t>SM30a</t>
  </si>
  <si>
    <t>SM31</t>
  </si>
  <si>
    <t>SM32</t>
  </si>
  <si>
    <t>SM33</t>
  </si>
  <si>
    <t>SM34</t>
  </si>
  <si>
    <t>SM35</t>
  </si>
  <si>
    <t>SM36</t>
  </si>
  <si>
    <t>SM37</t>
  </si>
  <si>
    <t>SM38</t>
  </si>
  <si>
    <t>SM39</t>
  </si>
  <si>
    <t>SM40</t>
  </si>
  <si>
    <t>SM41</t>
  </si>
  <si>
    <t>Komala</t>
  </si>
  <si>
    <t>SM42</t>
  </si>
  <si>
    <t>SM43</t>
  </si>
  <si>
    <t>Alolan Meowth</t>
  </si>
  <si>
    <t>SM44</t>
  </si>
  <si>
    <t>SM45</t>
  </si>
  <si>
    <t>Tapu Lele</t>
  </si>
  <si>
    <t>SM46</t>
  </si>
  <si>
    <t>SM47</t>
  </si>
  <si>
    <t>SM48</t>
  </si>
  <si>
    <t>SM49</t>
  </si>
  <si>
    <t>SM50</t>
  </si>
  <si>
    <t>SM51</t>
  </si>
  <si>
    <t>SM52</t>
  </si>
  <si>
    <t>Golisopod</t>
  </si>
  <si>
    <t>SM53</t>
  </si>
  <si>
    <t>Dhelmise</t>
  </si>
  <si>
    <t>SM54</t>
  </si>
  <si>
    <t>SM55</t>
  </si>
  <si>
    <t>Decidueye</t>
  </si>
  <si>
    <t>SM56</t>
  </si>
  <si>
    <t>SM57</t>
  </si>
  <si>
    <t>SM58</t>
  </si>
  <si>
    <t>SM59</t>
  </si>
  <si>
    <t>SM60</t>
  </si>
  <si>
    <t>SM61</t>
  </si>
  <si>
    <t>SM62</t>
  </si>
  <si>
    <t>SM63</t>
  </si>
  <si>
    <t>SM64</t>
  </si>
  <si>
    <t>Silvally</t>
  </si>
  <si>
    <t>SM65</t>
  </si>
  <si>
    <t>Alolan Raichu</t>
  </si>
  <si>
    <t>SM66</t>
  </si>
  <si>
    <t>SM67</t>
  </si>
  <si>
    <t>SM68</t>
  </si>
  <si>
    <t>SM69</t>
  </si>
  <si>
    <t>SM70</t>
  </si>
  <si>
    <t>Shining Ho-Oh</t>
  </si>
  <si>
    <t>SM71</t>
  </si>
  <si>
    <t>SM72</t>
  </si>
  <si>
    <t>SM73</t>
  </si>
  <si>
    <t>SM74</t>
  </si>
  <si>
    <t>SM75</t>
  </si>
  <si>
    <t>SM76</t>
  </si>
  <si>
    <t>SM77</t>
  </si>
  <si>
    <t>SM78</t>
  </si>
  <si>
    <t>SM79</t>
  </si>
  <si>
    <t>SM80</t>
  </si>
  <si>
    <t>SM81</t>
  </si>
  <si>
    <t>SM82</t>
  </si>
  <si>
    <t>Shining Lugia</t>
  </si>
  <si>
    <t>SM83</t>
  </si>
  <si>
    <t>SM84</t>
  </si>
  <si>
    <t>SM85</t>
  </si>
  <si>
    <t>Marshadow</t>
  </si>
  <si>
    <t>SM86</t>
  </si>
  <si>
    <t>SM87</t>
  </si>
  <si>
    <t>SM88</t>
  </si>
  <si>
    <t>SM89</t>
  </si>
  <si>
    <t>SM90</t>
  </si>
  <si>
    <t>SM91</t>
  </si>
  <si>
    <t>SM92</t>
  </si>
  <si>
    <t>SM93</t>
  </si>
  <si>
    <t>SM94</t>
  </si>
  <si>
    <t>SM95</t>
  </si>
  <si>
    <t>SM96</t>
  </si>
  <si>
    <t>SM97</t>
  </si>
  <si>
    <t>SM98</t>
  </si>
  <si>
    <t>SM99</t>
  </si>
  <si>
    <t>SM100</t>
  </si>
  <si>
    <t>SM101</t>
  </si>
  <si>
    <t>SM102</t>
  </si>
  <si>
    <t>SM103</t>
  </si>
  <si>
    <t>SM103a</t>
  </si>
  <si>
    <t>SM104</t>
  </si>
  <si>
    <t>SM104a</t>
  </si>
  <si>
    <t>SM105</t>
  </si>
  <si>
    <t>Lycanroc</t>
  </si>
  <si>
    <t>SM106</t>
  </si>
  <si>
    <t>Dawn Wings Necrozma</t>
  </si>
  <si>
    <t>SM107</t>
  </si>
  <si>
    <t>Dusk Mane Necrozma</t>
  </si>
  <si>
    <t>SM108</t>
  </si>
  <si>
    <t>Ash's Pikachu</t>
  </si>
  <si>
    <t>SM109</t>
  </si>
  <si>
    <t>SM110</t>
  </si>
  <si>
    <t>SM111</t>
  </si>
  <si>
    <t>SM112</t>
  </si>
  <si>
    <t>SM113</t>
  </si>
  <si>
    <t>SM114</t>
  </si>
  <si>
    <t>SM115</t>
  </si>
  <si>
    <t>SM116</t>
  </si>
  <si>
    <t>SM117</t>
  </si>
  <si>
    <t>SM118</t>
  </si>
  <si>
    <t>SM119</t>
  </si>
  <si>
    <t>SM120</t>
  </si>
  <si>
    <t>Rockruff</t>
  </si>
  <si>
    <t>SM121</t>
  </si>
  <si>
    <t>SM122</t>
  </si>
  <si>
    <t>SM123</t>
  </si>
  <si>
    <t>SM124</t>
  </si>
  <si>
    <t>SM125</t>
  </si>
  <si>
    <t>SM126</t>
  </si>
  <si>
    <t>SM127</t>
  </si>
  <si>
    <t>Alolan Sandslash</t>
  </si>
  <si>
    <t>SM128</t>
  </si>
  <si>
    <t>Alolan Ninetales</t>
  </si>
  <si>
    <t>SM129</t>
  </si>
  <si>
    <t>SM130</t>
  </si>
  <si>
    <t>SM131</t>
  </si>
  <si>
    <t>SM132</t>
  </si>
  <si>
    <t>SM133</t>
  </si>
  <si>
    <t>SM134</t>
  </si>
  <si>
    <t>SM135</t>
  </si>
  <si>
    <t>SM136</t>
  </si>
  <si>
    <t>SM137</t>
  </si>
  <si>
    <t>SM138</t>
  </si>
  <si>
    <t>SM139</t>
  </si>
  <si>
    <t>SM140</t>
  </si>
  <si>
    <t>SM141</t>
  </si>
  <si>
    <t>SM142</t>
  </si>
  <si>
    <t>SM143</t>
  </si>
  <si>
    <t>SM144</t>
  </si>
  <si>
    <t>SM145</t>
  </si>
  <si>
    <t>SM146</t>
  </si>
  <si>
    <t>SM147</t>
  </si>
  <si>
    <t>SM148</t>
  </si>
  <si>
    <t>SM149</t>
  </si>
  <si>
    <t>SM150</t>
  </si>
  <si>
    <t>SM151</t>
  </si>
  <si>
    <t>SM152</t>
  </si>
  <si>
    <t>SM153</t>
  </si>
  <si>
    <t>SM154</t>
  </si>
  <si>
    <t>Salandit</t>
  </si>
  <si>
    <t>SM155</t>
  </si>
  <si>
    <t>SM156</t>
  </si>
  <si>
    <t>SM157</t>
  </si>
  <si>
    <t>SM158</t>
  </si>
  <si>
    <t>SM159</t>
  </si>
  <si>
    <t>SM160</t>
  </si>
  <si>
    <t>SM161</t>
  </si>
  <si>
    <t>SM162</t>
  </si>
  <si>
    <t>SM163</t>
  </si>
  <si>
    <t>SM164</t>
  </si>
  <si>
    <t>SM165</t>
  </si>
  <si>
    <t>Ultra Necrozma</t>
  </si>
  <si>
    <t>SM166</t>
  </si>
  <si>
    <t>SM167</t>
  </si>
  <si>
    <t>SM168</t>
  </si>
  <si>
    <t>SM169</t>
  </si>
  <si>
    <t>SM170</t>
  </si>
  <si>
    <t>SM171</t>
  </si>
  <si>
    <t>SM172</t>
  </si>
  <si>
    <t>SM173</t>
  </si>
  <si>
    <t>SM174</t>
  </si>
  <si>
    <t>SM175</t>
  </si>
  <si>
    <t>SM176</t>
  </si>
  <si>
    <t>SM177</t>
  </si>
  <si>
    <t>Meltan</t>
  </si>
  <si>
    <t>SM178</t>
  </si>
  <si>
    <t>SM179</t>
  </si>
  <si>
    <t>SM180</t>
  </si>
  <si>
    <t>SM181</t>
  </si>
  <si>
    <t>SM182</t>
  </si>
  <si>
    <t>SM183</t>
  </si>
  <si>
    <t>SM184</t>
  </si>
  <si>
    <t>SM185</t>
  </si>
  <si>
    <t>SM186</t>
  </si>
  <si>
    <t>SM187</t>
  </si>
  <si>
    <t>SM188</t>
  </si>
  <si>
    <t>SM189</t>
  </si>
  <si>
    <t>SM190</t>
  </si>
  <si>
    <t>SM191</t>
  </si>
  <si>
    <t>SM192</t>
  </si>
  <si>
    <t>SM193</t>
  </si>
  <si>
    <t>SM194</t>
  </si>
  <si>
    <t>SM195</t>
  </si>
  <si>
    <t>SM196</t>
  </si>
  <si>
    <t>SM197</t>
  </si>
  <si>
    <t>SM198</t>
  </si>
  <si>
    <t>SM199</t>
  </si>
  <si>
    <t>SM200</t>
  </si>
  <si>
    <t>SM201</t>
  </si>
  <si>
    <t>SM202</t>
  </si>
  <si>
    <t>SM203</t>
  </si>
  <si>
    <t>SM204</t>
  </si>
  <si>
    <t>SM205</t>
  </si>
  <si>
    <t>SM206</t>
  </si>
  <si>
    <t>SM207</t>
  </si>
  <si>
    <t>SM208</t>
  </si>
  <si>
    <t>SM209</t>
  </si>
  <si>
    <t>Stakataka</t>
  </si>
  <si>
    <t>SM210</t>
  </si>
  <si>
    <t>SM211</t>
  </si>
  <si>
    <t>SM212</t>
  </si>
  <si>
    <t>SM213</t>
  </si>
  <si>
    <t>SM214</t>
  </si>
  <si>
    <t>SM215</t>
  </si>
  <si>
    <t>SM216</t>
  </si>
  <si>
    <t>SM217</t>
  </si>
  <si>
    <t>SM218</t>
  </si>
  <si>
    <t>SM219</t>
  </si>
  <si>
    <t>SM220</t>
  </si>
  <si>
    <t>SM221</t>
  </si>
  <si>
    <t>SM222</t>
  </si>
  <si>
    <t>SM223</t>
  </si>
  <si>
    <t>SM224</t>
  </si>
  <si>
    <t>SM225</t>
  </si>
  <si>
    <t>SM226</t>
  </si>
  <si>
    <t>SM227</t>
  </si>
  <si>
    <t>SM228</t>
  </si>
  <si>
    <t>Armored Mewtwo</t>
  </si>
  <si>
    <t>SM229</t>
  </si>
  <si>
    <t>SM230</t>
  </si>
  <si>
    <t>SM231</t>
  </si>
  <si>
    <t>SM232</t>
  </si>
  <si>
    <t>SM233</t>
  </si>
  <si>
    <t>SM234</t>
  </si>
  <si>
    <t>SM235</t>
  </si>
  <si>
    <t>SM236</t>
  </si>
  <si>
    <t>SM237</t>
  </si>
  <si>
    <t>SM238</t>
  </si>
  <si>
    <t>SM239</t>
  </si>
  <si>
    <t>CarracostaGX</t>
  </si>
  <si>
    <t>SM240</t>
  </si>
  <si>
    <t>Espeon &amp; DeoxysGX</t>
  </si>
  <si>
    <t>SM241</t>
  </si>
  <si>
    <t>Umbreon &amp; DarkraiGX</t>
  </si>
  <si>
    <t>SM242</t>
  </si>
  <si>
    <t>EeveeGX</t>
  </si>
  <si>
    <t>SM243</t>
  </si>
  <si>
    <t>SM244</t>
  </si>
  <si>
    <t>Dartrix</t>
  </si>
  <si>
    <t>Grubbin</t>
  </si>
  <si>
    <t>Fomantis</t>
  </si>
  <si>
    <t>Morelull</t>
  </si>
  <si>
    <t>Shiinotic</t>
  </si>
  <si>
    <t>Bounsweet</t>
  </si>
  <si>
    <t>Steenee</t>
  </si>
  <si>
    <t>Torracat</t>
  </si>
  <si>
    <t>Incineroar</t>
  </si>
  <si>
    <t>Brionne</t>
  </si>
  <si>
    <t>Primarina</t>
  </si>
  <si>
    <t>Crabominable</t>
  </si>
  <si>
    <t>Wishiwashi</t>
  </si>
  <si>
    <t>Dewpider</t>
  </si>
  <si>
    <t>Araquanid</t>
  </si>
  <si>
    <t>Pyukumuku</t>
  </si>
  <si>
    <t>Bruxish</t>
  </si>
  <si>
    <t>Charjabug</t>
  </si>
  <si>
    <t>Alolan Grimer</t>
  </si>
  <si>
    <t>Alolan Muk</t>
  </si>
  <si>
    <t>Mareanie</t>
  </si>
  <si>
    <t>Toxapex</t>
  </si>
  <si>
    <t>Cosmog</t>
  </si>
  <si>
    <t>Cosmoem</t>
  </si>
  <si>
    <t>Crabrawler</t>
  </si>
  <si>
    <t>Passimian</t>
  </si>
  <si>
    <t>Sandygast</t>
  </si>
  <si>
    <t>Palossand</t>
  </si>
  <si>
    <t>Alolan Rattata</t>
  </si>
  <si>
    <t>Alolan Raticate</t>
  </si>
  <si>
    <t>Alolan Persian</t>
  </si>
  <si>
    <t>Alolan Diglett</t>
  </si>
  <si>
    <t>Alolan Dugtrio</t>
  </si>
  <si>
    <t>Cutiefly</t>
  </si>
  <si>
    <t>Ribombee</t>
  </si>
  <si>
    <t>Trumbeak</t>
  </si>
  <si>
    <t>Toucannon</t>
  </si>
  <si>
    <t>Yungoos</t>
  </si>
  <si>
    <t>Stufful</t>
  </si>
  <si>
    <t>Bewear</t>
  </si>
  <si>
    <t>Oranguru</t>
  </si>
  <si>
    <t>Big Malasada</t>
  </si>
  <si>
    <t>Hau</t>
  </si>
  <si>
    <t>Ilima</t>
  </si>
  <si>
    <t>Lillie</t>
  </si>
  <si>
    <t>Nest Ball</t>
  </si>
  <si>
    <t>Poison Barb</t>
  </si>
  <si>
    <t>Professor Kukui</t>
  </si>
  <si>
    <t>Repel</t>
  </si>
  <si>
    <t>Rotom Dex</t>
  </si>
  <si>
    <t>Team Skull Grunt</t>
  </si>
  <si>
    <t>Timer Ball</t>
  </si>
  <si>
    <t>154/149</t>
  </si>
  <si>
    <t>155/149</t>
  </si>
  <si>
    <t>156/149</t>
  </si>
  <si>
    <t>157/149</t>
  </si>
  <si>
    <t>158/149</t>
  </si>
  <si>
    <t>159/149</t>
  </si>
  <si>
    <t>160/149</t>
  </si>
  <si>
    <t>161/149</t>
  </si>
  <si>
    <t>162/149</t>
  </si>
  <si>
    <t>163/149</t>
  </si>
  <si>
    <t>1/145</t>
  </si>
  <si>
    <t>2/145</t>
  </si>
  <si>
    <t>3/145</t>
  </si>
  <si>
    <t>4/145</t>
  </si>
  <si>
    <t>5/145</t>
  </si>
  <si>
    <t>6/145</t>
  </si>
  <si>
    <t>7/145</t>
  </si>
  <si>
    <t>8/145</t>
  </si>
  <si>
    <t>Wimpod</t>
  </si>
  <si>
    <t>9/145</t>
  </si>
  <si>
    <t>10/145</t>
  </si>
  <si>
    <t>11/145</t>
  </si>
  <si>
    <t>12/145</t>
  </si>
  <si>
    <t>13/145</t>
  </si>
  <si>
    <t>14/145</t>
  </si>
  <si>
    <t>Oricorio</t>
  </si>
  <si>
    <t>15/145</t>
  </si>
  <si>
    <t>16/145</t>
  </si>
  <si>
    <t>Salazzle</t>
  </si>
  <si>
    <t>17/145</t>
  </si>
  <si>
    <t>18/145</t>
  </si>
  <si>
    <t>19/145</t>
  </si>
  <si>
    <t>Alolan Sandshrew</t>
  </si>
  <si>
    <t>19a/145</t>
  </si>
  <si>
    <t>20/145</t>
  </si>
  <si>
    <t>21/145</t>
  </si>
  <si>
    <t>Alolan Vulpix</t>
  </si>
  <si>
    <t>21a/145</t>
  </si>
  <si>
    <t>22/145</t>
  </si>
  <si>
    <t>23/145</t>
  </si>
  <si>
    <t>24/145</t>
  </si>
  <si>
    <t>25/145</t>
  </si>
  <si>
    <t>26/145</t>
  </si>
  <si>
    <t>27/145</t>
  </si>
  <si>
    <t>28/145</t>
  </si>
  <si>
    <t>29/145</t>
  </si>
  <si>
    <t>30/145</t>
  </si>
  <si>
    <t>31/145</t>
  </si>
  <si>
    <t>32/145</t>
  </si>
  <si>
    <t>33/145</t>
  </si>
  <si>
    <t>34/145</t>
  </si>
  <si>
    <t>35/145</t>
  </si>
  <si>
    <t>36/145</t>
  </si>
  <si>
    <t>37/145</t>
  </si>
  <si>
    <t>38/145</t>
  </si>
  <si>
    <t>39/145</t>
  </si>
  <si>
    <t>40/145</t>
  </si>
  <si>
    <t>Alolan Geodude</t>
  </si>
  <si>
    <t>41/145</t>
  </si>
  <si>
    <t>Alolan Graveler</t>
  </si>
  <si>
    <t>42/145</t>
  </si>
  <si>
    <t>Alolan Golem</t>
  </si>
  <si>
    <t>43/145</t>
  </si>
  <si>
    <t>44/145</t>
  </si>
  <si>
    <t>45/145</t>
  </si>
  <si>
    <t>46/145</t>
  </si>
  <si>
    <t>47/145</t>
  </si>
  <si>
    <t>48/145</t>
  </si>
  <si>
    <t>49/145</t>
  </si>
  <si>
    <t>50/145</t>
  </si>
  <si>
    <t>51/145</t>
  </si>
  <si>
    <t>51a/145</t>
  </si>
  <si>
    <t>52/145</t>
  </si>
  <si>
    <t>53/145</t>
  </si>
  <si>
    <t>54/145</t>
  </si>
  <si>
    <t>55/145</t>
  </si>
  <si>
    <t>56/145</t>
  </si>
  <si>
    <t>57/145</t>
  </si>
  <si>
    <t>58/145</t>
  </si>
  <si>
    <t>59/145</t>
  </si>
  <si>
    <t>60/145</t>
  </si>
  <si>
    <t>60a/145</t>
  </si>
  <si>
    <t>61/145</t>
  </si>
  <si>
    <t>Lunala</t>
  </si>
  <si>
    <t>62/145</t>
  </si>
  <si>
    <t>63/145</t>
  </si>
  <si>
    <t>64/145</t>
  </si>
  <si>
    <t>65/145</t>
  </si>
  <si>
    <t>66/145</t>
  </si>
  <si>
    <t>67/145</t>
  </si>
  <si>
    <t>68/145</t>
  </si>
  <si>
    <t>69/145</t>
  </si>
  <si>
    <t>70/145</t>
  </si>
  <si>
    <t>71/145</t>
  </si>
  <si>
    <t>72/145</t>
  </si>
  <si>
    <t>73/145</t>
  </si>
  <si>
    <t>74/145</t>
  </si>
  <si>
    <t>75/145</t>
  </si>
  <si>
    <t>Mudbray</t>
  </si>
  <si>
    <t>76/145</t>
  </si>
  <si>
    <t>Mudsdale</t>
  </si>
  <si>
    <t>77/145</t>
  </si>
  <si>
    <t>Minior</t>
  </si>
  <si>
    <t>78/145</t>
  </si>
  <si>
    <t>79/145</t>
  </si>
  <si>
    <t>80/145</t>
  </si>
  <si>
    <t>81/145</t>
  </si>
  <si>
    <t>82/145</t>
  </si>
  <si>
    <t>83/145</t>
  </si>
  <si>
    <t>84/145</t>
  </si>
  <si>
    <t>85/145</t>
  </si>
  <si>
    <t>86/145</t>
  </si>
  <si>
    <t>87/145</t>
  </si>
  <si>
    <t>Solgaleo</t>
  </si>
  <si>
    <t>88/145</t>
  </si>
  <si>
    <t>89/145</t>
  </si>
  <si>
    <t>90/145</t>
  </si>
  <si>
    <t>91/145</t>
  </si>
  <si>
    <t>92/145</t>
  </si>
  <si>
    <t>92a/145</t>
  </si>
  <si>
    <t>93/145</t>
  </si>
  <si>
    <t>Comfey</t>
  </si>
  <si>
    <t>94/145</t>
  </si>
  <si>
    <t>95/145</t>
  </si>
  <si>
    <t>96/145</t>
  </si>
  <si>
    <t>97/145</t>
  </si>
  <si>
    <t>Drampa</t>
  </si>
  <si>
    <t>98/145</t>
  </si>
  <si>
    <t>Jangmo-o</t>
  </si>
  <si>
    <t>99/145</t>
  </si>
  <si>
    <t>Hakamo-o</t>
  </si>
  <si>
    <t>100/145</t>
  </si>
  <si>
    <t>101/145</t>
  </si>
  <si>
    <t>102/145</t>
  </si>
  <si>
    <t>103/145</t>
  </si>
  <si>
    <t>104/145</t>
  </si>
  <si>
    <t>105/145</t>
  </si>
  <si>
    <t>106/145</t>
  </si>
  <si>
    <t>107/145</t>
  </si>
  <si>
    <t>108/145</t>
  </si>
  <si>
    <t>109/145</t>
  </si>
  <si>
    <t>110/145</t>
  </si>
  <si>
    <t>111/145</t>
  </si>
  <si>
    <t>112/145</t>
  </si>
  <si>
    <t>113/145</t>
  </si>
  <si>
    <t>114/145</t>
  </si>
  <si>
    <t>115/145</t>
  </si>
  <si>
    <t>116/145</t>
  </si>
  <si>
    <t>Aether Paradise Conservation Area</t>
  </si>
  <si>
    <t>117/145</t>
  </si>
  <si>
    <t>Altar of the Moone</t>
  </si>
  <si>
    <t>118/145</t>
  </si>
  <si>
    <t>Altar of the Sunne</t>
  </si>
  <si>
    <t>119/145</t>
  </si>
  <si>
    <t>Aqua Patch</t>
  </si>
  <si>
    <t>120/145</t>
  </si>
  <si>
    <t>Brooklet Hill</t>
  </si>
  <si>
    <t>121/145</t>
  </si>
  <si>
    <t>Choice Band</t>
  </si>
  <si>
    <t>122/145</t>
  </si>
  <si>
    <t>Energy Loto</t>
  </si>
  <si>
    <t>123/145</t>
  </si>
  <si>
    <t>124/145</t>
  </si>
  <si>
    <t>124a/145</t>
  </si>
  <si>
    <t>125/145</t>
  </si>
  <si>
    <t>Field Blower</t>
  </si>
  <si>
    <t>125a/145</t>
  </si>
  <si>
    <t>126/145</t>
  </si>
  <si>
    <t>Hala</t>
  </si>
  <si>
    <t>127/145</t>
  </si>
  <si>
    <t>Mallow</t>
  </si>
  <si>
    <t>128/145</t>
  </si>
  <si>
    <t>128a/145</t>
  </si>
  <si>
    <t>129/145</t>
  </si>
  <si>
    <t>Multi Switch</t>
  </si>
  <si>
    <t>130/145</t>
  </si>
  <si>
    <t>Rescue Stretcher</t>
  </si>
  <si>
    <t>130a/145</t>
  </si>
  <si>
    <t>131/145</t>
  </si>
  <si>
    <t>132/145</t>
  </si>
  <si>
    <t>133/145</t>
  </si>
  <si>
    <t>134/145</t>
  </si>
  <si>
    <t>135/145</t>
  </si>
  <si>
    <t>136/145</t>
  </si>
  <si>
    <t>137/145</t>
  </si>
  <si>
    <t>138/145</t>
  </si>
  <si>
    <t>139/145</t>
  </si>
  <si>
    <t>140/145</t>
  </si>
  <si>
    <t>141/145</t>
  </si>
  <si>
    <t>142/145</t>
  </si>
  <si>
    <t>143/145</t>
  </si>
  <si>
    <t>144/145</t>
  </si>
  <si>
    <t>145/145</t>
  </si>
  <si>
    <t>146/145</t>
  </si>
  <si>
    <t>147/145</t>
  </si>
  <si>
    <t>148/145</t>
  </si>
  <si>
    <t>149/145</t>
  </si>
  <si>
    <t>150/145</t>
  </si>
  <si>
    <t>151/145</t>
  </si>
  <si>
    <t>152/145</t>
  </si>
  <si>
    <t>153/145</t>
  </si>
  <si>
    <t>154/145</t>
  </si>
  <si>
    <t>155/145</t>
  </si>
  <si>
    <t>156/145</t>
  </si>
  <si>
    <t>157/145</t>
  </si>
  <si>
    <t>157a/145</t>
  </si>
  <si>
    <t>158/145</t>
  </si>
  <si>
    <t>159/145</t>
  </si>
  <si>
    <t>160/145</t>
  </si>
  <si>
    <t>161/145</t>
  </si>
  <si>
    <t>162/145</t>
  </si>
  <si>
    <t>163/145</t>
  </si>
  <si>
    <t>164/145</t>
  </si>
  <si>
    <t>165/145</t>
  </si>
  <si>
    <t>166/145</t>
  </si>
  <si>
    <t>167/145</t>
  </si>
  <si>
    <t>168/145</t>
  </si>
  <si>
    <t>169/145</t>
  </si>
  <si>
    <t>39a/147</t>
  </si>
  <si>
    <t>50/147</t>
  </si>
  <si>
    <t>74/147</t>
  </si>
  <si>
    <t>92a/147</t>
  </si>
  <si>
    <t>95/147</t>
  </si>
  <si>
    <t>103/147</t>
  </si>
  <si>
    <t>105a/147</t>
  </si>
  <si>
    <t>Acerola</t>
  </si>
  <si>
    <t>112a/147</t>
  </si>
  <si>
    <t>Bodybuilding Dumbbells</t>
  </si>
  <si>
    <t>Guzma</t>
  </si>
  <si>
    <t>115a/147</t>
  </si>
  <si>
    <t>Kiawe</t>
  </si>
  <si>
    <t>116a/147</t>
  </si>
  <si>
    <t>Lana</t>
  </si>
  <si>
    <t>Mount Lanakila</t>
  </si>
  <si>
    <t>Olivia</t>
  </si>
  <si>
    <t>Plumeria</t>
  </si>
  <si>
    <t>Po Town</t>
  </si>
  <si>
    <t>Rotom Dex Poké Finder Mode</t>
  </si>
  <si>
    <t>Sophocles</t>
  </si>
  <si>
    <t>Tormenting Spray</t>
  </si>
  <si>
    <t>Wicke</t>
  </si>
  <si>
    <t>Wishful Baton</t>
  </si>
  <si>
    <t>151/147</t>
  </si>
  <si>
    <t>152/147</t>
  </si>
  <si>
    <t>153/147</t>
  </si>
  <si>
    <t>154/147</t>
  </si>
  <si>
    <t>155/147</t>
  </si>
  <si>
    <t>156/147</t>
  </si>
  <si>
    <t>157/147</t>
  </si>
  <si>
    <t>158/147</t>
  </si>
  <si>
    <t>159/147</t>
  </si>
  <si>
    <t>160/147</t>
  </si>
  <si>
    <t>161/147</t>
  </si>
  <si>
    <t>162/147</t>
  </si>
  <si>
    <t>163/147</t>
  </si>
  <si>
    <t>164/147</t>
  </si>
  <si>
    <t>165/147</t>
  </si>
  <si>
    <t>166/147</t>
  </si>
  <si>
    <t>167/147</t>
  </si>
  <si>
    <t>168/147</t>
  </si>
  <si>
    <t>169/147</t>
  </si>
  <si>
    <t>1/73</t>
  </si>
  <si>
    <t>2/73</t>
  </si>
  <si>
    <t>3/73</t>
  </si>
  <si>
    <t>4/73</t>
  </si>
  <si>
    <t>5/73</t>
  </si>
  <si>
    <t>6/73</t>
  </si>
  <si>
    <t>7/73</t>
  </si>
  <si>
    <t>8/73</t>
  </si>
  <si>
    <t>9/73</t>
  </si>
  <si>
    <t>Shining Genesect</t>
  </si>
  <si>
    <t>10/73</t>
  </si>
  <si>
    <t>11/73</t>
  </si>
  <si>
    <t>12/73</t>
  </si>
  <si>
    <t>13/73</t>
  </si>
  <si>
    <t>14/73</t>
  </si>
  <si>
    <t>15/73</t>
  </si>
  <si>
    <t>16/73</t>
  </si>
  <si>
    <t>17/73</t>
  </si>
  <si>
    <t>18/73</t>
  </si>
  <si>
    <t>19/73</t>
  </si>
  <si>
    <t>20/73</t>
  </si>
  <si>
    <t>21/73</t>
  </si>
  <si>
    <t>22/73</t>
  </si>
  <si>
    <t>23/73</t>
  </si>
  <si>
    <t>24/73</t>
  </si>
  <si>
    <t>25/73</t>
  </si>
  <si>
    <t>26/73</t>
  </si>
  <si>
    <t>27/73</t>
  </si>
  <si>
    <t>Shining Volcanion</t>
  </si>
  <si>
    <t>28/73</t>
  </si>
  <si>
    <t>29/73</t>
  </si>
  <si>
    <t>30/73</t>
  </si>
  <si>
    <t>31/73</t>
  </si>
  <si>
    <t>32/73</t>
  </si>
  <si>
    <t>33/73</t>
  </si>
  <si>
    <t>34/73</t>
  </si>
  <si>
    <t>35/73</t>
  </si>
  <si>
    <t>36/73</t>
  </si>
  <si>
    <t>37/73</t>
  </si>
  <si>
    <t>38/73</t>
  </si>
  <si>
    <t>39/73</t>
  </si>
  <si>
    <t>40/73</t>
  </si>
  <si>
    <t>Shining Mew</t>
  </si>
  <si>
    <t>41/73</t>
  </si>
  <si>
    <t>42/73</t>
  </si>
  <si>
    <t>Shining Jirachi</t>
  </si>
  <si>
    <t>43/73</t>
  </si>
  <si>
    <t>44/73</t>
  </si>
  <si>
    <t>45/73</t>
  </si>
  <si>
    <t>46/73</t>
  </si>
  <si>
    <t>47/73</t>
  </si>
  <si>
    <t>48/73</t>
  </si>
  <si>
    <t>49/73</t>
  </si>
  <si>
    <t>50/73</t>
  </si>
  <si>
    <t>51/73</t>
  </si>
  <si>
    <t>52/73</t>
  </si>
  <si>
    <t>53/73</t>
  </si>
  <si>
    <t>54/73</t>
  </si>
  <si>
    <t>55/73</t>
  </si>
  <si>
    <t>56/73</t>
  </si>
  <si>
    <t>Shining Rayquaza</t>
  </si>
  <si>
    <t>57/73</t>
  </si>
  <si>
    <t>Shining Arceus</t>
  </si>
  <si>
    <t>58/73</t>
  </si>
  <si>
    <t>Damage Mover</t>
  </si>
  <si>
    <t>59/73</t>
  </si>
  <si>
    <t>60/73</t>
  </si>
  <si>
    <t>61/73</t>
  </si>
  <si>
    <t>62/73</t>
  </si>
  <si>
    <t>63/73</t>
  </si>
  <si>
    <t>64/73</t>
  </si>
  <si>
    <t>65/73</t>
  </si>
  <si>
    <t>66/73</t>
  </si>
  <si>
    <t>67/73</t>
  </si>
  <si>
    <t>68/73</t>
  </si>
  <si>
    <t>68a/73</t>
  </si>
  <si>
    <t>69/73</t>
  </si>
  <si>
    <t>70/73</t>
  </si>
  <si>
    <t>71/73</t>
  </si>
  <si>
    <t>72/73</t>
  </si>
  <si>
    <t>73/73</t>
  </si>
  <si>
    <t>74/73</t>
  </si>
  <si>
    <t>75/73</t>
  </si>
  <si>
    <t>76/73</t>
  </si>
  <si>
    <t>77/73</t>
  </si>
  <si>
    <t>77a/73</t>
  </si>
  <si>
    <t>78/73</t>
  </si>
  <si>
    <t>Alolan Marowak</t>
  </si>
  <si>
    <t>Kommo-o</t>
  </si>
  <si>
    <t>84a/111</t>
  </si>
  <si>
    <t>Type: Null</t>
  </si>
  <si>
    <t>Counter Catcher</t>
  </si>
  <si>
    <t>Dashing Pouch</t>
  </si>
  <si>
    <t>Devoured Field</t>
  </si>
  <si>
    <t>Fighting Memory</t>
  </si>
  <si>
    <t>Gladion</t>
  </si>
  <si>
    <t>Lusamine</t>
  </si>
  <si>
    <t>Peeking Red Card</t>
  </si>
  <si>
    <t>Psychic Memory</t>
  </si>
  <si>
    <t>Sea of Nothingness</t>
  </si>
  <si>
    <t>Counter Energy</t>
  </si>
  <si>
    <t>115/111</t>
  </si>
  <si>
    <t>116/111</t>
  </si>
  <si>
    <t>117/111</t>
  </si>
  <si>
    <t>118/111</t>
  </si>
  <si>
    <t>119/111</t>
  </si>
  <si>
    <t>120/111</t>
  </si>
  <si>
    <t>121/111</t>
  </si>
  <si>
    <t>122/111</t>
  </si>
  <si>
    <t>123/111</t>
  </si>
  <si>
    <t>124/111</t>
  </si>
  <si>
    <t>1/156</t>
  </si>
  <si>
    <t>2/156</t>
  </si>
  <si>
    <t>3/156</t>
  </si>
  <si>
    <t>4/156</t>
  </si>
  <si>
    <t>5/156</t>
  </si>
  <si>
    <t>6/156</t>
  </si>
  <si>
    <t>7/156</t>
  </si>
  <si>
    <t>8/156</t>
  </si>
  <si>
    <t>9/156</t>
  </si>
  <si>
    <t>10/156</t>
  </si>
  <si>
    <t>11/156</t>
  </si>
  <si>
    <t>12/156</t>
  </si>
  <si>
    <t>13/156</t>
  </si>
  <si>
    <t>14/156</t>
  </si>
  <si>
    <t>15/156</t>
  </si>
  <si>
    <t>16/156</t>
  </si>
  <si>
    <t>17/156</t>
  </si>
  <si>
    <t>18/156</t>
  </si>
  <si>
    <t>19/156</t>
  </si>
  <si>
    <t>20/156</t>
  </si>
  <si>
    <t>21/156</t>
  </si>
  <si>
    <t>22/156</t>
  </si>
  <si>
    <t>23/156</t>
  </si>
  <si>
    <t>24/156</t>
  </si>
  <si>
    <t>25/156</t>
  </si>
  <si>
    <t>26/156</t>
  </si>
  <si>
    <t>27/156</t>
  </si>
  <si>
    <t>28/156</t>
  </si>
  <si>
    <t>29/156</t>
  </si>
  <si>
    <t>30/156</t>
  </si>
  <si>
    <t>31/156</t>
  </si>
  <si>
    <t>32/156</t>
  </si>
  <si>
    <t>33/156</t>
  </si>
  <si>
    <t>34/156</t>
  </si>
  <si>
    <t>35/156</t>
  </si>
  <si>
    <t>36/156</t>
  </si>
  <si>
    <t>37/156</t>
  </si>
  <si>
    <t>38/156</t>
  </si>
  <si>
    <t>39/156</t>
  </si>
  <si>
    <t>40/156</t>
  </si>
  <si>
    <t>41/156</t>
  </si>
  <si>
    <t>42/156</t>
  </si>
  <si>
    <t>43/156</t>
  </si>
  <si>
    <t>44/156</t>
  </si>
  <si>
    <t>45/156</t>
  </si>
  <si>
    <t>46/156</t>
  </si>
  <si>
    <t>47/156</t>
  </si>
  <si>
    <t>48/156</t>
  </si>
  <si>
    <t>49/156</t>
  </si>
  <si>
    <t>50/156</t>
  </si>
  <si>
    <t>51/156</t>
  </si>
  <si>
    <t>52/156</t>
  </si>
  <si>
    <t>53/156</t>
  </si>
  <si>
    <t>54/156</t>
  </si>
  <si>
    <t>55/156</t>
  </si>
  <si>
    <t>56/156</t>
  </si>
  <si>
    <t>57/156</t>
  </si>
  <si>
    <t>58/156</t>
  </si>
  <si>
    <t>59/156</t>
  </si>
  <si>
    <t>60/156</t>
  </si>
  <si>
    <t>61/156</t>
  </si>
  <si>
    <t>62/156</t>
  </si>
  <si>
    <t>63/156</t>
  </si>
  <si>
    <t>64/156</t>
  </si>
  <si>
    <t>65/156</t>
  </si>
  <si>
    <t>66/156</t>
  </si>
  <si>
    <t>67/156</t>
  </si>
  <si>
    <t>68/156</t>
  </si>
  <si>
    <t>69/156</t>
  </si>
  <si>
    <t>70/156</t>
  </si>
  <si>
    <t>71/156</t>
  </si>
  <si>
    <t>72/156</t>
  </si>
  <si>
    <t>73/156</t>
  </si>
  <si>
    <t>74/156</t>
  </si>
  <si>
    <t>75/156</t>
  </si>
  <si>
    <t>76/156</t>
  </si>
  <si>
    <t>77/156</t>
  </si>
  <si>
    <t>78/156</t>
  </si>
  <si>
    <t>79/156</t>
  </si>
  <si>
    <t>80/156</t>
  </si>
  <si>
    <t>81/156</t>
  </si>
  <si>
    <t>82/156</t>
  </si>
  <si>
    <t>83/156</t>
  </si>
  <si>
    <t>84/156</t>
  </si>
  <si>
    <t>85/156</t>
  </si>
  <si>
    <t>86/156</t>
  </si>
  <si>
    <t>87/156</t>
  </si>
  <si>
    <t>88/156</t>
  </si>
  <si>
    <t>89/156</t>
  </si>
  <si>
    <t>90/156</t>
  </si>
  <si>
    <t>91/156</t>
  </si>
  <si>
    <t>92/156</t>
  </si>
  <si>
    <t>93/156</t>
  </si>
  <si>
    <t>94/156</t>
  </si>
  <si>
    <t>95/156</t>
  </si>
  <si>
    <t>Alolan Exeggutor</t>
  </si>
  <si>
    <t>96/156</t>
  </si>
  <si>
    <t>97/156</t>
  </si>
  <si>
    <t>98/156</t>
  </si>
  <si>
    <t>99/156</t>
  </si>
  <si>
    <t>100/156</t>
  </si>
  <si>
    <t>101/156</t>
  </si>
  <si>
    <t>102/156</t>
  </si>
  <si>
    <t>103/156</t>
  </si>
  <si>
    <t>104/156</t>
  </si>
  <si>
    <t>105/156</t>
  </si>
  <si>
    <t>106/156</t>
  </si>
  <si>
    <t>107/156</t>
  </si>
  <si>
    <t>108/156</t>
  </si>
  <si>
    <t>109/156</t>
  </si>
  <si>
    <t>110/156</t>
  </si>
  <si>
    <t>111/156</t>
  </si>
  <si>
    <t>112/156</t>
  </si>
  <si>
    <t>113/156</t>
  </si>
  <si>
    <t>Gumshoos</t>
  </si>
  <si>
    <t>114/156</t>
  </si>
  <si>
    <t>115/156</t>
  </si>
  <si>
    <t>116/156</t>
  </si>
  <si>
    <t>117/156</t>
  </si>
  <si>
    <t>118/156</t>
  </si>
  <si>
    <t>Ancient Crystal</t>
  </si>
  <si>
    <t>119/156</t>
  </si>
  <si>
    <t>Cynthia</t>
  </si>
  <si>
    <t>120/156</t>
  </si>
  <si>
    <t>121/156</t>
  </si>
  <si>
    <t>Electric Memory</t>
  </si>
  <si>
    <t>122/156</t>
  </si>
  <si>
    <t>Escape Board</t>
  </si>
  <si>
    <t>123/156</t>
  </si>
  <si>
    <t>Fire Memory</t>
  </si>
  <si>
    <t>124/156</t>
  </si>
  <si>
    <t>Gardenia</t>
  </si>
  <si>
    <t>125/156</t>
  </si>
  <si>
    <t>126/156</t>
  </si>
  <si>
    <t>Looker</t>
  </si>
  <si>
    <t>127/156</t>
  </si>
  <si>
    <t>Looker Whistle</t>
  </si>
  <si>
    <t>128/156</t>
  </si>
  <si>
    <t>Mars</t>
  </si>
  <si>
    <t>129/156</t>
  </si>
  <si>
    <t>Missing Clover</t>
  </si>
  <si>
    <t>130/156</t>
  </si>
  <si>
    <t>Mt. Coronet</t>
  </si>
  <si>
    <t>131/156</t>
  </si>
  <si>
    <t>Order Pad</t>
  </si>
  <si>
    <t>132/156</t>
  </si>
  <si>
    <t>133/156</t>
  </si>
  <si>
    <t>134/156</t>
  </si>
  <si>
    <t>Unidentified Fossil</t>
  </si>
  <si>
    <t>135/156</t>
  </si>
  <si>
    <t>Volkner</t>
  </si>
  <si>
    <t>136/156</t>
  </si>
  <si>
    <t>137/156</t>
  </si>
  <si>
    <t>Unit Energy GFW</t>
  </si>
  <si>
    <t>138/156</t>
  </si>
  <si>
    <t>Unit Energy LPM</t>
  </si>
  <si>
    <t>139/156</t>
  </si>
  <si>
    <t>140/156</t>
  </si>
  <si>
    <t>141/156</t>
  </si>
  <si>
    <t>142/156</t>
  </si>
  <si>
    <t>143/156</t>
  </si>
  <si>
    <t>144/156</t>
  </si>
  <si>
    <t>145/156</t>
  </si>
  <si>
    <t>146/156</t>
  </si>
  <si>
    <t>147/156</t>
  </si>
  <si>
    <t>148/156</t>
  </si>
  <si>
    <t>149/156</t>
  </si>
  <si>
    <t>150/156</t>
  </si>
  <si>
    <t>151/156</t>
  </si>
  <si>
    <t>152/156</t>
  </si>
  <si>
    <t>153/156</t>
  </si>
  <si>
    <t>154/156</t>
  </si>
  <si>
    <t>155/156</t>
  </si>
  <si>
    <t>156/156</t>
  </si>
  <si>
    <t>157/156</t>
  </si>
  <si>
    <t>158/156</t>
  </si>
  <si>
    <t>159/156</t>
  </si>
  <si>
    <t>160/156</t>
  </si>
  <si>
    <t>161/156</t>
  </si>
  <si>
    <t>162/156</t>
  </si>
  <si>
    <t>163/156</t>
  </si>
  <si>
    <t>164/156</t>
  </si>
  <si>
    <t>165/156</t>
  </si>
  <si>
    <t>166/156</t>
  </si>
  <si>
    <t>167/156</t>
  </si>
  <si>
    <t>168/156</t>
  </si>
  <si>
    <t>169/156</t>
  </si>
  <si>
    <t>170/156</t>
  </si>
  <si>
    <t>171/156</t>
  </si>
  <si>
    <t>172/156</t>
  </si>
  <si>
    <t>173/156</t>
  </si>
  <si>
    <t>1/131</t>
  </si>
  <si>
    <t>2/131</t>
  </si>
  <si>
    <t>2a/131</t>
  </si>
  <si>
    <t>3/131</t>
  </si>
  <si>
    <t>4/131</t>
  </si>
  <si>
    <t>5/131</t>
  </si>
  <si>
    <t>6/131</t>
  </si>
  <si>
    <t>7/131</t>
  </si>
  <si>
    <t>8/131</t>
  </si>
  <si>
    <t>9/131</t>
  </si>
  <si>
    <t>10/131</t>
  </si>
  <si>
    <t>11/131</t>
  </si>
  <si>
    <t>Pheromosa</t>
  </si>
  <si>
    <t>12/131</t>
  </si>
  <si>
    <t>13/131</t>
  </si>
  <si>
    <t>14/131</t>
  </si>
  <si>
    <t>15/131</t>
  </si>
  <si>
    <t>16/131</t>
  </si>
  <si>
    <t>17/131</t>
  </si>
  <si>
    <t>18/131</t>
  </si>
  <si>
    <t>19/131</t>
  </si>
  <si>
    <t>20/131</t>
  </si>
  <si>
    <t>21/131</t>
  </si>
  <si>
    <t>22/131</t>
  </si>
  <si>
    <t>23/131</t>
  </si>
  <si>
    <t>24/131</t>
  </si>
  <si>
    <t>25/131</t>
  </si>
  <si>
    <t>26/131</t>
  </si>
  <si>
    <t>27/131</t>
  </si>
  <si>
    <t>28/131</t>
  </si>
  <si>
    <t>29/131</t>
  </si>
  <si>
    <t>30/131</t>
  </si>
  <si>
    <t>31/131</t>
  </si>
  <si>
    <t>32/131</t>
  </si>
  <si>
    <t>33/131</t>
  </si>
  <si>
    <t>34/131</t>
  </si>
  <si>
    <t>35/131</t>
  </si>
  <si>
    <t>36/131</t>
  </si>
  <si>
    <t>37/131</t>
  </si>
  <si>
    <t>38/131</t>
  </si>
  <si>
    <t>39/131</t>
  </si>
  <si>
    <t>Xurkitree</t>
  </si>
  <si>
    <t>40/131</t>
  </si>
  <si>
    <t>41/131</t>
  </si>
  <si>
    <t>42/131</t>
  </si>
  <si>
    <t>43/131</t>
  </si>
  <si>
    <t>44/131</t>
  </si>
  <si>
    <t>45/131</t>
  </si>
  <si>
    <t>46/131</t>
  </si>
  <si>
    <t>47/131</t>
  </si>
  <si>
    <t>48/131</t>
  </si>
  <si>
    <t>49/131</t>
  </si>
  <si>
    <t>50/131</t>
  </si>
  <si>
    <t>51/131</t>
  </si>
  <si>
    <t>52/131</t>
  </si>
  <si>
    <t>53/131</t>
  </si>
  <si>
    <t>54/131</t>
  </si>
  <si>
    <t>55/131</t>
  </si>
  <si>
    <t>Poipole</t>
  </si>
  <si>
    <t>56/131</t>
  </si>
  <si>
    <t>57/131</t>
  </si>
  <si>
    <t>58/131</t>
  </si>
  <si>
    <t>59/131</t>
  </si>
  <si>
    <t>60/131</t>
  </si>
  <si>
    <t>61/131</t>
  </si>
  <si>
    <t>62/131</t>
  </si>
  <si>
    <t>63/131</t>
  </si>
  <si>
    <t>64/131</t>
  </si>
  <si>
    <t>65/131</t>
  </si>
  <si>
    <t>66/131</t>
  </si>
  <si>
    <t>67/131</t>
  </si>
  <si>
    <t>68/131</t>
  </si>
  <si>
    <t>69/131</t>
  </si>
  <si>
    <t>70/131</t>
  </si>
  <si>
    <t>71/131</t>
  </si>
  <si>
    <t>72/131</t>
  </si>
  <si>
    <t>73/131</t>
  </si>
  <si>
    <t>74/131</t>
  </si>
  <si>
    <t>75/131</t>
  </si>
  <si>
    <t>76/131</t>
  </si>
  <si>
    <t>77/131</t>
  </si>
  <si>
    <t>Buzzwole</t>
  </si>
  <si>
    <t>78/131</t>
  </si>
  <si>
    <t>79/131</t>
  </si>
  <si>
    <t>80/131</t>
  </si>
  <si>
    <t>Guzzlord</t>
  </si>
  <si>
    <t>81/131</t>
  </si>
  <si>
    <t>82/131</t>
  </si>
  <si>
    <t>83/131</t>
  </si>
  <si>
    <t>84/131</t>
  </si>
  <si>
    <t>85/131</t>
  </si>
  <si>
    <t>86/131</t>
  </si>
  <si>
    <t>87/131</t>
  </si>
  <si>
    <t>88/131</t>
  </si>
  <si>
    <t>89/131</t>
  </si>
  <si>
    <t>90/131</t>
  </si>
  <si>
    <t>91/131</t>
  </si>
  <si>
    <t>92/131</t>
  </si>
  <si>
    <t>93/131</t>
  </si>
  <si>
    <t>94/131</t>
  </si>
  <si>
    <t>95/131</t>
  </si>
  <si>
    <t>96/131</t>
  </si>
  <si>
    <t>97/131</t>
  </si>
  <si>
    <t>98/131</t>
  </si>
  <si>
    <t>99/131</t>
  </si>
  <si>
    <t>100/131</t>
  </si>
  <si>
    <t>101/131</t>
  </si>
  <si>
    <t>102/131</t>
  </si>
  <si>
    <t>Beast Ring</t>
  </si>
  <si>
    <t>103/131</t>
  </si>
  <si>
    <t>Bonnie</t>
  </si>
  <si>
    <t>104/131</t>
  </si>
  <si>
    <t>Crasher Wake</t>
  </si>
  <si>
    <t>105/131</t>
  </si>
  <si>
    <t>Diantha</t>
  </si>
  <si>
    <t>106/131</t>
  </si>
  <si>
    <t>Eneporter</t>
  </si>
  <si>
    <t>107/131</t>
  </si>
  <si>
    <t>Fossil Excavation Map</t>
  </si>
  <si>
    <t>108/131</t>
  </si>
  <si>
    <t>109/131</t>
  </si>
  <si>
    <t>Lady</t>
  </si>
  <si>
    <t>110/131</t>
  </si>
  <si>
    <t>111/131</t>
  </si>
  <si>
    <t>Lysandre Labs</t>
  </si>
  <si>
    <t>112/131</t>
  </si>
  <si>
    <t>Metal Frying Pan</t>
  </si>
  <si>
    <t>112a/131</t>
  </si>
  <si>
    <t>113/131</t>
  </si>
  <si>
    <t>Mysterious Treasure</t>
  </si>
  <si>
    <t>113a/131</t>
  </si>
  <si>
    <t>114/131</t>
  </si>
  <si>
    <t>Ultra Recon Squad</t>
  </si>
  <si>
    <t>115/131</t>
  </si>
  <si>
    <t>Ultra Space</t>
  </si>
  <si>
    <t>116/131</t>
  </si>
  <si>
    <t>117/131</t>
  </si>
  <si>
    <t>118/131</t>
  </si>
  <si>
    <t>Unit Energy FDF</t>
  </si>
  <si>
    <t>119/131</t>
  </si>
  <si>
    <t>120/131</t>
  </si>
  <si>
    <t>121/131</t>
  </si>
  <si>
    <t>122/131</t>
  </si>
  <si>
    <t>123/131</t>
  </si>
  <si>
    <t>124/131</t>
  </si>
  <si>
    <t>125/131</t>
  </si>
  <si>
    <t>126/131</t>
  </si>
  <si>
    <t>127/131</t>
  </si>
  <si>
    <t>128/131</t>
  </si>
  <si>
    <t>129/131</t>
  </si>
  <si>
    <t>130/131</t>
  </si>
  <si>
    <t>131/131</t>
  </si>
  <si>
    <t>132/131</t>
  </si>
  <si>
    <t>133/131</t>
  </si>
  <si>
    <t>134/131</t>
  </si>
  <si>
    <t>135/131</t>
  </si>
  <si>
    <t>136/131</t>
  </si>
  <si>
    <t>137/131</t>
  </si>
  <si>
    <t>138/131</t>
  </si>
  <si>
    <t>139/131</t>
  </si>
  <si>
    <t>140/131</t>
  </si>
  <si>
    <t>141/131</t>
  </si>
  <si>
    <t>142/131</t>
  </si>
  <si>
    <t>143/131</t>
  </si>
  <si>
    <t>144/131</t>
  </si>
  <si>
    <t>145/131</t>
  </si>
  <si>
    <t>146/131</t>
  </si>
  <si>
    <t>1/168</t>
  </si>
  <si>
    <t>2/168</t>
  </si>
  <si>
    <t>3/168</t>
  </si>
  <si>
    <t>4/168</t>
  </si>
  <si>
    <t>5/168</t>
  </si>
  <si>
    <t>6/168</t>
  </si>
  <si>
    <t>7/168</t>
  </si>
  <si>
    <t>8/168</t>
  </si>
  <si>
    <t>9/168</t>
  </si>
  <si>
    <t>10/168</t>
  </si>
  <si>
    <t>10a/168</t>
  </si>
  <si>
    <t>11/168</t>
  </si>
  <si>
    <t>12/168</t>
  </si>
  <si>
    <t>13/168</t>
  </si>
  <si>
    <t>14/168</t>
  </si>
  <si>
    <t>15/168</t>
  </si>
  <si>
    <t>16/168</t>
  </si>
  <si>
    <t>17/168</t>
  </si>
  <si>
    <t>18/168</t>
  </si>
  <si>
    <t>19/168</t>
  </si>
  <si>
    <t>20/168</t>
  </si>
  <si>
    <t>21/168</t>
  </si>
  <si>
    <t>22/168</t>
  </si>
  <si>
    <t>23/168</t>
  </si>
  <si>
    <t>24/168</t>
  </si>
  <si>
    <t>25/168</t>
  </si>
  <si>
    <t>26/168</t>
  </si>
  <si>
    <t>27/168</t>
  </si>
  <si>
    <t>28/168</t>
  </si>
  <si>
    <t>29/168</t>
  </si>
  <si>
    <t>30/168</t>
  </si>
  <si>
    <t>31/168</t>
  </si>
  <si>
    <t>32/168</t>
  </si>
  <si>
    <t>33/168</t>
  </si>
  <si>
    <t>34/168</t>
  </si>
  <si>
    <t>35/168</t>
  </si>
  <si>
    <t>36/168</t>
  </si>
  <si>
    <t>37/168</t>
  </si>
  <si>
    <t>38/168</t>
  </si>
  <si>
    <t>39/168</t>
  </si>
  <si>
    <t>40/168</t>
  </si>
  <si>
    <t>41/168</t>
  </si>
  <si>
    <t>42/168</t>
  </si>
  <si>
    <t>43/168</t>
  </si>
  <si>
    <t>44/168</t>
  </si>
  <si>
    <t>45/168</t>
  </si>
  <si>
    <t>46/168</t>
  </si>
  <si>
    <t>47/168</t>
  </si>
  <si>
    <t>48/168</t>
  </si>
  <si>
    <t>49/168</t>
  </si>
  <si>
    <t>50/168</t>
  </si>
  <si>
    <t>51/168</t>
  </si>
  <si>
    <t>52/168</t>
  </si>
  <si>
    <t>53/168</t>
  </si>
  <si>
    <t>54/168</t>
  </si>
  <si>
    <t>55/168</t>
  </si>
  <si>
    <t>56/168</t>
  </si>
  <si>
    <t>57/168</t>
  </si>
  <si>
    <t>58/168</t>
  </si>
  <si>
    <t>59/168</t>
  </si>
  <si>
    <t>60/168</t>
  </si>
  <si>
    <t>61/168</t>
  </si>
  <si>
    <t>62/168</t>
  </si>
  <si>
    <t>63/168</t>
  </si>
  <si>
    <t>64/168</t>
  </si>
  <si>
    <t>65/168</t>
  </si>
  <si>
    <t>66/168</t>
  </si>
  <si>
    <t>67/168</t>
  </si>
  <si>
    <t>68/168</t>
  </si>
  <si>
    <t>69/168</t>
  </si>
  <si>
    <t>70/168</t>
  </si>
  <si>
    <t>71/168</t>
  </si>
  <si>
    <t>72/168</t>
  </si>
  <si>
    <t>73/168</t>
  </si>
  <si>
    <t>74/168</t>
  </si>
  <si>
    <t>75/168</t>
  </si>
  <si>
    <t>76/168</t>
  </si>
  <si>
    <t>77/168</t>
  </si>
  <si>
    <t>78/168</t>
  </si>
  <si>
    <t>79/168</t>
  </si>
  <si>
    <t>80/168</t>
  </si>
  <si>
    <t>81/168</t>
  </si>
  <si>
    <t>82/168</t>
  </si>
  <si>
    <t>83/168</t>
  </si>
  <si>
    <t>84/168</t>
  </si>
  <si>
    <t>85/168</t>
  </si>
  <si>
    <t>86/168</t>
  </si>
  <si>
    <t>87/168</t>
  </si>
  <si>
    <t>88/168</t>
  </si>
  <si>
    <t>89/168</t>
  </si>
  <si>
    <t>90/168</t>
  </si>
  <si>
    <t>91/168</t>
  </si>
  <si>
    <t>92/168</t>
  </si>
  <si>
    <t>93/168</t>
  </si>
  <si>
    <t>94/168</t>
  </si>
  <si>
    <t>95/168</t>
  </si>
  <si>
    <t>96/168</t>
  </si>
  <si>
    <t>97/168</t>
  </si>
  <si>
    <t>98/168</t>
  </si>
  <si>
    <t>99/168</t>
  </si>
  <si>
    <t>100/168</t>
  </si>
  <si>
    <t>Celesteela</t>
  </si>
  <si>
    <t>101/168</t>
  </si>
  <si>
    <t>Kartana</t>
  </si>
  <si>
    <t>102/168</t>
  </si>
  <si>
    <t>103/168</t>
  </si>
  <si>
    <t>104/168</t>
  </si>
  <si>
    <t>105/168</t>
  </si>
  <si>
    <t>106/168</t>
  </si>
  <si>
    <t>107/168</t>
  </si>
  <si>
    <t>108/168</t>
  </si>
  <si>
    <t>109/168</t>
  </si>
  <si>
    <t>110/168</t>
  </si>
  <si>
    <t>111/168</t>
  </si>
  <si>
    <t>112/168</t>
  </si>
  <si>
    <t>113/168</t>
  </si>
  <si>
    <t>114/168</t>
  </si>
  <si>
    <t>115/168</t>
  </si>
  <si>
    <t>116/168</t>
  </si>
  <si>
    <t>117/168</t>
  </si>
  <si>
    <t>118/168</t>
  </si>
  <si>
    <t>119/168</t>
  </si>
  <si>
    <t>120/168</t>
  </si>
  <si>
    <t>121/168</t>
  </si>
  <si>
    <t>122/168</t>
  </si>
  <si>
    <t>123/168</t>
  </si>
  <si>
    <t>124/168</t>
  </si>
  <si>
    <t>125/168</t>
  </si>
  <si>
    <t>Beast Ball</t>
  </si>
  <si>
    <t>126/168</t>
  </si>
  <si>
    <t>127/168</t>
  </si>
  <si>
    <t>128/168</t>
  </si>
  <si>
    <t>129/168</t>
  </si>
  <si>
    <t>130/168</t>
  </si>
  <si>
    <t>131/168</t>
  </si>
  <si>
    <t>132/168</t>
  </si>
  <si>
    <t>133/168</t>
  </si>
  <si>
    <t>Hiker</t>
  </si>
  <si>
    <t>134/168</t>
  </si>
  <si>
    <t>Hustle Belt</t>
  </si>
  <si>
    <t>135/168</t>
  </si>
  <si>
    <t>Last Chance Potion</t>
  </si>
  <si>
    <t>136/168</t>
  </si>
  <si>
    <t>137/168</t>
  </si>
  <si>
    <t>Lisia</t>
  </si>
  <si>
    <t>138/168</t>
  </si>
  <si>
    <t>139/168</t>
  </si>
  <si>
    <t>Masked Royal</t>
  </si>
  <si>
    <t>140/168</t>
  </si>
  <si>
    <t>141/168</t>
  </si>
  <si>
    <t>Rainbow Brush</t>
  </si>
  <si>
    <t>142/168</t>
  </si>
  <si>
    <t>143/168</t>
  </si>
  <si>
    <t>Shrine of Punishments</t>
  </si>
  <si>
    <t>144/168</t>
  </si>
  <si>
    <t>Sky Pillar</t>
  </si>
  <si>
    <t>145/168</t>
  </si>
  <si>
    <t>Steven's Resolve</t>
  </si>
  <si>
    <t>146/168</t>
  </si>
  <si>
    <t>147/168</t>
  </si>
  <si>
    <t>148/168</t>
  </si>
  <si>
    <t>Tate &amp; Liza</t>
  </si>
  <si>
    <t>149/168</t>
  </si>
  <si>
    <t>150/168</t>
  </si>
  <si>
    <t>151/168</t>
  </si>
  <si>
    <t>152/168</t>
  </si>
  <si>
    <t>153/168</t>
  </si>
  <si>
    <t>154/168</t>
  </si>
  <si>
    <t>155/168</t>
  </si>
  <si>
    <t>156/168</t>
  </si>
  <si>
    <t>157/168</t>
  </si>
  <si>
    <t>158/168</t>
  </si>
  <si>
    <t>159/168</t>
  </si>
  <si>
    <t>160/168</t>
  </si>
  <si>
    <t>161/168</t>
  </si>
  <si>
    <t>162/168</t>
  </si>
  <si>
    <t>163/168</t>
  </si>
  <si>
    <t>164/168</t>
  </si>
  <si>
    <t>165/168</t>
  </si>
  <si>
    <t>166/168</t>
  </si>
  <si>
    <t>167/168</t>
  </si>
  <si>
    <t>168/168</t>
  </si>
  <si>
    <t>169/168</t>
  </si>
  <si>
    <t>170/168</t>
  </si>
  <si>
    <t>171/168</t>
  </si>
  <si>
    <t>172/168</t>
  </si>
  <si>
    <t>Electric</t>
  </si>
  <si>
    <t>173/168</t>
  </si>
  <si>
    <t>174/168</t>
  </si>
  <si>
    <t>175/168</t>
  </si>
  <si>
    <t>176/168</t>
  </si>
  <si>
    <t>177/168</t>
  </si>
  <si>
    <t>177a/168</t>
  </si>
  <si>
    <t>178/168</t>
  </si>
  <si>
    <t>179/168</t>
  </si>
  <si>
    <t>180/168</t>
  </si>
  <si>
    <t>181/168</t>
  </si>
  <si>
    <t>182/168</t>
  </si>
  <si>
    <t>183/168</t>
  </si>
  <si>
    <t>1/70</t>
  </si>
  <si>
    <t>2/70</t>
  </si>
  <si>
    <t>3/70</t>
  </si>
  <si>
    <t>4/70</t>
  </si>
  <si>
    <t>5/70</t>
  </si>
  <si>
    <t>6/70</t>
  </si>
  <si>
    <t>7/70</t>
  </si>
  <si>
    <t>8/70</t>
  </si>
  <si>
    <t>9/70</t>
  </si>
  <si>
    <t>10/70</t>
  </si>
  <si>
    <t>11/70</t>
  </si>
  <si>
    <t>12/70</t>
  </si>
  <si>
    <t>13/70</t>
  </si>
  <si>
    <t>14/70</t>
  </si>
  <si>
    <t>15/70</t>
  </si>
  <si>
    <t>16/70</t>
  </si>
  <si>
    <t>17/70</t>
  </si>
  <si>
    <t>18/70</t>
  </si>
  <si>
    <t>19/70</t>
  </si>
  <si>
    <t>20/70</t>
  </si>
  <si>
    <t>21/70</t>
  </si>
  <si>
    <t>22/70</t>
  </si>
  <si>
    <t>23/70</t>
  </si>
  <si>
    <t>24/70</t>
  </si>
  <si>
    <t>25/70</t>
  </si>
  <si>
    <t>26/70</t>
  </si>
  <si>
    <t>27/70</t>
  </si>
  <si>
    <t>28/70</t>
  </si>
  <si>
    <t>29/70</t>
  </si>
  <si>
    <t>30/70</t>
  </si>
  <si>
    <t>31/70</t>
  </si>
  <si>
    <t>32/70</t>
  </si>
  <si>
    <t>33/70</t>
  </si>
  <si>
    <t>34/70</t>
  </si>
  <si>
    <t>35/70</t>
  </si>
  <si>
    <t>36/70</t>
  </si>
  <si>
    <t>37/70</t>
  </si>
  <si>
    <t>38/70</t>
  </si>
  <si>
    <t>39/70</t>
  </si>
  <si>
    <t>40/70</t>
  </si>
  <si>
    <t>40a/70</t>
  </si>
  <si>
    <t>41/70</t>
  </si>
  <si>
    <t>42/70</t>
  </si>
  <si>
    <t>43/70</t>
  </si>
  <si>
    <t>44/70</t>
  </si>
  <si>
    <t>45/70</t>
  </si>
  <si>
    <t>46/70</t>
  </si>
  <si>
    <t>47/70</t>
  </si>
  <si>
    <t>48/70</t>
  </si>
  <si>
    <t>49/70</t>
  </si>
  <si>
    <t>50/70</t>
  </si>
  <si>
    <t>51/70</t>
  </si>
  <si>
    <t>52/70</t>
  </si>
  <si>
    <t>53/70</t>
  </si>
  <si>
    <t>54/70</t>
  </si>
  <si>
    <t>55/70</t>
  </si>
  <si>
    <t>56/70</t>
  </si>
  <si>
    <t>57/70</t>
  </si>
  <si>
    <t>58/70</t>
  </si>
  <si>
    <t>Blaine's Last Stand</t>
  </si>
  <si>
    <t>59/70</t>
  </si>
  <si>
    <t>Dragon Talon</t>
  </si>
  <si>
    <t>60/70</t>
  </si>
  <si>
    <t>Fiery Flint</t>
  </si>
  <si>
    <t>60a/70</t>
  </si>
  <si>
    <t>61/70</t>
  </si>
  <si>
    <t>62/70</t>
  </si>
  <si>
    <t>Switch Raft</t>
  </si>
  <si>
    <t>63/70</t>
  </si>
  <si>
    <t>Wela Volcano Park</t>
  </si>
  <si>
    <t>64/70</t>
  </si>
  <si>
    <t>Zinnia</t>
  </si>
  <si>
    <t>65/70</t>
  </si>
  <si>
    <t>66/70</t>
  </si>
  <si>
    <t>67/70</t>
  </si>
  <si>
    <t>68/70</t>
  </si>
  <si>
    <t>69/70</t>
  </si>
  <si>
    <t>70/70</t>
  </si>
  <si>
    <t>71/70</t>
  </si>
  <si>
    <t>72/70</t>
  </si>
  <si>
    <t>73/70</t>
  </si>
  <si>
    <t>74/70</t>
  </si>
  <si>
    <t>75/70</t>
  </si>
  <si>
    <t>76/70</t>
  </si>
  <si>
    <t>77/70</t>
  </si>
  <si>
    <t>78/70</t>
  </si>
  <si>
    <t>1/214</t>
  </si>
  <si>
    <t>2/214</t>
  </si>
  <si>
    <t>3/214</t>
  </si>
  <si>
    <t>4/214</t>
  </si>
  <si>
    <t>5/214</t>
  </si>
  <si>
    <t>6/214</t>
  </si>
  <si>
    <t>7/214</t>
  </si>
  <si>
    <t>8/214</t>
  </si>
  <si>
    <t>9/214</t>
  </si>
  <si>
    <t>10/214</t>
  </si>
  <si>
    <t>11/214</t>
  </si>
  <si>
    <t>12/214</t>
  </si>
  <si>
    <t>13/214</t>
  </si>
  <si>
    <t>14/214</t>
  </si>
  <si>
    <t>15/214</t>
  </si>
  <si>
    <t>16/214</t>
  </si>
  <si>
    <t>17/214</t>
  </si>
  <si>
    <t>18/214</t>
  </si>
  <si>
    <t>19/214</t>
  </si>
  <si>
    <t>20/214</t>
  </si>
  <si>
    <t>21/214</t>
  </si>
  <si>
    <t>22/214</t>
  </si>
  <si>
    <t>23/214</t>
  </si>
  <si>
    <t>24/214</t>
  </si>
  <si>
    <t>25/214</t>
  </si>
  <si>
    <t>26/214</t>
  </si>
  <si>
    <t>27/214</t>
  </si>
  <si>
    <t>28/214</t>
  </si>
  <si>
    <t>29/214</t>
  </si>
  <si>
    <t>30/214</t>
  </si>
  <si>
    <t>31/214</t>
  </si>
  <si>
    <t>32/214</t>
  </si>
  <si>
    <t>33/214</t>
  </si>
  <si>
    <t>34/214</t>
  </si>
  <si>
    <t>35/214</t>
  </si>
  <si>
    <t>36/214</t>
  </si>
  <si>
    <t>37/214</t>
  </si>
  <si>
    <t>Tapu Bulu</t>
  </si>
  <si>
    <t>38/214</t>
  </si>
  <si>
    <t>39/214</t>
  </si>
  <si>
    <t>40/214</t>
  </si>
  <si>
    <t>41/214</t>
  </si>
  <si>
    <t>42/214</t>
  </si>
  <si>
    <t>43/214</t>
  </si>
  <si>
    <t>44/214</t>
  </si>
  <si>
    <t>45/214</t>
  </si>
  <si>
    <t>46/214</t>
  </si>
  <si>
    <t>47/214</t>
  </si>
  <si>
    <t>48/214</t>
  </si>
  <si>
    <t>49/214</t>
  </si>
  <si>
    <t>50/214</t>
  </si>
  <si>
    <t>51/214</t>
  </si>
  <si>
    <t>52/214</t>
  </si>
  <si>
    <t>53/214</t>
  </si>
  <si>
    <t>54/214</t>
  </si>
  <si>
    <t>55/214</t>
  </si>
  <si>
    <t>56/214</t>
  </si>
  <si>
    <t>57/214</t>
  </si>
  <si>
    <t>58/214</t>
  </si>
  <si>
    <t>59/214</t>
  </si>
  <si>
    <t>60/214</t>
  </si>
  <si>
    <t>61/214</t>
  </si>
  <si>
    <t>62/214</t>
  </si>
  <si>
    <t>63/214</t>
  </si>
  <si>
    <t>64/214</t>
  </si>
  <si>
    <t>65/214</t>
  </si>
  <si>
    <t>66/214</t>
  </si>
  <si>
    <t>67/214</t>
  </si>
  <si>
    <t>68/214</t>
  </si>
  <si>
    <t>69/214</t>
  </si>
  <si>
    <t>70/214</t>
  </si>
  <si>
    <t>71/214</t>
  </si>
  <si>
    <t>72/214</t>
  </si>
  <si>
    <t>73/214</t>
  </si>
  <si>
    <t>74/214</t>
  </si>
  <si>
    <t>75/214</t>
  </si>
  <si>
    <t>76/214</t>
  </si>
  <si>
    <t>77/214</t>
  </si>
  <si>
    <t>78/214</t>
  </si>
  <si>
    <t>79/214</t>
  </si>
  <si>
    <t>80/214</t>
  </si>
  <si>
    <t>81/214</t>
  </si>
  <si>
    <t>82/214</t>
  </si>
  <si>
    <t>83/214</t>
  </si>
  <si>
    <t>84/214</t>
  </si>
  <si>
    <t>85/214</t>
  </si>
  <si>
    <t>86/214</t>
  </si>
  <si>
    <t>87/214</t>
  </si>
  <si>
    <t>88/214</t>
  </si>
  <si>
    <t>89/214</t>
  </si>
  <si>
    <t>90/214</t>
  </si>
  <si>
    <t>91/214</t>
  </si>
  <si>
    <t>92/214</t>
  </si>
  <si>
    <t>93/214</t>
  </si>
  <si>
    <t>94/214</t>
  </si>
  <si>
    <t>95/214</t>
  </si>
  <si>
    <t>96/214</t>
  </si>
  <si>
    <t>97/214</t>
  </si>
  <si>
    <t>98/214</t>
  </si>
  <si>
    <t>99/214</t>
  </si>
  <si>
    <t>100/214</t>
  </si>
  <si>
    <t>101/214</t>
  </si>
  <si>
    <t>102/214</t>
  </si>
  <si>
    <t>103/214</t>
  </si>
  <si>
    <t>104/214</t>
  </si>
  <si>
    <t>105/214</t>
  </si>
  <si>
    <t>106/214</t>
  </si>
  <si>
    <t>Nihilego</t>
  </si>
  <si>
    <t>107/214</t>
  </si>
  <si>
    <t>108/214</t>
  </si>
  <si>
    <t>Naganadel</t>
  </si>
  <si>
    <t>109/214</t>
  </si>
  <si>
    <t>110/214</t>
  </si>
  <si>
    <t>111/214</t>
  </si>
  <si>
    <t>112/214</t>
  </si>
  <si>
    <t>113/214</t>
  </si>
  <si>
    <t>114/214</t>
  </si>
  <si>
    <t>115/214</t>
  </si>
  <si>
    <t>116/214</t>
  </si>
  <si>
    <t>117/214</t>
  </si>
  <si>
    <t>118/214</t>
  </si>
  <si>
    <t>119/214</t>
  </si>
  <si>
    <t>120/214</t>
  </si>
  <si>
    <t>121/214</t>
  </si>
  <si>
    <t>122/214</t>
  </si>
  <si>
    <t>123/214</t>
  </si>
  <si>
    <t>124/214</t>
  </si>
  <si>
    <t>125/214</t>
  </si>
  <si>
    <t>126/214</t>
  </si>
  <si>
    <t>127/214</t>
  </si>
  <si>
    <t>128/214</t>
  </si>
  <si>
    <t>129/214</t>
  </si>
  <si>
    <t>130/214</t>
  </si>
  <si>
    <t>131/214</t>
  </si>
  <si>
    <t>132/214</t>
  </si>
  <si>
    <t>133/214</t>
  </si>
  <si>
    <t>134/214</t>
  </si>
  <si>
    <t>135/214</t>
  </si>
  <si>
    <t>136/214</t>
  </si>
  <si>
    <t>137/214</t>
  </si>
  <si>
    <t>138/214</t>
  </si>
  <si>
    <t>139/214</t>
  </si>
  <si>
    <t>140/214</t>
  </si>
  <si>
    <t>141/214</t>
  </si>
  <si>
    <t>142/214</t>
  </si>
  <si>
    <t>143/214</t>
  </si>
  <si>
    <t>144/214</t>
  </si>
  <si>
    <t>145/214</t>
  </si>
  <si>
    <t>146/214</t>
  </si>
  <si>
    <t>147/214</t>
  </si>
  <si>
    <t>148/214</t>
  </si>
  <si>
    <t>149/214</t>
  </si>
  <si>
    <t>150/214</t>
  </si>
  <si>
    <t>151/214</t>
  </si>
  <si>
    <t>Tapu Fini</t>
  </si>
  <si>
    <t>152/214</t>
  </si>
  <si>
    <t>153/214</t>
  </si>
  <si>
    <t>154/214</t>
  </si>
  <si>
    <t>155/214</t>
  </si>
  <si>
    <t>156/214</t>
  </si>
  <si>
    <t>157/214</t>
  </si>
  <si>
    <t>158/214</t>
  </si>
  <si>
    <t>159/214</t>
  </si>
  <si>
    <t>160/214</t>
  </si>
  <si>
    <t>161/214</t>
  </si>
  <si>
    <t>162/214</t>
  </si>
  <si>
    <t>163/214</t>
  </si>
  <si>
    <t>164/214</t>
  </si>
  <si>
    <t>165/214</t>
  </si>
  <si>
    <t>166/214</t>
  </si>
  <si>
    <t>167/214</t>
  </si>
  <si>
    <t>Adventure Bag</t>
  </si>
  <si>
    <t>168/214</t>
  </si>
  <si>
    <t>Aether Foundation Employee</t>
  </si>
  <si>
    <t>169/214</t>
  </si>
  <si>
    <t>Choice Helmet</t>
  </si>
  <si>
    <t>170/214</t>
  </si>
  <si>
    <t>Counter Gain</t>
  </si>
  <si>
    <t>171/214</t>
  </si>
  <si>
    <t>Custom Catcher</t>
  </si>
  <si>
    <t>172/214</t>
  </si>
  <si>
    <t>Electropower</t>
  </si>
  <si>
    <t>172a/214</t>
  </si>
  <si>
    <t>173/214</t>
  </si>
  <si>
    <t>Faba</t>
  </si>
  <si>
    <t>174/214</t>
  </si>
  <si>
    <t>Fairy Charm G</t>
  </si>
  <si>
    <t>175/214</t>
  </si>
  <si>
    <t>Fairy Charm P</t>
  </si>
  <si>
    <t>176/214</t>
  </si>
  <si>
    <t>Fairy Charm F</t>
  </si>
  <si>
    <t>177/214</t>
  </si>
  <si>
    <t>Fairy Charm D</t>
  </si>
  <si>
    <t>178/214</t>
  </si>
  <si>
    <t>179/214</t>
  </si>
  <si>
    <t>Kahili</t>
  </si>
  <si>
    <t>180/214</t>
  </si>
  <si>
    <t>181/214</t>
  </si>
  <si>
    <t>Lost Blender</t>
  </si>
  <si>
    <t>182/214</t>
  </si>
  <si>
    <t>183/214</t>
  </si>
  <si>
    <t>Mina</t>
  </si>
  <si>
    <t>184/214</t>
  </si>
  <si>
    <t>Mixed Herbs</t>
  </si>
  <si>
    <t>185/214</t>
  </si>
  <si>
    <t>Moomoo Milk</t>
  </si>
  <si>
    <t>186/214</t>
  </si>
  <si>
    <t>Morty</t>
  </si>
  <si>
    <t>187/214</t>
  </si>
  <si>
    <t>Net Ball</t>
  </si>
  <si>
    <t>187a/214</t>
  </si>
  <si>
    <t>188/214</t>
  </si>
  <si>
    <t>Professor Elm's Lecture</t>
  </si>
  <si>
    <t>189/214</t>
  </si>
  <si>
    <t>Sightseer</t>
  </si>
  <si>
    <t>190/214</t>
  </si>
  <si>
    <t>Spell Tag</t>
  </si>
  <si>
    <t>191/214</t>
  </si>
  <si>
    <t>192/214</t>
  </si>
  <si>
    <t>Wait and See Hammer</t>
  </si>
  <si>
    <t>193/214</t>
  </si>
  <si>
    <t>Whitney</t>
  </si>
  <si>
    <t>194/214</t>
  </si>
  <si>
    <t>Memory Energy</t>
  </si>
  <si>
    <t>195/214</t>
  </si>
  <si>
    <t>196/214</t>
  </si>
  <si>
    <t>197/214</t>
  </si>
  <si>
    <t>198/214</t>
  </si>
  <si>
    <t>199/214</t>
  </si>
  <si>
    <t>200/214</t>
  </si>
  <si>
    <t>201/214</t>
  </si>
  <si>
    <t>202/214</t>
  </si>
  <si>
    <t>203/214</t>
  </si>
  <si>
    <t>204/214</t>
  </si>
  <si>
    <t>205/214</t>
  </si>
  <si>
    <t>206/214</t>
  </si>
  <si>
    <t>207/214</t>
  </si>
  <si>
    <t>208/214</t>
  </si>
  <si>
    <t>209/214</t>
  </si>
  <si>
    <t>210/214</t>
  </si>
  <si>
    <t>211/214</t>
  </si>
  <si>
    <t>212/214</t>
  </si>
  <si>
    <t>213/214</t>
  </si>
  <si>
    <t>214/214</t>
  </si>
  <si>
    <t>215/214</t>
  </si>
  <si>
    <t>216/214</t>
  </si>
  <si>
    <t>217/214</t>
  </si>
  <si>
    <t>218/214</t>
  </si>
  <si>
    <t>219/214</t>
  </si>
  <si>
    <t>220/214</t>
  </si>
  <si>
    <t>221/214</t>
  </si>
  <si>
    <t>222/214</t>
  </si>
  <si>
    <t>223/214</t>
  </si>
  <si>
    <t>224/214</t>
  </si>
  <si>
    <t>225/214</t>
  </si>
  <si>
    <t>226/214</t>
  </si>
  <si>
    <t>227/214</t>
  </si>
  <si>
    <t>228/214</t>
  </si>
  <si>
    <t>229/214</t>
  </si>
  <si>
    <t>230/214</t>
  </si>
  <si>
    <t>231/214</t>
  </si>
  <si>
    <t>232/214</t>
  </si>
  <si>
    <t>233/214</t>
  </si>
  <si>
    <t>234/214</t>
  </si>
  <si>
    <t>235/214</t>
  </si>
  <si>
    <t>236/214</t>
  </si>
  <si>
    <t>1/181</t>
  </si>
  <si>
    <t>2/181</t>
  </si>
  <si>
    <t>3/181</t>
  </si>
  <si>
    <t>4/181</t>
  </si>
  <si>
    <t>5/181</t>
  </si>
  <si>
    <t>6/181</t>
  </si>
  <si>
    <t>7/181</t>
  </si>
  <si>
    <t>8/181</t>
  </si>
  <si>
    <t>9/181</t>
  </si>
  <si>
    <t>10/181</t>
  </si>
  <si>
    <t>11/181</t>
  </si>
  <si>
    <t>12/181</t>
  </si>
  <si>
    <t>13/181</t>
  </si>
  <si>
    <t>14/181</t>
  </si>
  <si>
    <t>15/181</t>
  </si>
  <si>
    <t>16/181</t>
  </si>
  <si>
    <t>17/181</t>
  </si>
  <si>
    <t>18/181</t>
  </si>
  <si>
    <t>19/181</t>
  </si>
  <si>
    <t>20/181</t>
  </si>
  <si>
    <t>21/181</t>
  </si>
  <si>
    <t>22/181</t>
  </si>
  <si>
    <t>23/181</t>
  </si>
  <si>
    <t>24/181</t>
  </si>
  <si>
    <t>25/181</t>
  </si>
  <si>
    <t>26/181</t>
  </si>
  <si>
    <t>27/181</t>
  </si>
  <si>
    <t>28/181</t>
  </si>
  <si>
    <t>29/181</t>
  </si>
  <si>
    <t>30/181</t>
  </si>
  <si>
    <t>31/181</t>
  </si>
  <si>
    <t>32/181</t>
  </si>
  <si>
    <t>33/181</t>
  </si>
  <si>
    <t>34/181</t>
  </si>
  <si>
    <t>35/181</t>
  </si>
  <si>
    <t>36/181</t>
  </si>
  <si>
    <t>37/181</t>
  </si>
  <si>
    <t>38/181</t>
  </si>
  <si>
    <t>39/181</t>
  </si>
  <si>
    <t>40/181</t>
  </si>
  <si>
    <t>41/181</t>
  </si>
  <si>
    <t>42/181</t>
  </si>
  <si>
    <t>43/181</t>
  </si>
  <si>
    <t>44/181</t>
  </si>
  <si>
    <t>45/181</t>
  </si>
  <si>
    <t>46/181</t>
  </si>
  <si>
    <t>47/181</t>
  </si>
  <si>
    <t>48/181</t>
  </si>
  <si>
    <t>49/181</t>
  </si>
  <si>
    <t>50/181</t>
  </si>
  <si>
    <t>51/181</t>
  </si>
  <si>
    <t>52/181</t>
  </si>
  <si>
    <t>Zeraora</t>
  </si>
  <si>
    <t>53/181</t>
  </si>
  <si>
    <t>54/181</t>
  </si>
  <si>
    <t>55/181</t>
  </si>
  <si>
    <t>56/181</t>
  </si>
  <si>
    <t>57/181</t>
  </si>
  <si>
    <t>58/181</t>
  </si>
  <si>
    <t>59/181</t>
  </si>
  <si>
    <t>60/181</t>
  </si>
  <si>
    <t>61/181</t>
  </si>
  <si>
    <t>62/181</t>
  </si>
  <si>
    <t>63/181</t>
  </si>
  <si>
    <t>64/181</t>
  </si>
  <si>
    <t>65/181</t>
  </si>
  <si>
    <t>66/181</t>
  </si>
  <si>
    <t>67/181</t>
  </si>
  <si>
    <t>68/181</t>
  </si>
  <si>
    <t>69/181</t>
  </si>
  <si>
    <t>70/181</t>
  </si>
  <si>
    <t>71/181</t>
  </si>
  <si>
    <t>72/181</t>
  </si>
  <si>
    <t>73/181</t>
  </si>
  <si>
    <t>74/181</t>
  </si>
  <si>
    <t>75/181</t>
  </si>
  <si>
    <t>76/181</t>
  </si>
  <si>
    <t>77/181</t>
  </si>
  <si>
    <t>78/181</t>
  </si>
  <si>
    <t>79/181</t>
  </si>
  <si>
    <t>80/181</t>
  </si>
  <si>
    <t>81/181</t>
  </si>
  <si>
    <t>82/181</t>
  </si>
  <si>
    <t>83/181</t>
  </si>
  <si>
    <t>84/181</t>
  </si>
  <si>
    <t>85/181</t>
  </si>
  <si>
    <t>86/181</t>
  </si>
  <si>
    <t>87/181</t>
  </si>
  <si>
    <t>88/181</t>
  </si>
  <si>
    <t>89/181</t>
  </si>
  <si>
    <t>90/181</t>
  </si>
  <si>
    <t>91/181</t>
  </si>
  <si>
    <t>92/181</t>
  </si>
  <si>
    <t>93/181</t>
  </si>
  <si>
    <t>94/181</t>
  </si>
  <si>
    <t>95/181</t>
  </si>
  <si>
    <t>96/181</t>
  </si>
  <si>
    <t>97/181</t>
  </si>
  <si>
    <t>98/181</t>
  </si>
  <si>
    <t>99/181</t>
  </si>
  <si>
    <t>100/181</t>
  </si>
  <si>
    <t>101/181</t>
  </si>
  <si>
    <t>102/181</t>
  </si>
  <si>
    <t>103/181</t>
  </si>
  <si>
    <t>104/181</t>
  </si>
  <si>
    <t>105/181</t>
  </si>
  <si>
    <t>106/181</t>
  </si>
  <si>
    <t>107/181</t>
  </si>
  <si>
    <t>108/181</t>
  </si>
  <si>
    <t>109/181</t>
  </si>
  <si>
    <t>110/181</t>
  </si>
  <si>
    <t>111/181</t>
  </si>
  <si>
    <t>112/181</t>
  </si>
  <si>
    <t>113/181</t>
  </si>
  <si>
    <t>114/181</t>
  </si>
  <si>
    <t>115/181</t>
  </si>
  <si>
    <t>116/181</t>
  </si>
  <si>
    <t>117/181</t>
  </si>
  <si>
    <t>118/181</t>
  </si>
  <si>
    <t>119/181</t>
  </si>
  <si>
    <t>120/181</t>
  </si>
  <si>
    <t>Colorelss</t>
  </si>
  <si>
    <t>121/181</t>
  </si>
  <si>
    <t>122/181</t>
  </si>
  <si>
    <t>123/181</t>
  </si>
  <si>
    <t>124/181</t>
  </si>
  <si>
    <t>125/181</t>
  </si>
  <si>
    <t>126/181</t>
  </si>
  <si>
    <t>127/181</t>
  </si>
  <si>
    <t>128/181</t>
  </si>
  <si>
    <t>129/181</t>
  </si>
  <si>
    <t>130/181</t>
  </si>
  <si>
    <t>131/181</t>
  </si>
  <si>
    <t>132/181</t>
  </si>
  <si>
    <t>133/181</t>
  </si>
  <si>
    <t>Bill's Analysis</t>
  </si>
  <si>
    <t>134/181</t>
  </si>
  <si>
    <t>135/181</t>
  </si>
  <si>
    <t>136/181</t>
  </si>
  <si>
    <t>Buff Padding</t>
  </si>
  <si>
    <t>137/181</t>
  </si>
  <si>
    <t>Dana</t>
  </si>
  <si>
    <t>138/181</t>
  </si>
  <si>
    <t>Dangerous Drill</t>
  </si>
  <si>
    <t>139/181</t>
  </si>
  <si>
    <t>Electrocharger</t>
  </si>
  <si>
    <t>140/181</t>
  </si>
  <si>
    <t>Erika's Hospitality</t>
  </si>
  <si>
    <t>141/181</t>
  </si>
  <si>
    <t>Evelyn</t>
  </si>
  <si>
    <t>142/181</t>
  </si>
  <si>
    <t>Fairy Charm UB</t>
  </si>
  <si>
    <t>143/181</t>
  </si>
  <si>
    <t>Grass Memory</t>
  </si>
  <si>
    <t>144/181</t>
  </si>
  <si>
    <t>Ingo &amp; Emmet</t>
  </si>
  <si>
    <t>145/181</t>
  </si>
  <si>
    <t>Jasmine</t>
  </si>
  <si>
    <t>146/181</t>
  </si>
  <si>
    <t>Judge Whistle</t>
  </si>
  <si>
    <t>147/181</t>
  </si>
  <si>
    <t>Lavender Town</t>
  </si>
  <si>
    <t>148/181</t>
  </si>
  <si>
    <t>Metal Goggles</t>
  </si>
  <si>
    <t>149/181</t>
  </si>
  <si>
    <t>Morgan</t>
  </si>
  <si>
    <t>150/181</t>
  </si>
  <si>
    <t>Nanu</t>
  </si>
  <si>
    <t>151/181</t>
  </si>
  <si>
    <t>Nita</t>
  </si>
  <si>
    <t>152/181</t>
  </si>
  <si>
    <t>Pokémon Communication</t>
  </si>
  <si>
    <t>152a/181</t>
  </si>
  <si>
    <t>153/181</t>
  </si>
  <si>
    <t>Return Label</t>
  </si>
  <si>
    <t>154/181</t>
  </si>
  <si>
    <t>Sabrina's Suggestion</t>
  </si>
  <si>
    <t>155/181</t>
  </si>
  <si>
    <t>156/181</t>
  </si>
  <si>
    <t>Viridian Forest</t>
  </si>
  <si>
    <t>157/181</t>
  </si>
  <si>
    <t>Water Memory</t>
  </si>
  <si>
    <t>158/181</t>
  </si>
  <si>
    <t>159/181</t>
  </si>
  <si>
    <t>160/181</t>
  </si>
  <si>
    <t>161/181</t>
  </si>
  <si>
    <t>162/181</t>
  </si>
  <si>
    <t>163/181</t>
  </si>
  <si>
    <t>164/181</t>
  </si>
  <si>
    <t>165/181</t>
  </si>
  <si>
    <t>166/181</t>
  </si>
  <si>
    <t>167/181</t>
  </si>
  <si>
    <t>168/181</t>
  </si>
  <si>
    <t>169/181</t>
  </si>
  <si>
    <t>170/181</t>
  </si>
  <si>
    <t>171/181</t>
  </si>
  <si>
    <t>172/181</t>
  </si>
  <si>
    <t>173/181</t>
  </si>
  <si>
    <t>174/181</t>
  </si>
  <si>
    <t>175/181</t>
  </si>
  <si>
    <t>176/181</t>
  </si>
  <si>
    <t>177/181</t>
  </si>
  <si>
    <t>178/181</t>
  </si>
  <si>
    <t>179/181</t>
  </si>
  <si>
    <t>180/181</t>
  </si>
  <si>
    <t>181/181</t>
  </si>
  <si>
    <t>182/181</t>
  </si>
  <si>
    <t>183/181</t>
  </si>
  <si>
    <t>184/181</t>
  </si>
  <si>
    <t>185/181</t>
  </si>
  <si>
    <t>186/181</t>
  </si>
  <si>
    <t>187/181</t>
  </si>
  <si>
    <t>188/181</t>
  </si>
  <si>
    <t>189/181</t>
  </si>
  <si>
    <t>190/181</t>
  </si>
  <si>
    <t>191/181</t>
  </si>
  <si>
    <t xml:space="preserve">Colorless </t>
  </si>
  <si>
    <t>192/181</t>
  </si>
  <si>
    <t>193/181</t>
  </si>
  <si>
    <t>194/181</t>
  </si>
  <si>
    <t>195/181</t>
  </si>
  <si>
    <t>196/181</t>
  </si>
  <si>
    <t>Blacephalon</t>
  </si>
  <si>
    <t>Melmetal</t>
  </si>
  <si>
    <t>Beast Bringer</t>
  </si>
  <si>
    <t>Chip-Chip Ice Axe</t>
  </si>
  <si>
    <t>Devolution Spray Z</t>
  </si>
  <si>
    <t>Dusk Stone</t>
  </si>
  <si>
    <t>Dust Island</t>
  </si>
  <si>
    <t>Electromagnetic Radar</t>
  </si>
  <si>
    <t>Energy Spinner</t>
  </si>
  <si>
    <t>Fairy Charm Ability</t>
  </si>
  <si>
    <t>Fairy Charm L</t>
  </si>
  <si>
    <t>Fire Crystal</t>
  </si>
  <si>
    <t>Giovanni's Exile</t>
  </si>
  <si>
    <t>Green's Exploration</t>
  </si>
  <si>
    <t>Janine</t>
  </si>
  <si>
    <t>Koga's Trap</t>
  </si>
  <si>
    <t>Lt. Surge's Strategy</t>
  </si>
  <si>
    <t>Martial Arts Dojo</t>
  </si>
  <si>
    <t>Metal Core Barrier</t>
  </si>
  <si>
    <t>Molayne</t>
  </si>
  <si>
    <t>Pokégear 3.0</t>
  </si>
  <si>
    <t>182a/214</t>
  </si>
  <si>
    <t>Red's Challenge</t>
  </si>
  <si>
    <t>Samson Oak</t>
  </si>
  <si>
    <t>Stealthy Hood</t>
  </si>
  <si>
    <t>Surprise Box</t>
  </si>
  <si>
    <t>Ultra Forest Kartenvoy</t>
  </si>
  <si>
    <t>Welder</t>
  </si>
  <si>
    <t>Triple Acceleration Energy</t>
  </si>
  <si>
    <t>195a/214</t>
  </si>
  <si>
    <t>1/236</t>
  </si>
  <si>
    <t>2/236</t>
  </si>
  <si>
    <t>3/236</t>
  </si>
  <si>
    <t>4/236</t>
  </si>
  <si>
    <t>5/236</t>
  </si>
  <si>
    <t>6/236</t>
  </si>
  <si>
    <t>7/236</t>
  </si>
  <si>
    <t>8/236</t>
  </si>
  <si>
    <t>9/236</t>
  </si>
  <si>
    <t>10/236</t>
  </si>
  <si>
    <t>11/236</t>
  </si>
  <si>
    <t>12/236</t>
  </si>
  <si>
    <t>13/236</t>
  </si>
  <si>
    <t>14/236</t>
  </si>
  <si>
    <t>15/236</t>
  </si>
  <si>
    <t>16/236</t>
  </si>
  <si>
    <t>17/236</t>
  </si>
  <si>
    <t>18/236</t>
  </si>
  <si>
    <t>19/236</t>
  </si>
  <si>
    <t>20/236</t>
  </si>
  <si>
    <t>21/236</t>
  </si>
  <si>
    <t>22/236</t>
  </si>
  <si>
    <t>23/236</t>
  </si>
  <si>
    <t>24/236</t>
  </si>
  <si>
    <t>25/236</t>
  </si>
  <si>
    <t>26/236</t>
  </si>
  <si>
    <t>27/236</t>
  </si>
  <si>
    <t>28/236</t>
  </si>
  <si>
    <t>29/236</t>
  </si>
  <si>
    <t>30/236</t>
  </si>
  <si>
    <t>31/236</t>
  </si>
  <si>
    <t>32/236</t>
  </si>
  <si>
    <t>33/236</t>
  </si>
  <si>
    <t>34/236</t>
  </si>
  <si>
    <t>35/236</t>
  </si>
  <si>
    <t>36/236</t>
  </si>
  <si>
    <t>37/236</t>
  </si>
  <si>
    <t>38/236</t>
  </si>
  <si>
    <t>39/236</t>
  </si>
  <si>
    <t>40/236</t>
  </si>
  <si>
    <t>41/236</t>
  </si>
  <si>
    <t>42/236</t>
  </si>
  <si>
    <t>43/236</t>
  </si>
  <si>
    <t>44/236</t>
  </si>
  <si>
    <t>45/236</t>
  </si>
  <si>
    <t>46/236</t>
  </si>
  <si>
    <t>47/236</t>
  </si>
  <si>
    <t>48/236</t>
  </si>
  <si>
    <t>49/236</t>
  </si>
  <si>
    <t>50/236</t>
  </si>
  <si>
    <t>51/236</t>
  </si>
  <si>
    <t>52/236</t>
  </si>
  <si>
    <t>53/236</t>
  </si>
  <si>
    <t>54/236</t>
  </si>
  <si>
    <t>55/236</t>
  </si>
  <si>
    <t>56/236</t>
  </si>
  <si>
    <t>57/236</t>
  </si>
  <si>
    <t>58/236</t>
  </si>
  <si>
    <t>59/236</t>
  </si>
  <si>
    <t>60/236</t>
  </si>
  <si>
    <t>61/236</t>
  </si>
  <si>
    <t>62/236</t>
  </si>
  <si>
    <t>63/236</t>
  </si>
  <si>
    <t>64/236</t>
  </si>
  <si>
    <t>65/236</t>
  </si>
  <si>
    <t>66/236</t>
  </si>
  <si>
    <t>67/236</t>
  </si>
  <si>
    <t>68/236</t>
  </si>
  <si>
    <t>69/236</t>
  </si>
  <si>
    <t>70/236</t>
  </si>
  <si>
    <t>71/236</t>
  </si>
  <si>
    <t>72/236</t>
  </si>
  <si>
    <t>73/236</t>
  </si>
  <si>
    <t>74/236</t>
  </si>
  <si>
    <t>75/236</t>
  </si>
  <si>
    <t>76/236</t>
  </si>
  <si>
    <t>77/236</t>
  </si>
  <si>
    <t>78/236</t>
  </si>
  <si>
    <t>79/236</t>
  </si>
  <si>
    <t>80/236</t>
  </si>
  <si>
    <t>81/236</t>
  </si>
  <si>
    <t>82/236</t>
  </si>
  <si>
    <t>83/236</t>
  </si>
  <si>
    <t>84/236</t>
  </si>
  <si>
    <t>85/236</t>
  </si>
  <si>
    <t>86/236</t>
  </si>
  <si>
    <t>87/236</t>
  </si>
  <si>
    <t>88/236</t>
  </si>
  <si>
    <t>89/236</t>
  </si>
  <si>
    <t>90/236</t>
  </si>
  <si>
    <t>91/236</t>
  </si>
  <si>
    <t>92/236</t>
  </si>
  <si>
    <t>93/236</t>
  </si>
  <si>
    <t>94/236</t>
  </si>
  <si>
    <t>95/236</t>
  </si>
  <si>
    <t>96/236</t>
  </si>
  <si>
    <t>97/236</t>
  </si>
  <si>
    <t>98/236</t>
  </si>
  <si>
    <t>99/236</t>
  </si>
  <si>
    <t>100/236</t>
  </si>
  <si>
    <t>101/236</t>
  </si>
  <si>
    <t>Necrozma</t>
  </si>
  <si>
    <t>102/236</t>
  </si>
  <si>
    <t>103/236</t>
  </si>
  <si>
    <t>104/236</t>
  </si>
  <si>
    <t>105/236</t>
  </si>
  <si>
    <t>106/236</t>
  </si>
  <si>
    <t>107/236</t>
  </si>
  <si>
    <t>108/236</t>
  </si>
  <si>
    <t>109/236</t>
  </si>
  <si>
    <t>110/236</t>
  </si>
  <si>
    <t>111/236</t>
  </si>
  <si>
    <t>112/236</t>
  </si>
  <si>
    <t>113/236</t>
  </si>
  <si>
    <t>114/236</t>
  </si>
  <si>
    <t>115/236</t>
  </si>
  <si>
    <t>116/236</t>
  </si>
  <si>
    <t>117/236</t>
  </si>
  <si>
    <t>118/236</t>
  </si>
  <si>
    <t>119/236</t>
  </si>
  <si>
    <t>120/236</t>
  </si>
  <si>
    <t>121/236</t>
  </si>
  <si>
    <t>122/236</t>
  </si>
  <si>
    <t>123/236</t>
  </si>
  <si>
    <t>124/236</t>
  </si>
  <si>
    <t>125/236</t>
  </si>
  <si>
    <t>126/236</t>
  </si>
  <si>
    <t>127/236</t>
  </si>
  <si>
    <t>128/236</t>
  </si>
  <si>
    <t>129/236</t>
  </si>
  <si>
    <t>130/236</t>
  </si>
  <si>
    <t>131/236</t>
  </si>
  <si>
    <t>132/236</t>
  </si>
  <si>
    <t>133/236</t>
  </si>
  <si>
    <t>134/236</t>
  </si>
  <si>
    <t>135/236</t>
  </si>
  <si>
    <t>136/236</t>
  </si>
  <si>
    <t>137/236</t>
  </si>
  <si>
    <t>138/236</t>
  </si>
  <si>
    <t>139/236</t>
  </si>
  <si>
    <t>140/236</t>
  </si>
  <si>
    <t>141/236</t>
  </si>
  <si>
    <t>142/236</t>
  </si>
  <si>
    <t>143/236</t>
  </si>
  <si>
    <t>144/236</t>
  </si>
  <si>
    <t>145/236</t>
  </si>
  <si>
    <t>146/236</t>
  </si>
  <si>
    <t>147/236</t>
  </si>
  <si>
    <t>148/236</t>
  </si>
  <si>
    <t>149/236</t>
  </si>
  <si>
    <t>150/236</t>
  </si>
  <si>
    <t>151/236</t>
  </si>
  <si>
    <t>152/236</t>
  </si>
  <si>
    <t>153/236</t>
  </si>
  <si>
    <t>154/236</t>
  </si>
  <si>
    <t>155/236</t>
  </si>
  <si>
    <t>156/236</t>
  </si>
  <si>
    <t>157/236</t>
  </si>
  <si>
    <t>158/236</t>
  </si>
  <si>
    <t>159/236</t>
  </si>
  <si>
    <t>160/236</t>
  </si>
  <si>
    <t>161/236</t>
  </si>
  <si>
    <t>162/236</t>
  </si>
  <si>
    <t>163/236</t>
  </si>
  <si>
    <t>164/236</t>
  </si>
  <si>
    <t>165/236</t>
  </si>
  <si>
    <t>166/236</t>
  </si>
  <si>
    <t>167/236</t>
  </si>
  <si>
    <t>168/236</t>
  </si>
  <si>
    <t>169/236</t>
  </si>
  <si>
    <t>170/236</t>
  </si>
  <si>
    <t>171/236</t>
  </si>
  <si>
    <t>172/236</t>
  </si>
  <si>
    <t>173/236</t>
  </si>
  <si>
    <t>174/236</t>
  </si>
  <si>
    <t>175/236</t>
  </si>
  <si>
    <t>176/236</t>
  </si>
  <si>
    <t>177/236</t>
  </si>
  <si>
    <t>178/236</t>
  </si>
  <si>
    <t>179/236</t>
  </si>
  <si>
    <t>180/236</t>
  </si>
  <si>
    <t>181/236</t>
  </si>
  <si>
    <t>182/236</t>
  </si>
  <si>
    <t>183/236</t>
  </si>
  <si>
    <t>184/236</t>
  </si>
  <si>
    <t>185/236</t>
  </si>
  <si>
    <t>186/236</t>
  </si>
  <si>
    <t>Blaine's Quiz Show</t>
  </si>
  <si>
    <t>187/236</t>
  </si>
  <si>
    <t>Blizzard Town</t>
  </si>
  <si>
    <t>188/236</t>
  </si>
  <si>
    <t>Blue's Tactics</t>
  </si>
  <si>
    <t>189/236</t>
  </si>
  <si>
    <t>Bug Catcher</t>
  </si>
  <si>
    <t>190/236</t>
  </si>
  <si>
    <t>Channeler</t>
  </si>
  <si>
    <t>191/236</t>
  </si>
  <si>
    <t>Cherish Ball</t>
  </si>
  <si>
    <t>192/236</t>
  </si>
  <si>
    <t>Coach Trainer</t>
  </si>
  <si>
    <t>193/236</t>
  </si>
  <si>
    <t>Dark City</t>
  </si>
  <si>
    <t>194/236</t>
  </si>
  <si>
    <t>Ear-Ringing Bell</t>
  </si>
  <si>
    <t>195/236</t>
  </si>
  <si>
    <t>Flyinium Z Air Slash</t>
  </si>
  <si>
    <t>196/236</t>
  </si>
  <si>
    <t>Giant Bomb</t>
  </si>
  <si>
    <t>197/236</t>
  </si>
  <si>
    <t>Giant Hearth</t>
  </si>
  <si>
    <t>198/236</t>
  </si>
  <si>
    <t>Great Potion</t>
  </si>
  <si>
    <t>199/236</t>
  </si>
  <si>
    <t>Grimsley</t>
  </si>
  <si>
    <t>200/236</t>
  </si>
  <si>
    <t>Hapu</t>
  </si>
  <si>
    <t>201/236</t>
  </si>
  <si>
    <t>Karate Belt</t>
  </si>
  <si>
    <t>202/236</t>
  </si>
  <si>
    <t>Misty's Favor</t>
  </si>
  <si>
    <t>203/236</t>
  </si>
  <si>
    <t>Normalium Z Tackle</t>
  </si>
  <si>
    <t>204/236</t>
  </si>
  <si>
    <t>Poké Maniac</t>
  </si>
  <si>
    <t>205/236</t>
  </si>
  <si>
    <t>Pokémon Research Lab</t>
  </si>
  <si>
    <t>206/236</t>
  </si>
  <si>
    <t>Reset Stamp</t>
  </si>
  <si>
    <t>206a/236</t>
  </si>
  <si>
    <t>207/236</t>
  </si>
  <si>
    <t>Slumbering Forest</t>
  </si>
  <si>
    <t>208/236</t>
  </si>
  <si>
    <t>Stadium Nav</t>
  </si>
  <si>
    <t>209/236</t>
  </si>
  <si>
    <t>Tag Switch</t>
  </si>
  <si>
    <t>210/236</t>
  </si>
  <si>
    <t>211/236</t>
  </si>
  <si>
    <t>U-Turn Board</t>
  </si>
  <si>
    <t>212/236</t>
  </si>
  <si>
    <t>213/236</t>
  </si>
  <si>
    <t>Weakness Guard Energy</t>
  </si>
  <si>
    <t>214/236</t>
  </si>
  <si>
    <t>215/236</t>
  </si>
  <si>
    <t>216/236</t>
  </si>
  <si>
    <t>217/236</t>
  </si>
  <si>
    <t>218/236</t>
  </si>
  <si>
    <t>219/236</t>
  </si>
  <si>
    <t>220/236</t>
  </si>
  <si>
    <t>221/236</t>
  </si>
  <si>
    <t>222/236</t>
  </si>
  <si>
    <t>223/236</t>
  </si>
  <si>
    <t>224/236</t>
  </si>
  <si>
    <t>225/236</t>
  </si>
  <si>
    <t>226/236</t>
  </si>
  <si>
    <t>227/236</t>
  </si>
  <si>
    <t>228/236</t>
  </si>
  <si>
    <t>229/236</t>
  </si>
  <si>
    <t>230/236</t>
  </si>
  <si>
    <t>231/236</t>
  </si>
  <si>
    <t>232/236</t>
  </si>
  <si>
    <t>233/236</t>
  </si>
  <si>
    <t>234/236</t>
  </si>
  <si>
    <t>235/236</t>
  </si>
  <si>
    <t>236/236</t>
  </si>
  <si>
    <t>237/236</t>
  </si>
  <si>
    <t>238/236</t>
  </si>
  <si>
    <t>239/236</t>
  </si>
  <si>
    <t>240/236</t>
  </si>
  <si>
    <t>241/236</t>
  </si>
  <si>
    <t>242/236</t>
  </si>
  <si>
    <t>243/236</t>
  </si>
  <si>
    <t>244/236</t>
  </si>
  <si>
    <t>245/236</t>
  </si>
  <si>
    <t>246/236</t>
  </si>
  <si>
    <t>247/236</t>
  </si>
  <si>
    <t>248/236</t>
  </si>
  <si>
    <t>249/236</t>
  </si>
  <si>
    <t>250/236</t>
  </si>
  <si>
    <t>251/236</t>
  </si>
  <si>
    <t>252/236</t>
  </si>
  <si>
    <t>253/236</t>
  </si>
  <si>
    <t>254/236</t>
  </si>
  <si>
    <t>255/236</t>
  </si>
  <si>
    <t>256/236</t>
  </si>
  <si>
    <t>257/236</t>
  </si>
  <si>
    <t>258/236</t>
  </si>
  <si>
    <t>1/68</t>
  </si>
  <si>
    <t>2/68</t>
  </si>
  <si>
    <t>3/68</t>
  </si>
  <si>
    <t>4/68</t>
  </si>
  <si>
    <t>5/68</t>
  </si>
  <si>
    <t>6/68</t>
  </si>
  <si>
    <t>7/68</t>
  </si>
  <si>
    <t>8/68</t>
  </si>
  <si>
    <t>9/68</t>
  </si>
  <si>
    <t>10/68</t>
  </si>
  <si>
    <t>11/68</t>
  </si>
  <si>
    <t>12/68</t>
  </si>
  <si>
    <t>13/68</t>
  </si>
  <si>
    <t>14/68</t>
  </si>
  <si>
    <t>15/68</t>
  </si>
  <si>
    <t>16/68</t>
  </si>
  <si>
    <t>17/68</t>
  </si>
  <si>
    <t>18/68</t>
  </si>
  <si>
    <t>19/68</t>
  </si>
  <si>
    <t>20/68</t>
  </si>
  <si>
    <t>21/68</t>
  </si>
  <si>
    <t>22/68</t>
  </si>
  <si>
    <t>23/68</t>
  </si>
  <si>
    <t>24/68</t>
  </si>
  <si>
    <t>25/68</t>
  </si>
  <si>
    <t>26/68</t>
  </si>
  <si>
    <t>27/68</t>
  </si>
  <si>
    <t>28/68</t>
  </si>
  <si>
    <t>29/68</t>
  </si>
  <si>
    <t>30/68</t>
  </si>
  <si>
    <t>31/68</t>
  </si>
  <si>
    <t>32/68</t>
  </si>
  <si>
    <t>33/68</t>
  </si>
  <si>
    <t>34/68</t>
  </si>
  <si>
    <t>35/68</t>
  </si>
  <si>
    <t>36/68</t>
  </si>
  <si>
    <t>37/68</t>
  </si>
  <si>
    <t>38/68</t>
  </si>
  <si>
    <t>39/68</t>
  </si>
  <si>
    <t>40/68</t>
  </si>
  <si>
    <t>41/68</t>
  </si>
  <si>
    <t>42/68</t>
  </si>
  <si>
    <t>43/68</t>
  </si>
  <si>
    <t>44/68</t>
  </si>
  <si>
    <t>45/68</t>
  </si>
  <si>
    <t>46/68</t>
  </si>
  <si>
    <t>47/68</t>
  </si>
  <si>
    <t>48/68</t>
  </si>
  <si>
    <t>49/68</t>
  </si>
  <si>
    <t>50/68</t>
  </si>
  <si>
    <t>51/68</t>
  </si>
  <si>
    <t>52/68</t>
  </si>
  <si>
    <t>53/68</t>
  </si>
  <si>
    <t>54/68</t>
  </si>
  <si>
    <t>Brock's Pewter City Gym</t>
  </si>
  <si>
    <t>55/68</t>
  </si>
  <si>
    <t>Brock's Training</t>
  </si>
  <si>
    <t>56/68</t>
  </si>
  <si>
    <t>57/68</t>
  </si>
  <si>
    <t>58/68</t>
  </si>
  <si>
    <t>Jessie &amp; James</t>
  </si>
  <si>
    <t>59/68</t>
  </si>
  <si>
    <t>60/68</t>
  </si>
  <si>
    <t>61/68</t>
  </si>
  <si>
    <t>Misty's Cerulean City Gym</t>
  </si>
  <si>
    <t>62/68</t>
  </si>
  <si>
    <t>63/68</t>
  </si>
  <si>
    <t>Misty's Water Command</t>
  </si>
  <si>
    <t>64/68</t>
  </si>
  <si>
    <t>65/68</t>
  </si>
  <si>
    <t>66/68</t>
  </si>
  <si>
    <t>67/68</t>
  </si>
  <si>
    <t>68/68</t>
  </si>
  <si>
    <t>69/68</t>
  </si>
  <si>
    <t>SHINY VAULT</t>
  </si>
  <si>
    <t>SV1/SV94</t>
  </si>
  <si>
    <t>SV2/SV94</t>
  </si>
  <si>
    <t>SV3/SV94</t>
  </si>
  <si>
    <t>SV4/SV94</t>
  </si>
  <si>
    <t>SV5/SV94</t>
  </si>
  <si>
    <t>SV6/SV94</t>
  </si>
  <si>
    <t>SV7/SV94</t>
  </si>
  <si>
    <t>SV8/SV94</t>
  </si>
  <si>
    <t>SV9/SV94</t>
  </si>
  <si>
    <t>SV10/SV94</t>
  </si>
  <si>
    <t>SV11/SV94</t>
  </si>
  <si>
    <t>SV12/SV94</t>
  </si>
  <si>
    <t>SV13/SV94</t>
  </si>
  <si>
    <t>SV14/SV94</t>
  </si>
  <si>
    <t>SV15/SV94</t>
  </si>
  <si>
    <t>SV16/SV94</t>
  </si>
  <si>
    <t>SV17/SV94</t>
  </si>
  <si>
    <t>SV18/SV94</t>
  </si>
  <si>
    <t>SV19/SV94</t>
  </si>
  <si>
    <t>SV20/SV94</t>
  </si>
  <si>
    <t>SV21/SV94</t>
  </si>
  <si>
    <t>SV22/SV94</t>
  </si>
  <si>
    <t>SV23/SV94</t>
  </si>
  <si>
    <t>SV24/SV94</t>
  </si>
  <si>
    <t>SV25/SV94</t>
  </si>
  <si>
    <t>SV26/SV94</t>
  </si>
  <si>
    <t>SV27/SV94</t>
  </si>
  <si>
    <t>SV28/SV94</t>
  </si>
  <si>
    <t>SV29/SV94</t>
  </si>
  <si>
    <t>SV30/SV94</t>
  </si>
  <si>
    <t>SV31/SV94</t>
  </si>
  <si>
    <t>SV32/SV94</t>
  </si>
  <si>
    <t>SV33/SV94</t>
  </si>
  <si>
    <t>SV34/SV94</t>
  </si>
  <si>
    <t>SV35/SV94</t>
  </si>
  <si>
    <t>SV36/SV94</t>
  </si>
  <si>
    <t>SV37/SV94</t>
  </si>
  <si>
    <t>SV38/SV94</t>
  </si>
  <si>
    <t>SV39/SV94</t>
  </si>
  <si>
    <t>SV40/SV94</t>
  </si>
  <si>
    <t>SV41/SV94</t>
  </si>
  <si>
    <t>SV42/SV94</t>
  </si>
  <si>
    <t>SV43/SV94</t>
  </si>
  <si>
    <t>SV44/SV94</t>
  </si>
  <si>
    <t>SV45/SV94</t>
  </si>
  <si>
    <t>SV46/SV94</t>
  </si>
  <si>
    <t>SV47/SV94</t>
  </si>
  <si>
    <t>SV48/SV94</t>
  </si>
  <si>
    <t>SV49/SV94</t>
  </si>
  <si>
    <t>SV50/SV94</t>
  </si>
  <si>
    <t>SV51/SV94</t>
  </si>
  <si>
    <t>SV52/SV94</t>
  </si>
  <si>
    <t>SV53/SV94</t>
  </si>
  <si>
    <t>SV54/SV94</t>
  </si>
  <si>
    <t>SV55/SV94</t>
  </si>
  <si>
    <t>SV56/SV94</t>
  </si>
  <si>
    <t>SV57/SV94</t>
  </si>
  <si>
    <t>SV58/SV94</t>
  </si>
  <si>
    <t>SV59/SV94</t>
  </si>
  <si>
    <t>SV60/SV94</t>
  </si>
  <si>
    <t>SV61/SV94</t>
  </si>
  <si>
    <t>SV62/SV94</t>
  </si>
  <si>
    <t>SV63/SV94</t>
  </si>
  <si>
    <t>SV64/SV94</t>
  </si>
  <si>
    <t>SV65/SV94</t>
  </si>
  <si>
    <t>SV66/SV94</t>
  </si>
  <si>
    <t>SV67/SV94</t>
  </si>
  <si>
    <t>SV68/SV94</t>
  </si>
  <si>
    <t>SV69/SV94</t>
  </si>
  <si>
    <t>SV70/SV94</t>
  </si>
  <si>
    <t>SV71/SV94</t>
  </si>
  <si>
    <t>SV72/SV94</t>
  </si>
  <si>
    <t>SV73/SV94</t>
  </si>
  <si>
    <t>SV74/SV94</t>
  </si>
  <si>
    <t>SV75/SV94</t>
  </si>
  <si>
    <t>SV76/SV94</t>
  </si>
  <si>
    <t>SV77/SV94</t>
  </si>
  <si>
    <t>SV78/SV94</t>
  </si>
  <si>
    <t>SV79/SV94</t>
  </si>
  <si>
    <t>SV80/SV94</t>
  </si>
  <si>
    <t>SV81/SV94</t>
  </si>
  <si>
    <t>SV82/SV94</t>
  </si>
  <si>
    <t>SV83/SV94</t>
  </si>
  <si>
    <t>SV84/SV94</t>
  </si>
  <si>
    <t>SV85/SV94</t>
  </si>
  <si>
    <t>SV86/SV94</t>
  </si>
  <si>
    <t>SV87/SV94</t>
  </si>
  <si>
    <t>SV88/SV94</t>
  </si>
  <si>
    <t>SV89/SV94</t>
  </si>
  <si>
    <t>SV90/SV94</t>
  </si>
  <si>
    <t>Shrine of Punishment</t>
  </si>
  <si>
    <t>SV91/SV94</t>
  </si>
  <si>
    <t>SV92/SV94</t>
  </si>
  <si>
    <t>SV93/SV94</t>
  </si>
  <si>
    <t>SV94/SV94</t>
  </si>
  <si>
    <t>Sawsbuck</t>
  </si>
  <si>
    <t>Beastite</t>
  </si>
  <si>
    <t>Bellelba &amp; Brycen-Man</t>
  </si>
  <si>
    <t>Chaotic Swell</t>
  </si>
  <si>
    <t>Clay</t>
  </si>
  <si>
    <t>Cynthia &amp; Caitlin</t>
  </si>
  <si>
    <t>Dragonium Z: Dragon Claw</t>
  </si>
  <si>
    <t>Great Catcher</t>
  </si>
  <si>
    <t>Guzma &amp; Hala</t>
  </si>
  <si>
    <t>Island Challenge Amulet</t>
  </si>
  <si>
    <t>Lana's Fishing Rod</t>
  </si>
  <si>
    <t>Lillie's Full Force</t>
  </si>
  <si>
    <t>Lillie's Poké Doll</t>
  </si>
  <si>
    <t>Mallow &amp; Lana</t>
  </si>
  <si>
    <t>Misty &amp; Lorelei</t>
  </si>
  <si>
    <t>N's Resolve</t>
  </si>
  <si>
    <t>Professor Oak's Setup</t>
  </si>
  <si>
    <t>Red &amp; Blue</t>
  </si>
  <si>
    <t>Roller Skater</t>
  </si>
  <si>
    <t>Rosa</t>
  </si>
  <si>
    <t>Roxie</t>
  </si>
  <si>
    <t>Tag Call</t>
  </si>
  <si>
    <t>Will</t>
  </si>
  <si>
    <t>Draw Energy</t>
  </si>
  <si>
    <t>259/236</t>
  </si>
  <si>
    <t>260/236</t>
  </si>
  <si>
    <t>261/236</t>
  </si>
  <si>
    <t>262/236</t>
  </si>
  <si>
    <t>263/236</t>
  </si>
  <si>
    <t>264/236</t>
  </si>
  <si>
    <t>265/236</t>
  </si>
  <si>
    <t>266/236</t>
  </si>
  <si>
    <t>267/236</t>
  </si>
  <si>
    <t>268/236</t>
  </si>
  <si>
    <t>269/236</t>
  </si>
  <si>
    <t>270/236</t>
  </si>
  <si>
    <t>271/236</t>
  </si>
  <si>
    <t>SWSH001</t>
  </si>
  <si>
    <t>Grookey</t>
  </si>
  <si>
    <t>SWSH002</t>
  </si>
  <si>
    <t>Scorbunny</t>
  </si>
  <si>
    <t>SWSH003</t>
  </si>
  <si>
    <t>Sobble</t>
  </si>
  <si>
    <t>SWSH004</t>
  </si>
  <si>
    <t>MeowthV</t>
  </si>
  <si>
    <t>SWSH005</t>
  </si>
  <si>
    <t>MeowthVMAX</t>
  </si>
  <si>
    <t>SWSH006</t>
  </si>
  <si>
    <t>SWSH007</t>
  </si>
  <si>
    <t>SWSH008</t>
  </si>
  <si>
    <t>SWSH009</t>
  </si>
  <si>
    <t>SWSH010</t>
  </si>
  <si>
    <t>Gossifleur</t>
  </si>
  <si>
    <t>SWSH011</t>
  </si>
  <si>
    <t>Wooloo</t>
  </si>
  <si>
    <t>SWSH012</t>
  </si>
  <si>
    <t>Morpeko</t>
  </si>
  <si>
    <t>SWSH013</t>
  </si>
  <si>
    <t>Galarian Ponyta</t>
  </si>
  <si>
    <t>SWSH014</t>
  </si>
  <si>
    <t>RillaboomV</t>
  </si>
  <si>
    <t>SWSH015</t>
  </si>
  <si>
    <t>CinderaceV</t>
  </si>
  <si>
    <t>SWSH016</t>
  </si>
  <si>
    <t>InteleonV</t>
  </si>
  <si>
    <t>SWSH017</t>
  </si>
  <si>
    <t>ToxtricityV</t>
  </si>
  <si>
    <t>SWSH018</t>
  </si>
  <si>
    <t>ZacianV</t>
  </si>
  <si>
    <t>SWSH019</t>
  </si>
  <si>
    <t>ZamazentaV</t>
  </si>
  <si>
    <t>SWSH020</t>
  </si>
  <si>
    <t>SWSH021</t>
  </si>
  <si>
    <t>PolteageistV</t>
  </si>
  <si>
    <t>SWSH022</t>
  </si>
  <si>
    <t>SWSH023</t>
  </si>
  <si>
    <t>SWSH024</t>
  </si>
  <si>
    <t>SWSH025</t>
  </si>
  <si>
    <t>SWSH026</t>
  </si>
  <si>
    <t>SWSH027</t>
  </si>
  <si>
    <t>SWSH028</t>
  </si>
  <si>
    <t>Duraludon</t>
  </si>
  <si>
    <t>SWSH029</t>
  </si>
  <si>
    <t>SWSH030</t>
  </si>
  <si>
    <t>CopperajahV</t>
  </si>
  <si>
    <t>SWSH031</t>
  </si>
  <si>
    <t>SWSH032</t>
  </si>
  <si>
    <t>SWSH033</t>
  </si>
  <si>
    <t>Zacian</t>
  </si>
  <si>
    <t>SWSH034</t>
  </si>
  <si>
    <t>Zamazenta</t>
  </si>
  <si>
    <t>SWSH035</t>
  </si>
  <si>
    <t>SWSH036</t>
  </si>
  <si>
    <t>Arctozolt</t>
  </si>
  <si>
    <t>SWSH037</t>
  </si>
  <si>
    <t>SWSH038</t>
  </si>
  <si>
    <t>SWSH039</t>
  </si>
  <si>
    <t>SWSH040</t>
  </si>
  <si>
    <t>Hatenna</t>
  </si>
  <si>
    <t>SWSH041</t>
  </si>
  <si>
    <t>SWSH042</t>
  </si>
  <si>
    <t>SWSH043</t>
  </si>
  <si>
    <t>Galarian Sirfetch'dV</t>
  </si>
  <si>
    <t>SWSH044</t>
  </si>
  <si>
    <t>EternatusV</t>
  </si>
  <si>
    <t>SWSH045</t>
  </si>
  <si>
    <t>EternatusVMAX</t>
  </si>
  <si>
    <t>SWSH046</t>
  </si>
  <si>
    <t>Eldegoss</t>
  </si>
  <si>
    <t>SWSH047</t>
  </si>
  <si>
    <t>Drednaw</t>
  </si>
  <si>
    <t>SWSH048</t>
  </si>
  <si>
    <t>Centiskorch</t>
  </si>
  <si>
    <t>SWSH049</t>
  </si>
  <si>
    <t>DubwoolV</t>
  </si>
  <si>
    <t>SWSH050</t>
  </si>
  <si>
    <t>CharizardV</t>
  </si>
  <si>
    <t>SWSH051</t>
  </si>
  <si>
    <t>SWSH052</t>
  </si>
  <si>
    <t>SWSH053</t>
  </si>
  <si>
    <t>SWSH054</t>
  </si>
  <si>
    <t>Coalossal</t>
  </si>
  <si>
    <t>SWSH055</t>
  </si>
  <si>
    <t>HattereneV</t>
  </si>
  <si>
    <t>SWSH056</t>
  </si>
  <si>
    <t>MorpekoV</t>
  </si>
  <si>
    <t>SWSH057</t>
  </si>
  <si>
    <t>GrimmsnarlV</t>
  </si>
  <si>
    <t>SWSH058</t>
  </si>
  <si>
    <t>Alcremie</t>
  </si>
  <si>
    <t>SWSH059</t>
  </si>
  <si>
    <t>Galarian Obstagoon</t>
  </si>
  <si>
    <t>SWSH060</t>
  </si>
  <si>
    <t>SWSH061</t>
  </si>
  <si>
    <t>PikachuV</t>
  </si>
  <si>
    <t>SWSH062</t>
  </si>
  <si>
    <t>PikachuVMAX</t>
  </si>
  <si>
    <t>SWSH063</t>
  </si>
  <si>
    <t>SWSH064</t>
  </si>
  <si>
    <t>SWSH065</t>
  </si>
  <si>
    <t>EeveeV</t>
  </si>
  <si>
    <t>SWSH066</t>
  </si>
  <si>
    <t>SWSH067</t>
  </si>
  <si>
    <t>SWSH068</t>
  </si>
  <si>
    <t>SWSH069</t>
  </si>
  <si>
    <t>SWSH070</t>
  </si>
  <si>
    <t>SWSH071</t>
  </si>
  <si>
    <t>SWSH072</t>
  </si>
  <si>
    <t>SWSH073</t>
  </si>
  <si>
    <t>SWSH074</t>
  </si>
  <si>
    <t>Special Delivery Pikachu</t>
  </si>
  <si>
    <t>SWSH075</t>
  </si>
  <si>
    <t>Special Delivery Charizard</t>
  </si>
  <si>
    <t>SWSH076</t>
  </si>
  <si>
    <t>SWSH077</t>
  </si>
  <si>
    <t>SWSH078</t>
  </si>
  <si>
    <t>OrbeetleV</t>
  </si>
  <si>
    <t>SWSH079</t>
  </si>
  <si>
    <t>Galarian Mr. Rime</t>
  </si>
  <si>
    <t>SWSH080</t>
  </si>
  <si>
    <t>SWSH081</t>
  </si>
  <si>
    <t>Polteageist</t>
  </si>
  <si>
    <t>SWSH082</t>
  </si>
  <si>
    <t>SWSH083</t>
  </si>
  <si>
    <t>AlakazamV</t>
  </si>
  <si>
    <t>SWSH084</t>
  </si>
  <si>
    <t>EldegossV</t>
  </si>
  <si>
    <t>SWSH085</t>
  </si>
  <si>
    <t>BoltundV</t>
  </si>
  <si>
    <t>SWSH086</t>
  </si>
  <si>
    <t>CramorantV</t>
  </si>
  <si>
    <t>SWSH087</t>
  </si>
  <si>
    <t>EeveeVMAX</t>
  </si>
  <si>
    <t>SWSH088</t>
  </si>
  <si>
    <t>SWSH089</t>
  </si>
  <si>
    <t>SWSH090</t>
  </si>
  <si>
    <t>SWSH091</t>
  </si>
  <si>
    <t>SWSH092</t>
  </si>
  <si>
    <t>SWSH093</t>
  </si>
  <si>
    <t>Arrokuda</t>
  </si>
  <si>
    <t>SWSH094</t>
  </si>
  <si>
    <t>SWSH095</t>
  </si>
  <si>
    <t>SWSH096</t>
  </si>
  <si>
    <t>DragapultV</t>
  </si>
  <si>
    <t>SWSH097</t>
  </si>
  <si>
    <t>DragapultVMAX</t>
  </si>
  <si>
    <t>SWSH098</t>
  </si>
  <si>
    <t>CrobatV</t>
  </si>
  <si>
    <t>SWSH099</t>
  </si>
  <si>
    <t>CrobatVMAX</t>
  </si>
  <si>
    <t>SWSH100</t>
  </si>
  <si>
    <t>VenusaurV</t>
  </si>
  <si>
    <t>SWSH101</t>
  </si>
  <si>
    <t>BlastoiseV</t>
  </si>
  <si>
    <t>SWSH102</t>
  </si>
  <si>
    <t>VenusaurVMAX</t>
  </si>
  <si>
    <t>SWSH103</t>
  </si>
  <si>
    <t>BlastoiseVMAX</t>
  </si>
  <si>
    <t>SWSH104</t>
  </si>
  <si>
    <t>VictiniV</t>
  </si>
  <si>
    <t>SWSH105</t>
  </si>
  <si>
    <t>GardevoirV</t>
  </si>
  <si>
    <t>SWSH106</t>
  </si>
  <si>
    <t>Single Strike UrshifuV</t>
  </si>
  <si>
    <t>SWSH107</t>
  </si>
  <si>
    <t>Rapid Strike UrshifuV</t>
  </si>
  <si>
    <t>SWSH108</t>
  </si>
  <si>
    <t>EmpoleonV</t>
  </si>
  <si>
    <t>SWSH109</t>
  </si>
  <si>
    <t>TyranitarV</t>
  </si>
  <si>
    <t>SWSH110</t>
  </si>
  <si>
    <t>SWSH111</t>
  </si>
  <si>
    <t>Galarian RapidashV</t>
  </si>
  <si>
    <t>SWSH112</t>
  </si>
  <si>
    <t>Cinderace</t>
  </si>
  <si>
    <t>SWSH113</t>
  </si>
  <si>
    <t>Inteleon</t>
  </si>
  <si>
    <t>SWSH114</t>
  </si>
  <si>
    <t>SWSH115</t>
  </si>
  <si>
    <t>SWSH116</t>
  </si>
  <si>
    <t>SWSH117</t>
  </si>
  <si>
    <t>SWSH118</t>
  </si>
  <si>
    <t>SWSH119</t>
  </si>
  <si>
    <t>SWSH120</t>
  </si>
  <si>
    <t>Marnie</t>
  </si>
  <si>
    <t>SWSH121</t>
  </si>
  <si>
    <t>SWSH122</t>
  </si>
  <si>
    <t>SWSH123</t>
  </si>
  <si>
    <t>Galarian Articuno</t>
  </si>
  <si>
    <t>SWSH124</t>
  </si>
  <si>
    <t>Galarian Zapdos</t>
  </si>
  <si>
    <t>SWSH125</t>
  </si>
  <si>
    <t>Galarian Moltres</t>
  </si>
  <si>
    <t>SWSH126</t>
  </si>
  <si>
    <t>Galarian Slowpoke</t>
  </si>
  <si>
    <t>SWSH127</t>
  </si>
  <si>
    <t>SWSH128</t>
  </si>
  <si>
    <t>Eiscue</t>
  </si>
  <si>
    <t>SWSH129</t>
  </si>
  <si>
    <t>SWSH130</t>
  </si>
  <si>
    <t>Ice Rider CalyrexV</t>
  </si>
  <si>
    <t>SWSH131</t>
  </si>
  <si>
    <t>Shadow Rider CalyrexV</t>
  </si>
  <si>
    <t>SWSH132</t>
  </si>
  <si>
    <t>Dragapult</t>
  </si>
  <si>
    <t>SWSH133</t>
  </si>
  <si>
    <t>Lance's CharizardV</t>
  </si>
  <si>
    <t>SWSH134</t>
  </si>
  <si>
    <t>Dark SylveonV</t>
  </si>
  <si>
    <t>SWSH135</t>
  </si>
  <si>
    <t>Zacian LV.X</t>
  </si>
  <si>
    <t>SWSH136</t>
  </si>
  <si>
    <t>Mimikyu δ</t>
  </si>
  <si>
    <t>SWSH137</t>
  </si>
  <si>
    <t>Light Toxtricity</t>
  </si>
  <si>
    <t>SWSH138</t>
  </si>
  <si>
    <t>SWSH139</t>
  </si>
  <si>
    <t>PikachuVUNION</t>
  </si>
  <si>
    <t>SWSH140</t>
  </si>
  <si>
    <t>SWSH141</t>
  </si>
  <si>
    <t>SWSH142</t>
  </si>
  <si>
    <t>SWSH143</t>
  </si>
  <si>
    <t>SWSH144</t>
  </si>
  <si>
    <t>Greninja*</t>
  </si>
  <si>
    <t>SWSH145</t>
  </si>
  <si>
    <t>SWSH146</t>
  </si>
  <si>
    <t>Poke Ball</t>
  </si>
  <si>
    <t>SWSH147</t>
  </si>
  <si>
    <t>RayquazaV</t>
  </si>
  <si>
    <t>SWSH148</t>
  </si>
  <si>
    <t>NoivernV</t>
  </si>
  <si>
    <t>SWSH149</t>
  </si>
  <si>
    <t>FlareonV</t>
  </si>
  <si>
    <t>SWSH150</t>
  </si>
  <si>
    <t>VaporeonV</t>
  </si>
  <si>
    <t>SWSH151</t>
  </si>
  <si>
    <t>JolteonV</t>
  </si>
  <si>
    <t>SWSH152</t>
  </si>
  <si>
    <t>Professor's Research</t>
  </si>
  <si>
    <t>SWSH153</t>
  </si>
  <si>
    <t>SWSH154</t>
  </si>
  <si>
    <t>DragoniteV</t>
  </si>
  <si>
    <t>SWSH155</t>
  </si>
  <si>
    <t>GreninjaVUNION</t>
  </si>
  <si>
    <t>SWSH156</t>
  </si>
  <si>
    <t>SWSH157</t>
  </si>
  <si>
    <t>SWSH158</t>
  </si>
  <si>
    <t>SWSH159</t>
  </si>
  <si>
    <t>MewtwoVUNION</t>
  </si>
  <si>
    <t>SWSH160</t>
  </si>
  <si>
    <t>SWSH161</t>
  </si>
  <si>
    <t>SWSH162</t>
  </si>
  <si>
    <t>SWSH163</t>
  </si>
  <si>
    <t>ZacianVUNION</t>
  </si>
  <si>
    <t>SWSH164</t>
  </si>
  <si>
    <t>SWSH165</t>
  </si>
  <si>
    <t>SWSH166</t>
  </si>
  <si>
    <t>SWSH167</t>
  </si>
  <si>
    <t>Professor Burnet</t>
  </si>
  <si>
    <t>SWSH168</t>
  </si>
  <si>
    <t>SWSH169</t>
  </si>
  <si>
    <t>SWSH170</t>
  </si>
  <si>
    <t>SWSH171</t>
  </si>
  <si>
    <t>SWSH172</t>
  </si>
  <si>
    <t>SWSH173</t>
  </si>
  <si>
    <t>SWSH174</t>
  </si>
  <si>
    <t>SWSH175</t>
  </si>
  <si>
    <t>SWSH176</t>
  </si>
  <si>
    <t>HoopaV</t>
  </si>
  <si>
    <t>SWSH177</t>
  </si>
  <si>
    <t>Special Delivery Bidoof</t>
  </si>
  <si>
    <t>SWSH178</t>
  </si>
  <si>
    <t>SWSH179</t>
  </si>
  <si>
    <t>SWSH180</t>
  </si>
  <si>
    <t>FlareonVMAX</t>
  </si>
  <si>
    <t>SWSH181</t>
  </si>
  <si>
    <t>SWSH182</t>
  </si>
  <si>
    <t>VaporeonVMAX</t>
  </si>
  <si>
    <t>SWSH183</t>
  </si>
  <si>
    <t>SWSH184</t>
  </si>
  <si>
    <t>JolteonVMAX</t>
  </si>
  <si>
    <t>SWSH185</t>
  </si>
  <si>
    <t>SWSH186</t>
  </si>
  <si>
    <t>SWSH187</t>
  </si>
  <si>
    <t>SWSH188</t>
  </si>
  <si>
    <t>SWSH189</t>
  </si>
  <si>
    <t>Flapple</t>
  </si>
  <si>
    <t>SWSH190</t>
  </si>
  <si>
    <t>SWSH191</t>
  </si>
  <si>
    <t>SWSH192</t>
  </si>
  <si>
    <t>SWSH193</t>
  </si>
  <si>
    <t>SWSH194</t>
  </si>
  <si>
    <t>LeafeonV</t>
  </si>
  <si>
    <t>SWSH195</t>
  </si>
  <si>
    <t>LeafeonVSTAR</t>
  </si>
  <si>
    <t>SWSH196</t>
  </si>
  <si>
    <t>GlaceonV</t>
  </si>
  <si>
    <t>SWSH197</t>
  </si>
  <si>
    <t>GlaceonVSTAR</t>
  </si>
  <si>
    <t>SWSH198</t>
  </si>
  <si>
    <t>SWSH199</t>
  </si>
  <si>
    <t>LycanrocV</t>
  </si>
  <si>
    <t>SWSH200</t>
  </si>
  <si>
    <t>CorviknightV</t>
  </si>
  <si>
    <t>SWSH201</t>
  </si>
  <si>
    <t>EspeonV</t>
  </si>
  <si>
    <t>SWSH202</t>
  </si>
  <si>
    <t>SylveonV</t>
  </si>
  <si>
    <t>SWSH203</t>
  </si>
  <si>
    <t>UmbreonV</t>
  </si>
  <si>
    <t>SWSH204</t>
  </si>
  <si>
    <t>SWSH205</t>
  </si>
  <si>
    <t>SWSH206</t>
  </si>
  <si>
    <t>SWSH207</t>
  </si>
  <si>
    <t>SWSH208</t>
  </si>
  <si>
    <t>SWSH209</t>
  </si>
  <si>
    <t>SWSH210</t>
  </si>
  <si>
    <t>SWSH211</t>
  </si>
  <si>
    <t>SWSH212</t>
  </si>
  <si>
    <t>SWSH213</t>
  </si>
  <si>
    <t>LucarioV</t>
  </si>
  <si>
    <t>SWSH214</t>
  </si>
  <si>
    <t>LucarioVSTAR</t>
  </si>
  <si>
    <t>SWSH215</t>
  </si>
  <si>
    <t>MorpekoVUNION</t>
  </si>
  <si>
    <t>SWSH216</t>
  </si>
  <si>
    <t>SWSH217</t>
  </si>
  <si>
    <t>SWSH218</t>
  </si>
  <si>
    <t>SWSH219</t>
  </si>
  <si>
    <t>001/202</t>
  </si>
  <si>
    <t>002/202</t>
  </si>
  <si>
    <t>003/202</t>
  </si>
  <si>
    <t>004/202</t>
  </si>
  <si>
    <t>005/202</t>
  </si>
  <si>
    <t>006/202</t>
  </si>
  <si>
    <t>007/202</t>
  </si>
  <si>
    <t>008/202</t>
  </si>
  <si>
    <t>009/202</t>
  </si>
  <si>
    <t>010/202</t>
  </si>
  <si>
    <t>011/202</t>
  </si>
  <si>
    <t>012/202</t>
  </si>
  <si>
    <t>Thwackey</t>
  </si>
  <si>
    <t>013/202</t>
  </si>
  <si>
    <t>014/202</t>
  </si>
  <si>
    <t>Rillaboom</t>
  </si>
  <si>
    <t>015/202</t>
  </si>
  <si>
    <t>016/202</t>
  </si>
  <si>
    <t>Blipbug</t>
  </si>
  <si>
    <t>017/202</t>
  </si>
  <si>
    <t>018/202</t>
  </si>
  <si>
    <t>Dottler</t>
  </si>
  <si>
    <t>019/202</t>
  </si>
  <si>
    <t>Orbeetle</t>
  </si>
  <si>
    <t>020/202</t>
  </si>
  <si>
    <t>021/202</t>
  </si>
  <si>
    <t>022/202</t>
  </si>
  <si>
    <t>023/202</t>
  </si>
  <si>
    <t>024/202</t>
  </si>
  <si>
    <t>025/202</t>
  </si>
  <si>
    <t>026/202</t>
  </si>
  <si>
    <t>027/202</t>
  </si>
  <si>
    <t>028/202</t>
  </si>
  <si>
    <t>029/202</t>
  </si>
  <si>
    <t>030/202</t>
  </si>
  <si>
    <t>031/202</t>
  </si>
  <si>
    <t>032/202</t>
  </si>
  <si>
    <t>Raboot</t>
  </si>
  <si>
    <t>033/202</t>
  </si>
  <si>
    <t>034/202</t>
  </si>
  <si>
    <t>035/202</t>
  </si>
  <si>
    <t>036/202</t>
  </si>
  <si>
    <t>037/202</t>
  </si>
  <si>
    <t>Sizzlipede</t>
  </si>
  <si>
    <t>038/202</t>
  </si>
  <si>
    <t>039/202</t>
  </si>
  <si>
    <t>040/202</t>
  </si>
  <si>
    <t>041/202</t>
  </si>
  <si>
    <t>042/202</t>
  </si>
  <si>
    <t>043/202</t>
  </si>
  <si>
    <t>044/202</t>
  </si>
  <si>
    <t>045/202</t>
  </si>
  <si>
    <t>046/202</t>
  </si>
  <si>
    <t>047/202</t>
  </si>
  <si>
    <t>048/202</t>
  </si>
  <si>
    <t>049/202</t>
  </si>
  <si>
    <t>050/202</t>
  </si>
  <si>
    <t>051/202</t>
  </si>
  <si>
    <t>052/202</t>
  </si>
  <si>
    <t>053/202</t>
  </si>
  <si>
    <t>054/202</t>
  </si>
  <si>
    <t>055/202</t>
  </si>
  <si>
    <t>056/202</t>
  </si>
  <si>
    <t>Drizzile</t>
  </si>
  <si>
    <t>057/202</t>
  </si>
  <si>
    <t>058/202</t>
  </si>
  <si>
    <t>059/202</t>
  </si>
  <si>
    <t>060/202</t>
  </si>
  <si>
    <t>Chewtle</t>
  </si>
  <si>
    <t>061/202</t>
  </si>
  <si>
    <t>062/202</t>
  </si>
  <si>
    <t>Cramorant</t>
  </si>
  <si>
    <t>063/202</t>
  </si>
  <si>
    <t>Snom</t>
  </si>
  <si>
    <t>064/202</t>
  </si>
  <si>
    <t>Frosmoth</t>
  </si>
  <si>
    <t>065/202</t>
  </si>
  <si>
    <t>066/202</t>
  </si>
  <si>
    <t>067/202</t>
  </si>
  <si>
    <t>068/202</t>
  </si>
  <si>
    <t>069/202</t>
  </si>
  <si>
    <t>070/202</t>
  </si>
  <si>
    <t>071/202</t>
  </si>
  <si>
    <t>072/202</t>
  </si>
  <si>
    <t>073/202</t>
  </si>
  <si>
    <t>Yamper</t>
  </si>
  <si>
    <t>074/202</t>
  </si>
  <si>
    <t>075/202</t>
  </si>
  <si>
    <t>Boltund</t>
  </si>
  <si>
    <t>076/202</t>
  </si>
  <si>
    <t>077/202</t>
  </si>
  <si>
    <t>Pincurchin</t>
  </si>
  <si>
    <t>078/202</t>
  </si>
  <si>
    <t>079/202</t>
  </si>
  <si>
    <t>080/202</t>
  </si>
  <si>
    <t>081/202</t>
  </si>
  <si>
    <t>082/202</t>
  </si>
  <si>
    <t>Galarian Rapidash</t>
  </si>
  <si>
    <t>083/202</t>
  </si>
  <si>
    <t>084/202</t>
  </si>
  <si>
    <t>085/202</t>
  </si>
  <si>
    <t>086/202</t>
  </si>
  <si>
    <t>087/202</t>
  </si>
  <si>
    <t>088/202</t>
  </si>
  <si>
    <t>089/202</t>
  </si>
  <si>
    <t>Sinistea</t>
  </si>
  <si>
    <t>090/202</t>
  </si>
  <si>
    <t>091/202</t>
  </si>
  <si>
    <t>092/202</t>
  </si>
  <si>
    <t>093/202</t>
  </si>
  <si>
    <t>094/202</t>
  </si>
  <si>
    <t>095/202</t>
  </si>
  <si>
    <t>096/202</t>
  </si>
  <si>
    <t>097/202</t>
  </si>
  <si>
    <t>098/202</t>
  </si>
  <si>
    <t>099/202</t>
  </si>
  <si>
    <t>100/202</t>
  </si>
  <si>
    <t>101/202</t>
  </si>
  <si>
    <t>102/202</t>
  </si>
  <si>
    <t>103/202</t>
  </si>
  <si>
    <t>104/202</t>
  </si>
  <si>
    <t>105/202</t>
  </si>
  <si>
    <t>106/202</t>
  </si>
  <si>
    <t>107/202</t>
  </si>
  <si>
    <t>Silicobra</t>
  </si>
  <si>
    <t>108/202</t>
  </si>
  <si>
    <t>109/202</t>
  </si>
  <si>
    <t>Sandaconda</t>
  </si>
  <si>
    <t>110/202</t>
  </si>
  <si>
    <t>111/202</t>
  </si>
  <si>
    <t>Clobbopus</t>
  </si>
  <si>
    <t>112/202</t>
  </si>
  <si>
    <t>113/202</t>
  </si>
  <si>
    <t>Grapploct</t>
  </si>
  <si>
    <t>114/202</t>
  </si>
  <si>
    <t>Stonjourner</t>
  </si>
  <si>
    <t>115/202</t>
  </si>
  <si>
    <t>116/202</t>
  </si>
  <si>
    <t>117/202</t>
  </si>
  <si>
    <t>Galarian Zigzagoon</t>
  </si>
  <si>
    <t>118/202</t>
  </si>
  <si>
    <t>Galarian Linoone</t>
  </si>
  <si>
    <t>119/202</t>
  </si>
  <si>
    <t>120/202</t>
  </si>
  <si>
    <t>121/202</t>
  </si>
  <si>
    <t>122/202</t>
  </si>
  <si>
    <t>123/202</t>
  </si>
  <si>
    <t>124/202</t>
  </si>
  <si>
    <t>125/202</t>
  </si>
  <si>
    <t>Nickit</t>
  </si>
  <si>
    <t>126/202</t>
  </si>
  <si>
    <t>Thievul</t>
  </si>
  <si>
    <t>127/202</t>
  </si>
  <si>
    <t>Galarian Meowth</t>
  </si>
  <si>
    <t>128/202</t>
  </si>
  <si>
    <t>Galarian Perrserker</t>
  </si>
  <si>
    <t>129/202</t>
  </si>
  <si>
    <t>130/202</t>
  </si>
  <si>
    <t>131/202</t>
  </si>
  <si>
    <t>132/202</t>
  </si>
  <si>
    <t>Galarian Stunfisk</t>
  </si>
  <si>
    <t>133/202</t>
  </si>
  <si>
    <t>134/202</t>
  </si>
  <si>
    <t>135/202</t>
  </si>
  <si>
    <t>Corviknight</t>
  </si>
  <si>
    <t>136/202</t>
  </si>
  <si>
    <t>Cufant</t>
  </si>
  <si>
    <t>137/202</t>
  </si>
  <si>
    <t>Copperajah</t>
  </si>
  <si>
    <t>138/202</t>
  </si>
  <si>
    <t>139/202</t>
  </si>
  <si>
    <t>140/202</t>
  </si>
  <si>
    <t>141/202</t>
  </si>
  <si>
    <t>142/202</t>
  </si>
  <si>
    <t>143/202</t>
  </si>
  <si>
    <t>144/202</t>
  </si>
  <si>
    <t>145/202</t>
  </si>
  <si>
    <t>146/202</t>
  </si>
  <si>
    <t>147/202</t>
  </si>
  <si>
    <t>148/202</t>
  </si>
  <si>
    <t>149/202</t>
  </si>
  <si>
    <t>150/202</t>
  </si>
  <si>
    <t>Rookidee</t>
  </si>
  <si>
    <t>151/202</t>
  </si>
  <si>
    <t>Corvisquire</t>
  </si>
  <si>
    <t>152/202</t>
  </si>
  <si>
    <t>153/202</t>
  </si>
  <si>
    <t>154/202</t>
  </si>
  <si>
    <t>Dubwool</t>
  </si>
  <si>
    <t>155/202</t>
  </si>
  <si>
    <t>156/202</t>
  </si>
  <si>
    <t>Air Balloon</t>
  </si>
  <si>
    <t>157/202</t>
  </si>
  <si>
    <t>Bede</t>
  </si>
  <si>
    <t>158/202</t>
  </si>
  <si>
    <t>Big Charm</t>
  </si>
  <si>
    <t>159/202</t>
  </si>
  <si>
    <t>160/202</t>
  </si>
  <si>
    <t>161/202</t>
  </si>
  <si>
    <t>162/202</t>
  </si>
  <si>
    <t>163/202</t>
  </si>
  <si>
    <t>Evolution Incense</t>
  </si>
  <si>
    <t>164/202</t>
  </si>
  <si>
    <t>165/202</t>
  </si>
  <si>
    <t>Hop</t>
  </si>
  <si>
    <t>166/202</t>
  </si>
  <si>
    <t>167/202</t>
  </si>
  <si>
    <t>168/202</t>
  </si>
  <si>
    <t>169/202</t>
  </si>
  <si>
    <t>170/202</t>
  </si>
  <si>
    <t>Metal Saucer</t>
  </si>
  <si>
    <t>171/202</t>
  </si>
  <si>
    <t>Ordinary Rod</t>
  </si>
  <si>
    <t>172/202</t>
  </si>
  <si>
    <t>173/202</t>
  </si>
  <si>
    <t>Poké Kid</t>
  </si>
  <si>
    <t>174/202</t>
  </si>
  <si>
    <t>175/202</t>
  </si>
  <si>
    <t>176/202</t>
  </si>
  <si>
    <t>177/202</t>
  </si>
  <si>
    <t>178/202</t>
  </si>
  <si>
    <t>179/202</t>
  </si>
  <si>
    <t>180/202</t>
  </si>
  <si>
    <t>181/202</t>
  </si>
  <si>
    <t>Rotom Bike</t>
  </si>
  <si>
    <t>182/202</t>
  </si>
  <si>
    <t>183/202</t>
  </si>
  <si>
    <t>184/202</t>
  </si>
  <si>
    <t>Team Yell Grunt</t>
  </si>
  <si>
    <t>185/202</t>
  </si>
  <si>
    <t>Vitality Band</t>
  </si>
  <si>
    <t>186/202</t>
  </si>
  <si>
    <t>Aurora Energy</t>
  </si>
  <si>
    <t>187/202</t>
  </si>
  <si>
    <t>188/202</t>
  </si>
  <si>
    <t>189/202</t>
  </si>
  <si>
    <t>190/202</t>
  </si>
  <si>
    <t>191/202</t>
  </si>
  <si>
    <t>192/202</t>
  </si>
  <si>
    <t>193/202</t>
  </si>
  <si>
    <t>194/202</t>
  </si>
  <si>
    <t>195/202</t>
  </si>
  <si>
    <t>196/202</t>
  </si>
  <si>
    <t>197/202</t>
  </si>
  <si>
    <t>198/202</t>
  </si>
  <si>
    <t>199/202</t>
  </si>
  <si>
    <t>200/202</t>
  </si>
  <si>
    <t>201/202</t>
  </si>
  <si>
    <t>202/202</t>
  </si>
  <si>
    <t>203/202</t>
  </si>
  <si>
    <t>204/202</t>
  </si>
  <si>
    <t>205/202</t>
  </si>
  <si>
    <t>206/202</t>
  </si>
  <si>
    <t>207/202</t>
  </si>
  <si>
    <t>208/202</t>
  </si>
  <si>
    <t>209/202</t>
  </si>
  <si>
    <t>210/202</t>
  </si>
  <si>
    <t>211/202</t>
  </si>
  <si>
    <t>212/202</t>
  </si>
  <si>
    <t>213/202</t>
  </si>
  <si>
    <t>214/202</t>
  </si>
  <si>
    <t>215/202</t>
  </si>
  <si>
    <t>216/202</t>
  </si>
  <si>
    <t>001/192</t>
  </si>
  <si>
    <t>002/192</t>
  </si>
  <si>
    <t>003/192</t>
  </si>
  <si>
    <t>004/192</t>
  </si>
  <si>
    <t>005/192</t>
  </si>
  <si>
    <t>006/192</t>
  </si>
  <si>
    <t>007/192</t>
  </si>
  <si>
    <t>008/192</t>
  </si>
  <si>
    <t>009/192</t>
  </si>
  <si>
    <t>010/192</t>
  </si>
  <si>
    <t>011/192</t>
  </si>
  <si>
    <t>012/192</t>
  </si>
  <si>
    <t>013/192</t>
  </si>
  <si>
    <t>014/192</t>
  </si>
  <si>
    <t>015/192</t>
  </si>
  <si>
    <t>016/192</t>
  </si>
  <si>
    <t>017/192</t>
  </si>
  <si>
    <t>018/192</t>
  </si>
  <si>
    <t>019/192</t>
  </si>
  <si>
    <t>020/192</t>
  </si>
  <si>
    <t>Applin</t>
  </si>
  <si>
    <t>021/192</t>
  </si>
  <si>
    <t>022/192</t>
  </si>
  <si>
    <t>023/192</t>
  </si>
  <si>
    <t>Appletun</t>
  </si>
  <si>
    <t>024/192</t>
  </si>
  <si>
    <t>025/192</t>
  </si>
  <si>
    <t>026/192</t>
  </si>
  <si>
    <t>027/192</t>
  </si>
  <si>
    <t>028/192</t>
  </si>
  <si>
    <t>029/192</t>
  </si>
  <si>
    <t>030/192</t>
  </si>
  <si>
    <t>031/192</t>
  </si>
  <si>
    <t>032/192</t>
  </si>
  <si>
    <t>033/192</t>
  </si>
  <si>
    <t>034/192</t>
  </si>
  <si>
    <t>035/192</t>
  </si>
  <si>
    <t>036/192</t>
  </si>
  <si>
    <t>037/192</t>
  </si>
  <si>
    <t>Galarian Mr. Mime</t>
  </si>
  <si>
    <t>038/192</t>
  </si>
  <si>
    <t>039/192</t>
  </si>
  <si>
    <t>040/192</t>
  </si>
  <si>
    <t>041/192</t>
  </si>
  <si>
    <t>042/192</t>
  </si>
  <si>
    <t>043/192</t>
  </si>
  <si>
    <t>044/192</t>
  </si>
  <si>
    <t>045/192</t>
  </si>
  <si>
    <t>046/192</t>
  </si>
  <si>
    <t>047/192</t>
  </si>
  <si>
    <t>Galarian Darumaka</t>
  </si>
  <si>
    <t>048/192</t>
  </si>
  <si>
    <t>Galarian Darmanitan</t>
  </si>
  <si>
    <t>049/192</t>
  </si>
  <si>
    <t>050/192</t>
  </si>
  <si>
    <t>051/192</t>
  </si>
  <si>
    <t>052/192</t>
  </si>
  <si>
    <t>053/192</t>
  </si>
  <si>
    <t>Barraskewda</t>
  </si>
  <si>
    <t>054/192</t>
  </si>
  <si>
    <t>055/192</t>
  </si>
  <si>
    <t>056/192</t>
  </si>
  <si>
    <t>057/192</t>
  </si>
  <si>
    <t>058/192</t>
  </si>
  <si>
    <t>059/192</t>
  </si>
  <si>
    <t>060/192</t>
  </si>
  <si>
    <t>061/192</t>
  </si>
  <si>
    <t>062/192</t>
  </si>
  <si>
    <t>063/192</t>
  </si>
  <si>
    <t>064/192</t>
  </si>
  <si>
    <t>065/192</t>
  </si>
  <si>
    <t>066/192</t>
  </si>
  <si>
    <t>067/192</t>
  </si>
  <si>
    <t>068/192</t>
  </si>
  <si>
    <t>Toxel</t>
  </si>
  <si>
    <t>069/192</t>
  </si>
  <si>
    <t>Toxtricity</t>
  </si>
  <si>
    <t>070/192</t>
  </si>
  <si>
    <t>071/192</t>
  </si>
  <si>
    <t>072/192</t>
  </si>
  <si>
    <t>073/192</t>
  </si>
  <si>
    <t>074/192</t>
  </si>
  <si>
    <t>075/192</t>
  </si>
  <si>
    <t>076/192</t>
  </si>
  <si>
    <t>077/192</t>
  </si>
  <si>
    <t>078/192</t>
  </si>
  <si>
    <t>Galarian Corsola</t>
  </si>
  <si>
    <t>079/192</t>
  </si>
  <si>
    <t>Galarian Cursola</t>
  </si>
  <si>
    <t>080/192</t>
  </si>
  <si>
    <t>081/192</t>
  </si>
  <si>
    <t>082/192</t>
  </si>
  <si>
    <t>083/192</t>
  </si>
  <si>
    <t>084/192</t>
  </si>
  <si>
    <t>Hattrem</t>
  </si>
  <si>
    <t>085/192</t>
  </si>
  <si>
    <t>Hatterene</t>
  </si>
  <si>
    <t>086/192</t>
  </si>
  <si>
    <t>Milcery</t>
  </si>
  <si>
    <t>087/192</t>
  </si>
  <si>
    <t>088/192</t>
  </si>
  <si>
    <t>Indeedee</t>
  </si>
  <si>
    <t>089/192</t>
  </si>
  <si>
    <t>Dreepy</t>
  </si>
  <si>
    <t>090/192</t>
  </si>
  <si>
    <t>Drakloak</t>
  </si>
  <si>
    <t>091/192</t>
  </si>
  <si>
    <t>092/192</t>
  </si>
  <si>
    <t>093/192</t>
  </si>
  <si>
    <t>094/192</t>
  </si>
  <si>
    <t>Galarian Farfetch'd</t>
  </si>
  <si>
    <t>095/192</t>
  </si>
  <si>
    <t>Galarian Sirfetch’d</t>
  </si>
  <si>
    <t>096/192</t>
  </si>
  <si>
    <t>097/192</t>
  </si>
  <si>
    <t>098/192</t>
  </si>
  <si>
    <t>099/192</t>
  </si>
  <si>
    <t>100/192</t>
  </si>
  <si>
    <t>101/192</t>
  </si>
  <si>
    <t>Galarian Yamask</t>
  </si>
  <si>
    <t>102/192</t>
  </si>
  <si>
    <t>Galarian Runerigus</t>
  </si>
  <si>
    <t>103/192</t>
  </si>
  <si>
    <t>104/192</t>
  </si>
  <si>
    <t>105/192</t>
  </si>
  <si>
    <t>Rolycoly</t>
  </si>
  <si>
    <t>106/192</t>
  </si>
  <si>
    <t>Carkol</t>
  </si>
  <si>
    <t>107/192</t>
  </si>
  <si>
    <t>108/192</t>
  </si>
  <si>
    <t>109/192</t>
  </si>
  <si>
    <t>Falinks</t>
  </si>
  <si>
    <t>110/192</t>
  </si>
  <si>
    <t>111/192</t>
  </si>
  <si>
    <t>112/192</t>
  </si>
  <si>
    <t>113/192</t>
  </si>
  <si>
    <t>Galarian Weezing</t>
  </si>
  <si>
    <t>114/192</t>
  </si>
  <si>
    <t>115/192</t>
  </si>
  <si>
    <t>116/192</t>
  </si>
  <si>
    <t>117/192</t>
  </si>
  <si>
    <t>118/192</t>
  </si>
  <si>
    <t>119/192</t>
  </si>
  <si>
    <t>120/192</t>
  </si>
  <si>
    <t>121/192</t>
  </si>
  <si>
    <t>122/192</t>
  </si>
  <si>
    <t>123/192</t>
  </si>
  <si>
    <t>Impidimp</t>
  </si>
  <si>
    <t>124/192</t>
  </si>
  <si>
    <t>Morgrem</t>
  </si>
  <si>
    <t>125/192</t>
  </si>
  <si>
    <t>Grimmsnarl</t>
  </si>
  <si>
    <t>126/192</t>
  </si>
  <si>
    <t>127/192</t>
  </si>
  <si>
    <t>128/192</t>
  </si>
  <si>
    <t>129/192</t>
  </si>
  <si>
    <t>130/192</t>
  </si>
  <si>
    <t>131/192</t>
  </si>
  <si>
    <t>132/192</t>
  </si>
  <si>
    <t>133/192</t>
  </si>
  <si>
    <t>134/192</t>
  </si>
  <si>
    <t>135/192</t>
  </si>
  <si>
    <t>136/192</t>
  </si>
  <si>
    <t>137/192</t>
  </si>
  <si>
    <t>138/192</t>
  </si>
  <si>
    <t>139/192</t>
  </si>
  <si>
    <t>140/192</t>
  </si>
  <si>
    <t>141/192</t>
  </si>
  <si>
    <t>142/192</t>
  </si>
  <si>
    <t>143/192</t>
  </si>
  <si>
    <t>144/192</t>
  </si>
  <si>
    <t>145/192</t>
  </si>
  <si>
    <t>146/192</t>
  </si>
  <si>
    <t>147/192</t>
  </si>
  <si>
    <t>148/192</t>
  </si>
  <si>
    <t>149/192</t>
  </si>
  <si>
    <t>150/192</t>
  </si>
  <si>
    <t>151/192</t>
  </si>
  <si>
    <t>Skwovet</t>
  </si>
  <si>
    <t>152/192</t>
  </si>
  <si>
    <t>Greedent</t>
  </si>
  <si>
    <t>153/192</t>
  </si>
  <si>
    <t>154/192</t>
  </si>
  <si>
    <t>Boss’s Orders</t>
  </si>
  <si>
    <t>155/192</t>
  </si>
  <si>
    <t>Burning Scarf</t>
  </si>
  <si>
    <t>156/192</t>
  </si>
  <si>
    <t>Capacious Bucket</t>
  </si>
  <si>
    <t>157/192</t>
  </si>
  <si>
    <t>Cursed Shovel</t>
  </si>
  <si>
    <t>158/192</t>
  </si>
  <si>
    <t>Dan</t>
  </si>
  <si>
    <t>159/192</t>
  </si>
  <si>
    <t>160/192</t>
  </si>
  <si>
    <t>Galar Mine</t>
  </si>
  <si>
    <t>161/192</t>
  </si>
  <si>
    <t>Milo</t>
  </si>
  <si>
    <t>162/192</t>
  </si>
  <si>
    <t>Nugget</t>
  </si>
  <si>
    <t>163/192</t>
  </si>
  <si>
    <t>Oleana</t>
  </si>
  <si>
    <t>164/192</t>
  </si>
  <si>
    <t>165/192</t>
  </si>
  <si>
    <t>Scoop Up Net</t>
  </si>
  <si>
    <t>166/192</t>
  </si>
  <si>
    <t>167/192</t>
  </si>
  <si>
    <t>Sonia</t>
  </si>
  <si>
    <t>168/192</t>
  </si>
  <si>
    <t>169/192</t>
  </si>
  <si>
    <t>Training Court</t>
  </si>
  <si>
    <t>170/192</t>
  </si>
  <si>
    <t>Turffield Stadium</t>
  </si>
  <si>
    <t>171/192</t>
  </si>
  <si>
    <t>Capture Energy</t>
  </si>
  <si>
    <t>172/192</t>
  </si>
  <si>
    <t>Horror P Energy</t>
  </si>
  <si>
    <t>173/192</t>
  </si>
  <si>
    <t>Speed L Energy</t>
  </si>
  <si>
    <t>174/192</t>
  </si>
  <si>
    <t>Twin Energy</t>
  </si>
  <si>
    <t>175/192</t>
  </si>
  <si>
    <t>176/192</t>
  </si>
  <si>
    <t>177/192</t>
  </si>
  <si>
    <t>178/192</t>
  </si>
  <si>
    <t>179/192</t>
  </si>
  <si>
    <t>180/192</t>
  </si>
  <si>
    <t>181/192</t>
  </si>
  <si>
    <t>182/192</t>
  </si>
  <si>
    <t>183/192</t>
  </si>
  <si>
    <t>184/192</t>
  </si>
  <si>
    <t>185/192</t>
  </si>
  <si>
    <t>186/192</t>
  </si>
  <si>
    <t>187/192</t>
  </si>
  <si>
    <t>188/192</t>
  </si>
  <si>
    <t>189/192</t>
  </si>
  <si>
    <t>Boss's Order</t>
  </si>
  <si>
    <t>190/192</t>
  </si>
  <si>
    <t>191/192</t>
  </si>
  <si>
    <t>192/192</t>
  </si>
  <si>
    <t>193/192</t>
  </si>
  <si>
    <t>194/192</t>
  </si>
  <si>
    <t>195/192</t>
  </si>
  <si>
    <t>196/192</t>
  </si>
  <si>
    <t>197/192</t>
  </si>
  <si>
    <t>198/192</t>
  </si>
  <si>
    <t>199/192</t>
  </si>
  <si>
    <t>200/192</t>
  </si>
  <si>
    <t>Boss' Orders</t>
  </si>
  <si>
    <t>201/192</t>
  </si>
  <si>
    <t>202/192</t>
  </si>
  <si>
    <t>203/192</t>
  </si>
  <si>
    <t>204/192</t>
  </si>
  <si>
    <t>205/192</t>
  </si>
  <si>
    <t>206/192</t>
  </si>
  <si>
    <t>207/192</t>
  </si>
  <si>
    <t>208/192</t>
  </si>
  <si>
    <t>209/192</t>
  </si>
  <si>
    <t>001/189</t>
  </si>
  <si>
    <t>ButterfreeV</t>
  </si>
  <si>
    <t>002/189</t>
  </si>
  <si>
    <t>ButterfreeVMAX</t>
  </si>
  <si>
    <t>003/189</t>
  </si>
  <si>
    <t>004/189</t>
  </si>
  <si>
    <t>005/189</t>
  </si>
  <si>
    <t>006/189</t>
  </si>
  <si>
    <t>007/189</t>
  </si>
  <si>
    <t>008/189</t>
  </si>
  <si>
    <t>009/189</t>
  </si>
  <si>
    <t>010/189</t>
  </si>
  <si>
    <t>011/189</t>
  </si>
  <si>
    <t>012/189</t>
  </si>
  <si>
    <t>Dartix</t>
  </si>
  <si>
    <t>013/189</t>
  </si>
  <si>
    <t>014/189</t>
  </si>
  <si>
    <t>015/189</t>
  </si>
  <si>
    <t>016/189</t>
  </si>
  <si>
    <t>017/189</t>
  </si>
  <si>
    <t>018/189</t>
  </si>
  <si>
    <t>019/189</t>
  </si>
  <si>
    <t>020/189</t>
  </si>
  <si>
    <t>CharizardVMAX</t>
  </si>
  <si>
    <t>021/189</t>
  </si>
  <si>
    <t>HoundoomV</t>
  </si>
  <si>
    <t>022/189</t>
  </si>
  <si>
    <t>023/189</t>
  </si>
  <si>
    <t>024/189</t>
  </si>
  <si>
    <t>025/189</t>
  </si>
  <si>
    <t>026/189</t>
  </si>
  <si>
    <t>027/189</t>
  </si>
  <si>
    <t>028/189</t>
  </si>
  <si>
    <t>029/189</t>
  </si>
  <si>
    <t>030/189</t>
  </si>
  <si>
    <t>031/189</t>
  </si>
  <si>
    <t>032/189</t>
  </si>
  <si>
    <t>033/189</t>
  </si>
  <si>
    <t>CentiskorchV</t>
  </si>
  <si>
    <t>034/189</t>
  </si>
  <si>
    <t>CentiskorchVMAX</t>
  </si>
  <si>
    <t>035/189</t>
  </si>
  <si>
    <t>036/189</t>
  </si>
  <si>
    <t>037/189</t>
  </si>
  <si>
    <t>038/189</t>
  </si>
  <si>
    <t>039/189</t>
  </si>
  <si>
    <t>040/189</t>
  </si>
  <si>
    <t>041/189</t>
  </si>
  <si>
    <t>042/189</t>
  </si>
  <si>
    <t>043/189</t>
  </si>
  <si>
    <t>044/189</t>
  </si>
  <si>
    <t>045/189</t>
  </si>
  <si>
    <t>046/189</t>
  </si>
  <si>
    <t>047/189</t>
  </si>
  <si>
    <t>048/189</t>
  </si>
  <si>
    <t>049/189</t>
  </si>
  <si>
    <t>050/189</t>
  </si>
  <si>
    <t>051/189</t>
  </si>
  <si>
    <t>052/189</t>
  </si>
  <si>
    <t>053/189</t>
  </si>
  <si>
    <t>Dracovish</t>
  </si>
  <si>
    <t>054/189</t>
  </si>
  <si>
    <t>Arctovish</t>
  </si>
  <si>
    <t>055/189</t>
  </si>
  <si>
    <t>056/189</t>
  </si>
  <si>
    <t>057/189</t>
  </si>
  <si>
    <t>058/189</t>
  </si>
  <si>
    <t>059/189</t>
  </si>
  <si>
    <t>060/189</t>
  </si>
  <si>
    <t>VikavoltV</t>
  </si>
  <si>
    <t>061/189</t>
  </si>
  <si>
    <t>062/189</t>
  </si>
  <si>
    <t>063/189</t>
  </si>
  <si>
    <t>064/189</t>
  </si>
  <si>
    <t>065/189</t>
  </si>
  <si>
    <t>Dracozolt</t>
  </si>
  <si>
    <t>066/189</t>
  </si>
  <si>
    <t>067/189</t>
  </si>
  <si>
    <t>068/189</t>
  </si>
  <si>
    <t>069/189</t>
  </si>
  <si>
    <t>MewV</t>
  </si>
  <si>
    <t>070/189</t>
  </si>
  <si>
    <t>071/189</t>
  </si>
  <si>
    <t>072/189</t>
  </si>
  <si>
    <t>073/189</t>
  </si>
  <si>
    <t>074/189</t>
  </si>
  <si>
    <t>075/189</t>
  </si>
  <si>
    <t>076/189</t>
  </si>
  <si>
    <t>077/189</t>
  </si>
  <si>
    <t>078/189</t>
  </si>
  <si>
    <t>079/189</t>
  </si>
  <si>
    <t>080/189</t>
  </si>
  <si>
    <t>081/189</t>
  </si>
  <si>
    <t>082/189</t>
  </si>
  <si>
    <t>083/189</t>
  </si>
  <si>
    <t>084/189</t>
  </si>
  <si>
    <t>085/189</t>
  </si>
  <si>
    <t>086/189</t>
  </si>
  <si>
    <t>087/189</t>
  </si>
  <si>
    <t>088/189</t>
  </si>
  <si>
    <t>089/189</t>
  </si>
  <si>
    <t>090/189</t>
  </si>
  <si>
    <t>091/189</t>
  </si>
  <si>
    <t>092/189</t>
  </si>
  <si>
    <t>093/189</t>
  </si>
  <si>
    <t>094/189</t>
  </si>
  <si>
    <t>095/189</t>
  </si>
  <si>
    <t>RhyperiorV</t>
  </si>
  <si>
    <t>096/189</t>
  </si>
  <si>
    <t>097/189</t>
  </si>
  <si>
    <t>098/189</t>
  </si>
  <si>
    <t>Galarian Sirfetch'd</t>
  </si>
  <si>
    <t>099/189</t>
  </si>
  <si>
    <t>Galarian SlowbroV</t>
  </si>
  <si>
    <t>100/189</t>
  </si>
  <si>
    <t>101/189</t>
  </si>
  <si>
    <t>102/189</t>
  </si>
  <si>
    <t>103/189</t>
  </si>
  <si>
    <t>104/189</t>
  </si>
  <si>
    <t>105/189</t>
  </si>
  <si>
    <t>106/189</t>
  </si>
  <si>
    <t>107/189</t>
  </si>
  <si>
    <t>108/189</t>
  </si>
  <si>
    <t>109/189</t>
  </si>
  <si>
    <t>110/189</t>
  </si>
  <si>
    <t>111/189</t>
  </si>
  <si>
    <t>112/189</t>
  </si>
  <si>
    <t>113/189</t>
  </si>
  <si>
    <t>114/189</t>
  </si>
  <si>
    <t>115/189</t>
  </si>
  <si>
    <t>GrimmsnarlVMAX</t>
  </si>
  <si>
    <t>116/189</t>
  </si>
  <si>
    <t>117/189</t>
  </si>
  <si>
    <t>118/189</t>
  </si>
  <si>
    <t>ScizorV</t>
  </si>
  <si>
    <t>119/189</t>
  </si>
  <si>
    <t>ScizorVMAX</t>
  </si>
  <si>
    <t>120/189</t>
  </si>
  <si>
    <t>121/189</t>
  </si>
  <si>
    <t>122/189</t>
  </si>
  <si>
    <t>123/189</t>
  </si>
  <si>
    <t>124/189</t>
  </si>
  <si>
    <t>125/189</t>
  </si>
  <si>
    <t>126/189</t>
  </si>
  <si>
    <t>127/189</t>
  </si>
  <si>
    <t>128/189</t>
  </si>
  <si>
    <t>StunfiskV</t>
  </si>
  <si>
    <t>129/189</t>
  </si>
  <si>
    <t>130/189</t>
  </si>
  <si>
    <t>131/189</t>
  </si>
  <si>
    <t>132/189</t>
  </si>
  <si>
    <t>133/189</t>
  </si>
  <si>
    <t>134/189</t>
  </si>
  <si>
    <t>135/189</t>
  </si>
  <si>
    <t>136/189</t>
  </si>
  <si>
    <t>137/189</t>
  </si>
  <si>
    <t>138/189</t>
  </si>
  <si>
    <t>139/189</t>
  </si>
  <si>
    <t>140/189</t>
  </si>
  <si>
    <t>141/189</t>
  </si>
  <si>
    <t>142/189</t>
  </si>
  <si>
    <t>143/189</t>
  </si>
  <si>
    <t>SalamenceV</t>
  </si>
  <si>
    <t>144/189</t>
  </si>
  <si>
    <t>SalamenceVMAX</t>
  </si>
  <si>
    <t>145/189</t>
  </si>
  <si>
    <t>146/189</t>
  </si>
  <si>
    <t>147/189</t>
  </si>
  <si>
    <t>148/189</t>
  </si>
  <si>
    <t>149/189</t>
  </si>
  <si>
    <t>150/189</t>
  </si>
  <si>
    <t>151/189</t>
  </si>
  <si>
    <t>152/189</t>
  </si>
  <si>
    <t>153/189</t>
  </si>
  <si>
    <t>154/189</t>
  </si>
  <si>
    <t>155/189</t>
  </si>
  <si>
    <t>156/189</t>
  </si>
  <si>
    <t>157/189</t>
  </si>
  <si>
    <t>Big Parasol</t>
  </si>
  <si>
    <t>158/189</t>
  </si>
  <si>
    <t>Billowing Smoke</t>
  </si>
  <si>
    <t>159/189</t>
  </si>
  <si>
    <t>Bird Keeper</t>
  </si>
  <si>
    <t>160/189</t>
  </si>
  <si>
    <t>Cape of Toughness</t>
  </si>
  <si>
    <t>161/189</t>
  </si>
  <si>
    <t>Familiar Bell</t>
  </si>
  <si>
    <t>162/189</t>
  </si>
  <si>
    <t>Glimwood Tangle</t>
  </si>
  <si>
    <t>163/189</t>
  </si>
  <si>
    <t>Kabu</t>
  </si>
  <si>
    <t>164/189</t>
  </si>
  <si>
    <t>Old PC</t>
  </si>
  <si>
    <t>165/189</t>
  </si>
  <si>
    <t>Piers</t>
  </si>
  <si>
    <t>166/189</t>
  </si>
  <si>
    <t>Pokemon Breeder's Nurturing</t>
  </si>
  <si>
    <t>167/189</t>
  </si>
  <si>
    <t>Rare Fossil</t>
  </si>
  <si>
    <t>168/189</t>
  </si>
  <si>
    <t>Rose</t>
  </si>
  <si>
    <t>169/189</t>
  </si>
  <si>
    <t>Rose Tower</t>
  </si>
  <si>
    <t>170/189</t>
  </si>
  <si>
    <t>Spikemuth</t>
  </si>
  <si>
    <t>171/189</t>
  </si>
  <si>
    <t>Struggle Gloves</t>
  </si>
  <si>
    <t>172/189</t>
  </si>
  <si>
    <t>Turbo Patch</t>
  </si>
  <si>
    <t>173/189</t>
  </si>
  <si>
    <t>Yell Horn</t>
  </si>
  <si>
    <t>174/189</t>
  </si>
  <si>
    <t>Heat F Energy</t>
  </si>
  <si>
    <t>175/189</t>
  </si>
  <si>
    <t>Hiding D Energy</t>
  </si>
  <si>
    <t>176/189</t>
  </si>
  <si>
    <t>Powerful C Energy</t>
  </si>
  <si>
    <t>177/189</t>
  </si>
  <si>
    <t>178/189</t>
  </si>
  <si>
    <t>179/189</t>
  </si>
  <si>
    <t>180/189</t>
  </si>
  <si>
    <t>181/189</t>
  </si>
  <si>
    <t>182/189</t>
  </si>
  <si>
    <t>183/189</t>
  </si>
  <si>
    <t>184/189</t>
  </si>
  <si>
    <t>Galarian StunfiskV</t>
  </si>
  <si>
    <t>185/189</t>
  </si>
  <si>
    <t>186/189</t>
  </si>
  <si>
    <t>187/189</t>
  </si>
  <si>
    <t>188/189</t>
  </si>
  <si>
    <t>189/189</t>
  </si>
  <si>
    <t>190/189</t>
  </si>
  <si>
    <t>191/189</t>
  </si>
  <si>
    <t>192/189</t>
  </si>
  <si>
    <t>193/189</t>
  </si>
  <si>
    <t>194/189</t>
  </si>
  <si>
    <t>195/189</t>
  </si>
  <si>
    <t>196/189</t>
  </si>
  <si>
    <t>197/189</t>
  </si>
  <si>
    <t>198/189</t>
  </si>
  <si>
    <t>199/189</t>
  </si>
  <si>
    <t>200/189</t>
  </si>
  <si>
    <t>201/189</t>
  </si>
  <si>
    <t>001/073</t>
  </si>
  <si>
    <t>002/073</t>
  </si>
  <si>
    <t>003/073</t>
  </si>
  <si>
    <t>004/073</t>
  </si>
  <si>
    <t>005/073</t>
  </si>
  <si>
    <t>006/073</t>
  </si>
  <si>
    <t>007/073</t>
  </si>
  <si>
    <t>008/073</t>
  </si>
  <si>
    <t>IncineroarV</t>
  </si>
  <si>
    <t>009/073</t>
  </si>
  <si>
    <t>010/073</t>
  </si>
  <si>
    <t>011/073</t>
  </si>
  <si>
    <t>012/073</t>
  </si>
  <si>
    <t>013/073</t>
  </si>
  <si>
    <t>WailordV</t>
  </si>
  <si>
    <t>014/073</t>
  </si>
  <si>
    <t>DrednawV</t>
  </si>
  <si>
    <t>015/073</t>
  </si>
  <si>
    <t>DrednawVMAX</t>
  </si>
  <si>
    <t>016/073</t>
  </si>
  <si>
    <t>017/073</t>
  </si>
  <si>
    <t>GardevoirVMAX</t>
  </si>
  <si>
    <t>018/073</t>
  </si>
  <si>
    <t>019/073</t>
  </si>
  <si>
    <t>020/073</t>
  </si>
  <si>
    <t>021/073</t>
  </si>
  <si>
    <t>022/073</t>
  </si>
  <si>
    <t>AlcremieV</t>
  </si>
  <si>
    <t>023/073</t>
  </si>
  <si>
    <t>AlcremieVMAX</t>
  </si>
  <si>
    <t>024/073</t>
  </si>
  <si>
    <t>025/073</t>
  </si>
  <si>
    <t>026/073</t>
  </si>
  <si>
    <t>027/073</t>
  </si>
  <si>
    <t>028/073</t>
  </si>
  <si>
    <t>029/073</t>
  </si>
  <si>
    <t>030/073</t>
  </si>
  <si>
    <t>031/073</t>
  </si>
  <si>
    <t>032/073</t>
  </si>
  <si>
    <t>GrapploctV</t>
  </si>
  <si>
    <t>033/073</t>
  </si>
  <si>
    <t>034/073</t>
  </si>
  <si>
    <t>035/073</t>
  </si>
  <si>
    <t>036/073</t>
  </si>
  <si>
    <t>037/073</t>
  </si>
  <si>
    <t>038/073</t>
  </si>
  <si>
    <t>039/073</t>
  </si>
  <si>
    <t>040/073</t>
  </si>
  <si>
    <t>041/073</t>
  </si>
  <si>
    <t>042/073</t>
  </si>
  <si>
    <t>043/073</t>
  </si>
  <si>
    <t>044/073</t>
  </si>
  <si>
    <t>045/073</t>
  </si>
  <si>
    <t>046/073</t>
  </si>
  <si>
    <t>047/073</t>
  </si>
  <si>
    <t>DuraludonV</t>
  </si>
  <si>
    <t>048/073</t>
  </si>
  <si>
    <t>049/073</t>
  </si>
  <si>
    <t>050/073</t>
  </si>
  <si>
    <t>051/073</t>
  </si>
  <si>
    <t>052/073</t>
  </si>
  <si>
    <t>053/073</t>
  </si>
  <si>
    <t>054/073</t>
  </si>
  <si>
    <t>055/073</t>
  </si>
  <si>
    <t>056/073</t>
  </si>
  <si>
    <t>057/073</t>
  </si>
  <si>
    <t>058/073</t>
  </si>
  <si>
    <t>059/073</t>
  </si>
  <si>
    <t>060/073</t>
  </si>
  <si>
    <t>061/073</t>
  </si>
  <si>
    <t>062/073</t>
  </si>
  <si>
    <t>063/073</t>
  </si>
  <si>
    <t>064/073</t>
  </si>
  <si>
    <t>Rotom Phone</t>
  </si>
  <si>
    <t>065/073</t>
  </si>
  <si>
    <t>066/073</t>
  </si>
  <si>
    <t>Suspicious Food Tin</t>
  </si>
  <si>
    <t>067/073</t>
  </si>
  <si>
    <t>068/073</t>
  </si>
  <si>
    <t>069/073</t>
  </si>
  <si>
    <t>070/073</t>
  </si>
  <si>
    <t>071/073</t>
  </si>
  <si>
    <t>Galarian CursolaV</t>
  </si>
  <si>
    <t>072/073</t>
  </si>
  <si>
    <t>073/073</t>
  </si>
  <si>
    <t>074/073</t>
  </si>
  <si>
    <t>075/073</t>
  </si>
  <si>
    <t>076/073</t>
  </si>
  <si>
    <t>077/073</t>
  </si>
  <si>
    <t>078/073</t>
  </si>
  <si>
    <t>079/073</t>
  </si>
  <si>
    <t>080/073</t>
  </si>
  <si>
    <t>001/185</t>
  </si>
  <si>
    <t>002/185</t>
  </si>
  <si>
    <t>003/185</t>
  </si>
  <si>
    <t>004/185</t>
  </si>
  <si>
    <t>005/185</t>
  </si>
  <si>
    <t>006/185</t>
  </si>
  <si>
    <t>007/185</t>
  </si>
  <si>
    <t>008/185</t>
  </si>
  <si>
    <t>009/185</t>
  </si>
  <si>
    <t>010/185</t>
  </si>
  <si>
    <t>011/185</t>
  </si>
  <si>
    <t>012/185</t>
  </si>
  <si>
    <t>013/185</t>
  </si>
  <si>
    <t>014/185</t>
  </si>
  <si>
    <t>015/185</t>
  </si>
  <si>
    <t>016/185</t>
  </si>
  <si>
    <t>017/185</t>
  </si>
  <si>
    <t>018/185</t>
  </si>
  <si>
    <t>019/185</t>
  </si>
  <si>
    <t>020/185</t>
  </si>
  <si>
    <t>021/185</t>
  </si>
  <si>
    <t>OrbeetleVMAX</t>
  </si>
  <si>
    <t>022/185</t>
  </si>
  <si>
    <t>ZarudeV</t>
  </si>
  <si>
    <t>023/185</t>
  </si>
  <si>
    <t>024/185</t>
  </si>
  <si>
    <t>025/185</t>
  </si>
  <si>
    <t>026/185</t>
  </si>
  <si>
    <t>027/185</t>
  </si>
  <si>
    <t>028/185</t>
  </si>
  <si>
    <t>029/185</t>
  </si>
  <si>
    <t>TalonflameV</t>
  </si>
  <si>
    <t>030/185</t>
  </si>
  <si>
    <t>031/185</t>
  </si>
  <si>
    <t>032/185</t>
  </si>
  <si>
    <t>033/185</t>
  </si>
  <si>
    <t>034/185</t>
  </si>
  <si>
    <t>035/185</t>
  </si>
  <si>
    <t>036/185</t>
  </si>
  <si>
    <t>Galarian DarmanitanV</t>
  </si>
  <si>
    <t>037/185</t>
  </si>
  <si>
    <t>Galarian DarmanitanVMAX</t>
  </si>
  <si>
    <t>038/185</t>
  </si>
  <si>
    <t>039/185</t>
  </si>
  <si>
    <t>040/185</t>
  </si>
  <si>
    <t>041/185</t>
  </si>
  <si>
    <t>042/185</t>
  </si>
  <si>
    <t>043/185</t>
  </si>
  <si>
    <t>044/185</t>
  </si>
  <si>
    <t>045/185</t>
  </si>
  <si>
    <t>046/185</t>
  </si>
  <si>
    <t>047/185</t>
  </si>
  <si>
    <t>048/185</t>
  </si>
  <si>
    <t>049/185</t>
  </si>
  <si>
    <t>AmpharosV</t>
  </si>
  <si>
    <t>050/185</t>
  </si>
  <si>
    <t>051/185</t>
  </si>
  <si>
    <t>052/185</t>
  </si>
  <si>
    <t>053/185</t>
  </si>
  <si>
    <t>054/185</t>
  </si>
  <si>
    <t>055/185</t>
  </si>
  <si>
    <t>056/185</t>
  </si>
  <si>
    <t>057/185</t>
  </si>
  <si>
    <t>058/185</t>
  </si>
  <si>
    <t>059/185</t>
  </si>
  <si>
    <t>060/185</t>
  </si>
  <si>
    <t>061/185</t>
  </si>
  <si>
    <t>062/185</t>
  </si>
  <si>
    <t>063/185</t>
  </si>
  <si>
    <t>064/185</t>
  </si>
  <si>
    <t>065/185</t>
  </si>
  <si>
    <t>066/185</t>
  </si>
  <si>
    <t>067/185</t>
  </si>
  <si>
    <t>068/185</t>
  </si>
  <si>
    <t>069/185</t>
  </si>
  <si>
    <t>070/185</t>
  </si>
  <si>
    <t>071/185</t>
  </si>
  <si>
    <t>072/185</t>
  </si>
  <si>
    <t>073/185</t>
  </si>
  <si>
    <t>074/185</t>
  </si>
  <si>
    <t>075/185</t>
  </si>
  <si>
    <t>076/185</t>
  </si>
  <si>
    <t>077/185</t>
  </si>
  <si>
    <t>078/185</t>
  </si>
  <si>
    <t>079/185</t>
  </si>
  <si>
    <t>080/185</t>
  </si>
  <si>
    <t>081/185</t>
  </si>
  <si>
    <t>082/185</t>
  </si>
  <si>
    <t>083/185</t>
  </si>
  <si>
    <t>084/185</t>
  </si>
  <si>
    <t>085/185</t>
  </si>
  <si>
    <t>086/185</t>
  </si>
  <si>
    <t>087/185</t>
  </si>
  <si>
    <t>088/185</t>
  </si>
  <si>
    <t>089/185</t>
  </si>
  <si>
    <t>090/185</t>
  </si>
  <si>
    <t>091/185</t>
  </si>
  <si>
    <t>092/185</t>
  </si>
  <si>
    <t>093/185</t>
  </si>
  <si>
    <t>094/185</t>
  </si>
  <si>
    <t>095/185</t>
  </si>
  <si>
    <t>096/185</t>
  </si>
  <si>
    <t>097/185</t>
  </si>
  <si>
    <t>098/185</t>
  </si>
  <si>
    <t>CoalossalV</t>
  </si>
  <si>
    <t>099/185</t>
  </si>
  <si>
    <t>CoalossalVMAX</t>
  </si>
  <si>
    <t>100/185</t>
  </si>
  <si>
    <t>101/185</t>
  </si>
  <si>
    <t>102/185</t>
  </si>
  <si>
    <t>103/185</t>
  </si>
  <si>
    <t>104/185</t>
  </si>
  <si>
    <t>105/185</t>
  </si>
  <si>
    <t>106/185</t>
  </si>
  <si>
    <t>DrapionV</t>
  </si>
  <si>
    <t>107/185</t>
  </si>
  <si>
    <t>108/185</t>
  </si>
  <si>
    <t>109/185</t>
  </si>
  <si>
    <t>110/185</t>
  </si>
  <si>
    <t>111/185</t>
  </si>
  <si>
    <t>112/185</t>
  </si>
  <si>
    <t>113/185</t>
  </si>
  <si>
    <t>114/185</t>
  </si>
  <si>
    <t>115/185</t>
  </si>
  <si>
    <t>SteelixV</t>
  </si>
  <si>
    <t>116/185</t>
  </si>
  <si>
    <t>117/185</t>
  </si>
  <si>
    <t>118/185</t>
  </si>
  <si>
    <t>119/185</t>
  </si>
  <si>
    <t>120/185</t>
  </si>
  <si>
    <t>121/185</t>
  </si>
  <si>
    <t>122/185</t>
  </si>
  <si>
    <t>123/185</t>
  </si>
  <si>
    <t>124/185</t>
  </si>
  <si>
    <t>125/185</t>
  </si>
  <si>
    <t>126/185</t>
  </si>
  <si>
    <t>AegislashV</t>
  </si>
  <si>
    <t>127/185</t>
  </si>
  <si>
    <t>AegislashVMAX</t>
  </si>
  <si>
    <t>128/185</t>
  </si>
  <si>
    <t>129/185</t>
  </si>
  <si>
    <t>130/185</t>
  </si>
  <si>
    <t>131/185</t>
  </si>
  <si>
    <t>132/185</t>
  </si>
  <si>
    <t>133/185</t>
  </si>
  <si>
    <t>134/185</t>
  </si>
  <si>
    <t>135/185</t>
  </si>
  <si>
    <t>136/185</t>
  </si>
  <si>
    <t>137/185</t>
  </si>
  <si>
    <t>138/185</t>
  </si>
  <si>
    <t>139/185</t>
  </si>
  <si>
    <t>140/185</t>
  </si>
  <si>
    <t>TogekissV</t>
  </si>
  <si>
    <t>141/185</t>
  </si>
  <si>
    <t>TogekissVMAX</t>
  </si>
  <si>
    <t>142/185</t>
  </si>
  <si>
    <t>143/185</t>
  </si>
  <si>
    <t>144/185</t>
  </si>
  <si>
    <t>145/185</t>
  </si>
  <si>
    <t>146/185</t>
  </si>
  <si>
    <t>Allister</t>
  </si>
  <si>
    <t>147/185</t>
  </si>
  <si>
    <t>Bea</t>
  </si>
  <si>
    <t>148/185</t>
  </si>
  <si>
    <t>Beauty</t>
  </si>
  <si>
    <t>149/185</t>
  </si>
  <si>
    <t>Cara Liss</t>
  </si>
  <si>
    <t>150/185</t>
  </si>
  <si>
    <t>Circhester Bath</t>
  </si>
  <si>
    <t>151/185</t>
  </si>
  <si>
    <t>Drone Rotom</t>
  </si>
  <si>
    <t>152/185</t>
  </si>
  <si>
    <t>Hero's Medal</t>
  </si>
  <si>
    <t>153/185</t>
  </si>
  <si>
    <t>League Staff</t>
  </si>
  <si>
    <t>154/185</t>
  </si>
  <si>
    <t>Leon</t>
  </si>
  <si>
    <t>155/185</t>
  </si>
  <si>
    <t>Memory Capsule</t>
  </si>
  <si>
    <t>156/185</t>
  </si>
  <si>
    <t>Moomoo Cheese</t>
  </si>
  <si>
    <t>157/185</t>
  </si>
  <si>
    <t>Nessa</t>
  </si>
  <si>
    <t>158/185</t>
  </si>
  <si>
    <t>Opal</t>
  </si>
  <si>
    <t>159/185</t>
  </si>
  <si>
    <t>160/185</t>
  </si>
  <si>
    <t>Telescopic Sight</t>
  </si>
  <si>
    <t>161/185</t>
  </si>
  <si>
    <t>Wyndon Stadium</t>
  </si>
  <si>
    <t>162/185</t>
  </si>
  <si>
    <t>Aromatic G Energy</t>
  </si>
  <si>
    <t>163/185</t>
  </si>
  <si>
    <t>Coating M Energy</t>
  </si>
  <si>
    <t>164/185</t>
  </si>
  <si>
    <t>Stone F Energy</t>
  </si>
  <si>
    <t>165/185</t>
  </si>
  <si>
    <t>Wash W Energy</t>
  </si>
  <si>
    <t>166/185</t>
  </si>
  <si>
    <t>167/185</t>
  </si>
  <si>
    <t>168/185</t>
  </si>
  <si>
    <t>169/185</t>
  </si>
  <si>
    <t>170/185</t>
  </si>
  <si>
    <t>171/185</t>
  </si>
  <si>
    <t>172/185</t>
  </si>
  <si>
    <t>173/185</t>
  </si>
  <si>
    <t>174/185</t>
  </si>
  <si>
    <t>175/185</t>
  </si>
  <si>
    <t>176/185</t>
  </si>
  <si>
    <t>177/185</t>
  </si>
  <si>
    <t>178/185</t>
  </si>
  <si>
    <t>179/185</t>
  </si>
  <si>
    <t>180/185</t>
  </si>
  <si>
    <t>181/185</t>
  </si>
  <si>
    <t>182/185</t>
  </si>
  <si>
    <t>183/185</t>
  </si>
  <si>
    <t>184/185</t>
  </si>
  <si>
    <t>185/185</t>
  </si>
  <si>
    <t>186/185</t>
  </si>
  <si>
    <t>187/185</t>
  </si>
  <si>
    <t>188/185</t>
  </si>
  <si>
    <t>189/185</t>
  </si>
  <si>
    <t>190/185</t>
  </si>
  <si>
    <t>191/185</t>
  </si>
  <si>
    <t>192/185</t>
  </si>
  <si>
    <t>193/185</t>
  </si>
  <si>
    <t>194/185</t>
  </si>
  <si>
    <t>195/185</t>
  </si>
  <si>
    <t>196/185</t>
  </si>
  <si>
    <t>197/185</t>
  </si>
  <si>
    <t>198/185</t>
  </si>
  <si>
    <t>199/185</t>
  </si>
  <si>
    <t>200/185</t>
  </si>
  <si>
    <t>201/185</t>
  </si>
  <si>
    <t>202/185</t>
  </si>
  <si>
    <t>203/185</t>
  </si>
  <si>
    <t>McDoanld's Collection 2021</t>
  </si>
  <si>
    <t>13/25</t>
  </si>
  <si>
    <t>14/25</t>
  </si>
  <si>
    <t>15/25</t>
  </si>
  <si>
    <t>16/25</t>
  </si>
  <si>
    <t>17/25</t>
  </si>
  <si>
    <t>18/25</t>
  </si>
  <si>
    <t>19/25</t>
  </si>
  <si>
    <t>20/25</t>
  </si>
  <si>
    <t>21/25</t>
  </si>
  <si>
    <t>22/25</t>
  </si>
  <si>
    <t>23/25</t>
  </si>
  <si>
    <t>24/25</t>
  </si>
  <si>
    <t>25/25</t>
  </si>
  <si>
    <t>001/072</t>
  </si>
  <si>
    <t>002/072</t>
  </si>
  <si>
    <t>003/072</t>
  </si>
  <si>
    <t>004/072</t>
  </si>
  <si>
    <t>005/072</t>
  </si>
  <si>
    <t>006/072</t>
  </si>
  <si>
    <t>007/072</t>
  </si>
  <si>
    <t>008/072</t>
  </si>
  <si>
    <t>009/072</t>
  </si>
  <si>
    <t>DhelmiseV</t>
  </si>
  <si>
    <t>010/072</t>
  </si>
  <si>
    <t>DhelmiseVMAX</t>
  </si>
  <si>
    <t>011/072</t>
  </si>
  <si>
    <t>012/072</t>
  </si>
  <si>
    <t>013/072</t>
  </si>
  <si>
    <t>014/072</t>
  </si>
  <si>
    <t>015/072</t>
  </si>
  <si>
    <t>016/072</t>
  </si>
  <si>
    <t>Zarude</t>
  </si>
  <si>
    <t>017/072</t>
  </si>
  <si>
    <t>018/072</t>
  </si>
  <si>
    <t>019/072</t>
  </si>
  <si>
    <t>CinderaceVMAX</t>
  </si>
  <si>
    <t>020/072</t>
  </si>
  <si>
    <t>021/072</t>
  </si>
  <si>
    <t>022/072</t>
  </si>
  <si>
    <t>023/072</t>
  </si>
  <si>
    <t>024/072</t>
  </si>
  <si>
    <t>025/072</t>
  </si>
  <si>
    <t>026/072</t>
  </si>
  <si>
    <t>027/072</t>
  </si>
  <si>
    <t>028/072</t>
  </si>
  <si>
    <t>029/072</t>
  </si>
  <si>
    <t>030/072</t>
  </si>
  <si>
    <t>031/072</t>
  </si>
  <si>
    <t>032/072</t>
  </si>
  <si>
    <t>033/072</t>
  </si>
  <si>
    <t>034/072</t>
  </si>
  <si>
    <t>035/072</t>
  </si>
  <si>
    <t>036/072</t>
  </si>
  <si>
    <t>037/072</t>
  </si>
  <si>
    <t>038/072</t>
  </si>
  <si>
    <t>MorpekoVMAX</t>
  </si>
  <si>
    <t>039/072</t>
  </si>
  <si>
    <t>IndeedeeV</t>
  </si>
  <si>
    <t>040/072</t>
  </si>
  <si>
    <t>041/072</t>
  </si>
  <si>
    <t>042/072</t>
  </si>
  <si>
    <t>043/072</t>
  </si>
  <si>
    <t>044/072</t>
  </si>
  <si>
    <t>045/072</t>
  </si>
  <si>
    <t>046/072</t>
  </si>
  <si>
    <t>047/072</t>
  </si>
  <si>
    <t>048/072</t>
  </si>
  <si>
    <t>049/072</t>
  </si>
  <si>
    <t>050/072</t>
  </si>
  <si>
    <t>DittoV</t>
  </si>
  <si>
    <t>051/072</t>
  </si>
  <si>
    <t>DittoVMAX</t>
  </si>
  <si>
    <t>052/072</t>
  </si>
  <si>
    <t>053/072</t>
  </si>
  <si>
    <t>GreedentV</t>
  </si>
  <si>
    <t>054/072</t>
  </si>
  <si>
    <t>055/072</t>
  </si>
  <si>
    <t>CramorantVMAX</t>
  </si>
  <si>
    <t>056/072</t>
  </si>
  <si>
    <t>057/072</t>
  </si>
  <si>
    <t>Ball Guy</t>
  </si>
  <si>
    <t>058/072</t>
  </si>
  <si>
    <t>Boss's Orders</t>
  </si>
  <si>
    <t>059/072</t>
  </si>
  <si>
    <t>Gym Trainer</t>
  </si>
  <si>
    <t>060/072</t>
  </si>
  <si>
    <t>061/072</t>
  </si>
  <si>
    <t>Rusted Shield</t>
  </si>
  <si>
    <t>062/072</t>
  </si>
  <si>
    <t>Rusted Sword</t>
  </si>
  <si>
    <t>063/072</t>
  </si>
  <si>
    <t>Team Yell Towel</t>
  </si>
  <si>
    <t>064/072</t>
  </si>
  <si>
    <t>065/072</t>
  </si>
  <si>
    <t>066/072</t>
  </si>
  <si>
    <t>067/072</t>
  </si>
  <si>
    <t>068/072</t>
  </si>
  <si>
    <t>069/072</t>
  </si>
  <si>
    <t>070/072</t>
  </si>
  <si>
    <t>071/072</t>
  </si>
  <si>
    <t>072/072</t>
  </si>
  <si>
    <t>073/072</t>
  </si>
  <si>
    <t>SV001/SV122</t>
  </si>
  <si>
    <t>SV002/SV122</t>
  </si>
  <si>
    <t>SV003/SV122</t>
  </si>
  <si>
    <t>SV004/SV122</t>
  </si>
  <si>
    <t>SV005/SV122</t>
  </si>
  <si>
    <t>SV006/SV122</t>
  </si>
  <si>
    <t>SV007/SV122</t>
  </si>
  <si>
    <t>SV008/SV122</t>
  </si>
  <si>
    <t>SV009/SV122</t>
  </si>
  <si>
    <t>SV010/SV122</t>
  </si>
  <si>
    <t>SV011/SV122</t>
  </si>
  <si>
    <t>SV012/SV122</t>
  </si>
  <si>
    <t>SV013/SV122</t>
  </si>
  <si>
    <t>SV014/SV122</t>
  </si>
  <si>
    <t>SV015/SV122</t>
  </si>
  <si>
    <t>SV016/SV122</t>
  </si>
  <si>
    <t>SV017/SV122</t>
  </si>
  <si>
    <t>SV018/SV122</t>
  </si>
  <si>
    <t>SV019/SV122</t>
  </si>
  <si>
    <t>SV020/SV122</t>
  </si>
  <si>
    <t>SV021/SV122</t>
  </si>
  <si>
    <t>SV022/SV122</t>
  </si>
  <si>
    <t>SV023/SV122</t>
  </si>
  <si>
    <t>SV024/SV122</t>
  </si>
  <si>
    <t>SV025/SV122</t>
  </si>
  <si>
    <t>SV026/SV122</t>
  </si>
  <si>
    <t>SV027/SV122</t>
  </si>
  <si>
    <t>SV028/SV122</t>
  </si>
  <si>
    <t>SV029/SV122</t>
  </si>
  <si>
    <t>SV030/SV122</t>
  </si>
  <si>
    <t>SV031/SV122</t>
  </si>
  <si>
    <t>SV032/SV122</t>
  </si>
  <si>
    <t>SV033/SV122</t>
  </si>
  <si>
    <t>SV034/SV122</t>
  </si>
  <si>
    <t>SV035/SV122</t>
  </si>
  <si>
    <t>SV036/SV122</t>
  </si>
  <si>
    <t>SV037/SV122</t>
  </si>
  <si>
    <t>SV038/SV122</t>
  </si>
  <si>
    <t>SV039/SV122</t>
  </si>
  <si>
    <t>SV040/SV122</t>
  </si>
  <si>
    <t>SV041/SV122</t>
  </si>
  <si>
    <t>SV042/SV122</t>
  </si>
  <si>
    <t>SV043/SV122</t>
  </si>
  <si>
    <t>SV044/SV122</t>
  </si>
  <si>
    <t>SV045/SV122</t>
  </si>
  <si>
    <t>SV046/SV122</t>
  </si>
  <si>
    <t>SV047/SV122</t>
  </si>
  <si>
    <t>SV048/SV122</t>
  </si>
  <si>
    <t>SV049/SV122</t>
  </si>
  <si>
    <t>SV050/SV122</t>
  </si>
  <si>
    <t>SV051/SV122</t>
  </si>
  <si>
    <t>SV052/SV122</t>
  </si>
  <si>
    <t>SV053/SV122</t>
  </si>
  <si>
    <t>SV054/SV122</t>
  </si>
  <si>
    <t>SV055/SV122</t>
  </si>
  <si>
    <t>SV056/SV122</t>
  </si>
  <si>
    <t>Hatternee</t>
  </si>
  <si>
    <t>SV057/SV122</t>
  </si>
  <si>
    <t>SV058/SV122</t>
  </si>
  <si>
    <t>SV059/SV122</t>
  </si>
  <si>
    <t>SV060/SV122</t>
  </si>
  <si>
    <t>SV061/SV122</t>
  </si>
  <si>
    <t>SV062/SV122</t>
  </si>
  <si>
    <t>SV063/SV122</t>
  </si>
  <si>
    <t>SV064/SV122</t>
  </si>
  <si>
    <t>SV065/SV122</t>
  </si>
  <si>
    <t>SV066/SV122</t>
  </si>
  <si>
    <t>SV067/SV122</t>
  </si>
  <si>
    <t>SV068/SV122</t>
  </si>
  <si>
    <t>SV069/SV122</t>
  </si>
  <si>
    <t>SV070/SV122</t>
  </si>
  <si>
    <t>SV071/SV122</t>
  </si>
  <si>
    <t>SV072/SV122</t>
  </si>
  <si>
    <t>SV073/SV122</t>
  </si>
  <si>
    <t>SV074/SV122</t>
  </si>
  <si>
    <t>SV075/SV122</t>
  </si>
  <si>
    <t>SV076/SV122</t>
  </si>
  <si>
    <t>SV077/SV122</t>
  </si>
  <si>
    <t>SV078/SV122</t>
  </si>
  <si>
    <t>SV079/SV122</t>
  </si>
  <si>
    <t>SV080/SV122</t>
  </si>
  <si>
    <t>SV081/SV122</t>
  </si>
  <si>
    <t>SV082/SV122</t>
  </si>
  <si>
    <t>SV083/SV122</t>
  </si>
  <si>
    <t>SV084/SV122</t>
  </si>
  <si>
    <t>SV085/SV122</t>
  </si>
  <si>
    <t>SV086/SV122</t>
  </si>
  <si>
    <t>SV087/SV122</t>
  </si>
  <si>
    <t>SV088/SV122</t>
  </si>
  <si>
    <t>SV089/SV122</t>
  </si>
  <si>
    <t>SV090/SV122</t>
  </si>
  <si>
    <t>SV091/SV122</t>
  </si>
  <si>
    <t>SV092/SV122</t>
  </si>
  <si>
    <t>SV093/SV122</t>
  </si>
  <si>
    <t>SV094/SV122</t>
  </si>
  <si>
    <t>SV095/SV122</t>
  </si>
  <si>
    <t>SV096/SV122</t>
  </si>
  <si>
    <t>SV097/SV122</t>
  </si>
  <si>
    <t>SV098/SV122</t>
  </si>
  <si>
    <t>SV099/SV122</t>
  </si>
  <si>
    <t>SV100/SV122</t>
  </si>
  <si>
    <t>SV101/SV122</t>
  </si>
  <si>
    <t>SV102/SV122</t>
  </si>
  <si>
    <t>SV103/SV122</t>
  </si>
  <si>
    <t>SV104/SV122</t>
  </si>
  <si>
    <t>SV105/SV122</t>
  </si>
  <si>
    <t>SV106/SV122</t>
  </si>
  <si>
    <t>RillaboomVMAX</t>
  </si>
  <si>
    <t>SV107/SV122</t>
  </si>
  <si>
    <t>SV108/SV122</t>
  </si>
  <si>
    <t>SV109/SV122</t>
  </si>
  <si>
    <t>SV110/SV122</t>
  </si>
  <si>
    <t>LaprasV</t>
  </si>
  <si>
    <t>SV111/SV122</t>
  </si>
  <si>
    <t>LaprasVMAX</t>
  </si>
  <si>
    <t>SV112/SV122</t>
  </si>
  <si>
    <t>SV113/SV122</t>
  </si>
  <si>
    <t>ToxtricityVMAX</t>
  </si>
  <si>
    <t>SV114/SV122</t>
  </si>
  <si>
    <t>SV115/SV122</t>
  </si>
  <si>
    <t>FalinksV</t>
  </si>
  <si>
    <t>SV116/SV122</t>
  </si>
  <si>
    <t>SV117/SV122</t>
  </si>
  <si>
    <t>SV118/SV122</t>
  </si>
  <si>
    <t>SV119/SV122</t>
  </si>
  <si>
    <t>SV120/SV122</t>
  </si>
  <si>
    <t>SV121/SV122</t>
  </si>
  <si>
    <t>SV122/SV122</t>
  </si>
  <si>
    <t>001/163</t>
  </si>
  <si>
    <t>002/163</t>
  </si>
  <si>
    <t>003/163</t>
  </si>
  <si>
    <t>004/163</t>
  </si>
  <si>
    <t>005/163</t>
  </si>
  <si>
    <t>006/163</t>
  </si>
  <si>
    <t>KricketuneV</t>
  </si>
  <si>
    <t>007/163</t>
  </si>
  <si>
    <t>008/163</t>
  </si>
  <si>
    <t>009/163</t>
  </si>
  <si>
    <t>010/163</t>
  </si>
  <si>
    <t>011/163</t>
  </si>
  <si>
    <t>012/163</t>
  </si>
  <si>
    <t>013/163</t>
  </si>
  <si>
    <t>014/163</t>
  </si>
  <si>
    <t>015/163</t>
  </si>
  <si>
    <t>016/163</t>
  </si>
  <si>
    <t>017/163</t>
  </si>
  <si>
    <t>018/163</t>
  </si>
  <si>
    <t>FlappleV</t>
  </si>
  <si>
    <t>019/163</t>
  </si>
  <si>
    <t>FlappleVMAX</t>
  </si>
  <si>
    <t>020/163</t>
  </si>
  <si>
    <t>021/163</t>
  </si>
  <si>
    <t>022/163</t>
  </si>
  <si>
    <t>VictiniVMAX</t>
  </si>
  <si>
    <t>023/163</t>
  </si>
  <si>
    <t>024/163</t>
  </si>
  <si>
    <t>025/163</t>
  </si>
  <si>
    <t>026/163</t>
  </si>
  <si>
    <t>027/163</t>
  </si>
  <si>
    <t>028/163</t>
  </si>
  <si>
    <t>029/163</t>
  </si>
  <si>
    <t>030/163</t>
  </si>
  <si>
    <t>031/163</t>
  </si>
  <si>
    <t>032/163</t>
  </si>
  <si>
    <t>033/163</t>
  </si>
  <si>
    <t>034/163</t>
  </si>
  <si>
    <t>035/163</t>
  </si>
  <si>
    <t>036/163</t>
  </si>
  <si>
    <t>037/163</t>
  </si>
  <si>
    <t>038/163</t>
  </si>
  <si>
    <t>039/163</t>
  </si>
  <si>
    <t>040/163</t>
  </si>
  <si>
    <t>041/163</t>
  </si>
  <si>
    <t>042/163</t>
  </si>
  <si>
    <t>043/163</t>
  </si>
  <si>
    <t>044/163</t>
  </si>
  <si>
    <t>045/163</t>
  </si>
  <si>
    <t>046/163</t>
  </si>
  <si>
    <t>047/163</t>
  </si>
  <si>
    <t>048/163</t>
  </si>
  <si>
    <t>049/163</t>
  </si>
  <si>
    <t>050/163</t>
  </si>
  <si>
    <t>Tapu KokoV</t>
  </si>
  <si>
    <t>051/163</t>
  </si>
  <si>
    <t>Tapu KokoVMAX</t>
  </si>
  <si>
    <t>052/163</t>
  </si>
  <si>
    <t>053/163</t>
  </si>
  <si>
    <t>054/163</t>
  </si>
  <si>
    <t>055/163</t>
  </si>
  <si>
    <t>056/163</t>
  </si>
  <si>
    <t>057/163</t>
  </si>
  <si>
    <t>058/163</t>
  </si>
  <si>
    <t>059/163</t>
  </si>
  <si>
    <t>060/163</t>
  </si>
  <si>
    <t>061/163</t>
  </si>
  <si>
    <t>062/163</t>
  </si>
  <si>
    <t>MimikyuV</t>
  </si>
  <si>
    <t>063/163</t>
  </si>
  <si>
    <t>NecrozmaV</t>
  </si>
  <si>
    <t>064/163</t>
  </si>
  <si>
    <t>065/163</t>
  </si>
  <si>
    <t>066/163</t>
  </si>
  <si>
    <t>067/163</t>
  </si>
  <si>
    <t>068/163</t>
  </si>
  <si>
    <t>069/163</t>
  </si>
  <si>
    <t>070/163</t>
  </si>
  <si>
    <t>071/163</t>
  </si>
  <si>
    <t>072/163</t>
  </si>
  <si>
    <t>073/163</t>
  </si>
  <si>
    <t>074/163</t>
  </si>
  <si>
    <t>075/163</t>
  </si>
  <si>
    <t>076/163</t>
  </si>
  <si>
    <t>077/163</t>
  </si>
  <si>
    <t>078/163</t>
  </si>
  <si>
    <t>079/163</t>
  </si>
  <si>
    <t>080/163</t>
  </si>
  <si>
    <t>081/163</t>
  </si>
  <si>
    <t>082/163</t>
  </si>
  <si>
    <t>083/163</t>
  </si>
  <si>
    <t>084/163</t>
  </si>
  <si>
    <t>085/163</t>
  </si>
  <si>
    <t>086/163</t>
  </si>
  <si>
    <t>Single Strike UrshifuVMAX</t>
  </si>
  <si>
    <t>087/163</t>
  </si>
  <si>
    <t>088/163</t>
  </si>
  <si>
    <t>Rapid Strike UrshifuVMAX</t>
  </si>
  <si>
    <t>089/163</t>
  </si>
  <si>
    <t>090/163</t>
  </si>
  <si>
    <t>091/163</t>
  </si>
  <si>
    <t>092/163</t>
  </si>
  <si>
    <t>Galarian Slowbro</t>
  </si>
  <si>
    <t>093/163</t>
  </si>
  <si>
    <t>094/163</t>
  </si>
  <si>
    <t>095/163</t>
  </si>
  <si>
    <t>096/163</t>
  </si>
  <si>
    <t>097/163</t>
  </si>
  <si>
    <t>098/163</t>
  </si>
  <si>
    <t>099/163</t>
  </si>
  <si>
    <t>100/163</t>
  </si>
  <si>
    <t>101/163</t>
  </si>
  <si>
    <t>102/163</t>
  </si>
  <si>
    <t>103/163</t>
  </si>
  <si>
    <t>104/163</t>
  </si>
  <si>
    <t>105/163</t>
  </si>
  <si>
    <t>106/163</t>
  </si>
  <si>
    <t>107/163</t>
  </si>
  <si>
    <t>108/163</t>
  </si>
  <si>
    <t>109/163</t>
  </si>
  <si>
    <t>110/163</t>
  </si>
  <si>
    <t>CorviknightVMAX</t>
  </si>
  <si>
    <t>111/163</t>
  </si>
  <si>
    <t>112/163</t>
  </si>
  <si>
    <t>113/163</t>
  </si>
  <si>
    <t>114/163</t>
  </si>
  <si>
    <t>115/163</t>
  </si>
  <si>
    <t>116/163</t>
  </si>
  <si>
    <t>117/163</t>
  </si>
  <si>
    <t>StoutlandV</t>
  </si>
  <si>
    <t>118/163</t>
  </si>
  <si>
    <t>119/163</t>
  </si>
  <si>
    <t>120/163</t>
  </si>
  <si>
    <t>121/163</t>
  </si>
  <si>
    <t>Bruno</t>
  </si>
  <si>
    <t>122/163</t>
  </si>
  <si>
    <t>Camping Gear</t>
  </si>
  <si>
    <t>123/163</t>
  </si>
  <si>
    <t>Cheryl</t>
  </si>
  <si>
    <t>124/163</t>
  </si>
  <si>
    <t>125/163</t>
  </si>
  <si>
    <t>126/163</t>
  </si>
  <si>
    <t>127/163</t>
  </si>
  <si>
    <t>Fan of Waves</t>
  </si>
  <si>
    <t>128/163</t>
  </si>
  <si>
    <t>Korrina's Focus</t>
  </si>
  <si>
    <t>129/163</t>
  </si>
  <si>
    <t>130/163</t>
  </si>
  <si>
    <t>Phoebe</t>
  </si>
  <si>
    <t>131/163</t>
  </si>
  <si>
    <t>Rapid Strike Scroll of Swirls</t>
  </si>
  <si>
    <t>132/163</t>
  </si>
  <si>
    <t>Rapid Strike Style Mustard</t>
  </si>
  <si>
    <t>133/163</t>
  </si>
  <si>
    <t>Single Strike Scroll of Scorn</t>
  </si>
  <si>
    <t>134/163</t>
  </si>
  <si>
    <t>Single Strike Style Mustard</t>
  </si>
  <si>
    <t>135/163</t>
  </si>
  <si>
    <t>Sordward and Shielbert</t>
  </si>
  <si>
    <t>136/163</t>
  </si>
  <si>
    <t>Tool Jammer</t>
  </si>
  <si>
    <t>137/163</t>
  </si>
  <si>
    <t>Tower of Darkness</t>
  </si>
  <si>
    <t>138/163</t>
  </si>
  <si>
    <t>Tower of Waters</t>
  </si>
  <si>
    <t>139/163</t>
  </si>
  <si>
    <t>Urn of Vitality</t>
  </si>
  <si>
    <t>140/163</t>
  </si>
  <si>
    <t>Rapid Strike Energy</t>
  </si>
  <si>
    <t>141/163</t>
  </si>
  <si>
    <t>Single Strike Energy</t>
  </si>
  <si>
    <t>142/163</t>
  </si>
  <si>
    <t>143/163</t>
  </si>
  <si>
    <t>144/163</t>
  </si>
  <si>
    <t>145/163</t>
  </si>
  <si>
    <t>146/163</t>
  </si>
  <si>
    <t>147/163</t>
  </si>
  <si>
    <t>148/163</t>
  </si>
  <si>
    <t>149/163</t>
  </si>
  <si>
    <t>150/163</t>
  </si>
  <si>
    <t>151/163</t>
  </si>
  <si>
    <t>152/163</t>
  </si>
  <si>
    <t>153/163</t>
  </si>
  <si>
    <t>154/163</t>
  </si>
  <si>
    <t>155/163</t>
  </si>
  <si>
    <t>156/163</t>
  </si>
  <si>
    <t>157/163</t>
  </si>
  <si>
    <t>158/163</t>
  </si>
  <si>
    <t>159/163</t>
  </si>
  <si>
    <t>160/163</t>
  </si>
  <si>
    <t>161/163</t>
  </si>
  <si>
    <t>162/163</t>
  </si>
  <si>
    <t>163/163</t>
  </si>
  <si>
    <t>164/163</t>
  </si>
  <si>
    <t>165/163</t>
  </si>
  <si>
    <t>166/163</t>
  </si>
  <si>
    <t>167/163</t>
  </si>
  <si>
    <t>168/163</t>
  </si>
  <si>
    <t>169/163</t>
  </si>
  <si>
    <t>170/163</t>
  </si>
  <si>
    <t>171/163</t>
  </si>
  <si>
    <t>172/163</t>
  </si>
  <si>
    <t>173/163</t>
  </si>
  <si>
    <t>174/163</t>
  </si>
  <si>
    <t>175/163</t>
  </si>
  <si>
    <t>176/163</t>
  </si>
  <si>
    <t>177/163</t>
  </si>
  <si>
    <t>178/163</t>
  </si>
  <si>
    <t>179/163</t>
  </si>
  <si>
    <t>180/163</t>
  </si>
  <si>
    <t>181/163</t>
  </si>
  <si>
    <t>182/163</t>
  </si>
  <si>
    <t>183/163</t>
  </si>
  <si>
    <t>001/198</t>
  </si>
  <si>
    <t>002/198</t>
  </si>
  <si>
    <t>003/198</t>
  </si>
  <si>
    <t>004/198</t>
  </si>
  <si>
    <t>005/198</t>
  </si>
  <si>
    <t>006/198</t>
  </si>
  <si>
    <t>007/198</t>
  </si>
  <si>
    <t>CelebiV</t>
  </si>
  <si>
    <t>008/198</t>
  </si>
  <si>
    <t>CelebiVMAX</t>
  </si>
  <si>
    <t>009/198</t>
  </si>
  <si>
    <t>010/198</t>
  </si>
  <si>
    <t>011/198</t>
  </si>
  <si>
    <t>012/198</t>
  </si>
  <si>
    <t>013/198</t>
  </si>
  <si>
    <t>014/198</t>
  </si>
  <si>
    <t>015/198</t>
  </si>
  <si>
    <t>016/198</t>
  </si>
  <si>
    <t>017/198</t>
  </si>
  <si>
    <t>018/198</t>
  </si>
  <si>
    <t>019/198</t>
  </si>
  <si>
    <t>020/198</t>
  </si>
  <si>
    <t>BlazikenV</t>
  </si>
  <si>
    <t>021/198</t>
  </si>
  <si>
    <t>BlazikenVMAX</t>
  </si>
  <si>
    <t>022/198</t>
  </si>
  <si>
    <t>023/198</t>
  </si>
  <si>
    <t>024/198</t>
  </si>
  <si>
    <t>026/198</t>
  </si>
  <si>
    <t>VolcanionV</t>
  </si>
  <si>
    <t>027/198</t>
  </si>
  <si>
    <t>028/198</t>
  </si>
  <si>
    <t>029/198</t>
  </si>
  <si>
    <t>030/198</t>
  </si>
  <si>
    <t>031/198</t>
  </si>
  <si>
    <t>032/198</t>
  </si>
  <si>
    <t>033/198</t>
  </si>
  <si>
    <t>Castform Rainy Form</t>
  </si>
  <si>
    <t>034/198</t>
  </si>
  <si>
    <t>Castform Snowy Form</t>
  </si>
  <si>
    <t>035/198</t>
  </si>
  <si>
    <t>036/198</t>
  </si>
  <si>
    <t>037/198</t>
  </si>
  <si>
    <t>038/198</t>
  </si>
  <si>
    <t>039/198</t>
  </si>
  <si>
    <t>040/198</t>
  </si>
  <si>
    <t>041/198</t>
  </si>
  <si>
    <t>042/198</t>
  </si>
  <si>
    <t>043/198</t>
  </si>
  <si>
    <t>044/198</t>
  </si>
  <si>
    <t>Rapid Strike Urshifu</t>
  </si>
  <si>
    <t>045/198</t>
  </si>
  <si>
    <t>046/198</t>
  </si>
  <si>
    <t>Ice Rider CalyrexVMAX</t>
  </si>
  <si>
    <t>047/198</t>
  </si>
  <si>
    <t>048/198</t>
  </si>
  <si>
    <t>049/198</t>
  </si>
  <si>
    <t>050/198</t>
  </si>
  <si>
    <t>051/198</t>
  </si>
  <si>
    <t>052/198</t>
  </si>
  <si>
    <t>053/198</t>
  </si>
  <si>
    <t>ZeraoraV</t>
  </si>
  <si>
    <t>054/198</t>
  </si>
  <si>
    <t>055/198</t>
  </si>
  <si>
    <t>056/198</t>
  </si>
  <si>
    <t>057/198</t>
  </si>
  <si>
    <t>058/198</t>
  </si>
  <si>
    <t>Galarian ArticunoV</t>
  </si>
  <si>
    <t>059/198</t>
  </si>
  <si>
    <t>060/198</t>
  </si>
  <si>
    <t>061/198</t>
  </si>
  <si>
    <t>062/198</t>
  </si>
  <si>
    <t>063/198</t>
  </si>
  <si>
    <t>064/198</t>
  </si>
  <si>
    <t>065/198</t>
  </si>
  <si>
    <t>066/198</t>
  </si>
  <si>
    <t>067/198</t>
  </si>
  <si>
    <t>068/198</t>
  </si>
  <si>
    <t>069/198</t>
  </si>
  <si>
    <t>070/198</t>
  </si>
  <si>
    <t>071/198</t>
  </si>
  <si>
    <t>072/198</t>
  </si>
  <si>
    <t>073/198</t>
  </si>
  <si>
    <t>074/198</t>
  </si>
  <si>
    <t>075/198</t>
  </si>
  <si>
    <t>Shadow Rider CalyrexVMAX</t>
  </si>
  <si>
    <t>076/198</t>
  </si>
  <si>
    <t>077/198</t>
  </si>
  <si>
    <t>078/198</t>
  </si>
  <si>
    <t>079/198</t>
  </si>
  <si>
    <t>080/198</t>
  </si>
  <si>
    <t>Galarian ZapdosV</t>
  </si>
  <si>
    <t>081/198</t>
  </si>
  <si>
    <t>082/198</t>
  </si>
  <si>
    <t>083/198</t>
  </si>
  <si>
    <t>084/198</t>
  </si>
  <si>
    <t>085/198</t>
  </si>
  <si>
    <t>086/198</t>
  </si>
  <si>
    <t>087/198</t>
  </si>
  <si>
    <t>088/198</t>
  </si>
  <si>
    <t>089/198</t>
  </si>
  <si>
    <t>SandacondaV</t>
  </si>
  <si>
    <t>090/198</t>
  </si>
  <si>
    <t>SandacondaVMAX</t>
  </si>
  <si>
    <t>091/198</t>
  </si>
  <si>
    <t>092/198</t>
  </si>
  <si>
    <t>093/198</t>
  </si>
  <si>
    <t>Kubfu</t>
  </si>
  <si>
    <t>094/198</t>
  </si>
  <si>
    <t>095/198</t>
  </si>
  <si>
    <t>096/198</t>
  </si>
  <si>
    <t>097/198</t>
  </si>
  <si>
    <t>Galarian MoltresV</t>
  </si>
  <si>
    <t>098/198</t>
  </si>
  <si>
    <t>Galarian Slowking</t>
  </si>
  <si>
    <t>099/198</t>
  </si>
  <si>
    <t>Galarian SlowkingV</t>
  </si>
  <si>
    <t>100/198</t>
  </si>
  <si>
    <t>Galarian SlowkingVMAX</t>
  </si>
  <si>
    <t>101/198</t>
  </si>
  <si>
    <t>102/198</t>
  </si>
  <si>
    <t>103/198</t>
  </si>
  <si>
    <t>104/198</t>
  </si>
  <si>
    <t>LiepardV</t>
  </si>
  <si>
    <t>105/198</t>
  </si>
  <si>
    <t>106/198</t>
  </si>
  <si>
    <t>107/198</t>
  </si>
  <si>
    <t>108/198</t>
  </si>
  <si>
    <t>Single Strike Urshifu</t>
  </si>
  <si>
    <t>109/198</t>
  </si>
  <si>
    <t>110/198</t>
  </si>
  <si>
    <t>111/198</t>
  </si>
  <si>
    <t>112/198</t>
  </si>
  <si>
    <t>MetagrossV</t>
  </si>
  <si>
    <t>113/198</t>
  </si>
  <si>
    <t>MetagrossVMAX</t>
  </si>
  <si>
    <t>114/198</t>
  </si>
  <si>
    <t>115/198</t>
  </si>
  <si>
    <t>116/198</t>
  </si>
  <si>
    <t>117/198</t>
  </si>
  <si>
    <t>118/198</t>
  </si>
  <si>
    <t>119/198</t>
  </si>
  <si>
    <t>BlisseyV</t>
  </si>
  <si>
    <t>120/198</t>
  </si>
  <si>
    <t>121/198</t>
  </si>
  <si>
    <t>122/198</t>
  </si>
  <si>
    <t>123/198</t>
  </si>
  <si>
    <t>124/198</t>
  </si>
  <si>
    <t>TornadusV</t>
  </si>
  <si>
    <t>125/198</t>
  </si>
  <si>
    <t>TornadusVMAX</t>
  </si>
  <si>
    <t>126/198</t>
  </si>
  <si>
    <t>127/198</t>
  </si>
  <si>
    <t>128/198</t>
  </si>
  <si>
    <t>129/198</t>
  </si>
  <si>
    <t>Agatha</t>
  </si>
  <si>
    <t>130/198</t>
  </si>
  <si>
    <t>Avery</t>
  </si>
  <si>
    <t>131/198</t>
  </si>
  <si>
    <t>Brawly</t>
  </si>
  <si>
    <t>132/198</t>
  </si>
  <si>
    <t>133/198</t>
  </si>
  <si>
    <t>Crushing Gloves</t>
  </si>
  <si>
    <t>134/198</t>
  </si>
  <si>
    <t>Doctor</t>
  </si>
  <si>
    <t>135/198</t>
  </si>
  <si>
    <t>Dyna Tree Hill</t>
  </si>
  <si>
    <t>136/198</t>
  </si>
  <si>
    <t>Echoing Horn</t>
  </si>
  <si>
    <t>137/198</t>
  </si>
  <si>
    <t>Expedition Uniform</t>
  </si>
  <si>
    <t>138/198</t>
  </si>
  <si>
    <t>Fire-Resistant Gloves</t>
  </si>
  <si>
    <t>139/198</t>
  </si>
  <si>
    <t>Flannery</t>
  </si>
  <si>
    <t>140/198</t>
  </si>
  <si>
    <t>Fog Crystal</t>
  </si>
  <si>
    <t>141/198</t>
  </si>
  <si>
    <t>Galarian Chestplate</t>
  </si>
  <si>
    <t>142/198</t>
  </si>
  <si>
    <t>Honey</t>
  </si>
  <si>
    <t>143/198</t>
  </si>
  <si>
    <t>Justified Gloves</t>
  </si>
  <si>
    <t>144/198</t>
  </si>
  <si>
    <t>Karen's Conviction</t>
  </si>
  <si>
    <t>145/198</t>
  </si>
  <si>
    <t>Klara</t>
  </si>
  <si>
    <t>146/198</t>
  </si>
  <si>
    <t>Melony</t>
  </si>
  <si>
    <t>147/198</t>
  </si>
  <si>
    <t>Old Cemetery</t>
  </si>
  <si>
    <t>148/198</t>
  </si>
  <si>
    <t>Path to the Peak</t>
  </si>
  <si>
    <t>149/198</t>
  </si>
  <si>
    <t>Peonia</t>
  </si>
  <si>
    <t>150/198</t>
  </si>
  <si>
    <t>Peony</t>
  </si>
  <si>
    <t>151/198</t>
  </si>
  <si>
    <t>Rapid Strike Scroll of the Skies</t>
  </si>
  <si>
    <t>152/198</t>
  </si>
  <si>
    <t>Rugged Helmet</t>
  </si>
  <si>
    <t>153/198</t>
  </si>
  <si>
    <t>Siebold</t>
  </si>
  <si>
    <t>154/198</t>
  </si>
  <si>
    <t>Single Strike Scroll of Piercing</t>
  </si>
  <si>
    <t>155/198</t>
  </si>
  <si>
    <t>Weeding Gloves</t>
  </si>
  <si>
    <t>156/198</t>
  </si>
  <si>
    <t>Welcoming Lantern</t>
  </si>
  <si>
    <t>157/198</t>
  </si>
  <si>
    <t>Impact Energy</t>
  </si>
  <si>
    <t>158/198</t>
  </si>
  <si>
    <t>Lucky Energy</t>
  </si>
  <si>
    <t>159/198</t>
  </si>
  <si>
    <t>Spiral Energy</t>
  </si>
  <si>
    <t>160/198</t>
  </si>
  <si>
    <t>161/198</t>
  </si>
  <si>
    <t>162/198</t>
  </si>
  <si>
    <t>163/198</t>
  </si>
  <si>
    <t>164/198</t>
  </si>
  <si>
    <t>165/198</t>
  </si>
  <si>
    <t>166/198</t>
  </si>
  <si>
    <t>167/198</t>
  </si>
  <si>
    <t>168/198</t>
  </si>
  <si>
    <t>169/198</t>
  </si>
  <si>
    <t>170/198</t>
  </si>
  <si>
    <t>171/198</t>
  </si>
  <si>
    <t>172/198</t>
  </si>
  <si>
    <t>173/198</t>
  </si>
  <si>
    <t>174/198</t>
  </si>
  <si>
    <t>175/198</t>
  </si>
  <si>
    <t>176/198</t>
  </si>
  <si>
    <t>177/198</t>
  </si>
  <si>
    <t>178/198</t>
  </si>
  <si>
    <t>179/198</t>
  </si>
  <si>
    <t>180/198</t>
  </si>
  <si>
    <t>181/198</t>
  </si>
  <si>
    <t>182/198</t>
  </si>
  <si>
    <t>183/198</t>
  </si>
  <si>
    <t>184/198</t>
  </si>
  <si>
    <t>185/198</t>
  </si>
  <si>
    <t>186/198</t>
  </si>
  <si>
    <t>187/198</t>
  </si>
  <si>
    <t>188/198</t>
  </si>
  <si>
    <t>189/198</t>
  </si>
  <si>
    <t>190/198</t>
  </si>
  <si>
    <t>191/198</t>
  </si>
  <si>
    <t>192/198</t>
  </si>
  <si>
    <t>193/198</t>
  </si>
  <si>
    <t>194/198</t>
  </si>
  <si>
    <t>195/198</t>
  </si>
  <si>
    <t>196/198</t>
  </si>
  <si>
    <t>197/198</t>
  </si>
  <si>
    <t>198/198</t>
  </si>
  <si>
    <t>199/198</t>
  </si>
  <si>
    <t>200/198</t>
  </si>
  <si>
    <t>201/198</t>
  </si>
  <si>
    <t>202/198</t>
  </si>
  <si>
    <t>203/198</t>
  </si>
  <si>
    <t>204/198</t>
  </si>
  <si>
    <t>205/198</t>
  </si>
  <si>
    <t>206/198</t>
  </si>
  <si>
    <t>207/198</t>
  </si>
  <si>
    <t>208/198</t>
  </si>
  <si>
    <t>209/198</t>
  </si>
  <si>
    <t>210/198</t>
  </si>
  <si>
    <t>211/198</t>
  </si>
  <si>
    <t>212/198</t>
  </si>
  <si>
    <t>213/198</t>
  </si>
  <si>
    <t>214/198</t>
  </si>
  <si>
    <t>215/198</t>
  </si>
  <si>
    <t>216/198</t>
  </si>
  <si>
    <t>217/198</t>
  </si>
  <si>
    <t>218/198</t>
  </si>
  <si>
    <t>219/198</t>
  </si>
  <si>
    <t>220/198</t>
  </si>
  <si>
    <t>221/198</t>
  </si>
  <si>
    <t>222/198</t>
  </si>
  <si>
    <t>223/198</t>
  </si>
  <si>
    <t>224/198</t>
  </si>
  <si>
    <t>225/198</t>
  </si>
  <si>
    <t>226/198</t>
  </si>
  <si>
    <t>227/198</t>
  </si>
  <si>
    <t>228/198</t>
  </si>
  <si>
    <t>229/198</t>
  </si>
  <si>
    <t>230/198</t>
  </si>
  <si>
    <t>231/198</t>
  </si>
  <si>
    <t>232/198</t>
  </si>
  <si>
    <t>233/198</t>
  </si>
  <si>
    <t>001/203</t>
  </si>
  <si>
    <t>002/203</t>
  </si>
  <si>
    <t>003/203</t>
  </si>
  <si>
    <t>004/203</t>
  </si>
  <si>
    <t>005/203</t>
  </si>
  <si>
    <t>006/203</t>
  </si>
  <si>
    <t>007/203</t>
  </si>
  <si>
    <t>008/203</t>
  </si>
  <si>
    <t>LeafeonVMAX</t>
  </si>
  <si>
    <t>009/203</t>
  </si>
  <si>
    <t>010/203</t>
  </si>
  <si>
    <t>011/203</t>
  </si>
  <si>
    <t>012/203</t>
  </si>
  <si>
    <t>013/203</t>
  </si>
  <si>
    <t>TrevenantV</t>
  </si>
  <si>
    <t>014/203</t>
  </si>
  <si>
    <t>TrevenantVMAX</t>
  </si>
  <si>
    <t>015/203</t>
  </si>
  <si>
    <t>016/203</t>
  </si>
  <si>
    <t>017/203</t>
  </si>
  <si>
    <t>018/203</t>
  </si>
  <si>
    <t>019/203</t>
  </si>
  <si>
    <t>020/203</t>
  </si>
  <si>
    <t>021/203</t>
  </si>
  <si>
    <t>VolcaronaV</t>
  </si>
  <si>
    <t>022/203</t>
  </si>
  <si>
    <t>023/203</t>
  </si>
  <si>
    <t>024/203</t>
  </si>
  <si>
    <t>025/203</t>
  </si>
  <si>
    <t>026/203</t>
  </si>
  <si>
    <t>027/203</t>
  </si>
  <si>
    <t>028/203</t>
  </si>
  <si>
    <t>GyaradosV</t>
  </si>
  <si>
    <t>029/203</t>
  </si>
  <si>
    <t>GyaradosVMAX</t>
  </si>
  <si>
    <t>030/203</t>
  </si>
  <si>
    <t>031/203</t>
  </si>
  <si>
    <t>SuicuneV</t>
  </si>
  <si>
    <t>032/203</t>
  </si>
  <si>
    <t>033/203</t>
  </si>
  <si>
    <t>034/203</t>
  </si>
  <si>
    <t>035/203</t>
  </si>
  <si>
    <t>036/203</t>
  </si>
  <si>
    <t>037/203</t>
  </si>
  <si>
    <t>038/203</t>
  </si>
  <si>
    <t>039/203</t>
  </si>
  <si>
    <t>040/203</t>
  </si>
  <si>
    <t>041/203</t>
  </si>
  <si>
    <t>GlaceonVMAX</t>
  </si>
  <si>
    <t>042/203</t>
  </si>
  <si>
    <t>043/203</t>
  </si>
  <si>
    <t>044/203</t>
  </si>
  <si>
    <t>045/203</t>
  </si>
  <si>
    <t>046/203</t>
  </si>
  <si>
    <t>047/203</t>
  </si>
  <si>
    <t>048/203</t>
  </si>
  <si>
    <t>ArctovishV</t>
  </si>
  <si>
    <t>049/203</t>
  </si>
  <si>
    <t>050/203</t>
  </si>
  <si>
    <t>051/203</t>
  </si>
  <si>
    <t>052/203</t>
  </si>
  <si>
    <t>053/203</t>
  </si>
  <si>
    <t>054/203</t>
  </si>
  <si>
    <t>055/203</t>
  </si>
  <si>
    <t>056/203</t>
  </si>
  <si>
    <t>057/203</t>
  </si>
  <si>
    <t>058/203</t>
  </si>
  <si>
    <t>DracozoltV</t>
  </si>
  <si>
    <t>059/203</t>
  </si>
  <si>
    <t>DracozoltVMAX</t>
  </si>
  <si>
    <t>060/203</t>
  </si>
  <si>
    <t>Regieleki</t>
  </si>
  <si>
    <t>061/203</t>
  </si>
  <si>
    <t>062/203</t>
  </si>
  <si>
    <t>063/203</t>
  </si>
  <si>
    <t>064/203</t>
  </si>
  <si>
    <t>065/203</t>
  </si>
  <si>
    <t>EspeonVMAX</t>
  </si>
  <si>
    <t>066/203</t>
  </si>
  <si>
    <t>067/203</t>
  </si>
  <si>
    <t>068/203</t>
  </si>
  <si>
    <t>069/203</t>
  </si>
  <si>
    <t>070/203</t>
  </si>
  <si>
    <t>GolurkV</t>
  </si>
  <si>
    <t>071/203</t>
  </si>
  <si>
    <t>072/203</t>
  </si>
  <si>
    <t>073/203</t>
  </si>
  <si>
    <t>074/203</t>
  </si>
  <si>
    <t>075/203</t>
  </si>
  <si>
    <t>SylveonVMAX</t>
  </si>
  <si>
    <t>076/203</t>
  </si>
  <si>
    <t>077/203</t>
  </si>
  <si>
    <t>078/203</t>
  </si>
  <si>
    <t>079/203</t>
  </si>
  <si>
    <t>080/203</t>
  </si>
  <si>
    <t>081/203</t>
  </si>
  <si>
    <t>082/203</t>
  </si>
  <si>
    <t>083/203</t>
  </si>
  <si>
    <t>MedichamV</t>
  </si>
  <si>
    <t>084/203</t>
  </si>
  <si>
    <t>085/203</t>
  </si>
  <si>
    <t>086/203</t>
  </si>
  <si>
    <t>087/203</t>
  </si>
  <si>
    <t>088/203</t>
  </si>
  <si>
    <t>089/203</t>
  </si>
  <si>
    <t>090/203</t>
  </si>
  <si>
    <t>091/203</t>
  </si>
  <si>
    <t>092/203</t>
  </si>
  <si>
    <t>LycanrocVMAX</t>
  </si>
  <si>
    <t>093/203</t>
  </si>
  <si>
    <t>094/203</t>
  </si>
  <si>
    <t>095/203</t>
  </si>
  <si>
    <t>UmbreonVMAX</t>
  </si>
  <si>
    <t>096/203</t>
  </si>
  <si>
    <t>097/203</t>
  </si>
  <si>
    <t>098/203</t>
  </si>
  <si>
    <t>099/203</t>
  </si>
  <si>
    <t>100/203</t>
  </si>
  <si>
    <t>GarbodorV</t>
  </si>
  <si>
    <t>101/203</t>
  </si>
  <si>
    <t>GarbodorVMAX</t>
  </si>
  <si>
    <t>102/203</t>
  </si>
  <si>
    <t>103/203</t>
  </si>
  <si>
    <t>104/203</t>
  </si>
  <si>
    <t>105/203</t>
  </si>
  <si>
    <t>106/203</t>
  </si>
  <si>
    <t>107/203</t>
  </si>
  <si>
    <t>108/203</t>
  </si>
  <si>
    <t>109/203</t>
  </si>
  <si>
    <t>110/203</t>
  </si>
  <si>
    <t>111/203</t>
  </si>
  <si>
    <t>RayquazaVMAX</t>
  </si>
  <si>
    <t>112/203</t>
  </si>
  <si>
    <t>113/203</t>
  </si>
  <si>
    <t>114/203</t>
  </si>
  <si>
    <t>115/203</t>
  </si>
  <si>
    <t>116/203</t>
  </si>
  <si>
    <t>117/203</t>
  </si>
  <si>
    <t>118/203</t>
  </si>
  <si>
    <t>119/203</t>
  </si>
  <si>
    <t>120/203</t>
  </si>
  <si>
    <t>121/203</t>
  </si>
  <si>
    <t>122/203</t>
  </si>
  <si>
    <t>123/203</t>
  </si>
  <si>
    <t>DuraludonVMAX</t>
  </si>
  <si>
    <t>124/203</t>
  </si>
  <si>
    <t>Regidrago</t>
  </si>
  <si>
    <t>125/203</t>
  </si>
  <si>
    <t>126/203</t>
  </si>
  <si>
    <t>127/203</t>
  </si>
  <si>
    <t>128/203</t>
  </si>
  <si>
    <t>129/203</t>
  </si>
  <si>
    <t>130/203</t>
  </si>
  <si>
    <t>131/203</t>
  </si>
  <si>
    <t>132/203</t>
  </si>
  <si>
    <t>133/203</t>
  </si>
  <si>
    <t>134/203</t>
  </si>
  <si>
    <t>135/203</t>
  </si>
  <si>
    <t>136/203</t>
  </si>
  <si>
    <t>137/203</t>
  </si>
  <si>
    <t>138/203</t>
  </si>
  <si>
    <t>139/203</t>
  </si>
  <si>
    <t>140/203</t>
  </si>
  <si>
    <t>141/203</t>
  </si>
  <si>
    <t>Aroma Lady</t>
  </si>
  <si>
    <t>142/203</t>
  </si>
  <si>
    <t>Boost Shake</t>
  </si>
  <si>
    <t>143/203</t>
  </si>
  <si>
    <t>144/203</t>
  </si>
  <si>
    <t>Crystal Cave</t>
  </si>
  <si>
    <t>145/203</t>
  </si>
  <si>
    <t>Digging Gloves</t>
  </si>
  <si>
    <t>146/203</t>
  </si>
  <si>
    <t>Dream Ball</t>
  </si>
  <si>
    <t>147/203</t>
  </si>
  <si>
    <t>Elemental Badge</t>
  </si>
  <si>
    <t>148/203</t>
  </si>
  <si>
    <t>Full Face Guard</t>
  </si>
  <si>
    <t>149/203</t>
  </si>
  <si>
    <t>Gordie</t>
  </si>
  <si>
    <t>150/203</t>
  </si>
  <si>
    <t>Lucky Ice Pop</t>
  </si>
  <si>
    <t>151/203</t>
  </si>
  <si>
    <t>Moon &amp; Sun Badge</t>
  </si>
  <si>
    <t>152/203</t>
  </si>
  <si>
    <t>Raihan</t>
  </si>
  <si>
    <t>153/203</t>
  </si>
  <si>
    <t>Rapid Strike Scroll of the Flying Dragon</t>
  </si>
  <si>
    <t>154/203</t>
  </si>
  <si>
    <t>Rescue Carrier</t>
  </si>
  <si>
    <t>155/203</t>
  </si>
  <si>
    <t>Ribbon Badge</t>
  </si>
  <si>
    <t>156/203</t>
  </si>
  <si>
    <t>Rubber Gloves</t>
  </si>
  <si>
    <t>157/203</t>
  </si>
  <si>
    <t>Shopping Center</t>
  </si>
  <si>
    <t>158/203</t>
  </si>
  <si>
    <t>Single Strike Scroll of the Fanged Dragon</t>
  </si>
  <si>
    <t>159/203</t>
  </si>
  <si>
    <t>Snow Leaf Badge</t>
  </si>
  <si>
    <t>160/203</t>
  </si>
  <si>
    <t>Spirit Mask</t>
  </si>
  <si>
    <t>161/203</t>
  </si>
  <si>
    <t>Stormy Mountains</t>
  </si>
  <si>
    <t>162/203</t>
  </si>
  <si>
    <t>Switching Cups</t>
  </si>
  <si>
    <t>163/203</t>
  </si>
  <si>
    <t>Toy Catcher</t>
  </si>
  <si>
    <t>164/203</t>
  </si>
  <si>
    <t>Zinnia's Resolve</t>
  </si>
  <si>
    <t>165/203</t>
  </si>
  <si>
    <t>Treasure Energy</t>
  </si>
  <si>
    <t>166/203</t>
  </si>
  <si>
    <t>167/203</t>
  </si>
  <si>
    <t>168/203</t>
  </si>
  <si>
    <t>169/203</t>
  </si>
  <si>
    <t>170/203</t>
  </si>
  <si>
    <t>171/203</t>
  </si>
  <si>
    <t>172/203</t>
  </si>
  <si>
    <t>173/203</t>
  </si>
  <si>
    <t>174/203</t>
  </si>
  <si>
    <t>175/203</t>
  </si>
  <si>
    <t>176/203</t>
  </si>
  <si>
    <t>177/203</t>
  </si>
  <si>
    <t>178/203</t>
  </si>
  <si>
    <t>179/203</t>
  </si>
  <si>
    <t>180/203</t>
  </si>
  <si>
    <t>181/203</t>
  </si>
  <si>
    <t>182/203</t>
  </si>
  <si>
    <t>183/203</t>
  </si>
  <si>
    <t>184/203</t>
  </si>
  <si>
    <t>185/203</t>
  </si>
  <si>
    <t>186/203</t>
  </si>
  <si>
    <t>187/203</t>
  </si>
  <si>
    <t>188/203</t>
  </si>
  <si>
    <t>189/203</t>
  </si>
  <si>
    <t>190/203</t>
  </si>
  <si>
    <t>191/203</t>
  </si>
  <si>
    <t>192/203</t>
  </si>
  <si>
    <t>193/203</t>
  </si>
  <si>
    <t>194/203</t>
  </si>
  <si>
    <t>195/203</t>
  </si>
  <si>
    <t>196/203</t>
  </si>
  <si>
    <t>197/203</t>
  </si>
  <si>
    <t>198/203</t>
  </si>
  <si>
    <t>199/203</t>
  </si>
  <si>
    <t>200/203</t>
  </si>
  <si>
    <t>201/203</t>
  </si>
  <si>
    <t>202/203</t>
  </si>
  <si>
    <t>203/203</t>
  </si>
  <si>
    <t>204/203</t>
  </si>
  <si>
    <t>205/203</t>
  </si>
  <si>
    <t>206/203</t>
  </si>
  <si>
    <t>207/203</t>
  </si>
  <si>
    <t>208/203</t>
  </si>
  <si>
    <t>209/203</t>
  </si>
  <si>
    <t>210/203</t>
  </si>
  <si>
    <t>211/203</t>
  </si>
  <si>
    <t>212/203</t>
  </si>
  <si>
    <t>213/203</t>
  </si>
  <si>
    <t>214/203</t>
  </si>
  <si>
    <t>215/203</t>
  </si>
  <si>
    <t>216/203</t>
  </si>
  <si>
    <t>217/203</t>
  </si>
  <si>
    <t>218/203</t>
  </si>
  <si>
    <t>219/203</t>
  </si>
  <si>
    <t>220/203</t>
  </si>
  <si>
    <t>221/203</t>
  </si>
  <si>
    <t>222/203</t>
  </si>
  <si>
    <t>223/203</t>
  </si>
  <si>
    <t>224/203</t>
  </si>
  <si>
    <t>225/203</t>
  </si>
  <si>
    <t>226/203</t>
  </si>
  <si>
    <t>227/203</t>
  </si>
  <si>
    <t>228/203</t>
  </si>
  <si>
    <t>229/203</t>
  </si>
  <si>
    <t>230/203</t>
  </si>
  <si>
    <t>231/203</t>
  </si>
  <si>
    <t>232/203</t>
  </si>
  <si>
    <t>233/203</t>
  </si>
  <si>
    <t>234/203</t>
  </si>
  <si>
    <t>235/203</t>
  </si>
  <si>
    <t>236/203</t>
  </si>
  <si>
    <t>237/203</t>
  </si>
  <si>
    <t>001/025</t>
  </si>
  <si>
    <t>002/025</t>
  </si>
  <si>
    <t>003/025</t>
  </si>
  <si>
    <t>004/025</t>
  </si>
  <si>
    <t>005/025</t>
  </si>
  <si>
    <t>006/025</t>
  </si>
  <si>
    <t>Flying PikachuV</t>
  </si>
  <si>
    <t>007/025</t>
  </si>
  <si>
    <t>Flying PikachuVMAX</t>
  </si>
  <si>
    <t>008/025</t>
  </si>
  <si>
    <t>Surfing PikachuV</t>
  </si>
  <si>
    <t>009/025</t>
  </si>
  <si>
    <t>Surfing PikachuVMAX</t>
  </si>
  <si>
    <t>010/025</t>
  </si>
  <si>
    <t>011/025</t>
  </si>
  <si>
    <t>012/025</t>
  </si>
  <si>
    <t>013/025</t>
  </si>
  <si>
    <t>014/025</t>
  </si>
  <si>
    <t>015/025</t>
  </si>
  <si>
    <t>016/025</t>
  </si>
  <si>
    <t>017/025</t>
  </si>
  <si>
    <t>018/025</t>
  </si>
  <si>
    <t>019/025</t>
  </si>
  <si>
    <t>020/025</t>
  </si>
  <si>
    <t>021/025</t>
  </si>
  <si>
    <t>022/025</t>
  </si>
  <si>
    <t>023/025</t>
  </si>
  <si>
    <t>024/025</t>
  </si>
  <si>
    <t>025/025</t>
  </si>
  <si>
    <t>CLASSIC COLLECTION</t>
  </si>
  <si>
    <t>Rocket's Admin</t>
  </si>
  <si>
    <t>Umbreon*</t>
  </si>
  <si>
    <r>
      <rPr>
        <u/>
        <sz val="10"/>
        <color rgb="FF1155CC"/>
        <rFont val="Arial"/>
        <family val="2"/>
      </rPr>
      <t>Garchomp</t>
    </r>
    <r>
      <rPr>
        <u/>
        <sz val="10"/>
        <color rgb="FF1155CC"/>
        <rFont val="Arial"/>
        <family val="2"/>
      </rPr>
      <t xml:space="preserve"> C LV.X</t>
    </r>
  </si>
  <si>
    <t>MewtwoEX</t>
  </si>
  <si>
    <t>XerneasEX</t>
  </si>
  <si>
    <t>MRayquazaEX</t>
  </si>
  <si>
    <t>Tapu LeleGX</t>
  </si>
  <si>
    <t>001/264</t>
  </si>
  <si>
    <t>002/264</t>
  </si>
  <si>
    <t>003/264</t>
  </si>
  <si>
    <t>004/264</t>
  </si>
  <si>
    <t>005/264</t>
  </si>
  <si>
    <t>006/264</t>
  </si>
  <si>
    <t>BreloomV</t>
  </si>
  <si>
    <t>007/264</t>
  </si>
  <si>
    <t>008/264</t>
  </si>
  <si>
    <t>009/264</t>
  </si>
  <si>
    <t>010/264</t>
  </si>
  <si>
    <t>011/264</t>
  </si>
  <si>
    <t>012/264</t>
  </si>
  <si>
    <t>013/264</t>
  </si>
  <si>
    <t>014/264</t>
  </si>
  <si>
    <t>015/264</t>
  </si>
  <si>
    <t>016/264</t>
  </si>
  <si>
    <t>017/264</t>
  </si>
  <si>
    <t>018/264</t>
  </si>
  <si>
    <t>019/264</t>
  </si>
  <si>
    <t>020/264</t>
  </si>
  <si>
    <t>021/264</t>
  </si>
  <si>
    <t>TsareenaV</t>
  </si>
  <si>
    <t>022/264</t>
  </si>
  <si>
    <t>023/264</t>
  </si>
  <si>
    <t>024/264</t>
  </si>
  <si>
    <t>025/264</t>
  </si>
  <si>
    <t>026/264</t>
  </si>
  <si>
    <t>AppletunV</t>
  </si>
  <si>
    <t>027/264</t>
  </si>
  <si>
    <t>028/264</t>
  </si>
  <si>
    <t>029/264</t>
  </si>
  <si>
    <t>030/264</t>
  </si>
  <si>
    <t>031/264</t>
  </si>
  <si>
    <t>032/264</t>
  </si>
  <si>
    <t>033/264</t>
  </si>
  <si>
    <t>034/264</t>
  </si>
  <si>
    <t>035/264</t>
  </si>
  <si>
    <t>036/264</t>
  </si>
  <si>
    <t>037/264</t>
  </si>
  <si>
    <t>038/264</t>
  </si>
  <si>
    <t>039/264</t>
  </si>
  <si>
    <t>ChandelureV</t>
  </si>
  <si>
    <t>040/264</t>
  </si>
  <si>
    <t>ChandelureVMAX</t>
  </si>
  <si>
    <t>041/264</t>
  </si>
  <si>
    <t>042/264</t>
  </si>
  <si>
    <t>043/264</t>
  </si>
  <si>
    <t>044/264</t>
  </si>
  <si>
    <t>045/264</t>
  </si>
  <si>
    <t>046/264</t>
  </si>
  <si>
    <t>047/264</t>
  </si>
  <si>
    <t>048/264</t>
  </si>
  <si>
    <t>049/264</t>
  </si>
  <si>
    <t>050/264</t>
  </si>
  <si>
    <t>051/264</t>
  </si>
  <si>
    <t>052/264</t>
  </si>
  <si>
    <t>053/264</t>
  </si>
  <si>
    <t>054/264</t>
  </si>
  <si>
    <t>055/264</t>
  </si>
  <si>
    <t>056/264</t>
  </si>
  <si>
    <t>057/264</t>
  </si>
  <si>
    <t>058/264</t>
  </si>
  <si>
    <t>059/264</t>
  </si>
  <si>
    <t>060/264</t>
  </si>
  <si>
    <t>061/264</t>
  </si>
  <si>
    <t>062/264</t>
  </si>
  <si>
    <t>063/264</t>
  </si>
  <si>
    <t>064/264</t>
  </si>
  <si>
    <t>065/264</t>
  </si>
  <si>
    <t>066/264</t>
  </si>
  <si>
    <t>067/264</t>
  </si>
  <si>
    <t>068/264</t>
  </si>
  <si>
    <t>069/264</t>
  </si>
  <si>
    <t>070/264</t>
  </si>
  <si>
    <t>071/264</t>
  </si>
  <si>
    <t>072/264</t>
  </si>
  <si>
    <t>073/264</t>
  </si>
  <si>
    <t>GreninjaV</t>
  </si>
  <si>
    <t>074/264</t>
  </si>
  <si>
    <t>075/264</t>
  </si>
  <si>
    <t>076/264</t>
  </si>
  <si>
    <t>CrabominableV</t>
  </si>
  <si>
    <t>077/264</t>
  </si>
  <si>
    <t>078/264</t>
  </si>
  <si>
    <t>079/264</t>
  </si>
  <si>
    <t>InteleonVMAX</t>
  </si>
  <si>
    <t>080/264</t>
  </si>
  <si>
    <t>081/264</t>
  </si>
  <si>
    <t>082/264</t>
  </si>
  <si>
    <t>083/264</t>
  </si>
  <si>
    <t>084/264</t>
  </si>
  <si>
    <t>085/264</t>
  </si>
  <si>
    <t>086/264</t>
  </si>
  <si>
    <t>087/264</t>
  </si>
  <si>
    <t>088/264</t>
  </si>
  <si>
    <t>089/264</t>
  </si>
  <si>
    <t>090/264</t>
  </si>
  <si>
    <t>091/264</t>
  </si>
  <si>
    <t>092/264</t>
  </si>
  <si>
    <t>093/264</t>
  </si>
  <si>
    <t>094/264</t>
  </si>
  <si>
    <t>095/264</t>
  </si>
  <si>
    <t>096/264</t>
  </si>
  <si>
    <t>097/264</t>
  </si>
  <si>
    <t>098/264</t>
  </si>
  <si>
    <t>099/264</t>
  </si>
  <si>
    <t>100/264</t>
  </si>
  <si>
    <t>101/264</t>
  </si>
  <si>
    <t>102/264</t>
  </si>
  <si>
    <t>103/264</t>
  </si>
  <si>
    <t>104/264</t>
  </si>
  <si>
    <t>BoltundVMAX</t>
  </si>
  <si>
    <t>105/264</t>
  </si>
  <si>
    <t>106/264</t>
  </si>
  <si>
    <t>107/264</t>
  </si>
  <si>
    <t>108/264</t>
  </si>
  <si>
    <t>109/264</t>
  </si>
  <si>
    <t>110/264</t>
  </si>
  <si>
    <t>111/264</t>
  </si>
  <si>
    <t>112/264</t>
  </si>
  <si>
    <t>113/264</t>
  </si>
  <si>
    <t>114/264</t>
  </si>
  <si>
    <t>MewVMAX</t>
  </si>
  <si>
    <t>115/264</t>
  </si>
  <si>
    <t>116/264</t>
  </si>
  <si>
    <t>117/264</t>
  </si>
  <si>
    <t>118/264</t>
  </si>
  <si>
    <t>119/264</t>
  </si>
  <si>
    <t>120/264</t>
  </si>
  <si>
    <t>121/264</t>
  </si>
  <si>
    <t>122/264</t>
  </si>
  <si>
    <t>123/264</t>
  </si>
  <si>
    <t>124/264</t>
  </si>
  <si>
    <t>125/264</t>
  </si>
  <si>
    <t>126/264</t>
  </si>
  <si>
    <t>127/264</t>
  </si>
  <si>
    <t>128/264</t>
  </si>
  <si>
    <t>129/264</t>
  </si>
  <si>
    <t>130/264</t>
  </si>
  <si>
    <t>131/264</t>
  </si>
  <si>
    <t>132/264</t>
  </si>
  <si>
    <t>133/264</t>
  </si>
  <si>
    <t>134/264</t>
  </si>
  <si>
    <t>135/264</t>
  </si>
  <si>
    <t>136/264</t>
  </si>
  <si>
    <t>137/264</t>
  </si>
  <si>
    <t>138/264</t>
  </si>
  <si>
    <t>139/264</t>
  </si>
  <si>
    <t>140/264</t>
  </si>
  <si>
    <t>141/264</t>
  </si>
  <si>
    <t>142/264</t>
  </si>
  <si>
    <t>143/264</t>
  </si>
  <si>
    <t>144/264</t>
  </si>
  <si>
    <t>145/264</t>
  </si>
  <si>
    <t>146/264</t>
  </si>
  <si>
    <t>147/264</t>
  </si>
  <si>
    <t>148/264</t>
  </si>
  <si>
    <t>149/264</t>
  </si>
  <si>
    <t>150/264</t>
  </si>
  <si>
    <t>151/264</t>
  </si>
  <si>
    <t>152/264</t>
  </si>
  <si>
    <t>153/264</t>
  </si>
  <si>
    <t>154/264</t>
  </si>
  <si>
    <t>155/264</t>
  </si>
  <si>
    <t>156/264</t>
  </si>
  <si>
    <t>GengarV</t>
  </si>
  <si>
    <t>157/264</t>
  </si>
  <si>
    <t>GengarVMAX</t>
  </si>
  <si>
    <t>158/264</t>
  </si>
  <si>
    <t>159/264</t>
  </si>
  <si>
    <t>160/264</t>
  </si>
  <si>
    <t>161/264</t>
  </si>
  <si>
    <t>162/264</t>
  </si>
  <si>
    <t>163/264</t>
  </si>
  <si>
    <t>164/264</t>
  </si>
  <si>
    <t>165/264</t>
  </si>
  <si>
    <t>166/264</t>
  </si>
  <si>
    <t>167/264</t>
  </si>
  <si>
    <t>168/264</t>
  </si>
  <si>
    <t>169/264</t>
  </si>
  <si>
    <t>170/264</t>
  </si>
  <si>
    <t>171/264</t>
  </si>
  <si>
    <t>172/264</t>
  </si>
  <si>
    <t>173/264</t>
  </si>
  <si>
    <t>174/264</t>
  </si>
  <si>
    <t>175/264</t>
  </si>
  <si>
    <t>176/264</t>
  </si>
  <si>
    <t>177/264</t>
  </si>
  <si>
    <t>178/264</t>
  </si>
  <si>
    <t>179/264</t>
  </si>
  <si>
    <t>180/264</t>
  </si>
  <si>
    <t>181/264</t>
  </si>
  <si>
    <t>182/264</t>
  </si>
  <si>
    <t>183/264</t>
  </si>
  <si>
    <t>184/264</t>
  </si>
  <si>
    <t>185/264</t>
  </si>
  <si>
    <t>GenesectV</t>
  </si>
  <si>
    <t>186/264</t>
  </si>
  <si>
    <t>187/264</t>
  </si>
  <si>
    <t>188/264</t>
  </si>
  <si>
    <t>189/264</t>
  </si>
  <si>
    <t>190/264</t>
  </si>
  <si>
    <t>191/264</t>
  </si>
  <si>
    <t>192/264</t>
  </si>
  <si>
    <t>193/264</t>
  </si>
  <si>
    <t>194/264</t>
  </si>
  <si>
    <t>195/264</t>
  </si>
  <si>
    <t>196/264</t>
  </si>
  <si>
    <t>197/264</t>
  </si>
  <si>
    <t>198/264</t>
  </si>
  <si>
    <t>199/264</t>
  </si>
  <si>
    <t>200/264</t>
  </si>
  <si>
    <t>201/264</t>
  </si>
  <si>
    <t>DodrioV</t>
  </si>
  <si>
    <t>202/264</t>
  </si>
  <si>
    <t>203/264</t>
  </si>
  <si>
    <t>204/264</t>
  </si>
  <si>
    <t>205/264</t>
  </si>
  <si>
    <t>206/264</t>
  </si>
  <si>
    <t>207/264</t>
  </si>
  <si>
    <t>208/264</t>
  </si>
  <si>
    <t>209/264</t>
  </si>
  <si>
    <t>210/264</t>
  </si>
  <si>
    <t>211/264</t>
  </si>
  <si>
    <t>212/264</t>
  </si>
  <si>
    <t>213/264</t>
  </si>
  <si>
    <t>214/264</t>
  </si>
  <si>
    <t>215/264</t>
  </si>
  <si>
    <t>216/264</t>
  </si>
  <si>
    <t>217/264</t>
  </si>
  <si>
    <t>218/264</t>
  </si>
  <si>
    <t>GreedentVMAX</t>
  </si>
  <si>
    <t>219/264</t>
  </si>
  <si>
    <t>220/264</t>
  </si>
  <si>
    <t>221/264</t>
  </si>
  <si>
    <t>222/264</t>
  </si>
  <si>
    <t>223/264</t>
  </si>
  <si>
    <t>224/264</t>
  </si>
  <si>
    <t>Adventurer's Discovery</t>
  </si>
  <si>
    <t>225/264</t>
  </si>
  <si>
    <t>Battle VIP Pass</t>
  </si>
  <si>
    <t>226/264</t>
  </si>
  <si>
    <t>227/264</t>
  </si>
  <si>
    <t>Chili &amp; Cilan &amp; Cress</t>
  </si>
  <si>
    <t>228/264</t>
  </si>
  <si>
    <t>Cook</t>
  </si>
  <si>
    <t>229/264</t>
  </si>
  <si>
    <t>Cram-o-matic</t>
  </si>
  <si>
    <t>230/264</t>
  </si>
  <si>
    <t>Cross Switcher</t>
  </si>
  <si>
    <t>231/264</t>
  </si>
  <si>
    <t>Crossceiver</t>
  </si>
  <si>
    <t>232/264</t>
  </si>
  <si>
    <t>Dancer</t>
  </si>
  <si>
    <t>233/264</t>
  </si>
  <si>
    <t>Elesa's Sparkle</t>
  </si>
  <si>
    <t>234/264</t>
  </si>
  <si>
    <t>Farewell Bell</t>
  </si>
  <si>
    <t>235/264</t>
  </si>
  <si>
    <t>236/264</t>
  </si>
  <si>
    <t>Power Tablet</t>
  </si>
  <si>
    <t>237/264</t>
  </si>
  <si>
    <t>238/264</t>
  </si>
  <si>
    <t>Schoolboy</t>
  </si>
  <si>
    <t>239/264</t>
  </si>
  <si>
    <t>Schoolgirl</t>
  </si>
  <si>
    <t>240/264</t>
  </si>
  <si>
    <t>241/264</t>
  </si>
  <si>
    <t>Sidney</t>
  </si>
  <si>
    <t>242/264</t>
  </si>
  <si>
    <t>Skaters' Park</t>
  </si>
  <si>
    <t>243/264</t>
  </si>
  <si>
    <t>Spongy Gloves</t>
  </si>
  <si>
    <t>244/264</t>
  </si>
  <si>
    <t>Fusion Strike Energy</t>
  </si>
  <si>
    <t>245/264</t>
  </si>
  <si>
    <t>246/264</t>
  </si>
  <si>
    <t>247/264</t>
  </si>
  <si>
    <t>248/264</t>
  </si>
  <si>
    <t>249/264</t>
  </si>
  <si>
    <t>250/264</t>
  </si>
  <si>
    <t>251/264</t>
  </si>
  <si>
    <t>252/264</t>
  </si>
  <si>
    <t>253/264</t>
  </si>
  <si>
    <t>254/264</t>
  </si>
  <si>
    <t>255/264</t>
  </si>
  <si>
    <t>256/264</t>
  </si>
  <si>
    <t>257/264</t>
  </si>
  <si>
    <t>258/264</t>
  </si>
  <si>
    <t>259/264</t>
  </si>
  <si>
    <t>260/264</t>
  </si>
  <si>
    <t>261/264</t>
  </si>
  <si>
    <t>262/264</t>
  </si>
  <si>
    <t>263/264</t>
  </si>
  <si>
    <t>264/264</t>
  </si>
  <si>
    <t>265/264</t>
  </si>
  <si>
    <t>266/264</t>
  </si>
  <si>
    <t>267/264</t>
  </si>
  <si>
    <t>268/264</t>
  </si>
  <si>
    <t>269/264</t>
  </si>
  <si>
    <t>270/264</t>
  </si>
  <si>
    <t>271/264</t>
  </si>
  <si>
    <t>272/264</t>
  </si>
  <si>
    <t>273/264</t>
  </si>
  <si>
    <t>274/264</t>
  </si>
  <si>
    <t>275/264</t>
  </si>
  <si>
    <t>276/264</t>
  </si>
  <si>
    <t>277/264</t>
  </si>
  <si>
    <t>278/264</t>
  </si>
  <si>
    <t>279/264</t>
  </si>
  <si>
    <t>280/264</t>
  </si>
  <si>
    <t>281/264</t>
  </si>
  <si>
    <t>282/264</t>
  </si>
  <si>
    <t>283/264</t>
  </si>
  <si>
    <t>284/264</t>
  </si>
  <si>
    <t>001/172</t>
  </si>
  <si>
    <t>002/172</t>
  </si>
  <si>
    <t>003/172</t>
  </si>
  <si>
    <t>004/172</t>
  </si>
  <si>
    <t>005/172</t>
  </si>
  <si>
    <t>006/172</t>
  </si>
  <si>
    <t>007/172</t>
  </si>
  <si>
    <t>008/172</t>
  </si>
  <si>
    <t>009/172</t>
  </si>
  <si>
    <t>010/172</t>
  </si>
  <si>
    <t>011/172</t>
  </si>
  <si>
    <t>012/172</t>
  </si>
  <si>
    <t>013/172</t>
  </si>
  <si>
    <t>ShayminV</t>
  </si>
  <si>
    <t>014/172</t>
  </si>
  <si>
    <t>ShayminVSTAR</t>
  </si>
  <si>
    <t>015/172</t>
  </si>
  <si>
    <t>016/172</t>
  </si>
  <si>
    <t>017/172</t>
  </si>
  <si>
    <t>018/172</t>
  </si>
  <si>
    <t>CharizardVSTAR</t>
  </si>
  <si>
    <t>019/172</t>
  </si>
  <si>
    <t>020/172</t>
  </si>
  <si>
    <t>021/172</t>
  </si>
  <si>
    <t>022/172</t>
  </si>
  <si>
    <t>EnteiV</t>
  </si>
  <si>
    <t>023/172</t>
  </si>
  <si>
    <t>024/172</t>
  </si>
  <si>
    <t>025/172</t>
  </si>
  <si>
    <t>026/172</t>
  </si>
  <si>
    <t>027/172</t>
  </si>
  <si>
    <t>SimisearV</t>
  </si>
  <si>
    <t>028/172</t>
  </si>
  <si>
    <t>KinglerV</t>
  </si>
  <si>
    <t>029/172</t>
  </si>
  <si>
    <t>KinglerVMAX</t>
  </si>
  <si>
    <t>030/172</t>
  </si>
  <si>
    <t>031/172</t>
  </si>
  <si>
    <t>032/172</t>
  </si>
  <si>
    <t>033/172</t>
  </si>
  <si>
    <t>034/172</t>
  </si>
  <si>
    <t>035/172</t>
  </si>
  <si>
    <t>036/172</t>
  </si>
  <si>
    <t>037/172</t>
  </si>
  <si>
    <t>038/172</t>
  </si>
  <si>
    <t>039/172</t>
  </si>
  <si>
    <t>040/172</t>
  </si>
  <si>
    <t>LumineonV</t>
  </si>
  <si>
    <t>041/172</t>
  </si>
  <si>
    <t>042/172</t>
  </si>
  <si>
    <t>043/172</t>
  </si>
  <si>
    <t>044/172</t>
  </si>
  <si>
    <t>045/172</t>
  </si>
  <si>
    <t>RaichuV</t>
  </si>
  <si>
    <t>046/172</t>
  </si>
  <si>
    <t>047/172</t>
  </si>
  <si>
    <t>048/172</t>
  </si>
  <si>
    <t>RaikouV</t>
  </si>
  <si>
    <t>049/172</t>
  </si>
  <si>
    <t>050/172</t>
  </si>
  <si>
    <t>051/172</t>
  </si>
  <si>
    <t>052/172</t>
  </si>
  <si>
    <t>053/172</t>
  </si>
  <si>
    <t>054/172</t>
  </si>
  <si>
    <t>055/172</t>
  </si>
  <si>
    <t>056/172</t>
  </si>
  <si>
    <t>057/172</t>
  </si>
  <si>
    <t>GranbullV</t>
  </si>
  <si>
    <t>058/172</t>
  </si>
  <si>
    <t>059/172</t>
  </si>
  <si>
    <t>060/172</t>
  </si>
  <si>
    <t>061/172</t>
  </si>
  <si>
    <t>062/172</t>
  </si>
  <si>
    <t>063/172</t>
  </si>
  <si>
    <t>064/172</t>
  </si>
  <si>
    <t>WhimsicottV</t>
  </si>
  <si>
    <t>065/172</t>
  </si>
  <si>
    <t>WhimsicottVSTAR</t>
  </si>
  <si>
    <t>066/172</t>
  </si>
  <si>
    <t>067/172</t>
  </si>
  <si>
    <t>068/172</t>
  </si>
  <si>
    <t>069/172</t>
  </si>
  <si>
    <t>MimikyuVMAX</t>
  </si>
  <si>
    <t>070/172</t>
  </si>
  <si>
    <t>071/172</t>
  </si>
  <si>
    <t>072/172</t>
  </si>
  <si>
    <t>073/172</t>
  </si>
  <si>
    <t>074/172</t>
  </si>
  <si>
    <t>075/172</t>
  </si>
  <si>
    <t>076/172</t>
  </si>
  <si>
    <t>077/172</t>
  </si>
  <si>
    <t>078/172</t>
  </si>
  <si>
    <t>079/172</t>
  </si>
  <si>
    <t>080/172</t>
  </si>
  <si>
    <t>081/172</t>
  </si>
  <si>
    <t>082/172</t>
  </si>
  <si>
    <t>083/172</t>
  </si>
  <si>
    <t>084/172</t>
  </si>
  <si>
    <t>085/172</t>
  </si>
  <si>
    <t>086/172</t>
  </si>
  <si>
    <t>087/172</t>
  </si>
  <si>
    <t>088/172</t>
  </si>
  <si>
    <t>HonchkrowV</t>
  </si>
  <si>
    <t>089/172</t>
  </si>
  <si>
    <t>090/172</t>
  </si>
  <si>
    <t>091/172</t>
  </si>
  <si>
    <t>092/172</t>
  </si>
  <si>
    <t>093/172</t>
  </si>
  <si>
    <t>094/172</t>
  </si>
  <si>
    <t>095/172</t>
  </si>
  <si>
    <t>096/172</t>
  </si>
  <si>
    <t>AggronV</t>
  </si>
  <si>
    <t>097/172</t>
  </si>
  <si>
    <t>AggronVMAX</t>
  </si>
  <si>
    <t>098/172</t>
  </si>
  <si>
    <t>099/172</t>
  </si>
  <si>
    <t>100/172</t>
  </si>
  <si>
    <t>101/172</t>
  </si>
  <si>
    <t>102/172</t>
  </si>
  <si>
    <t>103/172</t>
  </si>
  <si>
    <t>104/172</t>
  </si>
  <si>
    <t>105/172</t>
  </si>
  <si>
    <t>106/172</t>
  </si>
  <si>
    <t>FlygonV</t>
  </si>
  <si>
    <t>107/172</t>
  </si>
  <si>
    <t>108/172</t>
  </si>
  <si>
    <t>109/172</t>
  </si>
  <si>
    <t>110/172</t>
  </si>
  <si>
    <t>111/172</t>
  </si>
  <si>
    <t>112/172</t>
  </si>
  <si>
    <t>113/172</t>
  </si>
  <si>
    <t>114/172</t>
  </si>
  <si>
    <t>DracovishV</t>
  </si>
  <si>
    <t>115/172</t>
  </si>
  <si>
    <t>116/172</t>
  </si>
  <si>
    <t>117/172</t>
  </si>
  <si>
    <t>118/172</t>
  </si>
  <si>
    <t>119/172</t>
  </si>
  <si>
    <t>120/172</t>
  </si>
  <si>
    <t>121/172</t>
  </si>
  <si>
    <t>122/172</t>
  </si>
  <si>
    <t>ArceusV</t>
  </si>
  <si>
    <t>123/172</t>
  </si>
  <si>
    <t>ArceusVSTAR</t>
  </si>
  <si>
    <t>124/172</t>
  </si>
  <si>
    <t>125/172</t>
  </si>
  <si>
    <t>126/172</t>
  </si>
  <si>
    <t>127/172</t>
  </si>
  <si>
    <t>128/172</t>
  </si>
  <si>
    <t>DrampaV</t>
  </si>
  <si>
    <t>129/172</t>
  </si>
  <si>
    <t>Acerola's Premonition</t>
  </si>
  <si>
    <t>130/172</t>
  </si>
  <si>
    <t>Barry</t>
  </si>
  <si>
    <t>131/172</t>
  </si>
  <si>
    <t>Blunder Policy</t>
  </si>
  <si>
    <t>132/172</t>
  </si>
  <si>
    <t>133/172</t>
  </si>
  <si>
    <t>Café Master</t>
  </si>
  <si>
    <t>134/172</t>
  </si>
  <si>
    <t>Cheren's Care</t>
  </si>
  <si>
    <t>135/172</t>
  </si>
  <si>
    <t>Choice Belt</t>
  </si>
  <si>
    <t>136/172</t>
  </si>
  <si>
    <t>Cleansing Gloves</t>
  </si>
  <si>
    <t>137/172</t>
  </si>
  <si>
    <t>Collapsed Stadium</t>
  </si>
  <si>
    <t>138/172</t>
  </si>
  <si>
    <t>Cynthia's Ambition</t>
  </si>
  <si>
    <t>139/172</t>
  </si>
  <si>
    <t>140/172</t>
  </si>
  <si>
    <t>Friends in Galar</t>
  </si>
  <si>
    <t>141/172</t>
  </si>
  <si>
    <t>Gloria</t>
  </si>
  <si>
    <t>142/172</t>
  </si>
  <si>
    <t>Hunting Gloves</t>
  </si>
  <si>
    <t>143/172</t>
  </si>
  <si>
    <t>Kindler</t>
  </si>
  <si>
    <t>144/172</t>
  </si>
  <si>
    <t>Magma Basin</t>
  </si>
  <si>
    <t>145/172</t>
  </si>
  <si>
    <t>Marnie's Pride</t>
  </si>
  <si>
    <t>146/172</t>
  </si>
  <si>
    <t>Pot Helmet</t>
  </si>
  <si>
    <t>147/172</t>
  </si>
  <si>
    <t>148/172</t>
  </si>
  <si>
    <t>Roseanne's Backup</t>
  </si>
  <si>
    <t>149/172</t>
  </si>
  <si>
    <t>Team Yell's Cheer</t>
  </si>
  <si>
    <t>150/172</t>
  </si>
  <si>
    <t>151/172</t>
  </si>
  <si>
    <t>Double Turbo Energy</t>
  </si>
  <si>
    <t>152/172</t>
  </si>
  <si>
    <t>153/172</t>
  </si>
  <si>
    <t>154/172</t>
  </si>
  <si>
    <t>155/172</t>
  </si>
  <si>
    <t>156/172</t>
  </si>
  <si>
    <t>157/172</t>
  </si>
  <si>
    <t>158/172</t>
  </si>
  <si>
    <t>159/172</t>
  </si>
  <si>
    <t>160/172</t>
  </si>
  <si>
    <t>161/172</t>
  </si>
  <si>
    <t>162/172</t>
  </si>
  <si>
    <t>163/172</t>
  </si>
  <si>
    <t>164/172</t>
  </si>
  <si>
    <t>165/172</t>
  </si>
  <si>
    <t>166/172</t>
  </si>
  <si>
    <t>167/172</t>
  </si>
  <si>
    <t>168/172</t>
  </si>
  <si>
    <t>169/172</t>
  </si>
  <si>
    <t>170/172</t>
  </si>
  <si>
    <t>171/172</t>
  </si>
  <si>
    <t>172/172</t>
  </si>
  <si>
    <t>173/172</t>
  </si>
  <si>
    <t>174/172</t>
  </si>
  <si>
    <t>175/172</t>
  </si>
  <si>
    <t>176/172</t>
  </si>
  <si>
    <t>177/172</t>
  </si>
  <si>
    <t>178/172</t>
  </si>
  <si>
    <t>179/172</t>
  </si>
  <si>
    <t>180/172</t>
  </si>
  <si>
    <t>181/172</t>
  </si>
  <si>
    <t>182/172</t>
  </si>
  <si>
    <t>183/172</t>
  </si>
  <si>
    <t>184/172</t>
  </si>
  <si>
    <t>185/172</t>
  </si>
  <si>
    <t>186/172</t>
  </si>
  <si>
    <t>TRAINER GALLERY</t>
  </si>
  <si>
    <t>TG01/TG30</t>
  </si>
  <si>
    <t>TG02/TG30</t>
  </si>
  <si>
    <t>TG03/TG30</t>
  </si>
  <si>
    <t>TG04/TG30</t>
  </si>
  <si>
    <t>TG05/TG30</t>
  </si>
  <si>
    <t>TG06/TG30</t>
  </si>
  <si>
    <t>TG07/TG30</t>
  </si>
  <si>
    <t>TG08/TG30</t>
  </si>
  <si>
    <t>TG09/TG30</t>
  </si>
  <si>
    <t>TG10/TG30</t>
  </si>
  <si>
    <t>TG11/TG30</t>
  </si>
  <si>
    <t>TG12/TG30</t>
  </si>
  <si>
    <t>TG13/TG30</t>
  </si>
  <si>
    <t>TG14/TG30</t>
  </si>
  <si>
    <t>TG15/TG30</t>
  </si>
  <si>
    <t>TG16/TG30</t>
  </si>
  <si>
    <t>TG17/TG30</t>
  </si>
  <si>
    <t>TG18/TG30</t>
  </si>
  <si>
    <t>TG19/TG30</t>
  </si>
  <si>
    <t>TG20/TG30</t>
  </si>
  <si>
    <t>TG21/TG30</t>
  </si>
  <si>
    <t>TG22/TG30</t>
  </si>
  <si>
    <t>TG23/TG30</t>
  </si>
  <si>
    <t>TG24/TG30</t>
  </si>
  <si>
    <t>TG25/TG30</t>
  </si>
  <si>
    <t>TG26/TG30</t>
  </si>
  <si>
    <t>TG27/TG30</t>
  </si>
  <si>
    <t>TG28/TG30</t>
  </si>
  <si>
    <t>TG29/TG30</t>
  </si>
  <si>
    <t>TG30/TG30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</si>
</sst>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mm/dd/yyyy"/>
    <numFmt numFmtId="166" formatCode="m/d"/>
  </numFmts>
  <fonts count="51">
    <font>
      <sz val="10"/>
      <color rgb="FF000000"/>
      <name val="Arial"/>
    </font>
    <font>
      <b/>
      <sz val="10"/>
      <name val="Arial"/>
      <family val="2"/>
    </font>
    <font>
      <sz val="10"/>
      <name val="Arial"/>
      <family val="2"/>
    </font>
    <font>
      <sz val="10"/>
      <name val="Arial"/>
      <family val="2"/>
    </font>
    <font>
      <sz val="10"/>
      <name val="Arial"/>
      <family val="2"/>
    </font>
    <font>
      <sz val="10"/>
      <color rgb="FF1155CC"/>
      <name val="Arial"/>
      <family val="2"/>
    </font>
    <font>
      <sz val="10"/>
      <color rgb="FF000000"/>
      <name val="Arial"/>
      <family val="2"/>
    </font>
    <font>
      <b/>
      <sz val="10"/>
      <color rgb="FF000000"/>
      <name val="Arial"/>
      <family val="2"/>
    </font>
    <font>
      <u/>
      <sz val="10"/>
      <color rgb="FF0000FF"/>
      <name val="Arial"/>
      <family val="2"/>
    </font>
    <font>
      <i/>
      <sz val="10"/>
      <name val="Arial"/>
      <family val="2"/>
    </font>
    <font>
      <u/>
      <sz val="10"/>
      <color rgb="FF0000FF"/>
      <name val="Arial"/>
      <family val="2"/>
    </font>
    <font>
      <u/>
      <sz val="10"/>
      <color rgb="FF0000FF"/>
      <name val="Arial"/>
      <family val="2"/>
    </font>
    <font>
      <u/>
      <sz val="10"/>
      <color rgb="FF1155CC"/>
      <name val="Arial"/>
      <family val="2"/>
    </font>
    <font>
      <b/>
      <sz val="10"/>
      <color rgb="FF000000"/>
      <name val="Arial"/>
      <family val="2"/>
    </font>
    <font>
      <sz val="10"/>
      <color rgb="FF000000"/>
      <name val="Sans-serif"/>
    </font>
    <font>
      <sz val="10"/>
      <color rgb="FF1155CC"/>
      <name val="Sans-serif"/>
    </font>
    <font>
      <sz val="10"/>
      <color rgb="FF000000"/>
      <name val="Arial"/>
      <family val="2"/>
    </font>
    <font>
      <u/>
      <sz val="10"/>
      <color rgb="FF1155CC"/>
      <name val="Sans-serif"/>
    </font>
    <font>
      <u/>
      <sz val="10"/>
      <color rgb="FF1155CC"/>
      <name val="Sans-serif"/>
    </font>
    <font>
      <u/>
      <sz val="10"/>
      <color rgb="FF1155CC"/>
      <name val="Sans-serif"/>
    </font>
    <font>
      <b/>
      <sz val="10"/>
      <name val="Arial"/>
      <family val="2"/>
    </font>
    <font>
      <sz val="10"/>
      <color rgb="FF5A3696"/>
      <name val="Sans-serif"/>
    </font>
    <font>
      <i/>
      <sz val="10"/>
      <color rgb="FF000000"/>
      <name val="Sans-serif"/>
    </font>
    <font>
      <u/>
      <sz val="10"/>
      <color rgb="FF1155CC"/>
      <name val="Sans-serif"/>
    </font>
    <font>
      <sz val="10"/>
      <color rgb="FF663366"/>
      <name val="Arial"/>
      <family val="2"/>
    </font>
    <font>
      <sz val="10"/>
      <color rgb="FF5A3696"/>
      <name val="Arial"/>
      <family val="2"/>
    </font>
    <font>
      <u/>
      <sz val="10"/>
      <color rgb="FF1155CC"/>
      <name val="Sans-serif"/>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Sans-serif"/>
    </font>
    <font>
      <u/>
      <sz val="10"/>
      <color rgb="FF1155CC"/>
      <name val="Sans-serif"/>
    </font>
    <font>
      <u/>
      <sz val="10"/>
      <color rgb="FF1155CC"/>
      <name val="Arial"/>
      <family val="2"/>
    </font>
    <font>
      <u/>
      <sz val="10"/>
      <color rgb="FF1155CC"/>
      <name val="Sans-serif"/>
    </font>
    <font>
      <u/>
      <sz val="10"/>
      <color rgb="FF0000FF"/>
      <name val="Arial"/>
      <family val="2"/>
    </font>
    <font>
      <u/>
      <sz val="10"/>
      <color rgb="FF1155CC"/>
      <name val="Arial"/>
      <family val="2"/>
    </font>
    <font>
      <sz val="10"/>
      <color rgb="FF000000"/>
      <name val="'Arial'"/>
    </font>
    <font>
      <u/>
      <sz val="10"/>
      <color rgb="FF1155CC"/>
      <name val="Arial"/>
      <family val="2"/>
    </font>
    <font>
      <sz val="10"/>
      <color rgb="FFFFFFFF"/>
      <name val="Arial"/>
      <family val="2"/>
    </font>
    <font>
      <u/>
      <sz val="10"/>
      <color rgb="FF1155CC"/>
      <name val="Arial"/>
      <family val="2"/>
    </font>
    <font>
      <sz val="10"/>
      <color rgb="FF4A86E8"/>
      <name val="Sans-serif"/>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s>
  <fills count="12">
    <fill>
      <patternFill patternType="none"/>
    </fill>
    <fill>
      <patternFill patternType="gray125"/>
    </fill>
    <fill>
      <patternFill patternType="solid">
        <fgColor rgb="FF000000"/>
        <bgColor rgb="FF000000"/>
      </patternFill>
    </fill>
    <fill>
      <patternFill patternType="solid">
        <fgColor rgb="FFFF0000"/>
        <bgColor rgb="FFFF0000"/>
      </patternFill>
    </fill>
    <fill>
      <patternFill patternType="solid">
        <fgColor rgb="FF4A86E8"/>
        <bgColor rgb="FF4A86E8"/>
      </patternFill>
    </fill>
    <fill>
      <patternFill patternType="solid">
        <fgColor rgb="FF7F6000"/>
        <bgColor rgb="FF7F6000"/>
      </patternFill>
    </fill>
    <fill>
      <patternFill patternType="solid">
        <fgColor rgb="FFF1C232"/>
        <bgColor rgb="FFF1C232"/>
      </patternFill>
    </fill>
    <fill>
      <patternFill patternType="solid">
        <fgColor rgb="FFFFE599"/>
        <bgColor rgb="FFFFE599"/>
      </patternFill>
    </fill>
    <fill>
      <patternFill patternType="solid">
        <fgColor rgb="FFFFF2CC"/>
        <bgColor rgb="FFFFF2CC"/>
      </patternFill>
    </fill>
    <fill>
      <patternFill patternType="solid">
        <fgColor rgb="FFFFFFFF"/>
        <bgColor rgb="FFFFFFFF"/>
      </patternFill>
    </fill>
    <fill>
      <patternFill patternType="solid">
        <fgColor rgb="FFFFD966"/>
        <bgColor rgb="FFFFD966"/>
      </patternFill>
    </fill>
    <fill>
      <patternFill patternType="solid">
        <fgColor rgb="FFFF9900"/>
        <bgColor rgb="FFFF990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79">
    <xf numFmtId="0" fontId="0" fillId="0" borderId="0" xfId="0" applyFont="1" applyAlignment="1"/>
    <xf numFmtId="0" fontId="1" fillId="0" borderId="0" xfId="0" applyFont="1" applyAlignment="1"/>
    <xf numFmtId="0" fontId="2" fillId="0" borderId="0" xfId="0" applyFont="1" applyAlignment="1">
      <alignment horizontal="center"/>
    </xf>
    <xf numFmtId="0" fontId="3" fillId="2" borderId="0" xfId="0" applyFont="1" applyFill="1"/>
    <xf numFmtId="0" fontId="1" fillId="0" borderId="0" xfId="0" applyFont="1" applyAlignment="1">
      <alignment horizontal="center"/>
    </xf>
    <xf numFmtId="0" fontId="3" fillId="0" borderId="0" xfId="0" applyFont="1" applyAlignment="1">
      <alignment horizontal="center"/>
    </xf>
    <xf numFmtId="0" fontId="1" fillId="2" borderId="0" xfId="0" applyFont="1" applyFill="1"/>
    <xf numFmtId="0" fontId="3" fillId="0" borderId="0" xfId="0" applyFont="1" applyAlignment="1"/>
    <xf numFmtId="0" fontId="2" fillId="3"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xf numFmtId="0" fontId="3" fillId="5" borderId="0" xfId="0" applyFont="1" applyFill="1" applyAlignment="1">
      <alignment horizontal="center"/>
    </xf>
    <xf numFmtId="0" fontId="3" fillId="5" borderId="0" xfId="0" applyFont="1" applyFill="1"/>
    <xf numFmtId="0" fontId="3" fillId="6" borderId="0" xfId="0" applyFont="1" applyFill="1"/>
    <xf numFmtId="0" fontId="3" fillId="7" borderId="0" xfId="0" applyFont="1" applyFill="1"/>
    <xf numFmtId="0" fontId="3" fillId="8" borderId="0" xfId="0" applyFont="1" applyFill="1"/>
    <xf numFmtId="0" fontId="2" fillId="5" borderId="0" xfId="0" applyFont="1" applyFill="1" applyAlignment="1">
      <alignment horizontal="center"/>
    </xf>
    <xf numFmtId="0" fontId="3" fillId="2" borderId="0" xfId="0" applyFont="1" applyFill="1" applyAlignment="1">
      <alignment horizontal="center"/>
    </xf>
    <xf numFmtId="0" fontId="1" fillId="0" borderId="0" xfId="0" applyFont="1"/>
    <xf numFmtId="0" fontId="4" fillId="9" borderId="0" xfId="0" applyFont="1" applyFill="1" applyAlignment="1">
      <alignment horizontal="left"/>
    </xf>
    <xf numFmtId="0" fontId="3" fillId="6" borderId="0" xfId="0" applyFont="1" applyFill="1" applyAlignment="1"/>
    <xf numFmtId="0" fontId="3" fillId="6" borderId="0" xfId="0" applyFont="1" applyFill="1" applyAlignment="1">
      <alignment horizontal="center"/>
    </xf>
    <xf numFmtId="0" fontId="0" fillId="6" borderId="0" xfId="0" applyFont="1" applyFill="1" applyAlignment="1">
      <alignment horizontal="center"/>
    </xf>
    <xf numFmtId="0" fontId="3" fillId="10" borderId="0" xfId="0" applyFont="1" applyFill="1" applyAlignment="1"/>
    <xf numFmtId="0" fontId="2" fillId="10" borderId="0" xfId="0" applyFont="1" applyFill="1" applyAlignment="1">
      <alignment horizontal="center"/>
    </xf>
    <xf numFmtId="0" fontId="3" fillId="8" borderId="0" xfId="0" applyFont="1" applyFill="1" applyAlignment="1"/>
    <xf numFmtId="0" fontId="3" fillId="8" borderId="0" xfId="0" applyFont="1" applyFill="1" applyAlignment="1">
      <alignment horizontal="center"/>
    </xf>
    <xf numFmtId="0" fontId="2" fillId="6" borderId="0" xfId="0" applyFont="1" applyFill="1" applyAlignment="1">
      <alignment horizontal="center"/>
    </xf>
    <xf numFmtId="0" fontId="3" fillId="8" borderId="0" xfId="0" applyFont="1" applyFill="1" applyAlignment="1">
      <alignment horizontal="left"/>
    </xf>
    <xf numFmtId="0" fontId="4" fillId="8" borderId="0" xfId="0" applyFont="1" applyFill="1" applyAlignment="1"/>
    <xf numFmtId="0" fontId="4" fillId="8" borderId="0" xfId="0" applyFont="1" applyFill="1" applyAlignment="1">
      <alignment horizontal="center"/>
    </xf>
    <xf numFmtId="0" fontId="4" fillId="8" borderId="0" xfId="0" applyFont="1" applyFill="1" applyAlignment="1"/>
    <xf numFmtId="0" fontId="4" fillId="0" borderId="1" xfId="0" applyFont="1" applyBorder="1" applyAlignment="1"/>
    <xf numFmtId="0" fontId="4" fillId="0" borderId="1" xfId="0" applyFont="1" applyBorder="1" applyAlignment="1"/>
    <xf numFmtId="0" fontId="4" fillId="0" borderId="1" xfId="0" applyFont="1" applyBorder="1" applyAlignment="1"/>
    <xf numFmtId="0" fontId="4" fillId="0" borderId="0" xfId="0" applyFont="1" applyAlignment="1"/>
    <xf numFmtId="0" fontId="5" fillId="0" borderId="0" xfId="0" applyFont="1"/>
    <xf numFmtId="0" fontId="6" fillId="9" borderId="0" xfId="0" applyFont="1" applyFill="1" applyAlignment="1">
      <alignment horizontal="left"/>
    </xf>
    <xf numFmtId="164" fontId="6" fillId="0" borderId="0" xfId="0" applyNumberFormat="1" applyFont="1" applyAlignment="1"/>
    <xf numFmtId="0" fontId="3" fillId="11" borderId="0" xfId="0" applyFont="1" applyFill="1"/>
    <xf numFmtId="165" fontId="3" fillId="0" borderId="0" xfId="0" applyNumberFormat="1" applyFont="1" applyAlignment="1"/>
    <xf numFmtId="0" fontId="6" fillId="0" borderId="0" xfId="0" applyFont="1"/>
    <xf numFmtId="0" fontId="1" fillId="9" borderId="0" xfId="0" applyFont="1" applyFill="1" applyAlignment="1">
      <alignment horizontal="center"/>
    </xf>
    <xf numFmtId="0" fontId="7" fillId="9" borderId="0" xfId="0" applyFont="1" applyFill="1" applyAlignment="1">
      <alignment horizontal="center"/>
    </xf>
    <xf numFmtId="0" fontId="1" fillId="0" borderId="0" xfId="0" applyFont="1" applyAlignment="1">
      <alignment horizontal="center"/>
    </xf>
    <xf numFmtId="0" fontId="6" fillId="9" borderId="0" xfId="0" applyFont="1" applyFill="1" applyAlignment="1"/>
    <xf numFmtId="0" fontId="6" fillId="9" borderId="0" xfId="0" applyFont="1" applyFill="1" applyAlignment="1">
      <alignment horizontal="center"/>
    </xf>
    <xf numFmtId="0" fontId="3" fillId="9" borderId="0" xfId="0" applyFont="1" applyFill="1" applyAlignment="1">
      <alignment horizontal="center"/>
    </xf>
    <xf numFmtId="0" fontId="3" fillId="9" borderId="0" xfId="0" applyFont="1" applyFill="1" applyAlignment="1">
      <alignment horizontal="center"/>
    </xf>
    <xf numFmtId="0" fontId="8" fillId="9" borderId="0" xfId="0" applyFont="1" applyFill="1" applyAlignment="1"/>
    <xf numFmtId="0" fontId="3" fillId="9" borderId="0" xfId="0" applyFont="1" applyFill="1" applyAlignment="1"/>
    <xf numFmtId="0" fontId="3" fillId="0" borderId="0" xfId="0" applyFont="1" applyAlignment="1">
      <alignment horizontal="center"/>
    </xf>
    <xf numFmtId="166" fontId="3" fillId="9" borderId="0" xfId="0" applyNumberFormat="1" applyFont="1" applyFill="1" applyAlignment="1">
      <alignment horizontal="center"/>
    </xf>
    <xf numFmtId="0" fontId="3" fillId="9" borderId="0" xfId="0" applyFont="1" applyFill="1" applyAlignment="1"/>
    <xf numFmtId="0" fontId="3" fillId="0" borderId="0" xfId="0" applyFont="1" applyAlignment="1">
      <alignment horizontal="center"/>
    </xf>
    <xf numFmtId="0" fontId="3" fillId="0" borderId="0" xfId="0" applyFont="1" applyAlignment="1">
      <alignment horizontal="left"/>
    </xf>
    <xf numFmtId="0" fontId="3" fillId="11" borderId="0" xfId="0" applyFont="1" applyFill="1" applyAlignment="1">
      <alignment horizontal="right"/>
    </xf>
    <xf numFmtId="0" fontId="9" fillId="0" borderId="0" xfId="0" applyFont="1" applyAlignment="1">
      <alignment horizontal="center"/>
    </xf>
    <xf numFmtId="0" fontId="10" fillId="9" borderId="0" xfId="0" applyFont="1" applyFill="1" applyAlignment="1"/>
    <xf numFmtId="166" fontId="3" fillId="0" borderId="0" xfId="0" applyNumberFormat="1" applyFont="1" applyAlignment="1">
      <alignment horizontal="center"/>
    </xf>
    <xf numFmtId="0" fontId="11" fillId="0" borderId="0" xfId="0" applyFont="1" applyAlignment="1"/>
    <xf numFmtId="0" fontId="12" fillId="0" borderId="0" xfId="0" applyFont="1" applyAlignment="1"/>
    <xf numFmtId="0" fontId="13" fillId="9" borderId="0" xfId="0" applyFont="1" applyFill="1" applyAlignment="1">
      <alignment horizontal="left"/>
    </xf>
    <xf numFmtId="0" fontId="6" fillId="0" borderId="0" xfId="0" applyFont="1" applyAlignment="1">
      <alignment horizontal="center"/>
    </xf>
    <xf numFmtId="0" fontId="14" fillId="9" borderId="0" xfId="0" applyFont="1" applyFill="1" applyAlignment="1">
      <alignment horizontal="center"/>
    </xf>
    <xf numFmtId="0" fontId="15" fillId="0" borderId="0" xfId="0" applyFont="1" applyAlignment="1">
      <alignment horizontal="left"/>
    </xf>
    <xf numFmtId="0" fontId="14" fillId="9" borderId="0" xfId="0" applyFont="1" applyFill="1" applyAlignment="1">
      <alignment horizontal="center"/>
    </xf>
    <xf numFmtId="0" fontId="15" fillId="9" borderId="0" xfId="0" applyFont="1" applyFill="1" applyAlignment="1">
      <alignment horizontal="left"/>
    </xf>
    <xf numFmtId="0" fontId="15" fillId="0" borderId="0" xfId="0" applyFont="1" applyAlignment="1">
      <alignment horizontal="left"/>
    </xf>
    <xf numFmtId="0" fontId="5" fillId="9" borderId="0" xfId="0" applyFont="1" applyFill="1" applyAlignment="1"/>
    <xf numFmtId="0" fontId="6" fillId="9" borderId="0" xfId="0" applyFont="1" applyFill="1" applyAlignment="1">
      <alignment horizontal="center"/>
    </xf>
    <xf numFmtId="0" fontId="5" fillId="9" borderId="0" xfId="0" applyFont="1" applyFill="1" applyAlignment="1"/>
    <xf numFmtId="0" fontId="16" fillId="9" borderId="0" xfId="0" applyFont="1" applyFill="1" applyAlignment="1">
      <alignment horizontal="center"/>
    </xf>
    <xf numFmtId="0" fontId="3" fillId="9" borderId="0" xfId="0" applyFont="1" applyFill="1" applyAlignment="1">
      <alignment horizontal="center"/>
    </xf>
    <xf numFmtId="0" fontId="1" fillId="9" borderId="0" xfId="0" applyFont="1" applyFill="1" applyAlignment="1">
      <alignment horizontal="left"/>
    </xf>
    <xf numFmtId="0" fontId="6" fillId="11" borderId="0" xfId="0" applyFont="1" applyFill="1" applyAlignment="1">
      <alignment horizontal="right"/>
    </xf>
    <xf numFmtId="0" fontId="14" fillId="9" borderId="0" xfId="0" applyFont="1" applyFill="1" applyAlignment="1">
      <alignment horizontal="center"/>
    </xf>
    <xf numFmtId="0" fontId="17" fillId="0" borderId="0" xfId="0" applyFont="1" applyAlignment="1">
      <alignment horizontal="left"/>
    </xf>
    <xf numFmtId="0" fontId="18" fillId="0" borderId="0" xfId="0" applyFont="1" applyAlignment="1">
      <alignment horizontal="left"/>
    </xf>
    <xf numFmtId="0" fontId="19" fillId="9" borderId="0" xfId="0" applyFont="1" applyFill="1" applyAlignment="1">
      <alignment horizontal="left"/>
    </xf>
    <xf numFmtId="0" fontId="3" fillId="9" borderId="0" xfId="0" applyFont="1" applyFill="1" applyAlignment="1">
      <alignment horizontal="left"/>
    </xf>
    <xf numFmtId="0" fontId="4" fillId="0" borderId="2" xfId="0" applyFont="1" applyBorder="1" applyAlignment="1"/>
    <xf numFmtId="0" fontId="4" fillId="11" borderId="0" xfId="0" applyFont="1" applyFill="1" applyAlignment="1">
      <alignment horizontal="right"/>
    </xf>
    <xf numFmtId="0" fontId="20" fillId="9" borderId="0" xfId="0" applyFont="1" applyFill="1" applyAlignment="1">
      <alignment horizontal="center"/>
    </xf>
    <xf numFmtId="0" fontId="20" fillId="0" borderId="0" xfId="0" applyFont="1" applyAlignment="1">
      <alignment horizontal="center"/>
    </xf>
    <xf numFmtId="0" fontId="20"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xf>
    <xf numFmtId="0" fontId="4" fillId="0" borderId="0" xfId="0" applyFont="1" applyAlignment="1"/>
    <xf numFmtId="0" fontId="4" fillId="0" borderId="0" xfId="0" applyFont="1" applyAlignment="1">
      <alignment horizontal="center"/>
    </xf>
    <xf numFmtId="0" fontId="15" fillId="9" borderId="0" xfId="0" applyFont="1" applyFill="1"/>
    <xf numFmtId="0" fontId="15" fillId="0" borderId="0" xfId="0" applyFont="1" applyAlignment="1"/>
    <xf numFmtId="0" fontId="21" fillId="0" borderId="0" xfId="0" applyFont="1" applyAlignment="1">
      <alignment horizontal="center"/>
    </xf>
    <xf numFmtId="0" fontId="15" fillId="0" borderId="0" xfId="0" applyFont="1" applyAlignment="1"/>
    <xf numFmtId="0" fontId="22" fillId="9" borderId="0" xfId="0" applyFont="1" applyFill="1" applyAlignment="1">
      <alignment horizontal="center"/>
    </xf>
    <xf numFmtId="0" fontId="4" fillId="0" borderId="2" xfId="0" applyFont="1" applyBorder="1" applyAlignment="1">
      <alignment horizontal="left"/>
    </xf>
    <xf numFmtId="0" fontId="13" fillId="9" borderId="0" xfId="0" applyFont="1" applyFill="1" applyAlignment="1">
      <alignment horizontal="center"/>
    </xf>
    <xf numFmtId="0" fontId="4" fillId="9" borderId="0" xfId="0" applyFont="1" applyFill="1" applyAlignment="1">
      <alignment horizontal="center"/>
    </xf>
    <xf numFmtId="0" fontId="14" fillId="9" borderId="0" xfId="0" applyFont="1" applyFill="1" applyAlignment="1">
      <alignment horizontal="center"/>
    </xf>
    <xf numFmtId="0" fontId="23" fillId="0" borderId="0" xfId="0" applyFont="1" applyAlignment="1"/>
    <xf numFmtId="0" fontId="24" fillId="0" borderId="0" xfId="0" applyFont="1" applyAlignment="1">
      <alignment horizontal="center"/>
    </xf>
    <xf numFmtId="0" fontId="25" fillId="0" borderId="0" xfId="0" applyFont="1" applyAlignment="1">
      <alignment horizontal="center"/>
    </xf>
    <xf numFmtId="0" fontId="16" fillId="9" borderId="0" xfId="0" applyFont="1" applyFill="1" applyAlignment="1">
      <alignment horizontal="center"/>
    </xf>
    <xf numFmtId="0" fontId="21" fillId="0" borderId="0" xfId="0" applyFont="1" applyAlignment="1">
      <alignment horizontal="center"/>
    </xf>
    <xf numFmtId="0" fontId="4" fillId="0" borderId="2" xfId="0" applyFont="1" applyBorder="1" applyAlignment="1">
      <alignment horizontal="center"/>
    </xf>
    <xf numFmtId="0" fontId="26" fillId="9" borderId="0" xfId="0" applyFont="1" applyFill="1" applyAlignment="1"/>
    <xf numFmtId="0" fontId="27" fillId="0" borderId="0" xfId="0" applyFont="1" applyAlignment="1"/>
    <xf numFmtId="0" fontId="4" fillId="9" borderId="0" xfId="0" applyFont="1" applyFill="1" applyAlignment="1">
      <alignment horizontal="center"/>
    </xf>
    <xf numFmtId="0" fontId="28" fillId="9" borderId="0" xfId="0" applyFont="1" applyFill="1" applyAlignment="1"/>
    <xf numFmtId="0" fontId="29" fillId="9" borderId="0" xfId="0" applyFont="1" applyFill="1" applyAlignment="1"/>
    <xf numFmtId="0" fontId="30" fillId="0" borderId="0" xfId="0" applyFont="1" applyAlignment="1"/>
    <xf numFmtId="0" fontId="31" fillId="9" borderId="0" xfId="0" applyFont="1" applyFill="1" applyAlignment="1"/>
    <xf numFmtId="0" fontId="4" fillId="9" borderId="0" xfId="0" applyFont="1" applyFill="1" applyAlignment="1">
      <alignment horizontal="center"/>
    </xf>
    <xf numFmtId="0" fontId="32" fillId="0" borderId="0" xfId="0" applyFont="1" applyAlignment="1"/>
    <xf numFmtId="0" fontId="14" fillId="9" borderId="0" xfId="0" applyFont="1" applyFill="1" applyAlignment="1">
      <alignment horizontal="center"/>
    </xf>
    <xf numFmtId="0" fontId="16" fillId="9" borderId="0" xfId="0" applyFont="1" applyFill="1" applyAlignment="1">
      <alignment horizontal="center"/>
    </xf>
    <xf numFmtId="0" fontId="33" fillId="0" borderId="0" xfId="0" applyFont="1" applyAlignment="1"/>
    <xf numFmtId="0" fontId="34" fillId="0" borderId="0" xfId="0" applyFont="1" applyAlignment="1"/>
    <xf numFmtId="0" fontId="35" fillId="0" borderId="0" xfId="0" applyFont="1" applyAlignment="1"/>
    <xf numFmtId="0" fontId="21" fillId="0" borderId="0" xfId="0" applyFont="1" applyAlignment="1"/>
    <xf numFmtId="0" fontId="14" fillId="9" borderId="0" xfId="0" applyFont="1" applyFill="1" applyAlignment="1"/>
    <xf numFmtId="0" fontId="36" fillId="9" borderId="0" xfId="0" applyFont="1" applyFill="1"/>
    <xf numFmtId="0" fontId="37" fillId="0" borderId="0" xfId="0" applyFont="1" applyAlignment="1"/>
    <xf numFmtId="164" fontId="3" fillId="0" borderId="0" xfId="0" applyNumberFormat="1" applyFont="1" applyAlignment="1"/>
    <xf numFmtId="0" fontId="38" fillId="9" borderId="0" xfId="0" applyFont="1" applyFill="1" applyAlignment="1">
      <alignment horizontal="center"/>
    </xf>
    <xf numFmtId="0" fontId="39" fillId="9" borderId="0" xfId="0" applyFont="1" applyFill="1" applyAlignment="1"/>
    <xf numFmtId="0" fontId="40" fillId="9" borderId="0" xfId="0" applyFont="1" applyFill="1" applyAlignment="1">
      <alignment horizontal="center"/>
    </xf>
    <xf numFmtId="0" fontId="40" fillId="9" borderId="0" xfId="0" applyFont="1" applyFill="1" applyAlignment="1">
      <alignment horizontal="center"/>
    </xf>
    <xf numFmtId="0" fontId="41" fillId="9" borderId="0" xfId="0" applyFont="1" applyFill="1" applyAlignment="1"/>
    <xf numFmtId="0" fontId="42" fillId="0" borderId="0" xfId="0" applyFont="1" applyAlignment="1">
      <alignment horizontal="left"/>
    </xf>
    <xf numFmtId="0" fontId="42" fillId="0" borderId="0" xfId="0" applyFont="1" applyAlignment="1">
      <alignment horizontal="left"/>
    </xf>
    <xf numFmtId="0" fontId="20" fillId="0" borderId="0" xfId="0" applyFont="1" applyAlignment="1"/>
    <xf numFmtId="0" fontId="4" fillId="9" borderId="0" xfId="0" applyFont="1" applyFill="1" applyAlignment="1"/>
    <xf numFmtId="164" fontId="4" fillId="0" borderId="0" xfId="0" applyNumberFormat="1" applyFont="1" applyAlignment="1">
      <alignment horizontal="right"/>
    </xf>
    <xf numFmtId="0" fontId="4" fillId="11" borderId="0" xfId="0" applyFont="1" applyFill="1" applyAlignment="1">
      <alignment horizontal="center"/>
    </xf>
    <xf numFmtId="0" fontId="20" fillId="9" borderId="0" xfId="0" applyFont="1" applyFill="1" applyAlignment="1">
      <alignment horizontal="center"/>
    </xf>
    <xf numFmtId="0" fontId="16" fillId="9" borderId="0" xfId="0" applyFont="1" applyFill="1" applyAlignment="1">
      <alignment horizontal="center"/>
    </xf>
    <xf numFmtId="0" fontId="4" fillId="0" borderId="0" xfId="0" applyFont="1" applyAlignment="1"/>
    <xf numFmtId="0" fontId="20" fillId="0" borderId="0" xfId="0" applyFont="1" applyAlignment="1"/>
    <xf numFmtId="164" fontId="4" fillId="0" borderId="0" xfId="0" applyNumberFormat="1" applyFont="1" applyAlignment="1">
      <alignment horizontal="right"/>
    </xf>
    <xf numFmtId="0" fontId="16" fillId="0" borderId="0" xfId="0" applyFont="1" applyAlignment="1">
      <alignment horizontal="center"/>
    </xf>
    <xf numFmtId="0" fontId="14" fillId="0" borderId="0" xfId="0" applyFont="1" applyAlignment="1">
      <alignment horizontal="center"/>
    </xf>
    <xf numFmtId="0" fontId="14" fillId="0" borderId="0" xfId="0" applyFont="1" applyAlignment="1">
      <alignment horizontal="center"/>
    </xf>
    <xf numFmtId="0" fontId="14" fillId="0" borderId="0" xfId="0" applyFont="1" applyAlignment="1">
      <alignment horizontal="center"/>
    </xf>
    <xf numFmtId="0" fontId="38" fillId="0" borderId="0" xfId="0" applyFont="1" applyAlignment="1"/>
    <xf numFmtId="0" fontId="20" fillId="9" borderId="0" xfId="0" applyFont="1" applyFill="1" applyAlignment="1">
      <alignment horizontal="center"/>
    </xf>
    <xf numFmtId="0" fontId="43" fillId="0" borderId="0" xfId="0" applyFont="1" applyAlignment="1"/>
    <xf numFmtId="0" fontId="4" fillId="0" borderId="0" xfId="0" applyFont="1" applyAlignment="1">
      <alignment horizontal="center"/>
    </xf>
    <xf numFmtId="0" fontId="44" fillId="0" borderId="0" xfId="0" applyFont="1" applyAlignment="1"/>
    <xf numFmtId="0" fontId="3" fillId="0" borderId="0" xfId="0" applyFont="1" applyAlignment="1">
      <alignment horizontal="center"/>
    </xf>
    <xf numFmtId="0" fontId="45" fillId="0" borderId="0" xfId="0" applyFont="1" applyAlignment="1"/>
    <xf numFmtId="0" fontId="4" fillId="0" borderId="0" xfId="0" applyFont="1" applyAlignment="1">
      <alignment horizontal="center"/>
    </xf>
    <xf numFmtId="0" fontId="46" fillId="0" borderId="0" xfId="0" applyFont="1" applyAlignment="1"/>
    <xf numFmtId="0" fontId="16" fillId="0" borderId="0" xfId="0" applyFont="1" applyAlignment="1">
      <alignment horizontal="center"/>
    </xf>
    <xf numFmtId="0" fontId="16" fillId="0" borderId="0" xfId="0" applyFont="1" applyAlignment="1">
      <alignment horizontal="center"/>
    </xf>
    <xf numFmtId="0" fontId="47" fillId="0" borderId="0" xfId="0" applyFont="1" applyAlignment="1"/>
    <xf numFmtId="0" fontId="4" fillId="0" borderId="0" xfId="0" applyFont="1" applyAlignment="1">
      <alignment horizontal="center"/>
    </xf>
    <xf numFmtId="0" fontId="48" fillId="0" borderId="0" xfId="0" applyFont="1" applyAlignment="1"/>
    <xf numFmtId="0" fontId="49" fillId="0" borderId="0" xfId="0" applyFont="1" applyAlignment="1"/>
    <xf numFmtId="0" fontId="4" fillId="0" borderId="0" xfId="0" applyFont="1" applyAlignment="1">
      <alignment horizontal="center"/>
    </xf>
    <xf numFmtId="0" fontId="20" fillId="0" borderId="1" xfId="0" applyFont="1" applyBorder="1" applyAlignment="1"/>
    <xf numFmtId="0" fontId="4" fillId="9" borderId="0" xfId="0" applyFont="1" applyFill="1" applyAlignment="1"/>
    <xf numFmtId="0" fontId="4" fillId="0" borderId="1" xfId="0" applyFont="1" applyBorder="1" applyAlignment="1"/>
    <xf numFmtId="164" fontId="4" fillId="0" borderId="0" xfId="0" applyNumberFormat="1" applyFont="1" applyAlignment="1">
      <alignment horizontal="right"/>
    </xf>
    <xf numFmtId="0" fontId="4" fillId="11" borderId="0" xfId="0" applyFont="1" applyFill="1" applyAlignment="1">
      <alignment horizontal="right"/>
    </xf>
    <xf numFmtId="0" fontId="20" fillId="9" borderId="0" xfId="0" applyFont="1" applyFill="1" applyAlignment="1">
      <alignment horizontal="center"/>
    </xf>
    <xf numFmtId="0" fontId="20" fillId="9" borderId="0" xfId="0" applyFont="1" applyFill="1" applyAlignment="1">
      <alignment horizontal="center"/>
    </xf>
    <xf numFmtId="0" fontId="20" fillId="0" borderId="0" xfId="0" applyFont="1" applyAlignment="1">
      <alignment horizontal="center"/>
    </xf>
    <xf numFmtId="0" fontId="20" fillId="0" borderId="0" xfId="0" applyFont="1" applyAlignment="1">
      <alignment horizontal="center"/>
    </xf>
    <xf numFmtId="166" fontId="4" fillId="0" borderId="0" xfId="0" applyNumberFormat="1" applyFont="1" applyAlignment="1">
      <alignment horizontal="center"/>
    </xf>
    <xf numFmtId="0" fontId="4" fillId="0" borderId="0" xfId="0" applyFont="1" applyAlignment="1"/>
    <xf numFmtId="0" fontId="20" fillId="0" borderId="0" xfId="0" applyFont="1" applyAlignment="1"/>
    <xf numFmtId="0" fontId="4" fillId="9" borderId="0" xfId="0" applyFont="1" applyFill="1" applyAlignment="1">
      <alignment horizontal="center"/>
    </xf>
    <xf numFmtId="0" fontId="16" fillId="9" borderId="0" xfId="0" applyFont="1" applyFill="1" applyAlignment="1">
      <alignment horizontal="center"/>
    </xf>
    <xf numFmtId="0" fontId="4" fillId="9" borderId="0" xfId="0" applyFont="1" applyFill="1" applyAlignment="1"/>
    <xf numFmtId="0" fontId="16" fillId="0" borderId="0" xfId="0" applyFont="1" applyAlignment="1">
      <alignment horizontal="center"/>
    </xf>
    <xf numFmtId="0" fontId="1" fillId="0" borderId="0" xfId="0" applyFont="1" applyAlignment="1">
      <alignment horizontal="center"/>
    </xf>
    <xf numFmtId="0" fontId="13" fillId="9" borderId="0" xfId="0" applyFont="1" applyFill="1" applyAlignment="1">
      <alignment horizontal="center"/>
    </xf>
    <xf numFmtId="0" fontId="5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bulbapedia.bulbagarden.net/wiki/Jigglypuff_(Southern_Islands_8)" TargetMode="External"/><Relationship Id="rId13" Type="http://schemas.openxmlformats.org/officeDocument/2006/relationships/hyperlink" Target="https://bulbapedia.bulbagarden.net/wiki/Exeggutor_(Southern_Islands_13)" TargetMode="External"/><Relationship Id="rId18" Type="http://schemas.openxmlformats.org/officeDocument/2006/relationships/hyperlink" Target="https://bulbapedia.bulbagarden.net/wiki/Primeape_(Southern_Islands_18)" TargetMode="External"/><Relationship Id="rId3" Type="http://schemas.openxmlformats.org/officeDocument/2006/relationships/hyperlink" Target="https://bulbapedia.bulbagarden.net/wiki/Onix_(Southern_Islands_3)" TargetMode="External"/><Relationship Id="rId7" Type="http://schemas.openxmlformats.org/officeDocument/2006/relationships/hyperlink" Target="https://bulbapedia.bulbagarden.net/wiki/Ledyba_(Southern_Islands_7)" TargetMode="External"/><Relationship Id="rId12" Type="http://schemas.openxmlformats.org/officeDocument/2006/relationships/hyperlink" Target="https://bulbapedia.bulbagarden.net/wiki/Lapras_(Southern_Islands_12)" TargetMode="External"/><Relationship Id="rId17" Type="http://schemas.openxmlformats.org/officeDocument/2006/relationships/hyperlink" Target="https://bulbapedia.bulbagarden.net/wiki/Vileplume_(Southern_Islands_17)" TargetMode="External"/><Relationship Id="rId2" Type="http://schemas.openxmlformats.org/officeDocument/2006/relationships/hyperlink" Target="https://bulbapedia.bulbagarden.net/wiki/Pidgeot_(Southern_Islands_2)" TargetMode="External"/><Relationship Id="rId16" Type="http://schemas.openxmlformats.org/officeDocument/2006/relationships/hyperlink" Target="https://bulbapedia.bulbagarden.net/wiki/Lickitung_(Southern_Islands_16)" TargetMode="External"/><Relationship Id="rId1" Type="http://schemas.openxmlformats.org/officeDocument/2006/relationships/hyperlink" Target="https://bulbapedia.bulbagarden.net/wiki/Mew_(Southern_Islands_1)" TargetMode="External"/><Relationship Id="rId6" Type="http://schemas.openxmlformats.org/officeDocument/2006/relationships/hyperlink" Target="https://bulbapedia.bulbagarden.net/wiki/Raticate_(Southern_Islands_6)" TargetMode="External"/><Relationship Id="rId11" Type="http://schemas.openxmlformats.org/officeDocument/2006/relationships/hyperlink" Target="https://bulbapedia.bulbagarden.net/wiki/Marill_(Southern_Islands_11)" TargetMode="External"/><Relationship Id="rId5" Type="http://schemas.openxmlformats.org/officeDocument/2006/relationships/hyperlink" Target="https://bulbapedia.bulbagarden.net/wiki/Ivysaur_(Southern_Islands_5)" TargetMode="External"/><Relationship Id="rId15" Type="http://schemas.openxmlformats.org/officeDocument/2006/relationships/hyperlink" Target="https://bulbapedia.bulbagarden.net/wiki/Wartortle_(Southern_Islands_15)" TargetMode="External"/><Relationship Id="rId10" Type="http://schemas.openxmlformats.org/officeDocument/2006/relationships/hyperlink" Target="https://bulbapedia.bulbagarden.net/wiki/Tentacruel_(Southern_Islands_10)" TargetMode="External"/><Relationship Id="rId4" Type="http://schemas.openxmlformats.org/officeDocument/2006/relationships/hyperlink" Target="https://bulbapedia.bulbagarden.net/wiki/Togepi_(Southern_Islands_4)" TargetMode="External"/><Relationship Id="rId9" Type="http://schemas.openxmlformats.org/officeDocument/2006/relationships/hyperlink" Target="https://bulbapedia.bulbagarden.net/wiki/Butterfree_(Southern_Islands_9)" TargetMode="External"/><Relationship Id="rId14" Type="http://schemas.openxmlformats.org/officeDocument/2006/relationships/hyperlink" Target="https://bulbapedia.bulbagarden.net/wiki/Slowking_(Southern_Islands_14)"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bulbapedia.bulbagarden.net/wiki/Meowth_(Nintendo_Promo_13)" TargetMode="External"/><Relationship Id="rId18" Type="http://schemas.openxmlformats.org/officeDocument/2006/relationships/hyperlink" Target="https://bulbapedia.bulbagarden.net/wiki/Beldum_(Nintendo_Promo_22)" TargetMode="External"/><Relationship Id="rId26" Type="http://schemas.openxmlformats.org/officeDocument/2006/relationships/hyperlink" Target="https://bulbapedia.bulbagarden.net/wiki/Articuno_ex_(Nintendo_Promo_32)" TargetMode="External"/><Relationship Id="rId3" Type="http://schemas.openxmlformats.org/officeDocument/2006/relationships/hyperlink" Target="https://bulbapedia.bulbagarden.net/wiki/Treecko_(Nintendo_Promo_3)" TargetMode="External"/><Relationship Id="rId21" Type="http://schemas.openxmlformats.org/officeDocument/2006/relationships/hyperlink" Target="https://bulbapedia.bulbagarden.net/wiki/Flygon_(Nintendo_Promo_25)" TargetMode="External"/><Relationship Id="rId7" Type="http://schemas.openxmlformats.org/officeDocument/2006/relationships/hyperlink" Target="https://bulbapedia.bulbagarden.net/wiki/Treecko_(Nintendo_Promo_7)" TargetMode="External"/><Relationship Id="rId12" Type="http://schemas.openxmlformats.org/officeDocument/2006/relationships/hyperlink" Target="https://bulbapedia.bulbagarden.net/wiki/Pikachu_(Nintendo_Promo_12)" TargetMode="External"/><Relationship Id="rId17" Type="http://schemas.openxmlformats.org/officeDocument/2006/relationships/hyperlink" Target="https://bulbapedia.bulbagarden.net/wiki/Jirachi_(Nintendo_Promo_21)" TargetMode="External"/><Relationship Id="rId25" Type="http://schemas.openxmlformats.org/officeDocument/2006/relationships/hyperlink" Target="https://bulbapedia.bulbagarden.net/wiki/Moltres_ex_(Nintendo_Promo_31)" TargetMode="External"/><Relationship Id="rId33" Type="http://schemas.openxmlformats.org/officeDocument/2006/relationships/hyperlink" Target="https://bulbapedia.bulbagarden.net/wiki/Mew_(Nintendo_Promo_40)" TargetMode="External"/><Relationship Id="rId2" Type="http://schemas.openxmlformats.org/officeDocument/2006/relationships/hyperlink" Target="https://bulbapedia.bulbagarden.net/wiki/Groudon_ex_(Nintendo_Promo_2)" TargetMode="External"/><Relationship Id="rId16" Type="http://schemas.openxmlformats.org/officeDocument/2006/relationships/hyperlink" Target="https://bulbapedia.bulbagarden.net/wiki/Ludicolo_(Nintendo_Promo_20)" TargetMode="External"/><Relationship Id="rId20" Type="http://schemas.openxmlformats.org/officeDocument/2006/relationships/hyperlink" Target="https://bulbapedia.bulbagarden.net/wiki/Chimecho_(Nintendo_Promo_24)" TargetMode="External"/><Relationship Id="rId29" Type="http://schemas.openxmlformats.org/officeDocument/2006/relationships/hyperlink" Target="https://bulbapedia.bulbagarden.net/wiki/Pikachu_%CE%B4_(Nintendo_Promo_35)" TargetMode="External"/><Relationship Id="rId1" Type="http://schemas.openxmlformats.org/officeDocument/2006/relationships/hyperlink" Target="https://bulbapedia.bulbagarden.net/wiki/Kyogre_ex_(Nintendo_Promo_1)" TargetMode="External"/><Relationship Id="rId6" Type="http://schemas.openxmlformats.org/officeDocument/2006/relationships/hyperlink" Target="https://bulbapedia.bulbagarden.net/wiki/Torchic_(Nintendo_Promo_6)" TargetMode="External"/><Relationship Id="rId11" Type="http://schemas.openxmlformats.org/officeDocument/2006/relationships/hyperlink" Target="https://bulbapedia.bulbagarden.net/wiki/Marshtomp_(Nintendo_Promo_11)" TargetMode="External"/><Relationship Id="rId24" Type="http://schemas.openxmlformats.org/officeDocument/2006/relationships/hyperlink" Target="https://bulbapedia.bulbagarden.net/wiki/Suicune_(Nintendo_Promo_30)" TargetMode="External"/><Relationship Id="rId32" Type="http://schemas.openxmlformats.org/officeDocument/2006/relationships/hyperlink" Target="https://bulbapedia.bulbagarden.net/wiki/Rayquaza_ex_(Nintendo_Promo_39)" TargetMode="External"/><Relationship Id="rId5" Type="http://schemas.openxmlformats.org/officeDocument/2006/relationships/hyperlink" Target="https://bulbapedia.bulbagarden.net/wiki/Mudkip_(Nintendo_Promo_5)" TargetMode="External"/><Relationship Id="rId15" Type="http://schemas.openxmlformats.org/officeDocument/2006/relationships/hyperlink" Target="https://bulbapedia.bulbagarden.net/wiki/Latios_(Nintendo_Promo_15)" TargetMode="External"/><Relationship Id="rId23" Type="http://schemas.openxmlformats.org/officeDocument/2006/relationships/hyperlink" Target="https://bulbapedia.bulbagarden.net/wiki/Celebi_(Nintendo_Promo_29)" TargetMode="External"/><Relationship Id="rId28" Type="http://schemas.openxmlformats.org/officeDocument/2006/relationships/hyperlink" Target="https://bulbapedia.bulbagarden.net/wiki/Typhlosion_(Nintendo_Promo_34)" TargetMode="External"/><Relationship Id="rId10" Type="http://schemas.openxmlformats.org/officeDocument/2006/relationships/hyperlink" Target="https://bulbapedia.bulbagarden.net/wiki/Mudkip_(Nintendo_Promo_10)" TargetMode="External"/><Relationship Id="rId19" Type="http://schemas.openxmlformats.org/officeDocument/2006/relationships/hyperlink" Target="https://bulbapedia.bulbagarden.net/wiki/Metang_(Nintendo_Promo_23)" TargetMode="External"/><Relationship Id="rId31" Type="http://schemas.openxmlformats.org/officeDocument/2006/relationships/hyperlink" Target="https://bulbapedia.bulbagarden.net/wiki/Groudon_ex_(Nintendo_Promo_38)" TargetMode="External"/><Relationship Id="rId4" Type="http://schemas.openxmlformats.org/officeDocument/2006/relationships/hyperlink" Target="https://bulbapedia.bulbagarden.net/wiki/Grovyle_(Nintendo_Promo_4)" TargetMode="External"/><Relationship Id="rId9" Type="http://schemas.openxmlformats.org/officeDocument/2006/relationships/hyperlink" Target="https://bulbapedia.bulbagarden.net/wiki/Combusken_(Nintendo_Promo_9)" TargetMode="External"/><Relationship Id="rId14" Type="http://schemas.openxmlformats.org/officeDocument/2006/relationships/hyperlink" Target="https://bulbapedia.bulbagarden.net/wiki/Latias_(Nintendo_Promo_14)" TargetMode="External"/><Relationship Id="rId22" Type="http://schemas.openxmlformats.org/officeDocument/2006/relationships/hyperlink" Target="https://bulbapedia.bulbagarden.net/wiki/Championship_Arena_(Nintendo_Promo_28)" TargetMode="External"/><Relationship Id="rId27" Type="http://schemas.openxmlformats.org/officeDocument/2006/relationships/hyperlink" Target="https://bulbapedia.bulbagarden.net/wiki/Zapdos_ex_(Nintendo_Promo_33)" TargetMode="External"/><Relationship Id="rId30" Type="http://schemas.openxmlformats.org/officeDocument/2006/relationships/hyperlink" Target="https://bulbapedia.bulbagarden.net/wiki/Kyogre_ex_(Nintendo_Promo_37)" TargetMode="External"/><Relationship Id="rId8" Type="http://schemas.openxmlformats.org/officeDocument/2006/relationships/hyperlink" Target="https://bulbapedia.bulbagarden.net/wiki/Torchic_(Nintendo_Promo_8)"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bulbapedia.bulbagarden.net/wiki/Dratini_(EX_Dragon_26)" TargetMode="External"/><Relationship Id="rId21" Type="http://schemas.openxmlformats.org/officeDocument/2006/relationships/hyperlink" Target="https://bulbapedia.bulbagarden.net/wiki/Skarmory_(EX_Dragon_21)" TargetMode="External"/><Relationship Id="rId42" Type="http://schemas.openxmlformats.org/officeDocument/2006/relationships/hyperlink" Target="https://bulbapedia.bulbagarden.net/wiki/Shelgon_(EX_Dragon_42)" TargetMode="External"/><Relationship Id="rId47" Type="http://schemas.openxmlformats.org/officeDocument/2006/relationships/hyperlink" Target="https://bulbapedia.bulbagarden.net/wiki/Vibrava_(EX_Dragon_47)" TargetMode="External"/><Relationship Id="rId63" Type="http://schemas.openxmlformats.org/officeDocument/2006/relationships/hyperlink" Target="https://bulbapedia.bulbagarden.net/wiki/Magnemite_(EX_Dragon_63)" TargetMode="External"/><Relationship Id="rId68" Type="http://schemas.openxmlformats.org/officeDocument/2006/relationships/hyperlink" Target="https://bulbapedia.bulbagarden.net/wiki/Nincada_(EX_Dragon_68)" TargetMode="External"/><Relationship Id="rId84" Type="http://schemas.openxmlformats.org/officeDocument/2006/relationships/hyperlink" Target="https://bulbapedia.bulbagarden.net/wiki/Energy_Recycle_System_(EX_Dragon_84)" TargetMode="External"/><Relationship Id="rId89" Type="http://schemas.openxmlformats.org/officeDocument/2006/relationships/hyperlink" Target="https://bulbapedia.bulbagarden.net/wiki/Ampharos_ex_(EX_Dragon_89)" TargetMode="External"/><Relationship Id="rId16" Type="http://schemas.openxmlformats.org/officeDocument/2006/relationships/hyperlink" Target="https://bulbapedia.bulbagarden.net/wiki/Girafarig_(EX_Dragon_16)" TargetMode="External"/><Relationship Id="rId11" Type="http://schemas.openxmlformats.org/officeDocument/2006/relationships/hyperlink" Target="https://bulbapedia.bulbagarden.net/wiki/Shedinja_(EX_Dragon_11)" TargetMode="External"/><Relationship Id="rId32" Type="http://schemas.openxmlformats.org/officeDocument/2006/relationships/hyperlink" Target="https://bulbapedia.bulbagarden.net/wiki/Gyarados_(EX_Dragon_32)" TargetMode="External"/><Relationship Id="rId37" Type="http://schemas.openxmlformats.org/officeDocument/2006/relationships/hyperlink" Target="https://bulbapedia.bulbagarden.net/wiki/Meditite_(EX_Dragon_37)" TargetMode="External"/><Relationship Id="rId53" Type="http://schemas.openxmlformats.org/officeDocument/2006/relationships/hyperlink" Target="https://bulbapedia.bulbagarden.net/wiki/Corphish_(EX_Dragon_53)" TargetMode="External"/><Relationship Id="rId58" Type="http://schemas.openxmlformats.org/officeDocument/2006/relationships/hyperlink" Target="https://bulbapedia.bulbagarden.net/wiki/Horsea_(EX_Dragon_58)" TargetMode="External"/><Relationship Id="rId74" Type="http://schemas.openxmlformats.org/officeDocument/2006/relationships/hyperlink" Target="https://bulbapedia.bulbagarden.net/wiki/Spoink_(EX_Dragon_74)" TargetMode="External"/><Relationship Id="rId79" Type="http://schemas.openxmlformats.org/officeDocument/2006/relationships/hyperlink" Target="https://bulbapedia.bulbagarden.net/wiki/Trapinch_(EX_Dragon_79)" TargetMode="External"/><Relationship Id="rId5" Type="http://schemas.openxmlformats.org/officeDocument/2006/relationships/hyperlink" Target="https://bulbapedia.bulbagarden.net/wiki/Golem_(EX_Dragon_5)" TargetMode="External"/><Relationship Id="rId90" Type="http://schemas.openxmlformats.org/officeDocument/2006/relationships/hyperlink" Target="https://bulbapedia.bulbagarden.net/wiki/Dragonite_ex_(EX_Dragon_90)" TargetMode="External"/><Relationship Id="rId95" Type="http://schemas.openxmlformats.org/officeDocument/2006/relationships/hyperlink" Target="https://bulbapedia.bulbagarden.net/wiki/Magcargo_ex_(EX_Dragon_95)" TargetMode="External"/><Relationship Id="rId22" Type="http://schemas.openxmlformats.org/officeDocument/2006/relationships/hyperlink" Target="https://bulbapedia.bulbagarden.net/wiki/Vibrava_(EX_Dragon_22)" TargetMode="External"/><Relationship Id="rId27" Type="http://schemas.openxmlformats.org/officeDocument/2006/relationships/hyperlink" Target="https://bulbapedia.bulbagarden.net/wiki/Flaaffy_(EX_Dragon_27)" TargetMode="External"/><Relationship Id="rId43" Type="http://schemas.openxmlformats.org/officeDocument/2006/relationships/hyperlink" Target="https://bulbapedia.bulbagarden.net/wiki/Shuppet_(EX_Dragon_43)" TargetMode="External"/><Relationship Id="rId48" Type="http://schemas.openxmlformats.org/officeDocument/2006/relationships/hyperlink" Target="https://bulbapedia.bulbagarden.net/wiki/Whiscash_(EX_Dragon_48)" TargetMode="External"/><Relationship Id="rId64" Type="http://schemas.openxmlformats.org/officeDocument/2006/relationships/hyperlink" Target="https://bulbapedia.bulbagarden.net/wiki/Mareep_(EX_Dragon_64)" TargetMode="External"/><Relationship Id="rId69" Type="http://schemas.openxmlformats.org/officeDocument/2006/relationships/hyperlink" Target="https://bulbapedia.bulbagarden.net/wiki/Numel_(EX_Dragon_69)" TargetMode="External"/><Relationship Id="rId80" Type="http://schemas.openxmlformats.org/officeDocument/2006/relationships/hyperlink" Target="https://bulbapedia.bulbagarden.net/wiki/Treecko_(EX_Dragon_80)" TargetMode="External"/><Relationship Id="rId85" Type="http://schemas.openxmlformats.org/officeDocument/2006/relationships/hyperlink" Target="https://bulbapedia.bulbagarden.net/wiki/High_Pressure_System_(EX_Dragon_85)" TargetMode="External"/><Relationship Id="rId3" Type="http://schemas.openxmlformats.org/officeDocument/2006/relationships/hyperlink" Target="https://bulbapedia.bulbagarden.net/wiki/Crawdaunt_(EX_Dragon_3)" TargetMode="External"/><Relationship Id="rId12" Type="http://schemas.openxmlformats.org/officeDocument/2006/relationships/hyperlink" Target="https://bulbapedia.bulbagarden.net/wiki/Torkoal_(EX_Dragon_12)" TargetMode="External"/><Relationship Id="rId17" Type="http://schemas.openxmlformats.org/officeDocument/2006/relationships/hyperlink" Target="https://bulbapedia.bulbagarden.net/wiki/Magneton_(EX_Dragon_17)" TargetMode="External"/><Relationship Id="rId25" Type="http://schemas.openxmlformats.org/officeDocument/2006/relationships/hyperlink" Target="https://bulbapedia.bulbagarden.net/wiki/Combusken_(EX_Dragon_25)" TargetMode="External"/><Relationship Id="rId33" Type="http://schemas.openxmlformats.org/officeDocument/2006/relationships/hyperlink" Target="https://bulbapedia.bulbagarden.net/wiki/Horsea_(EX_Dragon_33)" TargetMode="External"/><Relationship Id="rId38" Type="http://schemas.openxmlformats.org/officeDocument/2006/relationships/hyperlink" Target="https://bulbapedia.bulbagarden.net/wiki/Ninjask_(EX_Dragon_38)" TargetMode="External"/><Relationship Id="rId46" Type="http://schemas.openxmlformats.org/officeDocument/2006/relationships/hyperlink" Target="https://bulbapedia.bulbagarden.net/wiki/Vibrava_(EX_Dragon_46)" TargetMode="External"/><Relationship Id="rId59" Type="http://schemas.openxmlformats.org/officeDocument/2006/relationships/hyperlink" Target="https://bulbapedia.bulbagarden.net/wiki/Houndour_(EX_Dragon_59)" TargetMode="External"/><Relationship Id="rId67" Type="http://schemas.openxmlformats.org/officeDocument/2006/relationships/hyperlink" Target="https://bulbapedia.bulbagarden.net/wiki/Nincada_(EX_Dragon_67)" TargetMode="External"/><Relationship Id="rId20" Type="http://schemas.openxmlformats.org/officeDocument/2006/relationships/hyperlink" Target="https://bulbapedia.bulbagarden.net/wiki/Shelgon_(EX_Dragon_20)" TargetMode="External"/><Relationship Id="rId41" Type="http://schemas.openxmlformats.org/officeDocument/2006/relationships/hyperlink" Target="https://bulbapedia.bulbagarden.net/wiki/Shelgon_(EX_Dragon_41)" TargetMode="External"/><Relationship Id="rId54" Type="http://schemas.openxmlformats.org/officeDocument/2006/relationships/hyperlink" Target="https://bulbapedia.bulbagarden.net/wiki/Corphish_(EX_Dragon_54)" TargetMode="External"/><Relationship Id="rId62" Type="http://schemas.openxmlformats.org/officeDocument/2006/relationships/hyperlink" Target="https://bulbapedia.bulbagarden.net/wiki/Magnemite_(EX_Dragon_62)" TargetMode="External"/><Relationship Id="rId70" Type="http://schemas.openxmlformats.org/officeDocument/2006/relationships/hyperlink" Target="https://bulbapedia.bulbagarden.net/wiki/Numel_(EX_Dragon_70)" TargetMode="External"/><Relationship Id="rId75" Type="http://schemas.openxmlformats.org/officeDocument/2006/relationships/hyperlink" Target="https://bulbapedia.bulbagarden.net/wiki/Swablu_(EX_Dragon_75)" TargetMode="External"/><Relationship Id="rId83" Type="http://schemas.openxmlformats.org/officeDocument/2006/relationships/hyperlink" Target="https://bulbapedia.bulbagarden.net/wiki/Buffer_Piece_(EX_Dragon_83)" TargetMode="External"/><Relationship Id="rId88" Type="http://schemas.openxmlformats.org/officeDocument/2006/relationships/hyperlink" Target="https://bulbapedia.bulbagarden.net/wiki/TV_Reporter_(EX_Dragon_88)" TargetMode="External"/><Relationship Id="rId91" Type="http://schemas.openxmlformats.org/officeDocument/2006/relationships/hyperlink" Target="https://bulbapedia.bulbagarden.net/wiki/Golem_ex_(EX_Dragon_91)" TargetMode="External"/><Relationship Id="rId96" Type="http://schemas.openxmlformats.org/officeDocument/2006/relationships/hyperlink" Target="https://bulbapedia.bulbagarden.net/wiki/Muk_ex_(EX_Dragon_96)" TargetMode="External"/><Relationship Id="rId1" Type="http://schemas.openxmlformats.org/officeDocument/2006/relationships/hyperlink" Target="https://bulbapedia.bulbagarden.net/wiki/Absol_(EX_Dragon_1)" TargetMode="External"/><Relationship Id="rId6" Type="http://schemas.openxmlformats.org/officeDocument/2006/relationships/hyperlink" Target="https://bulbapedia.bulbagarden.net/wiki/Grumpig_(EX_Dragon_6)" TargetMode="External"/><Relationship Id="rId15" Type="http://schemas.openxmlformats.org/officeDocument/2006/relationships/hyperlink" Target="https://bulbapedia.bulbagarden.net/wiki/Flygon_(EX_Dragon_15)" TargetMode="External"/><Relationship Id="rId23" Type="http://schemas.openxmlformats.org/officeDocument/2006/relationships/hyperlink" Target="https://bulbapedia.bulbagarden.net/wiki/Bagon_(EX_Dragon_23)" TargetMode="External"/><Relationship Id="rId28" Type="http://schemas.openxmlformats.org/officeDocument/2006/relationships/hyperlink" Target="https://bulbapedia.bulbagarden.net/wiki/Forretress_(EX_Dragon_28)" TargetMode="External"/><Relationship Id="rId36" Type="http://schemas.openxmlformats.org/officeDocument/2006/relationships/hyperlink" Target="https://bulbapedia.bulbagarden.net/wiki/Marshtomp_(EX_Dragon_36)" TargetMode="External"/><Relationship Id="rId49" Type="http://schemas.openxmlformats.org/officeDocument/2006/relationships/hyperlink" Target="https://bulbapedia.bulbagarden.net/wiki/Bagon_(EX_Dragon_49)" TargetMode="External"/><Relationship Id="rId57" Type="http://schemas.openxmlformats.org/officeDocument/2006/relationships/hyperlink" Target="https://bulbapedia.bulbagarden.net/wiki/Grimer_(EX_Dragon_57)" TargetMode="External"/><Relationship Id="rId10" Type="http://schemas.openxmlformats.org/officeDocument/2006/relationships/hyperlink" Target="https://bulbapedia.bulbagarden.net/wiki/Salamence_(EX_Dragon_10)" TargetMode="External"/><Relationship Id="rId31" Type="http://schemas.openxmlformats.org/officeDocument/2006/relationships/hyperlink" Target="https://bulbapedia.bulbagarden.net/wiki/Grovyle_(EX_Dragon_31)" TargetMode="External"/><Relationship Id="rId44" Type="http://schemas.openxmlformats.org/officeDocument/2006/relationships/hyperlink" Target="https://bulbapedia.bulbagarden.net/wiki/Snorunt_(EX_Dragon_44)" TargetMode="External"/><Relationship Id="rId52" Type="http://schemas.openxmlformats.org/officeDocument/2006/relationships/hyperlink" Target="https://bulbapedia.bulbagarden.net/wiki/Corphish_(EX_Dragon_52)" TargetMode="External"/><Relationship Id="rId60" Type="http://schemas.openxmlformats.org/officeDocument/2006/relationships/hyperlink" Target="https://bulbapedia.bulbagarden.net/wiki/Magikarp_(EX_Dragon_60)" TargetMode="External"/><Relationship Id="rId65" Type="http://schemas.openxmlformats.org/officeDocument/2006/relationships/hyperlink" Target="https://bulbapedia.bulbagarden.net/wiki/Mudkip_(EX_Dragon_65)" TargetMode="External"/><Relationship Id="rId73" Type="http://schemas.openxmlformats.org/officeDocument/2006/relationships/hyperlink" Target="https://bulbapedia.bulbagarden.net/wiki/Spoink_(EX_Dragon_73)" TargetMode="External"/><Relationship Id="rId78" Type="http://schemas.openxmlformats.org/officeDocument/2006/relationships/hyperlink" Target="https://bulbapedia.bulbagarden.net/wiki/Trapinch_(EX_Dragon_78)" TargetMode="External"/><Relationship Id="rId81" Type="http://schemas.openxmlformats.org/officeDocument/2006/relationships/hyperlink" Target="https://bulbapedia.bulbagarden.net/wiki/Wurmple_(EX_Dragon_81)" TargetMode="External"/><Relationship Id="rId86" Type="http://schemas.openxmlformats.org/officeDocument/2006/relationships/hyperlink" Target="https://bulbapedia.bulbagarden.net/wiki/Low_Pressure_System_(EX_Dragon_86)" TargetMode="External"/><Relationship Id="rId94" Type="http://schemas.openxmlformats.org/officeDocument/2006/relationships/hyperlink" Target="https://bulbapedia.bulbagarden.net/wiki/Latios_ex_(EX_Dragon_94)" TargetMode="External"/><Relationship Id="rId99" Type="http://schemas.openxmlformats.org/officeDocument/2006/relationships/hyperlink" Target="https://bulbapedia.bulbagarden.net/wiki/Charmeleon_(EX_Dragon_99)" TargetMode="External"/><Relationship Id="rId4" Type="http://schemas.openxmlformats.org/officeDocument/2006/relationships/hyperlink" Target="https://bulbapedia.bulbagarden.net/wiki/Flygon_(EX_Dragon_4)" TargetMode="External"/><Relationship Id="rId9" Type="http://schemas.openxmlformats.org/officeDocument/2006/relationships/hyperlink" Target="https://bulbapedia.bulbagarden.net/wiki/Roselia_(EX_Dragon_9)" TargetMode="External"/><Relationship Id="rId13" Type="http://schemas.openxmlformats.org/officeDocument/2006/relationships/hyperlink" Target="https://bulbapedia.bulbagarden.net/wiki/Crawdaunt_(EX_Dragon_13)" TargetMode="External"/><Relationship Id="rId18" Type="http://schemas.openxmlformats.org/officeDocument/2006/relationships/hyperlink" Target="https://bulbapedia.bulbagarden.net/wiki/Ninjask_(EX_Dragon_18)" TargetMode="External"/><Relationship Id="rId39" Type="http://schemas.openxmlformats.org/officeDocument/2006/relationships/hyperlink" Target="https://bulbapedia.bulbagarden.net/wiki/Seadra_(EX_Dragon_39)" TargetMode="External"/><Relationship Id="rId34" Type="http://schemas.openxmlformats.org/officeDocument/2006/relationships/hyperlink" Target="https://bulbapedia.bulbagarden.net/wiki/Houndoom_(EX_Dragon_34)" TargetMode="External"/><Relationship Id="rId50" Type="http://schemas.openxmlformats.org/officeDocument/2006/relationships/hyperlink" Target="https://bulbapedia.bulbagarden.net/wiki/Bagon_(EX_Dragon_50)" TargetMode="External"/><Relationship Id="rId55" Type="http://schemas.openxmlformats.org/officeDocument/2006/relationships/hyperlink" Target="https://bulbapedia.bulbagarden.net/wiki/Geodude_(EX_Dragon_55)" TargetMode="External"/><Relationship Id="rId76" Type="http://schemas.openxmlformats.org/officeDocument/2006/relationships/hyperlink" Target="https://bulbapedia.bulbagarden.net/wiki/Taillow_(EX_Dragon_76)" TargetMode="External"/><Relationship Id="rId97" Type="http://schemas.openxmlformats.org/officeDocument/2006/relationships/hyperlink" Target="https://bulbapedia.bulbagarden.net/wiki/Rayquaza_ex_(EX_Dragon_97)" TargetMode="External"/><Relationship Id="rId7" Type="http://schemas.openxmlformats.org/officeDocument/2006/relationships/hyperlink" Target="https://bulbapedia.bulbagarden.net/wiki/Minun_(EX_Dragon_7)" TargetMode="External"/><Relationship Id="rId71" Type="http://schemas.openxmlformats.org/officeDocument/2006/relationships/hyperlink" Target="https://bulbapedia.bulbagarden.net/wiki/Pineco_(EX_Dragon_71)" TargetMode="External"/><Relationship Id="rId92" Type="http://schemas.openxmlformats.org/officeDocument/2006/relationships/hyperlink" Target="https://bulbapedia.bulbagarden.net/wiki/Kingdra_ex_(EX_Dragon_92)" TargetMode="External"/><Relationship Id="rId2" Type="http://schemas.openxmlformats.org/officeDocument/2006/relationships/hyperlink" Target="https://bulbapedia.bulbagarden.net/wiki/Altaria_(EX_Dragon_2)" TargetMode="External"/><Relationship Id="rId29" Type="http://schemas.openxmlformats.org/officeDocument/2006/relationships/hyperlink" Target="https://bulbapedia.bulbagarden.net/wiki/Graveler_(EX_Dragon_29)" TargetMode="External"/><Relationship Id="rId24" Type="http://schemas.openxmlformats.org/officeDocument/2006/relationships/hyperlink" Target="https://bulbapedia.bulbagarden.net/wiki/Camerupt_(EX_Dragon_24)" TargetMode="External"/><Relationship Id="rId40" Type="http://schemas.openxmlformats.org/officeDocument/2006/relationships/hyperlink" Target="https://bulbapedia.bulbagarden.net/wiki/Seadra_(EX_Dragon_40)" TargetMode="External"/><Relationship Id="rId45" Type="http://schemas.openxmlformats.org/officeDocument/2006/relationships/hyperlink" Target="https://bulbapedia.bulbagarden.net/wiki/Swellow_(EX_Dragon_45)" TargetMode="External"/><Relationship Id="rId66" Type="http://schemas.openxmlformats.org/officeDocument/2006/relationships/hyperlink" Target="https://bulbapedia.bulbagarden.net/wiki/Nincada_(EX_Dragon_66)" TargetMode="External"/><Relationship Id="rId87" Type="http://schemas.openxmlformats.org/officeDocument/2006/relationships/hyperlink" Target="https://bulbapedia.bulbagarden.net/wiki/Mr._Briney%27s_Compassion_(EX_Dragon_87)" TargetMode="External"/><Relationship Id="rId61" Type="http://schemas.openxmlformats.org/officeDocument/2006/relationships/hyperlink" Target="https://bulbapedia.bulbagarden.net/wiki/Magnemite_(EX_Dragon_61)" TargetMode="External"/><Relationship Id="rId82" Type="http://schemas.openxmlformats.org/officeDocument/2006/relationships/hyperlink" Target="https://bulbapedia.bulbagarden.net/wiki/Balloon_Berry_(EX_Dragon_82)" TargetMode="External"/><Relationship Id="rId19" Type="http://schemas.openxmlformats.org/officeDocument/2006/relationships/hyperlink" Target="https://bulbapedia.bulbagarden.net/wiki/Salamence_(EX_Dragon_19)" TargetMode="External"/><Relationship Id="rId14" Type="http://schemas.openxmlformats.org/officeDocument/2006/relationships/hyperlink" Target="https://bulbapedia.bulbagarden.net/wiki/Dragonair_(EX_Dragon_14)" TargetMode="External"/><Relationship Id="rId30" Type="http://schemas.openxmlformats.org/officeDocument/2006/relationships/hyperlink" Target="https://bulbapedia.bulbagarden.net/wiki/Graveler_(EX_Dragon_30)" TargetMode="External"/><Relationship Id="rId35" Type="http://schemas.openxmlformats.org/officeDocument/2006/relationships/hyperlink" Target="https://bulbapedia.bulbagarden.net/wiki/Magneton_(EX_Dragon_35)" TargetMode="External"/><Relationship Id="rId56" Type="http://schemas.openxmlformats.org/officeDocument/2006/relationships/hyperlink" Target="https://bulbapedia.bulbagarden.net/wiki/Geodude_(EX_Dragon_56)" TargetMode="External"/><Relationship Id="rId77" Type="http://schemas.openxmlformats.org/officeDocument/2006/relationships/hyperlink" Target="https://bulbapedia.bulbagarden.net/wiki/Torchic_(EX_Dragon_77)" TargetMode="External"/><Relationship Id="rId100" Type="http://schemas.openxmlformats.org/officeDocument/2006/relationships/hyperlink" Target="https://bulbapedia.bulbagarden.net/wiki/Charizard_(EX_Dragon_100)" TargetMode="External"/><Relationship Id="rId8" Type="http://schemas.openxmlformats.org/officeDocument/2006/relationships/hyperlink" Target="https://bulbapedia.bulbagarden.net/wiki/Plusle_(EX_Dragon_8)" TargetMode="External"/><Relationship Id="rId51" Type="http://schemas.openxmlformats.org/officeDocument/2006/relationships/hyperlink" Target="https://bulbapedia.bulbagarden.net/wiki/Barboach_(EX_Dragon_51)" TargetMode="External"/><Relationship Id="rId72" Type="http://schemas.openxmlformats.org/officeDocument/2006/relationships/hyperlink" Target="https://bulbapedia.bulbagarden.net/wiki/Slugma_(EX_Dragon_72)" TargetMode="External"/><Relationship Id="rId93" Type="http://schemas.openxmlformats.org/officeDocument/2006/relationships/hyperlink" Target="https://bulbapedia.bulbagarden.net/wiki/Latias_ex_(EX_Dragon_93)" TargetMode="External"/><Relationship Id="rId98" Type="http://schemas.openxmlformats.org/officeDocument/2006/relationships/hyperlink" Target="https://bulbapedia.bulbagarden.net/wiki/Charmander_(EX_Dragon_98)"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bulbapedia.bulbagarden.net/wiki/Team_Aqua%27s_Corphish_(EX_Team_Magma_vs_Team_Aqua_26)" TargetMode="External"/><Relationship Id="rId21" Type="http://schemas.openxmlformats.org/officeDocument/2006/relationships/hyperlink" Target="https://bulbapedia.bulbagarden.net/wiki/Team_Magma%27s_Mightyena_(EX_Team_Magma_vs_Team_Aqua_21)" TargetMode="External"/><Relationship Id="rId42" Type="http://schemas.openxmlformats.org/officeDocument/2006/relationships/hyperlink" Target="https://bulbapedia.bulbagarden.net/wiki/Meowth_(EX_Team_Magma_vs_Team_Aqua_42)" TargetMode="External"/><Relationship Id="rId47" Type="http://schemas.openxmlformats.org/officeDocument/2006/relationships/hyperlink" Target="https://bulbapedia.bulbagarden.net/wiki/Team_Aqua%27s_Carvanha_(EX_Team_Magma_vs_Team_Aqua_47)" TargetMode="External"/><Relationship Id="rId63" Type="http://schemas.openxmlformats.org/officeDocument/2006/relationships/hyperlink" Target="https://bulbapedia.bulbagarden.net/wiki/Team_Magma%27s_Houndour_(EX_Team_Magma_vs_Team_Aqua_63)" TargetMode="External"/><Relationship Id="rId68" Type="http://schemas.openxmlformats.org/officeDocument/2006/relationships/hyperlink" Target="https://bulbapedia.bulbagarden.net/wiki/Team_Magma%27s_Rhyhorn_(EX_Team_Magma_vs_Team_Aqua_68)" TargetMode="External"/><Relationship Id="rId84" Type="http://schemas.openxmlformats.org/officeDocument/2006/relationships/hyperlink" Target="https://bulbapedia.bulbagarden.net/wiki/Team_Magma_Technical_Machine_01_(EX_Team_Magma_vs_Team_Aqua_84)" TargetMode="External"/><Relationship Id="rId89" Type="http://schemas.openxmlformats.org/officeDocument/2006/relationships/hyperlink" Target="https://bulbapedia.bulbagarden.net/wiki/Blaziken_ex_(EX_Team_Magma_vs_Team_Aqua_89)" TargetMode="External"/><Relationship Id="rId16" Type="http://schemas.openxmlformats.org/officeDocument/2006/relationships/hyperlink" Target="https://bulbapedia.bulbagarden.net/wiki/Team_Aqua%27s_Sealeo_(EX_Team_Magma_vs_Team_Aqua_16)" TargetMode="External"/><Relationship Id="rId11" Type="http://schemas.openxmlformats.org/officeDocument/2006/relationships/hyperlink" Target="https://bulbapedia.bulbagarden.net/wiki/Team_Magma%27s_Rhydon_(EX_Team_Magma_vs_Team_Aqua_11)" TargetMode="External"/><Relationship Id="rId32" Type="http://schemas.openxmlformats.org/officeDocument/2006/relationships/hyperlink" Target="https://bulbapedia.bulbagarden.net/wiki/Team_Magma%27s_Baltoy_(EX_Team_Magma_vs_Team_Aqua_32)" TargetMode="External"/><Relationship Id="rId37" Type="http://schemas.openxmlformats.org/officeDocument/2006/relationships/hyperlink" Target="https://bulbapedia.bulbagarden.net/wiki/Team_Magma%27s_Mightyena_(EX_Team_Magma_vs_Team_Aqua_37)" TargetMode="External"/><Relationship Id="rId53" Type="http://schemas.openxmlformats.org/officeDocument/2006/relationships/hyperlink" Target="https://bulbapedia.bulbagarden.net/wiki/Team_Aqua%27s_Electrike_(EX_Team_Magma_vs_Team_Aqua_53)" TargetMode="External"/><Relationship Id="rId58" Type="http://schemas.openxmlformats.org/officeDocument/2006/relationships/hyperlink" Target="https://bulbapedia.bulbagarden.net/wiki/Team_Magma%27s_Aron_(EX_Team_Magma_vs_Team_Aqua_58)" TargetMode="External"/><Relationship Id="rId74" Type="http://schemas.openxmlformats.org/officeDocument/2006/relationships/hyperlink" Target="https://bulbapedia.bulbagarden.net/wiki/Strength_Charm_(EX_Team_Magma_vs_Team_Aqua_74)" TargetMode="External"/><Relationship Id="rId79" Type="http://schemas.openxmlformats.org/officeDocument/2006/relationships/hyperlink" Target="https://bulbapedia.bulbagarden.net/wiki/Team_Aqua_Technical_Machine_01_(EX_Team_Magma_vs_Team_Aqua_79)" TargetMode="External"/><Relationship Id="rId5" Type="http://schemas.openxmlformats.org/officeDocument/2006/relationships/hyperlink" Target="https://bulbapedia.bulbagarden.net/wiki/Team_Aqua%27s_Sharpedo_(EX_Team_Magma_vs_Team_Aqua_5)" TargetMode="External"/><Relationship Id="rId90" Type="http://schemas.openxmlformats.org/officeDocument/2006/relationships/hyperlink" Target="https://bulbapedia.bulbagarden.net/wiki/Cradily_ex_(EX_Team_Magma_vs_Team_Aqua_90)" TargetMode="External"/><Relationship Id="rId95" Type="http://schemas.openxmlformats.org/officeDocument/2006/relationships/hyperlink" Target="https://bulbapedia.bulbagarden.net/wiki/Swampert_ex_(EX_Team_Magma_vs_Team_Aqua_95)" TargetMode="External"/><Relationship Id="rId22" Type="http://schemas.openxmlformats.org/officeDocument/2006/relationships/hyperlink" Target="https://bulbapedia.bulbagarden.net/wiki/Team_Magma%27s_Rhydon_(EX_Team_Magma_vs_Team_Aqua_22)" TargetMode="External"/><Relationship Id="rId27" Type="http://schemas.openxmlformats.org/officeDocument/2006/relationships/hyperlink" Target="https://bulbapedia.bulbagarden.net/wiki/Team_Aqua%27s_Electrike_(EX_Team_Magma_vs_Team_Aqua_27)" TargetMode="External"/><Relationship Id="rId43" Type="http://schemas.openxmlformats.org/officeDocument/2006/relationships/hyperlink" Target="https://bulbapedia.bulbagarden.net/wiki/Pikachu_(EX_Team_Magma_vs_Team_Aqua_43)" TargetMode="External"/><Relationship Id="rId48" Type="http://schemas.openxmlformats.org/officeDocument/2006/relationships/hyperlink" Target="https://bulbapedia.bulbagarden.net/wiki/Team_Aqua%27s_Carvanha_(EX_Team_Magma_vs_Team_Aqua_48)" TargetMode="External"/><Relationship Id="rId64" Type="http://schemas.openxmlformats.org/officeDocument/2006/relationships/hyperlink" Target="https://bulbapedia.bulbagarden.net/wiki/Team_Magma%27s_Numel_(EX_Team_Magma_vs_Team_Aqua_64)" TargetMode="External"/><Relationship Id="rId69" Type="http://schemas.openxmlformats.org/officeDocument/2006/relationships/hyperlink" Target="https://bulbapedia.bulbagarden.net/wiki/Team_Aqua_Schemer_(EX_Team_Magma_vs_Team_Aqua_69)" TargetMode="External"/><Relationship Id="rId80" Type="http://schemas.openxmlformats.org/officeDocument/2006/relationships/hyperlink" Target="https://bulbapedia.bulbagarden.net/wiki/Team_Magma_Ball_(EX_Team_Magma_vs_Team_Aqua_80)" TargetMode="External"/><Relationship Id="rId85" Type="http://schemas.openxmlformats.org/officeDocument/2006/relationships/hyperlink" Target="https://bulbapedia.bulbagarden.net/wiki/Warp_Point_(EX_Team_Magma_vs_Team_Aqua_85)" TargetMode="External"/><Relationship Id="rId3" Type="http://schemas.openxmlformats.org/officeDocument/2006/relationships/hyperlink" Target="https://bulbapedia.bulbagarden.net/wiki/Team_Aqua%27s_Kyogre_(EX_Team_Magma_vs_Team_Aqua_3)" TargetMode="External"/><Relationship Id="rId12" Type="http://schemas.openxmlformats.org/officeDocument/2006/relationships/hyperlink" Target="https://bulbapedia.bulbagarden.net/wiki/Team_Magma%27s_Torkoal_(EX_Team_Magma_vs_Team_Aqua_12)" TargetMode="External"/><Relationship Id="rId17" Type="http://schemas.openxmlformats.org/officeDocument/2006/relationships/hyperlink" Target="https://bulbapedia.bulbagarden.net/wiki/Team_Aqua%27s_Seviper_(EX_Team_Magma_vs_Team_Aqua_17)" TargetMode="External"/><Relationship Id="rId25" Type="http://schemas.openxmlformats.org/officeDocument/2006/relationships/hyperlink" Target="https://bulbapedia.bulbagarden.net/wiki/Team_Aqua%27s_Carvanha_(EX_Team_Magma_vs_Team_Aqua_25)" TargetMode="External"/><Relationship Id="rId33" Type="http://schemas.openxmlformats.org/officeDocument/2006/relationships/hyperlink" Target="https://bulbapedia.bulbagarden.net/wiki/Team_Magma%27s_Claydol_(EX_Team_Magma_vs_Team_Aqua_33)" TargetMode="External"/><Relationship Id="rId38" Type="http://schemas.openxmlformats.org/officeDocument/2006/relationships/hyperlink" Target="https://bulbapedia.bulbagarden.net/wiki/Team_Magma%27s_Rhyhorn_(EX_Team_Magma_vs_Team_Aqua_38)" TargetMode="External"/><Relationship Id="rId46" Type="http://schemas.openxmlformats.org/officeDocument/2006/relationships/hyperlink" Target="https://bulbapedia.bulbagarden.net/wiki/Squirtle_(EX_Team_Magma_vs_Team_Aqua_46)" TargetMode="External"/><Relationship Id="rId59" Type="http://schemas.openxmlformats.org/officeDocument/2006/relationships/hyperlink" Target="https://bulbapedia.bulbagarden.net/wiki/Team_Magma%27s_Aron_(EX_Team_Magma_vs_Team_Aqua_59)" TargetMode="External"/><Relationship Id="rId67" Type="http://schemas.openxmlformats.org/officeDocument/2006/relationships/hyperlink" Target="https://bulbapedia.bulbagarden.net/wiki/Team_Magma%27s_Rhyhorn_(EX_Team_Magma_vs_Team_Aqua_67)" TargetMode="External"/><Relationship Id="rId20" Type="http://schemas.openxmlformats.org/officeDocument/2006/relationships/hyperlink" Target="https://bulbapedia.bulbagarden.net/wiki/Team_Magma%27s_Lairon_(EX_Team_Magma_vs_Team_Aqua_20)" TargetMode="External"/><Relationship Id="rId41" Type="http://schemas.openxmlformats.org/officeDocument/2006/relationships/hyperlink" Target="https://bulbapedia.bulbagarden.net/wiki/Jigglypuff_(EX_Team_Magma_vs_Team_Aqua_41)" TargetMode="External"/><Relationship Id="rId54" Type="http://schemas.openxmlformats.org/officeDocument/2006/relationships/hyperlink" Target="https://bulbapedia.bulbagarden.net/wiki/Team_Aqua%27s_Poochyena_(EX_Team_Magma_vs_Team_Aqua_54)" TargetMode="External"/><Relationship Id="rId62" Type="http://schemas.openxmlformats.org/officeDocument/2006/relationships/hyperlink" Target="https://bulbapedia.bulbagarden.net/wiki/Team_Magma%27s_Houndour_(EX_Team_Magma_vs_Team_Aqua_62)" TargetMode="External"/><Relationship Id="rId70" Type="http://schemas.openxmlformats.org/officeDocument/2006/relationships/hyperlink" Target="https://bulbapedia.bulbagarden.net/wiki/Team_Magma_Schemer_(EX_Team_Magma_vs_Team_Aqua_70)" TargetMode="External"/><Relationship Id="rId75" Type="http://schemas.openxmlformats.org/officeDocument/2006/relationships/hyperlink" Target="https://bulbapedia.bulbagarden.net/wiki/Team_Aqua_Ball_(EX_Team_Magma_vs_Team_Aqua_75)" TargetMode="External"/><Relationship Id="rId83" Type="http://schemas.openxmlformats.org/officeDocument/2006/relationships/hyperlink" Target="https://bulbapedia.bulbagarden.net/wiki/Team_Magma_Hideout_(EX_Team_Magma_vs_Team_Aqua_83)" TargetMode="External"/><Relationship Id="rId88" Type="http://schemas.openxmlformats.org/officeDocument/2006/relationships/hyperlink" Target="https://bulbapedia.bulbagarden.net/wiki/Double_Rainbow_Energy_(EX_Team_Magma_vs_Team_Aqua_88)" TargetMode="External"/><Relationship Id="rId91" Type="http://schemas.openxmlformats.org/officeDocument/2006/relationships/hyperlink" Target="https://bulbapedia.bulbagarden.net/wiki/Entei_ex_(EX_Team_Magma_vs_Team_Aqua_91)" TargetMode="External"/><Relationship Id="rId96" Type="http://schemas.openxmlformats.org/officeDocument/2006/relationships/hyperlink" Target="https://bulbapedia.bulbagarden.net/wiki/Absol_(EX_Team_Magma_vs_Team_Aqua_96)" TargetMode="External"/><Relationship Id="rId1" Type="http://schemas.openxmlformats.org/officeDocument/2006/relationships/hyperlink" Target="https://bulbapedia.bulbagarden.net/wiki/Team_Aqua%27s_Cacturne_(EX_Team_Magma_vs_Team_Aqua_1)" TargetMode="External"/><Relationship Id="rId6" Type="http://schemas.openxmlformats.org/officeDocument/2006/relationships/hyperlink" Target="https://bulbapedia.bulbagarden.net/wiki/Team_Aqua%27s_Walrein_(EX_Team_Magma_vs_Team_Aqua_6)" TargetMode="External"/><Relationship Id="rId15" Type="http://schemas.openxmlformats.org/officeDocument/2006/relationships/hyperlink" Target="https://bulbapedia.bulbagarden.net/wiki/Team_Aqua%27s_Mightyena_(EX_Team_Magma_vs_Team_Aqua_15)" TargetMode="External"/><Relationship Id="rId23" Type="http://schemas.openxmlformats.org/officeDocument/2006/relationships/hyperlink" Target="https://bulbapedia.bulbagarden.net/wiki/Team_Magma%27s_Zangoose_(EX_Team_Magma_vs_Team_Aqua_23)" TargetMode="External"/><Relationship Id="rId28" Type="http://schemas.openxmlformats.org/officeDocument/2006/relationships/hyperlink" Target="https://bulbapedia.bulbagarden.net/wiki/Team_Aqua%27s_Lanturn_(EX_Team_Magma_vs_Team_Aqua_28)" TargetMode="External"/><Relationship Id="rId36" Type="http://schemas.openxmlformats.org/officeDocument/2006/relationships/hyperlink" Target="https://bulbapedia.bulbagarden.net/wiki/Team_Magma%27s_Lairon_(EX_Team_Magma_vs_Team_Aqua_36)" TargetMode="External"/><Relationship Id="rId49" Type="http://schemas.openxmlformats.org/officeDocument/2006/relationships/hyperlink" Target="https://bulbapedia.bulbagarden.net/wiki/Team_Aqua%27s_Chinchou_(EX_Team_Magma_vs_Team_Aqua_49)" TargetMode="External"/><Relationship Id="rId57" Type="http://schemas.openxmlformats.org/officeDocument/2006/relationships/hyperlink" Target="https://bulbapedia.bulbagarden.net/wiki/Team_Aqua%27s_Spheal_(EX_Team_Magma_vs_Team_Aqua_57)" TargetMode="External"/><Relationship Id="rId10" Type="http://schemas.openxmlformats.org/officeDocument/2006/relationships/hyperlink" Target="https://bulbapedia.bulbagarden.net/wiki/Team_Magma%27s_Houndoom_(EX_Team_Magma_vs_Team_Aqua_10)" TargetMode="External"/><Relationship Id="rId31" Type="http://schemas.openxmlformats.org/officeDocument/2006/relationships/hyperlink" Target="https://bulbapedia.bulbagarden.net/wiki/Team_Aqua%27s_Sealeo_(EX_Team_Magma_vs_Team_Aqua_31)" TargetMode="External"/><Relationship Id="rId44" Type="http://schemas.openxmlformats.org/officeDocument/2006/relationships/hyperlink" Target="https://bulbapedia.bulbagarden.net/wiki/Psyduck_(EX_Team_Magma_vs_Team_Aqua_44)" TargetMode="External"/><Relationship Id="rId52" Type="http://schemas.openxmlformats.org/officeDocument/2006/relationships/hyperlink" Target="https://bulbapedia.bulbagarden.net/wiki/Team_Aqua%27s_Electrike_(EX_Team_Magma_vs_Team_Aqua_52)" TargetMode="External"/><Relationship Id="rId60" Type="http://schemas.openxmlformats.org/officeDocument/2006/relationships/hyperlink" Target="https://bulbapedia.bulbagarden.net/wiki/Team_Magma%27s_Baltoy_(EX_Team_Magma_vs_Team_Aqua_60)" TargetMode="External"/><Relationship Id="rId65" Type="http://schemas.openxmlformats.org/officeDocument/2006/relationships/hyperlink" Target="https://bulbapedia.bulbagarden.net/wiki/Team_Magma%27s_Poochyena_(EX_Team_Magma_vs_Team_Aqua_65)" TargetMode="External"/><Relationship Id="rId73" Type="http://schemas.openxmlformats.org/officeDocument/2006/relationships/hyperlink" Target="https://bulbapedia.bulbagarden.net/wiki/Maxie_(EX_Team_Magma_vs_Team_Aqua_73)" TargetMode="External"/><Relationship Id="rId78" Type="http://schemas.openxmlformats.org/officeDocument/2006/relationships/hyperlink" Target="https://bulbapedia.bulbagarden.net/wiki/Team_Aqua_Hideout_(EX_Team_Magma_vs_Team_Aqua_78)" TargetMode="External"/><Relationship Id="rId81" Type="http://schemas.openxmlformats.org/officeDocument/2006/relationships/hyperlink" Target="https://bulbapedia.bulbagarden.net/wiki/Team_Magma_Belt_(EX_Team_Magma_vs_Team_Aqua_81)" TargetMode="External"/><Relationship Id="rId86" Type="http://schemas.openxmlformats.org/officeDocument/2006/relationships/hyperlink" Target="https://bulbapedia.bulbagarden.net/wiki/Aqua_Energy_(EX_Team_Magma_vs_Team_Aqua_86)" TargetMode="External"/><Relationship Id="rId94" Type="http://schemas.openxmlformats.org/officeDocument/2006/relationships/hyperlink" Target="https://bulbapedia.bulbagarden.net/wiki/Suicune_ex_(EX_Team_Magma_vs_Team_Aqua_94)" TargetMode="External"/><Relationship Id="rId4" Type="http://schemas.openxmlformats.org/officeDocument/2006/relationships/hyperlink" Target="https://bulbapedia.bulbagarden.net/wiki/Team_Aqua%27s_Manectric_(EX_Team_Magma_vs_Team_Aqua_4)" TargetMode="External"/><Relationship Id="rId9" Type="http://schemas.openxmlformats.org/officeDocument/2006/relationships/hyperlink" Target="https://bulbapedia.bulbagarden.net/wiki/Team_Magma%27s_Groudon_(EX_Team_Magma_vs_Team_Aqua_9)" TargetMode="External"/><Relationship Id="rId13" Type="http://schemas.openxmlformats.org/officeDocument/2006/relationships/hyperlink" Target="https://bulbapedia.bulbagarden.net/wiki/Raichu_(EX_Team_Magma_vs_Team_Aqua_13)" TargetMode="External"/><Relationship Id="rId18" Type="http://schemas.openxmlformats.org/officeDocument/2006/relationships/hyperlink" Target="https://bulbapedia.bulbagarden.net/wiki/Team_Aqua%27s_Sharpedo_(EX_Team_Magma_vs_Team_Aqua_18)" TargetMode="External"/><Relationship Id="rId39" Type="http://schemas.openxmlformats.org/officeDocument/2006/relationships/hyperlink" Target="https://bulbapedia.bulbagarden.net/wiki/Bulbasaur_(EX_Team_Magma_vs_Team_Aqua_39)" TargetMode="External"/><Relationship Id="rId34" Type="http://schemas.openxmlformats.org/officeDocument/2006/relationships/hyperlink" Target="https://bulbapedia.bulbagarden.net/wiki/Team_Magma%27s_Houndoom_(EX_Team_Magma_vs_Team_Aqua_34)" TargetMode="External"/><Relationship Id="rId50" Type="http://schemas.openxmlformats.org/officeDocument/2006/relationships/hyperlink" Target="https://bulbapedia.bulbagarden.net/wiki/Team_Aqua%27s_Corphish_(EX_Team_Magma_vs_Team_Aqua_50)" TargetMode="External"/><Relationship Id="rId55" Type="http://schemas.openxmlformats.org/officeDocument/2006/relationships/hyperlink" Target="https://bulbapedia.bulbagarden.net/wiki/Team_Aqua%27s_Poochyena_(EX_Team_Magma_vs_Team_Aqua_55)" TargetMode="External"/><Relationship Id="rId76" Type="http://schemas.openxmlformats.org/officeDocument/2006/relationships/hyperlink" Target="https://bulbapedia.bulbagarden.net/wiki/Team_Aqua_Belt_(EX_Team_Magma_vs_Team_Aqua_76)" TargetMode="External"/><Relationship Id="rId97" Type="http://schemas.openxmlformats.org/officeDocument/2006/relationships/hyperlink" Target="https://bulbapedia.bulbagarden.net/wiki/Jirachi_(EX_Team_Magma_vs_Team_Aqua_97)" TargetMode="External"/><Relationship Id="rId7" Type="http://schemas.openxmlformats.org/officeDocument/2006/relationships/hyperlink" Target="https://bulbapedia.bulbagarden.net/wiki/Team_Magma%27s_Aggron_(EX_Team_Magma_vs_Team_Aqua_7)" TargetMode="External"/><Relationship Id="rId71" Type="http://schemas.openxmlformats.org/officeDocument/2006/relationships/hyperlink" Target="https://bulbapedia.bulbagarden.net/wiki/Archie_(EX_Team_Magma_vs_Team_Aqua_71)" TargetMode="External"/><Relationship Id="rId92" Type="http://schemas.openxmlformats.org/officeDocument/2006/relationships/hyperlink" Target="https://bulbapedia.bulbagarden.net/wiki/Raikou_ex_(EX_Team_Magma_vs_Team_Aqua_92)" TargetMode="External"/><Relationship Id="rId2" Type="http://schemas.openxmlformats.org/officeDocument/2006/relationships/hyperlink" Target="https://bulbapedia.bulbagarden.net/wiki/Team_Aqua%27s_Crawdaunt_(EX_Team_Magma_vs_Team_Aqua_2)" TargetMode="External"/><Relationship Id="rId29" Type="http://schemas.openxmlformats.org/officeDocument/2006/relationships/hyperlink" Target="https://bulbapedia.bulbagarden.net/wiki/Team_Aqua%27s_Manectric_(EX_Team_Magma_vs_Team_Aqua_29)" TargetMode="External"/><Relationship Id="rId24" Type="http://schemas.openxmlformats.org/officeDocument/2006/relationships/hyperlink" Target="https://bulbapedia.bulbagarden.net/wiki/Team_Aqua%27s_Cacnea_(EX_Team_Magma_vs_Team_Aqua_24)" TargetMode="External"/><Relationship Id="rId40" Type="http://schemas.openxmlformats.org/officeDocument/2006/relationships/hyperlink" Target="https://bulbapedia.bulbagarden.net/wiki/Cubone_(EX_Team_Magma_vs_Team_Aqua_40)" TargetMode="External"/><Relationship Id="rId45" Type="http://schemas.openxmlformats.org/officeDocument/2006/relationships/hyperlink" Target="https://bulbapedia.bulbagarden.net/wiki/Slowpoke_(EX_Team_Magma_vs_Team_Aqua_45)" TargetMode="External"/><Relationship Id="rId66" Type="http://schemas.openxmlformats.org/officeDocument/2006/relationships/hyperlink" Target="https://bulbapedia.bulbagarden.net/wiki/Team_Magma%27s_Poochyena_(EX_Team_Magma_vs_Team_Aqua_66)" TargetMode="External"/><Relationship Id="rId87" Type="http://schemas.openxmlformats.org/officeDocument/2006/relationships/hyperlink" Target="https://bulbapedia.bulbagarden.net/wiki/Magma_Energy_(EX_Team_Magma_vs_Team_Aqua_87)" TargetMode="External"/><Relationship Id="rId61" Type="http://schemas.openxmlformats.org/officeDocument/2006/relationships/hyperlink" Target="https://bulbapedia.bulbagarden.net/wiki/Team_Magma%27s_Baltoy_(EX_Team_Magma_vs_Team_Aqua_61)" TargetMode="External"/><Relationship Id="rId82" Type="http://schemas.openxmlformats.org/officeDocument/2006/relationships/hyperlink" Target="https://bulbapedia.bulbagarden.net/wiki/Team_Magma_Conspirator_(EX_Team_Magma_vs_Team_Aqua_82)" TargetMode="External"/><Relationship Id="rId19" Type="http://schemas.openxmlformats.org/officeDocument/2006/relationships/hyperlink" Target="https://bulbapedia.bulbagarden.net/wiki/Team_Magma%27s_Camerupt_(EX_Team_Magma_vs_Team_Aqua_19)" TargetMode="External"/><Relationship Id="rId14" Type="http://schemas.openxmlformats.org/officeDocument/2006/relationships/hyperlink" Target="https://bulbapedia.bulbagarden.net/wiki/Team_Aqua%27s_Crawdaunt_(EX_Team_Magma_vs_Team_Aqua_14)" TargetMode="External"/><Relationship Id="rId30" Type="http://schemas.openxmlformats.org/officeDocument/2006/relationships/hyperlink" Target="https://bulbapedia.bulbagarden.net/wiki/Team_Aqua%27s_Mightyena_(EX_Team_Magma_vs_Team_Aqua_30)" TargetMode="External"/><Relationship Id="rId35" Type="http://schemas.openxmlformats.org/officeDocument/2006/relationships/hyperlink" Target="https://bulbapedia.bulbagarden.net/wiki/Team_Magma%27s_Houndour_(EX_Team_Magma_vs_Team_Aqua_35)" TargetMode="External"/><Relationship Id="rId56" Type="http://schemas.openxmlformats.org/officeDocument/2006/relationships/hyperlink" Target="https://bulbapedia.bulbagarden.net/wiki/Team_Aqua%27s_Spheal_(EX_Team_Magma_vs_Team_Aqua_56)" TargetMode="External"/><Relationship Id="rId77" Type="http://schemas.openxmlformats.org/officeDocument/2006/relationships/hyperlink" Target="https://bulbapedia.bulbagarden.net/wiki/Team_Aqua_Conspirator_(EX_Team_Magma_vs_Team_Aqua_77)" TargetMode="External"/><Relationship Id="rId8" Type="http://schemas.openxmlformats.org/officeDocument/2006/relationships/hyperlink" Target="https://bulbapedia.bulbagarden.net/wiki/Team_Magma%27s_Claydol_(EX_Team_Magma_vs_Team_Aqua_8)" TargetMode="External"/><Relationship Id="rId51" Type="http://schemas.openxmlformats.org/officeDocument/2006/relationships/hyperlink" Target="https://bulbapedia.bulbagarden.net/wiki/Team_Aqua%27s_Corphish_(EX_Team_Magma_vs_Team_Aqua_51)" TargetMode="External"/><Relationship Id="rId72" Type="http://schemas.openxmlformats.org/officeDocument/2006/relationships/hyperlink" Target="https://bulbapedia.bulbagarden.net/wiki/Dual_Ball_(EX_Team_Magma_vs_Team_Aqua_72)" TargetMode="External"/><Relationship Id="rId93" Type="http://schemas.openxmlformats.org/officeDocument/2006/relationships/hyperlink" Target="https://bulbapedia.bulbagarden.net/wiki/Sceptile_ex_(EX_Team_Magma_vs_Team_Aqua_93)"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bulbapedia.bulbagarden.net/wiki/Potion_(EX_Ruby_%26_Sapphire_91)" TargetMode="External"/><Relationship Id="rId13" Type="http://schemas.openxmlformats.org/officeDocument/2006/relationships/hyperlink" Target="https://bulbapedia.bulbagarden.net/wiki/Magnemite_(EX_Dragon_61)" TargetMode="External"/><Relationship Id="rId18" Type="http://schemas.openxmlformats.org/officeDocument/2006/relationships/hyperlink" Target="https://bulbapedia.bulbagarden.net/wiki/Energy_Search_(EX_Ruby_%26_Sapphire_90)" TargetMode="External"/><Relationship Id="rId3" Type="http://schemas.openxmlformats.org/officeDocument/2006/relationships/hyperlink" Target="https://bulbapedia.bulbagarden.net/wiki/Delcatty_(EX_Sandstorm_34)" TargetMode="External"/><Relationship Id="rId7" Type="http://schemas.openxmlformats.org/officeDocument/2006/relationships/hyperlink" Target="https://bulbapedia.bulbagarden.net/wiki/Torchic_(EX_Dragon_77)" TargetMode="External"/><Relationship Id="rId12" Type="http://schemas.openxmlformats.org/officeDocument/2006/relationships/hyperlink" Target="https://bulbapedia.bulbagarden.net/wiki/Linoone_(EX_Ruby_%26_Sapphire_38)" TargetMode="External"/><Relationship Id="rId17" Type="http://schemas.openxmlformats.org/officeDocument/2006/relationships/hyperlink" Target="https://bulbapedia.bulbagarden.net/wiki/Potion_(EX_Ruby_%26_Sapphire_91)" TargetMode="External"/><Relationship Id="rId2" Type="http://schemas.openxmlformats.org/officeDocument/2006/relationships/hyperlink" Target="https://bulbapedia.bulbagarden.net/wiki/Combusken_(EX_Ruby_%26_Sapphire_27)" TargetMode="External"/><Relationship Id="rId16" Type="http://schemas.openxmlformats.org/officeDocument/2006/relationships/hyperlink" Target="https://bulbapedia.bulbagarden.net/wiki/Zigzagoon_(EX_Ruby_%26_Sapphire_79)" TargetMode="External"/><Relationship Id="rId1" Type="http://schemas.openxmlformats.org/officeDocument/2006/relationships/hyperlink" Target="https://bulbapedia.bulbagarden.net/wiki/Bagon_(EX_Dragon_49)" TargetMode="External"/><Relationship Id="rId6" Type="http://schemas.openxmlformats.org/officeDocument/2006/relationships/hyperlink" Target="https://bulbapedia.bulbagarden.net/wiki/Skitty_(EX_Ruby_%26_Sapphire_71)" TargetMode="External"/><Relationship Id="rId11" Type="http://schemas.openxmlformats.org/officeDocument/2006/relationships/hyperlink" Target="https://bulbapedia.bulbagarden.net/wiki/Latios_(Latios_Half_Deck_2)" TargetMode="External"/><Relationship Id="rId5" Type="http://schemas.openxmlformats.org/officeDocument/2006/relationships/hyperlink" Target="https://bulbapedia.bulbagarden.net/wiki/Numel_(EX_Dragon_69)" TargetMode="External"/><Relationship Id="rId15" Type="http://schemas.openxmlformats.org/officeDocument/2006/relationships/hyperlink" Target="https://bulbapedia.bulbagarden.net/wiki/Pikachu_(EX_Sandstorm_72)" TargetMode="External"/><Relationship Id="rId10" Type="http://schemas.openxmlformats.org/officeDocument/2006/relationships/hyperlink" Target="https://bulbapedia.bulbagarden.net/wiki/Electrike_(EX_Ruby_%26_Sapphire_52)" TargetMode="External"/><Relationship Id="rId4" Type="http://schemas.openxmlformats.org/officeDocument/2006/relationships/hyperlink" Target="https://bulbapedia.bulbagarden.net/wiki/Latias_(Latias_Half_Deck_4)" TargetMode="External"/><Relationship Id="rId9" Type="http://schemas.openxmlformats.org/officeDocument/2006/relationships/hyperlink" Target="https://bulbapedia.bulbagarden.net/wiki/Energy_Search_(EX_Ruby_%26_Sapphire_90)" TargetMode="External"/><Relationship Id="rId14" Type="http://schemas.openxmlformats.org/officeDocument/2006/relationships/hyperlink" Target="https://bulbapedia.bulbagarden.net/wiki/Magneton_(EX_Dragon_35)"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bulbapedia.bulbagarden.net/wiki/Sunny_Castform_(EX_Hidden_Legends_26)" TargetMode="External"/><Relationship Id="rId21" Type="http://schemas.openxmlformats.org/officeDocument/2006/relationships/hyperlink" Target="https://bulbapedia.bulbagarden.net/wiki/Metang_(EX_Hidden_Legends_21)" TargetMode="External"/><Relationship Id="rId42" Type="http://schemas.openxmlformats.org/officeDocument/2006/relationships/hyperlink" Target="https://bulbapedia.bulbagarden.net/wiki/Medicham_(EX_Hidden_Legends_42)" TargetMode="External"/><Relationship Id="rId47" Type="http://schemas.openxmlformats.org/officeDocument/2006/relationships/hyperlink" Target="https://bulbapedia.bulbagarden.net/wiki/Sealeo_(EX_Hidden_Legends_47)" TargetMode="External"/><Relationship Id="rId63" Type="http://schemas.openxmlformats.org/officeDocument/2006/relationships/hyperlink" Target="https://bulbapedia.bulbagarden.net/wiki/Jigglypuff_(EX_Hidden_Legends_63)" TargetMode="External"/><Relationship Id="rId68" Type="http://schemas.openxmlformats.org/officeDocument/2006/relationships/hyperlink" Target="https://bulbapedia.bulbagarden.net/wiki/Oddish_(EX_Hidden_Legends_68)" TargetMode="External"/><Relationship Id="rId84" Type="http://schemas.openxmlformats.org/officeDocument/2006/relationships/hyperlink" Target="https://bulbapedia.bulbagarden.net/wiki/Ancient_Technical_Machine_(EX_Hidden_Legends_84)" TargetMode="External"/><Relationship Id="rId89" Type="http://schemas.openxmlformats.org/officeDocument/2006/relationships/hyperlink" Target="https://bulbapedia.bulbagarden.net/wiki/Island_Cave_(EX_Hidden_Legends_89)" TargetMode="External"/><Relationship Id="rId16" Type="http://schemas.openxmlformats.org/officeDocument/2006/relationships/hyperlink" Target="https://bulbapedia.bulbagarden.net/wiki/Bellossom_(EX_Hidden_Legends_16)" TargetMode="External"/><Relationship Id="rId11" Type="http://schemas.openxmlformats.org/officeDocument/2006/relationships/hyperlink" Target="https://bulbapedia.bulbagarden.net/wiki/Metagross_(EX_Hidden_Legends_11)" TargetMode="External"/><Relationship Id="rId32" Type="http://schemas.openxmlformats.org/officeDocument/2006/relationships/hyperlink" Target="https://bulbapedia.bulbagarden.net/wiki/Corsola_(EX_Hidden_Legends_32)" TargetMode="External"/><Relationship Id="rId37" Type="http://schemas.openxmlformats.org/officeDocument/2006/relationships/hyperlink" Target="https://bulbapedia.bulbagarden.net/wiki/Igglybuff_(EX_Hidden_Legends_37)" TargetMode="External"/><Relationship Id="rId53" Type="http://schemas.openxmlformats.org/officeDocument/2006/relationships/hyperlink" Target="https://bulbapedia.bulbagarden.net/wiki/Baltoy_(EX_Hidden_Legends_53)" TargetMode="External"/><Relationship Id="rId58" Type="http://schemas.openxmlformats.org/officeDocument/2006/relationships/hyperlink" Target="https://bulbapedia.bulbagarden.net/wiki/Clamperl_(EX_Hidden_Legends_58)" TargetMode="External"/><Relationship Id="rId74" Type="http://schemas.openxmlformats.org/officeDocument/2006/relationships/hyperlink" Target="https://bulbapedia.bulbagarden.net/wiki/Spheal_(EX_Hidden_Legends_74)" TargetMode="External"/><Relationship Id="rId79" Type="http://schemas.openxmlformats.org/officeDocument/2006/relationships/hyperlink" Target="https://bulbapedia.bulbagarden.net/wiki/Totodile_(EX_Hidden_Legends_79)" TargetMode="External"/><Relationship Id="rId102" Type="http://schemas.openxmlformats.org/officeDocument/2006/relationships/hyperlink" Target="https://bulbapedia.bulbagarden.net/wiki/Groudon_(EX_Hidden_Legends_102)" TargetMode="External"/><Relationship Id="rId5" Type="http://schemas.openxmlformats.org/officeDocument/2006/relationships/hyperlink" Target="https://bulbapedia.bulbagarden.net/wiki/Electrode_(EX_Hidden_Legends_5)" TargetMode="External"/><Relationship Id="rId90" Type="http://schemas.openxmlformats.org/officeDocument/2006/relationships/hyperlink" Target="https://bulbapedia.bulbagarden.net/wiki/Life_Herb_(EX_Hidden_Legends_90)" TargetMode="External"/><Relationship Id="rId95" Type="http://schemas.openxmlformats.org/officeDocument/2006/relationships/hyperlink" Target="https://bulbapedia.bulbagarden.net/wiki/Metagross_ex_(EX_Hidden_Legends_95)" TargetMode="External"/><Relationship Id="rId22" Type="http://schemas.openxmlformats.org/officeDocument/2006/relationships/hyperlink" Target="https://bulbapedia.bulbagarden.net/wiki/Ninetales_(EX_Hidden_Legends_22)" TargetMode="External"/><Relationship Id="rId27" Type="http://schemas.openxmlformats.org/officeDocument/2006/relationships/hyperlink" Target="https://bulbapedia.bulbagarden.net/wiki/Tropius_(EX_Hidden_Legends_27)" TargetMode="External"/><Relationship Id="rId43" Type="http://schemas.openxmlformats.org/officeDocument/2006/relationships/hyperlink" Target="https://bulbapedia.bulbagarden.net/wiki/Metang_(EX_Hidden_Legends_43)" TargetMode="External"/><Relationship Id="rId48" Type="http://schemas.openxmlformats.org/officeDocument/2006/relationships/hyperlink" Target="https://bulbapedia.bulbagarden.net/wiki/Spinda_(EX_Hidden_Legends_48)" TargetMode="External"/><Relationship Id="rId64" Type="http://schemas.openxmlformats.org/officeDocument/2006/relationships/hyperlink" Target="https://bulbapedia.bulbagarden.net/wiki/Machop_(EX_Hidden_Legends_64)" TargetMode="External"/><Relationship Id="rId69" Type="http://schemas.openxmlformats.org/officeDocument/2006/relationships/hyperlink" Target="https://bulbapedia.bulbagarden.net/wiki/Plusle_(EX_Hidden_Legends_69)" TargetMode="External"/><Relationship Id="rId80" Type="http://schemas.openxmlformats.org/officeDocument/2006/relationships/hyperlink" Target="https://bulbapedia.bulbagarden.net/wiki/Voltorb_(EX_Hidden_Legends_80)" TargetMode="External"/><Relationship Id="rId85" Type="http://schemas.openxmlformats.org/officeDocument/2006/relationships/hyperlink" Target="https://bulbapedia.bulbagarden.net/wiki/Ancient_Technical_Machine_(EX_Hidden_Legends_85)" TargetMode="External"/><Relationship Id="rId12" Type="http://schemas.openxmlformats.org/officeDocument/2006/relationships/hyperlink" Target="https://bulbapedia.bulbagarden.net/wiki/Milotic_(EX_Hidden_Legends_12)" TargetMode="External"/><Relationship Id="rId17" Type="http://schemas.openxmlformats.org/officeDocument/2006/relationships/hyperlink" Target="https://bulbapedia.bulbagarden.net/wiki/Chimecho_(EX_Hidden_Legends_17)" TargetMode="External"/><Relationship Id="rId25" Type="http://schemas.openxmlformats.org/officeDocument/2006/relationships/hyperlink" Target="https://bulbapedia.bulbagarden.net/wiki/Snow-cloud_Castform_(EX_Hidden_Legends_25)" TargetMode="External"/><Relationship Id="rId33" Type="http://schemas.openxmlformats.org/officeDocument/2006/relationships/hyperlink" Target="https://bulbapedia.bulbagarden.net/wiki/Dodrio_(EX_Hidden_Legends_33)" TargetMode="External"/><Relationship Id="rId38" Type="http://schemas.openxmlformats.org/officeDocument/2006/relationships/hyperlink" Target="https://bulbapedia.bulbagarden.net/wiki/Lanturn_(EX_Hidden_Legends_38)" TargetMode="External"/><Relationship Id="rId46" Type="http://schemas.openxmlformats.org/officeDocument/2006/relationships/hyperlink" Target="https://bulbapedia.bulbagarden.net/wiki/Rhydon_(EX_Hidden_Legends_46)" TargetMode="External"/><Relationship Id="rId59" Type="http://schemas.openxmlformats.org/officeDocument/2006/relationships/hyperlink" Target="https://bulbapedia.bulbagarden.net/wiki/Cyndaquil_(EX_Hidden_Legends_59)" TargetMode="External"/><Relationship Id="rId67" Type="http://schemas.openxmlformats.org/officeDocument/2006/relationships/hyperlink" Target="https://bulbapedia.bulbagarden.net/wiki/Minun_(EX_Hidden_Legends_67)" TargetMode="External"/><Relationship Id="rId20" Type="http://schemas.openxmlformats.org/officeDocument/2006/relationships/hyperlink" Target="https://bulbapedia.bulbagarden.net/wiki/Masquerain_(EX_Hidden_Legends_20)" TargetMode="External"/><Relationship Id="rId41" Type="http://schemas.openxmlformats.org/officeDocument/2006/relationships/hyperlink" Target="https://bulbapedia.bulbagarden.net/wiki/Machoke_(EX_Hidden_Legends_41)" TargetMode="External"/><Relationship Id="rId54" Type="http://schemas.openxmlformats.org/officeDocument/2006/relationships/hyperlink" Target="https://bulbapedia.bulbagarden.net/wiki/Beldum_(EX_Hidden_Legends_54)" TargetMode="External"/><Relationship Id="rId62" Type="http://schemas.openxmlformats.org/officeDocument/2006/relationships/hyperlink" Target="https://bulbapedia.bulbagarden.net/wiki/Gulpin_(EX_Hidden_Legends_62)" TargetMode="External"/><Relationship Id="rId70" Type="http://schemas.openxmlformats.org/officeDocument/2006/relationships/hyperlink" Target="https://bulbapedia.bulbagarden.net/wiki/Rhyhorn_(EX_Hidden_Legends_70)" TargetMode="External"/><Relationship Id="rId75" Type="http://schemas.openxmlformats.org/officeDocument/2006/relationships/hyperlink" Target="https://bulbapedia.bulbagarden.net/wiki/Staryu_(EX_Hidden_Legends_75)" TargetMode="External"/><Relationship Id="rId83" Type="http://schemas.openxmlformats.org/officeDocument/2006/relationships/hyperlink" Target="https://bulbapedia.bulbagarden.net/wiki/Zubat_(EX_Hidden_Legends_83)" TargetMode="External"/><Relationship Id="rId88" Type="http://schemas.openxmlformats.org/officeDocument/2006/relationships/hyperlink" Target="https://bulbapedia.bulbagarden.net/wiki/Desert_Ruins_(EX_Hidden_Legends_88)" TargetMode="External"/><Relationship Id="rId91" Type="http://schemas.openxmlformats.org/officeDocument/2006/relationships/hyperlink" Target="https://bulbapedia.bulbagarden.net/wiki/Magnetic_Storm_(EX_Hidden_Legends_91)" TargetMode="External"/><Relationship Id="rId96" Type="http://schemas.openxmlformats.org/officeDocument/2006/relationships/hyperlink" Target="https://bulbapedia.bulbagarden.net/wiki/Ninetales_ex_(EX_Hidden_Legends_96)" TargetMode="External"/><Relationship Id="rId1" Type="http://schemas.openxmlformats.org/officeDocument/2006/relationships/hyperlink" Target="https://bulbapedia.bulbagarden.net/wiki/Banette_(EX_Hidden_Legends_1)" TargetMode="External"/><Relationship Id="rId6" Type="http://schemas.openxmlformats.org/officeDocument/2006/relationships/hyperlink" Target="https://bulbapedia.bulbagarden.net/wiki/Exploud_(EX_Hidden_Legends_6)" TargetMode="External"/><Relationship Id="rId15" Type="http://schemas.openxmlformats.org/officeDocument/2006/relationships/hyperlink" Target="https://bulbapedia.bulbagarden.net/wiki/Walrein_(EX_Hidden_Legends_15)" TargetMode="External"/><Relationship Id="rId23" Type="http://schemas.openxmlformats.org/officeDocument/2006/relationships/hyperlink" Target="https://bulbapedia.bulbagarden.net/wiki/Rain_Castform_(EX_Hidden_Legends_23)" TargetMode="External"/><Relationship Id="rId28" Type="http://schemas.openxmlformats.org/officeDocument/2006/relationships/hyperlink" Target="https://bulbapedia.bulbagarden.net/wiki/Beldum_(EX_Hidden_Legends_28)" TargetMode="External"/><Relationship Id="rId36" Type="http://schemas.openxmlformats.org/officeDocument/2006/relationships/hyperlink" Target="https://bulbapedia.bulbagarden.net/wiki/Golbat_(EX_Hidden_Legends_36)" TargetMode="External"/><Relationship Id="rId49" Type="http://schemas.openxmlformats.org/officeDocument/2006/relationships/hyperlink" Target="https://bulbapedia.bulbagarden.net/wiki/Starmie_(EX_Hidden_Legends_49)" TargetMode="External"/><Relationship Id="rId57" Type="http://schemas.openxmlformats.org/officeDocument/2006/relationships/hyperlink" Target="https://bulbapedia.bulbagarden.net/wiki/Chinchou_(EX_Hidden_Legends_57)" TargetMode="External"/><Relationship Id="rId10" Type="http://schemas.openxmlformats.org/officeDocument/2006/relationships/hyperlink" Target="https://bulbapedia.bulbagarden.net/wiki/Medicham_(EX_Hidden_Legends_10)" TargetMode="External"/><Relationship Id="rId31" Type="http://schemas.openxmlformats.org/officeDocument/2006/relationships/hyperlink" Target="https://bulbapedia.bulbagarden.net/wiki/Claydol_(EX_Hidden_Legends_31)" TargetMode="External"/><Relationship Id="rId44" Type="http://schemas.openxmlformats.org/officeDocument/2006/relationships/hyperlink" Target="https://bulbapedia.bulbagarden.net/wiki/Metang_(EX_Hidden_Legends_44)" TargetMode="External"/><Relationship Id="rId52" Type="http://schemas.openxmlformats.org/officeDocument/2006/relationships/hyperlink" Target="https://bulbapedia.bulbagarden.net/wiki/Baltoy_(EX_Hidden_Legends_52)" TargetMode="External"/><Relationship Id="rId60" Type="http://schemas.openxmlformats.org/officeDocument/2006/relationships/hyperlink" Target="https://bulbapedia.bulbagarden.net/wiki/Doduo_(EX_Hidden_Legends_60)" TargetMode="External"/><Relationship Id="rId65" Type="http://schemas.openxmlformats.org/officeDocument/2006/relationships/hyperlink" Target="https://bulbapedia.bulbagarden.net/wiki/Meditite_(EX_Hidden_Legends_65)" TargetMode="External"/><Relationship Id="rId73" Type="http://schemas.openxmlformats.org/officeDocument/2006/relationships/hyperlink" Target="https://bulbapedia.bulbagarden.net/wiki/Snorunt_(EX_Hidden_Legends_73)" TargetMode="External"/><Relationship Id="rId78" Type="http://schemas.openxmlformats.org/officeDocument/2006/relationships/hyperlink" Target="https://bulbapedia.bulbagarden.net/wiki/Togepi_(EX_Hidden_Legends_78)" TargetMode="External"/><Relationship Id="rId81" Type="http://schemas.openxmlformats.org/officeDocument/2006/relationships/hyperlink" Target="https://bulbapedia.bulbagarden.net/wiki/Vulpix_(EX_Hidden_Legends_81)" TargetMode="External"/><Relationship Id="rId86" Type="http://schemas.openxmlformats.org/officeDocument/2006/relationships/hyperlink" Target="https://bulbapedia.bulbagarden.net/wiki/Ancient_Technical_Machine_(EX_Hidden_Legends_86)" TargetMode="External"/><Relationship Id="rId94" Type="http://schemas.openxmlformats.org/officeDocument/2006/relationships/hyperlink" Target="https://bulbapedia.bulbagarden.net/wiki/Kyogre_ex_(EX_Hidden_Legends_94)" TargetMode="External"/><Relationship Id="rId99" Type="http://schemas.openxmlformats.org/officeDocument/2006/relationships/hyperlink" Target="https://bulbapedia.bulbagarden.net/wiki/Registeel_ex_(EX_Hidden_Legends_99)" TargetMode="External"/><Relationship Id="rId101" Type="http://schemas.openxmlformats.org/officeDocument/2006/relationships/hyperlink" Target="https://bulbapedia.bulbagarden.net/wiki/Wigglytuff_ex_(EX_Hidden_Legends_101)" TargetMode="External"/><Relationship Id="rId4" Type="http://schemas.openxmlformats.org/officeDocument/2006/relationships/hyperlink" Target="https://bulbapedia.bulbagarden.net/wiki/Dark_Celebi_(EX_Hidden_Legends_4)" TargetMode="External"/><Relationship Id="rId9" Type="http://schemas.openxmlformats.org/officeDocument/2006/relationships/hyperlink" Target="https://bulbapedia.bulbagarden.net/wiki/Machamp_(EX_Hidden_Legends_9)" TargetMode="External"/><Relationship Id="rId13" Type="http://schemas.openxmlformats.org/officeDocument/2006/relationships/hyperlink" Target="https://bulbapedia.bulbagarden.net/wiki/Pinsir_(EX_Hidden_Legends_13)" TargetMode="External"/><Relationship Id="rId18" Type="http://schemas.openxmlformats.org/officeDocument/2006/relationships/hyperlink" Target="https://bulbapedia.bulbagarden.net/wiki/Gorebyss_(EX_Hidden_Legends_18)" TargetMode="External"/><Relationship Id="rId39" Type="http://schemas.openxmlformats.org/officeDocument/2006/relationships/hyperlink" Target="https://bulbapedia.bulbagarden.net/wiki/Loudred_(EX_Hidden_Legends_39)" TargetMode="External"/><Relationship Id="rId34" Type="http://schemas.openxmlformats.org/officeDocument/2006/relationships/hyperlink" Target="https://bulbapedia.bulbagarden.net/wiki/Glalie_(EX_Hidden_Legends_34)" TargetMode="External"/><Relationship Id="rId50" Type="http://schemas.openxmlformats.org/officeDocument/2006/relationships/hyperlink" Target="https://bulbapedia.bulbagarden.net/wiki/Swalot_(EX_Hidden_Legends_50)" TargetMode="External"/><Relationship Id="rId55" Type="http://schemas.openxmlformats.org/officeDocument/2006/relationships/hyperlink" Target="https://bulbapedia.bulbagarden.net/wiki/Chikorita_(EX_Hidden_Legends_55)" TargetMode="External"/><Relationship Id="rId76" Type="http://schemas.openxmlformats.org/officeDocument/2006/relationships/hyperlink" Target="https://bulbapedia.bulbagarden.net/wiki/Surskit_(EX_Hidden_Legends_76)" TargetMode="External"/><Relationship Id="rId97" Type="http://schemas.openxmlformats.org/officeDocument/2006/relationships/hyperlink" Target="https://bulbapedia.bulbagarden.net/wiki/Regice_ex_(EX_Hidden_Legends_97)" TargetMode="External"/><Relationship Id="rId7" Type="http://schemas.openxmlformats.org/officeDocument/2006/relationships/hyperlink" Target="https://bulbapedia.bulbagarden.net/wiki/Heracross_(EX_Hidden_Legends_7)" TargetMode="External"/><Relationship Id="rId71" Type="http://schemas.openxmlformats.org/officeDocument/2006/relationships/hyperlink" Target="https://bulbapedia.bulbagarden.net/wiki/Seedot_(EX_Hidden_Legends_71)" TargetMode="External"/><Relationship Id="rId92" Type="http://schemas.openxmlformats.org/officeDocument/2006/relationships/hyperlink" Target="https://bulbapedia.bulbagarden.net/wiki/Steven%27s_Advice_(EX_Hidden_Legends_92)" TargetMode="External"/><Relationship Id="rId2" Type="http://schemas.openxmlformats.org/officeDocument/2006/relationships/hyperlink" Target="https://bulbapedia.bulbagarden.net/wiki/Claydol_(EX_Hidden_Legends_2)" TargetMode="External"/><Relationship Id="rId29" Type="http://schemas.openxmlformats.org/officeDocument/2006/relationships/hyperlink" Target="https://bulbapedia.bulbagarden.net/wiki/Beldum_(EX_Hidden_Legends_29)" TargetMode="External"/><Relationship Id="rId24" Type="http://schemas.openxmlformats.org/officeDocument/2006/relationships/hyperlink" Target="https://bulbapedia.bulbagarden.net/wiki/Relicanth_(EX_Hidden_Legends_24)" TargetMode="External"/><Relationship Id="rId40" Type="http://schemas.openxmlformats.org/officeDocument/2006/relationships/hyperlink" Target="https://bulbapedia.bulbagarden.net/wiki/Luvdisc_(EX_Hidden_Legends_40)" TargetMode="External"/><Relationship Id="rId45" Type="http://schemas.openxmlformats.org/officeDocument/2006/relationships/hyperlink" Target="https://bulbapedia.bulbagarden.net/wiki/Nuzleaf_(EX_Hidden_Legends_45)" TargetMode="External"/><Relationship Id="rId66" Type="http://schemas.openxmlformats.org/officeDocument/2006/relationships/hyperlink" Target="https://bulbapedia.bulbagarden.net/wiki/Meditite_(EX_Hidden_Legends_66)" TargetMode="External"/><Relationship Id="rId87" Type="http://schemas.openxmlformats.org/officeDocument/2006/relationships/hyperlink" Target="https://bulbapedia.bulbagarden.net/wiki/Ancient_Tomb_(EX_Hidden_Legends_87)" TargetMode="External"/><Relationship Id="rId61" Type="http://schemas.openxmlformats.org/officeDocument/2006/relationships/hyperlink" Target="https://bulbapedia.bulbagarden.net/wiki/Feebas_(EX_Hidden_Legends_61)" TargetMode="External"/><Relationship Id="rId82" Type="http://schemas.openxmlformats.org/officeDocument/2006/relationships/hyperlink" Target="https://bulbapedia.bulbagarden.net/wiki/Whismur_(EX_Hidden_Legends_82)" TargetMode="External"/><Relationship Id="rId19" Type="http://schemas.openxmlformats.org/officeDocument/2006/relationships/hyperlink" Target="https://bulbapedia.bulbagarden.net/wiki/Huntail_(EX_Hidden_Legends_19)" TargetMode="External"/><Relationship Id="rId14" Type="http://schemas.openxmlformats.org/officeDocument/2006/relationships/hyperlink" Target="https://bulbapedia.bulbagarden.net/wiki/Shiftry_(EX_Hidden_Legends_14)" TargetMode="External"/><Relationship Id="rId30" Type="http://schemas.openxmlformats.org/officeDocument/2006/relationships/hyperlink" Target="https://bulbapedia.bulbagarden.net/wiki/Castform_(EX_Hidden_Legends_30)" TargetMode="External"/><Relationship Id="rId35" Type="http://schemas.openxmlformats.org/officeDocument/2006/relationships/hyperlink" Target="https://bulbapedia.bulbagarden.net/wiki/Gloom_(EX_Hidden_Legends_35)" TargetMode="External"/><Relationship Id="rId56" Type="http://schemas.openxmlformats.org/officeDocument/2006/relationships/hyperlink" Target="https://bulbapedia.bulbagarden.net/wiki/Chinchou_(EX_Hidden_Legends_56)" TargetMode="External"/><Relationship Id="rId77" Type="http://schemas.openxmlformats.org/officeDocument/2006/relationships/hyperlink" Target="https://bulbapedia.bulbagarden.net/wiki/Tentacool_(EX_Hidden_Legends_77)" TargetMode="External"/><Relationship Id="rId100" Type="http://schemas.openxmlformats.org/officeDocument/2006/relationships/hyperlink" Target="https://bulbapedia.bulbagarden.net/wiki/Vileplume_ex_(EX_Hidden_Legends_100)" TargetMode="External"/><Relationship Id="rId8" Type="http://schemas.openxmlformats.org/officeDocument/2006/relationships/hyperlink" Target="https://bulbapedia.bulbagarden.net/wiki/Jirachi_(EX_Hidden_Legends_8)" TargetMode="External"/><Relationship Id="rId51" Type="http://schemas.openxmlformats.org/officeDocument/2006/relationships/hyperlink" Target="https://bulbapedia.bulbagarden.net/wiki/Tentacruel_(EX_Hidden_Legends_51)" TargetMode="External"/><Relationship Id="rId72" Type="http://schemas.openxmlformats.org/officeDocument/2006/relationships/hyperlink" Target="https://bulbapedia.bulbagarden.net/wiki/Shuppet_(EX_Hidden_Legends_72)" TargetMode="External"/><Relationship Id="rId93" Type="http://schemas.openxmlformats.org/officeDocument/2006/relationships/hyperlink" Target="https://bulbapedia.bulbagarden.net/wiki/Groudon_ex_(EX_Hidden_Legends_93)" TargetMode="External"/><Relationship Id="rId98" Type="http://schemas.openxmlformats.org/officeDocument/2006/relationships/hyperlink" Target="https://bulbapedia.bulbagarden.net/wiki/Regirock_ex_(EX_Hidden_Legends_98)" TargetMode="External"/><Relationship Id="rId3" Type="http://schemas.openxmlformats.org/officeDocument/2006/relationships/hyperlink" Target="https://bulbapedia.bulbagarden.net/wiki/Crobat_(EX_Hidden_Legends_3)"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bulbapedia.bulbagarden.net/wiki/Kingler_(EX_FireRed_%26_LeafGreen_26)" TargetMode="External"/><Relationship Id="rId21" Type="http://schemas.openxmlformats.org/officeDocument/2006/relationships/hyperlink" Target="https://bulbapedia.bulbagarden.net/wiki/Dodrio_(EX_FireRed_%26_LeafGreen_21)" TargetMode="External"/><Relationship Id="rId42" Type="http://schemas.openxmlformats.org/officeDocument/2006/relationships/hyperlink" Target="https://bulbapedia.bulbagarden.net/wiki/Onix_(EX_FireRed_%26_LeafGreen_42)" TargetMode="External"/><Relationship Id="rId47" Type="http://schemas.openxmlformats.org/officeDocument/2006/relationships/hyperlink" Target="https://bulbapedia.bulbagarden.net/wiki/Porygon_(EX_FireRed_%26_LeafGreen_47)" TargetMode="External"/><Relationship Id="rId63" Type="http://schemas.openxmlformats.org/officeDocument/2006/relationships/hyperlink" Target="https://bulbapedia.bulbagarden.net/wiki/Gastly_(EX_FireRed_%26_LeafGreen_63)" TargetMode="External"/><Relationship Id="rId68" Type="http://schemas.openxmlformats.org/officeDocument/2006/relationships/hyperlink" Target="https://bulbapedia.bulbagarden.net/wiki/Magnemite_(EX_FireRed_%26_LeafGreen_68)" TargetMode="External"/><Relationship Id="rId84" Type="http://schemas.openxmlformats.org/officeDocument/2006/relationships/hyperlink" Target="https://bulbapedia.bulbagarden.net/wiki/Venonat_(EX_FireRed_%26_LeafGreen_84)" TargetMode="External"/><Relationship Id="rId89" Type="http://schemas.openxmlformats.org/officeDocument/2006/relationships/hyperlink" Target="https://bulbapedia.bulbagarden.net/wiki/Energy_Removal_2_(EX_FireRed_%26_LeafGreen_89)" TargetMode="External"/><Relationship Id="rId112" Type="http://schemas.openxmlformats.org/officeDocument/2006/relationships/hyperlink" Target="https://bulbapedia.bulbagarden.net/wiki/Venusaur_ex_(EX_FireRed_%26_LeafGreen_112)" TargetMode="External"/><Relationship Id="rId16" Type="http://schemas.openxmlformats.org/officeDocument/2006/relationships/hyperlink" Target="https://bulbapedia.bulbagarden.net/wiki/Tauros_(EX_FireRed_%26_LeafGreen_16)" TargetMode="External"/><Relationship Id="rId107" Type="http://schemas.openxmlformats.org/officeDocument/2006/relationships/hyperlink" Target="https://bulbapedia.bulbagarden.net/wiki/Electrode_ex_(EX_FireRed_%26_LeafGreen_107)" TargetMode="External"/><Relationship Id="rId11" Type="http://schemas.openxmlformats.org/officeDocument/2006/relationships/hyperlink" Target="https://bulbapedia.bulbagarden.net/wiki/Poliwrath_(EX_FireRed_%26_LeafGreen_11)" TargetMode="External"/><Relationship Id="rId32" Type="http://schemas.openxmlformats.org/officeDocument/2006/relationships/hyperlink" Target="https://bulbapedia.bulbagarden.net/wiki/Drowzee_(EX_FireRed_%26_LeafGreen_32)" TargetMode="External"/><Relationship Id="rId37" Type="http://schemas.openxmlformats.org/officeDocument/2006/relationships/hyperlink" Target="https://bulbapedia.bulbagarden.net/wiki/Lickitung_(EX_FireRed_%26_LeafGreen_37)" TargetMode="External"/><Relationship Id="rId53" Type="http://schemas.openxmlformats.org/officeDocument/2006/relationships/hyperlink" Target="https://bulbapedia.bulbagarden.net/wiki/Bellsprout_(EX_FireRed_%26_LeafGreen_53)" TargetMode="External"/><Relationship Id="rId58" Type="http://schemas.openxmlformats.org/officeDocument/2006/relationships/hyperlink" Target="https://bulbapedia.bulbagarden.net/wiki/Charmander_(EX_FireRed_%26_LeafGreen_58)" TargetMode="External"/><Relationship Id="rId74" Type="http://schemas.openxmlformats.org/officeDocument/2006/relationships/hyperlink" Target="https://bulbapedia.bulbagarden.net/wiki/Pikachu_(EX_FireRed_%26_LeafGreen_74)" TargetMode="External"/><Relationship Id="rId79" Type="http://schemas.openxmlformats.org/officeDocument/2006/relationships/hyperlink" Target="https://bulbapedia.bulbagarden.net/wiki/Shellder_(EX_FireRed_%26_LeafGreen_79)" TargetMode="External"/><Relationship Id="rId102" Type="http://schemas.openxmlformats.org/officeDocument/2006/relationships/hyperlink" Target="https://bulbapedia.bulbagarden.net/wiki/Switch_(EX_FireRed_%26_LeafGreen_102)" TargetMode="External"/><Relationship Id="rId5" Type="http://schemas.openxmlformats.org/officeDocument/2006/relationships/hyperlink" Target="https://bulbapedia.bulbagarden.net/wiki/Exeggutor_(EX_FireRed_%26_LeafGreen_5)" TargetMode="External"/><Relationship Id="rId90" Type="http://schemas.openxmlformats.org/officeDocument/2006/relationships/hyperlink" Target="https://bulbapedia.bulbagarden.net/wiki/Energy_Switch_(EX_FireRed_%26_LeafGreen_90)" TargetMode="External"/><Relationship Id="rId95" Type="http://schemas.openxmlformats.org/officeDocument/2006/relationships/hyperlink" Target="https://bulbapedia.bulbagarden.net/wiki/Pok%C3%A9_Ball_(EX_FireRed_%26_LeafGreen_95)" TargetMode="External"/><Relationship Id="rId22" Type="http://schemas.openxmlformats.org/officeDocument/2006/relationships/hyperlink" Target="https://bulbapedia.bulbagarden.net/wiki/Dugtrio_(EX_FireRed_%26_LeafGreen_22)" TargetMode="External"/><Relationship Id="rId27" Type="http://schemas.openxmlformats.org/officeDocument/2006/relationships/hyperlink" Target="https://bulbapedia.bulbagarden.net/wiki/Magneton_(EX_FireRed_%26_LeafGreen_27)" TargetMode="External"/><Relationship Id="rId43" Type="http://schemas.openxmlformats.org/officeDocument/2006/relationships/hyperlink" Target="https://bulbapedia.bulbagarden.net/wiki/Parasect_(EX_FireRed_%26_LeafGreen_43)" TargetMode="External"/><Relationship Id="rId48" Type="http://schemas.openxmlformats.org/officeDocument/2006/relationships/hyperlink" Target="https://bulbapedia.bulbagarden.net/wiki/Raticate_(EX_FireRed_%26_LeafGreen_48)" TargetMode="External"/><Relationship Id="rId64" Type="http://schemas.openxmlformats.org/officeDocument/2006/relationships/hyperlink" Target="https://bulbapedia.bulbagarden.net/wiki/Growlithe_(EX_FireRed_%26_LeafGreen_64)" TargetMode="External"/><Relationship Id="rId69" Type="http://schemas.openxmlformats.org/officeDocument/2006/relationships/hyperlink" Target="https://bulbapedia.bulbagarden.net/wiki/Meowth_(EX_FireRed_%26_LeafGreen_69)" TargetMode="External"/><Relationship Id="rId113" Type="http://schemas.openxmlformats.org/officeDocument/2006/relationships/hyperlink" Target="https://bulbapedia.bulbagarden.net/wiki/Charmander_(EX_FireRed_%26_LeafGreen_113)" TargetMode="External"/><Relationship Id="rId80" Type="http://schemas.openxmlformats.org/officeDocument/2006/relationships/hyperlink" Target="https://bulbapedia.bulbagarden.net/wiki/Slowpoke_(EX_FireRed_%26_LeafGreen_80)" TargetMode="External"/><Relationship Id="rId85" Type="http://schemas.openxmlformats.org/officeDocument/2006/relationships/hyperlink" Target="https://bulbapedia.bulbagarden.net/wiki/Voltorb_(EX_FireRed_%26_LeafGreen_85)" TargetMode="External"/><Relationship Id="rId12" Type="http://schemas.openxmlformats.org/officeDocument/2006/relationships/hyperlink" Target="https://bulbapedia.bulbagarden.net/wiki/Raichu_(EX_FireRed_%26_LeafGreen_12)" TargetMode="External"/><Relationship Id="rId17" Type="http://schemas.openxmlformats.org/officeDocument/2006/relationships/hyperlink" Target="https://bulbapedia.bulbagarden.net/wiki/Victreebel_(EX_FireRed_%26_LeafGreen_17)" TargetMode="External"/><Relationship Id="rId33" Type="http://schemas.openxmlformats.org/officeDocument/2006/relationships/hyperlink" Target="https://bulbapedia.bulbagarden.net/wiki/Exeggcute_(EX_FireRed_%26_LeafGreen_33)" TargetMode="External"/><Relationship Id="rId38" Type="http://schemas.openxmlformats.org/officeDocument/2006/relationships/hyperlink" Target="https://bulbapedia.bulbagarden.net/wiki/Mankey_(EX_FireRed_%26_LeafGreen_38)" TargetMode="External"/><Relationship Id="rId59" Type="http://schemas.openxmlformats.org/officeDocument/2006/relationships/hyperlink" Target="https://bulbapedia.bulbagarden.net/wiki/Clefairy_(EX_FireRed_%26_LeafGreen_59)" TargetMode="External"/><Relationship Id="rId103" Type="http://schemas.openxmlformats.org/officeDocument/2006/relationships/hyperlink" Target="https://bulbapedia.bulbagarden.net/wiki/Multi_Energy_(EX_FireRed_%26_LeafGreen_103)" TargetMode="External"/><Relationship Id="rId108" Type="http://schemas.openxmlformats.org/officeDocument/2006/relationships/hyperlink" Target="https://bulbapedia.bulbagarden.net/wiki/Gengar_ex_(EX_FireRed_%26_LeafGreen_108)" TargetMode="External"/><Relationship Id="rId54" Type="http://schemas.openxmlformats.org/officeDocument/2006/relationships/hyperlink" Target="https://bulbapedia.bulbagarden.net/wiki/Bulbasaur_(EX_FireRed_%26_LeafGreen_54)" TargetMode="External"/><Relationship Id="rId70" Type="http://schemas.openxmlformats.org/officeDocument/2006/relationships/hyperlink" Target="https://bulbapedia.bulbagarden.net/wiki/Nidoran%E2%99%80_(EX_FireRed_%26_LeafGreen_70)" TargetMode="External"/><Relationship Id="rId75" Type="http://schemas.openxmlformats.org/officeDocument/2006/relationships/hyperlink" Target="https://bulbapedia.bulbagarden.net/wiki/Poliwag_(EX_FireRed_%26_LeafGreen_75)" TargetMode="External"/><Relationship Id="rId91" Type="http://schemas.openxmlformats.org/officeDocument/2006/relationships/hyperlink" Target="https://bulbapedia.bulbagarden.net/wiki/EXP.ALL_(EX_FireRed_%26_LeafGreen_91)" TargetMode="External"/><Relationship Id="rId96" Type="http://schemas.openxmlformats.org/officeDocument/2006/relationships/hyperlink" Target="https://bulbapedia.bulbagarden.net/wiki/Pok%C3%A9Dex_HANDY909_(EX_FireRed_%26_LeafGreen_96)" TargetMode="External"/><Relationship Id="rId1" Type="http://schemas.openxmlformats.org/officeDocument/2006/relationships/hyperlink" Target="https://bulbapedia.bulbagarden.net/wiki/Beedrill_(EX_FireRed_%26_LeafGreen_1)" TargetMode="External"/><Relationship Id="rId6" Type="http://schemas.openxmlformats.org/officeDocument/2006/relationships/hyperlink" Target="https://bulbapedia.bulbagarden.net/wiki/Kangaskhan_(EX_FireRed_%26_LeafGreen_6)" TargetMode="External"/><Relationship Id="rId15" Type="http://schemas.openxmlformats.org/officeDocument/2006/relationships/hyperlink" Target="https://bulbapedia.bulbagarden.net/wiki/Snorlax_(EX_FireRed_%26_LeafGreen_15)" TargetMode="External"/><Relationship Id="rId23" Type="http://schemas.openxmlformats.org/officeDocument/2006/relationships/hyperlink" Target="https://bulbapedia.bulbagarden.net/wiki/Farfetch%27d_(EX_FireRed_%26_LeafGreen_23)" TargetMode="External"/><Relationship Id="rId28" Type="http://schemas.openxmlformats.org/officeDocument/2006/relationships/hyperlink" Target="https://bulbapedia.bulbagarden.net/wiki/Primeape_(EX_FireRed_%26_LeafGreen_28)" TargetMode="External"/><Relationship Id="rId36" Type="http://schemas.openxmlformats.org/officeDocument/2006/relationships/hyperlink" Target="https://bulbapedia.bulbagarden.net/wiki/Kakuna_(EX_FireRed_%26_LeafGreen_36)" TargetMode="External"/><Relationship Id="rId49" Type="http://schemas.openxmlformats.org/officeDocument/2006/relationships/hyperlink" Target="https://bulbapedia.bulbagarden.net/wiki/Venomoth_(EX_FireRed_%26_LeafGreen_49)" TargetMode="External"/><Relationship Id="rId57" Type="http://schemas.openxmlformats.org/officeDocument/2006/relationships/hyperlink" Target="https://bulbapedia.bulbagarden.net/wiki/Charmander_(EX_FireRed_%26_LeafGreen_57)" TargetMode="External"/><Relationship Id="rId106" Type="http://schemas.openxmlformats.org/officeDocument/2006/relationships/hyperlink" Target="https://bulbapedia.bulbagarden.net/wiki/Clefable_ex_(EX_FireRed_%26_LeafGreen_106)" TargetMode="External"/><Relationship Id="rId114" Type="http://schemas.openxmlformats.org/officeDocument/2006/relationships/hyperlink" Target="https://bulbapedia.bulbagarden.net/wiki/Articuno_ex_(EX_FireRed_%26_LeafGreen_114)" TargetMode="External"/><Relationship Id="rId10" Type="http://schemas.openxmlformats.org/officeDocument/2006/relationships/hyperlink" Target="https://bulbapedia.bulbagarden.net/wiki/Pidgeot_(EX_FireRed_%26_LeafGreen_10)" TargetMode="External"/><Relationship Id="rId31" Type="http://schemas.openxmlformats.org/officeDocument/2006/relationships/hyperlink" Target="https://bulbapedia.bulbagarden.net/wiki/Charmeleon_(EX_FireRed_%26_LeafGreen_31)" TargetMode="External"/><Relationship Id="rId44" Type="http://schemas.openxmlformats.org/officeDocument/2006/relationships/hyperlink" Target="https://bulbapedia.bulbagarden.net/wiki/Persian_(EX_FireRed_%26_LeafGreen_44)" TargetMode="External"/><Relationship Id="rId52" Type="http://schemas.openxmlformats.org/officeDocument/2006/relationships/hyperlink" Target="https://bulbapedia.bulbagarden.net/wiki/Wigglytuff_(EX_FireRed_%26_LeafGreen_52)" TargetMode="External"/><Relationship Id="rId60" Type="http://schemas.openxmlformats.org/officeDocument/2006/relationships/hyperlink" Target="https://bulbapedia.bulbagarden.net/wiki/Cubone_(EX_FireRed_%26_LeafGreen_60)" TargetMode="External"/><Relationship Id="rId65" Type="http://schemas.openxmlformats.org/officeDocument/2006/relationships/hyperlink" Target="https://bulbapedia.bulbagarden.net/wiki/Jigglypuff_(EX_FireRed_%26_LeafGreen_65)" TargetMode="External"/><Relationship Id="rId73" Type="http://schemas.openxmlformats.org/officeDocument/2006/relationships/hyperlink" Target="https://bulbapedia.bulbagarden.net/wiki/Pidgey_(EX_FireRed_%26_LeafGreen_73)" TargetMode="External"/><Relationship Id="rId78" Type="http://schemas.openxmlformats.org/officeDocument/2006/relationships/hyperlink" Target="https://bulbapedia.bulbagarden.net/wiki/Seel_(EX_FireRed_%26_LeafGreen_78)" TargetMode="External"/><Relationship Id="rId81" Type="http://schemas.openxmlformats.org/officeDocument/2006/relationships/hyperlink" Target="https://bulbapedia.bulbagarden.net/wiki/Spearow_(EX_FireRed_%26_LeafGreen_81)" TargetMode="External"/><Relationship Id="rId86" Type="http://schemas.openxmlformats.org/officeDocument/2006/relationships/hyperlink" Target="https://bulbapedia.bulbagarden.net/wiki/Weedle_(EX_FireRed_%26_LeafGreen_86)" TargetMode="External"/><Relationship Id="rId94" Type="http://schemas.openxmlformats.org/officeDocument/2006/relationships/hyperlink" Target="https://bulbapedia.bulbagarden.net/wiki/Mt._Moon_(EX_FireRed_%26_LeafGreen_94)" TargetMode="External"/><Relationship Id="rId99" Type="http://schemas.openxmlformats.org/officeDocument/2006/relationships/hyperlink" Target="https://bulbapedia.bulbagarden.net/wiki/Super_Scoop_Up_(EX_FireRed_%26_LeafGreen_99)" TargetMode="External"/><Relationship Id="rId101" Type="http://schemas.openxmlformats.org/officeDocument/2006/relationships/hyperlink" Target="https://bulbapedia.bulbagarden.net/wiki/Potion_(EX_FireRed_%26_LeafGreen_101)" TargetMode="External"/><Relationship Id="rId4" Type="http://schemas.openxmlformats.org/officeDocument/2006/relationships/hyperlink" Target="https://bulbapedia.bulbagarden.net/wiki/Ditto_(EX_FireRed_%26_LeafGreen_4)" TargetMode="External"/><Relationship Id="rId9" Type="http://schemas.openxmlformats.org/officeDocument/2006/relationships/hyperlink" Target="https://bulbapedia.bulbagarden.net/wiki/Nidoqueen_(EX_FireRed_%26_LeafGreen_9)" TargetMode="External"/><Relationship Id="rId13" Type="http://schemas.openxmlformats.org/officeDocument/2006/relationships/hyperlink" Target="https://bulbapedia.bulbagarden.net/wiki/Rapidash_(EX_FireRed_%26_LeafGreen_13)" TargetMode="External"/><Relationship Id="rId18" Type="http://schemas.openxmlformats.org/officeDocument/2006/relationships/hyperlink" Target="https://bulbapedia.bulbagarden.net/wiki/Arcanine_(EX_FireRed_%26_LeafGreen_18)" TargetMode="External"/><Relationship Id="rId39" Type="http://schemas.openxmlformats.org/officeDocument/2006/relationships/hyperlink" Target="https://bulbapedia.bulbagarden.net/wiki/Metapod_(EX_FireRed_%26_LeafGreen_39)" TargetMode="External"/><Relationship Id="rId109" Type="http://schemas.openxmlformats.org/officeDocument/2006/relationships/hyperlink" Target="https://bulbapedia.bulbagarden.net/wiki/Gyarados_ex_(EX_FireRed_%26_LeafGreen_109)" TargetMode="External"/><Relationship Id="rId34" Type="http://schemas.openxmlformats.org/officeDocument/2006/relationships/hyperlink" Target="https://bulbapedia.bulbagarden.net/wiki/Haunter_(EX_FireRed_%26_LeafGreen_34)" TargetMode="External"/><Relationship Id="rId50" Type="http://schemas.openxmlformats.org/officeDocument/2006/relationships/hyperlink" Target="https://bulbapedia.bulbagarden.net/wiki/Wartortle_(EX_FireRed_%26_LeafGreen_50)" TargetMode="External"/><Relationship Id="rId55" Type="http://schemas.openxmlformats.org/officeDocument/2006/relationships/hyperlink" Target="https://bulbapedia.bulbagarden.net/wiki/Bulbasaur_(EX_FireRed_%26_LeafGreen_55)" TargetMode="External"/><Relationship Id="rId76" Type="http://schemas.openxmlformats.org/officeDocument/2006/relationships/hyperlink" Target="https://bulbapedia.bulbagarden.net/wiki/Ponyta_(EX_FireRed_%26_LeafGreen_76)" TargetMode="External"/><Relationship Id="rId97" Type="http://schemas.openxmlformats.org/officeDocument/2006/relationships/hyperlink" Target="https://bulbapedia.bulbagarden.net/wiki/Pok%C3%A9mon_Reversal_(EX_FireRed_%26_LeafGreen_97)" TargetMode="External"/><Relationship Id="rId104" Type="http://schemas.openxmlformats.org/officeDocument/2006/relationships/hyperlink" Target="https://bulbapedia.bulbagarden.net/wiki/Blastoise_ex_(EX_FireRed_%26_LeafGreen_104)" TargetMode="External"/><Relationship Id="rId7" Type="http://schemas.openxmlformats.org/officeDocument/2006/relationships/hyperlink" Target="https://bulbapedia.bulbagarden.net/wiki/Marowak_(EX_FireRed_%26_LeafGreen_7)" TargetMode="External"/><Relationship Id="rId71" Type="http://schemas.openxmlformats.org/officeDocument/2006/relationships/hyperlink" Target="https://bulbapedia.bulbagarden.net/wiki/Nidoran%E2%99%82_(EX_FireRed_%26_LeafGreen_71)" TargetMode="External"/><Relationship Id="rId92" Type="http://schemas.openxmlformats.org/officeDocument/2006/relationships/hyperlink" Target="https://bulbapedia.bulbagarden.net/wiki/Great_Ball_(EX_FireRed_%26_LeafGreen_92)" TargetMode="External"/><Relationship Id="rId2" Type="http://schemas.openxmlformats.org/officeDocument/2006/relationships/hyperlink" Target="https://bulbapedia.bulbagarden.net/wiki/Butterfree_(EX_FireRed_%26_LeafGreen_2)" TargetMode="External"/><Relationship Id="rId29" Type="http://schemas.openxmlformats.org/officeDocument/2006/relationships/hyperlink" Target="https://bulbapedia.bulbagarden.net/wiki/Scyther_(EX_FireRed_%26_LeafGreen_29)" TargetMode="External"/><Relationship Id="rId24" Type="http://schemas.openxmlformats.org/officeDocument/2006/relationships/hyperlink" Target="https://bulbapedia.bulbagarden.net/wiki/Fearow_(EX_FireRed_%26_LeafGreen_24)" TargetMode="External"/><Relationship Id="rId40" Type="http://schemas.openxmlformats.org/officeDocument/2006/relationships/hyperlink" Target="https://bulbapedia.bulbagarden.net/wiki/Nidorina_(EX_FireRed_%26_LeafGreen_40)" TargetMode="External"/><Relationship Id="rId45" Type="http://schemas.openxmlformats.org/officeDocument/2006/relationships/hyperlink" Target="https://bulbapedia.bulbagarden.net/wiki/Pidgeotto_(EX_FireRed_%26_LeafGreen_45)" TargetMode="External"/><Relationship Id="rId66" Type="http://schemas.openxmlformats.org/officeDocument/2006/relationships/hyperlink" Target="https://bulbapedia.bulbagarden.net/wiki/Krabby_(EX_FireRed_%26_LeafGreen_66)" TargetMode="External"/><Relationship Id="rId87" Type="http://schemas.openxmlformats.org/officeDocument/2006/relationships/hyperlink" Target="https://bulbapedia.bulbagarden.net/wiki/Bill%27s_Maintenance_(EX_FireRed_%26_LeafGreen_87)" TargetMode="External"/><Relationship Id="rId110" Type="http://schemas.openxmlformats.org/officeDocument/2006/relationships/hyperlink" Target="https://bulbapedia.bulbagarden.net/wiki/Mr._Mime_ex_(EX_FireRed_%26_LeafGreen_110)" TargetMode="External"/><Relationship Id="rId115" Type="http://schemas.openxmlformats.org/officeDocument/2006/relationships/hyperlink" Target="https://bulbapedia.bulbagarden.net/wiki/Moltres_ex_(EX_FireRed_%26_LeafGreen_115)" TargetMode="External"/><Relationship Id="rId61" Type="http://schemas.openxmlformats.org/officeDocument/2006/relationships/hyperlink" Target="https://bulbapedia.bulbagarden.net/wiki/Diglett_(EX_FireRed_%26_LeafGreen_61)" TargetMode="External"/><Relationship Id="rId82" Type="http://schemas.openxmlformats.org/officeDocument/2006/relationships/hyperlink" Target="https://bulbapedia.bulbagarden.net/wiki/Squirtle_(EX_FireRed_%26_LeafGreen_82)" TargetMode="External"/><Relationship Id="rId19" Type="http://schemas.openxmlformats.org/officeDocument/2006/relationships/hyperlink" Target="https://bulbapedia.bulbagarden.net/wiki/Chansey_(EX_FireRed_%26_LeafGreen_19)" TargetMode="External"/><Relationship Id="rId14" Type="http://schemas.openxmlformats.org/officeDocument/2006/relationships/hyperlink" Target="https://bulbapedia.bulbagarden.net/wiki/Slowbro_(EX_FireRed_%26_LeafGreen_14)" TargetMode="External"/><Relationship Id="rId30" Type="http://schemas.openxmlformats.org/officeDocument/2006/relationships/hyperlink" Target="https://bulbapedia.bulbagarden.net/wiki/Tangela_(EX_FireRed_%26_LeafGreen_30)" TargetMode="External"/><Relationship Id="rId35" Type="http://schemas.openxmlformats.org/officeDocument/2006/relationships/hyperlink" Target="https://bulbapedia.bulbagarden.net/wiki/Ivysaur_(EX_FireRed_%26_LeafGreen_35)" TargetMode="External"/><Relationship Id="rId56" Type="http://schemas.openxmlformats.org/officeDocument/2006/relationships/hyperlink" Target="https://bulbapedia.bulbagarden.net/wiki/Caterpie_(EX_FireRed_%26_LeafGreen_56)" TargetMode="External"/><Relationship Id="rId77" Type="http://schemas.openxmlformats.org/officeDocument/2006/relationships/hyperlink" Target="https://bulbapedia.bulbagarden.net/wiki/Rattata_(EX_FireRed_%26_LeafGreen_77)" TargetMode="External"/><Relationship Id="rId100" Type="http://schemas.openxmlformats.org/officeDocument/2006/relationships/hyperlink" Target="https://bulbapedia.bulbagarden.net/wiki/VS_Seeker_(EX_FireRed_%26_LeafGreen_100)" TargetMode="External"/><Relationship Id="rId105" Type="http://schemas.openxmlformats.org/officeDocument/2006/relationships/hyperlink" Target="https://bulbapedia.bulbagarden.net/wiki/Charizard_ex_(EX_FireRed_%26_LeafGreen_105)" TargetMode="External"/><Relationship Id="rId8" Type="http://schemas.openxmlformats.org/officeDocument/2006/relationships/hyperlink" Target="https://bulbapedia.bulbagarden.net/wiki/Nidoking_(EX_FireRed_%26_LeafGreen_8)" TargetMode="External"/><Relationship Id="rId51" Type="http://schemas.openxmlformats.org/officeDocument/2006/relationships/hyperlink" Target="https://bulbapedia.bulbagarden.net/wiki/Weepinbell_(EX_FireRed_%26_LeafGreen_51)" TargetMode="External"/><Relationship Id="rId72" Type="http://schemas.openxmlformats.org/officeDocument/2006/relationships/hyperlink" Target="https://bulbapedia.bulbagarden.net/wiki/Paras_(EX_FireRed_%26_LeafGreen_72)" TargetMode="External"/><Relationship Id="rId93" Type="http://schemas.openxmlformats.org/officeDocument/2006/relationships/hyperlink" Target="https://bulbapedia.bulbagarden.net/wiki/Life_Herb_(EX_FireRed_%26_LeafGreen_93)" TargetMode="External"/><Relationship Id="rId98" Type="http://schemas.openxmlformats.org/officeDocument/2006/relationships/hyperlink" Target="https://bulbapedia.bulbagarden.net/wiki/Prof._Oak%27s_Research_(EX_FireRed_%26_LeafGreen_98)" TargetMode="External"/><Relationship Id="rId3" Type="http://schemas.openxmlformats.org/officeDocument/2006/relationships/hyperlink" Target="https://bulbapedia.bulbagarden.net/wiki/Dewgong_(EX_FireRed_%26_LeafGreen_3)" TargetMode="External"/><Relationship Id="rId25" Type="http://schemas.openxmlformats.org/officeDocument/2006/relationships/hyperlink" Target="https://bulbapedia.bulbagarden.net/wiki/Hypno_(EX_FireRed_%26_LeafGreen_25)" TargetMode="External"/><Relationship Id="rId46" Type="http://schemas.openxmlformats.org/officeDocument/2006/relationships/hyperlink" Target="https://bulbapedia.bulbagarden.net/wiki/Poliwhirl_(EX_FireRed_%26_LeafGreen_46)" TargetMode="External"/><Relationship Id="rId67" Type="http://schemas.openxmlformats.org/officeDocument/2006/relationships/hyperlink" Target="https://bulbapedia.bulbagarden.net/wiki/Magikarp_(EX_FireRed_%26_LeafGreen_67)" TargetMode="External"/><Relationship Id="rId116" Type="http://schemas.openxmlformats.org/officeDocument/2006/relationships/hyperlink" Target="https://bulbapedia.bulbagarden.net/wiki/Zapdos_ex_(EX_FireRed_%26_LeafGreen_116)" TargetMode="External"/><Relationship Id="rId20" Type="http://schemas.openxmlformats.org/officeDocument/2006/relationships/hyperlink" Target="https://bulbapedia.bulbagarden.net/wiki/Cloyster_(EX_FireRed_%26_LeafGreen_20)" TargetMode="External"/><Relationship Id="rId41" Type="http://schemas.openxmlformats.org/officeDocument/2006/relationships/hyperlink" Target="https://bulbapedia.bulbagarden.net/wiki/Nidorino_(EX_FireRed_%26_LeafGreen_41)" TargetMode="External"/><Relationship Id="rId62" Type="http://schemas.openxmlformats.org/officeDocument/2006/relationships/hyperlink" Target="https://bulbapedia.bulbagarden.net/wiki/Doduo_(EX_FireRed_%26_LeafGreen_62)" TargetMode="External"/><Relationship Id="rId83" Type="http://schemas.openxmlformats.org/officeDocument/2006/relationships/hyperlink" Target="https://bulbapedia.bulbagarden.net/wiki/Squirtle_(EX_FireRed_%26_LeafGreen_83)" TargetMode="External"/><Relationship Id="rId88" Type="http://schemas.openxmlformats.org/officeDocument/2006/relationships/hyperlink" Target="https://bulbapedia.bulbagarden.net/wiki/Celio%27s_Network_(EX_FireRed_%26_LeafGreen_88)" TargetMode="External"/><Relationship Id="rId111" Type="http://schemas.openxmlformats.org/officeDocument/2006/relationships/hyperlink" Target="https://bulbapedia.bulbagarden.net/wiki/Mr._Mime_ex_(EX_FireRed_%26_LeafGreen_111)"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bulbapedia.bulbagarden.net/wiki/Quagsire_(EX_Team_Rocket_Returns_26)" TargetMode="External"/><Relationship Id="rId21" Type="http://schemas.openxmlformats.org/officeDocument/2006/relationships/hyperlink" Target="https://bulbapedia.bulbagarden.net/wiki/Delibird_(EX_Team_Rocket_Returns_21)" TargetMode="External"/><Relationship Id="rId42" Type="http://schemas.openxmlformats.org/officeDocument/2006/relationships/hyperlink" Target="https://bulbapedia.bulbagarden.net/wiki/Dark_Weezing_(EX_Team_Rocket_Returns_42)" TargetMode="External"/><Relationship Id="rId47" Type="http://schemas.openxmlformats.org/officeDocument/2006/relationships/hyperlink" Target="https://bulbapedia.bulbagarden.net/wiki/Rocket%27s_Wobbuffet_(EX_Team_Rocket_Returns_47)" TargetMode="External"/><Relationship Id="rId63" Type="http://schemas.openxmlformats.org/officeDocument/2006/relationships/hyperlink" Target="https://bulbapedia.bulbagarden.net/wiki/Larvitar_(EX_Team_Rocket_Returns_63)" TargetMode="External"/><Relationship Id="rId68" Type="http://schemas.openxmlformats.org/officeDocument/2006/relationships/hyperlink" Target="https://bulbapedia.bulbagarden.net/wiki/Marill_(EX_Team_Rocket_Returns_68)" TargetMode="External"/><Relationship Id="rId84" Type="http://schemas.openxmlformats.org/officeDocument/2006/relationships/hyperlink" Target="https://bulbapedia.bulbagarden.net/wiki/Pok%C3%A9mon_Retriever_(EX_Team_Rocket_Returns_84)" TargetMode="External"/><Relationship Id="rId89" Type="http://schemas.openxmlformats.org/officeDocument/2006/relationships/hyperlink" Target="https://bulbapedia.bulbagarden.net/wiki/Rocket%27s_Pok%C3%A9_Ball_(EX_Team_Rocket_Returns_89)" TargetMode="External"/><Relationship Id="rId16" Type="http://schemas.openxmlformats.org/officeDocument/2006/relationships/hyperlink" Target="https://bulbapedia.bulbagarden.net/wiki/Dark_Muk_(EX_Team_Rocket_Returns_16)" TargetMode="External"/><Relationship Id="rId107" Type="http://schemas.openxmlformats.org/officeDocument/2006/relationships/hyperlink" Target="https://bulbapedia.bulbagarden.net/wiki/Charmeleon_(EX_Team_Rocket_Returns_110)" TargetMode="External"/><Relationship Id="rId11" Type="http://schemas.openxmlformats.org/officeDocument/2006/relationships/hyperlink" Target="https://bulbapedia.bulbagarden.net/wiki/Jumpluff_(EX_Team_Rocket_Returns_11)" TargetMode="External"/><Relationship Id="rId32" Type="http://schemas.openxmlformats.org/officeDocument/2006/relationships/hyperlink" Target="https://bulbapedia.bulbagarden.net/wiki/Dark_Dragonair_(EX_Team_Rocket_Returns_32)" TargetMode="External"/><Relationship Id="rId37" Type="http://schemas.openxmlformats.org/officeDocument/2006/relationships/hyperlink" Target="https://bulbapedia.bulbagarden.net/wiki/Dark_Houndoom_(EX_Team_Rocket_Returns_37)" TargetMode="External"/><Relationship Id="rId53" Type="http://schemas.openxmlformats.org/officeDocument/2006/relationships/hyperlink" Target="https://bulbapedia.bulbagarden.net/wiki/Dratini_(EX_Team_Rocket_Returns_53)" TargetMode="External"/><Relationship Id="rId58" Type="http://schemas.openxmlformats.org/officeDocument/2006/relationships/hyperlink" Target="https://bulbapedia.bulbagarden.net/wiki/Horsea_(EX_Team_Rocket_Returns_58)" TargetMode="External"/><Relationship Id="rId74" Type="http://schemas.openxmlformats.org/officeDocument/2006/relationships/hyperlink" Target="https://bulbapedia.bulbagarden.net/wiki/Sandshrew_(EX_Team_Rocket_Returns_74)" TargetMode="External"/><Relationship Id="rId79" Type="http://schemas.openxmlformats.org/officeDocument/2006/relationships/hyperlink" Target="https://bulbapedia.bulbagarden.net/wiki/Swinub_(EX_Team_Rocket_Returns_79)" TargetMode="External"/><Relationship Id="rId102" Type="http://schemas.openxmlformats.org/officeDocument/2006/relationships/hyperlink" Target="https://bulbapedia.bulbagarden.net/wiki/Rocket%27s_Scyther_ex_(EX_Team_Rocket_Returns_102)" TargetMode="External"/><Relationship Id="rId5" Type="http://schemas.openxmlformats.org/officeDocument/2006/relationships/hyperlink" Target="https://bulbapedia.bulbagarden.net/wiki/Dark_Houndoom_(EX_Team_Rocket_Returns_5)" TargetMode="External"/><Relationship Id="rId90" Type="http://schemas.openxmlformats.org/officeDocument/2006/relationships/hyperlink" Target="https://bulbapedia.bulbagarden.net/wiki/Rocket%27s_Tricky_Gym_(EX_Team_Rocket_Returns_90)" TargetMode="External"/><Relationship Id="rId95" Type="http://schemas.openxmlformats.org/officeDocument/2006/relationships/hyperlink" Target="https://bulbapedia.bulbagarden.net/wiki/R_Energy_(EX_Team_Rocket_Returns_95)" TargetMode="External"/><Relationship Id="rId22" Type="http://schemas.openxmlformats.org/officeDocument/2006/relationships/hyperlink" Target="https://bulbapedia.bulbagarden.net/wiki/Furret_(EX_Team_Rocket_Returns_22)" TargetMode="External"/><Relationship Id="rId27" Type="http://schemas.openxmlformats.org/officeDocument/2006/relationships/hyperlink" Target="https://bulbapedia.bulbagarden.net/wiki/Qwilfish_(EX_Team_Rocket_Returns_27)" TargetMode="External"/><Relationship Id="rId43" Type="http://schemas.openxmlformats.org/officeDocument/2006/relationships/hyperlink" Target="https://bulbapedia.bulbagarden.net/wiki/Heracross_(EX_Team_Rocket_Returns_43)" TargetMode="External"/><Relationship Id="rId48" Type="http://schemas.openxmlformats.org/officeDocument/2006/relationships/hyperlink" Target="https://bulbapedia.bulbagarden.net/wiki/Seadra_(EX_Team_Rocket_Returns_48)" TargetMode="External"/><Relationship Id="rId64" Type="http://schemas.openxmlformats.org/officeDocument/2006/relationships/hyperlink" Target="https://bulbapedia.bulbagarden.net/wiki/Ledyba_(EX_Team_Rocket_Returns_64)" TargetMode="External"/><Relationship Id="rId69" Type="http://schemas.openxmlformats.org/officeDocument/2006/relationships/hyperlink" Target="https://bulbapedia.bulbagarden.net/wiki/Onix_(EX_Team_Rocket_Returns_69)" TargetMode="External"/><Relationship Id="rId80" Type="http://schemas.openxmlformats.org/officeDocument/2006/relationships/hyperlink" Target="https://bulbapedia.bulbagarden.net/wiki/Voltorb_(EX_Team_Rocket_Returns_80)" TargetMode="External"/><Relationship Id="rId85" Type="http://schemas.openxmlformats.org/officeDocument/2006/relationships/hyperlink" Target="https://bulbapedia.bulbagarden.net/wiki/Pow!_Hand_Extension_(EX_Team_Rocket_Returns_85)" TargetMode="External"/><Relationship Id="rId12" Type="http://schemas.openxmlformats.org/officeDocument/2006/relationships/hyperlink" Target="https://bulbapedia.bulbagarden.net/wiki/Kingdra_(EX_Team_Rocket_Returns_12)" TargetMode="External"/><Relationship Id="rId17" Type="http://schemas.openxmlformats.org/officeDocument/2006/relationships/hyperlink" Target="https://bulbapedia.bulbagarden.net/wiki/Dark_Raticate_(EX_Team_Rocket_Returns_17)" TargetMode="External"/><Relationship Id="rId33" Type="http://schemas.openxmlformats.org/officeDocument/2006/relationships/hyperlink" Target="https://bulbapedia.bulbagarden.net/wiki/Dark_Flaaffy_(EX_Team_Rocket_Returns_33)" TargetMode="External"/><Relationship Id="rId38" Type="http://schemas.openxmlformats.org/officeDocument/2006/relationships/hyperlink" Target="https://bulbapedia.bulbagarden.net/wiki/Dark_Magcargo_(EX_Team_Rocket_Returns_38)" TargetMode="External"/><Relationship Id="rId59" Type="http://schemas.openxmlformats.org/officeDocument/2006/relationships/hyperlink" Target="https://bulbapedia.bulbagarden.net/wiki/Houndour_(EX_Team_Rocket_Returns_59)" TargetMode="External"/><Relationship Id="rId103" Type="http://schemas.openxmlformats.org/officeDocument/2006/relationships/hyperlink" Target="https://bulbapedia.bulbagarden.net/wiki/Rocket%27s_Sneasel_ex_(EX_Team_Rocket_Returns_103)" TargetMode="External"/><Relationship Id="rId108" Type="http://schemas.openxmlformats.org/officeDocument/2006/relationships/hyperlink" Target="https://bulbapedia.bulbagarden.net/wiki/Here_Comes_Team_Rocket!_(EX_Team_Rocket_Returns_111)" TargetMode="External"/><Relationship Id="rId20" Type="http://schemas.openxmlformats.org/officeDocument/2006/relationships/hyperlink" Target="https://bulbapedia.bulbagarden.net/wiki/Dark_Tyranitar_(EX_Team_Rocket_Returns_20)" TargetMode="External"/><Relationship Id="rId41" Type="http://schemas.openxmlformats.org/officeDocument/2006/relationships/hyperlink" Target="https://bulbapedia.bulbagarden.net/wiki/Dark_Pupitar_(EX_Team_Rocket_Returns_41)" TargetMode="External"/><Relationship Id="rId54" Type="http://schemas.openxmlformats.org/officeDocument/2006/relationships/hyperlink" Target="https://bulbapedia.bulbagarden.net/wiki/Drowzee_(EX_Team_Rocket_Returns_54)" TargetMode="External"/><Relationship Id="rId62" Type="http://schemas.openxmlformats.org/officeDocument/2006/relationships/hyperlink" Target="https://bulbapedia.bulbagarden.net/wiki/Larvitar_(EX_Team_Rocket_Returns_62)" TargetMode="External"/><Relationship Id="rId70" Type="http://schemas.openxmlformats.org/officeDocument/2006/relationships/hyperlink" Target="https://bulbapedia.bulbagarden.net/wiki/Psyduck_(EX_Team_Rocket_Returns_70)" TargetMode="External"/><Relationship Id="rId75" Type="http://schemas.openxmlformats.org/officeDocument/2006/relationships/hyperlink" Target="https://bulbapedia.bulbagarden.net/wiki/Sentret_(EX_Team_Rocket_Returns_75)" TargetMode="External"/><Relationship Id="rId83" Type="http://schemas.openxmlformats.org/officeDocument/2006/relationships/hyperlink" Target="https://bulbapedia.bulbagarden.net/wiki/Copycat_(EX_Team_Rocket_Returns_83)" TargetMode="External"/><Relationship Id="rId88" Type="http://schemas.openxmlformats.org/officeDocument/2006/relationships/hyperlink" Target="https://bulbapedia.bulbagarden.net/wiki/Rocket%27s_Mission_(EX_Team_Rocket_Returns_88)" TargetMode="External"/><Relationship Id="rId91" Type="http://schemas.openxmlformats.org/officeDocument/2006/relationships/hyperlink" Target="https://bulbapedia.bulbagarden.net/wiki/Surprise!_Time_Machine_(EX_Team_Rocket_Returns_91)" TargetMode="External"/><Relationship Id="rId96" Type="http://schemas.openxmlformats.org/officeDocument/2006/relationships/hyperlink" Target="https://bulbapedia.bulbagarden.net/wiki/Rocket%27s_Articuno_ex_(EX_Team_Rocket_Returns_96)" TargetMode="External"/><Relationship Id="rId1" Type="http://schemas.openxmlformats.org/officeDocument/2006/relationships/hyperlink" Target="https://bulbapedia.bulbagarden.net/wiki/Azumarill_(EX_Team_Rocket_Returns_1)" TargetMode="External"/><Relationship Id="rId6" Type="http://schemas.openxmlformats.org/officeDocument/2006/relationships/hyperlink" Target="https://bulbapedia.bulbagarden.net/wiki/Dark_Hypno_(EX_Team_Rocket_Returns_6)" TargetMode="External"/><Relationship Id="rId15" Type="http://schemas.openxmlformats.org/officeDocument/2006/relationships/hyperlink" Target="https://bulbapedia.bulbagarden.net/wiki/Dark_Dragonite_(EX_Team_Rocket_Returns_15)" TargetMode="External"/><Relationship Id="rId23" Type="http://schemas.openxmlformats.org/officeDocument/2006/relationships/hyperlink" Target="https://bulbapedia.bulbagarden.net/wiki/Ledian_(EX_Team_Rocket_Returns_23)" TargetMode="External"/><Relationship Id="rId28" Type="http://schemas.openxmlformats.org/officeDocument/2006/relationships/hyperlink" Target="https://bulbapedia.bulbagarden.net/wiki/Yanma_(EX_Team_Rocket_Returns_28)" TargetMode="External"/><Relationship Id="rId36" Type="http://schemas.openxmlformats.org/officeDocument/2006/relationships/hyperlink" Target="https://bulbapedia.bulbagarden.net/wiki/Dark_Gyarados_(EX_Team_Rocket_Returns_36)" TargetMode="External"/><Relationship Id="rId49" Type="http://schemas.openxmlformats.org/officeDocument/2006/relationships/hyperlink" Target="https://bulbapedia.bulbagarden.net/wiki/Skiploom_(EX_Team_Rocket_Returns_49)" TargetMode="External"/><Relationship Id="rId57" Type="http://schemas.openxmlformats.org/officeDocument/2006/relationships/hyperlink" Target="https://bulbapedia.bulbagarden.net/wiki/Hoppip_(EX_Team_Rocket_Returns_57)" TargetMode="External"/><Relationship Id="rId106" Type="http://schemas.openxmlformats.org/officeDocument/2006/relationships/hyperlink" Target="https://bulbapedia.bulbagarden.net/wiki/Rocket%27s_Zapdos_ex_(EX_Team_Rocket_Returns_106)" TargetMode="External"/><Relationship Id="rId10" Type="http://schemas.openxmlformats.org/officeDocument/2006/relationships/hyperlink" Target="https://bulbapedia.bulbagarden.net/wiki/Dark_Steelix_(EX_Team_Rocket_Returns_10)" TargetMode="External"/><Relationship Id="rId31" Type="http://schemas.openxmlformats.org/officeDocument/2006/relationships/hyperlink" Target="https://bulbapedia.bulbagarden.net/wiki/Dark_Dragonair_(EX_Team_Rocket_Returns_31)" TargetMode="External"/><Relationship Id="rId44" Type="http://schemas.openxmlformats.org/officeDocument/2006/relationships/hyperlink" Target="https://bulbapedia.bulbagarden.net/wiki/Magmar_(EX_Team_Rocket_Returns_44)" TargetMode="External"/><Relationship Id="rId52" Type="http://schemas.openxmlformats.org/officeDocument/2006/relationships/hyperlink" Target="https://bulbapedia.bulbagarden.net/wiki/Dratini_(EX_Team_Rocket_Returns_52)" TargetMode="External"/><Relationship Id="rId60" Type="http://schemas.openxmlformats.org/officeDocument/2006/relationships/hyperlink" Target="https://bulbapedia.bulbagarden.net/wiki/Houndour_(EX_Team_Rocket_Returns_60)" TargetMode="External"/><Relationship Id="rId65" Type="http://schemas.openxmlformats.org/officeDocument/2006/relationships/hyperlink" Target="https://bulbapedia.bulbagarden.net/wiki/Magikarp_(EX_Team_Rocket_Returns_65)" TargetMode="External"/><Relationship Id="rId73" Type="http://schemas.openxmlformats.org/officeDocument/2006/relationships/hyperlink" Target="https://bulbapedia.bulbagarden.net/wiki/Remoraid_(EX_Team_Rocket_Returns_73)" TargetMode="External"/><Relationship Id="rId78" Type="http://schemas.openxmlformats.org/officeDocument/2006/relationships/hyperlink" Target="https://bulbapedia.bulbagarden.net/wiki/Spinarak_(EX_Team_Rocket_Returns_78)" TargetMode="External"/><Relationship Id="rId81" Type="http://schemas.openxmlformats.org/officeDocument/2006/relationships/hyperlink" Target="https://bulbapedia.bulbagarden.net/wiki/Wooper_(EX_Team_Rocket_Returns_81)" TargetMode="External"/><Relationship Id="rId86" Type="http://schemas.openxmlformats.org/officeDocument/2006/relationships/hyperlink" Target="https://bulbapedia.bulbagarden.net/wiki/Rocket%27s_Admin._(EX_Team_Rocket_Returns_86)" TargetMode="External"/><Relationship Id="rId94" Type="http://schemas.openxmlformats.org/officeDocument/2006/relationships/hyperlink" Target="https://bulbapedia.bulbagarden.net/wiki/Dark_Metal_Energy_(EX_Team_Rocket_Returns_94)" TargetMode="External"/><Relationship Id="rId99" Type="http://schemas.openxmlformats.org/officeDocument/2006/relationships/hyperlink" Target="https://bulbapedia.bulbagarden.net/wiki/Rocket%27s_Mewtwo_ex_(EX_Team_Rocket_Returns_99)" TargetMode="External"/><Relationship Id="rId101" Type="http://schemas.openxmlformats.org/officeDocument/2006/relationships/hyperlink" Target="https://bulbapedia.bulbagarden.net/wiki/Rocket%27s_Scizor_ex_(EX_Team_Rocket_Returns_101)" TargetMode="External"/><Relationship Id="rId4" Type="http://schemas.openxmlformats.org/officeDocument/2006/relationships/hyperlink" Target="https://bulbapedia.bulbagarden.net/wiki/Dark_Electrode_(EX_Team_Rocket_Returns_4)" TargetMode="External"/><Relationship Id="rId9" Type="http://schemas.openxmlformats.org/officeDocument/2006/relationships/hyperlink" Target="https://bulbapedia.bulbagarden.net/wiki/Dark_Slowking_(EX_Team_Rocket_Returns_9)" TargetMode="External"/><Relationship Id="rId13" Type="http://schemas.openxmlformats.org/officeDocument/2006/relationships/hyperlink" Target="https://bulbapedia.bulbagarden.net/wiki/Piloswine_(EX_Team_Rocket_Returns_13)" TargetMode="External"/><Relationship Id="rId18" Type="http://schemas.openxmlformats.org/officeDocument/2006/relationships/hyperlink" Target="https://bulbapedia.bulbagarden.net/wiki/Dark_Sandslash_(EX_Team_Rocket_Returns_18)" TargetMode="External"/><Relationship Id="rId39" Type="http://schemas.openxmlformats.org/officeDocument/2006/relationships/hyperlink" Target="https://bulbapedia.bulbagarden.net/wiki/Dark_Magneton_(EX_Team_Rocket_Returns_39)" TargetMode="External"/><Relationship Id="rId34" Type="http://schemas.openxmlformats.org/officeDocument/2006/relationships/hyperlink" Target="https://bulbapedia.bulbagarden.net/wiki/Dark_Golbat_(EX_Team_Rocket_Returns_34)" TargetMode="External"/><Relationship Id="rId50" Type="http://schemas.openxmlformats.org/officeDocument/2006/relationships/hyperlink" Target="https://bulbapedia.bulbagarden.net/wiki/Togepi_(EX_Team_Rocket_Returns_50)" TargetMode="External"/><Relationship Id="rId55" Type="http://schemas.openxmlformats.org/officeDocument/2006/relationships/hyperlink" Target="https://bulbapedia.bulbagarden.net/wiki/Ekans_(EX_Team_Rocket_Returns_55)" TargetMode="External"/><Relationship Id="rId76" Type="http://schemas.openxmlformats.org/officeDocument/2006/relationships/hyperlink" Target="https://bulbapedia.bulbagarden.net/wiki/Slowpoke_(EX_Team_Rocket_Returns_76)" TargetMode="External"/><Relationship Id="rId97" Type="http://schemas.openxmlformats.org/officeDocument/2006/relationships/hyperlink" Target="https://bulbapedia.bulbagarden.net/wiki/Rocket%27s_Entei_ex_(EX_Team_Rocket_Returns_97)" TargetMode="External"/><Relationship Id="rId104" Type="http://schemas.openxmlformats.org/officeDocument/2006/relationships/hyperlink" Target="https://bulbapedia.bulbagarden.net/wiki/Rocket%27s_Snorlax_ex_(EX_Team_Rocket_Returns_104)" TargetMode="External"/><Relationship Id="rId7" Type="http://schemas.openxmlformats.org/officeDocument/2006/relationships/hyperlink" Target="https://bulbapedia.bulbagarden.net/wiki/Dark_Marowak_(EX_Team_Rocket_Returns_7)" TargetMode="External"/><Relationship Id="rId71" Type="http://schemas.openxmlformats.org/officeDocument/2006/relationships/hyperlink" Target="https://bulbapedia.bulbagarden.net/wiki/Rattata_(EX_Team_Rocket_Returns_71)" TargetMode="External"/><Relationship Id="rId92" Type="http://schemas.openxmlformats.org/officeDocument/2006/relationships/hyperlink" Target="https://bulbapedia.bulbagarden.net/wiki/Swoop!_Teleporter_(EX_Team_Rocket_Returns_92)" TargetMode="External"/><Relationship Id="rId2" Type="http://schemas.openxmlformats.org/officeDocument/2006/relationships/hyperlink" Target="https://bulbapedia.bulbagarden.net/wiki/Dark_Ampharos_(EX_Team_Rocket_Returns_2)" TargetMode="External"/><Relationship Id="rId29" Type="http://schemas.openxmlformats.org/officeDocument/2006/relationships/hyperlink" Target="https://bulbapedia.bulbagarden.net/wiki/Dark_Arbok_(EX_Team_Rocket_Returns_29)" TargetMode="External"/><Relationship Id="rId24" Type="http://schemas.openxmlformats.org/officeDocument/2006/relationships/hyperlink" Target="https://bulbapedia.bulbagarden.net/wiki/Magby_(EX_Team_Rocket_Returns_24)" TargetMode="External"/><Relationship Id="rId40" Type="http://schemas.openxmlformats.org/officeDocument/2006/relationships/hyperlink" Target="https://bulbapedia.bulbagarden.net/wiki/Dark_Pupitar_(EX_Team_Rocket_Returns_40)" TargetMode="External"/><Relationship Id="rId45" Type="http://schemas.openxmlformats.org/officeDocument/2006/relationships/hyperlink" Target="https://bulbapedia.bulbagarden.net/wiki/Mantine_(EX_Team_Rocket_Returns_45)" TargetMode="External"/><Relationship Id="rId66" Type="http://schemas.openxmlformats.org/officeDocument/2006/relationships/hyperlink" Target="https://bulbapedia.bulbagarden.net/wiki/Magnemite_(EX_Team_Rocket_Returns_66)" TargetMode="External"/><Relationship Id="rId87" Type="http://schemas.openxmlformats.org/officeDocument/2006/relationships/hyperlink" Target="https://bulbapedia.bulbagarden.net/wiki/Rocket%27s_Hideout_(EX_Team_Rocket_Returns_87)" TargetMode="External"/><Relationship Id="rId61" Type="http://schemas.openxmlformats.org/officeDocument/2006/relationships/hyperlink" Target="https://bulbapedia.bulbagarden.net/wiki/Koffing_(EX_Team_Rocket_Returns_61)" TargetMode="External"/><Relationship Id="rId82" Type="http://schemas.openxmlformats.org/officeDocument/2006/relationships/hyperlink" Target="https://bulbapedia.bulbagarden.net/wiki/Zubat_(EX_Team_Rocket_Returns_82)" TargetMode="External"/><Relationship Id="rId19" Type="http://schemas.openxmlformats.org/officeDocument/2006/relationships/hyperlink" Target="https://bulbapedia.bulbagarden.net/wiki/Dark_Tyranitar_(EX_Team_Rocket_Returns_19)" TargetMode="External"/><Relationship Id="rId14" Type="http://schemas.openxmlformats.org/officeDocument/2006/relationships/hyperlink" Target="https://bulbapedia.bulbagarden.net/wiki/Togetic_(EX_Team_Rocket_Returns_14)" TargetMode="External"/><Relationship Id="rId30" Type="http://schemas.openxmlformats.org/officeDocument/2006/relationships/hyperlink" Target="https://bulbapedia.bulbagarden.net/wiki/Dark_Ariados_(EX_Team_Rocket_Returns_30)" TargetMode="External"/><Relationship Id="rId35" Type="http://schemas.openxmlformats.org/officeDocument/2006/relationships/hyperlink" Target="https://bulbapedia.bulbagarden.net/wiki/Dark_Golduck_(EX_Team_Rocket_Returns_35)" TargetMode="External"/><Relationship Id="rId56" Type="http://schemas.openxmlformats.org/officeDocument/2006/relationships/hyperlink" Target="https://bulbapedia.bulbagarden.net/wiki/Grimer_(EX_Team_Rocket_Returns_56)" TargetMode="External"/><Relationship Id="rId77" Type="http://schemas.openxmlformats.org/officeDocument/2006/relationships/hyperlink" Target="https://bulbapedia.bulbagarden.net/wiki/Slugma_(EX_Team_Rocket_Returns_77)" TargetMode="External"/><Relationship Id="rId100" Type="http://schemas.openxmlformats.org/officeDocument/2006/relationships/hyperlink" Target="https://bulbapedia.bulbagarden.net/wiki/Rocket%27s_Moltres_ex_(EX_Team_Rocket_Returns_100)" TargetMode="External"/><Relationship Id="rId105" Type="http://schemas.openxmlformats.org/officeDocument/2006/relationships/hyperlink" Target="https://bulbapedia.bulbagarden.net/wiki/Rocket%27s_Suicune_ex_(EX_Team_Rocket_Returns_105)" TargetMode="External"/><Relationship Id="rId8" Type="http://schemas.openxmlformats.org/officeDocument/2006/relationships/hyperlink" Target="https://bulbapedia.bulbagarden.net/wiki/Dark_Octillery_(EX_Team_Rocket_Returns_8)" TargetMode="External"/><Relationship Id="rId51" Type="http://schemas.openxmlformats.org/officeDocument/2006/relationships/hyperlink" Target="https://bulbapedia.bulbagarden.net/wiki/Cubone_(EX_Team_Rocket_Returns_51)" TargetMode="External"/><Relationship Id="rId72" Type="http://schemas.openxmlformats.org/officeDocument/2006/relationships/hyperlink" Target="https://bulbapedia.bulbagarden.net/wiki/Rattata_(EX_Team_Rocket_Returns_72)" TargetMode="External"/><Relationship Id="rId93" Type="http://schemas.openxmlformats.org/officeDocument/2006/relationships/hyperlink" Target="https://bulbapedia.bulbagarden.net/wiki/Venture_Bomb_(EX_Team_Rocket_Returns_93)" TargetMode="External"/><Relationship Id="rId98" Type="http://schemas.openxmlformats.org/officeDocument/2006/relationships/hyperlink" Target="https://bulbapedia.bulbagarden.net/wiki/Rocket%27s_Hitmonchan_ex_(EX_Team_Rocket_Returns_98)" TargetMode="External"/><Relationship Id="rId3" Type="http://schemas.openxmlformats.org/officeDocument/2006/relationships/hyperlink" Target="https://bulbapedia.bulbagarden.net/wiki/Dark_Crobat_(EX_Team_Rocket_Returns_3)" TargetMode="External"/><Relationship Id="rId25" Type="http://schemas.openxmlformats.org/officeDocument/2006/relationships/hyperlink" Target="https://bulbapedia.bulbagarden.net/wiki/Misdreavus_(EX_Team_Rocket_Returns_25)" TargetMode="External"/><Relationship Id="rId46" Type="http://schemas.openxmlformats.org/officeDocument/2006/relationships/hyperlink" Target="https://bulbapedia.bulbagarden.net/wiki/Rocket%27s_Meowth_(EX_Team_Rocket_Returns_46)" TargetMode="External"/><Relationship Id="rId67" Type="http://schemas.openxmlformats.org/officeDocument/2006/relationships/hyperlink" Target="https://bulbapedia.bulbagarden.net/wiki/Mareep_(EX_Team_Rocket_Returns_67)"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bulbapedia.bulbagarden.net/wiki/Skarmory_(EX_Deoxys_26)" TargetMode="External"/><Relationship Id="rId21" Type="http://schemas.openxmlformats.org/officeDocument/2006/relationships/hyperlink" Target="https://bulbapedia.bulbagarden.net/wiki/Pelipper_(EX_Deoxys_21)" TargetMode="External"/><Relationship Id="rId42" Type="http://schemas.openxmlformats.org/officeDocument/2006/relationships/hyperlink" Target="https://bulbapedia.bulbagarden.net/wiki/Nosepass_(EX_Deoxys_42)" TargetMode="External"/><Relationship Id="rId47" Type="http://schemas.openxmlformats.org/officeDocument/2006/relationships/hyperlink" Target="https://bulbapedia.bulbagarden.net/wiki/Solrock_(EX_Deoxys_47)" TargetMode="External"/><Relationship Id="rId63" Type="http://schemas.openxmlformats.org/officeDocument/2006/relationships/hyperlink" Target="https://bulbapedia.bulbagarden.net/wiki/Lotad_(EX_Deoxys_63)" TargetMode="External"/><Relationship Id="rId68" Type="http://schemas.openxmlformats.org/officeDocument/2006/relationships/hyperlink" Target="https://bulbapedia.bulbagarden.net/wiki/Numel_(EX_Deoxys_68)" TargetMode="External"/><Relationship Id="rId84" Type="http://schemas.openxmlformats.org/officeDocument/2006/relationships/hyperlink" Target="https://bulbapedia.bulbagarden.net/wiki/Balloon_Berry_(EX_Deoxys_84)" TargetMode="External"/><Relationship Id="rId89" Type="http://schemas.openxmlformats.org/officeDocument/2006/relationships/hyperlink" Target="https://bulbapedia.bulbagarden.net/wiki/Meteor_Falls_(EX_Deoxys_89)" TargetMode="External"/><Relationship Id="rId16" Type="http://schemas.openxmlformats.org/officeDocument/2006/relationships/hyperlink" Target="https://bulbapedia.bulbagarden.net/wiki/Deoxys_(EX_Deoxys_16)" TargetMode="External"/><Relationship Id="rId11" Type="http://schemas.openxmlformats.org/officeDocument/2006/relationships/hyperlink" Target="https://bulbapedia.bulbagarden.net/wiki/Metagross_(EX_Deoxys_11)" TargetMode="External"/><Relationship Id="rId32" Type="http://schemas.openxmlformats.org/officeDocument/2006/relationships/hyperlink" Target="https://bulbapedia.bulbagarden.net/wiki/Grumpig_(EX_Deoxys_32)" TargetMode="External"/><Relationship Id="rId37" Type="http://schemas.openxmlformats.org/officeDocument/2006/relationships/hyperlink" Target="https://bulbapedia.bulbagarden.net/wiki/Magcargo_(EX_Deoxys_37)" TargetMode="External"/><Relationship Id="rId53" Type="http://schemas.openxmlformats.org/officeDocument/2006/relationships/hyperlink" Target="https://bulbapedia.bulbagarden.net/wiki/Baltoy_(EX_Deoxys_53)" TargetMode="External"/><Relationship Id="rId58" Type="http://schemas.openxmlformats.org/officeDocument/2006/relationships/hyperlink" Target="https://bulbapedia.bulbagarden.net/wiki/Duskull_(EX_Deoxys_58)" TargetMode="External"/><Relationship Id="rId74" Type="http://schemas.openxmlformats.org/officeDocument/2006/relationships/hyperlink" Target="https://bulbapedia.bulbagarden.net/wiki/Slugma_(EX_Deoxys_74)" TargetMode="External"/><Relationship Id="rId79" Type="http://schemas.openxmlformats.org/officeDocument/2006/relationships/hyperlink" Target="https://bulbapedia.bulbagarden.net/wiki/Swablu_(EX_Deoxys_79)" TargetMode="External"/><Relationship Id="rId102" Type="http://schemas.openxmlformats.org/officeDocument/2006/relationships/hyperlink" Target="https://bulbapedia.bulbagarden.net/wiki/Rayquaza_ex_(EX_Deoxys_102)" TargetMode="External"/><Relationship Id="rId5" Type="http://schemas.openxmlformats.org/officeDocument/2006/relationships/hyperlink" Target="https://bulbapedia.bulbagarden.net/wiki/Claydol_(EX_Deoxys_5)" TargetMode="External"/><Relationship Id="rId90" Type="http://schemas.openxmlformats.org/officeDocument/2006/relationships/hyperlink" Target="https://bulbapedia.bulbagarden.net/wiki/Professor_Cozmo%27s_Discovery_(EX_Deoxys_90)" TargetMode="External"/><Relationship Id="rId95" Type="http://schemas.openxmlformats.org/officeDocument/2006/relationships/hyperlink" Target="https://bulbapedia.bulbagarden.net/wiki/Scramble_Energy_(EX_Deoxys_95)" TargetMode="External"/><Relationship Id="rId22" Type="http://schemas.openxmlformats.org/officeDocument/2006/relationships/hyperlink" Target="https://bulbapedia.bulbagarden.net/wiki/Rayquaza_(EX_Deoxys_22)" TargetMode="External"/><Relationship Id="rId27" Type="http://schemas.openxmlformats.org/officeDocument/2006/relationships/hyperlink" Target="https://bulbapedia.bulbagarden.net/wiki/Tropius_(EX_Deoxys_27)" TargetMode="External"/><Relationship Id="rId43" Type="http://schemas.openxmlformats.org/officeDocument/2006/relationships/hyperlink" Target="https://bulbapedia.bulbagarden.net/wiki/Nuzleaf_(EX_Deoxys_43)" TargetMode="External"/><Relationship Id="rId48" Type="http://schemas.openxmlformats.org/officeDocument/2006/relationships/hyperlink" Target="https://bulbapedia.bulbagarden.net/wiki/Starmie_(EX_Deoxys_48)" TargetMode="External"/><Relationship Id="rId64" Type="http://schemas.openxmlformats.org/officeDocument/2006/relationships/hyperlink" Target="https://bulbapedia.bulbagarden.net/wiki/Magikarp_(EX_Deoxys_64)" TargetMode="External"/><Relationship Id="rId69" Type="http://schemas.openxmlformats.org/officeDocument/2006/relationships/hyperlink" Target="https://bulbapedia.bulbagarden.net/wiki/Phanpy_(EX_Deoxys_69)" TargetMode="External"/><Relationship Id="rId80" Type="http://schemas.openxmlformats.org/officeDocument/2006/relationships/hyperlink" Target="https://bulbapedia.bulbagarden.net/wiki/Taillow_(EX_Deoxys_80)" TargetMode="External"/><Relationship Id="rId85" Type="http://schemas.openxmlformats.org/officeDocument/2006/relationships/hyperlink" Target="https://bulbapedia.bulbagarden.net/wiki/Crystal_Shard_(EX_Deoxys_85)" TargetMode="External"/><Relationship Id="rId12" Type="http://schemas.openxmlformats.org/officeDocument/2006/relationships/hyperlink" Target="https://bulbapedia.bulbagarden.net/wiki/Mightyena_(EX_Deoxys_12)" TargetMode="External"/><Relationship Id="rId17" Type="http://schemas.openxmlformats.org/officeDocument/2006/relationships/hyperlink" Target="https://bulbapedia.bulbagarden.net/wiki/Deoxys_(EX_Deoxys_17)" TargetMode="External"/><Relationship Id="rId33" Type="http://schemas.openxmlformats.org/officeDocument/2006/relationships/hyperlink" Target="https://bulbapedia.bulbagarden.net/wiki/Lombre_(EX_Deoxys_33)" TargetMode="External"/><Relationship Id="rId38" Type="http://schemas.openxmlformats.org/officeDocument/2006/relationships/hyperlink" Target="https://bulbapedia.bulbagarden.net/wiki/Manectric_(EX_Deoxys_38)" TargetMode="External"/><Relationship Id="rId59" Type="http://schemas.openxmlformats.org/officeDocument/2006/relationships/hyperlink" Target="https://bulbapedia.bulbagarden.net/wiki/Electrike_(EX_Deoxys_59)" TargetMode="External"/><Relationship Id="rId103" Type="http://schemas.openxmlformats.org/officeDocument/2006/relationships/hyperlink" Target="https://bulbapedia.bulbagarden.net/wiki/Salamence_ex_(EX_Deoxys_103)" TargetMode="External"/><Relationship Id="rId20" Type="http://schemas.openxmlformats.org/officeDocument/2006/relationships/hyperlink" Target="https://bulbapedia.bulbagarden.net/wiki/Magcargo_(EX_Deoxys_20)" TargetMode="External"/><Relationship Id="rId41" Type="http://schemas.openxmlformats.org/officeDocument/2006/relationships/hyperlink" Target="https://bulbapedia.bulbagarden.net/wiki/Minun_(EX_Deoxys_41)" TargetMode="External"/><Relationship Id="rId54" Type="http://schemas.openxmlformats.org/officeDocument/2006/relationships/hyperlink" Target="https://bulbapedia.bulbagarden.net/wiki/Barboach_(EX_Deoxys_54)" TargetMode="External"/><Relationship Id="rId62" Type="http://schemas.openxmlformats.org/officeDocument/2006/relationships/hyperlink" Target="https://bulbapedia.bulbagarden.net/wiki/Koffing_(EX_Deoxys_62)" TargetMode="External"/><Relationship Id="rId70" Type="http://schemas.openxmlformats.org/officeDocument/2006/relationships/hyperlink" Target="https://bulbapedia.bulbagarden.net/wiki/Poochyena_(EX_Deoxys_70)" TargetMode="External"/><Relationship Id="rId75" Type="http://schemas.openxmlformats.org/officeDocument/2006/relationships/hyperlink" Target="https://bulbapedia.bulbagarden.net/wiki/Slugma_(EX_Deoxys_75)" TargetMode="External"/><Relationship Id="rId83" Type="http://schemas.openxmlformats.org/officeDocument/2006/relationships/hyperlink" Target="https://bulbapedia.bulbagarden.net/wiki/Zubat_(EX_Deoxys_83)" TargetMode="External"/><Relationship Id="rId88" Type="http://schemas.openxmlformats.org/officeDocument/2006/relationships/hyperlink" Target="https://bulbapedia.bulbagarden.net/wiki/Master_Ball_(EX_Deoxys_88)" TargetMode="External"/><Relationship Id="rId91" Type="http://schemas.openxmlformats.org/officeDocument/2006/relationships/hyperlink" Target="https://bulbapedia.bulbagarden.net/wiki/Space_Center_(EX_Deoxys_91)" TargetMode="External"/><Relationship Id="rId96" Type="http://schemas.openxmlformats.org/officeDocument/2006/relationships/hyperlink" Target="https://bulbapedia.bulbagarden.net/wiki/Crobat_ex_(EX_Deoxys_96)" TargetMode="External"/><Relationship Id="rId1" Type="http://schemas.openxmlformats.org/officeDocument/2006/relationships/hyperlink" Target="https://bulbapedia.bulbagarden.net/wiki/Altaria_(EX_Deoxys_1)" TargetMode="External"/><Relationship Id="rId6" Type="http://schemas.openxmlformats.org/officeDocument/2006/relationships/hyperlink" Target="https://bulbapedia.bulbagarden.net/wiki/Crawdaunt_(EX_Deoxys_6)" TargetMode="External"/><Relationship Id="rId15" Type="http://schemas.openxmlformats.org/officeDocument/2006/relationships/hyperlink" Target="https://bulbapedia.bulbagarden.net/wiki/Slaking_(EX_Deoxys_15)" TargetMode="External"/><Relationship Id="rId23" Type="http://schemas.openxmlformats.org/officeDocument/2006/relationships/hyperlink" Target="https://bulbapedia.bulbagarden.net/wiki/Sableye_(EX_Deoxys_23)" TargetMode="External"/><Relationship Id="rId28" Type="http://schemas.openxmlformats.org/officeDocument/2006/relationships/hyperlink" Target="https://bulbapedia.bulbagarden.net/wiki/Whiscash_(EX_Deoxys_28)" TargetMode="External"/><Relationship Id="rId36" Type="http://schemas.openxmlformats.org/officeDocument/2006/relationships/hyperlink" Target="https://bulbapedia.bulbagarden.net/wiki/Lunatone_(EX_Deoxys_36)" TargetMode="External"/><Relationship Id="rId49" Type="http://schemas.openxmlformats.org/officeDocument/2006/relationships/hyperlink" Target="https://bulbapedia.bulbagarden.net/wiki/Swellow_(EX_Deoxys_49)" TargetMode="External"/><Relationship Id="rId57" Type="http://schemas.openxmlformats.org/officeDocument/2006/relationships/hyperlink" Target="https://bulbapedia.bulbagarden.net/wiki/Corphish_(EX_Deoxys_57)" TargetMode="External"/><Relationship Id="rId10" Type="http://schemas.openxmlformats.org/officeDocument/2006/relationships/hyperlink" Target="https://bulbapedia.bulbagarden.net/wiki/Ludicolo_(EX_Deoxys_10)" TargetMode="External"/><Relationship Id="rId31" Type="http://schemas.openxmlformats.org/officeDocument/2006/relationships/hyperlink" Target="https://bulbapedia.bulbagarden.net/wiki/Golbat_(EX_Deoxys_31)" TargetMode="External"/><Relationship Id="rId44" Type="http://schemas.openxmlformats.org/officeDocument/2006/relationships/hyperlink" Target="https://bulbapedia.bulbagarden.net/wiki/Plusle_(EX_Deoxys_44)" TargetMode="External"/><Relationship Id="rId52" Type="http://schemas.openxmlformats.org/officeDocument/2006/relationships/hyperlink" Target="https://bulbapedia.bulbagarden.net/wiki/Bagon_(EX_Deoxys_52)" TargetMode="External"/><Relationship Id="rId60" Type="http://schemas.openxmlformats.org/officeDocument/2006/relationships/hyperlink" Target="https://bulbapedia.bulbagarden.net/wiki/Electrike_(EX_Deoxys_60)" TargetMode="External"/><Relationship Id="rId65" Type="http://schemas.openxmlformats.org/officeDocument/2006/relationships/hyperlink" Target="https://bulbapedia.bulbagarden.net/wiki/Makuhita_(EX_Deoxys_65)" TargetMode="External"/><Relationship Id="rId73" Type="http://schemas.openxmlformats.org/officeDocument/2006/relationships/hyperlink" Target="https://bulbapedia.bulbagarden.net/wiki/Slakoth_(EX_Deoxys_73)" TargetMode="External"/><Relationship Id="rId78" Type="http://schemas.openxmlformats.org/officeDocument/2006/relationships/hyperlink" Target="https://bulbapedia.bulbagarden.net/wiki/Surskit_(EX_Deoxys_78)" TargetMode="External"/><Relationship Id="rId81" Type="http://schemas.openxmlformats.org/officeDocument/2006/relationships/hyperlink" Target="https://bulbapedia.bulbagarden.net/wiki/Wingull_(EX_Deoxys_81)" TargetMode="External"/><Relationship Id="rId86" Type="http://schemas.openxmlformats.org/officeDocument/2006/relationships/hyperlink" Target="https://bulbapedia.bulbagarden.net/wiki/Energy_Charge_(EX_Deoxys_86)" TargetMode="External"/><Relationship Id="rId94" Type="http://schemas.openxmlformats.org/officeDocument/2006/relationships/hyperlink" Target="https://bulbapedia.bulbagarden.net/wiki/Heal_Energy_(EX_Deoxys_94)" TargetMode="External"/><Relationship Id="rId99" Type="http://schemas.openxmlformats.org/officeDocument/2006/relationships/hyperlink" Target="https://bulbapedia.bulbagarden.net/wiki/Deoxys_ex_(EX_Deoxys_99)" TargetMode="External"/><Relationship Id="rId101" Type="http://schemas.openxmlformats.org/officeDocument/2006/relationships/hyperlink" Target="https://bulbapedia.bulbagarden.net/wiki/Manectric_ex_(EX_Deoxys_101)" TargetMode="External"/><Relationship Id="rId4" Type="http://schemas.openxmlformats.org/officeDocument/2006/relationships/hyperlink" Target="https://bulbapedia.bulbagarden.net/wiki/Camerupt_(EX_Deoxys_4)" TargetMode="External"/><Relationship Id="rId9" Type="http://schemas.openxmlformats.org/officeDocument/2006/relationships/hyperlink" Target="https://bulbapedia.bulbagarden.net/wiki/Jirachi_(EX_Deoxys_9)" TargetMode="External"/><Relationship Id="rId13" Type="http://schemas.openxmlformats.org/officeDocument/2006/relationships/hyperlink" Target="https://bulbapedia.bulbagarden.net/wiki/Ninjask_(EX_Deoxys_13)" TargetMode="External"/><Relationship Id="rId18" Type="http://schemas.openxmlformats.org/officeDocument/2006/relationships/hyperlink" Target="https://bulbapedia.bulbagarden.net/wiki/Deoxys_(EX_Deoxys_18)" TargetMode="External"/><Relationship Id="rId39" Type="http://schemas.openxmlformats.org/officeDocument/2006/relationships/hyperlink" Target="https://bulbapedia.bulbagarden.net/wiki/Masquerain_(EX_Deoxys_39)" TargetMode="External"/><Relationship Id="rId34" Type="http://schemas.openxmlformats.org/officeDocument/2006/relationships/hyperlink" Target="https://bulbapedia.bulbagarden.net/wiki/Lombre_(EX_Deoxys_34)" TargetMode="External"/><Relationship Id="rId50" Type="http://schemas.openxmlformats.org/officeDocument/2006/relationships/hyperlink" Target="https://bulbapedia.bulbagarden.net/wiki/Vigoroth_(EX_Deoxys_50)" TargetMode="External"/><Relationship Id="rId55" Type="http://schemas.openxmlformats.org/officeDocument/2006/relationships/hyperlink" Target="https://bulbapedia.bulbagarden.net/wiki/Beldum_(EX_Deoxys_55)" TargetMode="External"/><Relationship Id="rId76" Type="http://schemas.openxmlformats.org/officeDocument/2006/relationships/hyperlink" Target="https://bulbapedia.bulbagarden.net/wiki/Spoink_(EX_Deoxys_76)" TargetMode="External"/><Relationship Id="rId97" Type="http://schemas.openxmlformats.org/officeDocument/2006/relationships/hyperlink" Target="https://bulbapedia.bulbagarden.net/wiki/Deoxys_ex_(EX_Deoxys_97)" TargetMode="External"/><Relationship Id="rId104" Type="http://schemas.openxmlformats.org/officeDocument/2006/relationships/hyperlink" Target="https://bulbapedia.bulbagarden.net/wiki/Sharpedo_ex_(EX_Deoxys_104)" TargetMode="External"/><Relationship Id="rId7" Type="http://schemas.openxmlformats.org/officeDocument/2006/relationships/hyperlink" Target="https://bulbapedia.bulbagarden.net/wiki/Dusclops_(EX_Deoxys_7)" TargetMode="External"/><Relationship Id="rId71" Type="http://schemas.openxmlformats.org/officeDocument/2006/relationships/hyperlink" Target="https://bulbapedia.bulbagarden.net/wiki/Seedot_(EX_Deoxys_71)" TargetMode="External"/><Relationship Id="rId92" Type="http://schemas.openxmlformats.org/officeDocument/2006/relationships/hyperlink" Target="https://bulbapedia.bulbagarden.net/wiki/Strength_Charm_(EX_Deoxys_92)" TargetMode="External"/><Relationship Id="rId2" Type="http://schemas.openxmlformats.org/officeDocument/2006/relationships/hyperlink" Target="https://bulbapedia.bulbagarden.net/wiki/Beautifly_(EX_Deoxys_2)" TargetMode="External"/><Relationship Id="rId29" Type="http://schemas.openxmlformats.org/officeDocument/2006/relationships/hyperlink" Target="https://bulbapedia.bulbagarden.net/wiki/Xatu_(EX_Deoxys_29)" TargetMode="External"/><Relationship Id="rId24" Type="http://schemas.openxmlformats.org/officeDocument/2006/relationships/hyperlink" Target="https://bulbapedia.bulbagarden.net/wiki/Seaking_(EX_Deoxys_24)" TargetMode="External"/><Relationship Id="rId40" Type="http://schemas.openxmlformats.org/officeDocument/2006/relationships/hyperlink" Target="https://bulbapedia.bulbagarden.net/wiki/Metang_(EX_Deoxys_40)" TargetMode="External"/><Relationship Id="rId45" Type="http://schemas.openxmlformats.org/officeDocument/2006/relationships/hyperlink" Target="https://bulbapedia.bulbagarden.net/wiki/Shelgon_(EX_Deoxys_45)" TargetMode="External"/><Relationship Id="rId66" Type="http://schemas.openxmlformats.org/officeDocument/2006/relationships/hyperlink" Target="https://bulbapedia.bulbagarden.net/wiki/Natu_(EX_Deoxys_66)" TargetMode="External"/><Relationship Id="rId87" Type="http://schemas.openxmlformats.org/officeDocument/2006/relationships/hyperlink" Target="https://bulbapedia.bulbagarden.net/wiki/Lady_Outing_(EX_Deoxys_87)" TargetMode="External"/><Relationship Id="rId61" Type="http://schemas.openxmlformats.org/officeDocument/2006/relationships/hyperlink" Target="https://bulbapedia.bulbagarden.net/wiki/Goldeen_(EX_Deoxys_61)" TargetMode="External"/><Relationship Id="rId82" Type="http://schemas.openxmlformats.org/officeDocument/2006/relationships/hyperlink" Target="https://bulbapedia.bulbagarden.net/wiki/Wurmple_(EX_Deoxys_82)" TargetMode="External"/><Relationship Id="rId19" Type="http://schemas.openxmlformats.org/officeDocument/2006/relationships/hyperlink" Target="https://bulbapedia.bulbagarden.net/wiki/Ludicolo_(EX_Deoxys_19)" TargetMode="External"/><Relationship Id="rId14" Type="http://schemas.openxmlformats.org/officeDocument/2006/relationships/hyperlink" Target="https://bulbapedia.bulbagarden.net/wiki/Shedinja_(EX_Deoxys_14)" TargetMode="External"/><Relationship Id="rId30" Type="http://schemas.openxmlformats.org/officeDocument/2006/relationships/hyperlink" Target="https://bulbapedia.bulbagarden.net/wiki/Donphan_(EX_Deoxys_30)" TargetMode="External"/><Relationship Id="rId35" Type="http://schemas.openxmlformats.org/officeDocument/2006/relationships/hyperlink" Target="https://bulbapedia.bulbagarden.net/wiki/Lotad_(EX_Deoxys_35)" TargetMode="External"/><Relationship Id="rId56" Type="http://schemas.openxmlformats.org/officeDocument/2006/relationships/hyperlink" Target="https://bulbapedia.bulbagarden.net/wiki/Carvanha_(EX_Deoxys_56)" TargetMode="External"/><Relationship Id="rId77" Type="http://schemas.openxmlformats.org/officeDocument/2006/relationships/hyperlink" Target="https://bulbapedia.bulbagarden.net/wiki/Staryu_(EX_Deoxys_77)" TargetMode="External"/><Relationship Id="rId100" Type="http://schemas.openxmlformats.org/officeDocument/2006/relationships/hyperlink" Target="https://bulbapedia.bulbagarden.net/wiki/Hariyama_ex_(EX_Deoxys_100)" TargetMode="External"/><Relationship Id="rId105" Type="http://schemas.openxmlformats.org/officeDocument/2006/relationships/hyperlink" Target="https://bulbapedia.bulbagarden.net/wiki/Rocket%27s_Raikou_ex_(EX_Deoxys_108)" TargetMode="External"/><Relationship Id="rId8" Type="http://schemas.openxmlformats.org/officeDocument/2006/relationships/hyperlink" Target="https://bulbapedia.bulbagarden.net/wiki/Gyarados_(EX_Deoxys_8)" TargetMode="External"/><Relationship Id="rId51" Type="http://schemas.openxmlformats.org/officeDocument/2006/relationships/hyperlink" Target="https://bulbapedia.bulbagarden.net/wiki/Weezing_(EX_Deoxys_51)" TargetMode="External"/><Relationship Id="rId72" Type="http://schemas.openxmlformats.org/officeDocument/2006/relationships/hyperlink" Target="https://bulbapedia.bulbagarden.net/wiki/Shroomish_(EX_Deoxys_72)" TargetMode="External"/><Relationship Id="rId93" Type="http://schemas.openxmlformats.org/officeDocument/2006/relationships/hyperlink" Target="https://bulbapedia.bulbagarden.net/wiki/Boost_Energy_(EX_Deoxys_93)" TargetMode="External"/><Relationship Id="rId98" Type="http://schemas.openxmlformats.org/officeDocument/2006/relationships/hyperlink" Target="https://bulbapedia.bulbagarden.net/wiki/Deoxys_ex_(EX_Deoxys_98)" TargetMode="External"/><Relationship Id="rId3" Type="http://schemas.openxmlformats.org/officeDocument/2006/relationships/hyperlink" Target="https://bulbapedia.bulbagarden.net/wiki/Breloom_(EX_Deoxys_3)" TargetMode="External"/><Relationship Id="rId25" Type="http://schemas.openxmlformats.org/officeDocument/2006/relationships/hyperlink" Target="https://bulbapedia.bulbagarden.net/wiki/Shiftry_(EX_Deoxys_25)" TargetMode="External"/><Relationship Id="rId46" Type="http://schemas.openxmlformats.org/officeDocument/2006/relationships/hyperlink" Target="https://bulbapedia.bulbagarden.net/wiki/Silcoon_(EX_Deoxys_46)" TargetMode="External"/><Relationship Id="rId67" Type="http://schemas.openxmlformats.org/officeDocument/2006/relationships/hyperlink" Target="https://bulbapedia.bulbagarden.net/wiki/Nincada_(EX_Deoxys_67)"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bulbapedia.bulbagarden.net/wiki/Dodrio_(EX_Emerald_26)" TargetMode="External"/><Relationship Id="rId21" Type="http://schemas.openxmlformats.org/officeDocument/2006/relationships/hyperlink" Target="https://bulbapedia.bulbagarden.net/wiki/Zangoose_(EX_Emerald_21)" TargetMode="External"/><Relationship Id="rId42" Type="http://schemas.openxmlformats.org/officeDocument/2006/relationships/hyperlink" Target="https://bulbapedia.bulbagarden.net/wiki/Volbeat_(EX_Emerald_42)" TargetMode="External"/><Relationship Id="rId47" Type="http://schemas.openxmlformats.org/officeDocument/2006/relationships/hyperlink" Target="https://bulbapedia.bulbagarden.net/wiki/Electrike_(EX_Emerald_47)" TargetMode="External"/><Relationship Id="rId63" Type="http://schemas.openxmlformats.org/officeDocument/2006/relationships/hyperlink" Target="https://bulbapedia.bulbagarden.net/wiki/Shroomish_(EX_Emerald_63)" TargetMode="External"/><Relationship Id="rId68" Type="http://schemas.openxmlformats.org/officeDocument/2006/relationships/hyperlink" Target="https://bulbapedia.bulbagarden.net/wiki/Taillow_(EX_Emerald_68)" TargetMode="External"/><Relationship Id="rId84" Type="http://schemas.openxmlformats.org/officeDocument/2006/relationships/hyperlink" Target="https://bulbapedia.bulbagarden.net/wiki/Scott_(EX_Emerald_84)" TargetMode="External"/><Relationship Id="rId89" Type="http://schemas.openxmlformats.org/officeDocument/2006/relationships/hyperlink" Target="https://bulbapedia.bulbagarden.net/wiki/Multi_Energy_(EX_Emerald_89)" TargetMode="External"/><Relationship Id="rId16" Type="http://schemas.openxmlformats.org/officeDocument/2006/relationships/hyperlink" Target="https://bulbapedia.bulbagarden.net/wiki/Manectric_(EX_Emerald_16)" TargetMode="External"/><Relationship Id="rId11" Type="http://schemas.openxmlformats.org/officeDocument/2006/relationships/hyperlink" Target="https://bulbapedia.bulbagarden.net/wiki/Swampert_(EX_Emerald_11)" TargetMode="External"/><Relationship Id="rId32" Type="http://schemas.openxmlformats.org/officeDocument/2006/relationships/hyperlink" Target="https://bulbapedia.bulbagarden.net/wiki/Illumise_(EX_Emerald_32)" TargetMode="External"/><Relationship Id="rId37" Type="http://schemas.openxmlformats.org/officeDocument/2006/relationships/hyperlink" Target="https://bulbapedia.bulbagarden.net/wiki/Minun_(EX_Emerald_37)" TargetMode="External"/><Relationship Id="rId53" Type="http://schemas.openxmlformats.org/officeDocument/2006/relationships/hyperlink" Target="https://bulbapedia.bulbagarden.net/wiki/Luvdisc_(EX_Emerald_53)" TargetMode="External"/><Relationship Id="rId58" Type="http://schemas.openxmlformats.org/officeDocument/2006/relationships/hyperlink" Target="https://bulbapedia.bulbagarden.net/wiki/Numel_(EX_Emerald_58)" TargetMode="External"/><Relationship Id="rId74" Type="http://schemas.openxmlformats.org/officeDocument/2006/relationships/hyperlink" Target="https://bulbapedia.bulbagarden.net/wiki/Zigzagoon_(EX_Emerald_74)" TargetMode="External"/><Relationship Id="rId79" Type="http://schemas.openxmlformats.org/officeDocument/2006/relationships/hyperlink" Target="https://bulbapedia.bulbagarden.net/wiki/Mr._Stone%27s_Project_(EX_Emerald_79)" TargetMode="External"/><Relationship Id="rId5" Type="http://schemas.openxmlformats.org/officeDocument/2006/relationships/hyperlink" Target="https://bulbapedia.bulbagarden.net/wiki/Groudon_(EX_Emerald_5)" TargetMode="External"/><Relationship Id="rId90" Type="http://schemas.openxmlformats.org/officeDocument/2006/relationships/hyperlink" Target="https://bulbapedia.bulbagarden.net/wiki/Altaria_ex_(EX_Emerald_90)" TargetMode="External"/><Relationship Id="rId95" Type="http://schemas.openxmlformats.org/officeDocument/2006/relationships/hyperlink" Target="https://bulbapedia.bulbagarden.net/wiki/Medicham_ex_(EX_Emerald_95)" TargetMode="External"/><Relationship Id="rId22" Type="http://schemas.openxmlformats.org/officeDocument/2006/relationships/hyperlink" Target="https://bulbapedia.bulbagarden.net/wiki/Breloom_(EX_Emerald_22)" TargetMode="External"/><Relationship Id="rId27" Type="http://schemas.openxmlformats.org/officeDocument/2006/relationships/hyperlink" Target="https://bulbapedia.bulbagarden.net/wiki/Electrode_(EX_Emerald_27)" TargetMode="External"/><Relationship Id="rId43" Type="http://schemas.openxmlformats.org/officeDocument/2006/relationships/hyperlink" Target="https://bulbapedia.bulbagarden.net/wiki/Baltoy_(EX_Emerald_43)" TargetMode="External"/><Relationship Id="rId48" Type="http://schemas.openxmlformats.org/officeDocument/2006/relationships/hyperlink" Target="https://bulbapedia.bulbagarden.net/wiki/Electrike_(EX_Emerald_48)" TargetMode="External"/><Relationship Id="rId64" Type="http://schemas.openxmlformats.org/officeDocument/2006/relationships/hyperlink" Target="https://bulbapedia.bulbagarden.net/wiki/Snorunt_(EX_Emerald_64)" TargetMode="External"/><Relationship Id="rId69" Type="http://schemas.openxmlformats.org/officeDocument/2006/relationships/hyperlink" Target="https://bulbapedia.bulbagarden.net/wiki/Torchic_(EX_Emerald_69)" TargetMode="External"/><Relationship Id="rId80" Type="http://schemas.openxmlformats.org/officeDocument/2006/relationships/hyperlink" Target="https://bulbapedia.bulbagarden.net/wiki/Oran_Berry_(EX_Emerald_80)" TargetMode="External"/><Relationship Id="rId85" Type="http://schemas.openxmlformats.org/officeDocument/2006/relationships/hyperlink" Target="https://bulbapedia.bulbagarden.net/wiki/Wally%27s_Training_(EX_Emerald_85)" TargetMode="External"/><Relationship Id="rId12" Type="http://schemas.openxmlformats.org/officeDocument/2006/relationships/hyperlink" Target="https://bulbapedia.bulbagarden.net/wiki/Chimecho_(EX_Emerald_12)" TargetMode="External"/><Relationship Id="rId17" Type="http://schemas.openxmlformats.org/officeDocument/2006/relationships/hyperlink" Target="https://bulbapedia.bulbagarden.net/wiki/Nosepass_(EX_Emerald_17)" TargetMode="External"/><Relationship Id="rId25" Type="http://schemas.openxmlformats.org/officeDocument/2006/relationships/hyperlink" Target="https://bulbapedia.bulbagarden.net/wiki/Combusken_(EX_Emerald_25)" TargetMode="External"/><Relationship Id="rId33" Type="http://schemas.openxmlformats.org/officeDocument/2006/relationships/hyperlink" Target="https://bulbapedia.bulbagarden.net/wiki/Kirlia_(EX_Emerald_33)" TargetMode="External"/><Relationship Id="rId38" Type="http://schemas.openxmlformats.org/officeDocument/2006/relationships/hyperlink" Target="https://bulbapedia.bulbagarden.net/wiki/Ninetales_(EX_Emerald_38)" TargetMode="External"/><Relationship Id="rId46" Type="http://schemas.openxmlformats.org/officeDocument/2006/relationships/hyperlink" Target="https://bulbapedia.bulbagarden.net/wiki/Duskull_(EX_Emerald_46)" TargetMode="External"/><Relationship Id="rId59" Type="http://schemas.openxmlformats.org/officeDocument/2006/relationships/hyperlink" Target="https://bulbapedia.bulbagarden.net/wiki/Pichu_(EX_Emerald_59)" TargetMode="External"/><Relationship Id="rId67" Type="http://schemas.openxmlformats.org/officeDocument/2006/relationships/hyperlink" Target="https://bulbapedia.bulbagarden.net/wiki/Swablu_(EX_Emerald_67)" TargetMode="External"/><Relationship Id="rId20" Type="http://schemas.openxmlformats.org/officeDocument/2006/relationships/hyperlink" Target="https://bulbapedia.bulbagarden.net/wiki/Seviper_(EX_Emerald_20)" TargetMode="External"/><Relationship Id="rId41" Type="http://schemas.openxmlformats.org/officeDocument/2006/relationships/hyperlink" Target="https://bulbapedia.bulbagarden.net/wiki/Swellow_(EX_Emerald_41)" TargetMode="External"/><Relationship Id="rId54" Type="http://schemas.openxmlformats.org/officeDocument/2006/relationships/hyperlink" Target="https://bulbapedia.bulbagarden.net/wiki/Makuhita_(EX_Emerald_54)" TargetMode="External"/><Relationship Id="rId62" Type="http://schemas.openxmlformats.org/officeDocument/2006/relationships/hyperlink" Target="https://bulbapedia.bulbagarden.net/wiki/Rhyhorn_(EX_Emerald_62)" TargetMode="External"/><Relationship Id="rId70" Type="http://schemas.openxmlformats.org/officeDocument/2006/relationships/hyperlink" Target="https://bulbapedia.bulbagarden.net/wiki/Treecko_(EX_Emerald_70)" TargetMode="External"/><Relationship Id="rId75" Type="http://schemas.openxmlformats.org/officeDocument/2006/relationships/hyperlink" Target="https://bulbapedia.bulbagarden.net/wiki/Battle_Frontier_(EX_Emerald_75)" TargetMode="External"/><Relationship Id="rId83" Type="http://schemas.openxmlformats.org/officeDocument/2006/relationships/hyperlink" Target="https://bulbapedia.bulbagarden.net/wiki/Rare_Candy_(EX_Emerald_83)" TargetMode="External"/><Relationship Id="rId88" Type="http://schemas.openxmlformats.org/officeDocument/2006/relationships/hyperlink" Target="https://bulbapedia.bulbagarden.net/wiki/Metal_Energy_(EX_Emerald_88)" TargetMode="External"/><Relationship Id="rId91" Type="http://schemas.openxmlformats.org/officeDocument/2006/relationships/hyperlink" Target="https://bulbapedia.bulbagarden.net/wiki/Cacturne_ex_(EX_Emerald_91)" TargetMode="External"/><Relationship Id="rId96" Type="http://schemas.openxmlformats.org/officeDocument/2006/relationships/hyperlink" Target="https://bulbapedia.bulbagarden.net/wiki/Milotic_ex_(EX_Emerald_96)" TargetMode="External"/><Relationship Id="rId1" Type="http://schemas.openxmlformats.org/officeDocument/2006/relationships/hyperlink" Target="https://bulbapedia.bulbagarden.net/wiki/Blaziken_(EX_Emerald_1)" TargetMode="External"/><Relationship Id="rId6" Type="http://schemas.openxmlformats.org/officeDocument/2006/relationships/hyperlink" Target="https://bulbapedia.bulbagarden.net/wiki/Kyogre_(EX_Emerald_6)" TargetMode="External"/><Relationship Id="rId15" Type="http://schemas.openxmlformats.org/officeDocument/2006/relationships/hyperlink" Target="https://bulbapedia.bulbagarden.net/wiki/Kyogre_(EX_Emerald_15)" TargetMode="External"/><Relationship Id="rId23" Type="http://schemas.openxmlformats.org/officeDocument/2006/relationships/hyperlink" Target="https://bulbapedia.bulbagarden.net/wiki/Camerupt_(EX_Emerald_23)" TargetMode="External"/><Relationship Id="rId28" Type="http://schemas.openxmlformats.org/officeDocument/2006/relationships/hyperlink" Target="https://bulbapedia.bulbagarden.net/wiki/Grovyle_(EX_Emerald_28)" TargetMode="External"/><Relationship Id="rId36" Type="http://schemas.openxmlformats.org/officeDocument/2006/relationships/hyperlink" Target="https://bulbapedia.bulbagarden.net/wiki/Marshtomp_(EX_Emerald_36)" TargetMode="External"/><Relationship Id="rId49" Type="http://schemas.openxmlformats.org/officeDocument/2006/relationships/hyperlink" Target="https://bulbapedia.bulbagarden.net/wiki/Feebas_(EX_Emerald_49)" TargetMode="External"/><Relationship Id="rId57" Type="http://schemas.openxmlformats.org/officeDocument/2006/relationships/hyperlink" Target="https://bulbapedia.bulbagarden.net/wiki/Numel_(EX_Emerald_57)" TargetMode="External"/><Relationship Id="rId10" Type="http://schemas.openxmlformats.org/officeDocument/2006/relationships/hyperlink" Target="https://bulbapedia.bulbagarden.net/wiki/Sceptile_(EX_Emerald_10)" TargetMode="External"/><Relationship Id="rId31" Type="http://schemas.openxmlformats.org/officeDocument/2006/relationships/hyperlink" Target="https://bulbapedia.bulbagarden.net/wiki/Hariyama_(EX_Emerald_31)" TargetMode="External"/><Relationship Id="rId44" Type="http://schemas.openxmlformats.org/officeDocument/2006/relationships/hyperlink" Target="https://bulbapedia.bulbagarden.net/wiki/Cacnea_(EX_Emerald_44)" TargetMode="External"/><Relationship Id="rId52" Type="http://schemas.openxmlformats.org/officeDocument/2006/relationships/hyperlink" Target="https://bulbapedia.bulbagarden.net/wiki/Larvitar_(EX_Emerald_52)" TargetMode="External"/><Relationship Id="rId60" Type="http://schemas.openxmlformats.org/officeDocument/2006/relationships/hyperlink" Target="https://bulbapedia.bulbagarden.net/wiki/Pikachu_(EX_Emerald_60)" TargetMode="External"/><Relationship Id="rId65" Type="http://schemas.openxmlformats.org/officeDocument/2006/relationships/hyperlink" Target="https://bulbapedia.bulbagarden.net/wiki/Spoink_(EX_Emerald_65)" TargetMode="External"/><Relationship Id="rId73" Type="http://schemas.openxmlformats.org/officeDocument/2006/relationships/hyperlink" Target="https://bulbapedia.bulbagarden.net/wiki/Whismur_(EX_Emerald_73)" TargetMode="External"/><Relationship Id="rId78" Type="http://schemas.openxmlformats.org/officeDocument/2006/relationships/hyperlink" Target="https://bulbapedia.bulbagarden.net/wiki/Lum_Berry_(EX_Emerald_78)" TargetMode="External"/><Relationship Id="rId81" Type="http://schemas.openxmlformats.org/officeDocument/2006/relationships/hyperlink" Target="https://bulbapedia.bulbagarden.net/wiki/Pok%C3%A9Nav_(EX_Emerald_81)" TargetMode="External"/><Relationship Id="rId86" Type="http://schemas.openxmlformats.org/officeDocument/2006/relationships/hyperlink" Target="https://bulbapedia.bulbagarden.net/wiki/Darkness_Energy_(EX_Emerald_86)" TargetMode="External"/><Relationship Id="rId94" Type="http://schemas.openxmlformats.org/officeDocument/2006/relationships/hyperlink" Target="https://bulbapedia.bulbagarden.net/wiki/Dusclops_ex_(EX_Emerald_94)" TargetMode="External"/><Relationship Id="rId99" Type="http://schemas.openxmlformats.org/officeDocument/2006/relationships/hyperlink" Target="https://bulbapedia.bulbagarden.net/wiki/Regirock_ex_(EX_Emerald_99)" TargetMode="External"/><Relationship Id="rId101" Type="http://schemas.openxmlformats.org/officeDocument/2006/relationships/hyperlink" Target="https://bulbapedia.bulbagarden.net/wiki/Farfetch%27d_(EX_Emerald_107)" TargetMode="External"/><Relationship Id="rId4" Type="http://schemas.openxmlformats.org/officeDocument/2006/relationships/hyperlink" Target="https://bulbapedia.bulbagarden.net/wiki/Gardevoir_(EX_Emerald_4)" TargetMode="External"/><Relationship Id="rId9" Type="http://schemas.openxmlformats.org/officeDocument/2006/relationships/hyperlink" Target="https://bulbapedia.bulbagarden.net/wiki/Rayquaza_(EX_Emerald_9)" TargetMode="External"/><Relationship Id="rId13" Type="http://schemas.openxmlformats.org/officeDocument/2006/relationships/hyperlink" Target="https://bulbapedia.bulbagarden.net/wiki/Glalie_(EX_Emerald_13)" TargetMode="External"/><Relationship Id="rId18" Type="http://schemas.openxmlformats.org/officeDocument/2006/relationships/hyperlink" Target="https://bulbapedia.bulbagarden.net/wiki/Relicanth_(EX_Emerald_18)" TargetMode="External"/><Relationship Id="rId39" Type="http://schemas.openxmlformats.org/officeDocument/2006/relationships/hyperlink" Target="https://bulbapedia.bulbagarden.net/wiki/Plusle_(EX_Emerald_39)" TargetMode="External"/><Relationship Id="rId34" Type="http://schemas.openxmlformats.org/officeDocument/2006/relationships/hyperlink" Target="https://bulbapedia.bulbagarden.net/wiki/Linoone_(EX_Emerald_34)" TargetMode="External"/><Relationship Id="rId50" Type="http://schemas.openxmlformats.org/officeDocument/2006/relationships/hyperlink" Target="https://bulbapedia.bulbagarden.net/wiki/Feebas_(EX_Emerald_50)" TargetMode="External"/><Relationship Id="rId55" Type="http://schemas.openxmlformats.org/officeDocument/2006/relationships/hyperlink" Target="https://bulbapedia.bulbagarden.net/wiki/Meditite_(EX_Emerald_55)" TargetMode="External"/><Relationship Id="rId76" Type="http://schemas.openxmlformats.org/officeDocument/2006/relationships/hyperlink" Target="https://bulbapedia.bulbagarden.net/wiki/Double_Full_Heal_(EX_Emerald_76)" TargetMode="External"/><Relationship Id="rId97" Type="http://schemas.openxmlformats.org/officeDocument/2006/relationships/hyperlink" Target="https://bulbapedia.bulbagarden.net/wiki/Raichu_ex_(EX_Emerald_97)" TargetMode="External"/><Relationship Id="rId7" Type="http://schemas.openxmlformats.org/officeDocument/2006/relationships/hyperlink" Target="https://bulbapedia.bulbagarden.net/wiki/Manectric_(EX_Emerald_7)" TargetMode="External"/><Relationship Id="rId71" Type="http://schemas.openxmlformats.org/officeDocument/2006/relationships/hyperlink" Target="https://bulbapedia.bulbagarden.net/wiki/Voltorb_(EX_Emerald_71)" TargetMode="External"/><Relationship Id="rId92" Type="http://schemas.openxmlformats.org/officeDocument/2006/relationships/hyperlink" Target="https://bulbapedia.bulbagarden.net/wiki/Camerupt_ex_(EX_Emerald_92)" TargetMode="External"/><Relationship Id="rId2" Type="http://schemas.openxmlformats.org/officeDocument/2006/relationships/hyperlink" Target="https://bulbapedia.bulbagarden.net/wiki/Deoxys_(EX_Emerald_2)" TargetMode="External"/><Relationship Id="rId29" Type="http://schemas.openxmlformats.org/officeDocument/2006/relationships/hyperlink" Target="https://bulbapedia.bulbagarden.net/wiki/Grumpig_(EX_Emerald_29)" TargetMode="External"/><Relationship Id="rId24" Type="http://schemas.openxmlformats.org/officeDocument/2006/relationships/hyperlink" Target="https://bulbapedia.bulbagarden.net/wiki/Claydol_(EX_Emerald_24)" TargetMode="External"/><Relationship Id="rId40" Type="http://schemas.openxmlformats.org/officeDocument/2006/relationships/hyperlink" Target="https://bulbapedia.bulbagarden.net/wiki/Swalot_(EX_Emerald_40)" TargetMode="External"/><Relationship Id="rId45" Type="http://schemas.openxmlformats.org/officeDocument/2006/relationships/hyperlink" Target="https://bulbapedia.bulbagarden.net/wiki/Doduo_(EX_Emerald_45)" TargetMode="External"/><Relationship Id="rId66" Type="http://schemas.openxmlformats.org/officeDocument/2006/relationships/hyperlink" Target="https://bulbapedia.bulbagarden.net/wiki/Spoink_(EX_Emerald_66)" TargetMode="External"/><Relationship Id="rId87" Type="http://schemas.openxmlformats.org/officeDocument/2006/relationships/hyperlink" Target="https://bulbapedia.bulbagarden.net/wiki/Double_Rainbow_Energy_(EX_Emerald_87)" TargetMode="External"/><Relationship Id="rId61" Type="http://schemas.openxmlformats.org/officeDocument/2006/relationships/hyperlink" Target="https://bulbapedia.bulbagarden.net/wiki/Ralts_(EX_Emerald_61)" TargetMode="External"/><Relationship Id="rId82" Type="http://schemas.openxmlformats.org/officeDocument/2006/relationships/hyperlink" Target="https://bulbapedia.bulbagarden.net/wiki/Professor_Birch_(EX_Emerald_82)" TargetMode="External"/><Relationship Id="rId19" Type="http://schemas.openxmlformats.org/officeDocument/2006/relationships/hyperlink" Target="https://bulbapedia.bulbagarden.net/wiki/Rhydon_(EX_Emerald_19)" TargetMode="External"/><Relationship Id="rId14" Type="http://schemas.openxmlformats.org/officeDocument/2006/relationships/hyperlink" Target="https://bulbapedia.bulbagarden.net/wiki/Groudon_(EX_Emerald_14)" TargetMode="External"/><Relationship Id="rId30" Type="http://schemas.openxmlformats.org/officeDocument/2006/relationships/hyperlink" Target="https://bulbapedia.bulbagarden.net/wiki/Grumpig_(EX_Emerald_30)" TargetMode="External"/><Relationship Id="rId35" Type="http://schemas.openxmlformats.org/officeDocument/2006/relationships/hyperlink" Target="https://bulbapedia.bulbagarden.net/wiki/Loudred_(EX_Emerald_35)" TargetMode="External"/><Relationship Id="rId56" Type="http://schemas.openxmlformats.org/officeDocument/2006/relationships/hyperlink" Target="https://bulbapedia.bulbagarden.net/wiki/Mudkip_(EX_Emerald_56)" TargetMode="External"/><Relationship Id="rId77" Type="http://schemas.openxmlformats.org/officeDocument/2006/relationships/hyperlink" Target="https://bulbapedia.bulbagarden.net/wiki/Lanette%27s_Net_Search_(EX_Emerald_77)" TargetMode="External"/><Relationship Id="rId100" Type="http://schemas.openxmlformats.org/officeDocument/2006/relationships/hyperlink" Target="https://bulbapedia.bulbagarden.net/wiki/Registeel_ex_(EX_Emerald_100)" TargetMode="External"/><Relationship Id="rId8" Type="http://schemas.openxmlformats.org/officeDocument/2006/relationships/hyperlink" Target="https://bulbapedia.bulbagarden.net/wiki/Milotic_(EX_Emerald_8)" TargetMode="External"/><Relationship Id="rId51" Type="http://schemas.openxmlformats.org/officeDocument/2006/relationships/hyperlink" Target="https://bulbapedia.bulbagarden.net/wiki/Gulpin_(EX_Emerald_51)" TargetMode="External"/><Relationship Id="rId72" Type="http://schemas.openxmlformats.org/officeDocument/2006/relationships/hyperlink" Target="https://bulbapedia.bulbagarden.net/wiki/Vulpix_(EX_Emerald_72)" TargetMode="External"/><Relationship Id="rId93" Type="http://schemas.openxmlformats.org/officeDocument/2006/relationships/hyperlink" Target="https://bulbapedia.bulbagarden.net/wiki/Deoxys_ex_(EX_Emerald_93)" TargetMode="External"/><Relationship Id="rId98" Type="http://schemas.openxmlformats.org/officeDocument/2006/relationships/hyperlink" Target="https://bulbapedia.bulbagarden.net/wiki/Regice_ex_(EX_Emerald_98)" TargetMode="External"/><Relationship Id="rId3" Type="http://schemas.openxmlformats.org/officeDocument/2006/relationships/hyperlink" Target="https://bulbapedia.bulbagarden.net/wiki/Exploud_(EX_Emerald_3)"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bulbapedia.bulbagarden.net/wiki/Mr._Briney%27s_Compassion_(POP_Series_2_8)" TargetMode="External"/><Relationship Id="rId13" Type="http://schemas.openxmlformats.org/officeDocument/2006/relationships/hyperlink" Target="https://bulbapedia.bulbagarden.net/wiki/Cacnea_(POP_Series_2_13)" TargetMode="External"/><Relationship Id="rId3" Type="http://schemas.openxmlformats.org/officeDocument/2006/relationships/hyperlink" Target="https://bulbapedia.bulbagarden.net/wiki/Raikou_(POP_Series_2_3)" TargetMode="External"/><Relationship Id="rId7" Type="http://schemas.openxmlformats.org/officeDocument/2006/relationships/hyperlink" Target="https://bulbapedia.bulbagarden.net/wiki/Ivysaur_(POP_Series_2_7)" TargetMode="External"/><Relationship Id="rId12" Type="http://schemas.openxmlformats.org/officeDocument/2006/relationships/hyperlink" Target="https://bulbapedia.bulbagarden.net/wiki/Bulbasaur_(POP_Series_2_12)" TargetMode="External"/><Relationship Id="rId17" Type="http://schemas.openxmlformats.org/officeDocument/2006/relationships/hyperlink" Target="https://bulbapedia.bulbagarden.net/wiki/Celebi_ex_(POP_Series_2_17)" TargetMode="External"/><Relationship Id="rId2" Type="http://schemas.openxmlformats.org/officeDocument/2006/relationships/hyperlink" Target="https://bulbapedia.bulbagarden.net/wiki/Pidgeot_(POP_Series_2_2)" TargetMode="External"/><Relationship Id="rId16" Type="http://schemas.openxmlformats.org/officeDocument/2006/relationships/hyperlink" Target="https://bulbapedia.bulbagarden.net/wiki/Pikachu_(POP_Series_2_16)" TargetMode="External"/><Relationship Id="rId1" Type="http://schemas.openxmlformats.org/officeDocument/2006/relationships/hyperlink" Target="https://bulbapedia.bulbagarden.net/wiki/Entei_(POP_Series_2_1)" TargetMode="External"/><Relationship Id="rId6" Type="http://schemas.openxmlformats.org/officeDocument/2006/relationships/hyperlink" Target="https://bulbapedia.bulbagarden.net/wiki/Venusaur_(POP_Series_2_6)" TargetMode="External"/><Relationship Id="rId11" Type="http://schemas.openxmlformats.org/officeDocument/2006/relationships/hyperlink" Target="https://bulbapedia.bulbagarden.net/wiki/TV_Reporter_(POP_Series_2_11)" TargetMode="External"/><Relationship Id="rId5" Type="http://schemas.openxmlformats.org/officeDocument/2006/relationships/hyperlink" Target="https://bulbapedia.bulbagarden.net/wiki/Tauros_(POP_Series_2_5)" TargetMode="External"/><Relationship Id="rId15" Type="http://schemas.openxmlformats.org/officeDocument/2006/relationships/hyperlink" Target="https://bulbapedia.bulbagarden.net/wiki/Phanpy_(POP_Series_2_15)" TargetMode="External"/><Relationship Id="rId10" Type="http://schemas.openxmlformats.org/officeDocument/2006/relationships/hyperlink" Target="https://bulbapedia.bulbagarden.net/wiki/Pok%C3%A9mon_Park_(POP_Series_2_10)" TargetMode="External"/><Relationship Id="rId4" Type="http://schemas.openxmlformats.org/officeDocument/2006/relationships/hyperlink" Target="https://bulbapedia.bulbagarden.net/wiki/Suicune_(POP_Series_2_4)" TargetMode="External"/><Relationship Id="rId9" Type="http://schemas.openxmlformats.org/officeDocument/2006/relationships/hyperlink" Target="https://bulbapedia.bulbagarden.net/wiki/Multi_Technical_Machine_01_(POP_Series_2_9)" TargetMode="External"/><Relationship Id="rId14" Type="http://schemas.openxmlformats.org/officeDocument/2006/relationships/hyperlink" Target="https://bulbapedia.bulbagarden.net/wiki/Luvdisc_(POP_Series_2_14)"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bulbapedia.bulbagarden.net/wiki/Hitmontop_(EX_Unseen_Forces_26)" TargetMode="External"/><Relationship Id="rId21" Type="http://schemas.openxmlformats.org/officeDocument/2006/relationships/hyperlink" Target="https://bulbapedia.bulbagarden.net/wiki/Cleffa_(EX_Unseen_Forces_21)" TargetMode="External"/><Relationship Id="rId42" Type="http://schemas.openxmlformats.org/officeDocument/2006/relationships/hyperlink" Target="https://bulbapedia.bulbagarden.net/wiki/Miltank_(EX_Unseen_Forces_42)" TargetMode="External"/><Relationship Id="rId47" Type="http://schemas.openxmlformats.org/officeDocument/2006/relationships/hyperlink" Target="https://bulbapedia.bulbagarden.net/wiki/Shuckle_(EX_Unseen_Forces_47)" TargetMode="External"/><Relationship Id="rId63" Type="http://schemas.openxmlformats.org/officeDocument/2006/relationships/hyperlink" Target="https://bulbapedia.bulbagarden.net/wiki/Natu_(EX_Unseen_Forces_63)" TargetMode="External"/><Relationship Id="rId68" Type="http://schemas.openxmlformats.org/officeDocument/2006/relationships/hyperlink" Target="https://bulbapedia.bulbagarden.net/wiki/Poliwhirl_(EX_Unseen_Forces_68)" TargetMode="External"/><Relationship Id="rId84" Type="http://schemas.openxmlformats.org/officeDocument/2006/relationships/hyperlink" Target="https://bulbapedia.bulbagarden.net/wiki/Energy_Switch_(EX_Unseen_Forces_84)" TargetMode="External"/><Relationship Id="rId89" Type="http://schemas.openxmlformats.org/officeDocument/2006/relationships/hyperlink" Target="https://bulbapedia.bulbagarden.net/wiki/Professor_Elm%27s_Training_Method_(EX_Unseen_Forces_89)" TargetMode="External"/><Relationship Id="rId112" Type="http://schemas.openxmlformats.org/officeDocument/2006/relationships/hyperlink" Target="https://bulbapedia.bulbagarden.net/wiki/Umbreon_ex_(EX_Unseen_Forces_112)" TargetMode="External"/><Relationship Id="rId16" Type="http://schemas.openxmlformats.org/officeDocument/2006/relationships/hyperlink" Target="https://bulbapedia.bulbagarden.net/wiki/Sunflora_(EX_Unseen_Forces_16)" TargetMode="External"/><Relationship Id="rId107" Type="http://schemas.openxmlformats.org/officeDocument/2006/relationships/hyperlink" Target="https://bulbapedia.bulbagarden.net/wiki/Politoed_ex_(EX_Unseen_Forces_107)" TargetMode="External"/><Relationship Id="rId11" Type="http://schemas.openxmlformats.org/officeDocument/2006/relationships/hyperlink" Target="https://bulbapedia.bulbagarden.net/wiki/Poliwrath_(EX_Unseen_Forces_11)" TargetMode="External"/><Relationship Id="rId32" Type="http://schemas.openxmlformats.org/officeDocument/2006/relationships/hyperlink" Target="https://bulbapedia.bulbagarden.net/wiki/Stantler_(EX_Unseen_Forces_32)" TargetMode="External"/><Relationship Id="rId37" Type="http://schemas.openxmlformats.org/officeDocument/2006/relationships/hyperlink" Target="https://bulbapedia.bulbagarden.net/wiki/Corsola_(EX_Unseen_Forces_37)" TargetMode="External"/><Relationship Id="rId53" Type="http://schemas.openxmlformats.org/officeDocument/2006/relationships/hyperlink" Target="https://bulbapedia.bulbagarden.net/wiki/Clefairy_(EX_Unseen_Forces_53)" TargetMode="External"/><Relationship Id="rId58" Type="http://schemas.openxmlformats.org/officeDocument/2006/relationships/hyperlink" Target="https://bulbapedia.bulbagarden.net/wiki/Gloom_(EX_Unseen_Forces_58)" TargetMode="External"/><Relationship Id="rId74" Type="http://schemas.openxmlformats.org/officeDocument/2006/relationships/hyperlink" Target="https://bulbapedia.bulbagarden.net/wiki/Snubbull_(EX_Unseen_Forces_74)" TargetMode="External"/><Relationship Id="rId79" Type="http://schemas.openxmlformats.org/officeDocument/2006/relationships/hyperlink" Target="https://bulbapedia.bulbagarden.net/wiki/Wooper_(EX_Unseen_Forces_79)" TargetMode="External"/><Relationship Id="rId102" Type="http://schemas.openxmlformats.org/officeDocument/2006/relationships/hyperlink" Target="https://bulbapedia.bulbagarden.net/wiki/Espeon_ex_(EX_Unseen_Forces_102)" TargetMode="External"/><Relationship Id="rId5" Type="http://schemas.openxmlformats.org/officeDocument/2006/relationships/hyperlink" Target="https://bulbapedia.bulbagarden.net/wiki/Flareon_(EX_Unseen_Forces_5)" TargetMode="External"/><Relationship Id="rId90" Type="http://schemas.openxmlformats.org/officeDocument/2006/relationships/hyperlink" Target="https://bulbapedia.bulbagarden.net/wiki/Protective_Orb_(EX_Unseen_Forces_90)" TargetMode="External"/><Relationship Id="rId95" Type="http://schemas.openxmlformats.org/officeDocument/2006/relationships/hyperlink" Target="https://bulbapedia.bulbagarden.net/wiki/Potion_(EX_Unseen_Forces_95)" TargetMode="External"/><Relationship Id="rId22" Type="http://schemas.openxmlformats.org/officeDocument/2006/relationships/hyperlink" Target="https://bulbapedia.bulbagarden.net/wiki/Electabuzz_(EX_Unseen_Forces_22)" TargetMode="External"/><Relationship Id="rId27" Type="http://schemas.openxmlformats.org/officeDocument/2006/relationships/hyperlink" Target="https://bulbapedia.bulbagarden.net/wiki/Ho-Oh_(EX_Unseen_Forces_27)" TargetMode="External"/><Relationship Id="rId43" Type="http://schemas.openxmlformats.org/officeDocument/2006/relationships/hyperlink" Target="https://bulbapedia.bulbagarden.net/wiki/Noctowl_(EX_Unseen_Forces_43)" TargetMode="External"/><Relationship Id="rId48" Type="http://schemas.openxmlformats.org/officeDocument/2006/relationships/hyperlink" Target="https://bulbapedia.bulbagarden.net/wiki/Smeargle_(EX_Unseen_Forces_48)" TargetMode="External"/><Relationship Id="rId64" Type="http://schemas.openxmlformats.org/officeDocument/2006/relationships/hyperlink" Target="https://bulbapedia.bulbagarden.net/wiki/Oddish_(EX_Unseen_Forces_64)" TargetMode="External"/><Relationship Id="rId69" Type="http://schemas.openxmlformats.org/officeDocument/2006/relationships/hyperlink" Target="https://bulbapedia.bulbagarden.net/wiki/Porygon_(EX_Unseen_Forces_69)" TargetMode="External"/><Relationship Id="rId113" Type="http://schemas.openxmlformats.org/officeDocument/2006/relationships/hyperlink" Target="https://bulbapedia.bulbagarden.net/wiki/Rocket%27s_Persian_ex_(EX_Unseen_Forces_116)" TargetMode="External"/><Relationship Id="rId80" Type="http://schemas.openxmlformats.org/officeDocument/2006/relationships/hyperlink" Target="https://bulbapedia.bulbagarden.net/wiki/Curse_Powder_(EX_Unseen_Forces_80)" TargetMode="External"/><Relationship Id="rId85" Type="http://schemas.openxmlformats.org/officeDocument/2006/relationships/hyperlink" Target="https://bulbapedia.bulbagarden.net/wiki/Fluffy_Berry_(EX_Unseen_Forces_85)" TargetMode="External"/><Relationship Id="rId12" Type="http://schemas.openxmlformats.org/officeDocument/2006/relationships/hyperlink" Target="https://bulbapedia.bulbagarden.net/wiki/Porygon2_(EX_Unseen_Forces_12)" TargetMode="External"/><Relationship Id="rId17" Type="http://schemas.openxmlformats.org/officeDocument/2006/relationships/hyperlink" Target="https://bulbapedia.bulbagarden.net/wiki/Typhlosion_(EX_Unseen_Forces_17)" TargetMode="External"/><Relationship Id="rId33" Type="http://schemas.openxmlformats.org/officeDocument/2006/relationships/hyperlink" Target="https://bulbapedia.bulbagarden.net/wiki/Tyrogue_(EX_Unseen_Forces_33)" TargetMode="External"/><Relationship Id="rId38" Type="http://schemas.openxmlformats.org/officeDocument/2006/relationships/hyperlink" Target="https://bulbapedia.bulbagarden.net/wiki/Croconaw_(EX_Unseen_Forces_38)" TargetMode="External"/><Relationship Id="rId59" Type="http://schemas.openxmlformats.org/officeDocument/2006/relationships/hyperlink" Target="https://bulbapedia.bulbagarden.net/wiki/Hoothoot_(EX_Unseen_Forces_59)" TargetMode="External"/><Relationship Id="rId103" Type="http://schemas.openxmlformats.org/officeDocument/2006/relationships/hyperlink" Target="https://bulbapedia.bulbagarden.net/wiki/Feraligatr_ex_(EX_Unseen_Forces_103)" TargetMode="External"/><Relationship Id="rId108" Type="http://schemas.openxmlformats.org/officeDocument/2006/relationships/hyperlink" Target="https://bulbapedia.bulbagarden.net/wiki/Scizor_ex_(EX_Unseen_Forces_108)" TargetMode="External"/><Relationship Id="rId54" Type="http://schemas.openxmlformats.org/officeDocument/2006/relationships/hyperlink" Target="https://bulbapedia.bulbagarden.net/wiki/Cyndaquil_(EX_Unseen_Forces_54)" TargetMode="External"/><Relationship Id="rId70" Type="http://schemas.openxmlformats.org/officeDocument/2006/relationships/hyperlink" Target="https://bulbapedia.bulbagarden.net/wiki/Pupitar_(EX_Unseen_Forces_70)" TargetMode="External"/><Relationship Id="rId75" Type="http://schemas.openxmlformats.org/officeDocument/2006/relationships/hyperlink" Target="https://bulbapedia.bulbagarden.net/wiki/Spinarak_(EX_Unseen_Forces_75)" TargetMode="External"/><Relationship Id="rId91" Type="http://schemas.openxmlformats.org/officeDocument/2006/relationships/hyperlink" Target="https://bulbapedia.bulbagarden.net/wiki/Sitrus_Berry_(EX_Unseen_Forces_91)" TargetMode="External"/><Relationship Id="rId96" Type="http://schemas.openxmlformats.org/officeDocument/2006/relationships/hyperlink" Target="https://bulbapedia.bulbagarden.net/wiki/Darkness_Energy_(EX_Unseen_Forces_96)" TargetMode="External"/><Relationship Id="rId1" Type="http://schemas.openxmlformats.org/officeDocument/2006/relationships/hyperlink" Target="https://bulbapedia.bulbagarden.net/wiki/Ampharos_(EX_Unseen_Forces_1)" TargetMode="External"/><Relationship Id="rId6" Type="http://schemas.openxmlformats.org/officeDocument/2006/relationships/hyperlink" Target="https://bulbapedia.bulbagarden.net/wiki/Forretress_(EX_Unseen_Forces_6)" TargetMode="External"/><Relationship Id="rId15" Type="http://schemas.openxmlformats.org/officeDocument/2006/relationships/hyperlink" Target="https://bulbapedia.bulbagarden.net/wiki/Sudowoodo_(EX_Unseen_Forces_15)" TargetMode="External"/><Relationship Id="rId23" Type="http://schemas.openxmlformats.org/officeDocument/2006/relationships/hyperlink" Target="https://bulbapedia.bulbagarden.net/wiki/Elekid_(EX_Unseen_Forces_23)" TargetMode="External"/><Relationship Id="rId28" Type="http://schemas.openxmlformats.org/officeDocument/2006/relationships/hyperlink" Target="https://bulbapedia.bulbagarden.net/wiki/Jynx_(EX_Unseen_Forces_28)" TargetMode="External"/><Relationship Id="rId36" Type="http://schemas.openxmlformats.org/officeDocument/2006/relationships/hyperlink" Target="https://bulbapedia.bulbagarden.net/wiki/Clefable_(EX_Unseen_Forces_36)" TargetMode="External"/><Relationship Id="rId49" Type="http://schemas.openxmlformats.org/officeDocument/2006/relationships/hyperlink" Target="https://bulbapedia.bulbagarden.net/wiki/Xatu_(EX_Unseen_Forces_49)" TargetMode="External"/><Relationship Id="rId57" Type="http://schemas.openxmlformats.org/officeDocument/2006/relationships/hyperlink" Target="https://bulbapedia.bulbagarden.net/wiki/Gligar_(EX_Unseen_Forces_57)" TargetMode="External"/><Relationship Id="rId106" Type="http://schemas.openxmlformats.org/officeDocument/2006/relationships/hyperlink" Target="https://bulbapedia.bulbagarden.net/wiki/Meganium_ex_(EX_Unseen_Forces_106)" TargetMode="External"/><Relationship Id="rId114" Type="http://schemas.openxmlformats.org/officeDocument/2006/relationships/hyperlink" Target="https://bulbapedia.bulbagarden.net/wiki/Celebi_ex_(EX_Unseen_Forces_117)" TargetMode="External"/><Relationship Id="rId10" Type="http://schemas.openxmlformats.org/officeDocument/2006/relationships/hyperlink" Target="https://bulbapedia.bulbagarden.net/wiki/Octillery_(EX_Unseen_Forces_10)" TargetMode="External"/><Relationship Id="rId31" Type="http://schemas.openxmlformats.org/officeDocument/2006/relationships/hyperlink" Target="https://bulbapedia.bulbagarden.net/wiki/Smoochum_(EX_Unseen_Forces_31)" TargetMode="External"/><Relationship Id="rId44" Type="http://schemas.openxmlformats.org/officeDocument/2006/relationships/hyperlink" Target="https://bulbapedia.bulbagarden.net/wiki/Quagsire_(EX_Unseen_Forces_44)" TargetMode="External"/><Relationship Id="rId52" Type="http://schemas.openxmlformats.org/officeDocument/2006/relationships/hyperlink" Target="https://bulbapedia.bulbagarden.net/wiki/Chinchou_(EX_Unseen_Forces_52)" TargetMode="External"/><Relationship Id="rId60" Type="http://schemas.openxmlformats.org/officeDocument/2006/relationships/hyperlink" Target="https://bulbapedia.bulbagarden.net/wiki/Houndour_(EX_Unseen_Forces_60)" TargetMode="External"/><Relationship Id="rId65" Type="http://schemas.openxmlformats.org/officeDocument/2006/relationships/hyperlink" Target="https://bulbapedia.bulbagarden.net/wiki/Onix_(EX_Unseen_Forces_65)" TargetMode="External"/><Relationship Id="rId73" Type="http://schemas.openxmlformats.org/officeDocument/2006/relationships/hyperlink" Target="https://bulbapedia.bulbagarden.net/wiki/Slugma_(EX_Unseen_Forces_73)" TargetMode="External"/><Relationship Id="rId78" Type="http://schemas.openxmlformats.org/officeDocument/2006/relationships/hyperlink" Target="https://bulbapedia.bulbagarden.net/wiki/Totodile_(EX_Unseen_Forces_78)" TargetMode="External"/><Relationship Id="rId81" Type="http://schemas.openxmlformats.org/officeDocument/2006/relationships/hyperlink" Target="https://bulbapedia.bulbagarden.net/wiki/Energy_Recycle_System_(EX_Unseen_Forces_81)" TargetMode="External"/><Relationship Id="rId86" Type="http://schemas.openxmlformats.org/officeDocument/2006/relationships/hyperlink" Target="https://bulbapedia.bulbagarden.net/wiki/Mary%27s_Request_(EX_Unseen_Forces_86)" TargetMode="External"/><Relationship Id="rId94" Type="http://schemas.openxmlformats.org/officeDocument/2006/relationships/hyperlink" Target="https://bulbapedia.bulbagarden.net/wiki/Energy_Search_(EX_Unseen_Forces_94)" TargetMode="External"/><Relationship Id="rId99" Type="http://schemas.openxmlformats.org/officeDocument/2006/relationships/hyperlink" Target="https://bulbapedia.bulbagarden.net/wiki/Cyclone_Energy_(EX_Unseen_Forces_99)" TargetMode="External"/><Relationship Id="rId101" Type="http://schemas.openxmlformats.org/officeDocument/2006/relationships/hyperlink" Target="https://bulbapedia.bulbagarden.net/wiki/Blissey_ex_(EX_Unseen_Forces_101)" TargetMode="External"/><Relationship Id="rId4" Type="http://schemas.openxmlformats.org/officeDocument/2006/relationships/hyperlink" Target="https://bulbapedia.bulbagarden.net/wiki/Feraligatr_(EX_Unseen_Forces_4)" TargetMode="External"/><Relationship Id="rId9" Type="http://schemas.openxmlformats.org/officeDocument/2006/relationships/hyperlink" Target="https://bulbapedia.bulbagarden.net/wiki/Meganium_(EX_Unseen_Forces_9)" TargetMode="External"/><Relationship Id="rId13" Type="http://schemas.openxmlformats.org/officeDocument/2006/relationships/hyperlink" Target="https://bulbapedia.bulbagarden.net/wiki/Slowbro_(EX_Unseen_Forces_13)" TargetMode="External"/><Relationship Id="rId18" Type="http://schemas.openxmlformats.org/officeDocument/2006/relationships/hyperlink" Target="https://bulbapedia.bulbagarden.net/wiki/Ursaring_(EX_Unseen_Forces_18)" TargetMode="External"/><Relationship Id="rId39" Type="http://schemas.openxmlformats.org/officeDocument/2006/relationships/hyperlink" Target="https://bulbapedia.bulbagarden.net/wiki/Granbull_(EX_Unseen_Forces_39)" TargetMode="External"/><Relationship Id="rId109" Type="http://schemas.openxmlformats.org/officeDocument/2006/relationships/hyperlink" Target="https://bulbapedia.bulbagarden.net/wiki/Steelix_ex_(EX_Unseen_Forces_109)" TargetMode="External"/><Relationship Id="rId34" Type="http://schemas.openxmlformats.org/officeDocument/2006/relationships/hyperlink" Target="https://bulbapedia.bulbagarden.net/wiki/Aipom_(EX_Unseen_Forces_34)" TargetMode="External"/><Relationship Id="rId50" Type="http://schemas.openxmlformats.org/officeDocument/2006/relationships/hyperlink" Target="https://bulbapedia.bulbagarden.net/wiki/Yanma_(EX_Unseen_Forces_50)" TargetMode="External"/><Relationship Id="rId55" Type="http://schemas.openxmlformats.org/officeDocument/2006/relationships/hyperlink" Target="https://bulbapedia.bulbagarden.net/wiki/Eevee_(EX_Unseen_Forces_55)" TargetMode="External"/><Relationship Id="rId76" Type="http://schemas.openxmlformats.org/officeDocument/2006/relationships/hyperlink" Target="https://bulbapedia.bulbagarden.net/wiki/Sunkern_(EX_Unseen_Forces_76)" TargetMode="External"/><Relationship Id="rId97" Type="http://schemas.openxmlformats.org/officeDocument/2006/relationships/hyperlink" Target="https://bulbapedia.bulbagarden.net/wiki/Metal_Energy_(EX_Unseen_Forces_97)" TargetMode="External"/><Relationship Id="rId104" Type="http://schemas.openxmlformats.org/officeDocument/2006/relationships/hyperlink" Target="https://bulbapedia.bulbagarden.net/wiki/Ho-Oh_ex_(EX_Unseen_Forces_104)" TargetMode="External"/><Relationship Id="rId7" Type="http://schemas.openxmlformats.org/officeDocument/2006/relationships/hyperlink" Target="https://bulbapedia.bulbagarden.net/wiki/Houndoom_(EX_Unseen_Forces_7)" TargetMode="External"/><Relationship Id="rId71" Type="http://schemas.openxmlformats.org/officeDocument/2006/relationships/hyperlink" Target="https://bulbapedia.bulbagarden.net/wiki/Remoraid_(EX_Unseen_Forces_71)" TargetMode="External"/><Relationship Id="rId92" Type="http://schemas.openxmlformats.org/officeDocument/2006/relationships/hyperlink" Target="https://bulbapedia.bulbagarden.net/wiki/Solid_Rage_(EX_Unseen_Forces_92)" TargetMode="External"/><Relationship Id="rId2" Type="http://schemas.openxmlformats.org/officeDocument/2006/relationships/hyperlink" Target="https://bulbapedia.bulbagarden.net/wiki/Ariados_(EX_Unseen_Forces_2)" TargetMode="External"/><Relationship Id="rId29" Type="http://schemas.openxmlformats.org/officeDocument/2006/relationships/hyperlink" Target="https://bulbapedia.bulbagarden.net/wiki/Lugia_(EX_Unseen_Forces_29)" TargetMode="External"/><Relationship Id="rId24" Type="http://schemas.openxmlformats.org/officeDocument/2006/relationships/hyperlink" Target="https://bulbapedia.bulbagarden.net/wiki/Hitmonchan_(EX_Unseen_Forces_24)" TargetMode="External"/><Relationship Id="rId40" Type="http://schemas.openxmlformats.org/officeDocument/2006/relationships/hyperlink" Target="https://bulbapedia.bulbagarden.net/wiki/Lanturn_(EX_Unseen_Forces_40)" TargetMode="External"/><Relationship Id="rId45" Type="http://schemas.openxmlformats.org/officeDocument/2006/relationships/hyperlink" Target="https://bulbapedia.bulbagarden.net/wiki/Quilava_(EX_Unseen_Forces_45)" TargetMode="External"/><Relationship Id="rId66" Type="http://schemas.openxmlformats.org/officeDocument/2006/relationships/hyperlink" Target="https://bulbapedia.bulbagarden.net/wiki/Pineco_(EX_Unseen_Forces_66)" TargetMode="External"/><Relationship Id="rId87" Type="http://schemas.openxmlformats.org/officeDocument/2006/relationships/hyperlink" Target="https://bulbapedia.bulbagarden.net/wiki/Pok%C3%A9_Ball_(EX_Unseen_Forces_87)" TargetMode="External"/><Relationship Id="rId110" Type="http://schemas.openxmlformats.org/officeDocument/2006/relationships/hyperlink" Target="https://bulbapedia.bulbagarden.net/wiki/Typhlosion_ex_(EX_Unseen_Forces_110)" TargetMode="External"/><Relationship Id="rId61" Type="http://schemas.openxmlformats.org/officeDocument/2006/relationships/hyperlink" Target="https://bulbapedia.bulbagarden.net/wiki/Larvitar_(EX_Unseen_Forces_61)" TargetMode="External"/><Relationship Id="rId82" Type="http://schemas.openxmlformats.org/officeDocument/2006/relationships/hyperlink" Target="https://bulbapedia.bulbagarden.net/wiki/Energy_Removal_2_(EX_Unseen_Forces_82)" TargetMode="External"/><Relationship Id="rId19" Type="http://schemas.openxmlformats.org/officeDocument/2006/relationships/hyperlink" Target="https://bulbapedia.bulbagarden.net/wiki/Vaporeon_(EX_Unseen_Forces_19)" TargetMode="External"/><Relationship Id="rId14" Type="http://schemas.openxmlformats.org/officeDocument/2006/relationships/hyperlink" Target="https://bulbapedia.bulbagarden.net/wiki/Slowking_(EX_Unseen_Forces_14)" TargetMode="External"/><Relationship Id="rId30" Type="http://schemas.openxmlformats.org/officeDocument/2006/relationships/hyperlink" Target="https://bulbapedia.bulbagarden.net/wiki/Murkrow_(EX_Unseen_Forces_30)" TargetMode="External"/><Relationship Id="rId35" Type="http://schemas.openxmlformats.org/officeDocument/2006/relationships/hyperlink" Target="https://bulbapedia.bulbagarden.net/wiki/Bayleef_(EX_Unseen_Forces_35)" TargetMode="External"/><Relationship Id="rId56" Type="http://schemas.openxmlformats.org/officeDocument/2006/relationships/hyperlink" Target="https://bulbapedia.bulbagarden.net/wiki/Flaaffy_(EX_Unseen_Forces_56)" TargetMode="External"/><Relationship Id="rId77" Type="http://schemas.openxmlformats.org/officeDocument/2006/relationships/hyperlink" Target="https://bulbapedia.bulbagarden.net/wiki/Teddiursa_(EX_Unseen_Forces_77)" TargetMode="External"/><Relationship Id="rId100" Type="http://schemas.openxmlformats.org/officeDocument/2006/relationships/hyperlink" Target="https://bulbapedia.bulbagarden.net/wiki/Warp_Energy_(EX_Unseen_Forces_100)" TargetMode="External"/><Relationship Id="rId105" Type="http://schemas.openxmlformats.org/officeDocument/2006/relationships/hyperlink" Target="https://bulbapedia.bulbagarden.net/wiki/Lugia_ex_(EX_Unseen_Forces_105)" TargetMode="External"/><Relationship Id="rId8" Type="http://schemas.openxmlformats.org/officeDocument/2006/relationships/hyperlink" Target="https://bulbapedia.bulbagarden.net/wiki/Jolteon_(EX_Unseen_Forces_8)" TargetMode="External"/><Relationship Id="rId51" Type="http://schemas.openxmlformats.org/officeDocument/2006/relationships/hyperlink" Target="https://bulbapedia.bulbagarden.net/wiki/Chikorita_(EX_Unseen_Forces_51)" TargetMode="External"/><Relationship Id="rId72" Type="http://schemas.openxmlformats.org/officeDocument/2006/relationships/hyperlink" Target="https://bulbapedia.bulbagarden.net/wiki/Slowpoke_(EX_Unseen_Forces_72)" TargetMode="External"/><Relationship Id="rId93" Type="http://schemas.openxmlformats.org/officeDocument/2006/relationships/hyperlink" Target="https://bulbapedia.bulbagarden.net/wiki/Warp_Point_(EX_Unseen_Forces_93)" TargetMode="External"/><Relationship Id="rId98" Type="http://schemas.openxmlformats.org/officeDocument/2006/relationships/hyperlink" Target="https://bulbapedia.bulbagarden.net/wiki/Boost_Energy_(EX_Unseen_Forces_98)" TargetMode="External"/><Relationship Id="rId3" Type="http://schemas.openxmlformats.org/officeDocument/2006/relationships/hyperlink" Target="https://bulbapedia.bulbagarden.net/wiki/Bellossom_(EX_Unseen_Forces_3)" TargetMode="External"/><Relationship Id="rId25" Type="http://schemas.openxmlformats.org/officeDocument/2006/relationships/hyperlink" Target="https://bulbapedia.bulbagarden.net/wiki/Hitmonlee_(EX_Unseen_Forces_25)" TargetMode="External"/><Relationship Id="rId46" Type="http://schemas.openxmlformats.org/officeDocument/2006/relationships/hyperlink" Target="https://bulbapedia.bulbagarden.net/wiki/Scyther_(EX_Unseen_Forces_46)" TargetMode="External"/><Relationship Id="rId67" Type="http://schemas.openxmlformats.org/officeDocument/2006/relationships/hyperlink" Target="https://bulbapedia.bulbagarden.net/wiki/Poliwag_(EX_Unseen_Forces_67)" TargetMode="External"/><Relationship Id="rId20" Type="http://schemas.openxmlformats.org/officeDocument/2006/relationships/hyperlink" Target="https://bulbapedia.bulbagarden.net/wiki/Chansey_(EX_Unseen_Forces_20)" TargetMode="External"/><Relationship Id="rId41" Type="http://schemas.openxmlformats.org/officeDocument/2006/relationships/hyperlink" Target="https://bulbapedia.bulbagarden.net/wiki/Magcargo_(EX_Unseen_Forces_41)" TargetMode="External"/><Relationship Id="rId62" Type="http://schemas.openxmlformats.org/officeDocument/2006/relationships/hyperlink" Target="https://bulbapedia.bulbagarden.net/wiki/Mareep_(EX_Unseen_Forces_62)" TargetMode="External"/><Relationship Id="rId83" Type="http://schemas.openxmlformats.org/officeDocument/2006/relationships/hyperlink" Target="https://bulbapedia.bulbagarden.net/wiki/Energy_Root_(EX_Unseen_Forces_83)" TargetMode="External"/><Relationship Id="rId88" Type="http://schemas.openxmlformats.org/officeDocument/2006/relationships/hyperlink" Target="https://bulbapedia.bulbagarden.net/wiki/Pok%C3%A9mon_Reversal_(EX_Unseen_Forces_88)" TargetMode="External"/><Relationship Id="rId111" Type="http://schemas.openxmlformats.org/officeDocument/2006/relationships/hyperlink" Target="https://bulbapedia.bulbagarden.net/wiki/Tyranitar_ex_(EX_Unseen_Forces_11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bulbapedia.bulbagarden.net/wiki/Rain_Castform_(EX_Delta_Species_26)" TargetMode="External"/><Relationship Id="rId21" Type="http://schemas.openxmlformats.org/officeDocument/2006/relationships/hyperlink" Target="https://bulbapedia.bulbagarden.net/wiki/Holon%27s_Electrode_(EX_Delta_Species_21)" TargetMode="External"/><Relationship Id="rId42" Type="http://schemas.openxmlformats.org/officeDocument/2006/relationships/hyperlink" Target="https://bulbapedia.bulbagarden.net/wiki/Dragonair_%CE%B4_(EX_Delta_Species_42)" TargetMode="External"/><Relationship Id="rId47" Type="http://schemas.openxmlformats.org/officeDocument/2006/relationships/hyperlink" Target="https://bulbapedia.bulbagarden.net/wiki/Kirlia_(EX_Delta_Species_47)" TargetMode="External"/><Relationship Id="rId63" Type="http://schemas.openxmlformats.org/officeDocument/2006/relationships/hyperlink" Target="https://bulbapedia.bulbagarden.net/wiki/Ditto_(EX_Delta_Species_63)" TargetMode="External"/><Relationship Id="rId68" Type="http://schemas.openxmlformats.org/officeDocument/2006/relationships/hyperlink" Target="https://bulbapedia.bulbagarden.net/wiki/Eevee_%CE%B4_(EX_Delta_Species_68)" TargetMode="External"/><Relationship Id="rId84" Type="http://schemas.openxmlformats.org/officeDocument/2006/relationships/hyperlink" Target="https://bulbapedia.bulbagarden.net/wiki/Staryu_(EX_Delta_Species_84)" TargetMode="External"/><Relationship Id="rId89" Type="http://schemas.openxmlformats.org/officeDocument/2006/relationships/hyperlink" Target="https://bulbapedia.bulbagarden.net/wiki/Dual_Ball_(EX_Delta_Species_89)" TargetMode="External"/><Relationship Id="rId16" Type="http://schemas.openxmlformats.org/officeDocument/2006/relationships/hyperlink" Target="https://bulbapedia.bulbagarden.net/wiki/Tyranitar_%CE%B4_(EX_Delta_Species_16)" TargetMode="External"/><Relationship Id="rId107" Type="http://schemas.openxmlformats.org/officeDocument/2006/relationships/hyperlink" Target="https://bulbapedia.bulbagarden.net/wiki/Metal_Energy_(EX_Delta_Species_107)" TargetMode="External"/><Relationship Id="rId11" Type="http://schemas.openxmlformats.org/officeDocument/2006/relationships/hyperlink" Target="https://bulbapedia.bulbagarden.net/wiki/Metagross_%CE%B4_(EX_Delta_Species_11)" TargetMode="External"/><Relationship Id="rId32" Type="http://schemas.openxmlformats.org/officeDocument/2006/relationships/hyperlink" Target="https://bulbapedia.bulbagarden.net/wiki/Swellow_(EX_Delta_Species_32)" TargetMode="External"/><Relationship Id="rId37" Type="http://schemas.openxmlformats.org/officeDocument/2006/relationships/hyperlink" Target="https://bulbapedia.bulbagarden.net/wiki/Ditto_(EX_Delta_Species_37)" TargetMode="External"/><Relationship Id="rId53" Type="http://schemas.openxmlformats.org/officeDocument/2006/relationships/hyperlink" Target="https://bulbapedia.bulbagarden.net/wiki/Shelgon_%CE%B4_(EX_Delta_Species_53)" TargetMode="External"/><Relationship Id="rId58" Type="http://schemas.openxmlformats.org/officeDocument/2006/relationships/hyperlink" Target="https://bulbapedia.bulbagarden.net/wiki/Bagon_%CE%B4_(EX_Delta_Species_58)" TargetMode="External"/><Relationship Id="rId74" Type="http://schemas.openxmlformats.org/officeDocument/2006/relationships/hyperlink" Target="https://bulbapedia.bulbagarden.net/wiki/Magnemite_(EX_Delta_Species_74)" TargetMode="External"/><Relationship Id="rId79" Type="http://schemas.openxmlformats.org/officeDocument/2006/relationships/hyperlink" Target="https://bulbapedia.bulbagarden.net/wiki/Poochyena_(EX_Delta_Species_79)" TargetMode="External"/><Relationship Id="rId102" Type="http://schemas.openxmlformats.org/officeDocument/2006/relationships/hyperlink" Target="https://bulbapedia.bulbagarden.net/wiki/Switch_(EX_Delta_Species_102)" TargetMode="External"/><Relationship Id="rId5" Type="http://schemas.openxmlformats.org/officeDocument/2006/relationships/hyperlink" Target="https://bulbapedia.bulbagarden.net/wiki/Flareon_%CE%B4_(EX_Delta_Species_5)" TargetMode="External"/><Relationship Id="rId90" Type="http://schemas.openxmlformats.org/officeDocument/2006/relationships/hyperlink" Target="https://bulbapedia.bulbagarden.net/wiki/Great_Ball_(EX_Delta_Species_90)" TargetMode="External"/><Relationship Id="rId95" Type="http://schemas.openxmlformats.org/officeDocument/2006/relationships/hyperlink" Target="https://bulbapedia.bulbagarden.net/wiki/Holon_Researcher_(EX_Delta_Species_95)" TargetMode="External"/><Relationship Id="rId22" Type="http://schemas.openxmlformats.org/officeDocument/2006/relationships/hyperlink" Target="https://bulbapedia.bulbagarden.net/wiki/Holon%27s_Magneton_(EX_Delta_Species_22)" TargetMode="External"/><Relationship Id="rId27" Type="http://schemas.openxmlformats.org/officeDocument/2006/relationships/hyperlink" Target="https://bulbapedia.bulbagarden.net/wiki/Sandslash_%CE%B4_(EX_Delta_Species_27)" TargetMode="External"/><Relationship Id="rId43" Type="http://schemas.openxmlformats.org/officeDocument/2006/relationships/hyperlink" Target="https://bulbapedia.bulbagarden.net/wiki/Golbat_(EX_Delta_Species_43)" TargetMode="External"/><Relationship Id="rId48" Type="http://schemas.openxmlformats.org/officeDocument/2006/relationships/hyperlink" Target="https://bulbapedia.bulbagarden.net/wiki/Magneton_(EX_Delta_Species_48)" TargetMode="External"/><Relationship Id="rId64" Type="http://schemas.openxmlformats.org/officeDocument/2006/relationships/hyperlink" Target="https://bulbapedia.bulbagarden.net/wiki/Ditto_(EX_Delta_Species_64)" TargetMode="External"/><Relationship Id="rId69" Type="http://schemas.openxmlformats.org/officeDocument/2006/relationships/hyperlink" Target="https://bulbapedia.bulbagarden.net/wiki/Eevee_(EX_Delta_Species_69)" TargetMode="External"/><Relationship Id="rId80" Type="http://schemas.openxmlformats.org/officeDocument/2006/relationships/hyperlink" Target="https://bulbapedia.bulbagarden.net/wiki/Porygon_(EX_Delta_Species_80)" TargetMode="External"/><Relationship Id="rId85" Type="http://schemas.openxmlformats.org/officeDocument/2006/relationships/hyperlink" Target="https://bulbapedia.bulbagarden.net/wiki/Staryu_(EX_Delta_Species_85)" TargetMode="External"/><Relationship Id="rId12" Type="http://schemas.openxmlformats.org/officeDocument/2006/relationships/hyperlink" Target="https://bulbapedia.bulbagarden.net/wiki/Mewtwo_%CE%B4_(EX_Delta_Species_12)" TargetMode="External"/><Relationship Id="rId17" Type="http://schemas.openxmlformats.org/officeDocument/2006/relationships/hyperlink" Target="https://bulbapedia.bulbagarden.net/wiki/Umbreon_%CE%B4_(EX_Delta_Species_17)" TargetMode="External"/><Relationship Id="rId33" Type="http://schemas.openxmlformats.org/officeDocument/2006/relationships/hyperlink" Target="https://bulbapedia.bulbagarden.net/wiki/Weezing_(EX_Delta_Species_33)" TargetMode="External"/><Relationship Id="rId38" Type="http://schemas.openxmlformats.org/officeDocument/2006/relationships/hyperlink" Target="https://bulbapedia.bulbagarden.net/wiki/Ditto_(EX_Delta_Species_38)" TargetMode="External"/><Relationship Id="rId59" Type="http://schemas.openxmlformats.org/officeDocument/2006/relationships/hyperlink" Target="https://bulbapedia.bulbagarden.net/wiki/Beldum_%CE%B4_(EX_Delta_Species_59)" TargetMode="External"/><Relationship Id="rId103" Type="http://schemas.openxmlformats.org/officeDocument/2006/relationships/hyperlink" Target="https://bulbapedia.bulbagarden.net/wiki/Darkness_Energy_(EX_Delta_Species_103)" TargetMode="External"/><Relationship Id="rId108" Type="http://schemas.openxmlformats.org/officeDocument/2006/relationships/hyperlink" Target="https://bulbapedia.bulbagarden.net/wiki/Flareon_ex_(EX_Delta_Species_108)" TargetMode="External"/><Relationship Id="rId54" Type="http://schemas.openxmlformats.org/officeDocument/2006/relationships/hyperlink" Target="https://bulbapedia.bulbagarden.net/wiki/Shelgon_%CE%B4_(EX_Delta_Species_54)" TargetMode="External"/><Relationship Id="rId70" Type="http://schemas.openxmlformats.org/officeDocument/2006/relationships/hyperlink" Target="https://bulbapedia.bulbagarden.net/wiki/Holon%27s_Magnemite_(EX_Delta_Species_70)" TargetMode="External"/><Relationship Id="rId75" Type="http://schemas.openxmlformats.org/officeDocument/2006/relationships/hyperlink" Target="https://bulbapedia.bulbagarden.net/wiki/Makuhita_(EX_Delta_Species_75)" TargetMode="External"/><Relationship Id="rId91" Type="http://schemas.openxmlformats.org/officeDocument/2006/relationships/hyperlink" Target="https://bulbapedia.bulbagarden.net/wiki/Holon_Farmer_(EX_Delta_Species_91)" TargetMode="External"/><Relationship Id="rId96" Type="http://schemas.openxmlformats.org/officeDocument/2006/relationships/hyperlink" Target="https://bulbapedia.bulbagarden.net/wiki/Holon_Ruins_(EX_Delta_Species_96)" TargetMode="External"/><Relationship Id="rId1" Type="http://schemas.openxmlformats.org/officeDocument/2006/relationships/hyperlink" Target="https://bulbapedia.bulbagarden.net/wiki/Beedrill_%CE%B4_(EX_Delta_Species_1)" TargetMode="External"/><Relationship Id="rId6" Type="http://schemas.openxmlformats.org/officeDocument/2006/relationships/hyperlink" Target="https://bulbapedia.bulbagarden.net/wiki/Gardevoir_%CE%B4_(EX_Delta_Species_6)" TargetMode="External"/><Relationship Id="rId15" Type="http://schemas.openxmlformats.org/officeDocument/2006/relationships/hyperlink" Target="https://bulbapedia.bulbagarden.net/wiki/Starmie_%CE%B4_(EX_Delta_Species_15)" TargetMode="External"/><Relationship Id="rId23" Type="http://schemas.openxmlformats.org/officeDocument/2006/relationships/hyperlink" Target="https://bulbapedia.bulbagarden.net/wiki/Hypno_(EX_Delta_Species_23)" TargetMode="External"/><Relationship Id="rId28" Type="http://schemas.openxmlformats.org/officeDocument/2006/relationships/hyperlink" Target="https://bulbapedia.bulbagarden.net/wiki/Slowking_(EX_Delta_Species_28)" TargetMode="External"/><Relationship Id="rId36" Type="http://schemas.openxmlformats.org/officeDocument/2006/relationships/hyperlink" Target="https://bulbapedia.bulbagarden.net/wiki/Ditto_(EX_Delta_Species_36)" TargetMode="External"/><Relationship Id="rId49" Type="http://schemas.openxmlformats.org/officeDocument/2006/relationships/hyperlink" Target="https://bulbapedia.bulbagarden.net/wiki/Metang_%CE%B4_(EX_Delta_Species_49)" TargetMode="External"/><Relationship Id="rId57" Type="http://schemas.openxmlformats.org/officeDocument/2006/relationships/hyperlink" Target="https://bulbapedia.bulbagarden.net/wiki/Bagon_%CE%B4_(EX_Delta_Species_57)" TargetMode="External"/><Relationship Id="rId106" Type="http://schemas.openxmlformats.org/officeDocument/2006/relationships/hyperlink" Target="https://bulbapedia.bulbagarden.net/wiki/Holon_Energy_WP_(EX_Delta_Species_106)" TargetMode="External"/><Relationship Id="rId10" Type="http://schemas.openxmlformats.org/officeDocument/2006/relationships/hyperlink" Target="https://bulbapedia.bulbagarden.net/wiki/Marowak_%CE%B4_(EX_Delta_Species_10)" TargetMode="External"/><Relationship Id="rId31" Type="http://schemas.openxmlformats.org/officeDocument/2006/relationships/hyperlink" Target="https://bulbapedia.bulbagarden.net/wiki/Sunny_Castform_(EX_Delta_Species_31)" TargetMode="External"/><Relationship Id="rId44" Type="http://schemas.openxmlformats.org/officeDocument/2006/relationships/hyperlink" Target="https://bulbapedia.bulbagarden.net/wiki/Hariyama_(EX_Delta_Species_44)" TargetMode="External"/><Relationship Id="rId52" Type="http://schemas.openxmlformats.org/officeDocument/2006/relationships/hyperlink" Target="https://bulbapedia.bulbagarden.net/wiki/Rapidash_(EX_Delta_Species_52)" TargetMode="External"/><Relationship Id="rId60" Type="http://schemas.openxmlformats.org/officeDocument/2006/relationships/hyperlink" Target="https://bulbapedia.bulbagarden.net/wiki/Cubone_(EX_Delta_Species_60)" TargetMode="External"/><Relationship Id="rId65" Type="http://schemas.openxmlformats.org/officeDocument/2006/relationships/hyperlink" Target="https://bulbapedia.bulbagarden.net/wiki/Dratini_%CE%B4_(EX_Delta_Species_65)" TargetMode="External"/><Relationship Id="rId73" Type="http://schemas.openxmlformats.org/officeDocument/2006/relationships/hyperlink" Target="https://bulbapedia.bulbagarden.net/wiki/Larvitar_%CE%B4_(EX_Delta_Species_73)" TargetMode="External"/><Relationship Id="rId78" Type="http://schemas.openxmlformats.org/officeDocument/2006/relationships/hyperlink" Target="https://bulbapedia.bulbagarden.net/wiki/Ponyta_(EX_Delta_Species_78)" TargetMode="External"/><Relationship Id="rId81" Type="http://schemas.openxmlformats.org/officeDocument/2006/relationships/hyperlink" Target="https://bulbapedia.bulbagarden.net/wiki/Ralts_(EX_Delta_Species_81)" TargetMode="External"/><Relationship Id="rId86" Type="http://schemas.openxmlformats.org/officeDocument/2006/relationships/hyperlink" Target="https://bulbapedia.bulbagarden.net/wiki/Taillow_(EX_Delta_Species_86)" TargetMode="External"/><Relationship Id="rId94" Type="http://schemas.openxmlformats.org/officeDocument/2006/relationships/hyperlink" Target="https://bulbapedia.bulbagarden.net/wiki/Holon_Research_Tower_(EX_Delta_Species_94)" TargetMode="External"/><Relationship Id="rId99" Type="http://schemas.openxmlformats.org/officeDocument/2006/relationships/hyperlink" Target="https://bulbapedia.bulbagarden.net/wiki/Master_Ball_(EX_Delta_Species_99)" TargetMode="External"/><Relationship Id="rId101" Type="http://schemas.openxmlformats.org/officeDocument/2006/relationships/hyperlink" Target="https://bulbapedia.bulbagarden.net/wiki/Potion_(EX_Delta_Species_101)" TargetMode="External"/><Relationship Id="rId4" Type="http://schemas.openxmlformats.org/officeDocument/2006/relationships/hyperlink" Target="https://bulbapedia.bulbagarden.net/wiki/Espeon_%CE%B4_(EX_Delta_Species_4)" TargetMode="External"/><Relationship Id="rId9" Type="http://schemas.openxmlformats.org/officeDocument/2006/relationships/hyperlink" Target="https://bulbapedia.bulbagarden.net/wiki/Latios_%CE%B4_(EX_Delta_Species_9)" TargetMode="External"/><Relationship Id="rId13" Type="http://schemas.openxmlformats.org/officeDocument/2006/relationships/hyperlink" Target="https://bulbapedia.bulbagarden.net/wiki/Rayquaza_%CE%B4_(EX_Delta_Species_13)" TargetMode="External"/><Relationship Id="rId18" Type="http://schemas.openxmlformats.org/officeDocument/2006/relationships/hyperlink" Target="https://bulbapedia.bulbagarden.net/wiki/Vaporeon_%CE%B4_(EX_Delta_Species_18)" TargetMode="External"/><Relationship Id="rId39" Type="http://schemas.openxmlformats.org/officeDocument/2006/relationships/hyperlink" Target="https://bulbapedia.bulbagarden.net/wiki/Ditto_(EX_Delta_Species_39)" TargetMode="External"/><Relationship Id="rId109" Type="http://schemas.openxmlformats.org/officeDocument/2006/relationships/hyperlink" Target="https://bulbapedia.bulbagarden.net/wiki/Jolteon_ex_(EX_Delta_Species_109)" TargetMode="External"/><Relationship Id="rId34" Type="http://schemas.openxmlformats.org/officeDocument/2006/relationships/hyperlink" Target="https://bulbapedia.bulbagarden.net/wiki/Castform_(EX_Delta_Species_34)" TargetMode="External"/><Relationship Id="rId50" Type="http://schemas.openxmlformats.org/officeDocument/2006/relationships/hyperlink" Target="https://bulbapedia.bulbagarden.net/wiki/Persian_(EX_Delta_Species_50)" TargetMode="External"/><Relationship Id="rId55" Type="http://schemas.openxmlformats.org/officeDocument/2006/relationships/hyperlink" Target="https://bulbapedia.bulbagarden.net/wiki/Skarmory_(EX_Delta_Species_55)" TargetMode="External"/><Relationship Id="rId76" Type="http://schemas.openxmlformats.org/officeDocument/2006/relationships/hyperlink" Target="https://bulbapedia.bulbagarden.net/wiki/Marill_(EX_Delta_Species_76)" TargetMode="External"/><Relationship Id="rId97" Type="http://schemas.openxmlformats.org/officeDocument/2006/relationships/hyperlink" Target="https://bulbapedia.bulbagarden.net/wiki/Holon_Scientist_(EX_Delta_Species_97)" TargetMode="External"/><Relationship Id="rId104" Type="http://schemas.openxmlformats.org/officeDocument/2006/relationships/hyperlink" Target="https://bulbapedia.bulbagarden.net/wiki/Holon_Energy_FF_(EX_Delta_Species_104)" TargetMode="External"/><Relationship Id="rId7" Type="http://schemas.openxmlformats.org/officeDocument/2006/relationships/hyperlink" Target="https://bulbapedia.bulbagarden.net/wiki/Jolteon_%CE%B4_(EX_Delta_Species_7)" TargetMode="External"/><Relationship Id="rId71" Type="http://schemas.openxmlformats.org/officeDocument/2006/relationships/hyperlink" Target="https://bulbapedia.bulbagarden.net/wiki/Holon%27s_Voltorb_(EX_Delta_Species_71)" TargetMode="External"/><Relationship Id="rId92" Type="http://schemas.openxmlformats.org/officeDocument/2006/relationships/hyperlink" Target="https://bulbapedia.bulbagarden.net/wiki/Holon_Lass_(EX_Delta_Species_92)" TargetMode="External"/><Relationship Id="rId2" Type="http://schemas.openxmlformats.org/officeDocument/2006/relationships/hyperlink" Target="https://bulbapedia.bulbagarden.net/wiki/Crobat_%CE%B4_(EX_Delta_Species_2)" TargetMode="External"/><Relationship Id="rId29" Type="http://schemas.openxmlformats.org/officeDocument/2006/relationships/hyperlink" Target="https://bulbapedia.bulbagarden.net/wiki/Snow-cloud_Castform_(EX_Delta_Species_29)" TargetMode="External"/><Relationship Id="rId24" Type="http://schemas.openxmlformats.org/officeDocument/2006/relationships/hyperlink" Target="https://bulbapedia.bulbagarden.net/wiki/Mightyena_%CE%B4_(EX_Delta_Species_24)" TargetMode="External"/><Relationship Id="rId40" Type="http://schemas.openxmlformats.org/officeDocument/2006/relationships/hyperlink" Target="https://bulbapedia.bulbagarden.net/wiki/Ditto_(EX_Delta_Species_40)" TargetMode="External"/><Relationship Id="rId45" Type="http://schemas.openxmlformats.org/officeDocument/2006/relationships/hyperlink" Target="https://bulbapedia.bulbagarden.net/wiki/Illumise_(EX_Delta_Species_45)" TargetMode="External"/><Relationship Id="rId66" Type="http://schemas.openxmlformats.org/officeDocument/2006/relationships/hyperlink" Target="https://bulbapedia.bulbagarden.net/wiki/Dratini_%CE%B4_(EX_Delta_Species_66)" TargetMode="External"/><Relationship Id="rId87" Type="http://schemas.openxmlformats.org/officeDocument/2006/relationships/hyperlink" Target="https://bulbapedia.bulbagarden.net/wiki/Weedle_(EX_Delta_Species_87)" TargetMode="External"/><Relationship Id="rId110" Type="http://schemas.openxmlformats.org/officeDocument/2006/relationships/hyperlink" Target="https://bulbapedia.bulbagarden.net/wiki/Vaporeon_ex_(EX_Delta_Species_110)" TargetMode="External"/><Relationship Id="rId61" Type="http://schemas.openxmlformats.org/officeDocument/2006/relationships/hyperlink" Target="https://bulbapedia.bulbagarden.net/wiki/Ditto_(EX_Delta_Species_61)" TargetMode="External"/><Relationship Id="rId82" Type="http://schemas.openxmlformats.org/officeDocument/2006/relationships/hyperlink" Target="https://bulbapedia.bulbagarden.net/wiki/Sandshrew_(EX_Delta_Species_82)" TargetMode="External"/><Relationship Id="rId19" Type="http://schemas.openxmlformats.org/officeDocument/2006/relationships/hyperlink" Target="https://bulbapedia.bulbagarden.net/wiki/Azumarill_%CE%B4_(EX_Delta_Species_19)" TargetMode="External"/><Relationship Id="rId14" Type="http://schemas.openxmlformats.org/officeDocument/2006/relationships/hyperlink" Target="https://bulbapedia.bulbagarden.net/wiki/Salamence_%CE%B4_(EX_Delta_Species_14)" TargetMode="External"/><Relationship Id="rId30" Type="http://schemas.openxmlformats.org/officeDocument/2006/relationships/hyperlink" Target="https://bulbapedia.bulbagarden.net/wiki/Starmie_%CE%B4_(EX_Delta_Species_30)" TargetMode="External"/><Relationship Id="rId35" Type="http://schemas.openxmlformats.org/officeDocument/2006/relationships/hyperlink" Target="https://bulbapedia.bulbagarden.net/wiki/Ditto_(EX_Delta_Species_35)" TargetMode="External"/><Relationship Id="rId56" Type="http://schemas.openxmlformats.org/officeDocument/2006/relationships/hyperlink" Target="https://bulbapedia.bulbagarden.net/wiki/Volbeat_(EX_Delta_Species_56)" TargetMode="External"/><Relationship Id="rId77" Type="http://schemas.openxmlformats.org/officeDocument/2006/relationships/hyperlink" Target="https://bulbapedia.bulbagarden.net/wiki/Meowth_(EX_Delta_Species_77)" TargetMode="External"/><Relationship Id="rId100" Type="http://schemas.openxmlformats.org/officeDocument/2006/relationships/hyperlink" Target="https://bulbapedia.bulbagarden.net/wiki/Super_Scoop_Up_(EX_Delta_Species_100)" TargetMode="External"/><Relationship Id="rId105" Type="http://schemas.openxmlformats.org/officeDocument/2006/relationships/hyperlink" Target="https://bulbapedia.bulbagarden.net/wiki/Holon_Energy_GL_(EX_Delta_Species_105)" TargetMode="External"/><Relationship Id="rId8" Type="http://schemas.openxmlformats.org/officeDocument/2006/relationships/hyperlink" Target="https://bulbapedia.bulbagarden.net/wiki/Latias_%CE%B4_(EX_Delta_Species_8)" TargetMode="External"/><Relationship Id="rId51" Type="http://schemas.openxmlformats.org/officeDocument/2006/relationships/hyperlink" Target="https://bulbapedia.bulbagarden.net/wiki/Pupitar_%CE%B4_(EX_Delta_Species_51)" TargetMode="External"/><Relationship Id="rId72" Type="http://schemas.openxmlformats.org/officeDocument/2006/relationships/hyperlink" Target="https://bulbapedia.bulbagarden.net/wiki/Koffing_(EX_Delta_Species_72)" TargetMode="External"/><Relationship Id="rId93" Type="http://schemas.openxmlformats.org/officeDocument/2006/relationships/hyperlink" Target="https://bulbapedia.bulbagarden.net/wiki/Holon_Mentor_(EX_Delta_Species_93)" TargetMode="External"/><Relationship Id="rId98" Type="http://schemas.openxmlformats.org/officeDocument/2006/relationships/hyperlink" Target="https://bulbapedia.bulbagarden.net/wiki/Holon_Transceiver_(EX_Delta_Species_98)" TargetMode="External"/><Relationship Id="rId3" Type="http://schemas.openxmlformats.org/officeDocument/2006/relationships/hyperlink" Target="https://bulbapedia.bulbagarden.net/wiki/Dragonite_%CE%B4_(EX_Delta_Species_3)" TargetMode="External"/><Relationship Id="rId25" Type="http://schemas.openxmlformats.org/officeDocument/2006/relationships/hyperlink" Target="https://bulbapedia.bulbagarden.net/wiki/Porygon2_(EX_Delta_Species_25)" TargetMode="External"/><Relationship Id="rId46" Type="http://schemas.openxmlformats.org/officeDocument/2006/relationships/hyperlink" Target="https://bulbapedia.bulbagarden.net/wiki/Kakuna_(EX_Delta_Species_46)" TargetMode="External"/><Relationship Id="rId67" Type="http://schemas.openxmlformats.org/officeDocument/2006/relationships/hyperlink" Target="https://bulbapedia.bulbagarden.net/wiki/Drowzee_(EX_Delta_Species_67)" TargetMode="External"/><Relationship Id="rId20" Type="http://schemas.openxmlformats.org/officeDocument/2006/relationships/hyperlink" Target="https://bulbapedia.bulbagarden.net/wiki/Azurill_(EX_Delta_Species_20)" TargetMode="External"/><Relationship Id="rId41" Type="http://schemas.openxmlformats.org/officeDocument/2006/relationships/hyperlink" Target="https://bulbapedia.bulbagarden.net/wiki/Dragonair_%CE%B4_(EX_Delta_Species_41)" TargetMode="External"/><Relationship Id="rId62" Type="http://schemas.openxmlformats.org/officeDocument/2006/relationships/hyperlink" Target="https://bulbapedia.bulbagarden.net/wiki/Ditto_(EX_Delta_Species_62)" TargetMode="External"/><Relationship Id="rId83" Type="http://schemas.openxmlformats.org/officeDocument/2006/relationships/hyperlink" Target="https://bulbapedia.bulbagarden.net/wiki/Slowpoke_(EX_Delta_Species_83)" TargetMode="External"/><Relationship Id="rId88" Type="http://schemas.openxmlformats.org/officeDocument/2006/relationships/hyperlink" Target="https://bulbapedia.bulbagarden.net/wiki/Zubat_(EX_Delta_Species_88)" TargetMode="External"/><Relationship Id="rId111" Type="http://schemas.openxmlformats.org/officeDocument/2006/relationships/hyperlink" Target="https://bulbapedia.bulbagarden.net/wiki/Azumarill_(EX_Delta_Species_114)"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s://bulbapedia.bulbagarden.net/wiki/Spinda_(EX_Legend_Maker_26)" TargetMode="External"/><Relationship Id="rId21" Type="http://schemas.openxmlformats.org/officeDocument/2006/relationships/hyperlink" Target="https://bulbapedia.bulbagarden.net/wiki/Magmar_(EX_Legend_Maker_21)" TargetMode="External"/><Relationship Id="rId42" Type="http://schemas.openxmlformats.org/officeDocument/2006/relationships/hyperlink" Target="https://bulbapedia.bulbagarden.net/wiki/Roselia_(EX_Legend_Maker_42)" TargetMode="External"/><Relationship Id="rId47" Type="http://schemas.openxmlformats.org/officeDocument/2006/relationships/hyperlink" Target="https://bulbapedia.bulbagarden.net/wiki/Weepinbell_(EX_Legend_Maker_47)" TargetMode="External"/><Relationship Id="rId63" Type="http://schemas.openxmlformats.org/officeDocument/2006/relationships/hyperlink" Target="https://bulbapedia.bulbagarden.net/wiki/Shuppet_(EX_Legend_Maker_63)" TargetMode="External"/><Relationship Id="rId68" Type="http://schemas.openxmlformats.org/officeDocument/2006/relationships/hyperlink" Target="https://bulbapedia.bulbagarden.net/wiki/Voltorb_(EX_Legend_Maker_68)" TargetMode="External"/><Relationship Id="rId84" Type="http://schemas.openxmlformats.org/officeDocument/2006/relationships/hyperlink" Target="https://bulbapedia.bulbagarden.net/wiki/Armaldo_ex_(EX_Legend_Maker_84)" TargetMode="External"/><Relationship Id="rId89" Type="http://schemas.openxmlformats.org/officeDocument/2006/relationships/hyperlink" Target="https://bulbapedia.bulbagarden.net/wiki/Walrein_ex_(EX_Legend_Maker_89)" TargetMode="External"/><Relationship Id="rId16" Type="http://schemas.openxmlformats.org/officeDocument/2006/relationships/hyperlink" Target="https://bulbapedia.bulbagarden.net/wiki/Girafarig_(EX_Legend_Maker_16)" TargetMode="External"/><Relationship Id="rId11" Type="http://schemas.openxmlformats.org/officeDocument/2006/relationships/hyperlink" Target="https://bulbapedia.bulbagarden.net/wiki/Muk_(EX_Legend_Maker_11)" TargetMode="External"/><Relationship Id="rId32" Type="http://schemas.openxmlformats.org/officeDocument/2006/relationships/hyperlink" Target="https://bulbapedia.bulbagarden.net/wiki/Electrode_(EX_Legend_Maker_32)" TargetMode="External"/><Relationship Id="rId37" Type="http://schemas.openxmlformats.org/officeDocument/2006/relationships/hyperlink" Target="https://bulbapedia.bulbagarden.net/wiki/Kecleon_(EX_Legend_Maker_37)" TargetMode="External"/><Relationship Id="rId53" Type="http://schemas.openxmlformats.org/officeDocument/2006/relationships/hyperlink" Target="https://bulbapedia.bulbagarden.net/wiki/Geodude_(EX_Legend_Maker_53)" TargetMode="External"/><Relationship Id="rId58" Type="http://schemas.openxmlformats.org/officeDocument/2006/relationships/hyperlink" Target="https://bulbapedia.bulbagarden.net/wiki/Magby_(EX_Legend_Maker_58)" TargetMode="External"/><Relationship Id="rId74" Type="http://schemas.openxmlformats.org/officeDocument/2006/relationships/hyperlink" Target="https://bulbapedia.bulbagarden.net/wiki/Full_Flame_(EX_Legend_Maker_74)" TargetMode="External"/><Relationship Id="rId79" Type="http://schemas.openxmlformats.org/officeDocument/2006/relationships/hyperlink" Target="https://bulbapedia.bulbagarden.net/wiki/Mysterious_Fossil_(EX_Legend_Maker_79)" TargetMode="External"/><Relationship Id="rId5" Type="http://schemas.openxmlformats.org/officeDocument/2006/relationships/hyperlink" Target="https://bulbapedia.bulbagarden.net/wiki/Gengar_(EX_Legend_Maker_5)" TargetMode="External"/><Relationship Id="rId90" Type="http://schemas.openxmlformats.org/officeDocument/2006/relationships/hyperlink" Target="https://bulbapedia.bulbagarden.net/wiki/Pikachu_%CE%B4_(EX_Legend_Maker_93)" TargetMode="External"/><Relationship Id="rId14" Type="http://schemas.openxmlformats.org/officeDocument/2006/relationships/hyperlink" Target="https://bulbapedia.bulbagarden.net/wiki/Wailord_(EX_Legend_Maker_14)" TargetMode="External"/><Relationship Id="rId22" Type="http://schemas.openxmlformats.org/officeDocument/2006/relationships/hyperlink" Target="https://bulbapedia.bulbagarden.net/wiki/Magneton_(EX_Legend_Maker_22)" TargetMode="External"/><Relationship Id="rId27" Type="http://schemas.openxmlformats.org/officeDocument/2006/relationships/hyperlink" Target="https://bulbapedia.bulbagarden.net/wiki/Torkoal_(EX_Legend_Maker_27)" TargetMode="External"/><Relationship Id="rId30" Type="http://schemas.openxmlformats.org/officeDocument/2006/relationships/hyperlink" Target="https://bulbapedia.bulbagarden.net/wiki/Cascoon_(EX_Legend_Maker_30)" TargetMode="External"/><Relationship Id="rId35" Type="http://schemas.openxmlformats.org/officeDocument/2006/relationships/hyperlink" Target="https://bulbapedia.bulbagarden.net/wiki/Haunter_(EX_Legend_Maker_35)" TargetMode="External"/><Relationship Id="rId43" Type="http://schemas.openxmlformats.org/officeDocument/2006/relationships/hyperlink" Target="https://bulbapedia.bulbagarden.net/wiki/Sealeo_(EX_Legend_Maker_43)" TargetMode="External"/><Relationship Id="rId48" Type="http://schemas.openxmlformats.org/officeDocument/2006/relationships/hyperlink" Target="https://bulbapedia.bulbagarden.net/wiki/Aron_(EX_Legend_Maker_48)" TargetMode="External"/><Relationship Id="rId56" Type="http://schemas.openxmlformats.org/officeDocument/2006/relationships/hyperlink" Target="https://bulbapedia.bulbagarden.net/wiki/Lileep_(EX_Legend_Maker_56)" TargetMode="External"/><Relationship Id="rId64" Type="http://schemas.openxmlformats.org/officeDocument/2006/relationships/hyperlink" Target="https://bulbapedia.bulbagarden.net/wiki/Skitty_(EX_Legend_Maker_64)" TargetMode="External"/><Relationship Id="rId69" Type="http://schemas.openxmlformats.org/officeDocument/2006/relationships/hyperlink" Target="https://bulbapedia.bulbagarden.net/wiki/Wailmer_(EX_Legend_Maker_69)" TargetMode="External"/><Relationship Id="rId77" Type="http://schemas.openxmlformats.org/officeDocument/2006/relationships/hyperlink" Target="https://bulbapedia.bulbagarden.net/wiki/Strange_Cave_(EX_Legend_Maker_77)" TargetMode="External"/><Relationship Id="rId8" Type="http://schemas.openxmlformats.org/officeDocument/2006/relationships/hyperlink" Target="https://bulbapedia.bulbagarden.net/wiki/Lapras_(EX_Legend_Maker_8)" TargetMode="External"/><Relationship Id="rId51" Type="http://schemas.openxmlformats.org/officeDocument/2006/relationships/hyperlink" Target="https://bulbapedia.bulbagarden.net/wiki/Clamperl_(EX_Legend_Maker_51)" TargetMode="External"/><Relationship Id="rId72" Type="http://schemas.openxmlformats.org/officeDocument/2006/relationships/hyperlink" Target="https://bulbapedia.bulbagarden.net/wiki/Cursed_Stone_(EX_Legend_Maker_72)" TargetMode="External"/><Relationship Id="rId80" Type="http://schemas.openxmlformats.org/officeDocument/2006/relationships/hyperlink" Target="https://bulbapedia.bulbagarden.net/wiki/Root_Fossil_(EX_Legend_Maker_80)" TargetMode="External"/><Relationship Id="rId85" Type="http://schemas.openxmlformats.org/officeDocument/2006/relationships/hyperlink" Target="https://bulbapedia.bulbagarden.net/wiki/Banette_ex_(EX_Legend_Maker_85)" TargetMode="External"/><Relationship Id="rId3" Type="http://schemas.openxmlformats.org/officeDocument/2006/relationships/hyperlink" Target="https://bulbapedia.bulbagarden.net/wiki/Cradily_(EX_Legend_Maker_3)" TargetMode="External"/><Relationship Id="rId12" Type="http://schemas.openxmlformats.org/officeDocument/2006/relationships/hyperlink" Target="https://bulbapedia.bulbagarden.net/wiki/Shiftry_(EX_Legend_Maker_12)" TargetMode="External"/><Relationship Id="rId17" Type="http://schemas.openxmlformats.org/officeDocument/2006/relationships/hyperlink" Target="https://bulbapedia.bulbagarden.net/wiki/Gorebyss_(EX_Legend_Maker_17)" TargetMode="External"/><Relationship Id="rId25" Type="http://schemas.openxmlformats.org/officeDocument/2006/relationships/hyperlink" Target="https://bulbapedia.bulbagarden.net/wiki/Solrock_(EX_Legend_Maker_25)" TargetMode="External"/><Relationship Id="rId33" Type="http://schemas.openxmlformats.org/officeDocument/2006/relationships/hyperlink" Target="https://bulbapedia.bulbagarden.net/wiki/Furret_(EX_Legend_Maker_33)" TargetMode="External"/><Relationship Id="rId38" Type="http://schemas.openxmlformats.org/officeDocument/2006/relationships/hyperlink" Target="https://bulbapedia.bulbagarden.net/wiki/Lairon_(EX_Legend_Maker_38)" TargetMode="External"/><Relationship Id="rId46" Type="http://schemas.openxmlformats.org/officeDocument/2006/relationships/hyperlink" Target="https://bulbapedia.bulbagarden.net/wiki/Vibrava_(EX_Legend_Maker_46)" TargetMode="External"/><Relationship Id="rId59" Type="http://schemas.openxmlformats.org/officeDocument/2006/relationships/hyperlink" Target="https://bulbapedia.bulbagarden.net/wiki/Magnemite_(EX_Legend_Maker_59)" TargetMode="External"/><Relationship Id="rId67" Type="http://schemas.openxmlformats.org/officeDocument/2006/relationships/hyperlink" Target="https://bulbapedia.bulbagarden.net/wiki/Trapinch_(EX_Legend_Maker_67)" TargetMode="External"/><Relationship Id="rId20" Type="http://schemas.openxmlformats.org/officeDocument/2006/relationships/hyperlink" Target="https://bulbapedia.bulbagarden.net/wiki/Lunatone_(EX_Legend_Maker_20)" TargetMode="External"/><Relationship Id="rId41" Type="http://schemas.openxmlformats.org/officeDocument/2006/relationships/hyperlink" Target="https://bulbapedia.bulbagarden.net/wiki/Nuzleaf_(EX_Legend_Maker_41)" TargetMode="External"/><Relationship Id="rId54" Type="http://schemas.openxmlformats.org/officeDocument/2006/relationships/hyperlink" Target="https://bulbapedia.bulbagarden.net/wiki/Grimer_(EX_Legend_Maker_54)" TargetMode="External"/><Relationship Id="rId62" Type="http://schemas.openxmlformats.org/officeDocument/2006/relationships/hyperlink" Target="https://bulbapedia.bulbagarden.net/wiki/Sentret_(EX_Legend_Maker_62)" TargetMode="External"/><Relationship Id="rId70" Type="http://schemas.openxmlformats.org/officeDocument/2006/relationships/hyperlink" Target="https://bulbapedia.bulbagarden.net/wiki/Wurmple_(EX_Legend_Maker_70)" TargetMode="External"/><Relationship Id="rId75" Type="http://schemas.openxmlformats.org/officeDocument/2006/relationships/hyperlink" Target="https://bulbapedia.bulbagarden.net/wiki/Giant_Stump_(EX_Legend_Maker_75)" TargetMode="External"/><Relationship Id="rId83" Type="http://schemas.openxmlformats.org/officeDocument/2006/relationships/hyperlink" Target="https://bulbapedia.bulbagarden.net/wiki/Arcanine_ex_(EX_Legend_Maker_83)" TargetMode="External"/><Relationship Id="rId88" Type="http://schemas.openxmlformats.org/officeDocument/2006/relationships/hyperlink" Target="https://bulbapedia.bulbagarden.net/wiki/Mew_ex_(EX_Legend_Maker_88)" TargetMode="External"/><Relationship Id="rId1" Type="http://schemas.openxmlformats.org/officeDocument/2006/relationships/hyperlink" Target="https://bulbapedia.bulbagarden.net/wiki/Aerodactyl_(EX_Legend_Maker_1)" TargetMode="External"/><Relationship Id="rId6" Type="http://schemas.openxmlformats.org/officeDocument/2006/relationships/hyperlink" Target="https://bulbapedia.bulbagarden.net/wiki/Golem_(EX_Legend_Maker_6)" TargetMode="External"/><Relationship Id="rId15" Type="http://schemas.openxmlformats.org/officeDocument/2006/relationships/hyperlink" Target="https://bulbapedia.bulbagarden.net/wiki/Absol_(EX_Legend_Maker_15)" TargetMode="External"/><Relationship Id="rId23" Type="http://schemas.openxmlformats.org/officeDocument/2006/relationships/hyperlink" Target="https://bulbapedia.bulbagarden.net/wiki/Omastar_(EX_Legend_Maker_23)" TargetMode="External"/><Relationship Id="rId28" Type="http://schemas.openxmlformats.org/officeDocument/2006/relationships/hyperlink" Target="https://bulbapedia.bulbagarden.net/wiki/Wobbuffet_(EX_Legend_Maker_28)" TargetMode="External"/><Relationship Id="rId36" Type="http://schemas.openxmlformats.org/officeDocument/2006/relationships/hyperlink" Target="https://bulbapedia.bulbagarden.net/wiki/Kabuto_(EX_Legend_Maker_36)" TargetMode="External"/><Relationship Id="rId49" Type="http://schemas.openxmlformats.org/officeDocument/2006/relationships/hyperlink" Target="https://bulbapedia.bulbagarden.net/wiki/Bellsprout_(EX_Legend_Maker_49)" TargetMode="External"/><Relationship Id="rId57" Type="http://schemas.openxmlformats.org/officeDocument/2006/relationships/hyperlink" Target="https://bulbapedia.bulbagarden.net/wiki/Machop_(EX_Legend_Maker_57)" TargetMode="External"/><Relationship Id="rId10" Type="http://schemas.openxmlformats.org/officeDocument/2006/relationships/hyperlink" Target="https://bulbapedia.bulbagarden.net/wiki/Mew_(EX_Legend_Maker_10)" TargetMode="External"/><Relationship Id="rId31" Type="http://schemas.openxmlformats.org/officeDocument/2006/relationships/hyperlink" Target="https://bulbapedia.bulbagarden.net/wiki/Dunsparce_(EX_Legend_Maker_31)" TargetMode="External"/><Relationship Id="rId44" Type="http://schemas.openxmlformats.org/officeDocument/2006/relationships/hyperlink" Target="https://bulbapedia.bulbagarden.net/wiki/Tangela_(EX_Legend_Maker_44)" TargetMode="External"/><Relationship Id="rId52" Type="http://schemas.openxmlformats.org/officeDocument/2006/relationships/hyperlink" Target="https://bulbapedia.bulbagarden.net/wiki/Gastly_(EX_Legend_Maker_52)" TargetMode="External"/><Relationship Id="rId60" Type="http://schemas.openxmlformats.org/officeDocument/2006/relationships/hyperlink" Target="https://bulbapedia.bulbagarden.net/wiki/Omanyte_(EX_Legend_Maker_60)" TargetMode="External"/><Relationship Id="rId65" Type="http://schemas.openxmlformats.org/officeDocument/2006/relationships/hyperlink" Target="https://bulbapedia.bulbagarden.net/wiki/Spheal_(EX_Legend_Maker_65)" TargetMode="External"/><Relationship Id="rId73" Type="http://schemas.openxmlformats.org/officeDocument/2006/relationships/hyperlink" Target="https://bulbapedia.bulbagarden.net/wiki/Fieldworker_(EX_Legend_Maker_73)" TargetMode="External"/><Relationship Id="rId78" Type="http://schemas.openxmlformats.org/officeDocument/2006/relationships/hyperlink" Target="https://bulbapedia.bulbagarden.net/wiki/Claw_Fossil_(EX_Legend_Maker_78)" TargetMode="External"/><Relationship Id="rId81" Type="http://schemas.openxmlformats.org/officeDocument/2006/relationships/hyperlink" Target="https://bulbapedia.bulbagarden.net/wiki/Rainbow_Energy_(EX_Legend_Maker_81)" TargetMode="External"/><Relationship Id="rId86" Type="http://schemas.openxmlformats.org/officeDocument/2006/relationships/hyperlink" Target="https://bulbapedia.bulbagarden.net/wiki/Dustox_ex_(EX_Legend_Maker_86)" TargetMode="External"/><Relationship Id="rId4" Type="http://schemas.openxmlformats.org/officeDocument/2006/relationships/hyperlink" Target="https://bulbapedia.bulbagarden.net/wiki/Delcatty_(EX_Legend_Maker_4)" TargetMode="External"/><Relationship Id="rId9" Type="http://schemas.openxmlformats.org/officeDocument/2006/relationships/hyperlink" Target="https://bulbapedia.bulbagarden.net/wiki/Machamp_(EX_Legend_Maker_9)" TargetMode="External"/><Relationship Id="rId13" Type="http://schemas.openxmlformats.org/officeDocument/2006/relationships/hyperlink" Target="https://bulbapedia.bulbagarden.net/wiki/Victreebel_(EX_Legend_Maker_13)" TargetMode="External"/><Relationship Id="rId18" Type="http://schemas.openxmlformats.org/officeDocument/2006/relationships/hyperlink" Target="https://bulbapedia.bulbagarden.net/wiki/Huntail_(EX_Legend_Maker_18)" TargetMode="External"/><Relationship Id="rId39" Type="http://schemas.openxmlformats.org/officeDocument/2006/relationships/hyperlink" Target="https://bulbapedia.bulbagarden.net/wiki/Machoke_(EX_Legend_Maker_39)" TargetMode="External"/><Relationship Id="rId34" Type="http://schemas.openxmlformats.org/officeDocument/2006/relationships/hyperlink" Target="https://bulbapedia.bulbagarden.net/wiki/Graveler_(EX_Legend_Maker_34)" TargetMode="External"/><Relationship Id="rId50" Type="http://schemas.openxmlformats.org/officeDocument/2006/relationships/hyperlink" Target="https://bulbapedia.bulbagarden.net/wiki/Chinchou_(EX_Legend_Maker_50)" TargetMode="External"/><Relationship Id="rId55" Type="http://schemas.openxmlformats.org/officeDocument/2006/relationships/hyperlink" Target="https://bulbapedia.bulbagarden.net/wiki/Growlithe_(EX_Legend_Maker_55)" TargetMode="External"/><Relationship Id="rId76" Type="http://schemas.openxmlformats.org/officeDocument/2006/relationships/hyperlink" Target="https://bulbapedia.bulbagarden.net/wiki/Power_Tree_(EX_Legend_Maker_76)" TargetMode="External"/><Relationship Id="rId7" Type="http://schemas.openxmlformats.org/officeDocument/2006/relationships/hyperlink" Target="https://bulbapedia.bulbagarden.net/wiki/Kabutops_(EX_Legend_Maker_7)" TargetMode="External"/><Relationship Id="rId71" Type="http://schemas.openxmlformats.org/officeDocument/2006/relationships/hyperlink" Target="https://bulbapedia.bulbagarden.net/wiki/Wynaut_(EX_Legend_Maker_71)" TargetMode="External"/><Relationship Id="rId2" Type="http://schemas.openxmlformats.org/officeDocument/2006/relationships/hyperlink" Target="https://bulbapedia.bulbagarden.net/wiki/Aggron_(EX_Legend_Maker_2)" TargetMode="External"/><Relationship Id="rId29" Type="http://schemas.openxmlformats.org/officeDocument/2006/relationships/hyperlink" Target="https://bulbapedia.bulbagarden.net/wiki/Anorith_(EX_Legend_Maker_29)" TargetMode="External"/><Relationship Id="rId24" Type="http://schemas.openxmlformats.org/officeDocument/2006/relationships/hyperlink" Target="https://bulbapedia.bulbagarden.net/wiki/Pinsir_(EX_Legend_Maker_24)" TargetMode="External"/><Relationship Id="rId40" Type="http://schemas.openxmlformats.org/officeDocument/2006/relationships/hyperlink" Target="https://bulbapedia.bulbagarden.net/wiki/Misdreavus_(EX_Legend_Maker_40)" TargetMode="External"/><Relationship Id="rId45" Type="http://schemas.openxmlformats.org/officeDocument/2006/relationships/hyperlink" Target="https://bulbapedia.bulbagarden.net/wiki/Tentacruel_(EX_Legend_Maker_45)" TargetMode="External"/><Relationship Id="rId66" Type="http://schemas.openxmlformats.org/officeDocument/2006/relationships/hyperlink" Target="https://bulbapedia.bulbagarden.net/wiki/Tentacool_(EX_Legend_Maker_66)" TargetMode="External"/><Relationship Id="rId87" Type="http://schemas.openxmlformats.org/officeDocument/2006/relationships/hyperlink" Target="https://bulbapedia.bulbagarden.net/wiki/Flygon_ex_(EX_Legend_Maker_87)" TargetMode="External"/><Relationship Id="rId61" Type="http://schemas.openxmlformats.org/officeDocument/2006/relationships/hyperlink" Target="https://bulbapedia.bulbagarden.net/wiki/Seedot_(EX_Legend_Maker_61)" TargetMode="External"/><Relationship Id="rId82" Type="http://schemas.openxmlformats.org/officeDocument/2006/relationships/hyperlink" Target="https://bulbapedia.bulbagarden.net/wiki/React_Energy_(EX_Legend_Maker_82)" TargetMode="External"/><Relationship Id="rId19" Type="http://schemas.openxmlformats.org/officeDocument/2006/relationships/hyperlink" Target="https://bulbapedia.bulbagarden.net/wiki/Lanturn_(EX_Legend_Maker_19)"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bulbapedia.bulbagarden.net/wiki/Energy_Search_(EX_Ruby_%26_Sapphire_90)" TargetMode="External"/><Relationship Id="rId13" Type="http://schemas.openxmlformats.org/officeDocument/2006/relationships/hyperlink" Target="https://bulbapedia.bulbagarden.net/wiki/Charmeleon_(EX_FireRed_%26_LeafGreen_31)" TargetMode="External"/><Relationship Id="rId18" Type="http://schemas.openxmlformats.org/officeDocument/2006/relationships/hyperlink" Target="https://bulbapedia.bulbagarden.net/wiki/Celio%27s_Network_(EX_FireRed_%26_LeafGreen_88)" TargetMode="External"/><Relationship Id="rId3" Type="http://schemas.openxmlformats.org/officeDocument/2006/relationships/hyperlink" Target="https://bulbapedia.bulbagarden.net/wiki/Grumpig_(EX_Emerald_30)" TargetMode="External"/><Relationship Id="rId7" Type="http://schemas.openxmlformats.org/officeDocument/2006/relationships/hyperlink" Target="https://bulbapedia.bulbagarden.net/wiki/Spoink_(EX_Emerald_65)" TargetMode="External"/><Relationship Id="rId12" Type="http://schemas.openxmlformats.org/officeDocument/2006/relationships/hyperlink" Target="https://bulbapedia.bulbagarden.net/wiki/Charmander_(EX_FireRed_%26_LeafGreen_58)" TargetMode="External"/><Relationship Id="rId17" Type="http://schemas.openxmlformats.org/officeDocument/2006/relationships/hyperlink" Target="https://bulbapedia.bulbagarden.net/wiki/Vulpix_(EX_Emerald_72)" TargetMode="External"/><Relationship Id="rId2" Type="http://schemas.openxmlformats.org/officeDocument/2006/relationships/hyperlink" Target="https://bulbapedia.bulbagarden.net/wiki/Electrike_(EX_Deoxys_60)" TargetMode="External"/><Relationship Id="rId16" Type="http://schemas.openxmlformats.org/officeDocument/2006/relationships/hyperlink" Target="https://bulbapedia.bulbagarden.net/wiki/Minun_(Minun_Half_Deck_6)" TargetMode="External"/><Relationship Id="rId20" Type="http://schemas.openxmlformats.org/officeDocument/2006/relationships/hyperlink" Target="https://bulbapedia.bulbagarden.net/wiki/Potion_(EX_FireRed_%26_LeafGreen_101)" TargetMode="External"/><Relationship Id="rId1" Type="http://schemas.openxmlformats.org/officeDocument/2006/relationships/hyperlink" Target="https://bulbapedia.bulbagarden.net/wiki/Beldum_(EX_Hidden_Legends_54)" TargetMode="External"/><Relationship Id="rId6" Type="http://schemas.openxmlformats.org/officeDocument/2006/relationships/hyperlink" Target="https://bulbapedia.bulbagarden.net/wiki/Plusle_(Plusle_Half_Deck_6)" TargetMode="External"/><Relationship Id="rId11" Type="http://schemas.openxmlformats.org/officeDocument/2006/relationships/hyperlink" Target="https://bulbapedia.bulbagarden.net/wiki/Arcanine_(EX_FireRed_%26_LeafGreen_18)" TargetMode="External"/><Relationship Id="rId5" Type="http://schemas.openxmlformats.org/officeDocument/2006/relationships/hyperlink" Target="https://bulbapedia.bulbagarden.net/wiki/Metang_(EX_Deoxys_40)" TargetMode="External"/><Relationship Id="rId15" Type="http://schemas.openxmlformats.org/officeDocument/2006/relationships/hyperlink" Target="https://bulbapedia.bulbagarden.net/wiki/Mareep_(EX_Team_Rocket_Returns_67)" TargetMode="External"/><Relationship Id="rId10" Type="http://schemas.openxmlformats.org/officeDocument/2006/relationships/hyperlink" Target="https://bulbapedia.bulbagarden.net/wiki/Professor_Cozmo%27s_Discovery_(EX_Deoxys_90)" TargetMode="External"/><Relationship Id="rId19" Type="http://schemas.openxmlformats.org/officeDocument/2006/relationships/hyperlink" Target="https://bulbapedia.bulbagarden.net/wiki/Energy_Search_(EX_Ruby_%26_Sapphire_90)" TargetMode="External"/><Relationship Id="rId4" Type="http://schemas.openxmlformats.org/officeDocument/2006/relationships/hyperlink" Target="https://bulbapedia.bulbagarden.net/wiki/Meowth_(EX_FireRed_%26_LeafGreen_69)" TargetMode="External"/><Relationship Id="rId9" Type="http://schemas.openxmlformats.org/officeDocument/2006/relationships/hyperlink" Target="https://bulbapedia.bulbagarden.net/wiki/Potion_(EX_FireRed_%26_LeafGreen_101)" TargetMode="External"/><Relationship Id="rId14" Type="http://schemas.openxmlformats.org/officeDocument/2006/relationships/hyperlink" Target="https://bulbapedia.bulbagarden.net/wiki/Growlithe_(EX_FireRed_%26_LeafGreen_64)"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s://bulbapedia.bulbagarden.net/wiki/Rayquaza_%CE%B4_(EX_Holon_Phantoms_26)" TargetMode="External"/><Relationship Id="rId21" Type="http://schemas.openxmlformats.org/officeDocument/2006/relationships/hyperlink" Target="https://bulbapedia.bulbagarden.net/wiki/Latias_%CE%B4_(EX_Holon_Phantoms_21)" TargetMode="External"/><Relationship Id="rId42" Type="http://schemas.openxmlformats.org/officeDocument/2006/relationships/hyperlink" Target="https://bulbapedia.bulbagarden.net/wiki/Gloom_%CE%B4_(EX_Holon_Phantoms_42)" TargetMode="External"/><Relationship Id="rId47" Type="http://schemas.openxmlformats.org/officeDocument/2006/relationships/hyperlink" Target="https://bulbapedia.bulbagarden.net/wiki/Masquerain_(EX_Holon_Phantoms_47)" TargetMode="External"/><Relationship Id="rId63" Type="http://schemas.openxmlformats.org/officeDocument/2006/relationships/hyperlink" Target="https://bulbapedia.bulbagarden.net/wiki/Corphish_(EX_Holon_Phantoms_63)" TargetMode="External"/><Relationship Id="rId68" Type="http://schemas.openxmlformats.org/officeDocument/2006/relationships/hyperlink" Target="https://bulbapedia.bulbagarden.net/wiki/Lileep_%CE%B4_(EX_Holon_Phantoms_68)" TargetMode="External"/><Relationship Id="rId84" Type="http://schemas.openxmlformats.org/officeDocument/2006/relationships/hyperlink" Target="https://bulbapedia.bulbagarden.net/wiki/Trapinch_%CE%B4_(EX_Holon_Phantoms_84)" TargetMode="External"/><Relationship Id="rId89" Type="http://schemas.openxmlformats.org/officeDocument/2006/relationships/hyperlink" Target="https://bulbapedia.bulbagarden.net/wiki/Professor_Cozmo%27s_Discovery_(EX_Holon_Phantoms_89)" TargetMode="External"/><Relationship Id="rId16" Type="http://schemas.openxmlformats.org/officeDocument/2006/relationships/hyperlink" Target="https://bulbapedia.bulbagarden.net/wiki/Rayquaza_%CE%B4_(EX_Holon_Phantoms_16)" TargetMode="External"/><Relationship Id="rId11" Type="http://schemas.openxmlformats.org/officeDocument/2006/relationships/hyperlink" Target="https://bulbapedia.bulbagarden.net/wiki/Latias_%CE%B4_(EX_Holon_Phantoms_11)" TargetMode="External"/><Relationship Id="rId32" Type="http://schemas.openxmlformats.org/officeDocument/2006/relationships/hyperlink" Target="https://bulbapedia.bulbagarden.net/wiki/Seviper_(EX_Holon_Phantoms_32)" TargetMode="External"/><Relationship Id="rId37" Type="http://schemas.openxmlformats.org/officeDocument/2006/relationships/hyperlink" Target="https://bulbapedia.bulbagarden.net/wiki/Chimecho_%CE%B4_(EX_Holon_Phantoms_37)" TargetMode="External"/><Relationship Id="rId53" Type="http://schemas.openxmlformats.org/officeDocument/2006/relationships/hyperlink" Target="https://bulbapedia.bulbagarden.net/wiki/Sharpedo_%CE%B4_(EX_Holon_Phantoms_53)" TargetMode="External"/><Relationship Id="rId58" Type="http://schemas.openxmlformats.org/officeDocument/2006/relationships/hyperlink" Target="https://bulbapedia.bulbagarden.net/wiki/Aron_(EX_Holon_Phantoms_58)" TargetMode="External"/><Relationship Id="rId74" Type="http://schemas.openxmlformats.org/officeDocument/2006/relationships/hyperlink" Target="https://bulbapedia.bulbagarden.net/wiki/Omanyte_%CE%B4_(EX_Holon_Phantoms_74)" TargetMode="External"/><Relationship Id="rId79" Type="http://schemas.openxmlformats.org/officeDocument/2006/relationships/hyperlink" Target="https://bulbapedia.bulbagarden.net/wiki/Pikachu_%CE%B4_(EX_Holon_Phantoms_79)" TargetMode="External"/><Relationship Id="rId102" Type="http://schemas.openxmlformats.org/officeDocument/2006/relationships/hyperlink" Target="https://bulbapedia.bulbagarden.net/wiki/Mew_(EX_Holon_Phantoms_111)" TargetMode="External"/><Relationship Id="rId5" Type="http://schemas.openxmlformats.org/officeDocument/2006/relationships/hyperlink" Target="https://bulbapedia.bulbagarden.net/wiki/Deoxys_%CE%B4_(EX_Holon_Phantoms_5)" TargetMode="External"/><Relationship Id="rId90" Type="http://schemas.openxmlformats.org/officeDocument/2006/relationships/hyperlink" Target="https://bulbapedia.bulbagarden.net/wiki/Rare_Candy_(EX_Holon_Phantoms_90)" TargetMode="External"/><Relationship Id="rId95" Type="http://schemas.openxmlformats.org/officeDocument/2006/relationships/hyperlink" Target="https://bulbapedia.bulbagarden.net/wiki/Metal_Energy_(EX_Holon_Phantoms_95)" TargetMode="External"/><Relationship Id="rId22" Type="http://schemas.openxmlformats.org/officeDocument/2006/relationships/hyperlink" Target="https://bulbapedia.bulbagarden.net/wiki/Latios_%CE%B4_(EX_Holon_Phantoms_22)" TargetMode="External"/><Relationship Id="rId27" Type="http://schemas.openxmlformats.org/officeDocument/2006/relationships/hyperlink" Target="https://bulbapedia.bulbagarden.net/wiki/Regice_(EX_Holon_Phantoms_27)" TargetMode="External"/><Relationship Id="rId43" Type="http://schemas.openxmlformats.org/officeDocument/2006/relationships/hyperlink" Target="https://bulbapedia.bulbagarden.net/wiki/Golduck_%CE%B4_(EX_Holon_Phantoms_43)" TargetMode="External"/><Relationship Id="rId48" Type="http://schemas.openxmlformats.org/officeDocument/2006/relationships/hyperlink" Target="https://bulbapedia.bulbagarden.net/wiki/Persian_%CE%B4_(EX_Holon_Phantoms_48)" TargetMode="External"/><Relationship Id="rId64" Type="http://schemas.openxmlformats.org/officeDocument/2006/relationships/hyperlink" Target="https://bulbapedia.bulbagarden.net/wiki/Electrike_(EX_Holon_Phantoms_64)" TargetMode="External"/><Relationship Id="rId69" Type="http://schemas.openxmlformats.org/officeDocument/2006/relationships/hyperlink" Target="https://bulbapedia.bulbagarden.net/wiki/Magikarp_%CE%B4_(EX_Holon_Phantoms_69)" TargetMode="External"/><Relationship Id="rId80" Type="http://schemas.openxmlformats.org/officeDocument/2006/relationships/hyperlink" Target="https://bulbapedia.bulbagarden.net/wiki/Poochyena_(EX_Holon_Phantoms_80)" TargetMode="External"/><Relationship Id="rId85" Type="http://schemas.openxmlformats.org/officeDocument/2006/relationships/hyperlink" Target="https://bulbapedia.bulbagarden.net/wiki/Holon_Adventurer_(EX_Holon_Phantoms_85)" TargetMode="External"/><Relationship Id="rId12" Type="http://schemas.openxmlformats.org/officeDocument/2006/relationships/hyperlink" Target="https://bulbapedia.bulbagarden.net/wiki/Latios_%CE%B4_(EX_Holon_Phantoms_12)" TargetMode="External"/><Relationship Id="rId17" Type="http://schemas.openxmlformats.org/officeDocument/2006/relationships/hyperlink" Target="https://bulbapedia.bulbagarden.net/wiki/Vileplume_%CE%B4_(EX_Holon_Phantoms_17)" TargetMode="External"/><Relationship Id="rId25" Type="http://schemas.openxmlformats.org/officeDocument/2006/relationships/hyperlink" Target="https://bulbapedia.bulbagarden.net/wiki/Nosepass_(EX_Holon_Phantoms_25)" TargetMode="External"/><Relationship Id="rId33" Type="http://schemas.openxmlformats.org/officeDocument/2006/relationships/hyperlink" Target="https://bulbapedia.bulbagarden.net/wiki/Torkoal_(EX_Holon_Phantoms_33)" TargetMode="External"/><Relationship Id="rId38" Type="http://schemas.openxmlformats.org/officeDocument/2006/relationships/hyperlink" Target="https://bulbapedia.bulbagarden.net/wiki/Claydol_(EX_Holon_Phantoms_38)" TargetMode="External"/><Relationship Id="rId46" Type="http://schemas.openxmlformats.org/officeDocument/2006/relationships/hyperlink" Target="https://bulbapedia.bulbagarden.net/wiki/Manectric_(EX_Holon_Phantoms_46)" TargetMode="External"/><Relationship Id="rId59" Type="http://schemas.openxmlformats.org/officeDocument/2006/relationships/hyperlink" Target="https://bulbapedia.bulbagarden.net/wiki/Baltoy_(EX_Holon_Phantoms_59)" TargetMode="External"/><Relationship Id="rId67" Type="http://schemas.openxmlformats.org/officeDocument/2006/relationships/hyperlink" Target="https://bulbapedia.bulbagarden.net/wiki/Kabuto_%CE%B4_(EX_Holon_Phantoms_67)" TargetMode="External"/><Relationship Id="rId20" Type="http://schemas.openxmlformats.org/officeDocument/2006/relationships/hyperlink" Target="https://bulbapedia.bulbagarden.net/wiki/Blaziken_(EX_Holon_Phantoms_20)" TargetMode="External"/><Relationship Id="rId41" Type="http://schemas.openxmlformats.org/officeDocument/2006/relationships/hyperlink" Target="https://bulbapedia.bulbagarden.net/wiki/Exeggutor_%CE%B4_(EX_Holon_Phantoms_41)" TargetMode="External"/><Relationship Id="rId54" Type="http://schemas.openxmlformats.org/officeDocument/2006/relationships/hyperlink" Target="https://bulbapedia.bulbagarden.net/wiki/Vibrava_%CE%B4_(EX_Holon_Phantoms_54)" TargetMode="External"/><Relationship Id="rId62" Type="http://schemas.openxmlformats.org/officeDocument/2006/relationships/hyperlink" Target="https://bulbapedia.bulbagarden.net/wiki/Corphish_(EX_Holon_Phantoms_62)" TargetMode="External"/><Relationship Id="rId70" Type="http://schemas.openxmlformats.org/officeDocument/2006/relationships/hyperlink" Target="https://bulbapedia.bulbagarden.net/wiki/Mankey_%CE%B4_(EX_Holon_Phantoms_70)" TargetMode="External"/><Relationship Id="rId75" Type="http://schemas.openxmlformats.org/officeDocument/2006/relationships/hyperlink" Target="https://bulbapedia.bulbagarden.net/wiki/Phanpy_(EX_Holon_Phantoms_75)" TargetMode="External"/><Relationship Id="rId83" Type="http://schemas.openxmlformats.org/officeDocument/2006/relationships/hyperlink" Target="https://bulbapedia.bulbagarden.net/wiki/Torchic_(EX_Holon_Phantoms_83)" TargetMode="External"/><Relationship Id="rId88" Type="http://schemas.openxmlformats.org/officeDocument/2006/relationships/hyperlink" Target="https://bulbapedia.bulbagarden.net/wiki/Mr._Stone%27s_Project_(EX_Holon_Phantoms_88)" TargetMode="External"/><Relationship Id="rId91" Type="http://schemas.openxmlformats.org/officeDocument/2006/relationships/hyperlink" Target="https://bulbapedia.bulbagarden.net/wiki/Claw_Fossil_(EX_Holon_Phantoms_91)" TargetMode="External"/><Relationship Id="rId96" Type="http://schemas.openxmlformats.org/officeDocument/2006/relationships/hyperlink" Target="https://bulbapedia.bulbagarden.net/wiki/Multi_Energy_(EX_Holon_Phantoms_96)" TargetMode="External"/><Relationship Id="rId1" Type="http://schemas.openxmlformats.org/officeDocument/2006/relationships/hyperlink" Target="https://bulbapedia.bulbagarden.net/wiki/Armaldo_%CE%B4_(EX_Holon_Phantoms_1)" TargetMode="External"/><Relationship Id="rId6" Type="http://schemas.openxmlformats.org/officeDocument/2006/relationships/hyperlink" Target="https://bulbapedia.bulbagarden.net/wiki/Deoxys_%CE%B4_(EX_Holon_Phantoms_6)" TargetMode="External"/><Relationship Id="rId15" Type="http://schemas.openxmlformats.org/officeDocument/2006/relationships/hyperlink" Target="https://bulbapedia.bulbagarden.net/wiki/Raichu_%CE%B4_(EX_Holon_Phantoms_15)" TargetMode="External"/><Relationship Id="rId23" Type="http://schemas.openxmlformats.org/officeDocument/2006/relationships/hyperlink" Target="https://bulbapedia.bulbagarden.net/wiki/Mawile_(EX_Holon_Phantoms_23)" TargetMode="External"/><Relationship Id="rId28" Type="http://schemas.openxmlformats.org/officeDocument/2006/relationships/hyperlink" Target="https://bulbapedia.bulbagarden.net/wiki/Regirock_(EX_Holon_Phantoms_28)" TargetMode="External"/><Relationship Id="rId36" Type="http://schemas.openxmlformats.org/officeDocument/2006/relationships/hyperlink" Target="https://bulbapedia.bulbagarden.net/wiki/Camerupt_(EX_Holon_Phantoms_36)" TargetMode="External"/><Relationship Id="rId49" Type="http://schemas.openxmlformats.org/officeDocument/2006/relationships/hyperlink" Target="https://bulbapedia.bulbagarden.net/wiki/Pidgeotto_%CE%B4_(EX_Holon_Phantoms_49)" TargetMode="External"/><Relationship Id="rId57" Type="http://schemas.openxmlformats.org/officeDocument/2006/relationships/hyperlink" Target="https://bulbapedia.bulbagarden.net/wiki/Anorith_%CE%B4_(EX_Holon_Phantoms_57)" TargetMode="External"/><Relationship Id="rId10" Type="http://schemas.openxmlformats.org/officeDocument/2006/relationships/hyperlink" Target="https://bulbapedia.bulbagarden.net/wiki/Kingdra_%CE%B4_(EX_Holon_Phantoms_10)" TargetMode="External"/><Relationship Id="rId31" Type="http://schemas.openxmlformats.org/officeDocument/2006/relationships/hyperlink" Target="https://bulbapedia.bulbagarden.net/wiki/Sableye_(EX_Holon_Phantoms_31)" TargetMode="External"/><Relationship Id="rId44" Type="http://schemas.openxmlformats.org/officeDocument/2006/relationships/hyperlink" Target="https://bulbapedia.bulbagarden.net/wiki/Holon%27s_Castform_(EX_Holon_Phantoms_44)" TargetMode="External"/><Relationship Id="rId52" Type="http://schemas.openxmlformats.org/officeDocument/2006/relationships/hyperlink" Target="https://bulbapedia.bulbagarden.net/wiki/Seadra_%CE%B4_(EX_Holon_Phantoms_52)" TargetMode="External"/><Relationship Id="rId60" Type="http://schemas.openxmlformats.org/officeDocument/2006/relationships/hyperlink" Target="https://bulbapedia.bulbagarden.net/wiki/Barboach_(EX_Holon_Phantoms_60)" TargetMode="External"/><Relationship Id="rId65" Type="http://schemas.openxmlformats.org/officeDocument/2006/relationships/hyperlink" Target="https://bulbapedia.bulbagarden.net/wiki/Exeggcute_%CE%B4_(EX_Holon_Phantoms_65)" TargetMode="External"/><Relationship Id="rId73" Type="http://schemas.openxmlformats.org/officeDocument/2006/relationships/hyperlink" Target="https://bulbapedia.bulbagarden.net/wiki/Oddish_%CE%B4_(EX_Holon_Phantoms_73)" TargetMode="External"/><Relationship Id="rId78" Type="http://schemas.openxmlformats.org/officeDocument/2006/relationships/hyperlink" Target="https://bulbapedia.bulbagarden.net/wiki/Pikachu_(EX_Holon_Phantoms_78)" TargetMode="External"/><Relationship Id="rId81" Type="http://schemas.openxmlformats.org/officeDocument/2006/relationships/hyperlink" Target="https://bulbapedia.bulbagarden.net/wiki/Psyduck_%CE%B4_(EX_Holon_Phantoms_81)" TargetMode="External"/><Relationship Id="rId86" Type="http://schemas.openxmlformats.org/officeDocument/2006/relationships/hyperlink" Target="https://bulbapedia.bulbagarden.net/wiki/Holon_Fossil_(EX_Holon_Phantoms_86)" TargetMode="External"/><Relationship Id="rId94" Type="http://schemas.openxmlformats.org/officeDocument/2006/relationships/hyperlink" Target="https://bulbapedia.bulbagarden.net/wiki/Darkness_Energy_(EX_Holon_Phantoms_94)" TargetMode="External"/><Relationship Id="rId99" Type="http://schemas.openxmlformats.org/officeDocument/2006/relationships/hyperlink" Target="https://bulbapedia.bulbagarden.net/wiki/Crawdaunt_ex_(EX_Holon_Phantoms_99)" TargetMode="External"/><Relationship Id="rId101" Type="http://schemas.openxmlformats.org/officeDocument/2006/relationships/hyperlink" Target="https://bulbapedia.bulbagarden.net/wiki/Mightyena_ex_(EX_Holon_Phantoms_101)" TargetMode="External"/><Relationship Id="rId4" Type="http://schemas.openxmlformats.org/officeDocument/2006/relationships/hyperlink" Target="https://bulbapedia.bulbagarden.net/wiki/Deoxys_%CE%B4_(EX_Holon_Phantoms_4)" TargetMode="External"/><Relationship Id="rId9" Type="http://schemas.openxmlformats.org/officeDocument/2006/relationships/hyperlink" Target="https://bulbapedia.bulbagarden.net/wiki/Kabutops_%CE%B4_(EX_Holon_Phantoms_9)" TargetMode="External"/><Relationship Id="rId13" Type="http://schemas.openxmlformats.org/officeDocument/2006/relationships/hyperlink" Target="https://bulbapedia.bulbagarden.net/wiki/Omastar_%CE%B4_(EX_Holon_Phantoms_13)" TargetMode="External"/><Relationship Id="rId18" Type="http://schemas.openxmlformats.org/officeDocument/2006/relationships/hyperlink" Target="https://bulbapedia.bulbagarden.net/wiki/Absol_(EX_Holon_Phantoms_18)" TargetMode="External"/><Relationship Id="rId39" Type="http://schemas.openxmlformats.org/officeDocument/2006/relationships/hyperlink" Target="https://bulbapedia.bulbagarden.net/wiki/Combusken_(EX_Holon_Phantoms_39)" TargetMode="External"/><Relationship Id="rId34" Type="http://schemas.openxmlformats.org/officeDocument/2006/relationships/hyperlink" Target="https://bulbapedia.bulbagarden.net/wiki/Zangoose_(EX_Holon_Phantoms_34)" TargetMode="External"/><Relationship Id="rId50" Type="http://schemas.openxmlformats.org/officeDocument/2006/relationships/hyperlink" Target="https://bulbapedia.bulbagarden.net/wiki/Primeape_%CE%B4_(EX_Holon_Phantoms_50)" TargetMode="External"/><Relationship Id="rId55" Type="http://schemas.openxmlformats.org/officeDocument/2006/relationships/hyperlink" Target="https://bulbapedia.bulbagarden.net/wiki/Whiscash_(EX_Holon_Phantoms_55)" TargetMode="External"/><Relationship Id="rId76" Type="http://schemas.openxmlformats.org/officeDocument/2006/relationships/hyperlink" Target="https://bulbapedia.bulbagarden.net/wiki/Pichu_%CE%B4_(EX_Holon_Phantoms_76)" TargetMode="External"/><Relationship Id="rId97" Type="http://schemas.openxmlformats.org/officeDocument/2006/relationships/hyperlink" Target="https://bulbapedia.bulbagarden.net/wiki/Dark_Metal_Energy_(EX_Holon_Phantoms_97)" TargetMode="External"/><Relationship Id="rId7" Type="http://schemas.openxmlformats.org/officeDocument/2006/relationships/hyperlink" Target="https://bulbapedia.bulbagarden.net/wiki/Flygon_%CE%B4_(EX_Holon_Phantoms_7)" TargetMode="External"/><Relationship Id="rId71" Type="http://schemas.openxmlformats.org/officeDocument/2006/relationships/hyperlink" Target="https://bulbapedia.bulbagarden.net/wiki/Meowth_%CE%B4_(EX_Holon_Phantoms_71)" TargetMode="External"/><Relationship Id="rId92" Type="http://schemas.openxmlformats.org/officeDocument/2006/relationships/hyperlink" Target="https://bulbapedia.bulbagarden.net/wiki/Mysterious_Fossil_(EX_Holon_Phantoms_92)" TargetMode="External"/><Relationship Id="rId2" Type="http://schemas.openxmlformats.org/officeDocument/2006/relationships/hyperlink" Target="https://bulbapedia.bulbagarden.net/wiki/Cradily_%CE%B4_(EX_Holon_Phantoms_2)" TargetMode="External"/><Relationship Id="rId29" Type="http://schemas.openxmlformats.org/officeDocument/2006/relationships/hyperlink" Target="https://bulbapedia.bulbagarden.net/wiki/Registeel_(EX_Holon_Phantoms_29)" TargetMode="External"/><Relationship Id="rId24" Type="http://schemas.openxmlformats.org/officeDocument/2006/relationships/hyperlink" Target="https://bulbapedia.bulbagarden.net/wiki/Mewtwo_%CE%B4_(EX_Holon_Phantoms_24)" TargetMode="External"/><Relationship Id="rId40" Type="http://schemas.openxmlformats.org/officeDocument/2006/relationships/hyperlink" Target="https://bulbapedia.bulbagarden.net/wiki/Donphan_(EX_Holon_Phantoms_40)" TargetMode="External"/><Relationship Id="rId45" Type="http://schemas.openxmlformats.org/officeDocument/2006/relationships/hyperlink" Target="https://bulbapedia.bulbagarden.net/wiki/Lairon_(EX_Holon_Phantoms_45)" TargetMode="External"/><Relationship Id="rId66" Type="http://schemas.openxmlformats.org/officeDocument/2006/relationships/hyperlink" Target="https://bulbapedia.bulbagarden.net/wiki/Horsea_%CE%B4_(EX_Holon_Phantoms_66)" TargetMode="External"/><Relationship Id="rId87" Type="http://schemas.openxmlformats.org/officeDocument/2006/relationships/hyperlink" Target="https://bulbapedia.bulbagarden.net/wiki/Holon_Lake_(EX_Holon_Phantoms_87)" TargetMode="External"/><Relationship Id="rId61" Type="http://schemas.openxmlformats.org/officeDocument/2006/relationships/hyperlink" Target="https://bulbapedia.bulbagarden.net/wiki/Carvanha_%CE%B4_(EX_Holon_Phantoms_61)" TargetMode="External"/><Relationship Id="rId82" Type="http://schemas.openxmlformats.org/officeDocument/2006/relationships/hyperlink" Target="https://bulbapedia.bulbagarden.net/wiki/Surskit_(EX_Holon_Phantoms_82)" TargetMode="External"/><Relationship Id="rId19" Type="http://schemas.openxmlformats.org/officeDocument/2006/relationships/hyperlink" Target="https://bulbapedia.bulbagarden.net/wiki/Bellossom_%CE%B4_(EX_Holon_Phantoms_19)" TargetMode="External"/><Relationship Id="rId14" Type="http://schemas.openxmlformats.org/officeDocument/2006/relationships/hyperlink" Target="https://bulbapedia.bulbagarden.net/wiki/Pidgeot_%CE%B4_(EX_Holon_Phantoms_14)" TargetMode="External"/><Relationship Id="rId30" Type="http://schemas.openxmlformats.org/officeDocument/2006/relationships/hyperlink" Target="https://bulbapedia.bulbagarden.net/wiki/Relicanth_(EX_Holon_Phantoms_30)" TargetMode="External"/><Relationship Id="rId35" Type="http://schemas.openxmlformats.org/officeDocument/2006/relationships/hyperlink" Target="https://bulbapedia.bulbagarden.net/wiki/Aerodactyl_%CE%B4_(EX_Holon_Phantoms_35)" TargetMode="External"/><Relationship Id="rId56" Type="http://schemas.openxmlformats.org/officeDocument/2006/relationships/hyperlink" Target="https://bulbapedia.bulbagarden.net/wiki/Wobbuffet_(EX_Holon_Phantoms_56)" TargetMode="External"/><Relationship Id="rId77" Type="http://schemas.openxmlformats.org/officeDocument/2006/relationships/hyperlink" Target="https://bulbapedia.bulbagarden.net/wiki/Pidgey_%CE%B4_(EX_Holon_Phantoms_77)" TargetMode="External"/><Relationship Id="rId100" Type="http://schemas.openxmlformats.org/officeDocument/2006/relationships/hyperlink" Target="https://bulbapedia.bulbagarden.net/wiki/Mew_ex_(EX_Holon_Phantoms_100)" TargetMode="External"/><Relationship Id="rId8" Type="http://schemas.openxmlformats.org/officeDocument/2006/relationships/hyperlink" Target="https://bulbapedia.bulbagarden.net/wiki/Gyarados_%CE%B4_(EX_Holon_Phantoms_8)" TargetMode="External"/><Relationship Id="rId51" Type="http://schemas.openxmlformats.org/officeDocument/2006/relationships/hyperlink" Target="https://bulbapedia.bulbagarden.net/wiki/Raichu_(EX_Holon_Phantoms_51)" TargetMode="External"/><Relationship Id="rId72" Type="http://schemas.openxmlformats.org/officeDocument/2006/relationships/hyperlink" Target="https://bulbapedia.bulbagarden.net/wiki/Numel_(EX_Holon_Phantoms_72)" TargetMode="External"/><Relationship Id="rId93" Type="http://schemas.openxmlformats.org/officeDocument/2006/relationships/hyperlink" Target="https://bulbapedia.bulbagarden.net/wiki/Root_Fossil_(EX_Holon_Phantoms_93)" TargetMode="External"/><Relationship Id="rId98" Type="http://schemas.openxmlformats.org/officeDocument/2006/relationships/hyperlink" Target="https://bulbapedia.bulbagarden.net/wiki/%CE%94_Rainbow_Energy_(EX_Holon_Phantoms_98)" TargetMode="External"/><Relationship Id="rId3" Type="http://schemas.openxmlformats.org/officeDocument/2006/relationships/hyperlink" Target="https://bulbapedia.bulbagarden.net/wiki/Deoxys_%CE%B4_(EX_Holon_Phantoms_3)"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bulbapedia.bulbagarden.net/wiki/Pelipper_%CE%B4_(EX_Crystal_Guardians_26)" TargetMode="External"/><Relationship Id="rId21" Type="http://schemas.openxmlformats.org/officeDocument/2006/relationships/hyperlink" Target="https://bulbapedia.bulbagarden.net/wiki/Igglybuff_(EX_Crystal_Guardians_21)" TargetMode="External"/><Relationship Id="rId42" Type="http://schemas.openxmlformats.org/officeDocument/2006/relationships/hyperlink" Target="https://bulbapedia.bulbagarden.net/wiki/Wartortle_(EX_Crystal_Guardians_42)" TargetMode="External"/><Relationship Id="rId47" Type="http://schemas.openxmlformats.org/officeDocument/2006/relationships/hyperlink" Target="https://bulbapedia.bulbagarden.net/wiki/Cacnea_(EX_Crystal_Guardians_47)" TargetMode="External"/><Relationship Id="rId63" Type="http://schemas.openxmlformats.org/officeDocument/2006/relationships/hyperlink" Target="https://bulbapedia.bulbagarden.net/wiki/Squirtle_(EX_Crystal_Guardians_63)" TargetMode="External"/><Relationship Id="rId68" Type="http://schemas.openxmlformats.org/officeDocument/2006/relationships/hyperlink" Target="https://bulbapedia.bulbagarden.net/wiki/Treecko_%CE%B4_(EX_Crystal_Guardians_68)" TargetMode="External"/><Relationship Id="rId84" Type="http://schemas.openxmlformats.org/officeDocument/2006/relationships/hyperlink" Target="https://bulbapedia.bulbagarden.net/wiki/Warp_Point_(EX_Crystal_Guardians_84)" TargetMode="External"/><Relationship Id="rId89" Type="http://schemas.openxmlformats.org/officeDocument/2006/relationships/hyperlink" Target="https://bulbapedia.bulbagarden.net/wiki/Aggron_ex_(EX_Crystal_Guardians_89)" TargetMode="External"/><Relationship Id="rId16" Type="http://schemas.openxmlformats.org/officeDocument/2006/relationships/hyperlink" Target="https://bulbapedia.bulbagarden.net/wiki/Combusken_(EX_Crystal_Guardians_16)" TargetMode="External"/><Relationship Id="rId11" Type="http://schemas.openxmlformats.org/officeDocument/2006/relationships/hyperlink" Target="https://bulbapedia.bulbagarden.net/wiki/Swalot_(EX_Crystal_Guardians_11)" TargetMode="External"/><Relationship Id="rId32" Type="http://schemas.openxmlformats.org/officeDocument/2006/relationships/hyperlink" Target="https://bulbapedia.bulbagarden.net/wiki/Grovyle_(EX_Crystal_Guardians_32)" TargetMode="External"/><Relationship Id="rId37" Type="http://schemas.openxmlformats.org/officeDocument/2006/relationships/hyperlink" Target="https://bulbapedia.bulbagarden.net/wiki/Lombre_(EX_Crystal_Guardians_37)" TargetMode="External"/><Relationship Id="rId53" Type="http://schemas.openxmlformats.org/officeDocument/2006/relationships/hyperlink" Target="https://bulbapedia.bulbagarden.net/wiki/Jigglypuff_(EX_Crystal_Guardians_53)" TargetMode="External"/><Relationship Id="rId58" Type="http://schemas.openxmlformats.org/officeDocument/2006/relationships/hyperlink" Target="https://bulbapedia.bulbagarden.net/wiki/Mudkip_(EX_Crystal_Guardians_58)" TargetMode="External"/><Relationship Id="rId74" Type="http://schemas.openxmlformats.org/officeDocument/2006/relationships/hyperlink" Target="https://bulbapedia.bulbagarden.net/wiki/Cessation_Crystal_(EX_Crystal_Guardians_74)" TargetMode="External"/><Relationship Id="rId79" Type="http://schemas.openxmlformats.org/officeDocument/2006/relationships/hyperlink" Target="https://bulbapedia.bulbagarden.net/wiki/Holon_Circle_(EX_Crystal_Guardians_79)" TargetMode="External"/><Relationship Id="rId5" Type="http://schemas.openxmlformats.org/officeDocument/2006/relationships/hyperlink" Target="https://bulbapedia.bulbagarden.net/wiki/Dugtrio_(EX_Crystal_Guardians_5)" TargetMode="External"/><Relationship Id="rId90" Type="http://schemas.openxmlformats.org/officeDocument/2006/relationships/hyperlink" Target="https://bulbapedia.bulbagarden.net/wiki/Blaziken_ex_(EX_Crystal_Guardians_90)" TargetMode="External"/><Relationship Id="rId95" Type="http://schemas.openxmlformats.org/officeDocument/2006/relationships/hyperlink" Target="https://bulbapedia.bulbagarden.net/wiki/Kyogre_ex_(EX_Crystal_Guardians_95)" TargetMode="External"/><Relationship Id="rId22" Type="http://schemas.openxmlformats.org/officeDocument/2006/relationships/hyperlink" Target="https://bulbapedia.bulbagarden.net/wiki/Kingler_%CE%B4_(EX_Crystal_Guardians_22)" TargetMode="External"/><Relationship Id="rId27" Type="http://schemas.openxmlformats.org/officeDocument/2006/relationships/hyperlink" Target="https://bulbapedia.bulbagarden.net/wiki/Swampert_(EX_Crystal_Guardians_27)" TargetMode="External"/><Relationship Id="rId43" Type="http://schemas.openxmlformats.org/officeDocument/2006/relationships/hyperlink" Target="https://bulbapedia.bulbagarden.net/wiki/Wartortle_(EX_Crystal_Guardians_43)" TargetMode="External"/><Relationship Id="rId48" Type="http://schemas.openxmlformats.org/officeDocument/2006/relationships/hyperlink" Target="https://bulbapedia.bulbagarden.net/wiki/Charmander_(EX_Crystal_Guardians_48)" TargetMode="External"/><Relationship Id="rId64" Type="http://schemas.openxmlformats.org/officeDocument/2006/relationships/hyperlink" Target="https://bulbapedia.bulbagarden.net/wiki/Squirtle_(EX_Crystal_Guardians_64)" TargetMode="External"/><Relationship Id="rId69" Type="http://schemas.openxmlformats.org/officeDocument/2006/relationships/hyperlink" Target="https://bulbapedia.bulbagarden.net/wiki/Whismur_(EX_Crystal_Guardians_69)" TargetMode="External"/><Relationship Id="rId80" Type="http://schemas.openxmlformats.org/officeDocument/2006/relationships/hyperlink" Target="https://bulbapedia.bulbagarden.net/wiki/Memory_Berry_(EX_Crystal_Guardians_80)" TargetMode="External"/><Relationship Id="rId85" Type="http://schemas.openxmlformats.org/officeDocument/2006/relationships/hyperlink" Target="https://bulbapedia.bulbagarden.net/wiki/Windstorm_(EX_Crystal_Guardians_85)" TargetMode="External"/><Relationship Id="rId3" Type="http://schemas.openxmlformats.org/officeDocument/2006/relationships/hyperlink" Target="https://bulbapedia.bulbagarden.net/wiki/Camerupt_(EX_Crystal_Guardians_3)" TargetMode="External"/><Relationship Id="rId12" Type="http://schemas.openxmlformats.org/officeDocument/2006/relationships/hyperlink" Target="https://bulbapedia.bulbagarden.net/wiki/Tauros_(EX_Crystal_Guardians_12)" TargetMode="External"/><Relationship Id="rId17" Type="http://schemas.openxmlformats.org/officeDocument/2006/relationships/hyperlink" Target="https://bulbapedia.bulbagarden.net/wiki/Dusclops_(EX_Crystal_Guardians_17)" TargetMode="External"/><Relationship Id="rId25" Type="http://schemas.openxmlformats.org/officeDocument/2006/relationships/hyperlink" Target="https://bulbapedia.bulbagarden.net/wiki/Medicham_(EX_Crystal_Guardians_25)" TargetMode="External"/><Relationship Id="rId33" Type="http://schemas.openxmlformats.org/officeDocument/2006/relationships/hyperlink" Target="https://bulbapedia.bulbagarden.net/wiki/Gulpin_(EX_Crystal_Guardians_33)" TargetMode="External"/><Relationship Id="rId38" Type="http://schemas.openxmlformats.org/officeDocument/2006/relationships/hyperlink" Target="https://bulbapedia.bulbagarden.net/wiki/Marshtomp_(EX_Crystal_Guardians_38)" TargetMode="External"/><Relationship Id="rId46" Type="http://schemas.openxmlformats.org/officeDocument/2006/relationships/hyperlink" Target="https://bulbapedia.bulbagarden.net/wiki/Bulbasaur_(EX_Crystal_Guardians_46)" TargetMode="External"/><Relationship Id="rId59" Type="http://schemas.openxmlformats.org/officeDocument/2006/relationships/hyperlink" Target="https://bulbapedia.bulbagarden.net/wiki/Numel_(EX_Crystal_Guardians_59)" TargetMode="External"/><Relationship Id="rId67" Type="http://schemas.openxmlformats.org/officeDocument/2006/relationships/hyperlink" Target="https://bulbapedia.bulbagarden.net/wiki/Treecko_(EX_Crystal_Guardians_67)" TargetMode="External"/><Relationship Id="rId20" Type="http://schemas.openxmlformats.org/officeDocument/2006/relationships/hyperlink" Target="https://bulbapedia.bulbagarden.net/wiki/Grumpig_(EX_Crystal_Guardians_20)" TargetMode="External"/><Relationship Id="rId41" Type="http://schemas.openxmlformats.org/officeDocument/2006/relationships/hyperlink" Target="https://bulbapedia.bulbagarden.net/wiki/Skitty_(EX_Crystal_Guardians_41)" TargetMode="External"/><Relationship Id="rId54" Type="http://schemas.openxmlformats.org/officeDocument/2006/relationships/hyperlink" Target="https://bulbapedia.bulbagarden.net/wiki/Krabby_(EX_Crystal_Guardians_54)" TargetMode="External"/><Relationship Id="rId62" Type="http://schemas.openxmlformats.org/officeDocument/2006/relationships/hyperlink" Target="https://bulbapedia.bulbagarden.net/wiki/Spoink_(EX_Crystal_Guardians_62)" TargetMode="External"/><Relationship Id="rId70" Type="http://schemas.openxmlformats.org/officeDocument/2006/relationships/hyperlink" Target="https://bulbapedia.bulbagarden.net/wiki/Wingull_(EX_Crystal_Guardians_70)" TargetMode="External"/><Relationship Id="rId75" Type="http://schemas.openxmlformats.org/officeDocument/2006/relationships/hyperlink" Target="https://bulbapedia.bulbagarden.net/wiki/Crystal_Beach_(EX_Crystal_Guardians_75)" TargetMode="External"/><Relationship Id="rId83" Type="http://schemas.openxmlformats.org/officeDocument/2006/relationships/hyperlink" Target="https://bulbapedia.bulbagarden.net/wiki/Pok%C3%A9Nav_(EX_Crystal_Guardians_83)" TargetMode="External"/><Relationship Id="rId88" Type="http://schemas.openxmlformats.org/officeDocument/2006/relationships/hyperlink" Target="https://bulbapedia.bulbagarden.net/wiki/Double_Rainbow_Energy_(EX_Crystal_Guardians_88)" TargetMode="External"/><Relationship Id="rId91" Type="http://schemas.openxmlformats.org/officeDocument/2006/relationships/hyperlink" Target="https://bulbapedia.bulbagarden.net/wiki/Delcatty_ex_(EX_Crystal_Guardians_91)" TargetMode="External"/><Relationship Id="rId96" Type="http://schemas.openxmlformats.org/officeDocument/2006/relationships/hyperlink" Target="https://bulbapedia.bulbagarden.net/wiki/Sceptile_ex_%CE%B4_(EX_Crystal_Guardians_96)" TargetMode="External"/><Relationship Id="rId1" Type="http://schemas.openxmlformats.org/officeDocument/2006/relationships/hyperlink" Target="https://bulbapedia.bulbagarden.net/wiki/Banette_(EX_Crystal_Guardians_1)" TargetMode="External"/><Relationship Id="rId6" Type="http://schemas.openxmlformats.org/officeDocument/2006/relationships/hyperlink" Target="https://bulbapedia.bulbagarden.net/wiki/Ludicolo_%CE%B4_(EX_Crystal_Guardians_6)" TargetMode="External"/><Relationship Id="rId15" Type="http://schemas.openxmlformats.org/officeDocument/2006/relationships/hyperlink" Target="https://bulbapedia.bulbagarden.net/wiki/Cacturne_%CE%B4_(EX_Crystal_Guardians_15)" TargetMode="External"/><Relationship Id="rId23" Type="http://schemas.openxmlformats.org/officeDocument/2006/relationships/hyperlink" Target="https://bulbapedia.bulbagarden.net/wiki/Loudred_(EX_Crystal_Guardians_23)" TargetMode="External"/><Relationship Id="rId28" Type="http://schemas.openxmlformats.org/officeDocument/2006/relationships/hyperlink" Target="https://bulbapedia.bulbagarden.net/wiki/Venusaur_(EX_Crystal_Guardians_28)" TargetMode="External"/><Relationship Id="rId36" Type="http://schemas.openxmlformats.org/officeDocument/2006/relationships/hyperlink" Target="https://bulbapedia.bulbagarden.net/wiki/Lairon_(EX_Crystal_Guardians_36)" TargetMode="External"/><Relationship Id="rId49" Type="http://schemas.openxmlformats.org/officeDocument/2006/relationships/hyperlink" Target="https://bulbapedia.bulbagarden.net/wiki/Charmander_%CE%B4_(EX_Crystal_Guardians_49)" TargetMode="External"/><Relationship Id="rId57" Type="http://schemas.openxmlformats.org/officeDocument/2006/relationships/hyperlink" Target="https://bulbapedia.bulbagarden.net/wiki/Mudkip_(EX_Crystal_Guardians_57)" TargetMode="External"/><Relationship Id="rId10" Type="http://schemas.openxmlformats.org/officeDocument/2006/relationships/hyperlink" Target="https://bulbapedia.bulbagarden.net/wiki/Sableye_(EX_Crystal_Guardians_10)" TargetMode="External"/><Relationship Id="rId31" Type="http://schemas.openxmlformats.org/officeDocument/2006/relationships/hyperlink" Target="https://bulbapedia.bulbagarden.net/wiki/Combusken_(EX_Crystal_Guardians_31)" TargetMode="External"/><Relationship Id="rId44" Type="http://schemas.openxmlformats.org/officeDocument/2006/relationships/hyperlink" Target="https://bulbapedia.bulbagarden.net/wiki/Aron_(EX_Crystal_Guardians_44)" TargetMode="External"/><Relationship Id="rId52" Type="http://schemas.openxmlformats.org/officeDocument/2006/relationships/hyperlink" Target="https://bulbapedia.bulbagarden.net/wiki/Electrike_(EX_Crystal_Guardians_52)" TargetMode="External"/><Relationship Id="rId60" Type="http://schemas.openxmlformats.org/officeDocument/2006/relationships/hyperlink" Target="https://bulbapedia.bulbagarden.net/wiki/Seedot_(EX_Crystal_Guardians_60)" TargetMode="External"/><Relationship Id="rId65" Type="http://schemas.openxmlformats.org/officeDocument/2006/relationships/hyperlink" Target="https://bulbapedia.bulbagarden.net/wiki/Torchic_(EX_Crystal_Guardians_65)" TargetMode="External"/><Relationship Id="rId73" Type="http://schemas.openxmlformats.org/officeDocument/2006/relationships/hyperlink" Target="https://bulbapedia.bulbagarden.net/wiki/Celio%27s_Network_(EX_Crystal_Guardians_73)" TargetMode="External"/><Relationship Id="rId78" Type="http://schemas.openxmlformats.org/officeDocument/2006/relationships/hyperlink" Target="https://bulbapedia.bulbagarden.net/wiki/Dual_Ball_(EX_Crystal_Guardians_78)" TargetMode="External"/><Relationship Id="rId81" Type="http://schemas.openxmlformats.org/officeDocument/2006/relationships/hyperlink" Target="https://bulbapedia.bulbagarden.net/wiki/Mysterious_Shard_(EX_Crystal_Guardians_81)" TargetMode="External"/><Relationship Id="rId86" Type="http://schemas.openxmlformats.org/officeDocument/2006/relationships/hyperlink" Target="https://bulbapedia.bulbagarden.net/wiki/Energy_Search_(EX_Crystal_Guardians_86)" TargetMode="External"/><Relationship Id="rId94" Type="http://schemas.openxmlformats.org/officeDocument/2006/relationships/hyperlink" Target="https://bulbapedia.bulbagarden.net/wiki/Jirachi_ex_(EX_Crystal_Guardians_94)" TargetMode="External"/><Relationship Id="rId4" Type="http://schemas.openxmlformats.org/officeDocument/2006/relationships/hyperlink" Target="https://bulbapedia.bulbagarden.net/wiki/Charizard_%CE%B4_(EX_Crystal_Guardians_4)" TargetMode="External"/><Relationship Id="rId9" Type="http://schemas.openxmlformats.org/officeDocument/2006/relationships/hyperlink" Target="https://bulbapedia.bulbagarden.net/wiki/Mawile_(EX_Crystal_Guardians_9)" TargetMode="External"/><Relationship Id="rId13" Type="http://schemas.openxmlformats.org/officeDocument/2006/relationships/hyperlink" Target="https://bulbapedia.bulbagarden.net/wiki/Wigglytuff_(EX_Crystal_Guardians_13)" TargetMode="External"/><Relationship Id="rId18" Type="http://schemas.openxmlformats.org/officeDocument/2006/relationships/hyperlink" Target="https://bulbapedia.bulbagarden.net/wiki/Fearow_%CE%B4_(EX_Crystal_Guardians_18)" TargetMode="External"/><Relationship Id="rId39" Type="http://schemas.openxmlformats.org/officeDocument/2006/relationships/hyperlink" Target="https://bulbapedia.bulbagarden.net/wiki/Nuzleaf_(EX_Crystal_Guardians_39)" TargetMode="External"/><Relationship Id="rId34" Type="http://schemas.openxmlformats.org/officeDocument/2006/relationships/hyperlink" Target="https://bulbapedia.bulbagarden.net/wiki/Ivysaur_(EX_Crystal_Guardians_34)" TargetMode="External"/><Relationship Id="rId50" Type="http://schemas.openxmlformats.org/officeDocument/2006/relationships/hyperlink" Target="https://bulbapedia.bulbagarden.net/wiki/Diglett_(EX_Crystal_Guardians_50)" TargetMode="External"/><Relationship Id="rId55" Type="http://schemas.openxmlformats.org/officeDocument/2006/relationships/hyperlink" Target="https://bulbapedia.bulbagarden.net/wiki/Lotad_(EX_Crystal_Guardians_55)" TargetMode="External"/><Relationship Id="rId76" Type="http://schemas.openxmlformats.org/officeDocument/2006/relationships/hyperlink" Target="https://bulbapedia.bulbagarden.net/wiki/Crystal_Shard_(EX_Crystal_Guardians_76)" TargetMode="External"/><Relationship Id="rId97" Type="http://schemas.openxmlformats.org/officeDocument/2006/relationships/hyperlink" Target="https://bulbapedia.bulbagarden.net/wiki/Shiftry_ex_(EX_Crystal_Guardians_97)" TargetMode="External"/><Relationship Id="rId7" Type="http://schemas.openxmlformats.org/officeDocument/2006/relationships/hyperlink" Target="https://bulbapedia.bulbagarden.net/wiki/Luvdisc_(EX_Crystal_Guardians_7)" TargetMode="External"/><Relationship Id="rId71" Type="http://schemas.openxmlformats.org/officeDocument/2006/relationships/hyperlink" Target="https://bulbapedia.bulbagarden.net/wiki/Bill%27s_Maintenance_(EX_Crystal_Guardians_71)" TargetMode="External"/><Relationship Id="rId92" Type="http://schemas.openxmlformats.org/officeDocument/2006/relationships/hyperlink" Target="https://bulbapedia.bulbagarden.net/wiki/Exploud_ex_(EX_Crystal_Guardians_92)" TargetMode="External"/><Relationship Id="rId2" Type="http://schemas.openxmlformats.org/officeDocument/2006/relationships/hyperlink" Target="https://bulbapedia.bulbagarden.net/wiki/Blastoise_%CE%B4_(EX_Crystal_Guardians_2)" TargetMode="External"/><Relationship Id="rId29" Type="http://schemas.openxmlformats.org/officeDocument/2006/relationships/hyperlink" Target="https://bulbapedia.bulbagarden.net/wiki/Charmeleon_(EX_Crystal_Guardians_29)" TargetMode="External"/><Relationship Id="rId24" Type="http://schemas.openxmlformats.org/officeDocument/2006/relationships/hyperlink" Target="https://bulbapedia.bulbagarden.net/wiki/Marshtomp_(EX_Crystal_Guardians_24)" TargetMode="External"/><Relationship Id="rId40" Type="http://schemas.openxmlformats.org/officeDocument/2006/relationships/hyperlink" Target="https://bulbapedia.bulbagarden.net/wiki/Shuppet_(EX_Crystal_Guardians_40)" TargetMode="External"/><Relationship Id="rId45" Type="http://schemas.openxmlformats.org/officeDocument/2006/relationships/hyperlink" Target="https://bulbapedia.bulbagarden.net/wiki/Bulbasaur_(EX_Crystal_Guardians_45)" TargetMode="External"/><Relationship Id="rId66" Type="http://schemas.openxmlformats.org/officeDocument/2006/relationships/hyperlink" Target="https://bulbapedia.bulbagarden.net/wiki/Torchic_(EX_Crystal_Guardians_66)" TargetMode="External"/><Relationship Id="rId87" Type="http://schemas.openxmlformats.org/officeDocument/2006/relationships/hyperlink" Target="https://bulbapedia.bulbagarden.net/wiki/Potion_(EX_Crystal_Guardians_87)" TargetMode="External"/><Relationship Id="rId61" Type="http://schemas.openxmlformats.org/officeDocument/2006/relationships/hyperlink" Target="https://bulbapedia.bulbagarden.net/wiki/Spearow_(EX_Crystal_Guardians_61)" TargetMode="External"/><Relationship Id="rId82" Type="http://schemas.openxmlformats.org/officeDocument/2006/relationships/hyperlink" Target="https://bulbapedia.bulbagarden.net/wiki/Pok%C3%A9_Ball_(EX_Crystal_Guardians_82)" TargetMode="External"/><Relationship Id="rId19" Type="http://schemas.openxmlformats.org/officeDocument/2006/relationships/hyperlink" Target="https://bulbapedia.bulbagarden.net/wiki/Grovyle_%CE%B4_(EX_Crystal_Guardians_19)" TargetMode="External"/><Relationship Id="rId14" Type="http://schemas.openxmlformats.org/officeDocument/2006/relationships/hyperlink" Target="https://bulbapedia.bulbagarden.net/wiki/Blastoise_(EX_Crystal_Guardians_14)" TargetMode="External"/><Relationship Id="rId30" Type="http://schemas.openxmlformats.org/officeDocument/2006/relationships/hyperlink" Target="https://bulbapedia.bulbagarden.net/wiki/Charmeleon_%CE%B4_(EX_Crystal_Guardians_30)" TargetMode="External"/><Relationship Id="rId35" Type="http://schemas.openxmlformats.org/officeDocument/2006/relationships/hyperlink" Target="https://bulbapedia.bulbagarden.net/wiki/Ivysaur_(EX_Crystal_Guardians_35)" TargetMode="External"/><Relationship Id="rId56" Type="http://schemas.openxmlformats.org/officeDocument/2006/relationships/hyperlink" Target="https://bulbapedia.bulbagarden.net/wiki/Meditite_(EX_Crystal_Guardians_56)" TargetMode="External"/><Relationship Id="rId77" Type="http://schemas.openxmlformats.org/officeDocument/2006/relationships/hyperlink" Target="https://bulbapedia.bulbagarden.net/wiki/Double_Full_Heal_(EX_Crystal_Guardians_77)" TargetMode="External"/><Relationship Id="rId8" Type="http://schemas.openxmlformats.org/officeDocument/2006/relationships/hyperlink" Target="https://bulbapedia.bulbagarden.net/wiki/Manectric_(EX_Crystal_Guardians_8)" TargetMode="External"/><Relationship Id="rId51" Type="http://schemas.openxmlformats.org/officeDocument/2006/relationships/hyperlink" Target="https://bulbapedia.bulbagarden.net/wiki/Duskull_(EX_Crystal_Guardians_51)" TargetMode="External"/><Relationship Id="rId72" Type="http://schemas.openxmlformats.org/officeDocument/2006/relationships/hyperlink" Target="https://bulbapedia.bulbagarden.net/wiki/Castaway_(EX_Crystal_Guardians_72)" TargetMode="External"/><Relationship Id="rId93" Type="http://schemas.openxmlformats.org/officeDocument/2006/relationships/hyperlink" Target="https://bulbapedia.bulbagarden.net/wiki/Groudon_ex_(EX_Crystal_Guardians_93)" TargetMode="External"/><Relationship Id="rId98" Type="http://schemas.openxmlformats.org/officeDocument/2006/relationships/hyperlink" Target="https://bulbapedia.bulbagarden.net/wiki/Swampert_ex_(EX_Crystal_Guardians_98)"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bulbapedia.bulbagarden.net/wiki/Bayleef_%CE%B4_(EX_Dragon_Frontiers_26)" TargetMode="External"/><Relationship Id="rId21" Type="http://schemas.openxmlformats.org/officeDocument/2006/relationships/hyperlink" Target="https://bulbapedia.bulbagarden.net/wiki/Quagsire_%CE%B4_(EX_Dragon_Frontiers_21)" TargetMode="External"/><Relationship Id="rId42" Type="http://schemas.openxmlformats.org/officeDocument/2006/relationships/hyperlink" Target="https://bulbapedia.bulbagarden.net/wiki/Vibrava_%CE%B4_(EX_Dragon_Frontiers_42)" TargetMode="External"/><Relationship Id="rId47" Type="http://schemas.openxmlformats.org/officeDocument/2006/relationships/hyperlink" Target="https://bulbapedia.bulbagarden.net/wiki/Ekans_%CE%B4_(EX_Dragon_Frontiers_47)" TargetMode="External"/><Relationship Id="rId63" Type="http://schemas.openxmlformats.org/officeDocument/2006/relationships/hyperlink" Target="https://bulbapedia.bulbagarden.net/wiki/Shellder_%CE%B4_(EX_Dragon_Frontiers_63)" TargetMode="External"/><Relationship Id="rId68" Type="http://schemas.openxmlformats.org/officeDocument/2006/relationships/hyperlink" Target="https://bulbapedia.bulbagarden.net/wiki/Trapinch_%CE%B4_(EX_Dragon_Frontiers_68)" TargetMode="External"/><Relationship Id="rId84" Type="http://schemas.openxmlformats.org/officeDocument/2006/relationships/hyperlink" Target="https://bulbapedia.bulbagarden.net/wiki/Holon_Energy_FF_(EX_Dragon_Frontiers_84)" TargetMode="External"/><Relationship Id="rId89" Type="http://schemas.openxmlformats.org/officeDocument/2006/relationships/hyperlink" Target="https://bulbapedia.bulbagarden.net/wiki/Scramble_Energy_(EX_Dragon_Frontiers_89)" TargetMode="External"/><Relationship Id="rId16" Type="http://schemas.openxmlformats.org/officeDocument/2006/relationships/hyperlink" Target="https://bulbapedia.bulbagarden.net/wiki/Gligar_%CE%B4_(EX_Dragon_Frontiers_16)" TargetMode="External"/><Relationship Id="rId11" Type="http://schemas.openxmlformats.org/officeDocument/2006/relationships/hyperlink" Target="https://bulbapedia.bulbagarden.net/wiki/Togetic_%CE%B4_(EX_Dragon_Frontiers_11)" TargetMode="External"/><Relationship Id="rId32" Type="http://schemas.openxmlformats.org/officeDocument/2006/relationships/hyperlink" Target="https://bulbapedia.bulbagarden.net/wiki/Kirlia_(EX_Dragon_Frontiers_32)" TargetMode="External"/><Relationship Id="rId37" Type="http://schemas.openxmlformats.org/officeDocument/2006/relationships/hyperlink" Target="https://bulbapedia.bulbagarden.net/wiki/Seadra_%CE%B4_(EX_Dragon_Frontiers_37)" TargetMode="External"/><Relationship Id="rId53" Type="http://schemas.openxmlformats.org/officeDocument/2006/relationships/hyperlink" Target="https://bulbapedia.bulbagarden.net/wiki/Ledyba_%CE%B4_(EX_Dragon_Frontiers_53)" TargetMode="External"/><Relationship Id="rId58" Type="http://schemas.openxmlformats.org/officeDocument/2006/relationships/hyperlink" Target="https://bulbapedia.bulbagarden.net/wiki/Pupitar_(EX_Dragon_Frontiers_58)" TargetMode="External"/><Relationship Id="rId74" Type="http://schemas.openxmlformats.org/officeDocument/2006/relationships/hyperlink" Target="https://bulbapedia.bulbagarden.net/wiki/Holon_Legacy_(EX_Dragon_Frontiers_74)" TargetMode="External"/><Relationship Id="rId79" Type="http://schemas.openxmlformats.org/officeDocument/2006/relationships/hyperlink" Target="https://bulbapedia.bulbagarden.net/wiki/Professor_Elm%27s_Training_Method_(EX_Dragon_Frontiers_79)" TargetMode="External"/><Relationship Id="rId5" Type="http://schemas.openxmlformats.org/officeDocument/2006/relationships/hyperlink" Target="https://bulbapedia.bulbagarden.net/wiki/Milotic_%CE%B4_(EX_Dragon_Frontiers_5)" TargetMode="External"/><Relationship Id="rId90" Type="http://schemas.openxmlformats.org/officeDocument/2006/relationships/hyperlink" Target="https://bulbapedia.bulbagarden.net/wiki/Altaria_ex_%CE%B4_(EX_Dragon_Frontiers_90)" TargetMode="External"/><Relationship Id="rId95" Type="http://schemas.openxmlformats.org/officeDocument/2006/relationships/hyperlink" Target="https://bulbapedia.bulbagarden.net/wiki/Latias_ex_%CE%B4_(EX_Dragon_Frontiers_95)" TargetMode="External"/><Relationship Id="rId22" Type="http://schemas.openxmlformats.org/officeDocument/2006/relationships/hyperlink" Target="https://bulbapedia.bulbagarden.net/wiki/Seadra_%CE%B4_(EX_Dragon_Frontiers_22)" TargetMode="External"/><Relationship Id="rId27" Type="http://schemas.openxmlformats.org/officeDocument/2006/relationships/hyperlink" Target="https://bulbapedia.bulbagarden.net/wiki/Croconaw_%CE%B4_(EX_Dragon_Frontiers_27)" TargetMode="External"/><Relationship Id="rId43" Type="http://schemas.openxmlformats.org/officeDocument/2006/relationships/hyperlink" Target="https://bulbapedia.bulbagarden.net/wiki/Bagon_%CE%B4_(EX_Dragon_Frontiers_43)" TargetMode="External"/><Relationship Id="rId48" Type="http://schemas.openxmlformats.org/officeDocument/2006/relationships/hyperlink" Target="https://bulbapedia.bulbagarden.net/wiki/Elekid_%CE%B4_(EX_Dragon_Frontiers_48)" TargetMode="External"/><Relationship Id="rId64" Type="http://schemas.openxmlformats.org/officeDocument/2006/relationships/hyperlink" Target="https://bulbapedia.bulbagarden.net/wiki/Smoochum_%CE%B4_(EX_Dragon_Frontiers_64)" TargetMode="External"/><Relationship Id="rId69" Type="http://schemas.openxmlformats.org/officeDocument/2006/relationships/hyperlink" Target="https://bulbapedia.bulbagarden.net/wiki/Trapinch_%CE%B4_(EX_Dragon_Frontiers_69)" TargetMode="External"/><Relationship Id="rId80" Type="http://schemas.openxmlformats.org/officeDocument/2006/relationships/hyperlink" Target="https://bulbapedia.bulbagarden.net/wiki/Professor_Oak%27s_Research_(EX_Dragon_Frontiers_80)" TargetMode="External"/><Relationship Id="rId85" Type="http://schemas.openxmlformats.org/officeDocument/2006/relationships/hyperlink" Target="https://bulbapedia.bulbagarden.net/wiki/Holon_Energy_GL_(EX_Dragon_Frontiers_85)" TargetMode="External"/><Relationship Id="rId3" Type="http://schemas.openxmlformats.org/officeDocument/2006/relationships/hyperlink" Target="https://bulbapedia.bulbagarden.net/wiki/Heracross_%CE%B4_(EX_Dragon_Frontiers_3)" TargetMode="External"/><Relationship Id="rId12" Type="http://schemas.openxmlformats.org/officeDocument/2006/relationships/hyperlink" Target="https://bulbapedia.bulbagarden.net/wiki/Typhlosion_%CE%B4_(EX_Dragon_Frontiers_12)" TargetMode="External"/><Relationship Id="rId17" Type="http://schemas.openxmlformats.org/officeDocument/2006/relationships/hyperlink" Target="https://bulbapedia.bulbagarden.net/wiki/Jynx_%CE%B4_(EX_Dragon_Frontiers_17)" TargetMode="External"/><Relationship Id="rId25" Type="http://schemas.openxmlformats.org/officeDocument/2006/relationships/hyperlink" Target="https://bulbapedia.bulbagarden.net/wiki/Xatu_%CE%B4_(EX_Dragon_Frontiers_25)" TargetMode="External"/><Relationship Id="rId33" Type="http://schemas.openxmlformats.org/officeDocument/2006/relationships/hyperlink" Target="https://bulbapedia.bulbagarden.net/wiki/Kirlia_%CE%B4_(EX_Dragon_Frontiers_33)" TargetMode="External"/><Relationship Id="rId38" Type="http://schemas.openxmlformats.org/officeDocument/2006/relationships/hyperlink" Target="https://bulbapedia.bulbagarden.net/wiki/Shelgon_%CE%B4_(EX_Dragon_Frontiers_38)" TargetMode="External"/><Relationship Id="rId46" Type="http://schemas.openxmlformats.org/officeDocument/2006/relationships/hyperlink" Target="https://bulbapedia.bulbagarden.net/wiki/Dratini_%CE%B4_(EX_Dragon_Frontiers_46)" TargetMode="External"/><Relationship Id="rId59" Type="http://schemas.openxmlformats.org/officeDocument/2006/relationships/hyperlink" Target="https://bulbapedia.bulbagarden.net/wiki/Pupitar_%CE%B4_(EX_Dragon_Frontiers_59)" TargetMode="External"/><Relationship Id="rId67" Type="http://schemas.openxmlformats.org/officeDocument/2006/relationships/hyperlink" Target="https://bulbapedia.bulbagarden.net/wiki/Totodile_%CE%B4_(EX_Dragon_Frontiers_67)" TargetMode="External"/><Relationship Id="rId20" Type="http://schemas.openxmlformats.org/officeDocument/2006/relationships/hyperlink" Target="https://bulbapedia.bulbagarden.net/wiki/Mantine_%CE%B4_(EX_Dragon_Frontiers_20)" TargetMode="External"/><Relationship Id="rId41" Type="http://schemas.openxmlformats.org/officeDocument/2006/relationships/hyperlink" Target="https://bulbapedia.bulbagarden.net/wiki/Togepi_%CE%B4_(EX_Dragon_Frontiers_41)" TargetMode="External"/><Relationship Id="rId54" Type="http://schemas.openxmlformats.org/officeDocument/2006/relationships/hyperlink" Target="https://bulbapedia.bulbagarden.net/wiki/Mareep_%CE%B4_(EX_Dragon_Frontiers_54)" TargetMode="External"/><Relationship Id="rId62" Type="http://schemas.openxmlformats.org/officeDocument/2006/relationships/hyperlink" Target="https://bulbapedia.bulbagarden.net/wiki/Seel_%CE%B4_(EX_Dragon_Frontiers_62)" TargetMode="External"/><Relationship Id="rId70" Type="http://schemas.openxmlformats.org/officeDocument/2006/relationships/hyperlink" Target="https://bulbapedia.bulbagarden.net/wiki/Vulpix_%CE%B4_(EX_Dragon_Frontiers_70)" TargetMode="External"/><Relationship Id="rId75" Type="http://schemas.openxmlformats.org/officeDocument/2006/relationships/hyperlink" Target="https://bulbapedia.bulbagarden.net/wiki/Holon_Mentor_(EX_Dragon_Frontiers_75)" TargetMode="External"/><Relationship Id="rId83" Type="http://schemas.openxmlformats.org/officeDocument/2006/relationships/hyperlink" Target="https://bulbapedia.bulbagarden.net/wiki/Switch_(EX_Dragon_Frontiers_83)" TargetMode="External"/><Relationship Id="rId88" Type="http://schemas.openxmlformats.org/officeDocument/2006/relationships/hyperlink" Target="https://bulbapedia.bulbagarden.net/wiki/%CE%94_Rainbow_Energy_(EX_Dragon_Frontiers_88)" TargetMode="External"/><Relationship Id="rId91" Type="http://schemas.openxmlformats.org/officeDocument/2006/relationships/hyperlink" Target="https://bulbapedia.bulbagarden.net/wiki/Dragonite_ex_%CE%B4_(EX_Dragon_Frontiers_91)" TargetMode="External"/><Relationship Id="rId96" Type="http://schemas.openxmlformats.org/officeDocument/2006/relationships/hyperlink" Target="https://bulbapedia.bulbagarden.net/wiki/Latios_ex_%CE%B4_(EX_Dragon_Frontiers_96)" TargetMode="External"/><Relationship Id="rId1" Type="http://schemas.openxmlformats.org/officeDocument/2006/relationships/hyperlink" Target="https://bulbapedia.bulbagarden.net/wiki/Ampharos_%CE%B4_(EX_Dragon_Frontiers_1)" TargetMode="External"/><Relationship Id="rId6" Type="http://schemas.openxmlformats.org/officeDocument/2006/relationships/hyperlink" Target="https://bulbapedia.bulbagarden.net/wiki/Nidoking_%CE%B4_(EX_Dragon_Frontiers_6)" TargetMode="External"/><Relationship Id="rId15" Type="http://schemas.openxmlformats.org/officeDocument/2006/relationships/hyperlink" Target="https://bulbapedia.bulbagarden.net/wiki/Dewgong_%CE%B4_(EX_Dragon_Frontiers_15)" TargetMode="External"/><Relationship Id="rId23" Type="http://schemas.openxmlformats.org/officeDocument/2006/relationships/hyperlink" Target="https://bulbapedia.bulbagarden.net/wiki/Tropius_%CE%B4_(EX_Dragon_Frontiers_23)" TargetMode="External"/><Relationship Id="rId28" Type="http://schemas.openxmlformats.org/officeDocument/2006/relationships/hyperlink" Target="https://bulbapedia.bulbagarden.net/wiki/Dragonair_%CE%B4_(EX_Dragon_Frontiers_28)" TargetMode="External"/><Relationship Id="rId36" Type="http://schemas.openxmlformats.org/officeDocument/2006/relationships/hyperlink" Target="https://bulbapedia.bulbagarden.net/wiki/Quilava_%CE%B4_(EX_Dragon_Frontiers_36)" TargetMode="External"/><Relationship Id="rId49" Type="http://schemas.openxmlformats.org/officeDocument/2006/relationships/hyperlink" Target="https://bulbapedia.bulbagarden.net/wiki/Feebas_%CE%B4_(EX_Dragon_Frontiers_49)" TargetMode="External"/><Relationship Id="rId57" Type="http://schemas.openxmlformats.org/officeDocument/2006/relationships/hyperlink" Target="https://bulbapedia.bulbagarden.net/wiki/Nidoran%E2%99%82_%CE%B4_(EX_Dragon_Frontiers_57)" TargetMode="External"/><Relationship Id="rId10" Type="http://schemas.openxmlformats.org/officeDocument/2006/relationships/hyperlink" Target="https://bulbapedia.bulbagarden.net/wiki/Snorlax_%CE%B4_(EX_Dragon_Frontiers_10)" TargetMode="External"/><Relationship Id="rId31" Type="http://schemas.openxmlformats.org/officeDocument/2006/relationships/hyperlink" Target="https://bulbapedia.bulbagarden.net/wiki/Horsea_%CE%B4_(EX_Dragon_Frontiers_31)" TargetMode="External"/><Relationship Id="rId44" Type="http://schemas.openxmlformats.org/officeDocument/2006/relationships/hyperlink" Target="https://bulbapedia.bulbagarden.net/wiki/Chikorita_%CE%B4_(EX_Dragon_Frontiers_44)" TargetMode="External"/><Relationship Id="rId52" Type="http://schemas.openxmlformats.org/officeDocument/2006/relationships/hyperlink" Target="https://bulbapedia.bulbagarden.net/wiki/Larvitar_%CE%B4_(EX_Dragon_Frontiers_52)" TargetMode="External"/><Relationship Id="rId60" Type="http://schemas.openxmlformats.org/officeDocument/2006/relationships/hyperlink" Target="https://bulbapedia.bulbagarden.net/wiki/Ralts_(EX_Dragon_Frontiers_60)" TargetMode="External"/><Relationship Id="rId65" Type="http://schemas.openxmlformats.org/officeDocument/2006/relationships/hyperlink" Target="https://bulbapedia.bulbagarden.net/wiki/Swablu_%CE%B4_(EX_Dragon_Frontiers_65)" TargetMode="External"/><Relationship Id="rId73" Type="http://schemas.openxmlformats.org/officeDocument/2006/relationships/hyperlink" Target="https://bulbapedia.bulbagarden.net/wiki/Copycat_(EX_Dragon_Frontiers_73)" TargetMode="External"/><Relationship Id="rId78" Type="http://schemas.openxmlformats.org/officeDocument/2006/relationships/hyperlink" Target="https://bulbapedia.bulbagarden.net/wiki/Old_Rod_(EX_Dragon_Frontiers_78)" TargetMode="External"/><Relationship Id="rId81" Type="http://schemas.openxmlformats.org/officeDocument/2006/relationships/hyperlink" Target="https://bulbapedia.bulbagarden.net/wiki/Strength_Charm_(EX_Dragon_Frontiers_81)" TargetMode="External"/><Relationship Id="rId86" Type="http://schemas.openxmlformats.org/officeDocument/2006/relationships/hyperlink" Target="https://bulbapedia.bulbagarden.net/wiki/Holon_Energy_WP_(EX_Dragon_Frontiers_86)" TargetMode="External"/><Relationship Id="rId94" Type="http://schemas.openxmlformats.org/officeDocument/2006/relationships/hyperlink" Target="https://bulbapedia.bulbagarden.net/wiki/Kingdra_ex_%CE%B4_(EX_Dragon_Frontiers_94)" TargetMode="External"/><Relationship Id="rId99" Type="http://schemas.openxmlformats.org/officeDocument/2006/relationships/hyperlink" Target="https://bulbapedia.bulbagarden.net/wiki/Tyranitar_ex_%CE%B4_(EX_Dragon_Frontiers_99)" TargetMode="External"/><Relationship Id="rId4" Type="http://schemas.openxmlformats.org/officeDocument/2006/relationships/hyperlink" Target="https://bulbapedia.bulbagarden.net/wiki/Meganium_%CE%B4_(EX_Dragon_Frontiers_4)" TargetMode="External"/><Relationship Id="rId9" Type="http://schemas.openxmlformats.org/officeDocument/2006/relationships/hyperlink" Target="https://bulbapedia.bulbagarden.net/wiki/Pinsir_%CE%B4_(EX_Dragon_Frontiers_9)" TargetMode="External"/><Relationship Id="rId13" Type="http://schemas.openxmlformats.org/officeDocument/2006/relationships/hyperlink" Target="https://bulbapedia.bulbagarden.net/wiki/Arbok_%CE%B4_(EX_Dragon_Frontiers_13)" TargetMode="External"/><Relationship Id="rId18" Type="http://schemas.openxmlformats.org/officeDocument/2006/relationships/hyperlink" Target="https://bulbapedia.bulbagarden.net/wiki/Ledian_%CE%B4_(EX_Dragon_Frontiers_18)" TargetMode="External"/><Relationship Id="rId39" Type="http://schemas.openxmlformats.org/officeDocument/2006/relationships/hyperlink" Target="https://bulbapedia.bulbagarden.net/wiki/Smeargle_%CE%B4_(EX_Dragon_Frontiers_39)" TargetMode="External"/><Relationship Id="rId34" Type="http://schemas.openxmlformats.org/officeDocument/2006/relationships/hyperlink" Target="https://bulbapedia.bulbagarden.net/wiki/Nidorina_%CE%B4_(EX_Dragon_Frontiers_34)" TargetMode="External"/><Relationship Id="rId50" Type="http://schemas.openxmlformats.org/officeDocument/2006/relationships/hyperlink" Target="https://bulbapedia.bulbagarden.net/wiki/Horsea_%CE%B4_(EX_Dragon_Frontiers_50)" TargetMode="External"/><Relationship Id="rId55" Type="http://schemas.openxmlformats.org/officeDocument/2006/relationships/hyperlink" Target="https://bulbapedia.bulbagarden.net/wiki/Natu_%CE%B4_(EX_Dragon_Frontiers_55)" TargetMode="External"/><Relationship Id="rId76" Type="http://schemas.openxmlformats.org/officeDocument/2006/relationships/hyperlink" Target="https://bulbapedia.bulbagarden.net/wiki/Island_Hermit_(EX_Dragon_Frontiers_76)" TargetMode="External"/><Relationship Id="rId97" Type="http://schemas.openxmlformats.org/officeDocument/2006/relationships/hyperlink" Target="https://bulbapedia.bulbagarden.net/wiki/Rayquaza_ex_%CE%B4_(EX_Dragon_Frontiers_97)" TargetMode="External"/><Relationship Id="rId7" Type="http://schemas.openxmlformats.org/officeDocument/2006/relationships/hyperlink" Target="https://bulbapedia.bulbagarden.net/wiki/Nidoqueen_%CE%B4_(EX_Dragon_Frontiers_7)" TargetMode="External"/><Relationship Id="rId71" Type="http://schemas.openxmlformats.org/officeDocument/2006/relationships/hyperlink" Target="https://bulbapedia.bulbagarden.net/wiki/Wooper_%CE%B4_(EX_Dragon_Frontiers_71)" TargetMode="External"/><Relationship Id="rId92" Type="http://schemas.openxmlformats.org/officeDocument/2006/relationships/hyperlink" Target="https://bulbapedia.bulbagarden.net/wiki/Flygon_ex_%CE%B4_(EX_Dragon_Frontiers_92)" TargetMode="External"/><Relationship Id="rId2" Type="http://schemas.openxmlformats.org/officeDocument/2006/relationships/hyperlink" Target="https://bulbapedia.bulbagarden.net/wiki/Feraligatr_%CE%B4_(EX_Dragon_Frontiers_2)" TargetMode="External"/><Relationship Id="rId29" Type="http://schemas.openxmlformats.org/officeDocument/2006/relationships/hyperlink" Target="https://bulbapedia.bulbagarden.net/wiki/Electabuzz_%CE%B4_(EX_Dragon_Frontiers_29)" TargetMode="External"/><Relationship Id="rId24" Type="http://schemas.openxmlformats.org/officeDocument/2006/relationships/hyperlink" Target="https://bulbapedia.bulbagarden.net/wiki/Vibrava_%CE%B4_(EX_Dragon_Frontiers_24)" TargetMode="External"/><Relationship Id="rId40" Type="http://schemas.openxmlformats.org/officeDocument/2006/relationships/hyperlink" Target="https://bulbapedia.bulbagarden.net/wiki/Swellow_%CE%B4_(EX_Dragon_Frontiers_40)" TargetMode="External"/><Relationship Id="rId45" Type="http://schemas.openxmlformats.org/officeDocument/2006/relationships/hyperlink" Target="https://bulbapedia.bulbagarden.net/wiki/Cyndaquil_%CE%B4_(EX_Dragon_Frontiers_45)" TargetMode="External"/><Relationship Id="rId66" Type="http://schemas.openxmlformats.org/officeDocument/2006/relationships/hyperlink" Target="https://bulbapedia.bulbagarden.net/wiki/Taillow_%CE%B4_(EX_Dragon_Frontiers_66)" TargetMode="External"/><Relationship Id="rId87" Type="http://schemas.openxmlformats.org/officeDocument/2006/relationships/hyperlink" Target="https://bulbapedia.bulbagarden.net/wiki/Boost_Energy_(EX_Dragon_Frontiers_87)" TargetMode="External"/><Relationship Id="rId61" Type="http://schemas.openxmlformats.org/officeDocument/2006/relationships/hyperlink" Target="https://bulbapedia.bulbagarden.net/wiki/Ralts_%CE%B4_(EX_Dragon_Frontiers_61)" TargetMode="External"/><Relationship Id="rId82" Type="http://schemas.openxmlformats.org/officeDocument/2006/relationships/hyperlink" Target="https://bulbapedia.bulbagarden.net/wiki/TV_Reporter_(EX_Dragon_Frontiers_82)" TargetMode="External"/><Relationship Id="rId19" Type="http://schemas.openxmlformats.org/officeDocument/2006/relationships/hyperlink" Target="https://bulbapedia.bulbagarden.net/wiki/Lickitung_%CE%B4_(EX_Dragon_Frontiers_19)" TargetMode="External"/><Relationship Id="rId14" Type="http://schemas.openxmlformats.org/officeDocument/2006/relationships/hyperlink" Target="https://bulbapedia.bulbagarden.net/wiki/Cloyster_%CE%B4_(EX_Dragon_Frontiers_14)" TargetMode="External"/><Relationship Id="rId30" Type="http://schemas.openxmlformats.org/officeDocument/2006/relationships/hyperlink" Target="https://bulbapedia.bulbagarden.net/wiki/Flaaffy_%CE%B4_(EX_Dragon_Frontiers_30)" TargetMode="External"/><Relationship Id="rId35" Type="http://schemas.openxmlformats.org/officeDocument/2006/relationships/hyperlink" Target="https://bulbapedia.bulbagarden.net/wiki/Nidorino_%CE%B4_(EX_Dragon_Frontiers_35)" TargetMode="External"/><Relationship Id="rId56" Type="http://schemas.openxmlformats.org/officeDocument/2006/relationships/hyperlink" Target="https://bulbapedia.bulbagarden.net/wiki/Nidoran%E2%99%80_%CE%B4_(EX_Dragon_Frontiers_56)" TargetMode="External"/><Relationship Id="rId77" Type="http://schemas.openxmlformats.org/officeDocument/2006/relationships/hyperlink" Target="https://bulbapedia.bulbagarden.net/wiki/Mr._Stone%27s_Project_(EX_Dragon_Frontiers_77)" TargetMode="External"/><Relationship Id="rId8" Type="http://schemas.openxmlformats.org/officeDocument/2006/relationships/hyperlink" Target="https://bulbapedia.bulbagarden.net/wiki/Ninetales_%CE%B4_(EX_Dragon_Frontiers_8)" TargetMode="External"/><Relationship Id="rId51" Type="http://schemas.openxmlformats.org/officeDocument/2006/relationships/hyperlink" Target="https://bulbapedia.bulbagarden.net/wiki/Larvitar_(EX_Dragon_Frontiers_51)" TargetMode="External"/><Relationship Id="rId72" Type="http://schemas.openxmlformats.org/officeDocument/2006/relationships/hyperlink" Target="https://bulbapedia.bulbagarden.net/wiki/Buffer_Piece_(EX_Dragon_Frontiers_72)" TargetMode="External"/><Relationship Id="rId93" Type="http://schemas.openxmlformats.org/officeDocument/2006/relationships/hyperlink" Target="https://bulbapedia.bulbagarden.net/wiki/Gardevoir_ex_%CE%B4_(EX_Dragon_Frontiers_93)" TargetMode="External"/><Relationship Id="rId98" Type="http://schemas.openxmlformats.org/officeDocument/2006/relationships/hyperlink" Target="https://bulbapedia.bulbagarden.net/wiki/Salamence_ex_%CE%B4_(EX_Dragon_Frontiers_98)"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bulbapedia.bulbagarden.net/wiki/Anorith_(EX_Power_Keepers_26)" TargetMode="External"/><Relationship Id="rId21" Type="http://schemas.openxmlformats.org/officeDocument/2006/relationships/hyperlink" Target="https://bulbapedia.bulbagarden.net/wiki/Pichu_(EX_Power_Keepers_21)" TargetMode="External"/><Relationship Id="rId42" Type="http://schemas.openxmlformats.org/officeDocument/2006/relationships/hyperlink" Target="https://bulbapedia.bulbagarden.net/wiki/Aron_(EX_Power_Keepers_42)" TargetMode="External"/><Relationship Id="rId47" Type="http://schemas.openxmlformats.org/officeDocument/2006/relationships/hyperlink" Target="https://bulbapedia.bulbagarden.net/wiki/Carvanha_(EX_Power_Keepers_47)" TargetMode="External"/><Relationship Id="rId63" Type="http://schemas.openxmlformats.org/officeDocument/2006/relationships/hyperlink" Target="https://bulbapedia.bulbagarden.net/wiki/Slakoth_(EX_Power_Keepers_63)" TargetMode="External"/><Relationship Id="rId68" Type="http://schemas.openxmlformats.org/officeDocument/2006/relationships/hyperlink" Target="https://bulbapedia.bulbagarden.net/wiki/Trapinch_(EX_Power_Keepers_68)" TargetMode="External"/><Relationship Id="rId84" Type="http://schemas.openxmlformats.org/officeDocument/2006/relationships/hyperlink" Target="https://bulbapedia.bulbagarden.net/wiki/Claw_Fossil_(EX_Power_Keepers_84)" TargetMode="External"/><Relationship Id="rId89" Type="http://schemas.openxmlformats.org/officeDocument/2006/relationships/hyperlink" Target="https://bulbapedia.bulbagarden.net/wiki/Multi_Energy_(EX_Power_Keepers_89)" TargetMode="External"/><Relationship Id="rId16" Type="http://schemas.openxmlformats.org/officeDocument/2006/relationships/hyperlink" Target="https://bulbapedia.bulbagarden.net/wiki/Magneton_(EX_Power_Keepers_16)" TargetMode="External"/><Relationship Id="rId11" Type="http://schemas.openxmlformats.org/officeDocument/2006/relationships/hyperlink" Target="https://bulbapedia.bulbagarden.net/wiki/Machamp_(EX_Power_Keepers_11)" TargetMode="External"/><Relationship Id="rId32" Type="http://schemas.openxmlformats.org/officeDocument/2006/relationships/hyperlink" Target="https://bulbapedia.bulbagarden.net/wiki/Lairon_(EX_Power_Keepers_32)" TargetMode="External"/><Relationship Id="rId37" Type="http://schemas.openxmlformats.org/officeDocument/2006/relationships/hyperlink" Target="https://bulbapedia.bulbagarden.net/wiki/Sealeo_(EX_Power_Keepers_37)" TargetMode="External"/><Relationship Id="rId53" Type="http://schemas.openxmlformats.org/officeDocument/2006/relationships/hyperlink" Target="https://bulbapedia.bulbagarden.net/wiki/Machop_(EX_Power_Keepers_53)" TargetMode="External"/><Relationship Id="rId58" Type="http://schemas.openxmlformats.org/officeDocument/2006/relationships/hyperlink" Target="https://bulbapedia.bulbagarden.net/wiki/Poochyena_(EX_Power_Keepers_58)" TargetMode="External"/><Relationship Id="rId74" Type="http://schemas.openxmlformats.org/officeDocument/2006/relationships/hyperlink" Target="https://bulbapedia.bulbagarden.net/wiki/Energy_Removal_2_(EX_Power_Keepers_74)" TargetMode="External"/><Relationship Id="rId79" Type="http://schemas.openxmlformats.org/officeDocument/2006/relationships/hyperlink" Target="https://bulbapedia.bulbagarden.net/wiki/Phoebe%27s_Stadium_(EX_Power_Keepers_79)" TargetMode="External"/><Relationship Id="rId5" Type="http://schemas.openxmlformats.org/officeDocument/2006/relationships/hyperlink" Target="https://bulbapedia.bulbagarden.net/wiki/Blaziken_(EX_Power_Keepers_5)" TargetMode="External"/><Relationship Id="rId90" Type="http://schemas.openxmlformats.org/officeDocument/2006/relationships/hyperlink" Target="https://bulbapedia.bulbagarden.net/wiki/Cyclone_Energy_(EX_Power_Keepers_90)" TargetMode="External"/><Relationship Id="rId95" Type="http://schemas.openxmlformats.org/officeDocument/2006/relationships/hyperlink" Target="https://bulbapedia.bulbagarden.net/wiki/Metagross_ex_(EX_Power_Keepers_95)" TargetMode="External"/><Relationship Id="rId22" Type="http://schemas.openxmlformats.org/officeDocument/2006/relationships/hyperlink" Target="https://bulbapedia.bulbagarden.net/wiki/Sableye_(EX_Power_Keepers_22)" TargetMode="External"/><Relationship Id="rId27" Type="http://schemas.openxmlformats.org/officeDocument/2006/relationships/hyperlink" Target="https://bulbapedia.bulbagarden.net/wiki/Cacturne_(EX_Power_Keepers_27)" TargetMode="External"/><Relationship Id="rId43" Type="http://schemas.openxmlformats.org/officeDocument/2006/relationships/hyperlink" Target="https://bulbapedia.bulbagarden.net/wiki/Bagon_(EX_Power_Keepers_43)" TargetMode="External"/><Relationship Id="rId48" Type="http://schemas.openxmlformats.org/officeDocument/2006/relationships/hyperlink" Target="https://bulbapedia.bulbagarden.net/wiki/Charmander_(EX_Power_Keepers_48)" TargetMode="External"/><Relationship Id="rId64" Type="http://schemas.openxmlformats.org/officeDocument/2006/relationships/hyperlink" Target="https://bulbapedia.bulbagarden.net/wiki/Snorunt_(EX_Power_Keepers_64)" TargetMode="External"/><Relationship Id="rId69" Type="http://schemas.openxmlformats.org/officeDocument/2006/relationships/hyperlink" Target="https://bulbapedia.bulbagarden.net/wiki/Vulpix_(EX_Power_Keepers_69)" TargetMode="External"/><Relationship Id="rId80" Type="http://schemas.openxmlformats.org/officeDocument/2006/relationships/hyperlink" Target="https://bulbapedia.bulbagarden.net/wiki/Professor_Birch_(EX_Power_Keepers_80)" TargetMode="External"/><Relationship Id="rId85" Type="http://schemas.openxmlformats.org/officeDocument/2006/relationships/hyperlink" Target="https://bulbapedia.bulbagarden.net/wiki/Mysterious_Fossil_(EX_Power_Keepers_85)" TargetMode="External"/><Relationship Id="rId3" Type="http://schemas.openxmlformats.org/officeDocument/2006/relationships/hyperlink" Target="https://bulbapedia.bulbagarden.net/wiki/Armaldo_(EX_Power_Keepers_3)" TargetMode="External"/><Relationship Id="rId12" Type="http://schemas.openxmlformats.org/officeDocument/2006/relationships/hyperlink" Target="https://bulbapedia.bulbagarden.net/wiki/Raichu_(EX_Power_Keepers_12)" TargetMode="External"/><Relationship Id="rId17" Type="http://schemas.openxmlformats.org/officeDocument/2006/relationships/hyperlink" Target="https://bulbapedia.bulbagarden.net/wiki/Mawile_(EX_Power_Keepers_17)" TargetMode="External"/><Relationship Id="rId25" Type="http://schemas.openxmlformats.org/officeDocument/2006/relationships/hyperlink" Target="https://bulbapedia.bulbagarden.net/wiki/Zangoose_(EX_Power_Keepers_25)" TargetMode="External"/><Relationship Id="rId33" Type="http://schemas.openxmlformats.org/officeDocument/2006/relationships/hyperlink" Target="https://bulbapedia.bulbagarden.net/wiki/Machoke_(EX_Power_Keepers_33)" TargetMode="External"/><Relationship Id="rId38" Type="http://schemas.openxmlformats.org/officeDocument/2006/relationships/hyperlink" Target="https://bulbapedia.bulbagarden.net/wiki/Sharpedo_(EX_Power_Keepers_38)" TargetMode="External"/><Relationship Id="rId46" Type="http://schemas.openxmlformats.org/officeDocument/2006/relationships/hyperlink" Target="https://bulbapedia.bulbagarden.net/wiki/Cacnea_(EX_Power_Keepers_46)" TargetMode="External"/><Relationship Id="rId59" Type="http://schemas.openxmlformats.org/officeDocument/2006/relationships/hyperlink" Target="https://bulbapedia.bulbagarden.net/wiki/Ralts_(EX_Power_Keepers_59)" TargetMode="External"/><Relationship Id="rId67" Type="http://schemas.openxmlformats.org/officeDocument/2006/relationships/hyperlink" Target="https://bulbapedia.bulbagarden.net/wiki/Torchic_(EX_Power_Keepers_67)" TargetMode="External"/><Relationship Id="rId20" Type="http://schemas.openxmlformats.org/officeDocument/2006/relationships/hyperlink" Target="https://bulbapedia.bulbagarden.net/wiki/Omastar_(EX_Power_Keepers_20)" TargetMode="External"/><Relationship Id="rId41" Type="http://schemas.openxmlformats.org/officeDocument/2006/relationships/hyperlink" Target="https://bulbapedia.bulbagarden.net/wiki/Vigoroth_(EX_Power_Keepers_41)" TargetMode="External"/><Relationship Id="rId54" Type="http://schemas.openxmlformats.org/officeDocument/2006/relationships/hyperlink" Target="https://bulbapedia.bulbagarden.net/wiki/Magnemite_(EX_Power_Keepers_54)" TargetMode="External"/><Relationship Id="rId62" Type="http://schemas.openxmlformats.org/officeDocument/2006/relationships/hyperlink" Target="https://bulbapedia.bulbagarden.net/wiki/Skitty_(EX_Power_Keepers_62)" TargetMode="External"/><Relationship Id="rId70" Type="http://schemas.openxmlformats.org/officeDocument/2006/relationships/hyperlink" Target="https://bulbapedia.bulbagarden.net/wiki/Wynaut_(EX_Power_Keepers_70)" TargetMode="External"/><Relationship Id="rId75" Type="http://schemas.openxmlformats.org/officeDocument/2006/relationships/hyperlink" Target="https://bulbapedia.bulbagarden.net/wiki/Energy_Switch_(EX_Power_Keepers_75)" TargetMode="External"/><Relationship Id="rId83" Type="http://schemas.openxmlformats.org/officeDocument/2006/relationships/hyperlink" Target="https://bulbapedia.bulbagarden.net/wiki/Steven%27s_Advice_(EX_Power_Keepers_83)" TargetMode="External"/><Relationship Id="rId88" Type="http://schemas.openxmlformats.org/officeDocument/2006/relationships/hyperlink" Target="https://bulbapedia.bulbagarden.net/wiki/Metal_Energy_(EX_Power_Keepers_88)" TargetMode="External"/><Relationship Id="rId91" Type="http://schemas.openxmlformats.org/officeDocument/2006/relationships/hyperlink" Target="https://bulbapedia.bulbagarden.net/wiki/Warp_Energy_(EX_Power_Keepers_91)" TargetMode="External"/><Relationship Id="rId96" Type="http://schemas.openxmlformats.org/officeDocument/2006/relationships/hyperlink" Target="https://bulbapedia.bulbagarden.net/wiki/Salamence_ex_(EX_Power_Keepers_96)" TargetMode="External"/><Relationship Id="rId1" Type="http://schemas.openxmlformats.org/officeDocument/2006/relationships/hyperlink" Target="https://bulbapedia.bulbagarden.net/wiki/Aggron_(EX_Power_Keepers_1)" TargetMode="External"/><Relationship Id="rId6" Type="http://schemas.openxmlformats.org/officeDocument/2006/relationships/hyperlink" Target="https://bulbapedia.bulbagarden.net/wiki/Charizard_(EX_Power_Keepers_6)" TargetMode="External"/><Relationship Id="rId15" Type="http://schemas.openxmlformats.org/officeDocument/2006/relationships/hyperlink" Target="https://bulbapedia.bulbagarden.net/wiki/Lanturn_(EX_Power_Keepers_15)" TargetMode="External"/><Relationship Id="rId23" Type="http://schemas.openxmlformats.org/officeDocument/2006/relationships/hyperlink" Target="https://bulbapedia.bulbagarden.net/wiki/Seviper_(EX_Power_Keepers_23)" TargetMode="External"/><Relationship Id="rId28" Type="http://schemas.openxmlformats.org/officeDocument/2006/relationships/hyperlink" Target="https://bulbapedia.bulbagarden.net/wiki/Charmeleon_(EX_Power_Keepers_28)" TargetMode="External"/><Relationship Id="rId36" Type="http://schemas.openxmlformats.org/officeDocument/2006/relationships/hyperlink" Target="https://bulbapedia.bulbagarden.net/wiki/Nuzleaf_(EX_Power_Keepers_36)" TargetMode="External"/><Relationship Id="rId49" Type="http://schemas.openxmlformats.org/officeDocument/2006/relationships/hyperlink" Target="https://bulbapedia.bulbagarden.net/wiki/Chinchou_(EX_Power_Keepers_49)" TargetMode="External"/><Relationship Id="rId57" Type="http://schemas.openxmlformats.org/officeDocument/2006/relationships/hyperlink" Target="https://bulbapedia.bulbagarden.net/wiki/Pikachu_(EX_Power_Keepers_57)" TargetMode="External"/><Relationship Id="rId10" Type="http://schemas.openxmlformats.org/officeDocument/2006/relationships/hyperlink" Target="https://bulbapedia.bulbagarden.net/wiki/Kabutops_(EX_Power_Keepers_10)" TargetMode="External"/><Relationship Id="rId31" Type="http://schemas.openxmlformats.org/officeDocument/2006/relationships/hyperlink" Target="https://bulbapedia.bulbagarden.net/wiki/Kirlia_(EX_Power_Keepers_31)" TargetMode="External"/><Relationship Id="rId44" Type="http://schemas.openxmlformats.org/officeDocument/2006/relationships/hyperlink" Target="https://bulbapedia.bulbagarden.net/wiki/Baltoy_(EX_Power_Keepers_44)" TargetMode="External"/><Relationship Id="rId52" Type="http://schemas.openxmlformats.org/officeDocument/2006/relationships/hyperlink" Target="https://bulbapedia.bulbagarden.net/wiki/Lileep_(EX_Power_Keepers_52)" TargetMode="External"/><Relationship Id="rId60" Type="http://schemas.openxmlformats.org/officeDocument/2006/relationships/hyperlink" Target="https://bulbapedia.bulbagarden.net/wiki/Seedot_(EX_Power_Keepers_60)" TargetMode="External"/><Relationship Id="rId65" Type="http://schemas.openxmlformats.org/officeDocument/2006/relationships/hyperlink" Target="https://bulbapedia.bulbagarden.net/wiki/Spheal_(EX_Power_Keepers_65)" TargetMode="External"/><Relationship Id="rId73" Type="http://schemas.openxmlformats.org/officeDocument/2006/relationships/hyperlink" Target="https://bulbapedia.bulbagarden.net/wiki/Energy_Recycle_System_(EX_Power_Keepers_73)" TargetMode="External"/><Relationship Id="rId78" Type="http://schemas.openxmlformats.org/officeDocument/2006/relationships/hyperlink" Target="https://bulbapedia.bulbagarden.net/wiki/Master_Ball_(EX_Power_Keepers_78)" TargetMode="External"/><Relationship Id="rId81" Type="http://schemas.openxmlformats.org/officeDocument/2006/relationships/hyperlink" Target="https://bulbapedia.bulbagarden.net/wiki/Scott_(EX_Power_Keepers_81)" TargetMode="External"/><Relationship Id="rId86" Type="http://schemas.openxmlformats.org/officeDocument/2006/relationships/hyperlink" Target="https://bulbapedia.bulbagarden.net/wiki/Root_Fossil_(EX_Power_Keepers_86)" TargetMode="External"/><Relationship Id="rId94" Type="http://schemas.openxmlformats.org/officeDocument/2006/relationships/hyperlink" Target="https://bulbapedia.bulbagarden.net/wiki/Flygon_ex_(EX_Power_Keepers_94)" TargetMode="External"/><Relationship Id="rId99" Type="http://schemas.openxmlformats.org/officeDocument/2006/relationships/hyperlink" Target="https://bulbapedia.bulbagarden.net/wiki/Walrein_ex_(EX_Power_Keepers_99)" TargetMode="External"/><Relationship Id="rId4" Type="http://schemas.openxmlformats.org/officeDocument/2006/relationships/hyperlink" Target="https://bulbapedia.bulbagarden.net/wiki/Banette_(EX_Power_Keepers_4)" TargetMode="External"/><Relationship Id="rId9" Type="http://schemas.openxmlformats.org/officeDocument/2006/relationships/hyperlink" Target="https://bulbapedia.bulbagarden.net/wiki/Gardevoir_(EX_Power_Keepers_9)" TargetMode="External"/><Relationship Id="rId13" Type="http://schemas.openxmlformats.org/officeDocument/2006/relationships/hyperlink" Target="https://bulbapedia.bulbagarden.net/wiki/Slaking_(EX_Power_Keepers_13)" TargetMode="External"/><Relationship Id="rId18" Type="http://schemas.openxmlformats.org/officeDocument/2006/relationships/hyperlink" Target="https://bulbapedia.bulbagarden.net/wiki/Mightyena_(EX_Power_Keepers_18)" TargetMode="External"/><Relationship Id="rId39" Type="http://schemas.openxmlformats.org/officeDocument/2006/relationships/hyperlink" Target="https://bulbapedia.bulbagarden.net/wiki/Shelgon_(EX_Power_Keepers_39)" TargetMode="External"/><Relationship Id="rId34" Type="http://schemas.openxmlformats.org/officeDocument/2006/relationships/hyperlink" Target="https://bulbapedia.bulbagarden.net/wiki/Medicham_(EX_Power_Keepers_34)" TargetMode="External"/><Relationship Id="rId50" Type="http://schemas.openxmlformats.org/officeDocument/2006/relationships/hyperlink" Target="https://bulbapedia.bulbagarden.net/wiki/Duskull_(EX_Power_Keepers_50)" TargetMode="External"/><Relationship Id="rId55" Type="http://schemas.openxmlformats.org/officeDocument/2006/relationships/hyperlink" Target="https://bulbapedia.bulbagarden.net/wiki/Meditite_(EX_Power_Keepers_55)" TargetMode="External"/><Relationship Id="rId76" Type="http://schemas.openxmlformats.org/officeDocument/2006/relationships/hyperlink" Target="https://bulbapedia.bulbagarden.net/wiki/Glacia%27s_Stadium_(EX_Power_Keepers_76)" TargetMode="External"/><Relationship Id="rId97" Type="http://schemas.openxmlformats.org/officeDocument/2006/relationships/hyperlink" Target="https://bulbapedia.bulbagarden.net/wiki/Shiftry_ex_(EX_Power_Keepers_97)" TargetMode="External"/><Relationship Id="rId7" Type="http://schemas.openxmlformats.org/officeDocument/2006/relationships/hyperlink" Target="https://bulbapedia.bulbagarden.net/wiki/Cradily_(EX_Power_Keepers_7)" TargetMode="External"/><Relationship Id="rId71" Type="http://schemas.openxmlformats.org/officeDocument/2006/relationships/hyperlink" Target="https://bulbapedia.bulbagarden.net/wiki/Battle_Frontier_(EX_Power_Keepers_71)" TargetMode="External"/><Relationship Id="rId92" Type="http://schemas.openxmlformats.org/officeDocument/2006/relationships/hyperlink" Target="https://bulbapedia.bulbagarden.net/wiki/Absol_ex_(EX_Power_Keepers_92)" TargetMode="External"/><Relationship Id="rId2" Type="http://schemas.openxmlformats.org/officeDocument/2006/relationships/hyperlink" Target="https://bulbapedia.bulbagarden.net/wiki/Altaria_(EX_Power_Keepers_2)" TargetMode="External"/><Relationship Id="rId29" Type="http://schemas.openxmlformats.org/officeDocument/2006/relationships/hyperlink" Target="https://bulbapedia.bulbagarden.net/wiki/Combusken_(EX_Power_Keepers_29)" TargetMode="External"/><Relationship Id="rId24" Type="http://schemas.openxmlformats.org/officeDocument/2006/relationships/hyperlink" Target="https://bulbapedia.bulbagarden.net/wiki/Wobbuffet_(EX_Power_Keepers_24)" TargetMode="External"/><Relationship Id="rId40" Type="http://schemas.openxmlformats.org/officeDocument/2006/relationships/hyperlink" Target="https://bulbapedia.bulbagarden.net/wiki/Vibrava_(EX_Power_Keepers_40)" TargetMode="External"/><Relationship Id="rId45" Type="http://schemas.openxmlformats.org/officeDocument/2006/relationships/hyperlink" Target="https://bulbapedia.bulbagarden.net/wiki/Beldum_(EX_Power_Keepers_45)" TargetMode="External"/><Relationship Id="rId66" Type="http://schemas.openxmlformats.org/officeDocument/2006/relationships/hyperlink" Target="https://bulbapedia.bulbagarden.net/wiki/Swablu_(EX_Power_Keepers_66)" TargetMode="External"/><Relationship Id="rId87" Type="http://schemas.openxmlformats.org/officeDocument/2006/relationships/hyperlink" Target="https://bulbapedia.bulbagarden.net/wiki/Darkness_Energy_(EX_Power_Keepers_87)" TargetMode="External"/><Relationship Id="rId61" Type="http://schemas.openxmlformats.org/officeDocument/2006/relationships/hyperlink" Target="https://bulbapedia.bulbagarden.net/wiki/Shuppet_(EX_Power_Keepers_61)" TargetMode="External"/><Relationship Id="rId82" Type="http://schemas.openxmlformats.org/officeDocument/2006/relationships/hyperlink" Target="https://bulbapedia.bulbagarden.net/wiki/Sidney%27s_Stadium_(EX_Power_Keepers_82)" TargetMode="External"/><Relationship Id="rId19" Type="http://schemas.openxmlformats.org/officeDocument/2006/relationships/hyperlink" Target="https://bulbapedia.bulbagarden.net/wiki/Ninetales_(EX_Power_Keepers_19)" TargetMode="External"/><Relationship Id="rId14" Type="http://schemas.openxmlformats.org/officeDocument/2006/relationships/hyperlink" Target="https://bulbapedia.bulbagarden.net/wiki/Dusclops_(EX_Power_Keepers_14)" TargetMode="External"/><Relationship Id="rId30" Type="http://schemas.openxmlformats.org/officeDocument/2006/relationships/hyperlink" Target="https://bulbapedia.bulbagarden.net/wiki/Glalie_(EX_Power_Keepers_30)" TargetMode="External"/><Relationship Id="rId35" Type="http://schemas.openxmlformats.org/officeDocument/2006/relationships/hyperlink" Target="https://bulbapedia.bulbagarden.net/wiki/Metang_(EX_Power_Keepers_35)" TargetMode="External"/><Relationship Id="rId56" Type="http://schemas.openxmlformats.org/officeDocument/2006/relationships/hyperlink" Target="https://bulbapedia.bulbagarden.net/wiki/Omanyte_(EX_Power_Keepers_56)" TargetMode="External"/><Relationship Id="rId77" Type="http://schemas.openxmlformats.org/officeDocument/2006/relationships/hyperlink" Target="https://bulbapedia.bulbagarden.net/wiki/Great_Ball_(EX_Power_Keepers_77)" TargetMode="External"/><Relationship Id="rId8" Type="http://schemas.openxmlformats.org/officeDocument/2006/relationships/hyperlink" Target="https://bulbapedia.bulbagarden.net/wiki/Delcatty_(EX_Power_Keepers_8)" TargetMode="External"/><Relationship Id="rId51" Type="http://schemas.openxmlformats.org/officeDocument/2006/relationships/hyperlink" Target="https://bulbapedia.bulbagarden.net/wiki/Kabuto_(EX_Power_Keepers_51)" TargetMode="External"/><Relationship Id="rId72" Type="http://schemas.openxmlformats.org/officeDocument/2006/relationships/hyperlink" Target="https://bulbapedia.bulbagarden.net/wiki/Drake%27s_Stadium_(EX_Power_Keepers_72)" TargetMode="External"/><Relationship Id="rId93" Type="http://schemas.openxmlformats.org/officeDocument/2006/relationships/hyperlink" Target="https://bulbapedia.bulbagarden.net/wiki/Claydol_ex_(EX_Power_Keepers_93)" TargetMode="External"/><Relationship Id="rId98" Type="http://schemas.openxmlformats.org/officeDocument/2006/relationships/hyperlink" Target="https://bulbapedia.bulbagarden.net/wiki/Skarmory_ex_(EX_Power_Keepers_98)"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bulbapedia.bulbagarden.net/wiki/Boost_Energy_(POP_Series_5_8)" TargetMode="External"/><Relationship Id="rId13" Type="http://schemas.openxmlformats.org/officeDocument/2006/relationships/hyperlink" Target="https://bulbapedia.bulbagarden.net/wiki/Pikachu_%CE%B4_(POP_Series_5_13)" TargetMode="External"/><Relationship Id="rId3" Type="http://schemas.openxmlformats.org/officeDocument/2006/relationships/hyperlink" Target="https://bulbapedia.bulbagarden.net/wiki/Mew_%CE%B4_(POP_Series_5_3)" TargetMode="External"/><Relationship Id="rId7" Type="http://schemas.openxmlformats.org/officeDocument/2006/relationships/hyperlink" Target="https://bulbapedia.bulbagarden.net/wiki/Rare_Candy_(POP_Series_5_7)" TargetMode="External"/><Relationship Id="rId12" Type="http://schemas.openxmlformats.org/officeDocument/2006/relationships/hyperlink" Target="https://bulbapedia.bulbagarden.net/wiki/Pikachu_(POP_Series_5_12)" TargetMode="External"/><Relationship Id="rId2" Type="http://schemas.openxmlformats.org/officeDocument/2006/relationships/hyperlink" Target="https://bulbapedia.bulbagarden.net/wiki/Lugia_(POP_Series_5_2)" TargetMode="External"/><Relationship Id="rId1" Type="http://schemas.openxmlformats.org/officeDocument/2006/relationships/hyperlink" Target="https://bulbapedia.bulbagarden.net/wiki/Ho-Oh_(POP_Series_5_1)" TargetMode="External"/><Relationship Id="rId6" Type="http://schemas.openxmlformats.org/officeDocument/2006/relationships/hyperlink" Target="https://bulbapedia.bulbagarden.net/wiki/Bill%27s_Maintenance_(POP_Series_5_6)" TargetMode="External"/><Relationship Id="rId11" Type="http://schemas.openxmlformats.org/officeDocument/2006/relationships/hyperlink" Target="https://bulbapedia.bulbagarden.net/wiki/Meowth_%CE%B4_(POP_Series_5_11)" TargetMode="External"/><Relationship Id="rId5" Type="http://schemas.openxmlformats.org/officeDocument/2006/relationships/hyperlink" Target="https://bulbapedia.bulbagarden.net/wiki/Charmeleon_%CE%B4_(POP_Series_5_5)" TargetMode="External"/><Relationship Id="rId15" Type="http://schemas.openxmlformats.org/officeDocument/2006/relationships/hyperlink" Target="https://bulbapedia.bulbagarden.net/wiki/Zangoose_%CE%B4_(POP_Series_5_15)" TargetMode="External"/><Relationship Id="rId10" Type="http://schemas.openxmlformats.org/officeDocument/2006/relationships/hyperlink" Target="https://bulbapedia.bulbagarden.net/wiki/Charmander_%CE%B4_(POP_Series_5_10)" TargetMode="External"/><Relationship Id="rId4" Type="http://schemas.openxmlformats.org/officeDocument/2006/relationships/hyperlink" Target="https://bulbapedia.bulbagarden.net/wiki/Double_Rainbow_Energy_(POP_Series_5_4)" TargetMode="External"/><Relationship Id="rId9" Type="http://schemas.openxmlformats.org/officeDocument/2006/relationships/hyperlink" Target="https://bulbapedia.bulbagarden.net/wiki/%CE%94_Rainbow_Energy_(POP_Series_5_9)" TargetMode="External"/><Relationship Id="rId14" Type="http://schemas.openxmlformats.org/officeDocument/2006/relationships/hyperlink" Target="https://bulbapedia.bulbagarden.net/wiki/Pelipper_%CE%B4_(POP_Series_5_14)"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bulbapedia.bulbagarden.net/wiki/Chatot_(DP_Promo_14)" TargetMode="External"/><Relationship Id="rId18" Type="http://schemas.openxmlformats.org/officeDocument/2006/relationships/hyperlink" Target="https://bulbapedia.bulbagarden.net/wiki/Darkrai_LV.X_(DP_Promo_19)" TargetMode="External"/><Relationship Id="rId26" Type="http://schemas.openxmlformats.org/officeDocument/2006/relationships/hyperlink" Target="https://bulbapedia.bulbagarden.net/wiki/Mewtwo_LV.X_(DP_Promo_28)" TargetMode="External"/><Relationship Id="rId39" Type="http://schemas.openxmlformats.org/officeDocument/2006/relationships/hyperlink" Target="https://bulbapedia.bulbagarden.net/wiki/Magnezone_(DP_Promo_44)" TargetMode="External"/><Relationship Id="rId21" Type="http://schemas.openxmlformats.org/officeDocument/2006/relationships/hyperlink" Target="https://bulbapedia.bulbagarden.net/wiki/Mime_Jr._(DP_Promo_22)" TargetMode="External"/><Relationship Id="rId34" Type="http://schemas.openxmlformats.org/officeDocument/2006/relationships/hyperlink" Target="https://bulbapedia.bulbagarden.net/wiki/Gliscor_(DP_Promo_36)" TargetMode="External"/><Relationship Id="rId42" Type="http://schemas.openxmlformats.org/officeDocument/2006/relationships/hyperlink" Target="https://bulbapedia.bulbagarden.net/wiki/Cresselia_(DP_Promo_51)" TargetMode="External"/><Relationship Id="rId47" Type="http://schemas.openxmlformats.org/officeDocument/2006/relationships/hyperlink" Target="https://bulbapedia.bulbagarden.net/wiki/Arceus_LV.X_(DP_Promo_56)" TargetMode="External"/><Relationship Id="rId7" Type="http://schemas.openxmlformats.org/officeDocument/2006/relationships/hyperlink" Target="https://bulbapedia.bulbagarden.net/wiki/Shieldon_(DP_Promo_8)" TargetMode="External"/><Relationship Id="rId2" Type="http://schemas.openxmlformats.org/officeDocument/2006/relationships/hyperlink" Target="https://bulbapedia.bulbagarden.net/wiki/Chimchar_(DP_Promo_2)" TargetMode="External"/><Relationship Id="rId16" Type="http://schemas.openxmlformats.org/officeDocument/2006/relationships/hyperlink" Target="https://bulbapedia.bulbagarden.net/wiki/Dialga_LV.X_(DP_Promo_17)" TargetMode="External"/><Relationship Id="rId29" Type="http://schemas.openxmlformats.org/officeDocument/2006/relationships/hyperlink" Target="https://bulbapedia.bulbagarden.net/wiki/Heatran_LV.X_(DP_Promo_31)" TargetMode="External"/><Relationship Id="rId1" Type="http://schemas.openxmlformats.org/officeDocument/2006/relationships/hyperlink" Target="https://bulbapedia.bulbagarden.net/wiki/Turtwig_(DP_Promo_1)" TargetMode="External"/><Relationship Id="rId6" Type="http://schemas.openxmlformats.org/officeDocument/2006/relationships/hyperlink" Target="https://bulbapedia.bulbagarden.net/wiki/Cranidos_(DP_Promo_7)" TargetMode="External"/><Relationship Id="rId11" Type="http://schemas.openxmlformats.org/officeDocument/2006/relationships/hyperlink" Target="https://bulbapedia.bulbagarden.net/wiki/Lucario_LV.X_(DP_Promo_12)" TargetMode="External"/><Relationship Id="rId24" Type="http://schemas.openxmlformats.org/officeDocument/2006/relationships/hyperlink" Target="https://bulbapedia.bulbagarden.net/wiki/Dialga_(DP_Promo_26)" TargetMode="External"/><Relationship Id="rId32" Type="http://schemas.openxmlformats.org/officeDocument/2006/relationships/hyperlink" Target="https://bulbapedia.bulbagarden.net/wiki/Drifblim_(DP_Promo_34)" TargetMode="External"/><Relationship Id="rId37" Type="http://schemas.openxmlformats.org/officeDocument/2006/relationships/hyperlink" Target="https://bulbapedia.bulbagarden.net/wiki/Shaymin_LV.X_(DP_Promo_39)" TargetMode="External"/><Relationship Id="rId40" Type="http://schemas.openxmlformats.org/officeDocument/2006/relationships/hyperlink" Target="https://bulbapedia.bulbagarden.net/wiki/Dialga_(DP_Promo_49)" TargetMode="External"/><Relationship Id="rId45" Type="http://schemas.openxmlformats.org/officeDocument/2006/relationships/hyperlink" Target="https://bulbapedia.bulbagarden.net/wiki/Beginning_Door_(DP_Promo_54)" TargetMode="External"/><Relationship Id="rId5" Type="http://schemas.openxmlformats.org/officeDocument/2006/relationships/hyperlink" Target="https://bulbapedia.bulbagarden.net/wiki/Buneary_(DP_Promo_6)" TargetMode="External"/><Relationship Id="rId15" Type="http://schemas.openxmlformats.org/officeDocument/2006/relationships/hyperlink" Target="https://bulbapedia.bulbagarden.net/wiki/Pikachu_(DP_Promo_16)" TargetMode="External"/><Relationship Id="rId23" Type="http://schemas.openxmlformats.org/officeDocument/2006/relationships/hyperlink" Target="https://bulbapedia.bulbagarden.net/wiki/Darkrai_(DP_Promo_24)" TargetMode="External"/><Relationship Id="rId28" Type="http://schemas.openxmlformats.org/officeDocument/2006/relationships/hyperlink" Target="https://bulbapedia.bulbagarden.net/wiki/Regigigas_LV.X_(DP_Promo_30)" TargetMode="External"/><Relationship Id="rId36" Type="http://schemas.openxmlformats.org/officeDocument/2006/relationships/hyperlink" Target="https://bulbapedia.bulbagarden.net/wiki/Giratina_LV.X_(DP_Promo_38)" TargetMode="External"/><Relationship Id="rId10" Type="http://schemas.openxmlformats.org/officeDocument/2006/relationships/hyperlink" Target="https://bulbapedia.bulbagarden.net/wiki/Empoleon_LV.X_(DP_Promo_11)" TargetMode="External"/><Relationship Id="rId19" Type="http://schemas.openxmlformats.org/officeDocument/2006/relationships/hyperlink" Target="https://bulbapedia.bulbagarden.net/wiki/Magmortar_(DP_Promo_20)" TargetMode="External"/><Relationship Id="rId31" Type="http://schemas.openxmlformats.org/officeDocument/2006/relationships/hyperlink" Target="https://bulbapedia.bulbagarden.net/wiki/Dusknoir_(DP_Promo_33)" TargetMode="External"/><Relationship Id="rId44" Type="http://schemas.openxmlformats.org/officeDocument/2006/relationships/hyperlink" Target="https://bulbapedia.bulbagarden.net/wiki/Arceus_LV.X_(DP_Promo_53)" TargetMode="External"/><Relationship Id="rId4" Type="http://schemas.openxmlformats.org/officeDocument/2006/relationships/hyperlink" Target="https://bulbapedia.bulbagarden.net/wiki/Pachirisu_(DP_Promo_4)" TargetMode="External"/><Relationship Id="rId9" Type="http://schemas.openxmlformats.org/officeDocument/2006/relationships/hyperlink" Target="https://bulbapedia.bulbagarden.net/wiki/Infernape_LV.X_(DP_Promo_10)" TargetMode="External"/><Relationship Id="rId14" Type="http://schemas.openxmlformats.org/officeDocument/2006/relationships/hyperlink" Target="https://bulbapedia.bulbagarden.net/wiki/Shinx_(DP_Promo_15)" TargetMode="External"/><Relationship Id="rId22" Type="http://schemas.openxmlformats.org/officeDocument/2006/relationships/hyperlink" Target="https://bulbapedia.bulbagarden.net/wiki/Glameow_(DP_Promo_23)" TargetMode="External"/><Relationship Id="rId27" Type="http://schemas.openxmlformats.org/officeDocument/2006/relationships/hyperlink" Target="https://bulbapedia.bulbagarden.net/wiki/Rhyperior_LV.X_(DP_Promo_29)" TargetMode="External"/><Relationship Id="rId30" Type="http://schemas.openxmlformats.org/officeDocument/2006/relationships/hyperlink" Target="https://bulbapedia.bulbagarden.net/wiki/Magnezone_(DP_Promo_32)" TargetMode="External"/><Relationship Id="rId35" Type="http://schemas.openxmlformats.org/officeDocument/2006/relationships/hyperlink" Target="https://bulbapedia.bulbagarden.net/wiki/Dialga_LV.X_(DP_Promo_37)" TargetMode="External"/><Relationship Id="rId43" Type="http://schemas.openxmlformats.org/officeDocument/2006/relationships/hyperlink" Target="https://bulbapedia.bulbagarden.net/wiki/Darkrai_(DP_Promo_52)" TargetMode="External"/><Relationship Id="rId8" Type="http://schemas.openxmlformats.org/officeDocument/2006/relationships/hyperlink" Target="https://bulbapedia.bulbagarden.net/wiki/Torterra_LV.X_(DP_Promo_9)" TargetMode="External"/><Relationship Id="rId3" Type="http://schemas.openxmlformats.org/officeDocument/2006/relationships/hyperlink" Target="https://bulbapedia.bulbagarden.net/wiki/Piplup_(DP_Promo_3)" TargetMode="External"/><Relationship Id="rId12" Type="http://schemas.openxmlformats.org/officeDocument/2006/relationships/hyperlink" Target="https://bulbapedia.bulbagarden.net/wiki/Buizel_(DP_Promo_13)" TargetMode="External"/><Relationship Id="rId17" Type="http://schemas.openxmlformats.org/officeDocument/2006/relationships/hyperlink" Target="https://bulbapedia.bulbagarden.net/wiki/Palkia_LV.X_(DP_Promo_18)" TargetMode="External"/><Relationship Id="rId25" Type="http://schemas.openxmlformats.org/officeDocument/2006/relationships/hyperlink" Target="https://bulbapedia.bulbagarden.net/wiki/Palkia_(DP_Promo_27)" TargetMode="External"/><Relationship Id="rId33" Type="http://schemas.openxmlformats.org/officeDocument/2006/relationships/hyperlink" Target="https://bulbapedia.bulbagarden.net/wiki/Porygon-Z_(DP_Promo_35)" TargetMode="External"/><Relationship Id="rId38" Type="http://schemas.openxmlformats.org/officeDocument/2006/relationships/hyperlink" Target="https://bulbapedia.bulbagarden.net/wiki/Regigigas_(DP_Promo_40)" TargetMode="External"/><Relationship Id="rId46" Type="http://schemas.openxmlformats.org/officeDocument/2006/relationships/hyperlink" Target="https://bulbapedia.bulbagarden.net/wiki/Ultimate_Zone_(DP_Promo_55)" TargetMode="External"/><Relationship Id="rId20" Type="http://schemas.openxmlformats.org/officeDocument/2006/relationships/hyperlink" Target="https://bulbapedia.bulbagarden.net/wiki/Raichu_(DP_Promo_21)" TargetMode="External"/><Relationship Id="rId41" Type="http://schemas.openxmlformats.org/officeDocument/2006/relationships/hyperlink" Target="https://bulbapedia.bulbagarden.net/wiki/Arceus_(DP_Promo_50)"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s://bulbapedia.bulbagarden.net/wiki/Floatzel_(Diamond_%26_Pearl_26)" TargetMode="External"/><Relationship Id="rId117" Type="http://schemas.openxmlformats.org/officeDocument/2006/relationships/hyperlink" Target="https://bulbapedia.bulbagarden.net/wiki/Energy_Search_(Diamond_%26_Pearl_117)" TargetMode="External"/><Relationship Id="rId21" Type="http://schemas.openxmlformats.org/officeDocument/2006/relationships/hyperlink" Target="https://bulbapedia.bulbagarden.net/wiki/Carnivine_(Diamond_%26_Pearl_21)" TargetMode="External"/><Relationship Id="rId42" Type="http://schemas.openxmlformats.org/officeDocument/2006/relationships/hyperlink" Target="https://bulbapedia.bulbagarden.net/wiki/Wynaut_(Diamond_%26_Pearl_42)" TargetMode="External"/><Relationship Id="rId47" Type="http://schemas.openxmlformats.org/officeDocument/2006/relationships/hyperlink" Target="https://bulbapedia.bulbagarden.net/wiki/Dusclops_(Diamond_%26_Pearl_47)" TargetMode="External"/><Relationship Id="rId63" Type="http://schemas.openxmlformats.org/officeDocument/2006/relationships/hyperlink" Target="https://bulbapedia.bulbagarden.net/wiki/Silcoon_(Diamond_%26_Pearl_63)" TargetMode="External"/><Relationship Id="rId68" Type="http://schemas.openxmlformats.org/officeDocument/2006/relationships/hyperlink" Target="https://bulbapedia.bulbagarden.net/wiki/Unown_D_(Diamond_%26_Pearl_68)" TargetMode="External"/><Relationship Id="rId84" Type="http://schemas.openxmlformats.org/officeDocument/2006/relationships/hyperlink" Target="https://bulbapedia.bulbagarden.net/wiki/Goldeen_(Diamond_%26_Pearl_84)" TargetMode="External"/><Relationship Id="rId89" Type="http://schemas.openxmlformats.org/officeDocument/2006/relationships/hyperlink" Target="https://bulbapedia.bulbagarden.net/wiki/Meditite_(Diamond_%26_Pearl_89)" TargetMode="External"/><Relationship Id="rId112" Type="http://schemas.openxmlformats.org/officeDocument/2006/relationships/hyperlink" Target="https://bulbapedia.bulbagarden.net/wiki/Professor_Rowan_(Diamond_%26_Pearl_112)" TargetMode="External"/><Relationship Id="rId16" Type="http://schemas.openxmlformats.org/officeDocument/2006/relationships/hyperlink" Target="https://bulbapedia.bulbagarden.net/wiki/Staraptor_(Diamond_%26_Pearl_16)" TargetMode="External"/><Relationship Id="rId107" Type="http://schemas.openxmlformats.org/officeDocument/2006/relationships/hyperlink" Target="https://bulbapedia.bulbagarden.net/wiki/Energy_Switch_(Diamond_%26_Pearl_107)" TargetMode="External"/><Relationship Id="rId11" Type="http://schemas.openxmlformats.org/officeDocument/2006/relationships/hyperlink" Target="https://bulbapedia.bulbagarden.net/wiki/Palkia_(Diamond_%26_Pearl_11)" TargetMode="External"/><Relationship Id="rId32" Type="http://schemas.openxmlformats.org/officeDocument/2006/relationships/hyperlink" Target="https://bulbapedia.bulbagarden.net/wiki/Medicham_(Diamond_%26_Pearl_32)" TargetMode="External"/><Relationship Id="rId37" Type="http://schemas.openxmlformats.org/officeDocument/2006/relationships/hyperlink" Target="https://bulbapedia.bulbagarden.net/wiki/Snorlax_(Diamond_%26_Pearl_37)" TargetMode="External"/><Relationship Id="rId53" Type="http://schemas.openxmlformats.org/officeDocument/2006/relationships/hyperlink" Target="https://bulbapedia.bulbagarden.net/wiki/Machoke_(Diamond_%26_Pearl_53)" TargetMode="External"/><Relationship Id="rId58" Type="http://schemas.openxmlformats.org/officeDocument/2006/relationships/hyperlink" Target="https://bulbapedia.bulbagarden.net/wiki/Prinplup_(Diamond_%26_Pearl_58)" TargetMode="External"/><Relationship Id="rId74" Type="http://schemas.openxmlformats.org/officeDocument/2006/relationships/hyperlink" Target="https://bulbapedia.bulbagarden.net/wiki/Chatot_(Diamond_%26_Pearl_74)" TargetMode="External"/><Relationship Id="rId79" Type="http://schemas.openxmlformats.org/officeDocument/2006/relationships/hyperlink" Target="https://bulbapedia.bulbagarden.net/wiki/Combee_(Diamond_%26_Pearl_79)" TargetMode="External"/><Relationship Id="rId102" Type="http://schemas.openxmlformats.org/officeDocument/2006/relationships/hyperlink" Target="https://bulbapedia.bulbagarden.net/wiki/Stunky_(Diamond_%26_Pearl_102)" TargetMode="External"/><Relationship Id="rId5" Type="http://schemas.openxmlformats.org/officeDocument/2006/relationships/hyperlink" Target="https://bulbapedia.bulbagarden.net/wiki/Infernape_(Diamond_%26_Pearl_5)" TargetMode="External"/><Relationship Id="rId90" Type="http://schemas.openxmlformats.org/officeDocument/2006/relationships/hyperlink" Target="https://bulbapedia.bulbagarden.net/wiki/Mime_Jr._(Diamond_%26_Pearl_90)" TargetMode="External"/><Relationship Id="rId95" Type="http://schemas.openxmlformats.org/officeDocument/2006/relationships/hyperlink" Target="https://bulbapedia.bulbagarden.net/wiki/Rhyhorn_(Diamond_%26_Pearl_95)" TargetMode="External"/><Relationship Id="rId22" Type="http://schemas.openxmlformats.org/officeDocument/2006/relationships/hyperlink" Target="https://bulbapedia.bulbagarden.net/wiki/Clefable_(Diamond_%26_Pearl_22)" TargetMode="External"/><Relationship Id="rId27" Type="http://schemas.openxmlformats.org/officeDocument/2006/relationships/hyperlink" Target="https://bulbapedia.bulbagarden.net/wiki/Gengar_(Diamond_%26_Pearl_27)" TargetMode="External"/><Relationship Id="rId43" Type="http://schemas.openxmlformats.org/officeDocument/2006/relationships/hyperlink" Target="https://bulbapedia.bulbagarden.net/wiki/Budew_(Diamond_%26_Pearl_43)" TargetMode="External"/><Relationship Id="rId48" Type="http://schemas.openxmlformats.org/officeDocument/2006/relationships/hyperlink" Target="https://bulbapedia.bulbagarden.net/wiki/Elekid_(Diamond_%26_Pearl_48)" TargetMode="External"/><Relationship Id="rId64" Type="http://schemas.openxmlformats.org/officeDocument/2006/relationships/hyperlink" Target="https://bulbapedia.bulbagarden.net/wiki/Staravia_(Diamond_%26_Pearl_64)" TargetMode="External"/><Relationship Id="rId69" Type="http://schemas.openxmlformats.org/officeDocument/2006/relationships/hyperlink" Target="https://bulbapedia.bulbagarden.net/wiki/Azurill_(Diamond_%26_Pearl_69)" TargetMode="External"/><Relationship Id="rId113" Type="http://schemas.openxmlformats.org/officeDocument/2006/relationships/hyperlink" Target="https://bulbapedia.bulbagarden.net/wiki/Rival_(Diamond_%26_Pearl_113)" TargetMode="External"/><Relationship Id="rId118" Type="http://schemas.openxmlformats.org/officeDocument/2006/relationships/hyperlink" Target="https://bulbapedia.bulbagarden.net/wiki/Potion_(Diamond_%26_Pearl_118)" TargetMode="External"/><Relationship Id="rId80" Type="http://schemas.openxmlformats.org/officeDocument/2006/relationships/hyperlink" Target="https://bulbapedia.bulbagarden.net/wiki/Duskull_(Diamond_%26_Pearl_80)" TargetMode="External"/><Relationship Id="rId85" Type="http://schemas.openxmlformats.org/officeDocument/2006/relationships/hyperlink" Target="https://bulbapedia.bulbagarden.net/wiki/Hoothoot_(Diamond_%26_Pearl_85)" TargetMode="External"/><Relationship Id="rId12" Type="http://schemas.openxmlformats.org/officeDocument/2006/relationships/hyperlink" Target="https://bulbapedia.bulbagarden.net/wiki/Rhyperior_(Diamond_%26_Pearl_12)" TargetMode="External"/><Relationship Id="rId17" Type="http://schemas.openxmlformats.org/officeDocument/2006/relationships/hyperlink" Target="https://bulbapedia.bulbagarden.net/wiki/Torterra_(Diamond_%26_Pearl_17)" TargetMode="External"/><Relationship Id="rId33" Type="http://schemas.openxmlformats.org/officeDocument/2006/relationships/hyperlink" Target="https://bulbapedia.bulbagarden.net/wiki/Munchlax_(Diamond_%26_Pearl_33)" TargetMode="External"/><Relationship Id="rId38" Type="http://schemas.openxmlformats.org/officeDocument/2006/relationships/hyperlink" Target="https://bulbapedia.bulbagarden.net/wiki/Steelix_(Diamond_%26_Pearl_38)" TargetMode="External"/><Relationship Id="rId59" Type="http://schemas.openxmlformats.org/officeDocument/2006/relationships/hyperlink" Target="https://bulbapedia.bulbagarden.net/wiki/Rapidash_(Diamond_%26_Pearl_59)" TargetMode="External"/><Relationship Id="rId103" Type="http://schemas.openxmlformats.org/officeDocument/2006/relationships/hyperlink" Target="https://bulbapedia.bulbagarden.net/wiki/Turtwig_(Diamond_%26_Pearl_103)" TargetMode="External"/><Relationship Id="rId108" Type="http://schemas.openxmlformats.org/officeDocument/2006/relationships/hyperlink" Target="https://bulbapedia.bulbagarden.net/wiki/Night_Pok%C3%A9mon_Center_(Diamond_%26_Pearl_108)" TargetMode="External"/><Relationship Id="rId54" Type="http://schemas.openxmlformats.org/officeDocument/2006/relationships/hyperlink" Target="https://bulbapedia.bulbagarden.net/wiki/Magneton_(Diamond_%26_Pearl_54)" TargetMode="External"/><Relationship Id="rId70" Type="http://schemas.openxmlformats.org/officeDocument/2006/relationships/hyperlink" Target="https://bulbapedia.bulbagarden.net/wiki/Bidoof_(Diamond_%26_Pearl_70)" TargetMode="External"/><Relationship Id="rId75" Type="http://schemas.openxmlformats.org/officeDocument/2006/relationships/hyperlink" Target="https://bulbapedia.bulbagarden.net/wiki/Cherubi_(Diamond_%26_Pearl_75)" TargetMode="External"/><Relationship Id="rId91" Type="http://schemas.openxmlformats.org/officeDocument/2006/relationships/hyperlink" Target="https://bulbapedia.bulbagarden.net/wiki/Misdreavus_(Diamond_%26_Pearl_91)" TargetMode="External"/><Relationship Id="rId96" Type="http://schemas.openxmlformats.org/officeDocument/2006/relationships/hyperlink" Target="https://bulbapedia.bulbagarden.net/wiki/Roselia_(Diamond_%26_Pearl_96)" TargetMode="External"/><Relationship Id="rId1" Type="http://schemas.openxmlformats.org/officeDocument/2006/relationships/hyperlink" Target="https://bulbapedia.bulbagarden.net/wiki/Dialga_(Diamond_%26_Pearl_1)" TargetMode="External"/><Relationship Id="rId6" Type="http://schemas.openxmlformats.org/officeDocument/2006/relationships/hyperlink" Target="https://bulbapedia.bulbagarden.net/wiki/Lucario_(Diamond_%26_Pearl_6)" TargetMode="External"/><Relationship Id="rId23" Type="http://schemas.openxmlformats.org/officeDocument/2006/relationships/hyperlink" Target="https://bulbapedia.bulbagarden.net/wiki/Drapion_(Diamond_%26_Pearl_23)" TargetMode="External"/><Relationship Id="rId28" Type="http://schemas.openxmlformats.org/officeDocument/2006/relationships/hyperlink" Target="https://bulbapedia.bulbagarden.net/wiki/Heracross_(Diamond_%26_Pearl_28)" TargetMode="External"/><Relationship Id="rId49" Type="http://schemas.openxmlformats.org/officeDocument/2006/relationships/hyperlink" Target="https://bulbapedia.bulbagarden.net/wiki/Grotle_(Diamond_%26_Pearl_49)" TargetMode="External"/><Relationship Id="rId114" Type="http://schemas.openxmlformats.org/officeDocument/2006/relationships/hyperlink" Target="https://bulbapedia.bulbagarden.net/wiki/Speed_Stadium_(Diamond_%26_Pearl_114)" TargetMode="External"/><Relationship Id="rId119" Type="http://schemas.openxmlformats.org/officeDocument/2006/relationships/hyperlink" Target="https://bulbapedia.bulbagarden.net/wiki/Switch_(Diamond_%26_Pearl_119)" TargetMode="External"/><Relationship Id="rId44" Type="http://schemas.openxmlformats.org/officeDocument/2006/relationships/hyperlink" Target="https://bulbapedia.bulbagarden.net/wiki/Cascoon_(Diamond_%26_Pearl_44)" TargetMode="External"/><Relationship Id="rId60" Type="http://schemas.openxmlformats.org/officeDocument/2006/relationships/hyperlink" Target="https://bulbapedia.bulbagarden.net/wiki/Rhydon_(Diamond_%26_Pearl_60)" TargetMode="External"/><Relationship Id="rId65" Type="http://schemas.openxmlformats.org/officeDocument/2006/relationships/hyperlink" Target="https://bulbapedia.bulbagarden.net/wiki/Unown_A_(Diamond_%26_Pearl_65)" TargetMode="External"/><Relationship Id="rId81" Type="http://schemas.openxmlformats.org/officeDocument/2006/relationships/hyperlink" Target="https://bulbapedia.bulbagarden.net/wiki/Electabuzz_(Diamond_%26_Pearl_81)" TargetMode="External"/><Relationship Id="rId86" Type="http://schemas.openxmlformats.org/officeDocument/2006/relationships/hyperlink" Target="https://bulbapedia.bulbagarden.net/wiki/Machop_(Diamond_%26_Pearl_86)" TargetMode="External"/><Relationship Id="rId4" Type="http://schemas.openxmlformats.org/officeDocument/2006/relationships/hyperlink" Target="https://bulbapedia.bulbagarden.net/wiki/Empoleon_(Diamond_%26_Pearl_4)" TargetMode="External"/><Relationship Id="rId9" Type="http://schemas.openxmlformats.org/officeDocument/2006/relationships/hyperlink" Target="https://bulbapedia.bulbagarden.net/wiki/Manaphy_(Diamond_%26_Pearl_9)" TargetMode="External"/><Relationship Id="rId13" Type="http://schemas.openxmlformats.org/officeDocument/2006/relationships/hyperlink" Target="https://bulbapedia.bulbagarden.net/wiki/Roserade_(Diamond_%26_Pearl_13)" TargetMode="External"/><Relationship Id="rId18" Type="http://schemas.openxmlformats.org/officeDocument/2006/relationships/hyperlink" Target="https://bulbapedia.bulbagarden.net/wiki/Azumarill_(Diamond_%26_Pearl_18)" TargetMode="External"/><Relationship Id="rId39" Type="http://schemas.openxmlformats.org/officeDocument/2006/relationships/hyperlink" Target="https://bulbapedia.bulbagarden.net/wiki/Vespiquen_(Diamond_%26_Pearl_39)" TargetMode="External"/><Relationship Id="rId109" Type="http://schemas.openxmlformats.org/officeDocument/2006/relationships/hyperlink" Target="https://bulbapedia.bulbagarden.net/wiki/PlusPower_(Diamond_%26_Pearl_109)" TargetMode="External"/><Relationship Id="rId34" Type="http://schemas.openxmlformats.org/officeDocument/2006/relationships/hyperlink" Target="https://bulbapedia.bulbagarden.net/wiki/Noctowl_(Diamond_%26_Pearl_34)" TargetMode="External"/><Relationship Id="rId50" Type="http://schemas.openxmlformats.org/officeDocument/2006/relationships/hyperlink" Target="https://bulbapedia.bulbagarden.net/wiki/Haunter_(Diamond_%26_Pearl_50)" TargetMode="External"/><Relationship Id="rId55" Type="http://schemas.openxmlformats.org/officeDocument/2006/relationships/hyperlink" Target="https://bulbapedia.bulbagarden.net/wiki/Mantyke_(Diamond_%26_Pearl_55)" TargetMode="External"/><Relationship Id="rId76" Type="http://schemas.openxmlformats.org/officeDocument/2006/relationships/hyperlink" Target="https://bulbapedia.bulbagarden.net/wiki/Chimchar_(Diamond_%26_Pearl_76)" TargetMode="External"/><Relationship Id="rId97" Type="http://schemas.openxmlformats.org/officeDocument/2006/relationships/hyperlink" Target="https://bulbapedia.bulbagarden.net/wiki/Seedot_(Diamond_%26_Pearl_97)" TargetMode="External"/><Relationship Id="rId104" Type="http://schemas.openxmlformats.org/officeDocument/2006/relationships/hyperlink" Target="https://bulbapedia.bulbagarden.net/wiki/Wurmple_(Diamond_%26_Pearl_104)" TargetMode="External"/><Relationship Id="rId120" Type="http://schemas.openxmlformats.org/officeDocument/2006/relationships/hyperlink" Target="https://bulbapedia.bulbagarden.net/wiki/Empoleon_LV.X_(Diamond_%26_Pearl_120)" TargetMode="External"/><Relationship Id="rId7" Type="http://schemas.openxmlformats.org/officeDocument/2006/relationships/hyperlink" Target="https://bulbapedia.bulbagarden.net/wiki/Luxray_(Diamond_%26_Pearl_7)" TargetMode="External"/><Relationship Id="rId71" Type="http://schemas.openxmlformats.org/officeDocument/2006/relationships/hyperlink" Target="https://bulbapedia.bulbagarden.net/wiki/Bonsly_(Diamond_%26_Pearl_71)" TargetMode="External"/><Relationship Id="rId92" Type="http://schemas.openxmlformats.org/officeDocument/2006/relationships/hyperlink" Target="https://bulbapedia.bulbagarden.net/wiki/Onix_(Diamond_%26_Pearl_92)" TargetMode="External"/><Relationship Id="rId2" Type="http://schemas.openxmlformats.org/officeDocument/2006/relationships/hyperlink" Target="https://bulbapedia.bulbagarden.net/wiki/Dusknoir_(Diamond_%26_Pearl_2)" TargetMode="External"/><Relationship Id="rId29" Type="http://schemas.openxmlformats.org/officeDocument/2006/relationships/hyperlink" Target="https://bulbapedia.bulbagarden.net/wiki/Hippowdon_(Diamond_%26_Pearl_29)" TargetMode="External"/><Relationship Id="rId24" Type="http://schemas.openxmlformats.org/officeDocument/2006/relationships/hyperlink" Target="https://bulbapedia.bulbagarden.net/wiki/Drifblim_(Diamond_%26_Pearl_24)" TargetMode="External"/><Relationship Id="rId40" Type="http://schemas.openxmlformats.org/officeDocument/2006/relationships/hyperlink" Target="https://bulbapedia.bulbagarden.net/wiki/Weavile_(Diamond_%26_Pearl_40)" TargetMode="External"/><Relationship Id="rId45" Type="http://schemas.openxmlformats.org/officeDocument/2006/relationships/hyperlink" Target="https://bulbapedia.bulbagarden.net/wiki/Cherrim_(Diamond_%26_Pearl_45)" TargetMode="External"/><Relationship Id="rId66" Type="http://schemas.openxmlformats.org/officeDocument/2006/relationships/hyperlink" Target="https://bulbapedia.bulbagarden.net/wiki/Unown_B_(Diamond_%26_Pearl_66)" TargetMode="External"/><Relationship Id="rId87" Type="http://schemas.openxmlformats.org/officeDocument/2006/relationships/hyperlink" Target="https://bulbapedia.bulbagarden.net/wiki/Magnemite_(Diamond_%26_Pearl_87)" TargetMode="External"/><Relationship Id="rId110" Type="http://schemas.openxmlformats.org/officeDocument/2006/relationships/hyperlink" Target="https://bulbapedia.bulbagarden.net/wiki/Pok%C3%A9_Ball_(Diamond_%26_Pearl_110)" TargetMode="External"/><Relationship Id="rId115" Type="http://schemas.openxmlformats.org/officeDocument/2006/relationships/hyperlink" Target="https://bulbapedia.bulbagarden.net/wiki/Super_Scoop_Up_(Diamond_%26_Pearl_115)" TargetMode="External"/><Relationship Id="rId61" Type="http://schemas.openxmlformats.org/officeDocument/2006/relationships/hyperlink" Target="https://bulbapedia.bulbagarden.net/wiki/Riolu_(Diamond_%26_Pearl_61)" TargetMode="External"/><Relationship Id="rId82" Type="http://schemas.openxmlformats.org/officeDocument/2006/relationships/hyperlink" Target="https://bulbapedia.bulbagarden.net/wiki/Gastly_(Diamond_%26_Pearl_82)" TargetMode="External"/><Relationship Id="rId19" Type="http://schemas.openxmlformats.org/officeDocument/2006/relationships/hyperlink" Target="https://bulbapedia.bulbagarden.net/wiki/Beautifly_(Diamond_%26_Pearl_19)" TargetMode="External"/><Relationship Id="rId14" Type="http://schemas.openxmlformats.org/officeDocument/2006/relationships/hyperlink" Target="https://bulbapedia.bulbagarden.net/wiki/Shiftry_(Diamond_%26_Pearl_14)" TargetMode="External"/><Relationship Id="rId30" Type="http://schemas.openxmlformats.org/officeDocument/2006/relationships/hyperlink" Target="https://bulbapedia.bulbagarden.net/wiki/Lopunny_(Diamond_%26_Pearl_30)" TargetMode="External"/><Relationship Id="rId35" Type="http://schemas.openxmlformats.org/officeDocument/2006/relationships/hyperlink" Target="https://bulbapedia.bulbagarden.net/wiki/Pachirisu_(Diamond_%26_Pearl_35)" TargetMode="External"/><Relationship Id="rId56" Type="http://schemas.openxmlformats.org/officeDocument/2006/relationships/hyperlink" Target="https://bulbapedia.bulbagarden.net/wiki/Monferno_(Diamond_%26_Pearl_56)" TargetMode="External"/><Relationship Id="rId77" Type="http://schemas.openxmlformats.org/officeDocument/2006/relationships/hyperlink" Target="https://bulbapedia.bulbagarden.net/wiki/Clefairy_(Diamond_%26_Pearl_77)" TargetMode="External"/><Relationship Id="rId100" Type="http://schemas.openxmlformats.org/officeDocument/2006/relationships/hyperlink" Target="https://bulbapedia.bulbagarden.net/wiki/Sneasel_(Diamond_%26_Pearl_100)" TargetMode="External"/><Relationship Id="rId105" Type="http://schemas.openxmlformats.org/officeDocument/2006/relationships/hyperlink" Target="https://bulbapedia.bulbagarden.net/wiki/Double_Full_Heal_(Diamond_%26_Pearl_105)" TargetMode="External"/><Relationship Id="rId8" Type="http://schemas.openxmlformats.org/officeDocument/2006/relationships/hyperlink" Target="https://bulbapedia.bulbagarden.net/wiki/Magnezone_(Diamond_%26_Pearl_8)" TargetMode="External"/><Relationship Id="rId51" Type="http://schemas.openxmlformats.org/officeDocument/2006/relationships/hyperlink" Target="https://bulbapedia.bulbagarden.net/wiki/Hippopotas_(Diamond_%26_Pearl_51)" TargetMode="External"/><Relationship Id="rId72" Type="http://schemas.openxmlformats.org/officeDocument/2006/relationships/hyperlink" Target="https://bulbapedia.bulbagarden.net/wiki/Buizel_(Diamond_%26_Pearl_72)" TargetMode="External"/><Relationship Id="rId93" Type="http://schemas.openxmlformats.org/officeDocument/2006/relationships/hyperlink" Target="https://bulbapedia.bulbagarden.net/wiki/Piplup_(Diamond_%26_Pearl_93)" TargetMode="External"/><Relationship Id="rId98" Type="http://schemas.openxmlformats.org/officeDocument/2006/relationships/hyperlink" Target="https://bulbapedia.bulbagarden.net/wiki/Shinx_(Diamond_%26_Pearl_98)" TargetMode="External"/><Relationship Id="rId121" Type="http://schemas.openxmlformats.org/officeDocument/2006/relationships/hyperlink" Target="https://bulbapedia.bulbagarden.net/wiki/Infernape_LV.X_(Diamond_%26_Pearl_121)" TargetMode="External"/><Relationship Id="rId3" Type="http://schemas.openxmlformats.org/officeDocument/2006/relationships/hyperlink" Target="https://bulbapedia.bulbagarden.net/wiki/Electivire_(Diamond_%26_Pearl_3)" TargetMode="External"/><Relationship Id="rId25" Type="http://schemas.openxmlformats.org/officeDocument/2006/relationships/hyperlink" Target="https://bulbapedia.bulbagarden.net/wiki/Dustox_(Diamond_%26_Pearl_25)" TargetMode="External"/><Relationship Id="rId46" Type="http://schemas.openxmlformats.org/officeDocument/2006/relationships/hyperlink" Target="https://bulbapedia.bulbagarden.net/wiki/Drifloon_(Diamond_%26_Pearl_46)" TargetMode="External"/><Relationship Id="rId67" Type="http://schemas.openxmlformats.org/officeDocument/2006/relationships/hyperlink" Target="https://bulbapedia.bulbagarden.net/wiki/Unown_C_(Diamond_%26_Pearl_67)" TargetMode="External"/><Relationship Id="rId116" Type="http://schemas.openxmlformats.org/officeDocument/2006/relationships/hyperlink" Target="https://bulbapedia.bulbagarden.net/wiki/Warp_Point_(Diamond_%26_Pearl_116)" TargetMode="External"/><Relationship Id="rId20" Type="http://schemas.openxmlformats.org/officeDocument/2006/relationships/hyperlink" Target="https://bulbapedia.bulbagarden.net/wiki/Bibarel_(Diamond_%26_Pearl_20)" TargetMode="External"/><Relationship Id="rId41" Type="http://schemas.openxmlformats.org/officeDocument/2006/relationships/hyperlink" Target="https://bulbapedia.bulbagarden.net/wiki/Wobbuffet_(Diamond_%26_Pearl_41)" TargetMode="External"/><Relationship Id="rId62" Type="http://schemas.openxmlformats.org/officeDocument/2006/relationships/hyperlink" Target="https://bulbapedia.bulbagarden.net/wiki/Seaking_(Diamond_%26_Pearl_62)" TargetMode="External"/><Relationship Id="rId83" Type="http://schemas.openxmlformats.org/officeDocument/2006/relationships/hyperlink" Target="https://bulbapedia.bulbagarden.net/wiki/Glameow_(Diamond_%26_Pearl_83)" TargetMode="External"/><Relationship Id="rId88" Type="http://schemas.openxmlformats.org/officeDocument/2006/relationships/hyperlink" Target="https://bulbapedia.bulbagarden.net/wiki/Marill_(Diamond_%26_Pearl_88)" TargetMode="External"/><Relationship Id="rId111" Type="http://schemas.openxmlformats.org/officeDocument/2006/relationships/hyperlink" Target="https://bulbapedia.bulbagarden.net/wiki/Pok%C3%A9dex_HANDY910is_(Diamond_%26_Pearl_111)" TargetMode="External"/><Relationship Id="rId15" Type="http://schemas.openxmlformats.org/officeDocument/2006/relationships/hyperlink" Target="https://bulbapedia.bulbagarden.net/wiki/Skuntank_(Diamond_%26_Pearl_15)" TargetMode="External"/><Relationship Id="rId36" Type="http://schemas.openxmlformats.org/officeDocument/2006/relationships/hyperlink" Target="https://bulbapedia.bulbagarden.net/wiki/Purugly_(Diamond_%26_Pearl_36)" TargetMode="External"/><Relationship Id="rId57" Type="http://schemas.openxmlformats.org/officeDocument/2006/relationships/hyperlink" Target="https://bulbapedia.bulbagarden.net/wiki/Nuzleaf_(Diamond_%26_Pearl_57)" TargetMode="External"/><Relationship Id="rId106" Type="http://schemas.openxmlformats.org/officeDocument/2006/relationships/hyperlink" Target="https://bulbapedia.bulbagarden.net/wiki/Energy_Restore_(Diamond_%26_Pearl_106)" TargetMode="External"/><Relationship Id="rId10" Type="http://schemas.openxmlformats.org/officeDocument/2006/relationships/hyperlink" Target="https://bulbapedia.bulbagarden.net/wiki/Mismagius_(Diamond_%26_Pearl_10)" TargetMode="External"/><Relationship Id="rId31" Type="http://schemas.openxmlformats.org/officeDocument/2006/relationships/hyperlink" Target="https://bulbapedia.bulbagarden.net/wiki/Machamp_(Diamond_%26_Pearl_31)" TargetMode="External"/><Relationship Id="rId52" Type="http://schemas.openxmlformats.org/officeDocument/2006/relationships/hyperlink" Target="https://bulbapedia.bulbagarden.net/wiki/Luxio_(Diamond_%26_Pearl_52)" TargetMode="External"/><Relationship Id="rId73" Type="http://schemas.openxmlformats.org/officeDocument/2006/relationships/hyperlink" Target="https://bulbapedia.bulbagarden.net/wiki/Buneary_(Diamond_%26_Pearl_73)" TargetMode="External"/><Relationship Id="rId78" Type="http://schemas.openxmlformats.org/officeDocument/2006/relationships/hyperlink" Target="https://bulbapedia.bulbagarden.net/wiki/Cleffa_(Diamond_%26_Pearl_78)" TargetMode="External"/><Relationship Id="rId94" Type="http://schemas.openxmlformats.org/officeDocument/2006/relationships/hyperlink" Target="https://bulbapedia.bulbagarden.net/wiki/Ponyta_(Diamond_%26_Pearl_94)" TargetMode="External"/><Relationship Id="rId99" Type="http://schemas.openxmlformats.org/officeDocument/2006/relationships/hyperlink" Target="https://bulbapedia.bulbagarden.net/wiki/Skorupi_(Diamond_%26_Pearl_99)" TargetMode="External"/><Relationship Id="rId101" Type="http://schemas.openxmlformats.org/officeDocument/2006/relationships/hyperlink" Target="https://bulbapedia.bulbagarden.net/wiki/Starly_(Diamond_%26_Pearl_101)" TargetMode="External"/><Relationship Id="rId122" Type="http://schemas.openxmlformats.org/officeDocument/2006/relationships/hyperlink" Target="https://bulbapedia.bulbagarden.net/wiki/Torterra_LV.X_(Diamond_%26_Pearl_122)"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s://bulbapedia.bulbagarden.net/wiki/Gyarados_(Mysterious_Treasures_26)" TargetMode="External"/><Relationship Id="rId117" Type="http://schemas.openxmlformats.org/officeDocument/2006/relationships/hyperlink" Target="https://bulbapedia.bulbagarden.net/wiki/Skull_Fossil_(Mysterious_Treasures_117)" TargetMode="External"/><Relationship Id="rId21" Type="http://schemas.openxmlformats.org/officeDocument/2006/relationships/hyperlink" Target="https://bulbapedia.bulbagarden.net/wiki/Bastiodon_(Mysterious_Treasures_21)" TargetMode="External"/><Relationship Id="rId42" Type="http://schemas.openxmlformats.org/officeDocument/2006/relationships/hyperlink" Target="https://bulbapedia.bulbagarden.net/wiki/Chingling_(Mysterious_Treasures_42)" TargetMode="External"/><Relationship Id="rId47" Type="http://schemas.openxmlformats.org/officeDocument/2006/relationships/hyperlink" Target="https://bulbapedia.bulbagarden.net/wiki/Dunsparce_(Mysterious_Treasures_47)" TargetMode="External"/><Relationship Id="rId63" Type="http://schemas.openxmlformats.org/officeDocument/2006/relationships/hyperlink" Target="https://bulbapedia.bulbagarden.net/wiki/Shieldon_(Mysterious_Treasures_63)" TargetMode="External"/><Relationship Id="rId68" Type="http://schemas.openxmlformats.org/officeDocument/2006/relationships/hyperlink" Target="https://bulbapedia.bulbagarden.net/wiki/Vigoroth_(Mysterious_Treasures_68)" TargetMode="External"/><Relationship Id="rId84" Type="http://schemas.openxmlformats.org/officeDocument/2006/relationships/hyperlink" Target="https://bulbapedia.bulbagarden.net/wiki/Geodude_(Mysterious_Treasures_84)" TargetMode="External"/><Relationship Id="rId89" Type="http://schemas.openxmlformats.org/officeDocument/2006/relationships/hyperlink" Target="https://bulbapedia.bulbagarden.net/wiki/Magikarp_(Mysterious_Treasures_89)" TargetMode="External"/><Relationship Id="rId112" Type="http://schemas.openxmlformats.org/officeDocument/2006/relationships/hyperlink" Target="https://bulbapedia.bulbagarden.net/wiki/Lake_Boundary_(Mysterious_Treasures_112)" TargetMode="External"/><Relationship Id="rId16" Type="http://schemas.openxmlformats.org/officeDocument/2006/relationships/hyperlink" Target="https://bulbapedia.bulbagarden.net/wiki/Typhlosion_(Mysterious_Treasures_16)" TargetMode="External"/><Relationship Id="rId107" Type="http://schemas.openxmlformats.org/officeDocument/2006/relationships/hyperlink" Target="https://bulbapedia.bulbagarden.net/wiki/Vulpix_(Mysterious_Treasures_107)" TargetMode="External"/><Relationship Id="rId11" Type="http://schemas.openxmlformats.org/officeDocument/2006/relationships/hyperlink" Target="https://bulbapedia.bulbagarden.net/wiki/Lumineon_(Mysterious_Treasures_11)" TargetMode="External"/><Relationship Id="rId32" Type="http://schemas.openxmlformats.org/officeDocument/2006/relationships/hyperlink" Target="https://bulbapedia.bulbagarden.net/wiki/Ninetales_(Mysterious_Treasures_32)" TargetMode="External"/><Relationship Id="rId37" Type="http://schemas.openxmlformats.org/officeDocument/2006/relationships/hyperlink" Target="https://bulbapedia.bulbagarden.net/wiki/Unown_I_(Mysterious_Treasures_37)" TargetMode="External"/><Relationship Id="rId53" Type="http://schemas.openxmlformats.org/officeDocument/2006/relationships/hyperlink" Target="https://bulbapedia.bulbagarden.net/wiki/Lairon_(Mysterious_Treasures_53)" TargetMode="External"/><Relationship Id="rId58" Type="http://schemas.openxmlformats.org/officeDocument/2006/relationships/hyperlink" Target="https://bulbapedia.bulbagarden.net/wiki/Parasect_(Mysterious_Treasures_58)" TargetMode="External"/><Relationship Id="rId74" Type="http://schemas.openxmlformats.org/officeDocument/2006/relationships/hyperlink" Target="https://bulbapedia.bulbagarden.net/wiki/Bronzor_(Mysterious_Treasures_74)" TargetMode="External"/><Relationship Id="rId79" Type="http://schemas.openxmlformats.org/officeDocument/2006/relationships/hyperlink" Target="https://bulbapedia.bulbagarden.net/wiki/Cyndaquil_(Mysterious_Treasures_79)" TargetMode="External"/><Relationship Id="rId102" Type="http://schemas.openxmlformats.org/officeDocument/2006/relationships/hyperlink" Target="https://bulbapedia.bulbagarden.net/wiki/Spheal_(Mysterious_Treasures_102)" TargetMode="External"/><Relationship Id="rId123" Type="http://schemas.openxmlformats.org/officeDocument/2006/relationships/hyperlink" Target="https://bulbapedia.bulbagarden.net/wiki/Magmortar_LV.X_(Mysterious_Treasures_123)" TargetMode="External"/><Relationship Id="rId5" Type="http://schemas.openxmlformats.org/officeDocument/2006/relationships/hyperlink" Target="https://bulbapedia.bulbagarden.net/wiki/Blissey_(Mysterious_Treasures_5)" TargetMode="External"/><Relationship Id="rId90" Type="http://schemas.openxmlformats.org/officeDocument/2006/relationships/hyperlink" Target="https://bulbapedia.bulbagarden.net/wiki/Murkrow_(Mysterious_Treasures_90)" TargetMode="External"/><Relationship Id="rId95" Type="http://schemas.openxmlformats.org/officeDocument/2006/relationships/hyperlink" Target="https://bulbapedia.bulbagarden.net/wiki/Remoraid_(Mysterious_Treasures_95)" TargetMode="External"/><Relationship Id="rId22" Type="http://schemas.openxmlformats.org/officeDocument/2006/relationships/hyperlink" Target="https://bulbapedia.bulbagarden.net/wiki/Chimecho_(Mysterious_Treasures_22)" TargetMode="External"/><Relationship Id="rId27" Type="http://schemas.openxmlformats.org/officeDocument/2006/relationships/hyperlink" Target="https://bulbapedia.bulbagarden.net/wiki/Kricketune_(Mysterious_Treasures_27)" TargetMode="External"/><Relationship Id="rId43" Type="http://schemas.openxmlformats.org/officeDocument/2006/relationships/hyperlink" Target="https://bulbapedia.bulbagarden.net/wiki/Cranidos_(Mysterious_Treasures_43)" TargetMode="External"/><Relationship Id="rId48" Type="http://schemas.openxmlformats.org/officeDocument/2006/relationships/hyperlink" Target="https://bulbapedia.bulbagarden.net/wiki/Gabite_(Mysterious_Treasures_48)" TargetMode="External"/><Relationship Id="rId64" Type="http://schemas.openxmlformats.org/officeDocument/2006/relationships/hyperlink" Target="https://bulbapedia.bulbagarden.net/wiki/Tropius_(Mysterious_Treasures_64)" TargetMode="External"/><Relationship Id="rId69" Type="http://schemas.openxmlformats.org/officeDocument/2006/relationships/hyperlink" Target="https://bulbapedia.bulbagarden.net/wiki/Abra_(Mysterious_Treasures_69)" TargetMode="External"/><Relationship Id="rId113" Type="http://schemas.openxmlformats.org/officeDocument/2006/relationships/hyperlink" Target="https://bulbapedia.bulbagarden.net/wiki/Night_Maintenance_(Mysterious_Treasures_113)" TargetMode="External"/><Relationship Id="rId118" Type="http://schemas.openxmlformats.org/officeDocument/2006/relationships/hyperlink" Target="https://bulbapedia.bulbagarden.net/wiki/Multi_Energy_(Mysterious_Treasures_118)" TargetMode="External"/><Relationship Id="rId80" Type="http://schemas.openxmlformats.org/officeDocument/2006/relationships/hyperlink" Target="https://bulbapedia.bulbagarden.net/wiki/Doduo_(Mysterious_Treasures_80)" TargetMode="External"/><Relationship Id="rId85" Type="http://schemas.openxmlformats.org/officeDocument/2006/relationships/hyperlink" Target="https://bulbapedia.bulbagarden.net/wiki/Gible_(Mysterious_Treasures_85)" TargetMode="External"/><Relationship Id="rId12" Type="http://schemas.openxmlformats.org/officeDocument/2006/relationships/hyperlink" Target="https://bulbapedia.bulbagarden.net/wiki/Magmortar_(Mysterious_Treasures_12)" TargetMode="External"/><Relationship Id="rId17" Type="http://schemas.openxmlformats.org/officeDocument/2006/relationships/hyperlink" Target="https://bulbapedia.bulbagarden.net/wiki/Tyranitar_(Mysterious_Treasures_17)" TargetMode="External"/><Relationship Id="rId33" Type="http://schemas.openxmlformats.org/officeDocument/2006/relationships/hyperlink" Target="https://bulbapedia.bulbagarden.net/wiki/Rampardos_(Mysterious_Treasures_33)" TargetMode="External"/><Relationship Id="rId38" Type="http://schemas.openxmlformats.org/officeDocument/2006/relationships/hyperlink" Target="https://bulbapedia.bulbagarden.net/wiki/Ursaring_(Mysterious_Treasures_38)" TargetMode="External"/><Relationship Id="rId59" Type="http://schemas.openxmlformats.org/officeDocument/2006/relationships/hyperlink" Target="https://bulbapedia.bulbagarden.net/wiki/Pupitar_(Mysterious_Treasures_59)" TargetMode="External"/><Relationship Id="rId103" Type="http://schemas.openxmlformats.org/officeDocument/2006/relationships/hyperlink" Target="https://bulbapedia.bulbagarden.net/wiki/Spinarak_(Mysterious_Treasures_103)" TargetMode="External"/><Relationship Id="rId108" Type="http://schemas.openxmlformats.org/officeDocument/2006/relationships/hyperlink" Target="https://bulbapedia.bulbagarden.net/wiki/Zubat_(Mysterious_Treasures_108)" TargetMode="External"/><Relationship Id="rId124" Type="http://schemas.openxmlformats.org/officeDocument/2006/relationships/hyperlink" Target="https://bulbapedia.bulbagarden.net/wiki/Time-Space_Distortion_(Mysterious_Treasures_124)" TargetMode="External"/><Relationship Id="rId54" Type="http://schemas.openxmlformats.org/officeDocument/2006/relationships/hyperlink" Target="https://bulbapedia.bulbagarden.net/wiki/Magmar_(Mysterious_Treasures_54)" TargetMode="External"/><Relationship Id="rId70" Type="http://schemas.openxmlformats.org/officeDocument/2006/relationships/hyperlink" Target="https://bulbapedia.bulbagarden.net/wiki/Aipom_(Mysterious_Treasures_70)" TargetMode="External"/><Relationship Id="rId75" Type="http://schemas.openxmlformats.org/officeDocument/2006/relationships/hyperlink" Target="https://bulbapedia.bulbagarden.net/wiki/Buizel_(Mysterious_Treasures_75)" TargetMode="External"/><Relationship Id="rId91" Type="http://schemas.openxmlformats.org/officeDocument/2006/relationships/hyperlink" Target="https://bulbapedia.bulbagarden.net/wiki/Nidoran%E2%99%80_(Mysterious_Treasures_91)" TargetMode="External"/><Relationship Id="rId96" Type="http://schemas.openxmlformats.org/officeDocument/2006/relationships/hyperlink" Target="https://bulbapedia.bulbagarden.net/wiki/Sandshrew_(Mysterious_Treasures_96)" TargetMode="External"/><Relationship Id="rId1" Type="http://schemas.openxmlformats.org/officeDocument/2006/relationships/hyperlink" Target="https://bulbapedia.bulbagarden.net/wiki/Aggron_(Mysterious_Treasures_1)" TargetMode="External"/><Relationship Id="rId6" Type="http://schemas.openxmlformats.org/officeDocument/2006/relationships/hyperlink" Target="https://bulbapedia.bulbagarden.net/wiki/Bronzong_(Mysterious_Treasures_6)" TargetMode="External"/><Relationship Id="rId23" Type="http://schemas.openxmlformats.org/officeDocument/2006/relationships/hyperlink" Target="https://bulbapedia.bulbagarden.net/wiki/Crobat_(Mysterious_Treasures_23)" TargetMode="External"/><Relationship Id="rId28" Type="http://schemas.openxmlformats.org/officeDocument/2006/relationships/hyperlink" Target="https://bulbapedia.bulbagarden.net/wiki/Manectric_(Mysterious_Treasures_28)" TargetMode="External"/><Relationship Id="rId49" Type="http://schemas.openxmlformats.org/officeDocument/2006/relationships/hyperlink" Target="https://bulbapedia.bulbagarden.net/wiki/Girafarig_(Mysterious_Treasures_49)" TargetMode="External"/><Relationship Id="rId114" Type="http://schemas.openxmlformats.org/officeDocument/2006/relationships/hyperlink" Target="https://bulbapedia.bulbagarden.net/wiki/Quick_Ball_(Mysterious_Treasures_114)" TargetMode="External"/><Relationship Id="rId119" Type="http://schemas.openxmlformats.org/officeDocument/2006/relationships/hyperlink" Target="https://bulbapedia.bulbagarden.net/wiki/Darkness_Energy_(Mysterious_Treasures_119)" TargetMode="External"/><Relationship Id="rId44" Type="http://schemas.openxmlformats.org/officeDocument/2006/relationships/hyperlink" Target="https://bulbapedia.bulbagarden.net/wiki/Croconaw_(Mysterious_Treasures_44)" TargetMode="External"/><Relationship Id="rId60" Type="http://schemas.openxmlformats.org/officeDocument/2006/relationships/hyperlink" Target="https://bulbapedia.bulbagarden.net/wiki/Quilava_(Mysterious_Treasures_60)" TargetMode="External"/><Relationship Id="rId65" Type="http://schemas.openxmlformats.org/officeDocument/2006/relationships/hyperlink" Target="https://bulbapedia.bulbagarden.net/wiki/Unown_E_(Mysterious_Treasures_65)" TargetMode="External"/><Relationship Id="rId81" Type="http://schemas.openxmlformats.org/officeDocument/2006/relationships/hyperlink" Target="https://bulbapedia.bulbagarden.net/wiki/Electrike_(Mysterious_Treasures_81)" TargetMode="External"/><Relationship Id="rId86" Type="http://schemas.openxmlformats.org/officeDocument/2006/relationships/hyperlink" Target="https://bulbapedia.bulbagarden.net/wiki/Kricketot_(Mysterious_Treasures_86)" TargetMode="External"/><Relationship Id="rId4" Type="http://schemas.openxmlformats.org/officeDocument/2006/relationships/hyperlink" Target="https://bulbapedia.bulbagarden.net/wiki/Azelf_(Mysterious_Treasures_4)" TargetMode="External"/><Relationship Id="rId9" Type="http://schemas.openxmlformats.org/officeDocument/2006/relationships/hyperlink" Target="https://bulbapedia.bulbagarden.net/wiki/Garchomp_(Mysterious_Treasures_9)" TargetMode="External"/><Relationship Id="rId13" Type="http://schemas.openxmlformats.org/officeDocument/2006/relationships/hyperlink" Target="https://bulbapedia.bulbagarden.net/wiki/Meganium_(Mysterious_Treasures_13)" TargetMode="External"/><Relationship Id="rId18" Type="http://schemas.openxmlformats.org/officeDocument/2006/relationships/hyperlink" Target="https://bulbapedia.bulbagarden.net/wiki/Uxie_(Mysterious_Treasures_18)" TargetMode="External"/><Relationship Id="rId39" Type="http://schemas.openxmlformats.org/officeDocument/2006/relationships/hyperlink" Target="https://bulbapedia.bulbagarden.net/wiki/Walrein_(Mysterious_Treasures_39)" TargetMode="External"/><Relationship Id="rId109" Type="http://schemas.openxmlformats.org/officeDocument/2006/relationships/hyperlink" Target="https://bulbapedia.bulbagarden.net/wiki/Bebe%27s_Search_(Mysterious_Treasures_109)" TargetMode="External"/><Relationship Id="rId34" Type="http://schemas.openxmlformats.org/officeDocument/2006/relationships/hyperlink" Target="https://bulbapedia.bulbagarden.net/wiki/Slaking_(Mysterious_Treasures_34)" TargetMode="External"/><Relationship Id="rId50" Type="http://schemas.openxmlformats.org/officeDocument/2006/relationships/hyperlink" Target="https://bulbapedia.bulbagarden.net/wiki/Golbat_(Mysterious_Treasures_50)" TargetMode="External"/><Relationship Id="rId55" Type="http://schemas.openxmlformats.org/officeDocument/2006/relationships/hyperlink" Target="https://bulbapedia.bulbagarden.net/wiki/Masquerain_(Mysterious_Treasures_55)" TargetMode="External"/><Relationship Id="rId76" Type="http://schemas.openxmlformats.org/officeDocument/2006/relationships/hyperlink" Target="https://bulbapedia.bulbagarden.net/wiki/Chansey_(Mysterious_Treasures_76)" TargetMode="External"/><Relationship Id="rId97" Type="http://schemas.openxmlformats.org/officeDocument/2006/relationships/hyperlink" Target="https://bulbapedia.bulbagarden.net/wiki/Seel_(Mysterious_Treasures_97)" TargetMode="External"/><Relationship Id="rId104" Type="http://schemas.openxmlformats.org/officeDocument/2006/relationships/hyperlink" Target="https://bulbapedia.bulbagarden.net/wiki/Surskit_(Mysterious_Treasures_104)" TargetMode="External"/><Relationship Id="rId120" Type="http://schemas.openxmlformats.org/officeDocument/2006/relationships/hyperlink" Target="https://bulbapedia.bulbagarden.net/wiki/Metal_Energy_(Mysterious_Treasures_120)" TargetMode="External"/><Relationship Id="rId7" Type="http://schemas.openxmlformats.org/officeDocument/2006/relationships/hyperlink" Target="https://bulbapedia.bulbagarden.net/wiki/Celebi_(Mysterious_Treasures_7)" TargetMode="External"/><Relationship Id="rId71" Type="http://schemas.openxmlformats.org/officeDocument/2006/relationships/hyperlink" Target="https://bulbapedia.bulbagarden.net/wiki/Aron_(Mysterious_Treasures_71)" TargetMode="External"/><Relationship Id="rId92" Type="http://schemas.openxmlformats.org/officeDocument/2006/relationships/hyperlink" Target="https://bulbapedia.bulbagarden.net/wiki/Paras_(Mysterious_Treasures_92)" TargetMode="External"/><Relationship Id="rId2" Type="http://schemas.openxmlformats.org/officeDocument/2006/relationships/hyperlink" Target="https://bulbapedia.bulbagarden.net/wiki/Alakazam_(Mysterious_Treasures_2)" TargetMode="External"/><Relationship Id="rId29" Type="http://schemas.openxmlformats.org/officeDocument/2006/relationships/hyperlink" Target="https://bulbapedia.bulbagarden.net/wiki/Mantine_(Mysterious_Treasures_29)" TargetMode="External"/><Relationship Id="rId24" Type="http://schemas.openxmlformats.org/officeDocument/2006/relationships/hyperlink" Target="https://bulbapedia.bulbagarden.net/wiki/Exeggutor_(Mysterious_Treasures_24)" TargetMode="External"/><Relationship Id="rId40" Type="http://schemas.openxmlformats.org/officeDocument/2006/relationships/hyperlink" Target="https://bulbapedia.bulbagarden.net/wiki/Whiscash_(Mysterious_Treasures_40)" TargetMode="External"/><Relationship Id="rId45" Type="http://schemas.openxmlformats.org/officeDocument/2006/relationships/hyperlink" Target="https://bulbapedia.bulbagarden.net/wiki/Dewgong_(Mysterious_Treasures_45)" TargetMode="External"/><Relationship Id="rId66" Type="http://schemas.openxmlformats.org/officeDocument/2006/relationships/hyperlink" Target="https://bulbapedia.bulbagarden.net/wiki/Unown_M_(Mysterious_Treasures_66)" TargetMode="External"/><Relationship Id="rId87" Type="http://schemas.openxmlformats.org/officeDocument/2006/relationships/hyperlink" Target="https://bulbapedia.bulbagarden.net/wiki/Larvitar_(Mysterious_Treasures_87)" TargetMode="External"/><Relationship Id="rId110" Type="http://schemas.openxmlformats.org/officeDocument/2006/relationships/hyperlink" Target="https://bulbapedia.bulbagarden.net/wiki/Dusk_Ball_(Mysterious_Treasures_110)" TargetMode="External"/><Relationship Id="rId115" Type="http://schemas.openxmlformats.org/officeDocument/2006/relationships/hyperlink" Target="https://bulbapedia.bulbagarden.net/wiki/Team_Galactic%27s_Wager_(Mysterious_Treasures_115)" TargetMode="External"/><Relationship Id="rId61" Type="http://schemas.openxmlformats.org/officeDocument/2006/relationships/hyperlink" Target="https://bulbapedia.bulbagarden.net/wiki/Sandslash_(Mysterious_Treasures_61)" TargetMode="External"/><Relationship Id="rId82" Type="http://schemas.openxmlformats.org/officeDocument/2006/relationships/hyperlink" Target="https://bulbapedia.bulbagarden.net/wiki/Exeggcute_(Mysterious_Treasures_82)" TargetMode="External"/><Relationship Id="rId19" Type="http://schemas.openxmlformats.org/officeDocument/2006/relationships/hyperlink" Target="https://bulbapedia.bulbagarden.net/wiki/Abomasnow_(Mysterious_Treasures_19)" TargetMode="External"/><Relationship Id="rId14" Type="http://schemas.openxmlformats.org/officeDocument/2006/relationships/hyperlink" Target="https://bulbapedia.bulbagarden.net/wiki/Mesprit_(Mysterious_Treasures_14)" TargetMode="External"/><Relationship Id="rId30" Type="http://schemas.openxmlformats.org/officeDocument/2006/relationships/hyperlink" Target="https://bulbapedia.bulbagarden.net/wiki/Mr._Mime_(Mysterious_Treasures_30)" TargetMode="External"/><Relationship Id="rId35" Type="http://schemas.openxmlformats.org/officeDocument/2006/relationships/hyperlink" Target="https://bulbapedia.bulbagarden.net/wiki/Sudowoodo_(Mysterious_Treasures_35)" TargetMode="External"/><Relationship Id="rId56" Type="http://schemas.openxmlformats.org/officeDocument/2006/relationships/hyperlink" Target="https://bulbapedia.bulbagarden.net/wiki/Nidorina_(Mysterious_Treasures_56)" TargetMode="External"/><Relationship Id="rId77" Type="http://schemas.openxmlformats.org/officeDocument/2006/relationships/hyperlink" Target="https://bulbapedia.bulbagarden.net/wiki/Chikorita_(Mysterious_Treasures_77)" TargetMode="External"/><Relationship Id="rId100" Type="http://schemas.openxmlformats.org/officeDocument/2006/relationships/hyperlink" Target="https://bulbapedia.bulbagarden.net/wiki/Snorunt_(Mysterious_Treasures_100)" TargetMode="External"/><Relationship Id="rId105" Type="http://schemas.openxmlformats.org/officeDocument/2006/relationships/hyperlink" Target="https://bulbapedia.bulbagarden.net/wiki/Teddiursa_(Mysterious_Treasures_105)" TargetMode="External"/><Relationship Id="rId8" Type="http://schemas.openxmlformats.org/officeDocument/2006/relationships/hyperlink" Target="https://bulbapedia.bulbagarden.net/wiki/Feraligatr_(Mysterious_Treasures_8)" TargetMode="External"/><Relationship Id="rId51" Type="http://schemas.openxmlformats.org/officeDocument/2006/relationships/hyperlink" Target="https://bulbapedia.bulbagarden.net/wiki/Graveler_(Mysterious_Treasures_51)" TargetMode="External"/><Relationship Id="rId72" Type="http://schemas.openxmlformats.org/officeDocument/2006/relationships/hyperlink" Target="https://bulbapedia.bulbagarden.net/wiki/Barboach_(Mysterious_Treasures_72)" TargetMode="External"/><Relationship Id="rId93" Type="http://schemas.openxmlformats.org/officeDocument/2006/relationships/hyperlink" Target="https://bulbapedia.bulbagarden.net/wiki/Pichu_(Mysterious_Treasures_93)" TargetMode="External"/><Relationship Id="rId98" Type="http://schemas.openxmlformats.org/officeDocument/2006/relationships/hyperlink" Target="https://bulbapedia.bulbagarden.net/wiki/Shinx_(Mysterious_Treasures_98)" TargetMode="External"/><Relationship Id="rId121" Type="http://schemas.openxmlformats.org/officeDocument/2006/relationships/hyperlink" Target="https://bulbapedia.bulbagarden.net/wiki/Electivire_LV.X_(Mysterious_Treasures_121)" TargetMode="External"/><Relationship Id="rId3" Type="http://schemas.openxmlformats.org/officeDocument/2006/relationships/hyperlink" Target="https://bulbapedia.bulbagarden.net/wiki/Ambipom_(Mysterious_Treasures_3)" TargetMode="External"/><Relationship Id="rId25" Type="http://schemas.openxmlformats.org/officeDocument/2006/relationships/hyperlink" Target="https://bulbapedia.bulbagarden.net/wiki/Glalie_(Mysterious_Treasures_25)" TargetMode="External"/><Relationship Id="rId46" Type="http://schemas.openxmlformats.org/officeDocument/2006/relationships/hyperlink" Target="https://bulbapedia.bulbagarden.net/wiki/Dodrio_(Mysterious_Treasures_46)" TargetMode="External"/><Relationship Id="rId67" Type="http://schemas.openxmlformats.org/officeDocument/2006/relationships/hyperlink" Target="https://bulbapedia.bulbagarden.net/wiki/Unown_T_(Mysterious_Treasures_67)" TargetMode="External"/><Relationship Id="rId116" Type="http://schemas.openxmlformats.org/officeDocument/2006/relationships/hyperlink" Target="https://bulbapedia.bulbagarden.net/wiki/Armor_Fossil_(Mysterious_Treasures_116)" TargetMode="External"/><Relationship Id="rId20" Type="http://schemas.openxmlformats.org/officeDocument/2006/relationships/hyperlink" Target="https://bulbapedia.bulbagarden.net/wiki/Ariados_(Mysterious_Treasures_20)" TargetMode="External"/><Relationship Id="rId41" Type="http://schemas.openxmlformats.org/officeDocument/2006/relationships/hyperlink" Target="https://bulbapedia.bulbagarden.net/wiki/Bayleef_(Mysterious_Treasures_41)" TargetMode="External"/><Relationship Id="rId62" Type="http://schemas.openxmlformats.org/officeDocument/2006/relationships/hyperlink" Target="https://bulbapedia.bulbagarden.net/wiki/Sealeo_(Mysterious_Treasures_62)" TargetMode="External"/><Relationship Id="rId83" Type="http://schemas.openxmlformats.org/officeDocument/2006/relationships/hyperlink" Target="https://bulbapedia.bulbagarden.net/wiki/Finneon_(Mysterious_Treasures_83)" TargetMode="External"/><Relationship Id="rId88" Type="http://schemas.openxmlformats.org/officeDocument/2006/relationships/hyperlink" Target="https://bulbapedia.bulbagarden.net/wiki/Magby_(Mysterious_Treasures_88)" TargetMode="External"/><Relationship Id="rId111" Type="http://schemas.openxmlformats.org/officeDocument/2006/relationships/hyperlink" Target="https://bulbapedia.bulbagarden.net/wiki/Fossil_Excavator_(Mysterious_Treasures_111)" TargetMode="External"/><Relationship Id="rId15" Type="http://schemas.openxmlformats.org/officeDocument/2006/relationships/hyperlink" Target="https://bulbapedia.bulbagarden.net/wiki/Raichu_(Mysterious_Treasures_15)" TargetMode="External"/><Relationship Id="rId36" Type="http://schemas.openxmlformats.org/officeDocument/2006/relationships/hyperlink" Target="https://bulbapedia.bulbagarden.net/wiki/Toxicroak_(Mysterious_Treasures_36)" TargetMode="External"/><Relationship Id="rId57" Type="http://schemas.openxmlformats.org/officeDocument/2006/relationships/hyperlink" Target="https://bulbapedia.bulbagarden.net/wiki/Octillery_(Mysterious_Treasures_57)" TargetMode="External"/><Relationship Id="rId106" Type="http://schemas.openxmlformats.org/officeDocument/2006/relationships/hyperlink" Target="https://bulbapedia.bulbagarden.net/wiki/Totodile_(Mysterious_Treasures_106)" TargetMode="External"/><Relationship Id="rId10" Type="http://schemas.openxmlformats.org/officeDocument/2006/relationships/hyperlink" Target="https://bulbapedia.bulbagarden.net/wiki/Honchkrow_(Mysterious_Treasures_10)" TargetMode="External"/><Relationship Id="rId31" Type="http://schemas.openxmlformats.org/officeDocument/2006/relationships/hyperlink" Target="https://bulbapedia.bulbagarden.net/wiki/Nidoqueen_(Mysterious_Treasures_31)" TargetMode="External"/><Relationship Id="rId52" Type="http://schemas.openxmlformats.org/officeDocument/2006/relationships/hyperlink" Target="https://bulbapedia.bulbagarden.net/wiki/Happiny_(Mysterious_Treasures_52)" TargetMode="External"/><Relationship Id="rId73" Type="http://schemas.openxmlformats.org/officeDocument/2006/relationships/hyperlink" Target="https://bulbapedia.bulbagarden.net/wiki/Bidoof_(Mysterious_Treasures_73)" TargetMode="External"/><Relationship Id="rId78" Type="http://schemas.openxmlformats.org/officeDocument/2006/relationships/hyperlink" Target="https://bulbapedia.bulbagarden.net/wiki/Croagunk_(Mysterious_Treasures_78)" TargetMode="External"/><Relationship Id="rId94" Type="http://schemas.openxmlformats.org/officeDocument/2006/relationships/hyperlink" Target="https://bulbapedia.bulbagarden.net/wiki/Pikachu_(Mysterious_Treasures_94)" TargetMode="External"/><Relationship Id="rId99" Type="http://schemas.openxmlformats.org/officeDocument/2006/relationships/hyperlink" Target="https://bulbapedia.bulbagarden.net/wiki/Slakoth_(Mysterious_Treasures_99)" TargetMode="External"/><Relationship Id="rId101" Type="http://schemas.openxmlformats.org/officeDocument/2006/relationships/hyperlink" Target="https://bulbapedia.bulbagarden.net/wiki/Snover_(Mysterious_Treasures_101)" TargetMode="External"/><Relationship Id="rId122" Type="http://schemas.openxmlformats.org/officeDocument/2006/relationships/hyperlink" Target="https://bulbapedia.bulbagarden.net/wiki/Lucario_LV.X_(Mysterious_Treasures_122)"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bulbapedia.bulbagarden.net/wiki/Riolu_(POP_Series_6_8)" TargetMode="External"/><Relationship Id="rId13" Type="http://schemas.openxmlformats.org/officeDocument/2006/relationships/hyperlink" Target="https://bulbapedia.bulbagarden.net/wiki/Cherubi_(POP_Series_6_13)" TargetMode="External"/><Relationship Id="rId3" Type="http://schemas.openxmlformats.org/officeDocument/2006/relationships/hyperlink" Target="https://bulbapedia.bulbagarden.net/wiki/Manaphy_(POP_Series_6_3)" TargetMode="External"/><Relationship Id="rId7" Type="http://schemas.openxmlformats.org/officeDocument/2006/relationships/hyperlink" Target="https://bulbapedia.bulbagarden.net/wiki/Gible_(POP_Series_6_7)" TargetMode="External"/><Relationship Id="rId12" Type="http://schemas.openxmlformats.org/officeDocument/2006/relationships/hyperlink" Target="https://bulbapedia.bulbagarden.net/wiki/Buneary_(POP_Series_6_12)" TargetMode="External"/><Relationship Id="rId17" Type="http://schemas.openxmlformats.org/officeDocument/2006/relationships/hyperlink" Target="https://bulbapedia.bulbagarden.net/wiki/Turtwig_(POP_Series_6_17)" TargetMode="External"/><Relationship Id="rId2" Type="http://schemas.openxmlformats.org/officeDocument/2006/relationships/hyperlink" Target="https://bulbapedia.bulbagarden.net/wiki/Lucario_(POP_Series_6_2)" TargetMode="External"/><Relationship Id="rId16" Type="http://schemas.openxmlformats.org/officeDocument/2006/relationships/hyperlink" Target="https://bulbapedia.bulbagarden.net/wiki/Starly_(POP_Series_6_16)" TargetMode="External"/><Relationship Id="rId1" Type="http://schemas.openxmlformats.org/officeDocument/2006/relationships/hyperlink" Target="https://bulbapedia.bulbagarden.net/wiki/Bastiodon_(POP_Series_6_1)" TargetMode="External"/><Relationship Id="rId6" Type="http://schemas.openxmlformats.org/officeDocument/2006/relationships/hyperlink" Target="https://bulbapedia.bulbagarden.net/wiki/Drifloon_(POP_Series_6_6)" TargetMode="External"/><Relationship Id="rId11" Type="http://schemas.openxmlformats.org/officeDocument/2006/relationships/hyperlink" Target="https://bulbapedia.bulbagarden.net/wiki/Bidoof_(POP_Series_6_11)" TargetMode="External"/><Relationship Id="rId5" Type="http://schemas.openxmlformats.org/officeDocument/2006/relationships/hyperlink" Target="https://bulbapedia.bulbagarden.net/wiki/Rampardos_(POP_Series_6_5)" TargetMode="External"/><Relationship Id="rId15" Type="http://schemas.openxmlformats.org/officeDocument/2006/relationships/hyperlink" Target="https://bulbapedia.bulbagarden.net/wiki/Piplup_(POP_Series_6_15)" TargetMode="External"/><Relationship Id="rId10" Type="http://schemas.openxmlformats.org/officeDocument/2006/relationships/hyperlink" Target="https://bulbapedia.bulbagarden.net/wiki/Staravia_(POP_Series_6_10)" TargetMode="External"/><Relationship Id="rId4" Type="http://schemas.openxmlformats.org/officeDocument/2006/relationships/hyperlink" Target="https://bulbapedia.bulbagarden.net/wiki/Pachirisu_(POP_Series_6_4)" TargetMode="External"/><Relationship Id="rId9" Type="http://schemas.openxmlformats.org/officeDocument/2006/relationships/hyperlink" Target="https://bulbapedia.bulbagarden.net/wiki/Pikachu_(POP_Series_6_9)" TargetMode="External"/><Relationship Id="rId14" Type="http://schemas.openxmlformats.org/officeDocument/2006/relationships/hyperlink" Target="https://bulbapedia.bulbagarden.net/wiki/Chimchar_(POP_Series_6_14)"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bulbapedia.bulbagarden.net/wiki/Totodile_(Mysterious_Treasures_106)" TargetMode="External"/><Relationship Id="rId13" Type="http://schemas.openxmlformats.org/officeDocument/2006/relationships/hyperlink" Target="https://bulbapedia.bulbagarden.net/wiki/Graveler_(Mysterious_Treasures_51)" TargetMode="External"/><Relationship Id="rId18" Type="http://schemas.openxmlformats.org/officeDocument/2006/relationships/hyperlink" Target="https://bulbapedia.bulbagarden.net/wiki/Starly_(Diamond_%26_Pearl_101)" TargetMode="External"/><Relationship Id="rId3" Type="http://schemas.openxmlformats.org/officeDocument/2006/relationships/hyperlink" Target="https://bulbapedia.bulbagarden.net/wiki/Goldeen_(Diamond_%26_Pearl_84)" TargetMode="External"/><Relationship Id="rId21" Type="http://schemas.openxmlformats.org/officeDocument/2006/relationships/hyperlink" Target="https://bulbapedia.bulbagarden.net/wiki/Quick_Ball_(Mysterious_Treasures_114)" TargetMode="External"/><Relationship Id="rId7" Type="http://schemas.openxmlformats.org/officeDocument/2006/relationships/hyperlink" Target="https://bulbapedia.bulbagarden.net/wiki/Seaking_(Diamond_%26_Pearl_62)" TargetMode="External"/><Relationship Id="rId12" Type="http://schemas.openxmlformats.org/officeDocument/2006/relationships/hyperlink" Target="https://bulbapedia.bulbagarden.net/wiki/Geodude_(Mysterious_Treasures_84)" TargetMode="External"/><Relationship Id="rId17" Type="http://schemas.openxmlformats.org/officeDocument/2006/relationships/hyperlink" Target="https://bulbapedia.bulbagarden.net/wiki/Riolu_(Diamond_%26_Pearl_61)" TargetMode="External"/><Relationship Id="rId2" Type="http://schemas.openxmlformats.org/officeDocument/2006/relationships/hyperlink" Target="https://bulbapedia.bulbagarden.net/wiki/Floatzel_(Diamond_%26_Pearl_26)" TargetMode="External"/><Relationship Id="rId16" Type="http://schemas.openxmlformats.org/officeDocument/2006/relationships/hyperlink" Target="https://bulbapedia.bulbagarden.net/wiki/Machop_(Diamond_%26_Pearl_86)" TargetMode="External"/><Relationship Id="rId20" Type="http://schemas.openxmlformats.org/officeDocument/2006/relationships/hyperlink" Target="https://bulbapedia.bulbagarden.net/wiki/Potion_(Diamond_%26_Pearl_118)" TargetMode="External"/><Relationship Id="rId1" Type="http://schemas.openxmlformats.org/officeDocument/2006/relationships/hyperlink" Target="https://bulbapedia.bulbagarden.net/wiki/Buizel_(Diamond_%26_Pearl_72)" TargetMode="External"/><Relationship Id="rId6" Type="http://schemas.openxmlformats.org/officeDocument/2006/relationships/hyperlink" Target="https://bulbapedia.bulbagarden.net/wiki/Prinplup_(Diamond_%26_Pearl_58)" TargetMode="External"/><Relationship Id="rId11" Type="http://schemas.openxmlformats.org/officeDocument/2006/relationships/hyperlink" Target="https://bulbapedia.bulbagarden.net/wiki/Potion_(Diamond_%26_Pearl_118)" TargetMode="External"/><Relationship Id="rId5" Type="http://schemas.openxmlformats.org/officeDocument/2006/relationships/hyperlink" Target="https://bulbapedia.bulbagarden.net/wiki/Piplup_(Diamond_%26_Pearl_93)" TargetMode="External"/><Relationship Id="rId15" Type="http://schemas.openxmlformats.org/officeDocument/2006/relationships/hyperlink" Target="https://bulbapedia.bulbagarden.net/wiki/Machoke_(Diamond_%26_Pearl_53)" TargetMode="External"/><Relationship Id="rId10" Type="http://schemas.openxmlformats.org/officeDocument/2006/relationships/hyperlink" Target="https://bulbapedia.bulbagarden.net/wiki/Energy_Search_(Diamond_%26_Pearl_117)" TargetMode="External"/><Relationship Id="rId19" Type="http://schemas.openxmlformats.org/officeDocument/2006/relationships/hyperlink" Target="https://bulbapedia.bulbagarden.net/wiki/Energy_Search_(Diamond_%26_Pearl_117)" TargetMode="External"/><Relationship Id="rId4" Type="http://schemas.openxmlformats.org/officeDocument/2006/relationships/hyperlink" Target="https://bulbapedia.bulbagarden.net/wiki/Manaphy_(Diamond_%26_Pearl_9)" TargetMode="External"/><Relationship Id="rId9" Type="http://schemas.openxmlformats.org/officeDocument/2006/relationships/hyperlink" Target="https://bulbapedia.bulbagarden.net/wiki/Dusk_Ball_(Mysterious_Treasures_110)" TargetMode="External"/><Relationship Id="rId14" Type="http://schemas.openxmlformats.org/officeDocument/2006/relationships/hyperlink" Target="https://bulbapedia.bulbagarden.net/wiki/Lucario_(Diamond_%26_Pearl_6)"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bulbapedia.bulbagarden.net/wiki/Voltorb_(Secret_Wonders_117)" TargetMode="External"/><Relationship Id="rId21" Type="http://schemas.openxmlformats.org/officeDocument/2006/relationships/hyperlink" Target="https://bulbapedia.bulbagarden.net/wiki/Absol_(Secret_Wonders_21)" TargetMode="External"/><Relationship Id="rId42" Type="http://schemas.openxmlformats.org/officeDocument/2006/relationships/hyperlink" Target="https://bulbapedia.bulbagarden.net/wiki/Wormadam_(Secret_Wonders_42)" TargetMode="External"/><Relationship Id="rId47" Type="http://schemas.openxmlformats.org/officeDocument/2006/relationships/hyperlink" Target="https://bulbapedia.bulbagarden.net/wiki/Cloyster_(Secret_Wonders_47)" TargetMode="External"/><Relationship Id="rId63" Type="http://schemas.openxmlformats.org/officeDocument/2006/relationships/hyperlink" Target="https://bulbapedia.bulbagarden.net/wiki/Sableye_(Secret_Wonders_63)" TargetMode="External"/><Relationship Id="rId68" Type="http://schemas.openxmlformats.org/officeDocument/2006/relationships/hyperlink" Target="https://bulbapedia.bulbagarden.net/wiki/Unown_K_(Secret_Wonders_68)" TargetMode="External"/><Relationship Id="rId84" Type="http://schemas.openxmlformats.org/officeDocument/2006/relationships/hyperlink" Target="https://bulbapedia.bulbagarden.net/wiki/Corsola_(Secret_Wonders_84)" TargetMode="External"/><Relationship Id="rId89" Type="http://schemas.openxmlformats.org/officeDocument/2006/relationships/hyperlink" Target="https://bulbapedia.bulbagarden.net/wiki/Growlithe_(Secret_Wonders_89)" TargetMode="External"/><Relationship Id="rId112" Type="http://schemas.openxmlformats.org/officeDocument/2006/relationships/hyperlink" Target="https://bulbapedia.bulbagarden.net/wiki/Squirtle_(Secret_Wonders_112)" TargetMode="External"/><Relationship Id="rId16" Type="http://schemas.openxmlformats.org/officeDocument/2006/relationships/hyperlink" Target="https://bulbapedia.bulbagarden.net/wiki/Raikou_(Secret_Wonders_16)" TargetMode="External"/><Relationship Id="rId107" Type="http://schemas.openxmlformats.org/officeDocument/2006/relationships/hyperlink" Target="https://bulbapedia.bulbagarden.net/wiki/Shellos_(Secret_Wonders_107)" TargetMode="External"/><Relationship Id="rId11" Type="http://schemas.openxmlformats.org/officeDocument/2006/relationships/hyperlink" Target="https://bulbapedia.bulbagarden.net/wiki/Jumpluff_(Secret_Wonders_11)" TargetMode="External"/><Relationship Id="rId32" Type="http://schemas.openxmlformats.org/officeDocument/2006/relationships/hyperlink" Target="https://bulbapedia.bulbagarden.net/wiki/Minun_(Secret_Wonders_32)" TargetMode="External"/><Relationship Id="rId37" Type="http://schemas.openxmlformats.org/officeDocument/2006/relationships/hyperlink" Target="https://bulbapedia.bulbagarden.net/wiki/Sharpedo_(Secret_Wonders_37)" TargetMode="External"/><Relationship Id="rId53" Type="http://schemas.openxmlformats.org/officeDocument/2006/relationships/hyperlink" Target="https://bulbapedia.bulbagarden.net/wiki/Kirlia_(Secret_Wonders_53)" TargetMode="External"/><Relationship Id="rId58" Type="http://schemas.openxmlformats.org/officeDocument/2006/relationships/hyperlink" Target="https://bulbapedia.bulbagarden.net/wiki/Pidgeotto_(Secret_Wonders_58)" TargetMode="External"/><Relationship Id="rId74" Type="http://schemas.openxmlformats.org/officeDocument/2006/relationships/hyperlink" Target="https://bulbapedia.bulbagarden.net/wiki/Vibrava_(Secret_Wonders_74)" TargetMode="External"/><Relationship Id="rId79" Type="http://schemas.openxmlformats.org/officeDocument/2006/relationships/hyperlink" Target="https://bulbapedia.bulbagarden.net/wiki/Burmy_(Secret_Wonders_79)" TargetMode="External"/><Relationship Id="rId102" Type="http://schemas.openxmlformats.org/officeDocument/2006/relationships/hyperlink" Target="https://bulbapedia.bulbagarden.net/wiki/Ralts_(Secret_Wonders_102)" TargetMode="External"/><Relationship Id="rId123" Type="http://schemas.openxmlformats.org/officeDocument/2006/relationships/hyperlink" Target="https://bulbapedia.bulbagarden.net/wiki/Professor_Rowan_(Secret_Wonders_123)" TargetMode="External"/><Relationship Id="rId128" Type="http://schemas.openxmlformats.org/officeDocument/2006/relationships/hyperlink" Target="https://bulbapedia.bulbagarden.net/wiki/Switch_(Secret_Wonders_128)" TargetMode="External"/><Relationship Id="rId5" Type="http://schemas.openxmlformats.org/officeDocument/2006/relationships/hyperlink" Target="https://bulbapedia.bulbagarden.net/wiki/Flygon_(Secret_Wonders_5)" TargetMode="External"/><Relationship Id="rId90" Type="http://schemas.openxmlformats.org/officeDocument/2006/relationships/hyperlink" Target="https://bulbapedia.bulbagarden.net/wiki/Hoppip_(Secret_Wonders_90)" TargetMode="External"/><Relationship Id="rId95" Type="http://schemas.openxmlformats.org/officeDocument/2006/relationships/hyperlink" Target="https://bulbapedia.bulbagarden.net/wiki/Murkrow_(Secret_Wonders_95)" TargetMode="External"/><Relationship Id="rId22" Type="http://schemas.openxmlformats.org/officeDocument/2006/relationships/hyperlink" Target="https://bulbapedia.bulbagarden.net/wiki/Arcanine_(Secret_Wonders_22)" TargetMode="External"/><Relationship Id="rId27" Type="http://schemas.openxmlformats.org/officeDocument/2006/relationships/hyperlink" Target="https://bulbapedia.bulbagarden.net/wiki/Furret_(Secret_Wonders_27)" TargetMode="External"/><Relationship Id="rId43" Type="http://schemas.openxmlformats.org/officeDocument/2006/relationships/hyperlink" Target="https://bulbapedia.bulbagarden.net/wiki/Wormadam_(Secret_Wonders_43)" TargetMode="External"/><Relationship Id="rId48" Type="http://schemas.openxmlformats.org/officeDocument/2006/relationships/hyperlink" Target="https://bulbapedia.bulbagarden.net/wiki/Donphan_(Secret_Wonders_48)" TargetMode="External"/><Relationship Id="rId64" Type="http://schemas.openxmlformats.org/officeDocument/2006/relationships/hyperlink" Target="https://bulbapedia.bulbagarden.net/wiki/Shelgon_(Secret_Wonders_64)" TargetMode="External"/><Relationship Id="rId69" Type="http://schemas.openxmlformats.org/officeDocument/2006/relationships/hyperlink" Target="https://bulbapedia.bulbagarden.net/wiki/Unown_N_(Secret_Wonders_69)" TargetMode="External"/><Relationship Id="rId113" Type="http://schemas.openxmlformats.org/officeDocument/2006/relationships/hyperlink" Target="https://bulbapedia.bulbagarden.net/wiki/Stantler_(Secret_Wonders_113)" TargetMode="External"/><Relationship Id="rId118" Type="http://schemas.openxmlformats.org/officeDocument/2006/relationships/hyperlink" Target="https://bulbapedia.bulbagarden.net/wiki/Wooper_(Secret_Wonders_118)" TargetMode="External"/><Relationship Id="rId80" Type="http://schemas.openxmlformats.org/officeDocument/2006/relationships/hyperlink" Target="https://bulbapedia.bulbagarden.net/wiki/Burmy_(Secret_Wonders_80)" TargetMode="External"/><Relationship Id="rId85" Type="http://schemas.openxmlformats.org/officeDocument/2006/relationships/hyperlink" Target="https://bulbapedia.bulbagarden.net/wiki/Diglett_(Secret_Wonders_85)" TargetMode="External"/><Relationship Id="rId12" Type="http://schemas.openxmlformats.org/officeDocument/2006/relationships/hyperlink" Target="https://bulbapedia.bulbagarden.net/wiki/Lickilicky_(Secret_Wonders_12)" TargetMode="External"/><Relationship Id="rId17" Type="http://schemas.openxmlformats.org/officeDocument/2006/relationships/hyperlink" Target="https://bulbapedia.bulbagarden.net/wiki/Roserade_(Secret_Wonders_17)" TargetMode="External"/><Relationship Id="rId33" Type="http://schemas.openxmlformats.org/officeDocument/2006/relationships/hyperlink" Target="https://bulbapedia.bulbagarden.net/wiki/Mothim_(Secret_Wonders_33)" TargetMode="External"/><Relationship Id="rId38" Type="http://schemas.openxmlformats.org/officeDocument/2006/relationships/hyperlink" Target="https://bulbapedia.bulbagarden.net/wiki/Sunflora_(Secret_Wonders_38)" TargetMode="External"/><Relationship Id="rId59" Type="http://schemas.openxmlformats.org/officeDocument/2006/relationships/hyperlink" Target="https://bulbapedia.bulbagarden.net/wiki/Pinsir_(Secret_Wonders_59)" TargetMode="External"/><Relationship Id="rId103" Type="http://schemas.openxmlformats.org/officeDocument/2006/relationships/hyperlink" Target="https://bulbapedia.bulbagarden.net/wiki/Rattata_(Secret_Wonders_103)" TargetMode="External"/><Relationship Id="rId108" Type="http://schemas.openxmlformats.org/officeDocument/2006/relationships/hyperlink" Target="https://bulbapedia.bulbagarden.net/wiki/Shroomish_(Secret_Wonders_108)" TargetMode="External"/><Relationship Id="rId124" Type="http://schemas.openxmlformats.org/officeDocument/2006/relationships/hyperlink" Target="https://bulbapedia.bulbagarden.net/wiki/Rival_(Secret_Wonders_124)" TargetMode="External"/><Relationship Id="rId129" Type="http://schemas.openxmlformats.org/officeDocument/2006/relationships/hyperlink" Target="https://bulbapedia.bulbagarden.net/wiki/Darkness_Energy_(Secret_Wonders_129)" TargetMode="External"/><Relationship Id="rId54" Type="http://schemas.openxmlformats.org/officeDocument/2006/relationships/hyperlink" Target="https://bulbapedia.bulbagarden.net/wiki/Lombre_(Secret_Wonders_54)" TargetMode="External"/><Relationship Id="rId70" Type="http://schemas.openxmlformats.org/officeDocument/2006/relationships/hyperlink" Target="https://bulbapedia.bulbagarden.net/wiki/Unown_O_(Secret_Wonders_70)" TargetMode="External"/><Relationship Id="rId75" Type="http://schemas.openxmlformats.org/officeDocument/2006/relationships/hyperlink" Target="https://bulbapedia.bulbagarden.net/wiki/Wartortle_(Secret_Wonders_75)" TargetMode="External"/><Relationship Id="rId91" Type="http://schemas.openxmlformats.org/officeDocument/2006/relationships/hyperlink" Target="https://bulbapedia.bulbagarden.net/wiki/Lickitung_(Secret_Wonders_91)" TargetMode="External"/><Relationship Id="rId96" Type="http://schemas.openxmlformats.org/officeDocument/2006/relationships/hyperlink" Target="https://bulbapedia.bulbagarden.net/wiki/Natu_(Secret_Wonders_96)" TargetMode="External"/><Relationship Id="rId1" Type="http://schemas.openxmlformats.org/officeDocument/2006/relationships/hyperlink" Target="https://bulbapedia.bulbagarden.net/wiki/Ampharos_(Secret_Wonders_1)" TargetMode="External"/><Relationship Id="rId6" Type="http://schemas.openxmlformats.org/officeDocument/2006/relationships/hyperlink" Target="https://bulbapedia.bulbagarden.net/wiki/Gallade_(Secret_Wonders_6)" TargetMode="External"/><Relationship Id="rId23" Type="http://schemas.openxmlformats.org/officeDocument/2006/relationships/hyperlink" Target="https://bulbapedia.bulbagarden.net/wiki/Banette_(Secret_Wonders_23)" TargetMode="External"/><Relationship Id="rId28" Type="http://schemas.openxmlformats.org/officeDocument/2006/relationships/hyperlink" Target="https://bulbapedia.bulbagarden.net/wiki/Golduck_(Secret_Wonders_28)" TargetMode="External"/><Relationship Id="rId49" Type="http://schemas.openxmlformats.org/officeDocument/2006/relationships/hyperlink" Target="https://bulbapedia.bulbagarden.net/wiki/Farfetch%27d_(Secret_Wonders_49)" TargetMode="External"/><Relationship Id="rId114" Type="http://schemas.openxmlformats.org/officeDocument/2006/relationships/hyperlink" Target="https://bulbapedia.bulbagarden.net/wiki/Sunkern_(Secret_Wonders_114)" TargetMode="External"/><Relationship Id="rId119" Type="http://schemas.openxmlformats.org/officeDocument/2006/relationships/hyperlink" Target="https://bulbapedia.bulbagarden.net/wiki/Bebe%27s_Search_(Secret_Wonders_119)" TargetMode="External"/><Relationship Id="rId44" Type="http://schemas.openxmlformats.org/officeDocument/2006/relationships/hyperlink" Target="https://bulbapedia.bulbagarden.net/wiki/Xatu_(Secret_Wonders_44)" TargetMode="External"/><Relationship Id="rId60" Type="http://schemas.openxmlformats.org/officeDocument/2006/relationships/hyperlink" Target="https://bulbapedia.bulbagarden.net/wiki/Quagsire_(Secret_Wonders_60)" TargetMode="External"/><Relationship Id="rId65" Type="http://schemas.openxmlformats.org/officeDocument/2006/relationships/hyperlink" Target="https://bulbapedia.bulbagarden.net/wiki/Skiploom_(Secret_Wonders_65)" TargetMode="External"/><Relationship Id="rId81" Type="http://schemas.openxmlformats.org/officeDocument/2006/relationships/hyperlink" Target="https://bulbapedia.bulbagarden.net/wiki/Carvanha_(Secret_Wonders_81)" TargetMode="External"/><Relationship Id="rId86" Type="http://schemas.openxmlformats.org/officeDocument/2006/relationships/hyperlink" Target="https://bulbapedia.bulbagarden.net/wiki/Duskull_(Secret_Wonders_86)" TargetMode="External"/><Relationship Id="rId130" Type="http://schemas.openxmlformats.org/officeDocument/2006/relationships/hyperlink" Target="https://bulbapedia.bulbagarden.net/wiki/Metal_Energy_(Secret_Wonders_130)" TargetMode="External"/><Relationship Id="rId13" Type="http://schemas.openxmlformats.org/officeDocument/2006/relationships/hyperlink" Target="https://bulbapedia.bulbagarden.net/wiki/Ludicolo_(Secret_Wonders_13)" TargetMode="External"/><Relationship Id="rId18" Type="http://schemas.openxmlformats.org/officeDocument/2006/relationships/hyperlink" Target="https://bulbapedia.bulbagarden.net/wiki/Salamence_(Secret_Wonders_18)" TargetMode="External"/><Relationship Id="rId39" Type="http://schemas.openxmlformats.org/officeDocument/2006/relationships/hyperlink" Target="https://bulbapedia.bulbagarden.net/wiki/Unown_S_(Secret_Wonders_39)" TargetMode="External"/><Relationship Id="rId109" Type="http://schemas.openxmlformats.org/officeDocument/2006/relationships/hyperlink" Target="https://bulbapedia.bulbagarden.net/wiki/Shuckle_(Secret_Wonders_109)" TargetMode="External"/><Relationship Id="rId34" Type="http://schemas.openxmlformats.org/officeDocument/2006/relationships/hyperlink" Target="https://bulbapedia.bulbagarden.net/wiki/Nidoking_(Secret_Wonders_34)" TargetMode="External"/><Relationship Id="rId50" Type="http://schemas.openxmlformats.org/officeDocument/2006/relationships/hyperlink" Target="https://bulbapedia.bulbagarden.net/wiki/Flaaffy_(Secret_Wonders_50)" TargetMode="External"/><Relationship Id="rId55" Type="http://schemas.openxmlformats.org/officeDocument/2006/relationships/hyperlink" Target="https://bulbapedia.bulbagarden.net/wiki/Miltank_(Secret_Wonders_55)" TargetMode="External"/><Relationship Id="rId76" Type="http://schemas.openxmlformats.org/officeDocument/2006/relationships/hyperlink" Target="https://bulbapedia.bulbagarden.net/wiki/Bagon_(Secret_Wonders_76)" TargetMode="External"/><Relationship Id="rId97" Type="http://schemas.openxmlformats.org/officeDocument/2006/relationships/hyperlink" Target="https://bulbapedia.bulbagarden.net/wiki/Nidoran%E2%99%82_(Secret_Wonders_97)" TargetMode="External"/><Relationship Id="rId104" Type="http://schemas.openxmlformats.org/officeDocument/2006/relationships/hyperlink" Target="https://bulbapedia.bulbagarden.net/wiki/Sentret_(Secret_Wonders_104)" TargetMode="External"/><Relationship Id="rId120" Type="http://schemas.openxmlformats.org/officeDocument/2006/relationships/hyperlink" Target="https://bulbapedia.bulbagarden.net/wiki/Night_Maintenance_(Secret_Wonders_120)" TargetMode="External"/><Relationship Id="rId125" Type="http://schemas.openxmlformats.org/officeDocument/2006/relationships/hyperlink" Target="https://bulbapedia.bulbagarden.net/wiki/Roseanne%27s_Research_(Secret_Wonders_125)" TargetMode="External"/><Relationship Id="rId7" Type="http://schemas.openxmlformats.org/officeDocument/2006/relationships/hyperlink" Target="https://bulbapedia.bulbagarden.net/wiki/Gardevoir_(Secret_Wonders_7)" TargetMode="External"/><Relationship Id="rId71" Type="http://schemas.openxmlformats.org/officeDocument/2006/relationships/hyperlink" Target="https://bulbapedia.bulbagarden.net/wiki/Unown_X_(Secret_Wonders_71)" TargetMode="External"/><Relationship Id="rId92" Type="http://schemas.openxmlformats.org/officeDocument/2006/relationships/hyperlink" Target="https://bulbapedia.bulbagarden.net/wiki/Lotad_(Secret_Wonders_92)" TargetMode="External"/><Relationship Id="rId2" Type="http://schemas.openxmlformats.org/officeDocument/2006/relationships/hyperlink" Target="https://bulbapedia.bulbagarden.net/wiki/Blastoise_(Secret_Wonders_2)" TargetMode="External"/><Relationship Id="rId29" Type="http://schemas.openxmlformats.org/officeDocument/2006/relationships/hyperlink" Target="https://bulbapedia.bulbagarden.net/wiki/Golem_(Secret_Wonders_29)" TargetMode="External"/><Relationship Id="rId24" Type="http://schemas.openxmlformats.org/officeDocument/2006/relationships/hyperlink" Target="https://bulbapedia.bulbagarden.net/wiki/Dugtrio_(Secret_Wonders_24)" TargetMode="External"/><Relationship Id="rId40" Type="http://schemas.openxmlformats.org/officeDocument/2006/relationships/hyperlink" Target="https://bulbapedia.bulbagarden.net/wiki/Weavile_(Secret_Wonders_40)" TargetMode="External"/><Relationship Id="rId45" Type="http://schemas.openxmlformats.org/officeDocument/2006/relationships/hyperlink" Target="https://bulbapedia.bulbagarden.net/wiki/Breloom_(Secret_Wonders_45)" TargetMode="External"/><Relationship Id="rId66" Type="http://schemas.openxmlformats.org/officeDocument/2006/relationships/hyperlink" Target="https://bulbapedia.bulbagarden.net/wiki/Smeargle_(Secret_Wonders_66)" TargetMode="External"/><Relationship Id="rId87" Type="http://schemas.openxmlformats.org/officeDocument/2006/relationships/hyperlink" Target="https://bulbapedia.bulbagarden.net/wiki/Electabuzz_(Secret_Wonders_87)" TargetMode="External"/><Relationship Id="rId110" Type="http://schemas.openxmlformats.org/officeDocument/2006/relationships/hyperlink" Target="https://bulbapedia.bulbagarden.net/wiki/Shuppet_(Secret_Wonders_110)" TargetMode="External"/><Relationship Id="rId115" Type="http://schemas.openxmlformats.org/officeDocument/2006/relationships/hyperlink" Target="https://bulbapedia.bulbagarden.net/wiki/Trapinch_(Secret_Wonders_115)" TargetMode="External"/><Relationship Id="rId131" Type="http://schemas.openxmlformats.org/officeDocument/2006/relationships/hyperlink" Target="https://bulbapedia.bulbagarden.net/wiki/Gardevoir_LV.X_(Secret_Wonders_131)" TargetMode="External"/><Relationship Id="rId61" Type="http://schemas.openxmlformats.org/officeDocument/2006/relationships/hyperlink" Target="https://bulbapedia.bulbagarden.net/wiki/Raticate_(Secret_Wonders_61)" TargetMode="External"/><Relationship Id="rId82" Type="http://schemas.openxmlformats.org/officeDocument/2006/relationships/hyperlink" Target="https://bulbapedia.bulbagarden.net/wiki/Charmander_(Secret_Wonders_82)" TargetMode="External"/><Relationship Id="rId19" Type="http://schemas.openxmlformats.org/officeDocument/2006/relationships/hyperlink" Target="https://bulbapedia.bulbagarden.net/wiki/Suicune_(Secret_Wonders_19)" TargetMode="External"/><Relationship Id="rId14" Type="http://schemas.openxmlformats.org/officeDocument/2006/relationships/hyperlink" Target="https://bulbapedia.bulbagarden.net/wiki/Lugia_(Secret_Wonders_14)" TargetMode="External"/><Relationship Id="rId30" Type="http://schemas.openxmlformats.org/officeDocument/2006/relationships/hyperlink" Target="https://bulbapedia.bulbagarden.net/wiki/Jynx_(Secret_Wonders_30)" TargetMode="External"/><Relationship Id="rId35" Type="http://schemas.openxmlformats.org/officeDocument/2006/relationships/hyperlink" Target="https://bulbapedia.bulbagarden.net/wiki/Pidgeot_(Secret_Wonders_35)" TargetMode="External"/><Relationship Id="rId56" Type="http://schemas.openxmlformats.org/officeDocument/2006/relationships/hyperlink" Target="https://bulbapedia.bulbagarden.net/wiki/Muk_(Secret_Wonders_56)" TargetMode="External"/><Relationship Id="rId77" Type="http://schemas.openxmlformats.org/officeDocument/2006/relationships/hyperlink" Target="https://bulbapedia.bulbagarden.net/wiki/Bulbasaur_(Secret_Wonders_77)" TargetMode="External"/><Relationship Id="rId100" Type="http://schemas.openxmlformats.org/officeDocument/2006/relationships/hyperlink" Target="https://bulbapedia.bulbagarden.net/wiki/Psyduck_(Secret_Wonders_100)" TargetMode="External"/><Relationship Id="rId105" Type="http://schemas.openxmlformats.org/officeDocument/2006/relationships/hyperlink" Target="https://bulbapedia.bulbagarden.net/wiki/Shellder_(Secret_Wonders_105)" TargetMode="External"/><Relationship Id="rId126" Type="http://schemas.openxmlformats.org/officeDocument/2006/relationships/hyperlink" Target="https://bulbapedia.bulbagarden.net/wiki/Team_Galactic%27s_Mars_(Secret_Wonders_126)" TargetMode="External"/><Relationship Id="rId8" Type="http://schemas.openxmlformats.org/officeDocument/2006/relationships/hyperlink" Target="https://bulbapedia.bulbagarden.net/wiki/Gastrodon_(Secret_Wonders_8)" TargetMode="External"/><Relationship Id="rId51" Type="http://schemas.openxmlformats.org/officeDocument/2006/relationships/hyperlink" Target="https://bulbapedia.bulbagarden.net/wiki/Ivysaur_(Secret_Wonders_51)" TargetMode="External"/><Relationship Id="rId72" Type="http://schemas.openxmlformats.org/officeDocument/2006/relationships/hyperlink" Target="https://bulbapedia.bulbagarden.net/wiki/Unown_Z_(Secret_Wonders_72)" TargetMode="External"/><Relationship Id="rId93" Type="http://schemas.openxmlformats.org/officeDocument/2006/relationships/hyperlink" Target="https://bulbapedia.bulbagarden.net/wiki/Magmar_(Secret_Wonders_93)" TargetMode="External"/><Relationship Id="rId98" Type="http://schemas.openxmlformats.org/officeDocument/2006/relationships/hyperlink" Target="https://bulbapedia.bulbagarden.net/wiki/Phanpy_(Secret_Wonders_98)" TargetMode="External"/><Relationship Id="rId121" Type="http://schemas.openxmlformats.org/officeDocument/2006/relationships/hyperlink" Target="https://bulbapedia.bulbagarden.net/wiki/PlusPower_(Secret_Wonders_121)" TargetMode="External"/><Relationship Id="rId3" Type="http://schemas.openxmlformats.org/officeDocument/2006/relationships/hyperlink" Target="https://bulbapedia.bulbagarden.net/wiki/Charizard_(Secret_Wonders_3)" TargetMode="External"/><Relationship Id="rId25" Type="http://schemas.openxmlformats.org/officeDocument/2006/relationships/hyperlink" Target="https://bulbapedia.bulbagarden.net/wiki/Electivire_(Secret_Wonders_25)" TargetMode="External"/><Relationship Id="rId46" Type="http://schemas.openxmlformats.org/officeDocument/2006/relationships/hyperlink" Target="https://bulbapedia.bulbagarden.net/wiki/Charmeleon_(Secret_Wonders_46)" TargetMode="External"/><Relationship Id="rId67" Type="http://schemas.openxmlformats.org/officeDocument/2006/relationships/hyperlink" Target="https://bulbapedia.bulbagarden.net/wiki/Smoochum_(Secret_Wonders_67)" TargetMode="External"/><Relationship Id="rId116" Type="http://schemas.openxmlformats.org/officeDocument/2006/relationships/hyperlink" Target="https://bulbapedia.bulbagarden.net/wiki/Venonat_(Secret_Wonders_116)" TargetMode="External"/><Relationship Id="rId20" Type="http://schemas.openxmlformats.org/officeDocument/2006/relationships/hyperlink" Target="https://bulbapedia.bulbagarden.net/wiki/Venusaur_(Secret_Wonders_20)" TargetMode="External"/><Relationship Id="rId41" Type="http://schemas.openxmlformats.org/officeDocument/2006/relationships/hyperlink" Target="https://bulbapedia.bulbagarden.net/wiki/Wormadam_(Secret_Wonders_41)" TargetMode="External"/><Relationship Id="rId62" Type="http://schemas.openxmlformats.org/officeDocument/2006/relationships/hyperlink" Target="https://bulbapedia.bulbagarden.net/wiki/Roselia_(Secret_Wonders_62)" TargetMode="External"/><Relationship Id="rId83" Type="http://schemas.openxmlformats.org/officeDocument/2006/relationships/hyperlink" Target="https://bulbapedia.bulbagarden.net/wiki/Clefairy_(Secret_Wonders_83)" TargetMode="External"/><Relationship Id="rId88" Type="http://schemas.openxmlformats.org/officeDocument/2006/relationships/hyperlink" Target="https://bulbapedia.bulbagarden.net/wiki/Grimer_(Secret_Wonders_88)" TargetMode="External"/><Relationship Id="rId111" Type="http://schemas.openxmlformats.org/officeDocument/2006/relationships/hyperlink" Target="https://bulbapedia.bulbagarden.net/wiki/Spinda_(Secret_Wonders_111)" TargetMode="External"/><Relationship Id="rId132" Type="http://schemas.openxmlformats.org/officeDocument/2006/relationships/hyperlink" Target="https://bulbapedia.bulbagarden.net/wiki/Honchkrow_LV.X_(Secret_Wonders_132)" TargetMode="External"/><Relationship Id="rId15" Type="http://schemas.openxmlformats.org/officeDocument/2006/relationships/hyperlink" Target="https://bulbapedia.bulbagarden.net/wiki/Mew_(Secret_Wonders_15)" TargetMode="External"/><Relationship Id="rId36" Type="http://schemas.openxmlformats.org/officeDocument/2006/relationships/hyperlink" Target="https://bulbapedia.bulbagarden.net/wiki/Plusle_(Secret_Wonders_36)" TargetMode="External"/><Relationship Id="rId57" Type="http://schemas.openxmlformats.org/officeDocument/2006/relationships/hyperlink" Target="https://bulbapedia.bulbagarden.net/wiki/Nidorino_(Secret_Wonders_57)" TargetMode="External"/><Relationship Id="rId106" Type="http://schemas.openxmlformats.org/officeDocument/2006/relationships/hyperlink" Target="https://bulbapedia.bulbagarden.net/wiki/Shellos_(Secret_Wonders_106)" TargetMode="External"/><Relationship Id="rId127" Type="http://schemas.openxmlformats.org/officeDocument/2006/relationships/hyperlink" Target="https://bulbapedia.bulbagarden.net/wiki/Potion_(Secret_Wonders_127)" TargetMode="External"/><Relationship Id="rId10" Type="http://schemas.openxmlformats.org/officeDocument/2006/relationships/hyperlink" Target="https://bulbapedia.bulbagarden.net/wiki/Ho-Oh_(Secret_Wonders_10)" TargetMode="External"/><Relationship Id="rId31" Type="http://schemas.openxmlformats.org/officeDocument/2006/relationships/hyperlink" Target="https://bulbapedia.bulbagarden.net/wiki/Magmortar_(Secret_Wonders_31)" TargetMode="External"/><Relationship Id="rId52" Type="http://schemas.openxmlformats.org/officeDocument/2006/relationships/hyperlink" Target="https://bulbapedia.bulbagarden.net/wiki/Kecleon_(Secret_Wonders_52)" TargetMode="External"/><Relationship Id="rId73" Type="http://schemas.openxmlformats.org/officeDocument/2006/relationships/hyperlink" Target="https://bulbapedia.bulbagarden.net/wiki/Venomoth_(Secret_Wonders_73)" TargetMode="External"/><Relationship Id="rId78" Type="http://schemas.openxmlformats.org/officeDocument/2006/relationships/hyperlink" Target="https://bulbapedia.bulbagarden.net/wiki/Burmy_(Secret_Wonders_78)" TargetMode="External"/><Relationship Id="rId94" Type="http://schemas.openxmlformats.org/officeDocument/2006/relationships/hyperlink" Target="https://bulbapedia.bulbagarden.net/wiki/Mareep_(Secret_Wonders_94)" TargetMode="External"/><Relationship Id="rId99" Type="http://schemas.openxmlformats.org/officeDocument/2006/relationships/hyperlink" Target="https://bulbapedia.bulbagarden.net/wiki/Pidgey_(Secret_Wonders_99)" TargetMode="External"/><Relationship Id="rId101" Type="http://schemas.openxmlformats.org/officeDocument/2006/relationships/hyperlink" Target="https://bulbapedia.bulbagarden.net/wiki/Qwilfish_(Secret_Wonders_101)" TargetMode="External"/><Relationship Id="rId122" Type="http://schemas.openxmlformats.org/officeDocument/2006/relationships/hyperlink" Target="https://bulbapedia.bulbagarden.net/wiki/Professor_Oak%27s_Visit_(Secret_Wonders_122)" TargetMode="External"/><Relationship Id="rId4" Type="http://schemas.openxmlformats.org/officeDocument/2006/relationships/hyperlink" Target="https://bulbapedia.bulbagarden.net/wiki/Entei_(Secret_Wonders_4)" TargetMode="External"/><Relationship Id="rId9" Type="http://schemas.openxmlformats.org/officeDocument/2006/relationships/hyperlink" Target="https://bulbapedia.bulbagarden.net/wiki/Gastrodon_(Secret_Wonders_9)" TargetMode="External"/><Relationship Id="rId26" Type="http://schemas.openxmlformats.org/officeDocument/2006/relationships/hyperlink" Target="https://bulbapedia.bulbagarden.net/wiki/Electrode_(Secret_Wonders_26)" TargetMode="External"/></Relationships>
</file>

<file path=xl/worksheets/_rels/sheet28.xml.rels><?xml version="1.0" encoding="UTF-8" standalone="yes"?>
<Relationships xmlns="http://schemas.openxmlformats.org/package/2006/relationships"><Relationship Id="rId26" Type="http://schemas.openxmlformats.org/officeDocument/2006/relationships/hyperlink" Target="https://bulbapedia.bulbagarden.net/wiki/Palkia_(Great_Encounters_26)" TargetMode="External"/><Relationship Id="rId21" Type="http://schemas.openxmlformats.org/officeDocument/2006/relationships/hyperlink" Target="https://bulbapedia.bulbagarden.net/wiki/Lapras_(Great_Encounters_21)" TargetMode="External"/><Relationship Id="rId42" Type="http://schemas.openxmlformats.org/officeDocument/2006/relationships/hyperlink" Target="https://bulbapedia.bulbagarden.net/wiki/Huntail_(Great_Encounters_42)" TargetMode="External"/><Relationship Id="rId47" Type="http://schemas.openxmlformats.org/officeDocument/2006/relationships/hyperlink" Target="https://bulbapedia.bulbagarden.net/wiki/Metapod_(Great_Encounters_47)" TargetMode="External"/><Relationship Id="rId63" Type="http://schemas.openxmlformats.org/officeDocument/2006/relationships/hyperlink" Target="https://bulbapedia.bulbagarden.net/wiki/Caterpie_(Great_Encounters_63)" TargetMode="External"/><Relationship Id="rId68" Type="http://schemas.openxmlformats.org/officeDocument/2006/relationships/hyperlink" Target="https://bulbapedia.bulbagarden.net/wiki/Glameow_(Great_Encounters_68)" TargetMode="External"/><Relationship Id="rId84" Type="http://schemas.openxmlformats.org/officeDocument/2006/relationships/hyperlink" Target="https://bulbapedia.bulbagarden.net/wiki/Snubbull_(Great_Encounters_84)" TargetMode="External"/><Relationship Id="rId89" Type="http://schemas.openxmlformats.org/officeDocument/2006/relationships/hyperlink" Target="https://bulbapedia.bulbagarden.net/wiki/Torchic_(Great_Encounters_89)" TargetMode="External"/><Relationship Id="rId16" Type="http://schemas.openxmlformats.org/officeDocument/2006/relationships/hyperlink" Target="https://bulbapedia.bulbagarden.net/wiki/Dialga_(Great_Encounters_16)" TargetMode="External"/><Relationship Id="rId11" Type="http://schemas.openxmlformats.org/officeDocument/2006/relationships/hyperlink" Target="https://bulbapedia.bulbagarden.net/wiki/Togekiss_(Great_Encounters_11)" TargetMode="External"/><Relationship Id="rId32" Type="http://schemas.openxmlformats.org/officeDocument/2006/relationships/hyperlink" Target="https://bulbapedia.bulbagarden.net/wiki/Wigglytuff_(Great_Encounters_32)" TargetMode="External"/><Relationship Id="rId37" Type="http://schemas.openxmlformats.org/officeDocument/2006/relationships/hyperlink" Target="https://bulbapedia.bulbagarden.net/wiki/Floatzel_(Great_Encounters_37)" TargetMode="External"/><Relationship Id="rId53" Type="http://schemas.openxmlformats.org/officeDocument/2006/relationships/hyperlink" Target="https://bulbapedia.bulbagarden.net/wiki/Skarmory_(Great_Encounters_53)" TargetMode="External"/><Relationship Id="rId58" Type="http://schemas.openxmlformats.org/officeDocument/2006/relationships/hyperlink" Target="https://bulbapedia.bulbagarden.net/wiki/Wailmer_(Great_Encounters_58)" TargetMode="External"/><Relationship Id="rId74" Type="http://schemas.openxmlformats.org/officeDocument/2006/relationships/hyperlink" Target="https://bulbapedia.bulbagarden.net/wiki/Koffing_(Great_Encounters_74)" TargetMode="External"/><Relationship Id="rId79" Type="http://schemas.openxmlformats.org/officeDocument/2006/relationships/hyperlink" Target="https://bulbapedia.bulbagarden.net/wiki/Mankey_(Great_Encounters_79)" TargetMode="External"/><Relationship Id="rId102" Type="http://schemas.openxmlformats.org/officeDocument/2006/relationships/hyperlink" Target="https://bulbapedia.bulbagarden.net/wiki/Rare_Candy_(Great_Encounters_102)" TargetMode="External"/><Relationship Id="rId5" Type="http://schemas.openxmlformats.org/officeDocument/2006/relationships/hyperlink" Target="https://bulbapedia.bulbagarden.net/wiki/Pachirisu_(Great_Encounters_5)" TargetMode="External"/><Relationship Id="rId90" Type="http://schemas.openxmlformats.org/officeDocument/2006/relationships/hyperlink" Target="https://bulbapedia.bulbagarden.net/wiki/Treecko_(Great_Encounters_90)" TargetMode="External"/><Relationship Id="rId95" Type="http://schemas.openxmlformats.org/officeDocument/2006/relationships/hyperlink" Target="https://bulbapedia.bulbagarden.net/wiki/Wingull_(Great_Encounters_95)" TargetMode="External"/><Relationship Id="rId22" Type="http://schemas.openxmlformats.org/officeDocument/2006/relationships/hyperlink" Target="https://bulbapedia.bulbagarden.net/wiki/Latias_(Great_Encounters_22)" TargetMode="External"/><Relationship Id="rId27" Type="http://schemas.openxmlformats.org/officeDocument/2006/relationships/hyperlink" Target="https://bulbapedia.bulbagarden.net/wiki/Primeape_(Great_Encounters_27)" TargetMode="External"/><Relationship Id="rId43" Type="http://schemas.openxmlformats.org/officeDocument/2006/relationships/hyperlink" Target="https://bulbapedia.bulbagarden.net/wiki/Linoone_(Great_Encounters_43)" TargetMode="External"/><Relationship Id="rId48" Type="http://schemas.openxmlformats.org/officeDocument/2006/relationships/hyperlink" Target="https://bulbapedia.bulbagarden.net/wiki/Pelipper_(Great_Encounters_48)" TargetMode="External"/><Relationship Id="rId64" Type="http://schemas.openxmlformats.org/officeDocument/2006/relationships/hyperlink" Target="https://bulbapedia.bulbagarden.net/wiki/Clamperl_(Great_Encounters_64)" TargetMode="External"/><Relationship Id="rId69" Type="http://schemas.openxmlformats.org/officeDocument/2006/relationships/hyperlink" Target="https://bulbapedia.bulbagarden.net/wiki/Houndour_(Great_Encounters_69)" TargetMode="External"/><Relationship Id="rId80" Type="http://schemas.openxmlformats.org/officeDocument/2006/relationships/hyperlink" Target="https://bulbapedia.bulbagarden.net/wiki/Mudkip_(Great_Encounters_80)" TargetMode="External"/><Relationship Id="rId85" Type="http://schemas.openxmlformats.org/officeDocument/2006/relationships/hyperlink" Target="https://bulbapedia.bulbagarden.net/wiki/Solrock_(Great_Encounters_85)" TargetMode="External"/><Relationship Id="rId12" Type="http://schemas.openxmlformats.org/officeDocument/2006/relationships/hyperlink" Target="https://bulbapedia.bulbagarden.net/wiki/Altaria_(Great_Encounters_12)" TargetMode="External"/><Relationship Id="rId17" Type="http://schemas.openxmlformats.org/officeDocument/2006/relationships/hyperlink" Target="https://bulbapedia.bulbagarden.net/wiki/Exploud_(Great_Encounters_17)" TargetMode="External"/><Relationship Id="rId33" Type="http://schemas.openxmlformats.org/officeDocument/2006/relationships/hyperlink" Target="https://bulbapedia.bulbagarden.net/wiki/Arbok_(Great_Encounters_33)" TargetMode="External"/><Relationship Id="rId38" Type="http://schemas.openxmlformats.org/officeDocument/2006/relationships/hyperlink" Target="https://bulbapedia.bulbagarden.net/wiki/Gorebyss_(Great_Encounters_38)" TargetMode="External"/><Relationship Id="rId59" Type="http://schemas.openxmlformats.org/officeDocument/2006/relationships/hyperlink" Target="https://bulbapedia.bulbagarden.net/wiki/Zangoose_(Great_Encounters_59)" TargetMode="External"/><Relationship Id="rId103" Type="http://schemas.openxmlformats.org/officeDocument/2006/relationships/hyperlink" Target="https://bulbapedia.bulbagarden.net/wiki/Cresselia_LV.X_(Great_Encounters_103)" TargetMode="External"/><Relationship Id="rId20" Type="http://schemas.openxmlformats.org/officeDocument/2006/relationships/hyperlink" Target="https://bulbapedia.bulbagarden.net/wiki/Kingler_(Great_Encounters_20)" TargetMode="External"/><Relationship Id="rId41" Type="http://schemas.openxmlformats.org/officeDocument/2006/relationships/hyperlink" Target="https://bulbapedia.bulbagarden.net/wiki/Hariyama_(Great_Encounters_41)" TargetMode="External"/><Relationship Id="rId54" Type="http://schemas.openxmlformats.org/officeDocument/2006/relationships/hyperlink" Target="https://bulbapedia.bulbagarden.net/wiki/Slowbro_(Great_Encounters_54)" TargetMode="External"/><Relationship Id="rId62" Type="http://schemas.openxmlformats.org/officeDocument/2006/relationships/hyperlink" Target="https://bulbapedia.bulbagarden.net/wiki/Cacnea_(Great_Encounters_62)" TargetMode="External"/><Relationship Id="rId70" Type="http://schemas.openxmlformats.org/officeDocument/2006/relationships/hyperlink" Target="https://bulbapedia.bulbagarden.net/wiki/Igglybuff_(Great_Encounters_70)" TargetMode="External"/><Relationship Id="rId75" Type="http://schemas.openxmlformats.org/officeDocument/2006/relationships/hyperlink" Target="https://bulbapedia.bulbagarden.net/wiki/Krabby_(Great_Encounters_75)" TargetMode="External"/><Relationship Id="rId83" Type="http://schemas.openxmlformats.org/officeDocument/2006/relationships/hyperlink" Target="https://bulbapedia.bulbagarden.net/wiki/Slugma_(Great_Encounters_83)" TargetMode="External"/><Relationship Id="rId88" Type="http://schemas.openxmlformats.org/officeDocument/2006/relationships/hyperlink" Target="https://bulbapedia.bulbagarden.net/wiki/Togepi_(Great_Encounters_88)" TargetMode="External"/><Relationship Id="rId91" Type="http://schemas.openxmlformats.org/officeDocument/2006/relationships/hyperlink" Target="https://bulbapedia.bulbagarden.net/wiki/Unown_L_(Great_Encounters_91)" TargetMode="External"/><Relationship Id="rId96" Type="http://schemas.openxmlformats.org/officeDocument/2006/relationships/hyperlink" Target="https://bulbapedia.bulbagarden.net/wiki/Zigzagoon_(Great_Encounters_96)" TargetMode="External"/><Relationship Id="rId1" Type="http://schemas.openxmlformats.org/officeDocument/2006/relationships/hyperlink" Target="https://bulbapedia.bulbagarden.net/wiki/Blaziken_(Great_Encounters_1)" TargetMode="External"/><Relationship Id="rId6" Type="http://schemas.openxmlformats.org/officeDocument/2006/relationships/hyperlink" Target="https://bulbapedia.bulbagarden.net/wiki/Porygon-Z_(Great_Encounters_6)" TargetMode="External"/><Relationship Id="rId15" Type="http://schemas.openxmlformats.org/officeDocument/2006/relationships/hyperlink" Target="https://bulbapedia.bulbagarden.net/wiki/Claydol_(Great_Encounters_15)" TargetMode="External"/><Relationship Id="rId23" Type="http://schemas.openxmlformats.org/officeDocument/2006/relationships/hyperlink" Target="https://bulbapedia.bulbagarden.net/wiki/Latios_(Great_Encounters_23)" TargetMode="External"/><Relationship Id="rId28" Type="http://schemas.openxmlformats.org/officeDocument/2006/relationships/hyperlink" Target="https://bulbapedia.bulbagarden.net/wiki/Slowking_(Great_Encounters_28)" TargetMode="External"/><Relationship Id="rId36" Type="http://schemas.openxmlformats.org/officeDocument/2006/relationships/hyperlink" Target="https://bulbapedia.bulbagarden.net/wiki/Delibird_(Great_Encounters_36)" TargetMode="External"/><Relationship Id="rId49" Type="http://schemas.openxmlformats.org/officeDocument/2006/relationships/hyperlink" Target="https://bulbapedia.bulbagarden.net/wiki/Porygon2_(Great_Encounters_49)" TargetMode="External"/><Relationship Id="rId57" Type="http://schemas.openxmlformats.org/officeDocument/2006/relationships/hyperlink" Target="https://bulbapedia.bulbagarden.net/wiki/Unown_G_(Great_Encounters_57)" TargetMode="External"/><Relationship Id="rId106" Type="http://schemas.openxmlformats.org/officeDocument/2006/relationships/hyperlink" Target="https://bulbapedia.bulbagarden.net/wiki/Palkia_LV.X_(Great_Encounters_106)" TargetMode="External"/><Relationship Id="rId10" Type="http://schemas.openxmlformats.org/officeDocument/2006/relationships/hyperlink" Target="https://bulbapedia.bulbagarden.net/wiki/Tangrowth_(Great_Encounters_10)" TargetMode="External"/><Relationship Id="rId31" Type="http://schemas.openxmlformats.org/officeDocument/2006/relationships/hyperlink" Target="https://bulbapedia.bulbagarden.net/wiki/Weezing_(Great_Encounters_31)" TargetMode="External"/><Relationship Id="rId44" Type="http://schemas.openxmlformats.org/officeDocument/2006/relationships/hyperlink" Target="https://bulbapedia.bulbagarden.net/wiki/Loudred_(Great_Encounters_44)" TargetMode="External"/><Relationship Id="rId52" Type="http://schemas.openxmlformats.org/officeDocument/2006/relationships/hyperlink" Target="https://bulbapedia.bulbagarden.net/wiki/Seviper_(Great_Encounters_52)" TargetMode="External"/><Relationship Id="rId60" Type="http://schemas.openxmlformats.org/officeDocument/2006/relationships/hyperlink" Target="https://bulbapedia.bulbagarden.net/wiki/Baltoy_(Great_Encounters_60)" TargetMode="External"/><Relationship Id="rId65" Type="http://schemas.openxmlformats.org/officeDocument/2006/relationships/hyperlink" Target="https://bulbapedia.bulbagarden.net/wiki/Drowzee_(Great_Encounters_65)" TargetMode="External"/><Relationship Id="rId73" Type="http://schemas.openxmlformats.org/officeDocument/2006/relationships/hyperlink" Target="https://bulbapedia.bulbagarden.net/wiki/Kakuna_(Great_Encounters_73)" TargetMode="External"/><Relationship Id="rId78" Type="http://schemas.openxmlformats.org/officeDocument/2006/relationships/hyperlink" Target="https://bulbapedia.bulbagarden.net/wiki/Makuhita_(Great_Encounters_78)" TargetMode="External"/><Relationship Id="rId81" Type="http://schemas.openxmlformats.org/officeDocument/2006/relationships/hyperlink" Target="https://bulbapedia.bulbagarden.net/wiki/Porygon_(Great_Encounters_81)" TargetMode="External"/><Relationship Id="rId86" Type="http://schemas.openxmlformats.org/officeDocument/2006/relationships/hyperlink" Target="https://bulbapedia.bulbagarden.net/wiki/Swablu_(Great_Encounters_86)" TargetMode="External"/><Relationship Id="rId94" Type="http://schemas.openxmlformats.org/officeDocument/2006/relationships/hyperlink" Target="https://bulbapedia.bulbagarden.net/wiki/Whismur_(Great_Encounters_94)" TargetMode="External"/><Relationship Id="rId99" Type="http://schemas.openxmlformats.org/officeDocument/2006/relationships/hyperlink" Target="https://bulbapedia.bulbagarden.net/wiki/Leftovers_(Great_Encounters_99)" TargetMode="External"/><Relationship Id="rId101" Type="http://schemas.openxmlformats.org/officeDocument/2006/relationships/hyperlink" Target="https://bulbapedia.bulbagarden.net/wiki/Premier_Ball_(Great_Encounters_101)" TargetMode="External"/><Relationship Id="rId4" Type="http://schemas.openxmlformats.org/officeDocument/2006/relationships/hyperlink" Target="https://bulbapedia.bulbagarden.net/wiki/Darkrai_(Great_Encounters_4)" TargetMode="External"/><Relationship Id="rId9" Type="http://schemas.openxmlformats.org/officeDocument/2006/relationships/hyperlink" Target="https://bulbapedia.bulbagarden.net/wiki/Swampert_(Great_Encounters_9)" TargetMode="External"/><Relationship Id="rId13" Type="http://schemas.openxmlformats.org/officeDocument/2006/relationships/hyperlink" Target="https://bulbapedia.bulbagarden.net/wiki/Beedrill_(Great_Encounters_13)" TargetMode="External"/><Relationship Id="rId18" Type="http://schemas.openxmlformats.org/officeDocument/2006/relationships/hyperlink" Target="https://bulbapedia.bulbagarden.net/wiki/Houndoom_(Great_Encounters_18)" TargetMode="External"/><Relationship Id="rId39" Type="http://schemas.openxmlformats.org/officeDocument/2006/relationships/hyperlink" Target="https://bulbapedia.bulbagarden.net/wiki/Granbull_(Great_Encounters_39)" TargetMode="External"/><Relationship Id="rId34" Type="http://schemas.openxmlformats.org/officeDocument/2006/relationships/hyperlink" Target="https://bulbapedia.bulbagarden.net/wiki/Cacturne_(Great_Encounters_34)" TargetMode="External"/><Relationship Id="rId50" Type="http://schemas.openxmlformats.org/officeDocument/2006/relationships/hyperlink" Target="https://bulbapedia.bulbagarden.net/wiki/Purugly_(Great_Encounters_50)" TargetMode="External"/><Relationship Id="rId55" Type="http://schemas.openxmlformats.org/officeDocument/2006/relationships/hyperlink" Target="https://bulbapedia.bulbagarden.net/wiki/Togetic_(Great_Encounters_55)" TargetMode="External"/><Relationship Id="rId76" Type="http://schemas.openxmlformats.org/officeDocument/2006/relationships/hyperlink" Target="https://bulbapedia.bulbagarden.net/wiki/Lunatone_(Great_Encounters_76)" TargetMode="External"/><Relationship Id="rId97" Type="http://schemas.openxmlformats.org/officeDocument/2006/relationships/hyperlink" Target="https://bulbapedia.bulbagarden.net/wiki/Amulet_Coin_(Great_Encounters_97)" TargetMode="External"/><Relationship Id="rId104" Type="http://schemas.openxmlformats.org/officeDocument/2006/relationships/hyperlink" Target="https://bulbapedia.bulbagarden.net/wiki/Darkrai_LV.X_(Great_Encounters_104)" TargetMode="External"/><Relationship Id="rId7" Type="http://schemas.openxmlformats.org/officeDocument/2006/relationships/hyperlink" Target="https://bulbapedia.bulbagarden.net/wiki/Rotom_(Great_Encounters_7)" TargetMode="External"/><Relationship Id="rId71" Type="http://schemas.openxmlformats.org/officeDocument/2006/relationships/hyperlink" Target="https://bulbapedia.bulbagarden.net/wiki/Illumise_(Great_Encounters_71)" TargetMode="External"/><Relationship Id="rId92" Type="http://schemas.openxmlformats.org/officeDocument/2006/relationships/hyperlink" Target="https://bulbapedia.bulbagarden.net/wiki/Volbeat_(Great_Encounters_92)" TargetMode="External"/><Relationship Id="rId2" Type="http://schemas.openxmlformats.org/officeDocument/2006/relationships/hyperlink" Target="https://bulbapedia.bulbagarden.net/wiki/Cresselia_(Great_Encounters_2)" TargetMode="External"/><Relationship Id="rId29" Type="http://schemas.openxmlformats.org/officeDocument/2006/relationships/hyperlink" Target="https://bulbapedia.bulbagarden.net/wiki/Unown_H_(Great_Encounters_29)" TargetMode="External"/><Relationship Id="rId24" Type="http://schemas.openxmlformats.org/officeDocument/2006/relationships/hyperlink" Target="https://bulbapedia.bulbagarden.net/wiki/Mawile_(Great_Encounters_24)" TargetMode="External"/><Relationship Id="rId40" Type="http://schemas.openxmlformats.org/officeDocument/2006/relationships/hyperlink" Target="https://bulbapedia.bulbagarden.net/wiki/Grovyle_(Great_Encounters_40)" TargetMode="External"/><Relationship Id="rId45" Type="http://schemas.openxmlformats.org/officeDocument/2006/relationships/hyperlink" Target="https://bulbapedia.bulbagarden.net/wiki/Magcargo_(Great_Encounters_45)" TargetMode="External"/><Relationship Id="rId66" Type="http://schemas.openxmlformats.org/officeDocument/2006/relationships/hyperlink" Target="https://bulbapedia.bulbagarden.net/wiki/Ekans_(Great_Encounters_66)" TargetMode="External"/><Relationship Id="rId87" Type="http://schemas.openxmlformats.org/officeDocument/2006/relationships/hyperlink" Target="https://bulbapedia.bulbagarden.net/wiki/Tangela_(Great_Encounters_87)" TargetMode="External"/><Relationship Id="rId61" Type="http://schemas.openxmlformats.org/officeDocument/2006/relationships/hyperlink" Target="https://bulbapedia.bulbagarden.net/wiki/Buizel_(Great_Encounters_61)" TargetMode="External"/><Relationship Id="rId82" Type="http://schemas.openxmlformats.org/officeDocument/2006/relationships/hyperlink" Target="https://bulbapedia.bulbagarden.net/wiki/Slowpoke_(Great_Encounters_82)" TargetMode="External"/><Relationship Id="rId19" Type="http://schemas.openxmlformats.org/officeDocument/2006/relationships/hyperlink" Target="https://bulbapedia.bulbagarden.net/wiki/Hypno_(Great_Encounters_19)" TargetMode="External"/><Relationship Id="rId14" Type="http://schemas.openxmlformats.org/officeDocument/2006/relationships/hyperlink" Target="https://bulbapedia.bulbagarden.net/wiki/Butterfree_(Great_Encounters_14)" TargetMode="External"/><Relationship Id="rId30" Type="http://schemas.openxmlformats.org/officeDocument/2006/relationships/hyperlink" Target="https://bulbapedia.bulbagarden.net/wiki/Wailord_(Great_Encounters_30)" TargetMode="External"/><Relationship Id="rId35" Type="http://schemas.openxmlformats.org/officeDocument/2006/relationships/hyperlink" Target="https://bulbapedia.bulbagarden.net/wiki/Combusken_(Great_Encounters_35)" TargetMode="External"/><Relationship Id="rId56" Type="http://schemas.openxmlformats.org/officeDocument/2006/relationships/hyperlink" Target="https://bulbapedia.bulbagarden.net/wiki/Unown_F_(Great_Encounters_56)" TargetMode="External"/><Relationship Id="rId77" Type="http://schemas.openxmlformats.org/officeDocument/2006/relationships/hyperlink" Target="https://bulbapedia.bulbagarden.net/wiki/Luvdisc_(Great_Encounters_77)" TargetMode="External"/><Relationship Id="rId100" Type="http://schemas.openxmlformats.org/officeDocument/2006/relationships/hyperlink" Target="https://bulbapedia.bulbagarden.net/wiki/Moonlight_Stadium_(Great_Encounters_100)" TargetMode="External"/><Relationship Id="rId105" Type="http://schemas.openxmlformats.org/officeDocument/2006/relationships/hyperlink" Target="https://bulbapedia.bulbagarden.net/wiki/Dialga_LV.X_(Great_Encounters_105)" TargetMode="External"/><Relationship Id="rId8" Type="http://schemas.openxmlformats.org/officeDocument/2006/relationships/hyperlink" Target="https://bulbapedia.bulbagarden.net/wiki/Sceptile_(Great_Encounters_8)" TargetMode="External"/><Relationship Id="rId51" Type="http://schemas.openxmlformats.org/officeDocument/2006/relationships/hyperlink" Target="https://bulbapedia.bulbagarden.net/wiki/Relicanth_(Great_Encounters_51)" TargetMode="External"/><Relationship Id="rId72" Type="http://schemas.openxmlformats.org/officeDocument/2006/relationships/hyperlink" Target="https://bulbapedia.bulbagarden.net/wiki/Jigglypuff_(Great_Encounters_72)" TargetMode="External"/><Relationship Id="rId93" Type="http://schemas.openxmlformats.org/officeDocument/2006/relationships/hyperlink" Target="https://bulbapedia.bulbagarden.net/wiki/Weedle_(Great_Encounters_93)" TargetMode="External"/><Relationship Id="rId98" Type="http://schemas.openxmlformats.org/officeDocument/2006/relationships/hyperlink" Target="https://bulbapedia.bulbagarden.net/wiki/Felicity%27s_Drawing_(Great_Encounters_98)" TargetMode="External"/><Relationship Id="rId3" Type="http://schemas.openxmlformats.org/officeDocument/2006/relationships/hyperlink" Target="https://bulbapedia.bulbagarden.net/wiki/Darkrai_(Great_Encounters_3)" TargetMode="External"/><Relationship Id="rId25" Type="http://schemas.openxmlformats.org/officeDocument/2006/relationships/hyperlink" Target="https://bulbapedia.bulbagarden.net/wiki/Milotic_(Great_Encounters_25)" TargetMode="External"/><Relationship Id="rId46" Type="http://schemas.openxmlformats.org/officeDocument/2006/relationships/hyperlink" Target="https://bulbapedia.bulbagarden.net/wiki/Marshtomp_(Great_Encounters_46)" TargetMode="External"/><Relationship Id="rId67" Type="http://schemas.openxmlformats.org/officeDocument/2006/relationships/hyperlink" Target="https://bulbapedia.bulbagarden.net/wiki/Feebas_(Great_Encounters_67)"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s://bulbapedia.bulbagarden.net/wiki/Omastar_(Majestic_Dawn_26)" TargetMode="External"/><Relationship Id="rId21" Type="http://schemas.openxmlformats.org/officeDocument/2006/relationships/hyperlink" Target="https://bulbapedia.bulbagarden.net/wiki/Hippowdon_(Majestic_Dawn_21)" TargetMode="External"/><Relationship Id="rId42" Type="http://schemas.openxmlformats.org/officeDocument/2006/relationships/hyperlink" Target="https://bulbapedia.bulbagarden.net/wiki/Mothim_(Majestic_Dawn_42)" TargetMode="External"/><Relationship Id="rId47" Type="http://schemas.openxmlformats.org/officeDocument/2006/relationships/hyperlink" Target="https://bulbapedia.bulbagarden.net/wiki/Staravia_(Majestic_Dawn_47)" TargetMode="External"/><Relationship Id="rId63" Type="http://schemas.openxmlformats.org/officeDocument/2006/relationships/hyperlink" Target="https://bulbapedia.bulbagarden.net/wiki/Eevee_(Majestic_Dawn_63)" TargetMode="External"/><Relationship Id="rId68" Type="http://schemas.openxmlformats.org/officeDocument/2006/relationships/hyperlink" Target="https://bulbapedia.bulbagarden.net/wiki/Munchlax_(Majestic_Dawn_68)" TargetMode="External"/><Relationship Id="rId84" Type="http://schemas.openxmlformats.org/officeDocument/2006/relationships/hyperlink" Target="https://bulbapedia.bulbagarden.net/wiki/Old_Amber_(Majestic_Dawn_84)" TargetMode="External"/><Relationship Id="rId89" Type="http://schemas.openxmlformats.org/officeDocument/2006/relationships/hyperlink" Target="https://bulbapedia.bulbagarden.net/wiki/Dome_Fossil_(Majestic_Dawn_89)" TargetMode="External"/><Relationship Id="rId16" Type="http://schemas.openxmlformats.org/officeDocument/2006/relationships/hyperlink" Target="https://bulbapedia.bulbagarden.net/wiki/Bronzong_(Majestic_Dawn_16)" TargetMode="External"/><Relationship Id="rId11" Type="http://schemas.openxmlformats.org/officeDocument/2006/relationships/hyperlink" Target="https://bulbapedia.bulbagarden.net/wiki/Palkia_(Majestic_Dawn_11)" TargetMode="External"/><Relationship Id="rId32" Type="http://schemas.openxmlformats.org/officeDocument/2006/relationships/hyperlink" Target="https://bulbapedia.bulbagarden.net/wiki/Umbreon_(Majestic_Dawn_32)" TargetMode="External"/><Relationship Id="rId37" Type="http://schemas.openxmlformats.org/officeDocument/2006/relationships/hyperlink" Target="https://bulbapedia.bulbagarden.net/wiki/Grotle_(Majestic_Dawn_37)" TargetMode="External"/><Relationship Id="rId53" Type="http://schemas.openxmlformats.org/officeDocument/2006/relationships/hyperlink" Target="https://bulbapedia.bulbagarden.net/wiki/Buneary_(Majestic_Dawn_53)" TargetMode="External"/><Relationship Id="rId58" Type="http://schemas.openxmlformats.org/officeDocument/2006/relationships/hyperlink" Target="https://bulbapedia.bulbagarden.net/wiki/Chingling_(Majestic_Dawn_58)" TargetMode="External"/><Relationship Id="rId74" Type="http://schemas.openxmlformats.org/officeDocument/2006/relationships/hyperlink" Target="https://bulbapedia.bulbagarden.net/wiki/Spearow_(Majestic_Dawn_74)" TargetMode="External"/><Relationship Id="rId79" Type="http://schemas.openxmlformats.org/officeDocument/2006/relationships/hyperlink" Target="https://bulbapedia.bulbagarden.net/wiki/Dawn_Stadium_(Majestic_Dawn_79)" TargetMode="External"/><Relationship Id="rId5" Type="http://schemas.openxmlformats.org/officeDocument/2006/relationships/hyperlink" Target="https://bulbapedia.bulbagarden.net/wiki/Glaceon_(Majestic_Dawn_5)" TargetMode="External"/><Relationship Id="rId90" Type="http://schemas.openxmlformats.org/officeDocument/2006/relationships/hyperlink" Target="https://bulbapedia.bulbagarden.net/wiki/Energy_Search_(Majestic_Dawn_90)" TargetMode="External"/><Relationship Id="rId95" Type="http://schemas.openxmlformats.org/officeDocument/2006/relationships/hyperlink" Target="https://bulbapedia.bulbagarden.net/wiki/Metal_Energy_(Majestic_Dawn_95)" TargetMode="External"/><Relationship Id="rId22" Type="http://schemas.openxmlformats.org/officeDocument/2006/relationships/hyperlink" Target="https://bulbapedia.bulbagarden.net/wiki/Infernape_(Majestic_Dawn_22)" TargetMode="External"/><Relationship Id="rId27" Type="http://schemas.openxmlformats.org/officeDocument/2006/relationships/hyperlink" Target="https://bulbapedia.bulbagarden.net/wiki/Phione_(Majestic_Dawn_27)" TargetMode="External"/><Relationship Id="rId43" Type="http://schemas.openxmlformats.org/officeDocument/2006/relationships/hyperlink" Target="https://bulbapedia.bulbagarden.net/wiki/Pachirisu_(Majestic_Dawn_43)" TargetMode="External"/><Relationship Id="rId48" Type="http://schemas.openxmlformats.org/officeDocument/2006/relationships/hyperlink" Target="https://bulbapedia.bulbagarden.net/wiki/Sudowoodo_(Majestic_Dawn_48)" TargetMode="External"/><Relationship Id="rId64" Type="http://schemas.openxmlformats.org/officeDocument/2006/relationships/hyperlink" Target="https://bulbapedia.bulbagarden.net/wiki/Electrike_(Majestic_Dawn_64)" TargetMode="External"/><Relationship Id="rId69" Type="http://schemas.openxmlformats.org/officeDocument/2006/relationships/hyperlink" Target="https://bulbapedia.bulbagarden.net/wiki/Omanyte_(Majestic_Dawn_69)" TargetMode="External"/><Relationship Id="rId80" Type="http://schemas.openxmlformats.org/officeDocument/2006/relationships/hyperlink" Target="https://bulbapedia.bulbagarden.net/wiki/Dusk_Ball_(Majestic_Dawn_80)" TargetMode="External"/><Relationship Id="rId85" Type="http://schemas.openxmlformats.org/officeDocument/2006/relationships/hyperlink" Target="https://bulbapedia.bulbagarden.net/wiki/Pok%C3%A9_Ball_(Majestic_Dawn_85)" TargetMode="External"/><Relationship Id="rId3" Type="http://schemas.openxmlformats.org/officeDocument/2006/relationships/hyperlink" Target="https://bulbapedia.bulbagarden.net/wiki/Darkrai_(Majestic_Dawn_3)" TargetMode="External"/><Relationship Id="rId12" Type="http://schemas.openxmlformats.org/officeDocument/2006/relationships/hyperlink" Target="https://bulbapedia.bulbagarden.net/wiki/Phione_(Majestic_Dawn_12)" TargetMode="External"/><Relationship Id="rId17" Type="http://schemas.openxmlformats.org/officeDocument/2006/relationships/hyperlink" Target="https://bulbapedia.bulbagarden.net/wiki/Empoleon_(Majestic_Dawn_17)" TargetMode="External"/><Relationship Id="rId25" Type="http://schemas.openxmlformats.org/officeDocument/2006/relationships/hyperlink" Target="https://bulbapedia.bulbagarden.net/wiki/Minun_(Majestic_Dawn_25)" TargetMode="External"/><Relationship Id="rId33" Type="http://schemas.openxmlformats.org/officeDocument/2006/relationships/hyperlink" Target="https://bulbapedia.bulbagarden.net/wiki/Unown_P_(Majestic_Dawn_33)" TargetMode="External"/><Relationship Id="rId38" Type="http://schemas.openxmlformats.org/officeDocument/2006/relationships/hyperlink" Target="https://bulbapedia.bulbagarden.net/wiki/Kangaskhan_(Majestic_Dawn_38)" TargetMode="External"/><Relationship Id="rId46" Type="http://schemas.openxmlformats.org/officeDocument/2006/relationships/hyperlink" Target="https://bulbapedia.bulbagarden.net/wiki/Scyther_(Majestic_Dawn_46)" TargetMode="External"/><Relationship Id="rId59" Type="http://schemas.openxmlformats.org/officeDocument/2006/relationships/hyperlink" Target="https://bulbapedia.bulbagarden.net/wiki/Combee_(Majestic_Dawn_59)" TargetMode="External"/><Relationship Id="rId67" Type="http://schemas.openxmlformats.org/officeDocument/2006/relationships/hyperlink" Target="https://bulbapedia.bulbagarden.net/wiki/Kabuto_(Majestic_Dawn_67)" TargetMode="External"/><Relationship Id="rId20" Type="http://schemas.openxmlformats.org/officeDocument/2006/relationships/hyperlink" Target="https://bulbapedia.bulbagarden.net/wiki/Glaceon_(Majestic_Dawn_20)" TargetMode="External"/><Relationship Id="rId41" Type="http://schemas.openxmlformats.org/officeDocument/2006/relationships/hyperlink" Target="https://bulbapedia.bulbagarden.net/wiki/Monferno_(Majestic_Dawn_41)" TargetMode="External"/><Relationship Id="rId54" Type="http://schemas.openxmlformats.org/officeDocument/2006/relationships/hyperlink" Target="https://bulbapedia.bulbagarden.net/wiki/Burmy_(Majestic_Dawn_54)" TargetMode="External"/><Relationship Id="rId62" Type="http://schemas.openxmlformats.org/officeDocument/2006/relationships/hyperlink" Target="https://bulbapedia.bulbagarden.net/wiki/Eevee_(Majestic_Dawn_62)" TargetMode="External"/><Relationship Id="rId70" Type="http://schemas.openxmlformats.org/officeDocument/2006/relationships/hyperlink" Target="https://bulbapedia.bulbagarden.net/wiki/Pikachu_(Majestic_Dawn_70)" TargetMode="External"/><Relationship Id="rId75" Type="http://schemas.openxmlformats.org/officeDocument/2006/relationships/hyperlink" Target="https://bulbapedia.bulbagarden.net/wiki/Starly_(Majestic_Dawn_75)" TargetMode="External"/><Relationship Id="rId83" Type="http://schemas.openxmlformats.org/officeDocument/2006/relationships/hyperlink" Target="https://bulbapedia.bulbagarden.net/wiki/Mom%27s_Kindness_(Majestic_Dawn_83)" TargetMode="External"/><Relationship Id="rId88" Type="http://schemas.openxmlformats.org/officeDocument/2006/relationships/hyperlink" Target="https://bulbapedia.bulbagarden.net/wiki/Warp_Point_(Majestic_Dawn_88)" TargetMode="External"/><Relationship Id="rId91" Type="http://schemas.openxmlformats.org/officeDocument/2006/relationships/hyperlink" Target="https://bulbapedia.bulbagarden.net/wiki/Helix_Fossil_(Majestic_Dawn_91)" TargetMode="External"/><Relationship Id="rId96" Type="http://schemas.openxmlformats.org/officeDocument/2006/relationships/hyperlink" Target="https://bulbapedia.bulbagarden.net/wiki/Recover_Energy_(Majestic_Dawn_96)" TargetMode="External"/><Relationship Id="rId1" Type="http://schemas.openxmlformats.org/officeDocument/2006/relationships/hyperlink" Target="https://bulbapedia.bulbagarden.net/wiki/Articuno_(Majestic_Dawn_1)" TargetMode="External"/><Relationship Id="rId6" Type="http://schemas.openxmlformats.org/officeDocument/2006/relationships/hyperlink" Target="https://bulbapedia.bulbagarden.net/wiki/Kabutops_(Majestic_Dawn_6)" TargetMode="External"/><Relationship Id="rId15" Type="http://schemas.openxmlformats.org/officeDocument/2006/relationships/hyperlink" Target="https://bulbapedia.bulbagarden.net/wiki/Aerodactyl_(Majestic_Dawn_15)" TargetMode="External"/><Relationship Id="rId23" Type="http://schemas.openxmlformats.org/officeDocument/2006/relationships/hyperlink" Target="https://bulbapedia.bulbagarden.net/wiki/Jolteon_(Majestic_Dawn_23)" TargetMode="External"/><Relationship Id="rId28" Type="http://schemas.openxmlformats.org/officeDocument/2006/relationships/hyperlink" Target="https://bulbapedia.bulbagarden.net/wiki/Plusle_(Majestic_Dawn_28)" TargetMode="External"/><Relationship Id="rId36" Type="http://schemas.openxmlformats.org/officeDocument/2006/relationships/hyperlink" Target="https://bulbapedia.bulbagarden.net/wiki/Fearow_(Majestic_Dawn_36)" TargetMode="External"/><Relationship Id="rId49" Type="http://schemas.openxmlformats.org/officeDocument/2006/relationships/hyperlink" Target="https://bulbapedia.bulbagarden.net/wiki/Unown_Q_(Majestic_Dawn_49)" TargetMode="External"/><Relationship Id="rId57" Type="http://schemas.openxmlformats.org/officeDocument/2006/relationships/hyperlink" Target="https://bulbapedia.bulbagarden.net/wiki/Chimchar_(Majestic_Dawn_57)" TargetMode="External"/><Relationship Id="rId10" Type="http://schemas.openxmlformats.org/officeDocument/2006/relationships/hyperlink" Target="https://bulbapedia.bulbagarden.net/wiki/Moltres_(Majestic_Dawn_10)" TargetMode="External"/><Relationship Id="rId31" Type="http://schemas.openxmlformats.org/officeDocument/2006/relationships/hyperlink" Target="https://bulbapedia.bulbagarden.net/wiki/Toxicroak_(Majestic_Dawn_31)" TargetMode="External"/><Relationship Id="rId44" Type="http://schemas.openxmlformats.org/officeDocument/2006/relationships/hyperlink" Target="https://bulbapedia.bulbagarden.net/wiki/Prinplup_(Majestic_Dawn_44)" TargetMode="External"/><Relationship Id="rId52" Type="http://schemas.openxmlformats.org/officeDocument/2006/relationships/hyperlink" Target="https://bulbapedia.bulbagarden.net/wiki/Bronzor_(Majestic_Dawn_52)" TargetMode="External"/><Relationship Id="rId60" Type="http://schemas.openxmlformats.org/officeDocument/2006/relationships/hyperlink" Target="https://bulbapedia.bulbagarden.net/wiki/Croagunk_(Majestic_Dawn_60)" TargetMode="External"/><Relationship Id="rId65" Type="http://schemas.openxmlformats.org/officeDocument/2006/relationships/hyperlink" Target="https://bulbapedia.bulbagarden.net/wiki/Glameow_(Majestic_Dawn_65)" TargetMode="External"/><Relationship Id="rId73" Type="http://schemas.openxmlformats.org/officeDocument/2006/relationships/hyperlink" Target="https://bulbapedia.bulbagarden.net/wiki/Shellos_(Majestic_Dawn_73)" TargetMode="External"/><Relationship Id="rId78" Type="http://schemas.openxmlformats.org/officeDocument/2006/relationships/hyperlink" Target="https://bulbapedia.bulbagarden.net/wiki/Turtwig_(Majestic_Dawn_78)" TargetMode="External"/><Relationship Id="rId81" Type="http://schemas.openxmlformats.org/officeDocument/2006/relationships/hyperlink" Target="https://bulbapedia.bulbagarden.net/wiki/Energy_Restore_(Majestic_Dawn_81)" TargetMode="External"/><Relationship Id="rId86" Type="http://schemas.openxmlformats.org/officeDocument/2006/relationships/hyperlink" Target="https://bulbapedia.bulbagarden.net/wiki/Quick_Ball_(Majestic_Dawn_86)" TargetMode="External"/><Relationship Id="rId94" Type="http://schemas.openxmlformats.org/officeDocument/2006/relationships/hyperlink" Target="https://bulbapedia.bulbagarden.net/wiki/Health_Energy_(Majestic_Dawn_94)" TargetMode="External"/><Relationship Id="rId99" Type="http://schemas.openxmlformats.org/officeDocument/2006/relationships/hyperlink" Target="https://bulbapedia.bulbagarden.net/wiki/Leafeon_LV.X_(Majestic_Dawn_99)" TargetMode="External"/><Relationship Id="rId4" Type="http://schemas.openxmlformats.org/officeDocument/2006/relationships/hyperlink" Target="https://bulbapedia.bulbagarden.net/wiki/Dialga_(Majestic_Dawn_4)" TargetMode="External"/><Relationship Id="rId9" Type="http://schemas.openxmlformats.org/officeDocument/2006/relationships/hyperlink" Target="https://bulbapedia.bulbagarden.net/wiki/Mewtwo_(Majestic_Dawn_9)" TargetMode="External"/><Relationship Id="rId13" Type="http://schemas.openxmlformats.org/officeDocument/2006/relationships/hyperlink" Target="https://bulbapedia.bulbagarden.net/wiki/Rotom_(Majestic_Dawn_13)" TargetMode="External"/><Relationship Id="rId18" Type="http://schemas.openxmlformats.org/officeDocument/2006/relationships/hyperlink" Target="https://bulbapedia.bulbagarden.net/wiki/Espeon_(Majestic_Dawn_18)" TargetMode="External"/><Relationship Id="rId39" Type="http://schemas.openxmlformats.org/officeDocument/2006/relationships/hyperlink" Target="https://bulbapedia.bulbagarden.net/wiki/Lickitung_(Majestic_Dawn_39)" TargetMode="External"/><Relationship Id="rId34" Type="http://schemas.openxmlformats.org/officeDocument/2006/relationships/hyperlink" Target="https://bulbapedia.bulbagarden.net/wiki/Vaporeon_(Majestic_Dawn_34)" TargetMode="External"/><Relationship Id="rId50" Type="http://schemas.openxmlformats.org/officeDocument/2006/relationships/hyperlink" Target="https://bulbapedia.bulbagarden.net/wiki/Aipom_(Majestic_Dawn_50)" TargetMode="External"/><Relationship Id="rId55" Type="http://schemas.openxmlformats.org/officeDocument/2006/relationships/hyperlink" Target="https://bulbapedia.bulbagarden.net/wiki/Chatot_(Majestic_Dawn_55)" TargetMode="External"/><Relationship Id="rId76" Type="http://schemas.openxmlformats.org/officeDocument/2006/relationships/hyperlink" Target="https://bulbapedia.bulbagarden.net/wiki/Stunky_(Majestic_Dawn_76)" TargetMode="External"/><Relationship Id="rId97" Type="http://schemas.openxmlformats.org/officeDocument/2006/relationships/hyperlink" Target="https://bulbapedia.bulbagarden.net/wiki/Garchomp_LV.X_(Majestic_Dawn_97)" TargetMode="External"/><Relationship Id="rId7" Type="http://schemas.openxmlformats.org/officeDocument/2006/relationships/hyperlink" Target="https://bulbapedia.bulbagarden.net/wiki/Leafeon_(Majestic_Dawn_7)" TargetMode="External"/><Relationship Id="rId71" Type="http://schemas.openxmlformats.org/officeDocument/2006/relationships/hyperlink" Target="https://bulbapedia.bulbagarden.net/wiki/Piplup_(Majestic_Dawn_71)" TargetMode="External"/><Relationship Id="rId92" Type="http://schemas.openxmlformats.org/officeDocument/2006/relationships/hyperlink" Target="https://bulbapedia.bulbagarden.net/wiki/Call_Energy_(Majestic_Dawn_92)" TargetMode="External"/><Relationship Id="rId2" Type="http://schemas.openxmlformats.org/officeDocument/2006/relationships/hyperlink" Target="https://bulbapedia.bulbagarden.net/wiki/Cresselia_(Majestic_Dawn_2)" TargetMode="External"/><Relationship Id="rId29" Type="http://schemas.openxmlformats.org/officeDocument/2006/relationships/hyperlink" Target="https://bulbapedia.bulbagarden.net/wiki/Scizor_(Majestic_Dawn_29)" TargetMode="External"/><Relationship Id="rId24" Type="http://schemas.openxmlformats.org/officeDocument/2006/relationships/hyperlink" Target="https://bulbapedia.bulbagarden.net/wiki/Leafeon_(Majestic_Dawn_24)" TargetMode="External"/><Relationship Id="rId40" Type="http://schemas.openxmlformats.org/officeDocument/2006/relationships/hyperlink" Target="https://bulbapedia.bulbagarden.net/wiki/Manectric_(Majestic_Dawn_40)" TargetMode="External"/><Relationship Id="rId45" Type="http://schemas.openxmlformats.org/officeDocument/2006/relationships/hyperlink" Target="https://bulbapedia.bulbagarden.net/wiki/Raichu_(Majestic_Dawn_45)" TargetMode="External"/><Relationship Id="rId66" Type="http://schemas.openxmlformats.org/officeDocument/2006/relationships/hyperlink" Target="https://bulbapedia.bulbagarden.net/wiki/Hippopotas_(Majestic_Dawn_66)" TargetMode="External"/><Relationship Id="rId87" Type="http://schemas.openxmlformats.org/officeDocument/2006/relationships/hyperlink" Target="https://bulbapedia.bulbagarden.net/wiki/Super_Scoop_Up_(Majestic_Dawn_87)" TargetMode="External"/><Relationship Id="rId61" Type="http://schemas.openxmlformats.org/officeDocument/2006/relationships/hyperlink" Target="https://bulbapedia.bulbagarden.net/wiki/Drifloon_(Majestic_Dawn_61)" TargetMode="External"/><Relationship Id="rId82" Type="http://schemas.openxmlformats.org/officeDocument/2006/relationships/hyperlink" Target="https://bulbapedia.bulbagarden.net/wiki/Fossil_Excavator_(Majestic_Dawn_82)" TargetMode="External"/><Relationship Id="rId19" Type="http://schemas.openxmlformats.org/officeDocument/2006/relationships/hyperlink" Target="https://bulbapedia.bulbagarden.net/wiki/Flareon_(Majestic_Dawn_19)" TargetMode="External"/><Relationship Id="rId14" Type="http://schemas.openxmlformats.org/officeDocument/2006/relationships/hyperlink" Target="https://bulbapedia.bulbagarden.net/wiki/Zapdos_(Majestic_Dawn_14)" TargetMode="External"/><Relationship Id="rId30" Type="http://schemas.openxmlformats.org/officeDocument/2006/relationships/hyperlink" Target="https://bulbapedia.bulbagarden.net/wiki/Torterra_(Majestic_Dawn_30)" TargetMode="External"/><Relationship Id="rId35" Type="http://schemas.openxmlformats.org/officeDocument/2006/relationships/hyperlink" Target="https://bulbapedia.bulbagarden.net/wiki/Ambipom_(Majestic_Dawn_35)" TargetMode="External"/><Relationship Id="rId56" Type="http://schemas.openxmlformats.org/officeDocument/2006/relationships/hyperlink" Target="https://bulbapedia.bulbagarden.net/wiki/Chimchar_(Majestic_Dawn_56)" TargetMode="External"/><Relationship Id="rId77" Type="http://schemas.openxmlformats.org/officeDocument/2006/relationships/hyperlink" Target="https://bulbapedia.bulbagarden.net/wiki/Turtwig_(Majestic_Dawn_77)" TargetMode="External"/><Relationship Id="rId100" Type="http://schemas.openxmlformats.org/officeDocument/2006/relationships/hyperlink" Target="https://bulbapedia.bulbagarden.net/wiki/Porygon-Z_LV.X_(Majestic_Dawn_100)" TargetMode="External"/><Relationship Id="rId8" Type="http://schemas.openxmlformats.org/officeDocument/2006/relationships/hyperlink" Target="https://bulbapedia.bulbagarden.net/wiki/Manaphy_(Majestic_Dawn_8)" TargetMode="External"/><Relationship Id="rId51" Type="http://schemas.openxmlformats.org/officeDocument/2006/relationships/hyperlink" Target="https://bulbapedia.bulbagarden.net/wiki/Aipom_(Majestic_Dawn_51)" TargetMode="External"/><Relationship Id="rId72" Type="http://schemas.openxmlformats.org/officeDocument/2006/relationships/hyperlink" Target="https://bulbapedia.bulbagarden.net/wiki/Piplup_(Majestic_Dawn_72)" TargetMode="External"/><Relationship Id="rId93" Type="http://schemas.openxmlformats.org/officeDocument/2006/relationships/hyperlink" Target="https://bulbapedia.bulbagarden.net/wiki/Darkness_Energy_(Majestic_Dawn_93)" TargetMode="External"/><Relationship Id="rId98" Type="http://schemas.openxmlformats.org/officeDocument/2006/relationships/hyperlink" Target="https://bulbapedia.bulbagarden.net/wiki/Glaceon_LV.X_(Majestic_Dawn_98)" TargetMode="External"/></Relationships>
</file>

<file path=xl/worksheets/_rels/sheet30.xml.rels><?xml version="1.0" encoding="UTF-8" standalone="yes"?>
<Relationships xmlns="http://schemas.openxmlformats.org/package/2006/relationships"><Relationship Id="rId117" Type="http://schemas.openxmlformats.org/officeDocument/2006/relationships/hyperlink" Target="https://bulbapedia.bulbagarden.net/wiki/Riolu_(Legends_Awakened_117)" TargetMode="External"/><Relationship Id="rId21" Type="http://schemas.openxmlformats.org/officeDocument/2006/relationships/hyperlink" Target="https://bulbapedia.bulbagarden.net/wiki/Cradily_(Legends_Awakened_21)" TargetMode="External"/><Relationship Id="rId42" Type="http://schemas.openxmlformats.org/officeDocument/2006/relationships/hyperlink" Target="https://bulbapedia.bulbagarden.net/wiki/Unown_!_(Legends_Awakened_42)" TargetMode="External"/><Relationship Id="rId63" Type="http://schemas.openxmlformats.org/officeDocument/2006/relationships/hyperlink" Target="https://bulbapedia.bulbagarden.net/wiki/Marowak_(Legends_Awakened_63)" TargetMode="External"/><Relationship Id="rId84" Type="http://schemas.openxmlformats.org/officeDocument/2006/relationships/hyperlink" Target="https://bulbapedia.bulbagarden.net/wiki/Beldum_(Legends_Awakened_84)" TargetMode="External"/><Relationship Id="rId138" Type="http://schemas.openxmlformats.org/officeDocument/2006/relationships/hyperlink" Target="https://bulbapedia.bulbagarden.net/wiki/Claw_Fossil_(Legends_Awakened_138)" TargetMode="External"/><Relationship Id="rId107" Type="http://schemas.openxmlformats.org/officeDocument/2006/relationships/hyperlink" Target="https://bulbapedia.bulbagarden.net/wiki/Misdreavus_(Legends_Awakened_107)" TargetMode="External"/><Relationship Id="rId11" Type="http://schemas.openxmlformats.org/officeDocument/2006/relationships/hyperlink" Target="https://bulbapedia.bulbagarden.net/wiki/Mewtwo_(Legends_Awakened_11)" TargetMode="External"/><Relationship Id="rId32" Type="http://schemas.openxmlformats.org/officeDocument/2006/relationships/hyperlink" Target="https://bulbapedia.bulbagarden.net/wiki/Kyogre_(Legends_Awakened_32)" TargetMode="External"/><Relationship Id="rId53" Type="http://schemas.openxmlformats.org/officeDocument/2006/relationships/hyperlink" Target="https://bulbapedia.bulbagarden.net/wiki/Drifblim_(Legends_Awakened_53)" TargetMode="External"/><Relationship Id="rId74" Type="http://schemas.openxmlformats.org/officeDocument/2006/relationships/hyperlink" Target="https://bulbapedia.bulbagarden.net/wiki/Tauros_(Legends_Awakened_74)" TargetMode="External"/><Relationship Id="rId128" Type="http://schemas.openxmlformats.org/officeDocument/2006/relationships/hyperlink" Target="https://bulbapedia.bulbagarden.net/wiki/Yanma_(Legends_Awakened_128)" TargetMode="External"/><Relationship Id="rId5" Type="http://schemas.openxmlformats.org/officeDocument/2006/relationships/hyperlink" Target="https://bulbapedia.bulbagarden.net/wiki/Gliscor_(Legends_Awakened_5)" TargetMode="External"/><Relationship Id="rId90" Type="http://schemas.openxmlformats.org/officeDocument/2006/relationships/hyperlink" Target="https://bulbapedia.bulbagarden.net/wiki/Cubone_(Legends_Awakened_90)" TargetMode="External"/><Relationship Id="rId95" Type="http://schemas.openxmlformats.org/officeDocument/2006/relationships/hyperlink" Target="https://bulbapedia.bulbagarden.net/wiki/Gligar_(Legends_Awakened_95)" TargetMode="External"/><Relationship Id="rId22" Type="http://schemas.openxmlformats.org/officeDocument/2006/relationships/hyperlink" Target="https://bulbapedia.bulbagarden.net/wiki/Crawdaunt_(Legends_Awakened_22)" TargetMode="External"/><Relationship Id="rId27" Type="http://schemas.openxmlformats.org/officeDocument/2006/relationships/hyperlink" Target="https://bulbapedia.bulbagarden.net/wiki/Ditto_(Legends_Awakened_27)" TargetMode="External"/><Relationship Id="rId43" Type="http://schemas.openxmlformats.org/officeDocument/2006/relationships/hyperlink" Target="https://bulbapedia.bulbagarden.net/wiki/Uxie_(Legends_Awakened_43)" TargetMode="External"/><Relationship Id="rId48" Type="http://schemas.openxmlformats.org/officeDocument/2006/relationships/hyperlink" Target="https://bulbapedia.bulbagarden.net/wiki/Castform_(Legends_Awakened_48)" TargetMode="External"/><Relationship Id="rId64" Type="http://schemas.openxmlformats.org/officeDocument/2006/relationships/hyperlink" Target="https://bulbapedia.bulbagarden.net/wiki/Metang_(Legends_Awakened_64)" TargetMode="External"/><Relationship Id="rId69" Type="http://schemas.openxmlformats.org/officeDocument/2006/relationships/hyperlink" Target="https://bulbapedia.bulbagarden.net/wiki/Piloswine_(Legends_Awakened_69)" TargetMode="External"/><Relationship Id="rId113" Type="http://schemas.openxmlformats.org/officeDocument/2006/relationships/hyperlink" Target="https://bulbapedia.bulbagarden.net/wiki/Pineco_(Legends_Awakened_113)" TargetMode="External"/><Relationship Id="rId118" Type="http://schemas.openxmlformats.org/officeDocument/2006/relationships/hyperlink" Target="https://bulbapedia.bulbagarden.net/wiki/Shinx_(Legends_Awakened_118)" TargetMode="External"/><Relationship Id="rId134" Type="http://schemas.openxmlformats.org/officeDocument/2006/relationships/hyperlink" Target="https://bulbapedia.bulbagarden.net/wiki/Snowpoint_Temple_(Legends_Awakened_134)" TargetMode="External"/><Relationship Id="rId139" Type="http://schemas.openxmlformats.org/officeDocument/2006/relationships/hyperlink" Target="https://bulbapedia.bulbagarden.net/wiki/Root_Fossil_(Legends_Awakened_139)" TargetMode="External"/><Relationship Id="rId80" Type="http://schemas.openxmlformats.org/officeDocument/2006/relationships/hyperlink" Target="https://bulbapedia.bulbagarden.net/wiki/Unown_W_(Legends_Awakened_80)" TargetMode="External"/><Relationship Id="rId85" Type="http://schemas.openxmlformats.org/officeDocument/2006/relationships/hyperlink" Target="https://bulbapedia.bulbagarden.net/wiki/Bellsprout_(Legends_Awakened_85)" TargetMode="External"/><Relationship Id="rId12" Type="http://schemas.openxmlformats.org/officeDocument/2006/relationships/hyperlink" Target="https://bulbapedia.bulbagarden.net/wiki/Politoed_(Legends_Awakened_12)" TargetMode="External"/><Relationship Id="rId17" Type="http://schemas.openxmlformats.org/officeDocument/2006/relationships/hyperlink" Target="https://bulbapedia.bulbagarden.net/wiki/Yanmega_(Legends_Awakened_17)" TargetMode="External"/><Relationship Id="rId33" Type="http://schemas.openxmlformats.org/officeDocument/2006/relationships/hyperlink" Target="https://bulbapedia.bulbagarden.net/wiki/Lopunny_(Legends_Awakened_33)" TargetMode="External"/><Relationship Id="rId38" Type="http://schemas.openxmlformats.org/officeDocument/2006/relationships/hyperlink" Target="https://bulbapedia.bulbagarden.net/wiki/Regirock_(Legends_Awakened_38)" TargetMode="External"/><Relationship Id="rId59" Type="http://schemas.openxmlformats.org/officeDocument/2006/relationships/hyperlink" Target="https://bulbapedia.bulbagarden.net/wiki/Lanturn_(Legends_Awakened_59)" TargetMode="External"/><Relationship Id="rId103" Type="http://schemas.openxmlformats.org/officeDocument/2006/relationships/hyperlink" Target="https://bulbapedia.bulbagarden.net/wiki/Houndour_(Legends_Awakened_103)" TargetMode="External"/><Relationship Id="rId108" Type="http://schemas.openxmlformats.org/officeDocument/2006/relationships/hyperlink" Target="https://bulbapedia.bulbagarden.net/wiki/Nincada_(Legends_Awakened_108)" TargetMode="External"/><Relationship Id="rId124" Type="http://schemas.openxmlformats.org/officeDocument/2006/relationships/hyperlink" Target="https://bulbapedia.bulbagarden.net/wiki/Taillow_(Legends_Awakened_124)" TargetMode="External"/><Relationship Id="rId129" Type="http://schemas.openxmlformats.org/officeDocument/2006/relationships/hyperlink" Target="https://bulbapedia.bulbagarden.net/wiki/Bubble_Coat_(Legends_Awakened_129)" TargetMode="External"/><Relationship Id="rId54" Type="http://schemas.openxmlformats.org/officeDocument/2006/relationships/hyperlink" Target="https://bulbapedia.bulbagarden.net/wiki/Exeggutor_(Legends_Awakened_54)" TargetMode="External"/><Relationship Id="rId70" Type="http://schemas.openxmlformats.org/officeDocument/2006/relationships/hyperlink" Target="https://bulbapedia.bulbagarden.net/wiki/Seadra_(Legends_Awakened_70)" TargetMode="External"/><Relationship Id="rId75" Type="http://schemas.openxmlformats.org/officeDocument/2006/relationships/hyperlink" Target="https://bulbapedia.bulbagarden.net/wiki/Tentacruel_(Legends_Awakened_75)" TargetMode="External"/><Relationship Id="rId91" Type="http://schemas.openxmlformats.org/officeDocument/2006/relationships/hyperlink" Target="https://bulbapedia.bulbagarden.net/wiki/Dratini_(Legends_Awakened_91)" TargetMode="External"/><Relationship Id="rId96" Type="http://schemas.openxmlformats.org/officeDocument/2006/relationships/hyperlink" Target="https://bulbapedia.bulbagarden.net/wiki/Gloom_(Legends_Awakened_96)" TargetMode="External"/><Relationship Id="rId140" Type="http://schemas.openxmlformats.org/officeDocument/2006/relationships/hyperlink" Target="https://bulbapedia.bulbagarden.net/wiki/Azelf_LV.X_(Legends_Awakened_140)" TargetMode="External"/><Relationship Id="rId145" Type="http://schemas.openxmlformats.org/officeDocument/2006/relationships/hyperlink" Target="https://bulbapedia.bulbagarden.net/wiki/Rhyperior_LV.X_(Legends_Awakened_145)" TargetMode="External"/><Relationship Id="rId1" Type="http://schemas.openxmlformats.org/officeDocument/2006/relationships/hyperlink" Target="https://bulbapedia.bulbagarden.net/wiki/Deoxys_(Legends_Awakened_1)" TargetMode="External"/><Relationship Id="rId6" Type="http://schemas.openxmlformats.org/officeDocument/2006/relationships/hyperlink" Target="https://bulbapedia.bulbagarden.net/wiki/Heatran_(Legends_Awakened_6)" TargetMode="External"/><Relationship Id="rId23" Type="http://schemas.openxmlformats.org/officeDocument/2006/relationships/hyperlink" Target="https://bulbapedia.bulbagarden.net/wiki/Delcatty_(Legends_Awakened_23)" TargetMode="External"/><Relationship Id="rId28" Type="http://schemas.openxmlformats.org/officeDocument/2006/relationships/hyperlink" Target="https://bulbapedia.bulbagarden.net/wiki/Forretress_(Legends_Awakened_28)" TargetMode="External"/><Relationship Id="rId49" Type="http://schemas.openxmlformats.org/officeDocument/2006/relationships/hyperlink" Target="https://bulbapedia.bulbagarden.net/wiki/Castform_(Legends_Awakened_49)" TargetMode="External"/><Relationship Id="rId114" Type="http://schemas.openxmlformats.org/officeDocument/2006/relationships/hyperlink" Target="https://bulbapedia.bulbagarden.net/wiki/Poliwag_(Legends_Awakened_114)" TargetMode="External"/><Relationship Id="rId119" Type="http://schemas.openxmlformats.org/officeDocument/2006/relationships/hyperlink" Target="https://bulbapedia.bulbagarden.net/wiki/Skitty_(Legends_Awakened_119)" TargetMode="External"/><Relationship Id="rId44" Type="http://schemas.openxmlformats.org/officeDocument/2006/relationships/hyperlink" Target="https://bulbapedia.bulbagarden.net/wiki/Victreebel_(Legends_Awakened_44)" TargetMode="External"/><Relationship Id="rId60" Type="http://schemas.openxmlformats.org/officeDocument/2006/relationships/hyperlink" Target="https://bulbapedia.bulbagarden.net/wiki/Ledian_(Legends_Awakened_60)" TargetMode="External"/><Relationship Id="rId65" Type="http://schemas.openxmlformats.org/officeDocument/2006/relationships/hyperlink" Target="https://bulbapedia.bulbagarden.net/wiki/Metang_(Legends_Awakened_65)" TargetMode="External"/><Relationship Id="rId81" Type="http://schemas.openxmlformats.org/officeDocument/2006/relationships/hyperlink" Target="https://bulbapedia.bulbagarden.net/wiki/Unown_Y_(Legends_Awakened_81)" TargetMode="External"/><Relationship Id="rId86" Type="http://schemas.openxmlformats.org/officeDocument/2006/relationships/hyperlink" Target="https://bulbapedia.bulbagarden.net/wiki/Buneary_(Legends_Awakened_86)" TargetMode="External"/><Relationship Id="rId130" Type="http://schemas.openxmlformats.org/officeDocument/2006/relationships/hyperlink" Target="https://bulbapedia.bulbagarden.net/wiki/Buck%27s_Training_(Legends_Awakened_130)" TargetMode="External"/><Relationship Id="rId135" Type="http://schemas.openxmlformats.org/officeDocument/2006/relationships/hyperlink" Target="https://bulbapedia.bulbagarden.net/wiki/Stark_Mountain_(Legends_Awakened_135)" TargetMode="External"/><Relationship Id="rId13" Type="http://schemas.openxmlformats.org/officeDocument/2006/relationships/hyperlink" Target="https://bulbapedia.bulbagarden.net/wiki/Probopass_(Legends_Awakened_13)" TargetMode="External"/><Relationship Id="rId18" Type="http://schemas.openxmlformats.org/officeDocument/2006/relationships/hyperlink" Target="https://bulbapedia.bulbagarden.net/wiki/Armaldo_(Legends_Awakened_18)" TargetMode="External"/><Relationship Id="rId39" Type="http://schemas.openxmlformats.org/officeDocument/2006/relationships/hyperlink" Target="https://bulbapedia.bulbagarden.net/wiki/Registeel_(Legends_Awakened_39)" TargetMode="External"/><Relationship Id="rId109" Type="http://schemas.openxmlformats.org/officeDocument/2006/relationships/hyperlink" Target="https://bulbapedia.bulbagarden.net/wiki/Nosepass_(Legends_Awakened_109)" TargetMode="External"/><Relationship Id="rId34" Type="http://schemas.openxmlformats.org/officeDocument/2006/relationships/hyperlink" Target="https://bulbapedia.bulbagarden.net/wiki/Mesprit_(Legends_Awakened_34)" TargetMode="External"/><Relationship Id="rId50" Type="http://schemas.openxmlformats.org/officeDocument/2006/relationships/hyperlink" Target="https://bulbapedia.bulbagarden.net/wiki/Castform_(Legends_Awakened_50)" TargetMode="External"/><Relationship Id="rId55" Type="http://schemas.openxmlformats.org/officeDocument/2006/relationships/hyperlink" Target="https://bulbapedia.bulbagarden.net/wiki/Gliscor_(Legends_Awakened_55)" TargetMode="External"/><Relationship Id="rId76" Type="http://schemas.openxmlformats.org/officeDocument/2006/relationships/hyperlink" Target="https://bulbapedia.bulbagarden.net/wiki/Unown_J_(Legends_Awakened_76)" TargetMode="External"/><Relationship Id="rId97" Type="http://schemas.openxmlformats.org/officeDocument/2006/relationships/hyperlink" Target="https://bulbapedia.bulbagarden.net/wiki/Gloom_(Legends_Awakened_97)" TargetMode="External"/><Relationship Id="rId104" Type="http://schemas.openxmlformats.org/officeDocument/2006/relationships/hyperlink" Target="https://bulbapedia.bulbagarden.net/wiki/Ledyba_(Legends_Awakened_104)" TargetMode="External"/><Relationship Id="rId120" Type="http://schemas.openxmlformats.org/officeDocument/2006/relationships/hyperlink" Target="https://bulbapedia.bulbagarden.net/wiki/Sneasel_(Legends_Awakened_120)" TargetMode="External"/><Relationship Id="rId125" Type="http://schemas.openxmlformats.org/officeDocument/2006/relationships/hyperlink" Target="https://bulbapedia.bulbagarden.net/wiki/Tentacool_(Legends_Awakened_125)" TargetMode="External"/><Relationship Id="rId141" Type="http://schemas.openxmlformats.org/officeDocument/2006/relationships/hyperlink" Target="https://bulbapedia.bulbagarden.net/wiki/Gliscor_LV.X_(Legends_Awakened_141)" TargetMode="External"/><Relationship Id="rId146" Type="http://schemas.openxmlformats.org/officeDocument/2006/relationships/hyperlink" Target="https://bulbapedia.bulbagarden.net/wiki/Uxie_LV.X_(Legends_Awakened_146)" TargetMode="External"/><Relationship Id="rId7" Type="http://schemas.openxmlformats.org/officeDocument/2006/relationships/hyperlink" Target="https://bulbapedia.bulbagarden.net/wiki/Kingdra_(Legends_Awakened_7)" TargetMode="External"/><Relationship Id="rId71" Type="http://schemas.openxmlformats.org/officeDocument/2006/relationships/hyperlink" Target="https://bulbapedia.bulbagarden.net/wiki/Starmie_(Legends_Awakened_71)" TargetMode="External"/><Relationship Id="rId92" Type="http://schemas.openxmlformats.org/officeDocument/2006/relationships/hyperlink" Target="https://bulbapedia.bulbagarden.net/wiki/Drifloon_(Legends_Awakened_92)" TargetMode="External"/><Relationship Id="rId2" Type="http://schemas.openxmlformats.org/officeDocument/2006/relationships/hyperlink" Target="https://bulbapedia.bulbagarden.net/wiki/Dragonite_(Legends_Awakened_2)" TargetMode="External"/><Relationship Id="rId29" Type="http://schemas.openxmlformats.org/officeDocument/2006/relationships/hyperlink" Target="https://bulbapedia.bulbagarden.net/wiki/Groudon_(Legends_Awakened_29)" TargetMode="External"/><Relationship Id="rId24" Type="http://schemas.openxmlformats.org/officeDocument/2006/relationships/hyperlink" Target="https://bulbapedia.bulbagarden.net/wiki/Deoxys_(Legends_Awakened_24)" TargetMode="External"/><Relationship Id="rId40" Type="http://schemas.openxmlformats.org/officeDocument/2006/relationships/hyperlink" Target="https://bulbapedia.bulbagarden.net/wiki/Shedinja_(Legends_Awakened_40)" TargetMode="External"/><Relationship Id="rId45" Type="http://schemas.openxmlformats.org/officeDocument/2006/relationships/hyperlink" Target="https://bulbapedia.bulbagarden.net/wiki/Vileplume_(Legends_Awakened_45)" TargetMode="External"/><Relationship Id="rId66" Type="http://schemas.openxmlformats.org/officeDocument/2006/relationships/hyperlink" Target="https://bulbapedia.bulbagarden.net/wiki/Mightyena_(Legends_Awakened_66)" TargetMode="External"/><Relationship Id="rId87" Type="http://schemas.openxmlformats.org/officeDocument/2006/relationships/hyperlink" Target="https://bulbapedia.bulbagarden.net/wiki/Chinchou_(Legends_Awakened_87)" TargetMode="External"/><Relationship Id="rId110" Type="http://schemas.openxmlformats.org/officeDocument/2006/relationships/hyperlink" Target="https://bulbapedia.bulbagarden.net/wiki/Numel_(Legends_Awakened_110)" TargetMode="External"/><Relationship Id="rId115" Type="http://schemas.openxmlformats.org/officeDocument/2006/relationships/hyperlink" Target="https://bulbapedia.bulbagarden.net/wiki/Poliwhirl_(Legends_Awakened_115)" TargetMode="External"/><Relationship Id="rId131" Type="http://schemas.openxmlformats.org/officeDocument/2006/relationships/hyperlink" Target="https://bulbapedia.bulbagarden.net/wiki/Cynthia%27s_Feelings_(Legends_Awakened_131)" TargetMode="External"/><Relationship Id="rId136" Type="http://schemas.openxmlformats.org/officeDocument/2006/relationships/hyperlink" Target="https://bulbapedia.bulbagarden.net/wiki/Technical_Machine_TS-1_(Legends_Awakened_136)" TargetMode="External"/><Relationship Id="rId61" Type="http://schemas.openxmlformats.org/officeDocument/2006/relationships/hyperlink" Target="https://bulbapedia.bulbagarden.net/wiki/Lucario_(Legends_Awakened_61)" TargetMode="External"/><Relationship Id="rId82" Type="http://schemas.openxmlformats.org/officeDocument/2006/relationships/hyperlink" Target="https://bulbapedia.bulbagarden.net/wiki/Unown_%3F_(Legends_Awakened_82)" TargetMode="External"/><Relationship Id="rId19" Type="http://schemas.openxmlformats.org/officeDocument/2006/relationships/hyperlink" Target="https://bulbapedia.bulbagarden.net/wiki/Azelf_(Legends_Awakened_19)" TargetMode="External"/><Relationship Id="rId14" Type="http://schemas.openxmlformats.org/officeDocument/2006/relationships/hyperlink" Target="https://bulbapedia.bulbagarden.net/wiki/Rayquaza_(Legends_Awakened_14)" TargetMode="External"/><Relationship Id="rId30" Type="http://schemas.openxmlformats.org/officeDocument/2006/relationships/hyperlink" Target="https://bulbapedia.bulbagarden.net/wiki/Heatran_(Legends_Awakened_30)" TargetMode="External"/><Relationship Id="rId35" Type="http://schemas.openxmlformats.org/officeDocument/2006/relationships/hyperlink" Target="https://bulbapedia.bulbagarden.net/wiki/Poliwrath_(Legends_Awakened_35)" TargetMode="External"/><Relationship Id="rId56" Type="http://schemas.openxmlformats.org/officeDocument/2006/relationships/hyperlink" Target="https://bulbapedia.bulbagarden.net/wiki/Grumpig_(Legends_Awakened_56)" TargetMode="External"/><Relationship Id="rId77" Type="http://schemas.openxmlformats.org/officeDocument/2006/relationships/hyperlink" Target="https://bulbapedia.bulbagarden.net/wiki/Unown_R_(Legends_Awakened_77)" TargetMode="External"/><Relationship Id="rId100" Type="http://schemas.openxmlformats.org/officeDocument/2006/relationships/hyperlink" Target="https://bulbapedia.bulbagarden.net/wiki/Hitmonlee_(Legends_Awakened_100)" TargetMode="External"/><Relationship Id="rId105" Type="http://schemas.openxmlformats.org/officeDocument/2006/relationships/hyperlink" Target="https://bulbapedia.bulbagarden.net/wiki/Lileep_(Legends_Awakened_105)" TargetMode="External"/><Relationship Id="rId126" Type="http://schemas.openxmlformats.org/officeDocument/2006/relationships/hyperlink" Target="https://bulbapedia.bulbagarden.net/wiki/Tyrogue_(Legends_Awakened_126)" TargetMode="External"/><Relationship Id="rId8" Type="http://schemas.openxmlformats.org/officeDocument/2006/relationships/hyperlink" Target="https://bulbapedia.bulbagarden.net/wiki/Luxray_(Legends_Awakened_8)" TargetMode="External"/><Relationship Id="rId51" Type="http://schemas.openxmlformats.org/officeDocument/2006/relationships/hyperlink" Target="https://bulbapedia.bulbagarden.net/wiki/Castform_(Legends_Awakened_51)" TargetMode="External"/><Relationship Id="rId72" Type="http://schemas.openxmlformats.org/officeDocument/2006/relationships/hyperlink" Target="https://bulbapedia.bulbagarden.net/wiki/Swalot_(Legends_Awakened_72)" TargetMode="External"/><Relationship Id="rId93" Type="http://schemas.openxmlformats.org/officeDocument/2006/relationships/hyperlink" Target="https://bulbapedia.bulbagarden.net/wiki/Exeggcute_(Legends_Awakened_93)" TargetMode="External"/><Relationship Id="rId98" Type="http://schemas.openxmlformats.org/officeDocument/2006/relationships/hyperlink" Target="https://bulbapedia.bulbagarden.net/wiki/Gulpin_(Legends_Awakened_98)" TargetMode="External"/><Relationship Id="rId121" Type="http://schemas.openxmlformats.org/officeDocument/2006/relationships/hyperlink" Target="https://bulbapedia.bulbagarden.net/wiki/Spoink_(Legends_Awakened_121)" TargetMode="External"/><Relationship Id="rId142" Type="http://schemas.openxmlformats.org/officeDocument/2006/relationships/hyperlink" Target="https://bulbapedia.bulbagarden.net/wiki/Magnezone_LV.X_(Legends_Awakened_142)" TargetMode="External"/><Relationship Id="rId3" Type="http://schemas.openxmlformats.org/officeDocument/2006/relationships/hyperlink" Target="https://bulbapedia.bulbagarden.net/wiki/Froslass_(Legends_Awakened_3)" TargetMode="External"/><Relationship Id="rId25" Type="http://schemas.openxmlformats.org/officeDocument/2006/relationships/hyperlink" Target="https://bulbapedia.bulbagarden.net/wiki/Deoxys_(Legends_Awakened_25)" TargetMode="External"/><Relationship Id="rId46" Type="http://schemas.openxmlformats.org/officeDocument/2006/relationships/hyperlink" Target="https://bulbapedia.bulbagarden.net/wiki/Anorith_(Legends_Awakened_46)" TargetMode="External"/><Relationship Id="rId67" Type="http://schemas.openxmlformats.org/officeDocument/2006/relationships/hyperlink" Target="https://bulbapedia.bulbagarden.net/wiki/Ninjask_(Legends_Awakened_67)" TargetMode="External"/><Relationship Id="rId116" Type="http://schemas.openxmlformats.org/officeDocument/2006/relationships/hyperlink" Target="https://bulbapedia.bulbagarden.net/wiki/Poochyena_(Legends_Awakened_116)" TargetMode="External"/><Relationship Id="rId137" Type="http://schemas.openxmlformats.org/officeDocument/2006/relationships/hyperlink" Target="https://bulbapedia.bulbagarden.net/wiki/Technical_Machine_TS-2_(Legends_Awakened_137)" TargetMode="External"/><Relationship Id="rId20" Type="http://schemas.openxmlformats.org/officeDocument/2006/relationships/hyperlink" Target="https://bulbapedia.bulbagarden.net/wiki/Bellossom_(Legends_Awakened_20)" TargetMode="External"/><Relationship Id="rId41" Type="http://schemas.openxmlformats.org/officeDocument/2006/relationships/hyperlink" Target="https://bulbapedia.bulbagarden.net/wiki/Torkoal_(Legends_Awakened_41)" TargetMode="External"/><Relationship Id="rId62" Type="http://schemas.openxmlformats.org/officeDocument/2006/relationships/hyperlink" Target="https://bulbapedia.bulbagarden.net/wiki/Luxio_(Legends_Awakened_62)" TargetMode="External"/><Relationship Id="rId83" Type="http://schemas.openxmlformats.org/officeDocument/2006/relationships/hyperlink" Target="https://bulbapedia.bulbagarden.net/wiki/Beldum_(Legends_Awakened_83)" TargetMode="External"/><Relationship Id="rId88" Type="http://schemas.openxmlformats.org/officeDocument/2006/relationships/hyperlink" Target="https://bulbapedia.bulbagarden.net/wiki/Chinchou_(Legends_Awakened_88)" TargetMode="External"/><Relationship Id="rId111" Type="http://schemas.openxmlformats.org/officeDocument/2006/relationships/hyperlink" Target="https://bulbapedia.bulbagarden.net/wiki/Oddish_(Legends_Awakened_111)" TargetMode="External"/><Relationship Id="rId132" Type="http://schemas.openxmlformats.org/officeDocument/2006/relationships/hyperlink" Target="https://bulbapedia.bulbagarden.net/wiki/Energy_Pickup_(Legends_Awakened_132)" TargetMode="External"/><Relationship Id="rId15" Type="http://schemas.openxmlformats.org/officeDocument/2006/relationships/hyperlink" Target="https://bulbapedia.bulbagarden.net/wiki/Regigigas_(Legends_Awakened_15)" TargetMode="External"/><Relationship Id="rId36" Type="http://schemas.openxmlformats.org/officeDocument/2006/relationships/hyperlink" Target="https://bulbapedia.bulbagarden.net/wiki/Regice_(Legends_Awakened_36)" TargetMode="External"/><Relationship Id="rId57" Type="http://schemas.openxmlformats.org/officeDocument/2006/relationships/hyperlink" Target="https://bulbapedia.bulbagarden.net/wiki/Houndoom_(Legends_Awakened_57)" TargetMode="External"/><Relationship Id="rId106" Type="http://schemas.openxmlformats.org/officeDocument/2006/relationships/hyperlink" Target="https://bulbapedia.bulbagarden.net/wiki/Meowth_(Legends_Awakened_106)" TargetMode="External"/><Relationship Id="rId127" Type="http://schemas.openxmlformats.org/officeDocument/2006/relationships/hyperlink" Target="https://bulbapedia.bulbagarden.net/wiki/Weepinbell_(Legends_Awakened_127)" TargetMode="External"/><Relationship Id="rId10" Type="http://schemas.openxmlformats.org/officeDocument/2006/relationships/hyperlink" Target="https://bulbapedia.bulbagarden.net/wiki/Metagross_(Legends_Awakened_10)" TargetMode="External"/><Relationship Id="rId31" Type="http://schemas.openxmlformats.org/officeDocument/2006/relationships/hyperlink" Target="https://bulbapedia.bulbagarden.net/wiki/Jirachi_(Legends_Awakened_31)" TargetMode="External"/><Relationship Id="rId52" Type="http://schemas.openxmlformats.org/officeDocument/2006/relationships/hyperlink" Target="https://bulbapedia.bulbagarden.net/wiki/Dragonair_(Legends_Awakened_52)" TargetMode="External"/><Relationship Id="rId73" Type="http://schemas.openxmlformats.org/officeDocument/2006/relationships/hyperlink" Target="https://bulbapedia.bulbagarden.net/wiki/Swellow_(Legends_Awakened_73)" TargetMode="External"/><Relationship Id="rId78" Type="http://schemas.openxmlformats.org/officeDocument/2006/relationships/hyperlink" Target="https://bulbapedia.bulbagarden.net/wiki/Unown_U_(Legends_Awakened_78)" TargetMode="External"/><Relationship Id="rId94" Type="http://schemas.openxmlformats.org/officeDocument/2006/relationships/hyperlink" Target="https://bulbapedia.bulbagarden.net/wiki/Gligar_(Legends_Awakened_94)" TargetMode="External"/><Relationship Id="rId99" Type="http://schemas.openxmlformats.org/officeDocument/2006/relationships/hyperlink" Target="https://bulbapedia.bulbagarden.net/wiki/Hitmonchan_(Legends_Awakened_99)" TargetMode="External"/><Relationship Id="rId101" Type="http://schemas.openxmlformats.org/officeDocument/2006/relationships/hyperlink" Target="https://bulbapedia.bulbagarden.net/wiki/Hitmontop_(Legends_Awakened_101)" TargetMode="External"/><Relationship Id="rId122" Type="http://schemas.openxmlformats.org/officeDocument/2006/relationships/hyperlink" Target="https://bulbapedia.bulbagarden.net/wiki/Staryu_(Legends_Awakened_122)" TargetMode="External"/><Relationship Id="rId143" Type="http://schemas.openxmlformats.org/officeDocument/2006/relationships/hyperlink" Target="https://bulbapedia.bulbagarden.net/wiki/Mesprit_LV.X_(Legends_Awakened_143)" TargetMode="External"/><Relationship Id="rId4" Type="http://schemas.openxmlformats.org/officeDocument/2006/relationships/hyperlink" Target="https://bulbapedia.bulbagarden.net/wiki/Giratina_(Legends_Awakened_4)" TargetMode="External"/><Relationship Id="rId9" Type="http://schemas.openxmlformats.org/officeDocument/2006/relationships/hyperlink" Target="https://bulbapedia.bulbagarden.net/wiki/Mamoswine_(Legends_Awakened_9)" TargetMode="External"/><Relationship Id="rId26" Type="http://schemas.openxmlformats.org/officeDocument/2006/relationships/hyperlink" Target="https://bulbapedia.bulbagarden.net/wiki/Deoxys_(Legends_Awakened_26)" TargetMode="External"/><Relationship Id="rId47" Type="http://schemas.openxmlformats.org/officeDocument/2006/relationships/hyperlink" Target="https://bulbapedia.bulbagarden.net/wiki/Camerupt_(Legends_Awakened_47)" TargetMode="External"/><Relationship Id="rId68" Type="http://schemas.openxmlformats.org/officeDocument/2006/relationships/hyperlink" Target="https://bulbapedia.bulbagarden.net/wiki/Persian_(Legends_Awakened_68)" TargetMode="External"/><Relationship Id="rId89" Type="http://schemas.openxmlformats.org/officeDocument/2006/relationships/hyperlink" Target="https://bulbapedia.bulbagarden.net/wiki/Corphish_(Legends_Awakened_89)" TargetMode="External"/><Relationship Id="rId112" Type="http://schemas.openxmlformats.org/officeDocument/2006/relationships/hyperlink" Target="https://bulbapedia.bulbagarden.net/wiki/Oddish_(Legends_Awakened_112)" TargetMode="External"/><Relationship Id="rId133" Type="http://schemas.openxmlformats.org/officeDocument/2006/relationships/hyperlink" Target="https://bulbapedia.bulbagarden.net/wiki/Pok%C3%A9_Radar_(Legends_Awakened_133)" TargetMode="External"/><Relationship Id="rId16" Type="http://schemas.openxmlformats.org/officeDocument/2006/relationships/hyperlink" Target="https://bulbapedia.bulbagarden.net/wiki/Spiritomb_(Legends_Awakened_16)" TargetMode="External"/><Relationship Id="rId37" Type="http://schemas.openxmlformats.org/officeDocument/2006/relationships/hyperlink" Target="https://bulbapedia.bulbagarden.net/wiki/Regigigas_(Legends_Awakened_37)" TargetMode="External"/><Relationship Id="rId58" Type="http://schemas.openxmlformats.org/officeDocument/2006/relationships/hyperlink" Target="https://bulbapedia.bulbagarden.net/wiki/Lanturn_(Legends_Awakened_58)" TargetMode="External"/><Relationship Id="rId79" Type="http://schemas.openxmlformats.org/officeDocument/2006/relationships/hyperlink" Target="https://bulbapedia.bulbagarden.net/wiki/Unown_V_(Legends_Awakened_79)" TargetMode="External"/><Relationship Id="rId102" Type="http://schemas.openxmlformats.org/officeDocument/2006/relationships/hyperlink" Target="https://bulbapedia.bulbagarden.net/wiki/Horsea_(Legends_Awakened_102)" TargetMode="External"/><Relationship Id="rId123" Type="http://schemas.openxmlformats.org/officeDocument/2006/relationships/hyperlink" Target="https://bulbapedia.bulbagarden.net/wiki/Swinub_(Legends_Awakened_123)" TargetMode="External"/><Relationship Id="rId144" Type="http://schemas.openxmlformats.org/officeDocument/2006/relationships/hyperlink" Target="https://bulbapedia.bulbagarden.net/wiki/Mewtwo_LV.X_(Legends_Awakened_144)"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bulbapedia.bulbagarden.net/wiki/Skuntank_(Stormfront_26)" TargetMode="External"/><Relationship Id="rId21" Type="http://schemas.openxmlformats.org/officeDocument/2006/relationships/hyperlink" Target="https://bulbapedia.bulbagarden.net/wiki/Mamoswine_(Stormfront_21)" TargetMode="External"/><Relationship Id="rId42" Type="http://schemas.openxmlformats.org/officeDocument/2006/relationships/hyperlink" Target="https://bulbapedia.bulbagarden.net/wiki/Magneton_(Stormfront_42)" TargetMode="External"/><Relationship Id="rId47" Type="http://schemas.openxmlformats.org/officeDocument/2006/relationships/hyperlink" Target="https://bulbapedia.bulbagarden.net/wiki/Pupitar_(Stormfront_47)" TargetMode="External"/><Relationship Id="rId63" Type="http://schemas.openxmlformats.org/officeDocument/2006/relationships/hyperlink" Target="https://bulbapedia.bulbagarden.net/wiki/Larvitar_(Stormfront_63)" TargetMode="External"/><Relationship Id="rId68" Type="http://schemas.openxmlformats.org/officeDocument/2006/relationships/hyperlink" Target="https://bulbapedia.bulbagarden.net/wiki/Misdreavus_(Stormfront_68)" TargetMode="External"/><Relationship Id="rId84" Type="http://schemas.openxmlformats.org/officeDocument/2006/relationships/hyperlink" Target="https://bulbapedia.bulbagarden.net/wiki/Energy_Switch_(Stormfront_84)" TargetMode="External"/><Relationship Id="rId89" Type="http://schemas.openxmlformats.org/officeDocument/2006/relationships/hyperlink" Target="https://bulbapedia.bulbagarden.net/wiki/Pok%C3%A9_Drawer_%2B_(Stormfront_89)" TargetMode="External"/><Relationship Id="rId16" Type="http://schemas.openxmlformats.org/officeDocument/2006/relationships/hyperlink" Target="https://bulbapedia.bulbagarden.net/wiki/Drifblim_(Stormfront_16)" TargetMode="External"/><Relationship Id="rId11" Type="http://schemas.openxmlformats.org/officeDocument/2006/relationships/hyperlink" Target="https://bulbapedia.bulbagarden.net/wiki/Torterra_(Stormfront_11)" TargetMode="External"/><Relationship Id="rId32" Type="http://schemas.openxmlformats.org/officeDocument/2006/relationships/hyperlink" Target="https://bulbapedia.bulbagarden.net/wiki/Bibarel_(Stormfront_32)" TargetMode="External"/><Relationship Id="rId37" Type="http://schemas.openxmlformats.org/officeDocument/2006/relationships/hyperlink" Target="https://bulbapedia.bulbagarden.net/wiki/Electrode_(Stormfront_37)" TargetMode="External"/><Relationship Id="rId53" Type="http://schemas.openxmlformats.org/officeDocument/2006/relationships/hyperlink" Target="https://bulbapedia.bulbagarden.net/wiki/Bagon_(Stormfront_53)" TargetMode="External"/><Relationship Id="rId58" Type="http://schemas.openxmlformats.org/officeDocument/2006/relationships/hyperlink" Target="https://bulbapedia.bulbagarden.net/wiki/Drifloon_(Stormfront_58)" TargetMode="External"/><Relationship Id="rId74" Type="http://schemas.openxmlformats.org/officeDocument/2006/relationships/hyperlink" Target="https://bulbapedia.bulbagarden.net/wiki/Snover_(Stormfront_74)" TargetMode="External"/><Relationship Id="rId79" Type="http://schemas.openxmlformats.org/officeDocument/2006/relationships/hyperlink" Target="https://bulbapedia.bulbagarden.net/wiki/Treecko_(Stormfront_79)" TargetMode="External"/><Relationship Id="rId102" Type="http://schemas.openxmlformats.org/officeDocument/2006/relationships/hyperlink" Target="https://bulbapedia.bulbagarden.net/wiki/Charmeleon_(Stormfront_102)" TargetMode="External"/><Relationship Id="rId5" Type="http://schemas.openxmlformats.org/officeDocument/2006/relationships/hyperlink" Target="https://bulbapedia.bulbagarden.net/wiki/Magnezone_(Stormfront_5)" TargetMode="External"/><Relationship Id="rId90" Type="http://schemas.openxmlformats.org/officeDocument/2006/relationships/hyperlink" Target="https://bulbapedia.bulbagarden.net/wiki/Pok%C3%A9_Healer_%2B_(Stormfront_90)" TargetMode="External"/><Relationship Id="rId95" Type="http://schemas.openxmlformats.org/officeDocument/2006/relationships/hyperlink" Target="https://bulbapedia.bulbagarden.net/wiki/Warp_Energy_(Stormfront_95)" TargetMode="External"/><Relationship Id="rId22" Type="http://schemas.openxmlformats.org/officeDocument/2006/relationships/hyperlink" Target="https://bulbapedia.bulbagarden.net/wiki/Rapidash_(Stormfront_22)" TargetMode="External"/><Relationship Id="rId27" Type="http://schemas.openxmlformats.org/officeDocument/2006/relationships/hyperlink" Target="https://bulbapedia.bulbagarden.net/wiki/Staraptor_(Stormfront_27)" TargetMode="External"/><Relationship Id="rId43" Type="http://schemas.openxmlformats.org/officeDocument/2006/relationships/hyperlink" Target="https://bulbapedia.bulbagarden.net/wiki/Magneton_(Stormfront_43)" TargetMode="External"/><Relationship Id="rId48" Type="http://schemas.openxmlformats.org/officeDocument/2006/relationships/hyperlink" Target="https://bulbapedia.bulbagarden.net/wiki/Sableye_(Stormfront_48)" TargetMode="External"/><Relationship Id="rId64" Type="http://schemas.openxmlformats.org/officeDocument/2006/relationships/hyperlink" Target="https://bulbapedia.bulbagarden.net/wiki/Machop_(Stormfront_64)" TargetMode="External"/><Relationship Id="rId69" Type="http://schemas.openxmlformats.org/officeDocument/2006/relationships/hyperlink" Target="https://bulbapedia.bulbagarden.net/wiki/Onix_(Stormfront_69)" TargetMode="External"/><Relationship Id="rId80" Type="http://schemas.openxmlformats.org/officeDocument/2006/relationships/hyperlink" Target="https://bulbapedia.bulbagarden.net/wiki/Voltorb_(Stormfront_80)" TargetMode="External"/><Relationship Id="rId85" Type="http://schemas.openxmlformats.org/officeDocument/2006/relationships/hyperlink" Target="https://bulbapedia.bulbagarden.net/wiki/Great_Ball_(Stormfront_85)" TargetMode="External"/><Relationship Id="rId12" Type="http://schemas.openxmlformats.org/officeDocument/2006/relationships/hyperlink" Target="https://bulbapedia.bulbagarden.net/wiki/Abomasnow_(Stormfront_12)" TargetMode="External"/><Relationship Id="rId17" Type="http://schemas.openxmlformats.org/officeDocument/2006/relationships/hyperlink" Target="https://bulbapedia.bulbagarden.net/wiki/Dusknoir_(Stormfront_17)" TargetMode="External"/><Relationship Id="rId33" Type="http://schemas.openxmlformats.org/officeDocument/2006/relationships/hyperlink" Target="https://bulbapedia.bulbagarden.net/wiki/Budew_(Stormfront_33)" TargetMode="External"/><Relationship Id="rId38" Type="http://schemas.openxmlformats.org/officeDocument/2006/relationships/hyperlink" Target="https://bulbapedia.bulbagarden.net/wiki/Farfetch%27d_(Stormfront_38)" TargetMode="External"/><Relationship Id="rId59" Type="http://schemas.openxmlformats.org/officeDocument/2006/relationships/hyperlink" Target="https://bulbapedia.bulbagarden.net/wiki/Duskull_(Stormfront_59)" TargetMode="External"/><Relationship Id="rId103" Type="http://schemas.openxmlformats.org/officeDocument/2006/relationships/hyperlink" Target="https://bulbapedia.bulbagarden.net/wiki/Charizard_(Stormfront_103)" TargetMode="External"/><Relationship Id="rId20" Type="http://schemas.openxmlformats.org/officeDocument/2006/relationships/hyperlink" Target="https://bulbapedia.bulbagarden.net/wiki/Machamp_(Stormfront_20)" TargetMode="External"/><Relationship Id="rId41" Type="http://schemas.openxmlformats.org/officeDocument/2006/relationships/hyperlink" Target="https://bulbapedia.bulbagarden.net/wiki/Machoke_(Stormfront_41)" TargetMode="External"/><Relationship Id="rId54" Type="http://schemas.openxmlformats.org/officeDocument/2006/relationships/hyperlink" Target="https://bulbapedia.bulbagarden.net/wiki/Bidoof_(Stormfront_54)" TargetMode="External"/><Relationship Id="rId62" Type="http://schemas.openxmlformats.org/officeDocument/2006/relationships/hyperlink" Target="https://bulbapedia.bulbagarden.net/wiki/Gastly_(Stormfront_62)" TargetMode="External"/><Relationship Id="rId70" Type="http://schemas.openxmlformats.org/officeDocument/2006/relationships/hyperlink" Target="https://bulbapedia.bulbagarden.net/wiki/Pikachu_(Stormfront_70)" TargetMode="External"/><Relationship Id="rId75" Type="http://schemas.openxmlformats.org/officeDocument/2006/relationships/hyperlink" Target="https://bulbapedia.bulbagarden.net/wiki/Starly_(Stormfront_75)" TargetMode="External"/><Relationship Id="rId83" Type="http://schemas.openxmlformats.org/officeDocument/2006/relationships/hyperlink" Target="https://bulbapedia.bulbagarden.net/wiki/Energy_Link_(Stormfront_83)" TargetMode="External"/><Relationship Id="rId88" Type="http://schemas.openxmlformats.org/officeDocument/2006/relationships/hyperlink" Target="https://bulbapedia.bulbagarden.net/wiki/Pok%C3%A9_Blower_%2B_(Stormfront_88)" TargetMode="External"/><Relationship Id="rId91" Type="http://schemas.openxmlformats.org/officeDocument/2006/relationships/hyperlink" Target="https://bulbapedia.bulbagarden.net/wiki/Premier_Ball_(Stormfront_91)" TargetMode="External"/><Relationship Id="rId96" Type="http://schemas.openxmlformats.org/officeDocument/2006/relationships/hyperlink" Target="https://bulbapedia.bulbagarden.net/wiki/Dusknoir_LV.X_(Stormfront_96)" TargetMode="External"/><Relationship Id="rId1" Type="http://schemas.openxmlformats.org/officeDocument/2006/relationships/hyperlink" Target="https://bulbapedia.bulbagarden.net/wiki/Dusknoir_(Stormfront_1)" TargetMode="External"/><Relationship Id="rId6" Type="http://schemas.openxmlformats.org/officeDocument/2006/relationships/hyperlink" Target="https://bulbapedia.bulbagarden.net/wiki/Magnezone_(Stormfront_6)" TargetMode="External"/><Relationship Id="rId15" Type="http://schemas.openxmlformats.org/officeDocument/2006/relationships/hyperlink" Target="https://bulbapedia.bulbagarden.net/wiki/Drapion_(Stormfront_15)" TargetMode="External"/><Relationship Id="rId23" Type="http://schemas.openxmlformats.org/officeDocument/2006/relationships/hyperlink" Target="https://bulbapedia.bulbagarden.net/wiki/Roserade_(Stormfront_23)" TargetMode="External"/><Relationship Id="rId28" Type="http://schemas.openxmlformats.org/officeDocument/2006/relationships/hyperlink" Target="https://bulbapedia.bulbagarden.net/wiki/Steelix_(Stormfront_28)" TargetMode="External"/><Relationship Id="rId36" Type="http://schemas.openxmlformats.org/officeDocument/2006/relationships/hyperlink" Target="https://bulbapedia.bulbagarden.net/wiki/Electrode_(Stormfront_36)" TargetMode="External"/><Relationship Id="rId49" Type="http://schemas.openxmlformats.org/officeDocument/2006/relationships/hyperlink" Target="https://bulbapedia.bulbagarden.net/wiki/Scyther_(Stormfront_49)" TargetMode="External"/><Relationship Id="rId57" Type="http://schemas.openxmlformats.org/officeDocument/2006/relationships/hyperlink" Target="https://bulbapedia.bulbagarden.net/wiki/Combee_(Stormfront_57)" TargetMode="External"/><Relationship Id="rId106" Type="http://schemas.openxmlformats.org/officeDocument/2006/relationships/hyperlink" Target="https://bulbapedia.bulbagarden.net/wiki/Voltorb_(Stormfront_SH3)" TargetMode="External"/><Relationship Id="rId10" Type="http://schemas.openxmlformats.org/officeDocument/2006/relationships/hyperlink" Target="https://bulbapedia.bulbagarden.net/wiki/Sceptile_(Stormfront_10)" TargetMode="External"/><Relationship Id="rId31" Type="http://schemas.openxmlformats.org/officeDocument/2006/relationships/hyperlink" Target="https://bulbapedia.bulbagarden.net/wiki/Vespiquen_(Stormfront_31)" TargetMode="External"/><Relationship Id="rId44" Type="http://schemas.openxmlformats.org/officeDocument/2006/relationships/hyperlink" Target="https://bulbapedia.bulbagarden.net/wiki/Miltank_(Stormfront_44)" TargetMode="External"/><Relationship Id="rId52" Type="http://schemas.openxmlformats.org/officeDocument/2006/relationships/hyperlink" Target="https://bulbapedia.bulbagarden.net/wiki/Staravia_(Stormfront_52)" TargetMode="External"/><Relationship Id="rId60" Type="http://schemas.openxmlformats.org/officeDocument/2006/relationships/hyperlink" Target="https://bulbapedia.bulbagarden.net/wiki/Duskull_(Stormfront_60)" TargetMode="External"/><Relationship Id="rId65" Type="http://schemas.openxmlformats.org/officeDocument/2006/relationships/hyperlink" Target="https://bulbapedia.bulbagarden.net/wiki/Magikarp_(Stormfront_65)" TargetMode="External"/><Relationship Id="rId73" Type="http://schemas.openxmlformats.org/officeDocument/2006/relationships/hyperlink" Target="https://bulbapedia.bulbagarden.net/wiki/Skorupi_(Stormfront_73)" TargetMode="External"/><Relationship Id="rId78" Type="http://schemas.openxmlformats.org/officeDocument/2006/relationships/hyperlink" Target="https://bulbapedia.bulbagarden.net/wiki/Tangela_(Stormfront_78)" TargetMode="External"/><Relationship Id="rId81" Type="http://schemas.openxmlformats.org/officeDocument/2006/relationships/hyperlink" Target="https://bulbapedia.bulbagarden.net/wiki/Voltorb_(Stormfront_81)" TargetMode="External"/><Relationship Id="rId86" Type="http://schemas.openxmlformats.org/officeDocument/2006/relationships/hyperlink" Target="https://bulbapedia.bulbagarden.net/wiki/Luxury_Ball_(Stormfront_86)" TargetMode="External"/><Relationship Id="rId94" Type="http://schemas.openxmlformats.org/officeDocument/2006/relationships/hyperlink" Target="https://bulbapedia.bulbagarden.net/wiki/Cyclone_Energy_(Stormfront_94)" TargetMode="External"/><Relationship Id="rId99" Type="http://schemas.openxmlformats.org/officeDocument/2006/relationships/hyperlink" Target="https://bulbapedia.bulbagarden.net/wiki/Raichu_LV.X_(Stormfront_99)" TargetMode="External"/><Relationship Id="rId101" Type="http://schemas.openxmlformats.org/officeDocument/2006/relationships/hyperlink" Target="https://bulbapedia.bulbagarden.net/wiki/Charmander_(Stormfront_101)" TargetMode="External"/><Relationship Id="rId4" Type="http://schemas.openxmlformats.org/officeDocument/2006/relationships/hyperlink" Target="https://bulbapedia.bulbagarden.net/wiki/Lumineon_(Stormfront_4)" TargetMode="External"/><Relationship Id="rId9" Type="http://schemas.openxmlformats.org/officeDocument/2006/relationships/hyperlink" Target="https://bulbapedia.bulbagarden.net/wiki/Regigigas_(Stormfront_9)" TargetMode="External"/><Relationship Id="rId13" Type="http://schemas.openxmlformats.org/officeDocument/2006/relationships/hyperlink" Target="https://bulbapedia.bulbagarden.net/wiki/Bronzong_(Stormfront_13)" TargetMode="External"/><Relationship Id="rId18" Type="http://schemas.openxmlformats.org/officeDocument/2006/relationships/hyperlink" Target="https://bulbapedia.bulbagarden.net/wiki/Gengar_(Stormfront_18)" TargetMode="External"/><Relationship Id="rId39" Type="http://schemas.openxmlformats.org/officeDocument/2006/relationships/hyperlink" Target="https://bulbapedia.bulbagarden.net/wiki/Grovyle_(Stormfront_39)" TargetMode="External"/><Relationship Id="rId34" Type="http://schemas.openxmlformats.org/officeDocument/2006/relationships/hyperlink" Target="https://bulbapedia.bulbagarden.net/wiki/Dusclops_(Stormfront_34)" TargetMode="External"/><Relationship Id="rId50" Type="http://schemas.openxmlformats.org/officeDocument/2006/relationships/hyperlink" Target="https://bulbapedia.bulbagarden.net/wiki/Shelgon_(Stormfront_50)" TargetMode="External"/><Relationship Id="rId55" Type="http://schemas.openxmlformats.org/officeDocument/2006/relationships/hyperlink" Target="https://bulbapedia.bulbagarden.net/wiki/Bronzor_(Stormfront_55)" TargetMode="External"/><Relationship Id="rId76" Type="http://schemas.openxmlformats.org/officeDocument/2006/relationships/hyperlink" Target="https://bulbapedia.bulbagarden.net/wiki/Stunky_(Stormfront_76)" TargetMode="External"/><Relationship Id="rId97" Type="http://schemas.openxmlformats.org/officeDocument/2006/relationships/hyperlink" Target="https://bulbapedia.bulbagarden.net/wiki/Heatran_LV.X_(Stormfront_97)" TargetMode="External"/><Relationship Id="rId104" Type="http://schemas.openxmlformats.org/officeDocument/2006/relationships/hyperlink" Target="https://bulbapedia.bulbagarden.net/wiki/Drifloon_(Stormfront_SH1)" TargetMode="External"/><Relationship Id="rId7" Type="http://schemas.openxmlformats.org/officeDocument/2006/relationships/hyperlink" Target="https://bulbapedia.bulbagarden.net/wiki/Mismagius_(Stormfront_7)" TargetMode="External"/><Relationship Id="rId71" Type="http://schemas.openxmlformats.org/officeDocument/2006/relationships/hyperlink" Target="https://bulbapedia.bulbagarden.net/wiki/Ponyta_(Stormfront_71)" TargetMode="External"/><Relationship Id="rId92" Type="http://schemas.openxmlformats.org/officeDocument/2006/relationships/hyperlink" Target="https://bulbapedia.bulbagarden.net/wiki/Potion_(Stormfront_92)" TargetMode="External"/><Relationship Id="rId2" Type="http://schemas.openxmlformats.org/officeDocument/2006/relationships/hyperlink" Target="https://bulbapedia.bulbagarden.net/wiki/Empoleon_(Stormfront_2)" TargetMode="External"/><Relationship Id="rId29" Type="http://schemas.openxmlformats.org/officeDocument/2006/relationships/hyperlink" Target="https://bulbapedia.bulbagarden.net/wiki/Tangrowth_(Stormfront_29)" TargetMode="External"/><Relationship Id="rId24" Type="http://schemas.openxmlformats.org/officeDocument/2006/relationships/hyperlink" Target="https://bulbapedia.bulbagarden.net/wiki/Salamence_(Stormfront_24)" TargetMode="External"/><Relationship Id="rId40" Type="http://schemas.openxmlformats.org/officeDocument/2006/relationships/hyperlink" Target="https://bulbapedia.bulbagarden.net/wiki/Haunter_(Stormfront_40)" TargetMode="External"/><Relationship Id="rId45" Type="http://schemas.openxmlformats.org/officeDocument/2006/relationships/hyperlink" Target="https://bulbapedia.bulbagarden.net/wiki/Pichu_(Stormfront_45)" TargetMode="External"/><Relationship Id="rId66" Type="http://schemas.openxmlformats.org/officeDocument/2006/relationships/hyperlink" Target="https://bulbapedia.bulbagarden.net/wiki/Magnemite_(Stormfront_66)" TargetMode="External"/><Relationship Id="rId87" Type="http://schemas.openxmlformats.org/officeDocument/2006/relationships/hyperlink" Target="https://bulbapedia.bulbagarden.net/wiki/Marley%27s_Request_(Stormfront_87)" TargetMode="External"/><Relationship Id="rId61" Type="http://schemas.openxmlformats.org/officeDocument/2006/relationships/hyperlink" Target="https://bulbapedia.bulbagarden.net/wiki/Finneon_(Stormfront_61)" TargetMode="External"/><Relationship Id="rId82" Type="http://schemas.openxmlformats.org/officeDocument/2006/relationships/hyperlink" Target="https://bulbapedia.bulbagarden.net/wiki/Conductive_Quarry_(Stormfront_82)" TargetMode="External"/><Relationship Id="rId19" Type="http://schemas.openxmlformats.org/officeDocument/2006/relationships/hyperlink" Target="https://bulbapedia.bulbagarden.net/wiki/Gyarados_(Stormfront_19)" TargetMode="External"/><Relationship Id="rId14" Type="http://schemas.openxmlformats.org/officeDocument/2006/relationships/hyperlink" Target="https://bulbapedia.bulbagarden.net/wiki/Cherrim_(Stormfront_14)" TargetMode="External"/><Relationship Id="rId30" Type="http://schemas.openxmlformats.org/officeDocument/2006/relationships/hyperlink" Target="https://bulbapedia.bulbagarden.net/wiki/Tyranitar_(Stormfront_30)" TargetMode="External"/><Relationship Id="rId35" Type="http://schemas.openxmlformats.org/officeDocument/2006/relationships/hyperlink" Target="https://bulbapedia.bulbagarden.net/wiki/Dusclops_(Stormfront_35)" TargetMode="External"/><Relationship Id="rId56" Type="http://schemas.openxmlformats.org/officeDocument/2006/relationships/hyperlink" Target="https://bulbapedia.bulbagarden.net/wiki/Cherubi_(Stormfront_56)" TargetMode="External"/><Relationship Id="rId77" Type="http://schemas.openxmlformats.org/officeDocument/2006/relationships/hyperlink" Target="https://bulbapedia.bulbagarden.net/wiki/Swinub_(Stormfront_77)" TargetMode="External"/><Relationship Id="rId100" Type="http://schemas.openxmlformats.org/officeDocument/2006/relationships/hyperlink" Target="https://bulbapedia.bulbagarden.net/wiki/Regigigas_LV.X_(Stormfront_100)" TargetMode="External"/><Relationship Id="rId105" Type="http://schemas.openxmlformats.org/officeDocument/2006/relationships/hyperlink" Target="https://bulbapedia.bulbagarden.net/wiki/Duskull_(Stormfront_SH2)" TargetMode="External"/><Relationship Id="rId8" Type="http://schemas.openxmlformats.org/officeDocument/2006/relationships/hyperlink" Target="https://bulbapedia.bulbagarden.net/wiki/Raichu_(Stormfront_8)" TargetMode="External"/><Relationship Id="rId51" Type="http://schemas.openxmlformats.org/officeDocument/2006/relationships/hyperlink" Target="https://bulbapedia.bulbagarden.net/wiki/Skarmory_(Stormfront_51)" TargetMode="External"/><Relationship Id="rId72" Type="http://schemas.openxmlformats.org/officeDocument/2006/relationships/hyperlink" Target="https://bulbapedia.bulbagarden.net/wiki/Roselia_(Stormfront_72)" TargetMode="External"/><Relationship Id="rId93" Type="http://schemas.openxmlformats.org/officeDocument/2006/relationships/hyperlink" Target="https://bulbapedia.bulbagarden.net/wiki/Switch_(Stormfront_93)" TargetMode="External"/><Relationship Id="rId98" Type="http://schemas.openxmlformats.org/officeDocument/2006/relationships/hyperlink" Target="https://bulbapedia.bulbagarden.net/wiki/Machamp_LV.X_(Stormfront_98)" TargetMode="External"/><Relationship Id="rId3" Type="http://schemas.openxmlformats.org/officeDocument/2006/relationships/hyperlink" Target="https://bulbapedia.bulbagarden.net/wiki/Infernape_(Stormfront_3)" TargetMode="External"/><Relationship Id="rId25" Type="http://schemas.openxmlformats.org/officeDocument/2006/relationships/hyperlink" Target="https://bulbapedia.bulbagarden.net/wiki/Scizor_(Stormfront_25)" TargetMode="External"/><Relationship Id="rId46" Type="http://schemas.openxmlformats.org/officeDocument/2006/relationships/hyperlink" Target="https://bulbapedia.bulbagarden.net/wiki/Piloswine_(Stormfront_46)" TargetMode="External"/><Relationship Id="rId67" Type="http://schemas.openxmlformats.org/officeDocument/2006/relationships/hyperlink" Target="https://bulbapedia.bulbagarden.net/wiki/Magnemite_(Stormfront_67)"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s://bulbapedia.bulbagarden.net/wiki/Golduck_(Platinum_29)" TargetMode="External"/><Relationship Id="rId117" Type="http://schemas.openxmlformats.org/officeDocument/2006/relationships/hyperlink" Target="https://bulbapedia.bulbagarden.net/wiki/Scyther_(Platinum_130)" TargetMode="External"/><Relationship Id="rId21" Type="http://schemas.openxmlformats.org/officeDocument/2006/relationships/hyperlink" Target="https://bulbapedia.bulbagarden.net/wiki/Dugtrio_(Platinum_24)" TargetMode="External"/><Relationship Id="rId42" Type="http://schemas.openxmlformats.org/officeDocument/2006/relationships/hyperlink" Target="https://bulbapedia.bulbagarden.net/wiki/Grotle_(Platinum_49)" TargetMode="External"/><Relationship Id="rId47" Type="http://schemas.openxmlformats.org/officeDocument/2006/relationships/hyperlink" Target="https://bulbapedia.bulbagarden.net/wiki/Mismagius_(Platinum_55)" TargetMode="External"/><Relationship Id="rId63" Type="http://schemas.openxmlformats.org/officeDocument/2006/relationships/hyperlink" Target="https://bulbapedia.bulbagarden.net/wiki/Combee_(Platinum_71)" TargetMode="External"/><Relationship Id="rId68" Type="http://schemas.openxmlformats.org/officeDocument/2006/relationships/hyperlink" Target="https://bulbapedia.bulbagarden.net/wiki/Happiny_(Platinum_76)" TargetMode="External"/><Relationship Id="rId84" Type="http://schemas.openxmlformats.org/officeDocument/2006/relationships/hyperlink" Target="https://bulbapedia.bulbagarden.net/wiki/Slakoth_(Platinum_95)" TargetMode="External"/><Relationship Id="rId89" Type="http://schemas.openxmlformats.org/officeDocument/2006/relationships/hyperlink" Target="https://bulbapedia.bulbagarden.net/wiki/Torkoal_(Platinum_100)" TargetMode="External"/><Relationship Id="rId112" Type="http://schemas.openxmlformats.org/officeDocument/2006/relationships/hyperlink" Target="https://bulbapedia.bulbagarden.net/wiki/Giratina_LV.X_(Platinum_124)" TargetMode="External"/><Relationship Id="rId16" Type="http://schemas.openxmlformats.org/officeDocument/2006/relationships/hyperlink" Target="https://bulbapedia.bulbagarden.net/wiki/Banette_(Platinum_19)" TargetMode="External"/><Relationship Id="rId107" Type="http://schemas.openxmlformats.org/officeDocument/2006/relationships/hyperlink" Target="https://bulbapedia.bulbagarden.net/wiki/Team_Galactic%27s_Invention_G-105_Pok%C3%A9_Turn_(Platinum_118)" TargetMode="External"/><Relationship Id="rId11" Type="http://schemas.openxmlformats.org/officeDocument/2006/relationships/hyperlink" Target="https://bulbapedia.bulbagarden.net/wiki/Rampardos_(Platinum_13)" TargetMode="External"/><Relationship Id="rId32" Type="http://schemas.openxmlformats.org/officeDocument/2006/relationships/hyperlink" Target="https://bulbapedia.bulbagarden.net/wiki/Ninetales_(Platinum_36)" TargetMode="External"/><Relationship Id="rId37" Type="http://schemas.openxmlformats.org/officeDocument/2006/relationships/hyperlink" Target="https://bulbapedia.bulbagarden.net/wiki/Carnivine_(Platinum_43)" TargetMode="External"/><Relationship Id="rId53" Type="http://schemas.openxmlformats.org/officeDocument/2006/relationships/hyperlink" Target="https://bulbapedia.bulbagarden.net/wiki/Seviper_(Platinum_61)" TargetMode="External"/><Relationship Id="rId58" Type="http://schemas.openxmlformats.org/officeDocument/2006/relationships/hyperlink" Target="https://bulbapedia.bulbagarden.net/wiki/Zangoose_(Platinum_66)" TargetMode="External"/><Relationship Id="rId74" Type="http://schemas.openxmlformats.org/officeDocument/2006/relationships/hyperlink" Target="https://bulbapedia.bulbagarden.net/wiki/Misdreavus_(Platinum_83)" TargetMode="External"/><Relationship Id="rId79" Type="http://schemas.openxmlformats.org/officeDocument/2006/relationships/hyperlink" Target="https://bulbapedia.bulbagarden.net/wiki/Ralts_(Platinum_89)" TargetMode="External"/><Relationship Id="rId102" Type="http://schemas.openxmlformats.org/officeDocument/2006/relationships/hyperlink" Target="https://bulbapedia.bulbagarden.net/wiki/Pok%C3%A9_Ball_(Platinum_113)" TargetMode="External"/><Relationship Id="rId5" Type="http://schemas.openxmlformats.org/officeDocument/2006/relationships/hyperlink" Target="https://bulbapedia.bulbagarden.net/wiki/Dialga_(Platinum_5)" TargetMode="External"/><Relationship Id="rId90" Type="http://schemas.openxmlformats.org/officeDocument/2006/relationships/hyperlink" Target="https://bulbapedia.bulbagarden.net/wiki/Turtwig_(Platinum_101)" TargetMode="External"/><Relationship Id="rId95" Type="http://schemas.openxmlformats.org/officeDocument/2006/relationships/hyperlink" Target="https://bulbapedia.bulbagarden.net/wiki/Galactic_HQ_(Platinum_106)" TargetMode="External"/><Relationship Id="rId22" Type="http://schemas.openxmlformats.org/officeDocument/2006/relationships/hyperlink" Target="https://bulbapedia.bulbagarden.net/wiki/Dustox_(Platinum_25)" TargetMode="External"/><Relationship Id="rId27" Type="http://schemas.openxmlformats.org/officeDocument/2006/relationships/hyperlink" Target="https://bulbapedia.bulbagarden.net/wiki/Infernape_(Platinum_31)" TargetMode="External"/><Relationship Id="rId43" Type="http://schemas.openxmlformats.org/officeDocument/2006/relationships/hyperlink" Target="https://bulbapedia.bulbagarden.net/wiki/Kirlia_(Platinum_51)" TargetMode="External"/><Relationship Id="rId48" Type="http://schemas.openxmlformats.org/officeDocument/2006/relationships/hyperlink" Target="https://bulbapedia.bulbagarden.net/wiki/Monferno_(Platinum_56)" TargetMode="External"/><Relationship Id="rId64" Type="http://schemas.openxmlformats.org/officeDocument/2006/relationships/hyperlink" Target="https://bulbapedia.bulbagarden.net/wiki/Diglett_(Platinum_72)" TargetMode="External"/><Relationship Id="rId69" Type="http://schemas.openxmlformats.org/officeDocument/2006/relationships/hyperlink" Target="https://bulbapedia.bulbagarden.net/wiki/Kricketot_(Platinum_78)" TargetMode="External"/><Relationship Id="rId113" Type="http://schemas.openxmlformats.org/officeDocument/2006/relationships/hyperlink" Target="https://bulbapedia.bulbagarden.net/wiki/Shaymin_LV.X_(Platinum_126)" TargetMode="External"/><Relationship Id="rId118" Type="http://schemas.openxmlformats.org/officeDocument/2006/relationships/hyperlink" Target="https://bulbapedia.bulbagarden.net/wiki/Lotad_(Platinum_SH4)" TargetMode="External"/><Relationship Id="rId80" Type="http://schemas.openxmlformats.org/officeDocument/2006/relationships/hyperlink" Target="https://bulbapedia.bulbagarden.net/wiki/Remoraid_(Platinum_90)" TargetMode="External"/><Relationship Id="rId85" Type="http://schemas.openxmlformats.org/officeDocument/2006/relationships/hyperlink" Target="https://bulbapedia.bulbagarden.net/wiki/Squirtle_(Platinum_96)" TargetMode="External"/><Relationship Id="rId12" Type="http://schemas.openxmlformats.org/officeDocument/2006/relationships/hyperlink" Target="https://bulbapedia.bulbagarden.net/wiki/Shaymin_(Platinum_14)" TargetMode="External"/><Relationship Id="rId17" Type="http://schemas.openxmlformats.org/officeDocument/2006/relationships/hyperlink" Target="https://bulbapedia.bulbagarden.net/wiki/Bastiodon_(Platinum_20)" TargetMode="External"/><Relationship Id="rId33" Type="http://schemas.openxmlformats.org/officeDocument/2006/relationships/hyperlink" Target="https://bulbapedia.bulbagarden.net/wiki/Palkia_(Platinum_37)" TargetMode="External"/><Relationship Id="rId38" Type="http://schemas.openxmlformats.org/officeDocument/2006/relationships/hyperlink" Target="https://bulbapedia.bulbagarden.net/wiki/Cascoon_(Platinum_44)" TargetMode="External"/><Relationship Id="rId59" Type="http://schemas.openxmlformats.org/officeDocument/2006/relationships/hyperlink" Target="https://bulbapedia.bulbagarden.net/wiki/Cacnea_(Platinum_67)" TargetMode="External"/><Relationship Id="rId103" Type="http://schemas.openxmlformats.org/officeDocument/2006/relationships/hyperlink" Target="https://bulbapedia.bulbagarden.net/wiki/Pok%C3%A9dex_HANDY910is_(Platinum_114)" TargetMode="External"/><Relationship Id="rId108" Type="http://schemas.openxmlformats.org/officeDocument/2006/relationships/hyperlink" Target="https://bulbapedia.bulbagarden.net/wiki/Armor_Fossil_(Platinum_119)" TargetMode="External"/><Relationship Id="rId54" Type="http://schemas.openxmlformats.org/officeDocument/2006/relationships/hyperlink" Target="https://bulbapedia.bulbagarden.net/wiki/Shieldon_(Platinum_62)" TargetMode="External"/><Relationship Id="rId70" Type="http://schemas.openxmlformats.org/officeDocument/2006/relationships/hyperlink" Target="https://bulbapedia.bulbagarden.net/wiki/Lapras_(Platinum_79)" TargetMode="External"/><Relationship Id="rId75" Type="http://schemas.openxmlformats.org/officeDocument/2006/relationships/hyperlink" Target="https://bulbapedia.bulbagarden.net/wiki/Nosepass_(Platinum_84)" TargetMode="External"/><Relationship Id="rId91" Type="http://schemas.openxmlformats.org/officeDocument/2006/relationships/hyperlink" Target="https://bulbapedia.bulbagarden.net/wiki/Vulpix_(Platinum_102)" TargetMode="External"/><Relationship Id="rId96" Type="http://schemas.openxmlformats.org/officeDocument/2006/relationships/hyperlink" Target="https://bulbapedia.bulbagarden.net/wiki/Level_Max_(Platinum_107)" TargetMode="External"/><Relationship Id="rId1" Type="http://schemas.openxmlformats.org/officeDocument/2006/relationships/hyperlink" Target="https://bulbapedia.bulbagarden.net/wiki/Ampharos_(Platinum_1)" TargetMode="External"/><Relationship Id="rId6" Type="http://schemas.openxmlformats.org/officeDocument/2006/relationships/hyperlink" Target="https://bulbapedia.bulbagarden.net/wiki/Dialga_(Platinum_6)" TargetMode="External"/><Relationship Id="rId23" Type="http://schemas.openxmlformats.org/officeDocument/2006/relationships/hyperlink" Target="https://bulbapedia.bulbagarden.net/wiki/Empoleon_(Platinum_26)" TargetMode="External"/><Relationship Id="rId28" Type="http://schemas.openxmlformats.org/officeDocument/2006/relationships/hyperlink" Target="https://bulbapedia.bulbagarden.net/wiki/Kricketune_(Platinum_32)" TargetMode="External"/><Relationship Id="rId49" Type="http://schemas.openxmlformats.org/officeDocument/2006/relationships/hyperlink" Target="https://bulbapedia.bulbagarden.net/wiki/Muk_(Platinum_57)" TargetMode="External"/><Relationship Id="rId114" Type="http://schemas.openxmlformats.org/officeDocument/2006/relationships/hyperlink" Target="https://bulbapedia.bulbagarden.net/wiki/Shaymin_LV.X_(Platinum_127)" TargetMode="External"/><Relationship Id="rId119" Type="http://schemas.openxmlformats.org/officeDocument/2006/relationships/hyperlink" Target="https://bulbapedia.bulbagarden.net/wiki/Swablu_(Platinum_SH5)" TargetMode="External"/><Relationship Id="rId10" Type="http://schemas.openxmlformats.org/officeDocument/2006/relationships/hyperlink" Target="https://bulbapedia.bulbagarden.net/wiki/Manectric_(Platinum_11)" TargetMode="External"/><Relationship Id="rId31" Type="http://schemas.openxmlformats.org/officeDocument/2006/relationships/hyperlink" Target="https://bulbapedia.bulbagarden.net/wiki/Luvdisc_(Platinum_35)" TargetMode="External"/><Relationship Id="rId44" Type="http://schemas.openxmlformats.org/officeDocument/2006/relationships/hyperlink" Target="https://bulbapedia.bulbagarden.net/wiki/Lombre_(Platinum_52)" TargetMode="External"/><Relationship Id="rId52" Type="http://schemas.openxmlformats.org/officeDocument/2006/relationships/hyperlink" Target="https://bulbapedia.bulbagarden.net/wiki/Probopass_(Platinum_60)" TargetMode="External"/><Relationship Id="rId60" Type="http://schemas.openxmlformats.org/officeDocument/2006/relationships/hyperlink" Target="https://bulbapedia.bulbagarden.net/wiki/Carnivine_(Platinum_68)" TargetMode="External"/><Relationship Id="rId65" Type="http://schemas.openxmlformats.org/officeDocument/2006/relationships/hyperlink" Target="https://bulbapedia.bulbagarden.net/wiki/Dunsparce_(Platinum_73)" TargetMode="External"/><Relationship Id="rId73" Type="http://schemas.openxmlformats.org/officeDocument/2006/relationships/hyperlink" Target="https://bulbapedia.bulbagarden.net/wiki/Mareep_(Platinum_82)" TargetMode="External"/><Relationship Id="rId78" Type="http://schemas.openxmlformats.org/officeDocument/2006/relationships/hyperlink" Target="https://bulbapedia.bulbagarden.net/wiki/Psyduck_(Platinum_87)" TargetMode="External"/><Relationship Id="rId81" Type="http://schemas.openxmlformats.org/officeDocument/2006/relationships/hyperlink" Target="https://bulbapedia.bulbagarden.net/wiki/Riolu_(Platinum_91)" TargetMode="External"/><Relationship Id="rId86" Type="http://schemas.openxmlformats.org/officeDocument/2006/relationships/hyperlink" Target="https://bulbapedia.bulbagarden.net/wiki/Swablu_(Platinum_97)" TargetMode="External"/><Relationship Id="rId94" Type="http://schemas.openxmlformats.org/officeDocument/2006/relationships/hyperlink" Target="https://bulbapedia.bulbagarden.net/wiki/Cyrus%27s_Conspiracy_(Platinum_105)" TargetMode="External"/><Relationship Id="rId99" Type="http://schemas.openxmlformats.org/officeDocument/2006/relationships/hyperlink" Target="https://bulbapedia.bulbagarden.net/wiki/Memory_Berry_(Platinum_110)" TargetMode="External"/><Relationship Id="rId101" Type="http://schemas.openxmlformats.org/officeDocument/2006/relationships/hyperlink" Target="https://bulbapedia.bulbagarden.net/wiki/PlusPower_(Platinum_112)" TargetMode="External"/><Relationship Id="rId4" Type="http://schemas.openxmlformats.org/officeDocument/2006/relationships/hyperlink" Target="https://bulbapedia.bulbagarden.net/wiki/Delcatty_(Platinum_4)" TargetMode="External"/><Relationship Id="rId9" Type="http://schemas.openxmlformats.org/officeDocument/2006/relationships/hyperlink" Target="https://bulbapedia.bulbagarden.net/wiki/Giratina_(Platinum_10)" TargetMode="External"/><Relationship Id="rId13" Type="http://schemas.openxmlformats.org/officeDocument/2006/relationships/hyperlink" Target="https://bulbapedia.bulbagarden.net/wiki/Shaymin_(Platinum_15)" TargetMode="External"/><Relationship Id="rId18" Type="http://schemas.openxmlformats.org/officeDocument/2006/relationships/hyperlink" Target="https://bulbapedia.bulbagarden.net/wiki/Beautifly_(Platinum_21)" TargetMode="External"/><Relationship Id="rId39" Type="http://schemas.openxmlformats.org/officeDocument/2006/relationships/hyperlink" Target="https://bulbapedia.bulbagarden.net/wiki/Combusken_(Platinum_45)" TargetMode="External"/><Relationship Id="rId109" Type="http://schemas.openxmlformats.org/officeDocument/2006/relationships/hyperlink" Target="https://bulbapedia.bulbagarden.net/wiki/Skull_Fossil_(Platinum_120)" TargetMode="External"/><Relationship Id="rId34" Type="http://schemas.openxmlformats.org/officeDocument/2006/relationships/hyperlink" Target="https://bulbapedia.bulbagarden.net/wiki/Shaymin_(Platinum_38)" TargetMode="External"/><Relationship Id="rId50" Type="http://schemas.openxmlformats.org/officeDocument/2006/relationships/hyperlink" Target="https://bulbapedia.bulbagarden.net/wiki/Octillery_(Platinum_58)" TargetMode="External"/><Relationship Id="rId55" Type="http://schemas.openxmlformats.org/officeDocument/2006/relationships/hyperlink" Target="https://bulbapedia.bulbagarden.net/wiki/Silcoon_(Platinum_63)" TargetMode="External"/><Relationship Id="rId76" Type="http://schemas.openxmlformats.org/officeDocument/2006/relationships/hyperlink" Target="https://bulbapedia.bulbagarden.net/wiki/Piplup_(Platinum_85)" TargetMode="External"/><Relationship Id="rId97" Type="http://schemas.openxmlformats.org/officeDocument/2006/relationships/hyperlink" Target="https://bulbapedia.bulbagarden.net/wiki/Life_Herb_(Platinum_108)" TargetMode="External"/><Relationship Id="rId104" Type="http://schemas.openxmlformats.org/officeDocument/2006/relationships/hyperlink" Target="https://bulbapedia.bulbagarden.net/wiki/Pok%C3%A9mon_Rescue_(Platinum_115)" TargetMode="External"/><Relationship Id="rId120" Type="http://schemas.openxmlformats.org/officeDocument/2006/relationships/hyperlink" Target="https://bulbapedia.bulbagarden.net/wiki/Vulpix_(Platinum_SH6)" TargetMode="External"/><Relationship Id="rId7" Type="http://schemas.openxmlformats.org/officeDocument/2006/relationships/hyperlink" Target="https://bulbapedia.bulbagarden.net/wiki/Gardevoir_(Platinum_8)" TargetMode="External"/><Relationship Id="rId71" Type="http://schemas.openxmlformats.org/officeDocument/2006/relationships/hyperlink" Target="https://bulbapedia.bulbagarden.net/wiki/Lickitung_(Platinum_80)" TargetMode="External"/><Relationship Id="rId92" Type="http://schemas.openxmlformats.org/officeDocument/2006/relationships/hyperlink" Target="https://bulbapedia.bulbagarden.net/wiki/Wurmple_(Platinum_103)" TargetMode="External"/><Relationship Id="rId2" Type="http://schemas.openxmlformats.org/officeDocument/2006/relationships/hyperlink" Target="https://bulbapedia.bulbagarden.net/wiki/Blastoise_(Platinum_2)" TargetMode="External"/><Relationship Id="rId29" Type="http://schemas.openxmlformats.org/officeDocument/2006/relationships/hyperlink" Target="https://bulbapedia.bulbagarden.net/wiki/Lickilicky_(Platinum_33)" TargetMode="External"/><Relationship Id="rId24" Type="http://schemas.openxmlformats.org/officeDocument/2006/relationships/hyperlink" Target="https://bulbapedia.bulbagarden.net/wiki/Giratina_(Platinum_27)" TargetMode="External"/><Relationship Id="rId40" Type="http://schemas.openxmlformats.org/officeDocument/2006/relationships/hyperlink" Target="https://bulbapedia.bulbagarden.net/wiki/Cranidos_(Platinum_46)" TargetMode="External"/><Relationship Id="rId45" Type="http://schemas.openxmlformats.org/officeDocument/2006/relationships/hyperlink" Target="https://bulbapedia.bulbagarden.net/wiki/Lucario_(Platinum_53)" TargetMode="External"/><Relationship Id="rId66" Type="http://schemas.openxmlformats.org/officeDocument/2006/relationships/hyperlink" Target="https://bulbapedia.bulbagarden.net/wiki/Electrike_(Platinum_74)" TargetMode="External"/><Relationship Id="rId87" Type="http://schemas.openxmlformats.org/officeDocument/2006/relationships/hyperlink" Target="https://bulbapedia.bulbagarden.net/wiki/Tauros_(Platinum_98)" TargetMode="External"/><Relationship Id="rId110" Type="http://schemas.openxmlformats.org/officeDocument/2006/relationships/hyperlink" Target="https://bulbapedia.bulbagarden.net/wiki/Rainbow_Energy_(Platinum_121)" TargetMode="External"/><Relationship Id="rId115" Type="http://schemas.openxmlformats.org/officeDocument/2006/relationships/hyperlink" Target="https://bulbapedia.bulbagarden.net/wiki/Electabuzz_(Platinum_128)" TargetMode="External"/><Relationship Id="rId61" Type="http://schemas.openxmlformats.org/officeDocument/2006/relationships/hyperlink" Target="https://bulbapedia.bulbagarden.net/wiki/Chansey_(Platinum_69)" TargetMode="External"/><Relationship Id="rId82" Type="http://schemas.openxmlformats.org/officeDocument/2006/relationships/hyperlink" Target="https://bulbapedia.bulbagarden.net/wiki/Shuppet_(Platinum_92)" TargetMode="External"/><Relationship Id="rId19" Type="http://schemas.openxmlformats.org/officeDocument/2006/relationships/hyperlink" Target="https://bulbapedia.bulbagarden.net/wiki/Blissey_(Platinum_22)" TargetMode="External"/><Relationship Id="rId14" Type="http://schemas.openxmlformats.org/officeDocument/2006/relationships/hyperlink" Target="https://bulbapedia.bulbagarden.net/wiki/Slaking_(Platinum_16)" TargetMode="External"/><Relationship Id="rId30" Type="http://schemas.openxmlformats.org/officeDocument/2006/relationships/hyperlink" Target="https://bulbapedia.bulbagarden.net/wiki/Ludicolo_(Platinum_34)" TargetMode="External"/><Relationship Id="rId35" Type="http://schemas.openxmlformats.org/officeDocument/2006/relationships/hyperlink" Target="https://bulbapedia.bulbagarden.net/wiki/Torterra_(Platinum_39)" TargetMode="External"/><Relationship Id="rId56" Type="http://schemas.openxmlformats.org/officeDocument/2006/relationships/hyperlink" Target="https://bulbapedia.bulbagarden.net/wiki/Vigoroth_(Platinum_64)" TargetMode="External"/><Relationship Id="rId77" Type="http://schemas.openxmlformats.org/officeDocument/2006/relationships/hyperlink" Target="https://bulbapedia.bulbagarden.net/wiki/Poochyena_(Platinum_86)" TargetMode="External"/><Relationship Id="rId100" Type="http://schemas.openxmlformats.org/officeDocument/2006/relationships/hyperlink" Target="https://bulbapedia.bulbagarden.net/wiki/Miasma_Valley_(Platinum_111)" TargetMode="External"/><Relationship Id="rId105" Type="http://schemas.openxmlformats.org/officeDocument/2006/relationships/hyperlink" Target="https://bulbapedia.bulbagarden.net/wiki/Team_Galactic%27s_Invention_G-101_Energy_Gain_(Platinum_116)" TargetMode="External"/><Relationship Id="rId8" Type="http://schemas.openxmlformats.org/officeDocument/2006/relationships/hyperlink" Target="https://bulbapedia.bulbagarden.net/wiki/Giratina_(Platinum_9)" TargetMode="External"/><Relationship Id="rId51" Type="http://schemas.openxmlformats.org/officeDocument/2006/relationships/hyperlink" Target="https://bulbapedia.bulbagarden.net/wiki/Prinplup_(Platinum_59)" TargetMode="External"/><Relationship Id="rId72" Type="http://schemas.openxmlformats.org/officeDocument/2006/relationships/hyperlink" Target="https://bulbapedia.bulbagarden.net/wiki/Lotad_(Platinum_81)" TargetMode="External"/><Relationship Id="rId93" Type="http://schemas.openxmlformats.org/officeDocument/2006/relationships/hyperlink" Target="https://bulbapedia.bulbagarden.net/wiki/Broken_Time-Space_(Platinum_104)" TargetMode="External"/><Relationship Id="rId98" Type="http://schemas.openxmlformats.org/officeDocument/2006/relationships/hyperlink" Target="https://bulbapedia.bulbagarden.net/wiki/Looker%27s_Investigation_(Platinum_109)" TargetMode="External"/><Relationship Id="rId3" Type="http://schemas.openxmlformats.org/officeDocument/2006/relationships/hyperlink" Target="https://bulbapedia.bulbagarden.net/wiki/Blaziken_(Platinum_3)" TargetMode="External"/><Relationship Id="rId25" Type="http://schemas.openxmlformats.org/officeDocument/2006/relationships/hyperlink" Target="https://bulbapedia.bulbagarden.net/wiki/Giratina_(Platinum_28)" TargetMode="External"/><Relationship Id="rId46" Type="http://schemas.openxmlformats.org/officeDocument/2006/relationships/hyperlink" Target="https://bulbapedia.bulbagarden.net/wiki/Mightyena_(Platinum_54)" TargetMode="External"/><Relationship Id="rId67" Type="http://schemas.openxmlformats.org/officeDocument/2006/relationships/hyperlink" Target="https://bulbapedia.bulbagarden.net/wiki/Grimer_(Platinum_75)" TargetMode="External"/><Relationship Id="rId116" Type="http://schemas.openxmlformats.org/officeDocument/2006/relationships/hyperlink" Target="https://bulbapedia.bulbagarden.net/wiki/Hitmonchan_(Platinum_129)" TargetMode="External"/><Relationship Id="rId20" Type="http://schemas.openxmlformats.org/officeDocument/2006/relationships/hyperlink" Target="https://bulbapedia.bulbagarden.net/wiki/Dialga_(Platinum_23)" TargetMode="External"/><Relationship Id="rId41" Type="http://schemas.openxmlformats.org/officeDocument/2006/relationships/hyperlink" Target="https://bulbapedia.bulbagarden.net/wiki/Flaaffy_(Platinum_48)" TargetMode="External"/><Relationship Id="rId62" Type="http://schemas.openxmlformats.org/officeDocument/2006/relationships/hyperlink" Target="https://bulbapedia.bulbagarden.net/wiki/Chimchar_(Platinum_70)" TargetMode="External"/><Relationship Id="rId83" Type="http://schemas.openxmlformats.org/officeDocument/2006/relationships/hyperlink" Target="https://bulbapedia.bulbagarden.net/wiki/Skitty_(Platinum_93)" TargetMode="External"/><Relationship Id="rId88" Type="http://schemas.openxmlformats.org/officeDocument/2006/relationships/hyperlink" Target="https://bulbapedia.bulbagarden.net/wiki/Torchic_(Platinum_99)" TargetMode="External"/><Relationship Id="rId111" Type="http://schemas.openxmlformats.org/officeDocument/2006/relationships/hyperlink" Target="https://bulbapedia.bulbagarden.net/wiki/Drapion_LV.X_(Platinum_123)" TargetMode="External"/><Relationship Id="rId15" Type="http://schemas.openxmlformats.org/officeDocument/2006/relationships/hyperlink" Target="https://bulbapedia.bulbagarden.net/wiki/Altaria_(Platinum_18)" TargetMode="External"/><Relationship Id="rId36" Type="http://schemas.openxmlformats.org/officeDocument/2006/relationships/hyperlink" Target="https://bulbapedia.bulbagarden.net/wiki/Cacturne_(Platinum_42)" TargetMode="External"/><Relationship Id="rId57" Type="http://schemas.openxmlformats.org/officeDocument/2006/relationships/hyperlink" Target="https://bulbapedia.bulbagarden.net/wiki/Wartortle_(Platinum_65)" TargetMode="External"/><Relationship Id="rId106" Type="http://schemas.openxmlformats.org/officeDocument/2006/relationships/hyperlink" Target="https://bulbapedia.bulbagarden.net/wiki/Team_Galactic%27s_Invention_G-103_Power_Spray_(Platinum_117)" TargetMode="External"/></Relationships>
</file>

<file path=xl/worksheets/_rels/sheet33.xml.rels><?xml version="1.0" encoding="UTF-8" standalone="yes"?>
<Relationships xmlns="http://schemas.openxmlformats.org/package/2006/relationships"><Relationship Id="rId26" Type="http://schemas.openxmlformats.org/officeDocument/2006/relationships/hyperlink" Target="https://bulbapedia.bulbagarden.net/wiki/Jolteon_(Rising_Rivals_26)" TargetMode="External"/><Relationship Id="rId117" Type="http://schemas.openxmlformats.org/officeDocument/2006/relationships/hyperlink" Target="https://bulbapedia.bulbagarden.net/wiki/Heat_Rotom_(Rising_Rivals_RT3)" TargetMode="External"/><Relationship Id="rId21" Type="http://schemas.openxmlformats.org/officeDocument/2006/relationships/hyperlink" Target="https://bulbapedia.bulbagarden.net/wiki/Gastrodon_(Rising_Rivals_21)" TargetMode="External"/><Relationship Id="rId42" Type="http://schemas.openxmlformats.org/officeDocument/2006/relationships/hyperlink" Target="https://bulbapedia.bulbagarden.net/wiki/Hippowdon_4_(Rising_Rivals_42)" TargetMode="External"/><Relationship Id="rId47" Type="http://schemas.openxmlformats.org/officeDocument/2006/relationships/hyperlink" Target="https://bulbapedia.bulbagarden.net/wiki/Rapidash_4_(Rising_Rivals_47)" TargetMode="External"/><Relationship Id="rId63" Type="http://schemas.openxmlformats.org/officeDocument/2006/relationships/hyperlink" Target="https://bulbapedia.bulbagarden.net/wiki/Growlithe_(Rising_Rivals_63)" TargetMode="External"/><Relationship Id="rId68" Type="http://schemas.openxmlformats.org/officeDocument/2006/relationships/hyperlink" Target="https://bulbapedia.bulbagarden.net/wiki/Koffing_(Rising_Rivals_68)" TargetMode="External"/><Relationship Id="rId84" Type="http://schemas.openxmlformats.org/officeDocument/2006/relationships/hyperlink" Target="https://bulbapedia.bulbagarden.net/wiki/Trapinch_(Rising_Rivals_84)" TargetMode="External"/><Relationship Id="rId89" Type="http://schemas.openxmlformats.org/officeDocument/2006/relationships/hyperlink" Target="https://bulbapedia.bulbagarden.net/wiki/Bebe%27s_Search_(Rising_Rivals_89)" TargetMode="External"/><Relationship Id="rId112" Type="http://schemas.openxmlformats.org/officeDocument/2006/relationships/hyperlink" Target="https://bulbapedia.bulbagarden.net/wiki/Pikachu_(Rising_Rivals_112)" TargetMode="External"/><Relationship Id="rId16" Type="http://schemas.openxmlformats.org/officeDocument/2006/relationships/hyperlink" Target="https://bulbapedia.bulbagarden.net/wiki/Bronzong_4_(Rising_Rivals_16)" TargetMode="External"/><Relationship Id="rId107" Type="http://schemas.openxmlformats.org/officeDocument/2006/relationships/hyperlink" Target="https://bulbapedia.bulbagarden.net/wiki/Hippowdon_LV.X_(Rising_Rivals_107)" TargetMode="External"/><Relationship Id="rId11" Type="http://schemas.openxmlformats.org/officeDocument/2006/relationships/hyperlink" Target="https://bulbapedia.bulbagarden.net/wiki/Rampardos_GL_(Rising_Rivals_11)" TargetMode="External"/><Relationship Id="rId32" Type="http://schemas.openxmlformats.org/officeDocument/2006/relationships/hyperlink" Target="https://bulbapedia.bulbagarden.net/wiki/Rhyperior_4_(Rising_Rivals_32)" TargetMode="External"/><Relationship Id="rId37" Type="http://schemas.openxmlformats.org/officeDocument/2006/relationships/hyperlink" Target="https://bulbapedia.bulbagarden.net/wiki/Yanmega_4_(Rising_Rivals_37)" TargetMode="External"/><Relationship Id="rId53" Type="http://schemas.openxmlformats.org/officeDocument/2006/relationships/hyperlink" Target="https://bulbapedia.bulbagarden.net/wiki/Vibrava_(Rising_Rivals_53)" TargetMode="External"/><Relationship Id="rId58" Type="http://schemas.openxmlformats.org/officeDocument/2006/relationships/hyperlink" Target="https://bulbapedia.bulbagarden.net/wiki/Carvanha_(Rising_Rivals_58)" TargetMode="External"/><Relationship Id="rId74" Type="http://schemas.openxmlformats.org/officeDocument/2006/relationships/hyperlink" Target="https://bulbapedia.bulbagarden.net/wiki/Nidorino_(Rising_Rivals_74)" TargetMode="External"/><Relationship Id="rId79" Type="http://schemas.openxmlformats.org/officeDocument/2006/relationships/hyperlink" Target="https://bulbapedia.bulbagarden.net/wiki/Shellos_(Rising_Rivals_79)" TargetMode="External"/><Relationship Id="rId102" Type="http://schemas.openxmlformats.org/officeDocument/2006/relationships/hyperlink" Target="https://bulbapedia.bulbagarden.net/wiki/Upper_Energy_(Rising_Rivals_102)" TargetMode="External"/><Relationship Id="rId5" Type="http://schemas.openxmlformats.org/officeDocument/2006/relationships/hyperlink" Target="https://bulbapedia.bulbagarden.net/wiki/Flygon_(Rising_Rivals_5)" TargetMode="External"/><Relationship Id="rId90" Type="http://schemas.openxmlformats.org/officeDocument/2006/relationships/hyperlink" Target="https://bulbapedia.bulbagarden.net/wiki/Bertha%27s_Warmth_(Rising_Rivals_90)" TargetMode="External"/><Relationship Id="rId95" Type="http://schemas.openxmlformats.org/officeDocument/2006/relationships/hyperlink" Target="https://bulbapedia.bulbagarden.net/wiki/Team_Galactic%27s_Invention_G-107_Technical_Machine_G_(Rising_Rivals_95)" TargetMode="External"/><Relationship Id="rId22" Type="http://schemas.openxmlformats.org/officeDocument/2006/relationships/hyperlink" Target="https://bulbapedia.bulbagarden.net/wiki/Gastrodon_(Rising_Rivals_22)" TargetMode="External"/><Relationship Id="rId27" Type="http://schemas.openxmlformats.org/officeDocument/2006/relationships/hyperlink" Target="https://bulbapedia.bulbagarden.net/wiki/Mamoswine_GL_(Rising_Rivals_27)" TargetMode="External"/><Relationship Id="rId43" Type="http://schemas.openxmlformats.org/officeDocument/2006/relationships/hyperlink" Target="https://bulbapedia.bulbagarden.net/wiki/Infernape_4_(Rising_Rivals_43)" TargetMode="External"/><Relationship Id="rId48" Type="http://schemas.openxmlformats.org/officeDocument/2006/relationships/hyperlink" Target="https://bulbapedia.bulbagarden.net/wiki/Scizor_4_(Rising_Rivals_48)" TargetMode="External"/><Relationship Id="rId64" Type="http://schemas.openxmlformats.org/officeDocument/2006/relationships/hyperlink" Target="https://bulbapedia.bulbagarden.net/wiki/Hippopotas_(Rising_Rivals_64)" TargetMode="External"/><Relationship Id="rId69" Type="http://schemas.openxmlformats.org/officeDocument/2006/relationships/hyperlink" Target="https://bulbapedia.bulbagarden.net/wiki/Munchlax_(Rising_Rivals_69)" TargetMode="External"/><Relationship Id="rId113" Type="http://schemas.openxmlformats.org/officeDocument/2006/relationships/hyperlink" Target="https://bulbapedia.bulbagarden.net/wiki/Flying_Pikachu_(Rising_Rivals_113)" TargetMode="External"/><Relationship Id="rId118" Type="http://schemas.openxmlformats.org/officeDocument/2006/relationships/hyperlink" Target="https://bulbapedia.bulbagarden.net/wiki/Mow_Rotom_(Rising_Rivals_RT4)" TargetMode="External"/><Relationship Id="rId80" Type="http://schemas.openxmlformats.org/officeDocument/2006/relationships/hyperlink" Target="https://bulbapedia.bulbagarden.net/wiki/Shellos_(Rising_Rivals_80)" TargetMode="External"/><Relationship Id="rId85" Type="http://schemas.openxmlformats.org/officeDocument/2006/relationships/hyperlink" Target="https://bulbapedia.bulbagarden.net/wiki/Turtwig_GL_(Rising_Rivals_85)" TargetMode="External"/><Relationship Id="rId12" Type="http://schemas.openxmlformats.org/officeDocument/2006/relationships/hyperlink" Target="https://bulbapedia.bulbagarden.net/wiki/Roserade_GL_(Rising_Rivals_12)" TargetMode="External"/><Relationship Id="rId17" Type="http://schemas.openxmlformats.org/officeDocument/2006/relationships/hyperlink" Target="https://bulbapedia.bulbagarden.net/wiki/Drapion_4_(Rising_Rivals_17)" TargetMode="External"/><Relationship Id="rId33" Type="http://schemas.openxmlformats.org/officeDocument/2006/relationships/hyperlink" Target="https://bulbapedia.bulbagarden.net/wiki/Snorlax_(Rising_Rivals_33)" TargetMode="External"/><Relationship Id="rId38" Type="http://schemas.openxmlformats.org/officeDocument/2006/relationships/hyperlink" Target="https://bulbapedia.bulbagarden.net/wiki/Alakazam_4_(Rising_Rivals_38)" TargetMode="External"/><Relationship Id="rId59" Type="http://schemas.openxmlformats.org/officeDocument/2006/relationships/hyperlink" Target="https://bulbapedia.bulbagarden.net/wiki/Eevee_(Rising_Rivals_59)" TargetMode="External"/><Relationship Id="rId103" Type="http://schemas.openxmlformats.org/officeDocument/2006/relationships/hyperlink" Target="https://bulbapedia.bulbagarden.net/wiki/Alakazam_4_LV.X_(Rising_Rivals_103)" TargetMode="External"/><Relationship Id="rId108" Type="http://schemas.openxmlformats.org/officeDocument/2006/relationships/hyperlink" Target="https://bulbapedia.bulbagarden.net/wiki/Infernape_4_LV.X_(Rising_Rivals_108)" TargetMode="External"/><Relationship Id="rId54" Type="http://schemas.openxmlformats.org/officeDocument/2006/relationships/hyperlink" Target="https://bulbapedia.bulbagarden.net/wiki/Whiscash_4_(Rising_Rivals_54)" TargetMode="External"/><Relationship Id="rId70" Type="http://schemas.openxmlformats.org/officeDocument/2006/relationships/hyperlink" Target="https://bulbapedia.bulbagarden.net/wiki/Munchlax_(Rising_Rivals_70)" TargetMode="External"/><Relationship Id="rId75" Type="http://schemas.openxmlformats.org/officeDocument/2006/relationships/hyperlink" Target="https://bulbapedia.bulbagarden.net/wiki/Nuzleaf_(Rising_Rivals_75)" TargetMode="External"/><Relationship Id="rId91" Type="http://schemas.openxmlformats.org/officeDocument/2006/relationships/hyperlink" Target="https://bulbapedia.bulbagarden.net/wiki/Flint%27s_Willpower_(Rising_Rivals_91)" TargetMode="External"/><Relationship Id="rId96" Type="http://schemas.openxmlformats.org/officeDocument/2006/relationships/hyperlink" Target="https://bulbapedia.bulbagarden.net/wiki/Team_Galactic%27s_Invention_G-109_SP_Radar_(Rising_Rivals_96)" TargetMode="External"/><Relationship Id="rId1" Type="http://schemas.openxmlformats.org/officeDocument/2006/relationships/hyperlink" Target="https://bulbapedia.bulbagarden.net/wiki/Arcanine_(Rising_Rivals_1)" TargetMode="External"/><Relationship Id="rId6" Type="http://schemas.openxmlformats.org/officeDocument/2006/relationships/hyperlink" Target="https://bulbapedia.bulbagarden.net/wiki/Froslass_GL_(Rising_Rivals_6)" TargetMode="External"/><Relationship Id="rId23" Type="http://schemas.openxmlformats.org/officeDocument/2006/relationships/hyperlink" Target="https://bulbapedia.bulbagarden.net/wiki/Golem_4_(Rising_Rivals_23)" TargetMode="External"/><Relationship Id="rId28" Type="http://schemas.openxmlformats.org/officeDocument/2006/relationships/hyperlink" Target="https://bulbapedia.bulbagarden.net/wiki/Mr._Mime_4_(Rising_Rivals_28)" TargetMode="External"/><Relationship Id="rId49" Type="http://schemas.openxmlformats.org/officeDocument/2006/relationships/hyperlink" Target="https://bulbapedia.bulbagarden.net/wiki/Sharpedo_(Rising_Rivals_49)" TargetMode="External"/><Relationship Id="rId114" Type="http://schemas.openxmlformats.org/officeDocument/2006/relationships/hyperlink" Target="https://bulbapedia.bulbagarden.net/wiki/Surfing_Pikachu_(Rising_Rivals_114)" TargetMode="External"/><Relationship Id="rId119" Type="http://schemas.openxmlformats.org/officeDocument/2006/relationships/hyperlink" Target="https://bulbapedia.bulbagarden.net/wiki/Wash_Rotom_(Rising_Rivals_RT5)" TargetMode="External"/><Relationship Id="rId10" Type="http://schemas.openxmlformats.org/officeDocument/2006/relationships/hyperlink" Target="https://bulbapedia.bulbagarden.net/wiki/Mismagius_GL_(Rising_Rivals_10)" TargetMode="External"/><Relationship Id="rId31" Type="http://schemas.openxmlformats.org/officeDocument/2006/relationships/hyperlink" Target="https://bulbapedia.bulbagarden.net/wiki/Raichu_GL_(Rising_Rivals_31)" TargetMode="External"/><Relationship Id="rId44" Type="http://schemas.openxmlformats.org/officeDocument/2006/relationships/hyperlink" Target="https://bulbapedia.bulbagarden.net/wiki/Lairon_(Rising_Rivals_44)" TargetMode="External"/><Relationship Id="rId52" Type="http://schemas.openxmlformats.org/officeDocument/2006/relationships/hyperlink" Target="https://bulbapedia.bulbagarden.net/wiki/Tropius_(Rising_Rivals_52)" TargetMode="External"/><Relationship Id="rId60" Type="http://schemas.openxmlformats.org/officeDocument/2006/relationships/hyperlink" Target="https://bulbapedia.bulbagarden.net/wiki/Flareon_4_(Rising_Rivals_60)" TargetMode="External"/><Relationship Id="rId65" Type="http://schemas.openxmlformats.org/officeDocument/2006/relationships/hyperlink" Target="https://bulbapedia.bulbagarden.net/wiki/Houndoom_4_(Rising_Rivals_65)" TargetMode="External"/><Relationship Id="rId73" Type="http://schemas.openxmlformats.org/officeDocument/2006/relationships/hyperlink" Target="https://bulbapedia.bulbagarden.net/wiki/Nidorina_(Rising_Rivals_73)" TargetMode="External"/><Relationship Id="rId78" Type="http://schemas.openxmlformats.org/officeDocument/2006/relationships/hyperlink" Target="https://bulbapedia.bulbagarden.net/wiki/Seedot_(Rising_Rivals_78)" TargetMode="External"/><Relationship Id="rId81" Type="http://schemas.openxmlformats.org/officeDocument/2006/relationships/hyperlink" Target="https://bulbapedia.bulbagarden.net/wiki/Snorlax_(Rising_Rivals_81)" TargetMode="External"/><Relationship Id="rId86" Type="http://schemas.openxmlformats.org/officeDocument/2006/relationships/hyperlink" Target="https://bulbapedia.bulbagarden.net/wiki/Weedle_(Rising_Rivals_86)" TargetMode="External"/><Relationship Id="rId94" Type="http://schemas.openxmlformats.org/officeDocument/2006/relationships/hyperlink" Target="https://bulbapedia.bulbagarden.net/wiki/Sunyshore_City_Gym_(Rising_Rivals_94)" TargetMode="External"/><Relationship Id="rId99" Type="http://schemas.openxmlformats.org/officeDocument/2006/relationships/hyperlink" Target="https://bulbapedia.bulbagarden.net/wiki/Darkness_Energy_(Rising_Rivals_99)" TargetMode="External"/><Relationship Id="rId101" Type="http://schemas.openxmlformats.org/officeDocument/2006/relationships/hyperlink" Target="https://bulbapedia.bulbagarden.net/wiki/SP_Energy_(Rising_Rivals_101)" TargetMode="External"/><Relationship Id="rId4" Type="http://schemas.openxmlformats.org/officeDocument/2006/relationships/hyperlink" Target="https://bulbapedia.bulbagarden.net/wiki/Floatzel_GL_(Rising_Rivals_4)" TargetMode="External"/><Relationship Id="rId9" Type="http://schemas.openxmlformats.org/officeDocument/2006/relationships/hyperlink" Target="https://bulbapedia.bulbagarden.net/wiki/Luxray_GL_(Rising_Rivals_9)" TargetMode="External"/><Relationship Id="rId13" Type="http://schemas.openxmlformats.org/officeDocument/2006/relationships/hyperlink" Target="https://bulbapedia.bulbagarden.net/wiki/Shiftry_(Rising_Rivals_13)" TargetMode="External"/><Relationship Id="rId18" Type="http://schemas.openxmlformats.org/officeDocument/2006/relationships/hyperlink" Target="https://bulbapedia.bulbagarden.net/wiki/Espeon_4_(Rising_Rivals_18)" TargetMode="External"/><Relationship Id="rId39" Type="http://schemas.openxmlformats.org/officeDocument/2006/relationships/hyperlink" Target="https://bulbapedia.bulbagarden.net/wiki/Electrode_G_(Rising_Rivals_39)" TargetMode="External"/><Relationship Id="rId109" Type="http://schemas.openxmlformats.org/officeDocument/2006/relationships/hyperlink" Target="https://bulbapedia.bulbagarden.net/wiki/Luxray_GL_LV.X_(Rising_Rivals_109)" TargetMode="External"/><Relationship Id="rId34" Type="http://schemas.openxmlformats.org/officeDocument/2006/relationships/hyperlink" Target="https://bulbapedia.bulbagarden.net/wiki/Vaporeon_(Rising_Rivals_34)" TargetMode="External"/><Relationship Id="rId50" Type="http://schemas.openxmlformats.org/officeDocument/2006/relationships/hyperlink" Target="https://bulbapedia.bulbagarden.net/wiki/Starmie_(Rising_Rivals_50)" TargetMode="External"/><Relationship Id="rId55" Type="http://schemas.openxmlformats.org/officeDocument/2006/relationships/hyperlink" Target="https://bulbapedia.bulbagarden.net/wiki/Aerodactyl_GL_(Rising_Rivals_55)" TargetMode="External"/><Relationship Id="rId76" Type="http://schemas.openxmlformats.org/officeDocument/2006/relationships/hyperlink" Target="https://bulbapedia.bulbagarden.net/wiki/Quagsire_GL_(Rising_Rivals_76)" TargetMode="External"/><Relationship Id="rId97" Type="http://schemas.openxmlformats.org/officeDocument/2006/relationships/hyperlink" Target="https://bulbapedia.bulbagarden.net/wiki/Underground_Expedition_(Rising_Rivals_97)" TargetMode="External"/><Relationship Id="rId104" Type="http://schemas.openxmlformats.org/officeDocument/2006/relationships/hyperlink" Target="https://bulbapedia.bulbagarden.net/wiki/Floatzel_GL_LV.X_(Rising_Rivals_104)" TargetMode="External"/><Relationship Id="rId120" Type="http://schemas.openxmlformats.org/officeDocument/2006/relationships/hyperlink" Target="https://bulbapedia.bulbagarden.net/wiki/Charon%27s_Choice_(Rising_Rivals_RT6)" TargetMode="External"/><Relationship Id="rId7" Type="http://schemas.openxmlformats.org/officeDocument/2006/relationships/hyperlink" Target="https://bulbapedia.bulbagarden.net/wiki/Jirachi_(Rising_Rivals_7)" TargetMode="External"/><Relationship Id="rId71" Type="http://schemas.openxmlformats.org/officeDocument/2006/relationships/hyperlink" Target="https://bulbapedia.bulbagarden.net/wiki/Nidoran%E2%99%80_(Rising_Rivals_71)" TargetMode="External"/><Relationship Id="rId92" Type="http://schemas.openxmlformats.org/officeDocument/2006/relationships/hyperlink" Target="https://bulbapedia.bulbagarden.net/wiki/Lucian%27s_Assignment_(Rising_Rivals_92)" TargetMode="External"/><Relationship Id="rId2" Type="http://schemas.openxmlformats.org/officeDocument/2006/relationships/hyperlink" Target="https://bulbapedia.bulbagarden.net/wiki/Bastiodon_GL_(Rising_Rivals_2)" TargetMode="External"/><Relationship Id="rId29" Type="http://schemas.openxmlformats.org/officeDocument/2006/relationships/hyperlink" Target="https://bulbapedia.bulbagarden.net/wiki/Nidoking_(Rising_Rivals_29)" TargetMode="External"/><Relationship Id="rId24" Type="http://schemas.openxmlformats.org/officeDocument/2006/relationships/hyperlink" Target="https://bulbapedia.bulbagarden.net/wiki/Heracross_4_(Rising_Rivals_24)" TargetMode="External"/><Relationship Id="rId40" Type="http://schemas.openxmlformats.org/officeDocument/2006/relationships/hyperlink" Target="https://bulbapedia.bulbagarden.net/wiki/Gengar_GL_(Rising_Rivals_40)" TargetMode="External"/><Relationship Id="rId45" Type="http://schemas.openxmlformats.org/officeDocument/2006/relationships/hyperlink" Target="https://bulbapedia.bulbagarden.net/wiki/Leafeon_(Rising_Rivals_45)" TargetMode="External"/><Relationship Id="rId66" Type="http://schemas.openxmlformats.org/officeDocument/2006/relationships/hyperlink" Target="https://bulbapedia.bulbagarden.net/wiki/Kakuna_(Rising_Rivals_66)" TargetMode="External"/><Relationship Id="rId87" Type="http://schemas.openxmlformats.org/officeDocument/2006/relationships/hyperlink" Target="https://bulbapedia.bulbagarden.net/wiki/Weezing_(Rising_Rivals_87)" TargetMode="External"/><Relationship Id="rId110" Type="http://schemas.openxmlformats.org/officeDocument/2006/relationships/hyperlink" Target="https://bulbapedia.bulbagarden.net/wiki/Mismagius_GL_LV.X_(Rising_Rivals_110)" TargetMode="External"/><Relationship Id="rId115" Type="http://schemas.openxmlformats.org/officeDocument/2006/relationships/hyperlink" Target="https://bulbapedia.bulbagarden.net/wiki/Fan_Rotom_(Rising_Rivals_RT1)" TargetMode="External"/><Relationship Id="rId61" Type="http://schemas.openxmlformats.org/officeDocument/2006/relationships/hyperlink" Target="https://bulbapedia.bulbagarden.net/wiki/Forretress_G_(Rising_Rivals_61)" TargetMode="External"/><Relationship Id="rId82" Type="http://schemas.openxmlformats.org/officeDocument/2006/relationships/hyperlink" Target="https://bulbapedia.bulbagarden.net/wiki/Spheal_(Rising_Rivals_82)" TargetMode="External"/><Relationship Id="rId19" Type="http://schemas.openxmlformats.org/officeDocument/2006/relationships/hyperlink" Target="https://bulbapedia.bulbagarden.net/wiki/Flareon_(Rising_Rivals_19)" TargetMode="External"/><Relationship Id="rId14" Type="http://schemas.openxmlformats.org/officeDocument/2006/relationships/hyperlink" Target="https://bulbapedia.bulbagarden.net/wiki/Aggron_(Rising_Rivals_14)" TargetMode="External"/><Relationship Id="rId30" Type="http://schemas.openxmlformats.org/officeDocument/2006/relationships/hyperlink" Target="https://bulbapedia.bulbagarden.net/wiki/Nidoqueen_(Rising_Rivals_30)" TargetMode="External"/><Relationship Id="rId35" Type="http://schemas.openxmlformats.org/officeDocument/2006/relationships/hyperlink" Target="https://bulbapedia.bulbagarden.net/wiki/Vespiquen_4_(Rising_Rivals_35)" TargetMode="External"/><Relationship Id="rId56" Type="http://schemas.openxmlformats.org/officeDocument/2006/relationships/hyperlink" Target="https://bulbapedia.bulbagarden.net/wiki/Ambipom_G_(Rising_Rivals_56)" TargetMode="External"/><Relationship Id="rId77" Type="http://schemas.openxmlformats.org/officeDocument/2006/relationships/hyperlink" Target="https://bulbapedia.bulbagarden.net/wiki/Sealeo_(Rising_Rivals_77)" TargetMode="External"/><Relationship Id="rId100" Type="http://schemas.openxmlformats.org/officeDocument/2006/relationships/hyperlink" Target="https://bulbapedia.bulbagarden.net/wiki/Metal_Energy_(Rising_Rivals_100)" TargetMode="External"/><Relationship Id="rId105" Type="http://schemas.openxmlformats.org/officeDocument/2006/relationships/hyperlink" Target="https://bulbapedia.bulbagarden.net/wiki/Flygon_LV.X_(Rising_Rivals_105)" TargetMode="External"/><Relationship Id="rId8" Type="http://schemas.openxmlformats.org/officeDocument/2006/relationships/hyperlink" Target="https://bulbapedia.bulbagarden.net/wiki/Lucario_GL_(Rising_Rivals_8)" TargetMode="External"/><Relationship Id="rId51" Type="http://schemas.openxmlformats.org/officeDocument/2006/relationships/hyperlink" Target="https://bulbapedia.bulbagarden.net/wiki/Steelix_GL_(Rising_Rivals_51)" TargetMode="External"/><Relationship Id="rId72" Type="http://schemas.openxmlformats.org/officeDocument/2006/relationships/hyperlink" Target="https://bulbapedia.bulbagarden.net/wiki/Nidoran%E2%99%82_(Rising_Rivals_72)" TargetMode="External"/><Relationship Id="rId93" Type="http://schemas.openxmlformats.org/officeDocument/2006/relationships/hyperlink" Target="https://bulbapedia.bulbagarden.net/wiki/Pok%C3%A9mon_Contest_Hall_(Rising_Rivals_93)" TargetMode="External"/><Relationship Id="rId98" Type="http://schemas.openxmlformats.org/officeDocument/2006/relationships/hyperlink" Target="https://bulbapedia.bulbagarden.net/wiki/Volkner%27s_Philosophy_(Rising_Rivals_98)" TargetMode="External"/><Relationship Id="rId3" Type="http://schemas.openxmlformats.org/officeDocument/2006/relationships/hyperlink" Target="https://bulbapedia.bulbagarden.net/wiki/Darkrai_G_(Rising_Rivals_3)" TargetMode="External"/><Relationship Id="rId25" Type="http://schemas.openxmlformats.org/officeDocument/2006/relationships/hyperlink" Target="https://bulbapedia.bulbagarden.net/wiki/Hippowdon_(Rising_Rivals_25)" TargetMode="External"/><Relationship Id="rId46" Type="http://schemas.openxmlformats.org/officeDocument/2006/relationships/hyperlink" Target="https://bulbapedia.bulbagarden.net/wiki/Machamp_GL_(Rising_Rivals_46)" TargetMode="External"/><Relationship Id="rId67" Type="http://schemas.openxmlformats.org/officeDocument/2006/relationships/hyperlink" Target="https://bulbapedia.bulbagarden.net/wiki/Kecleon_(Rising_Rivals_67)" TargetMode="External"/><Relationship Id="rId116" Type="http://schemas.openxmlformats.org/officeDocument/2006/relationships/hyperlink" Target="https://bulbapedia.bulbagarden.net/wiki/Frost_Rotom_(Rising_Rivals_RT2)" TargetMode="External"/><Relationship Id="rId20" Type="http://schemas.openxmlformats.org/officeDocument/2006/relationships/hyperlink" Target="https://bulbapedia.bulbagarden.net/wiki/Gallade_4_(Rising_Rivals_20)" TargetMode="External"/><Relationship Id="rId41" Type="http://schemas.openxmlformats.org/officeDocument/2006/relationships/hyperlink" Target="https://bulbapedia.bulbagarden.net/wiki/Glaceon_(Rising_Rivals_41)" TargetMode="External"/><Relationship Id="rId62" Type="http://schemas.openxmlformats.org/officeDocument/2006/relationships/hyperlink" Target="https://bulbapedia.bulbagarden.net/wiki/Gliscor_4_(Rising_Rivals_62)" TargetMode="External"/><Relationship Id="rId83" Type="http://schemas.openxmlformats.org/officeDocument/2006/relationships/hyperlink" Target="https://bulbapedia.bulbagarden.net/wiki/Staryu_(Rising_Rivals_83)" TargetMode="External"/><Relationship Id="rId88" Type="http://schemas.openxmlformats.org/officeDocument/2006/relationships/hyperlink" Target="https://bulbapedia.bulbagarden.net/wiki/Aaron%27s_Collection_(Rising_Rivals_88)" TargetMode="External"/><Relationship Id="rId111" Type="http://schemas.openxmlformats.org/officeDocument/2006/relationships/hyperlink" Target="https://bulbapedia.bulbagarden.net/wiki/Snorlax_LV.X_(Rising_Rivals_111)" TargetMode="External"/><Relationship Id="rId15" Type="http://schemas.openxmlformats.org/officeDocument/2006/relationships/hyperlink" Target="https://bulbapedia.bulbagarden.net/wiki/Beedrill_(Rising_Rivals_15)" TargetMode="External"/><Relationship Id="rId36" Type="http://schemas.openxmlformats.org/officeDocument/2006/relationships/hyperlink" Target="https://bulbapedia.bulbagarden.net/wiki/Walrein_(Rising_Rivals_36)" TargetMode="External"/><Relationship Id="rId57" Type="http://schemas.openxmlformats.org/officeDocument/2006/relationships/hyperlink" Target="https://bulbapedia.bulbagarden.net/wiki/Aron_(Rising_Rivals_57)" TargetMode="External"/><Relationship Id="rId106" Type="http://schemas.openxmlformats.org/officeDocument/2006/relationships/hyperlink" Target="https://bulbapedia.bulbagarden.net/wiki/Gallade_4_LV.X_(Rising_Rivals_106)" TargetMode="External"/></Relationships>
</file>

<file path=xl/worksheets/_rels/sheet34.xml.rels><?xml version="1.0" encoding="UTF-8" standalone="yes"?>
<Relationships xmlns="http://schemas.openxmlformats.org/package/2006/relationships"><Relationship Id="rId26" Type="http://schemas.openxmlformats.org/officeDocument/2006/relationships/hyperlink" Target="https://bulbapedia.bulbagarden.net/wiki/Porygon-Z_G_(Arceus_26)" TargetMode="External"/><Relationship Id="rId21" Type="http://schemas.openxmlformats.org/officeDocument/2006/relationships/hyperlink" Target="https://bulbapedia.bulbagarden.net/wiki/Lopunny_(Arceus_21)" TargetMode="External"/><Relationship Id="rId42" Type="http://schemas.openxmlformats.org/officeDocument/2006/relationships/hyperlink" Target="https://bulbapedia.bulbagarden.net/wiki/Haunter_(Arceus_42)" TargetMode="External"/><Relationship Id="rId47" Type="http://schemas.openxmlformats.org/officeDocument/2006/relationships/hyperlink" Target="https://bulbapedia.bulbagarden.net/wiki/Rapidash_(Arceus_47)" TargetMode="External"/><Relationship Id="rId63" Type="http://schemas.openxmlformats.org/officeDocument/2006/relationships/hyperlink" Target="https://bulbapedia.bulbagarden.net/wiki/Electrike_(Arceus_63)" TargetMode="External"/><Relationship Id="rId68" Type="http://schemas.openxmlformats.org/officeDocument/2006/relationships/hyperlink" Target="https://bulbapedia.bulbagarden.net/wiki/Makuhita_(Arceus_68)" TargetMode="External"/><Relationship Id="rId84" Type="http://schemas.openxmlformats.org/officeDocument/2006/relationships/hyperlink" Target="https://bulbapedia.bulbagarden.net/wiki/Buffer_Piece_(Arceus_84)" TargetMode="External"/><Relationship Id="rId89" Type="http://schemas.openxmlformats.org/officeDocument/2006/relationships/hyperlink" Target="https://bulbapedia.bulbagarden.net/wiki/Old_Amber_(Arceus_89)" TargetMode="External"/><Relationship Id="rId16" Type="http://schemas.openxmlformats.org/officeDocument/2006/relationships/hyperlink" Target="https://bulbapedia.bulbagarden.net/wiki/Gengar_(Arceus_16)" TargetMode="External"/><Relationship Id="rId107" Type="http://schemas.openxmlformats.org/officeDocument/2006/relationships/hyperlink" Target="https://bulbapedia.bulbagarden.net/wiki/Arceus_(Arceus_AR5)" TargetMode="External"/><Relationship Id="rId11" Type="http://schemas.openxmlformats.org/officeDocument/2006/relationships/hyperlink" Target="https://bulbapedia.bulbagarden.net/wiki/Toxicroak_(Arceus_11)" TargetMode="External"/><Relationship Id="rId32" Type="http://schemas.openxmlformats.org/officeDocument/2006/relationships/hyperlink" Target="https://bulbapedia.bulbagarden.net/wiki/Spiritomb_(Arceus_32)" TargetMode="External"/><Relationship Id="rId37" Type="http://schemas.openxmlformats.org/officeDocument/2006/relationships/hyperlink" Target="https://bulbapedia.bulbagarden.net/wiki/Graveler_(Arceus_37)" TargetMode="External"/><Relationship Id="rId53" Type="http://schemas.openxmlformats.org/officeDocument/2006/relationships/hyperlink" Target="https://bulbapedia.bulbagarden.net/wiki/Beedrill_G_(Arceus_53)" TargetMode="External"/><Relationship Id="rId58" Type="http://schemas.openxmlformats.org/officeDocument/2006/relationships/hyperlink" Target="https://bulbapedia.bulbagarden.net/wiki/Burmy_(Arceus_58)" TargetMode="External"/><Relationship Id="rId74" Type="http://schemas.openxmlformats.org/officeDocument/2006/relationships/hyperlink" Target="https://bulbapedia.bulbagarden.net/wiki/Shinx_(Arceus_74)" TargetMode="External"/><Relationship Id="rId79" Type="http://schemas.openxmlformats.org/officeDocument/2006/relationships/hyperlink" Target="https://bulbapedia.bulbagarden.net/wiki/Treecko_(Arceus_79)" TargetMode="External"/><Relationship Id="rId102" Type="http://schemas.openxmlformats.org/officeDocument/2006/relationships/hyperlink" Target="https://bulbapedia.bulbagarden.net/wiki/Shinx_(Arceus_SH12)" TargetMode="External"/><Relationship Id="rId5" Type="http://schemas.openxmlformats.org/officeDocument/2006/relationships/hyperlink" Target="https://bulbapedia.bulbagarden.net/wiki/Luxray_(Arceus_5)" TargetMode="External"/><Relationship Id="rId90" Type="http://schemas.openxmlformats.org/officeDocument/2006/relationships/hyperlink" Target="https://bulbapedia.bulbagarden.net/wiki/Professor_Oak%27s_Visit_(Arceus_90)" TargetMode="External"/><Relationship Id="rId95" Type="http://schemas.openxmlformats.org/officeDocument/2006/relationships/hyperlink" Target="https://bulbapedia.bulbagarden.net/wiki/Arceus_LV.X_(Arceus_95)" TargetMode="External"/><Relationship Id="rId22" Type="http://schemas.openxmlformats.org/officeDocument/2006/relationships/hyperlink" Target="https://bulbapedia.bulbagarden.net/wiki/Manectric_(Arceus_22)" TargetMode="External"/><Relationship Id="rId27" Type="http://schemas.openxmlformats.org/officeDocument/2006/relationships/hyperlink" Target="https://bulbapedia.bulbagarden.net/wiki/Raichu_(Arceus_27)" TargetMode="External"/><Relationship Id="rId43" Type="http://schemas.openxmlformats.org/officeDocument/2006/relationships/hyperlink" Target="https://bulbapedia.bulbagarden.net/wiki/Luxio_(Arceus_43)" TargetMode="External"/><Relationship Id="rId48" Type="http://schemas.openxmlformats.org/officeDocument/2006/relationships/hyperlink" Target="https://bulbapedia.bulbagarden.net/wiki/Shelgon_(Arceus_48)" TargetMode="External"/><Relationship Id="rId64" Type="http://schemas.openxmlformats.org/officeDocument/2006/relationships/hyperlink" Target="https://bulbapedia.bulbagarden.net/wiki/Gastly_(Arceus_64)" TargetMode="External"/><Relationship Id="rId69" Type="http://schemas.openxmlformats.org/officeDocument/2006/relationships/hyperlink" Target="https://bulbapedia.bulbagarden.net/wiki/Nosepass_(Arceus_69)" TargetMode="External"/><Relationship Id="rId80" Type="http://schemas.openxmlformats.org/officeDocument/2006/relationships/hyperlink" Target="https://bulbapedia.bulbagarden.net/wiki/Wingull_(Arceus_80)" TargetMode="External"/><Relationship Id="rId85" Type="http://schemas.openxmlformats.org/officeDocument/2006/relationships/hyperlink" Target="https://bulbapedia.bulbagarden.net/wiki/Department_Store_Girl_(Arceus_85)" TargetMode="External"/><Relationship Id="rId12" Type="http://schemas.openxmlformats.org/officeDocument/2006/relationships/hyperlink" Target="https://bulbapedia.bulbagarden.net/wiki/Zapdos_G_(Arceus_12)" TargetMode="External"/><Relationship Id="rId17" Type="http://schemas.openxmlformats.org/officeDocument/2006/relationships/hyperlink" Target="https://bulbapedia.bulbagarden.net/wiki/Gengar_(Arceus_17)" TargetMode="External"/><Relationship Id="rId33" Type="http://schemas.openxmlformats.org/officeDocument/2006/relationships/hyperlink" Target="https://bulbapedia.bulbagarden.net/wiki/Bronzong_(Arceus_33)" TargetMode="External"/><Relationship Id="rId38" Type="http://schemas.openxmlformats.org/officeDocument/2006/relationships/hyperlink" Target="https://bulbapedia.bulbagarden.net/wiki/Grovyle_(Arceus_38)" TargetMode="External"/><Relationship Id="rId59" Type="http://schemas.openxmlformats.org/officeDocument/2006/relationships/hyperlink" Target="https://bulbapedia.bulbagarden.net/wiki/Charmander_(Arceus_59)" TargetMode="External"/><Relationship Id="rId103" Type="http://schemas.openxmlformats.org/officeDocument/2006/relationships/hyperlink" Target="https://bulbapedia.bulbagarden.net/wiki/Arceus_(Arceus_AR1)" TargetMode="External"/><Relationship Id="rId108" Type="http://schemas.openxmlformats.org/officeDocument/2006/relationships/hyperlink" Target="https://bulbapedia.bulbagarden.net/wiki/Arceus_(Arceus_AR6)" TargetMode="External"/><Relationship Id="rId54" Type="http://schemas.openxmlformats.org/officeDocument/2006/relationships/hyperlink" Target="https://bulbapedia.bulbagarden.net/wiki/Bronzor_(Arceus_54)" TargetMode="External"/><Relationship Id="rId70" Type="http://schemas.openxmlformats.org/officeDocument/2006/relationships/hyperlink" Target="https://bulbapedia.bulbagarden.net/wiki/Omanyte_(Arceus_70)" TargetMode="External"/><Relationship Id="rId75" Type="http://schemas.openxmlformats.org/officeDocument/2006/relationships/hyperlink" Target="https://bulbapedia.bulbagarden.net/wiki/Snorunt_(Arceus_75)" TargetMode="External"/><Relationship Id="rId91" Type="http://schemas.openxmlformats.org/officeDocument/2006/relationships/hyperlink" Target="https://bulbapedia.bulbagarden.net/wiki/Ultimate_Zone_(Arceus_91)" TargetMode="External"/><Relationship Id="rId96" Type="http://schemas.openxmlformats.org/officeDocument/2006/relationships/hyperlink" Target="https://bulbapedia.bulbagarden.net/wiki/Arceus_LV.X_(Arceus_96)" TargetMode="External"/><Relationship Id="rId1" Type="http://schemas.openxmlformats.org/officeDocument/2006/relationships/hyperlink" Target="https://bulbapedia.bulbagarden.net/wiki/Charizard_(Arceus_1)" TargetMode="External"/><Relationship Id="rId6" Type="http://schemas.openxmlformats.org/officeDocument/2006/relationships/hyperlink" Target="https://bulbapedia.bulbagarden.net/wiki/Mothim_(Arceus_6)" TargetMode="External"/><Relationship Id="rId15" Type="http://schemas.openxmlformats.org/officeDocument/2006/relationships/hyperlink" Target="https://bulbapedia.bulbagarden.net/wiki/Cherrim_(Arceus_15)" TargetMode="External"/><Relationship Id="rId23" Type="http://schemas.openxmlformats.org/officeDocument/2006/relationships/hyperlink" Target="https://bulbapedia.bulbagarden.net/wiki/Omastar_(Arceus_23)" TargetMode="External"/><Relationship Id="rId28" Type="http://schemas.openxmlformats.org/officeDocument/2006/relationships/hyperlink" Target="https://bulbapedia.bulbagarden.net/wiki/Rapidash_(Arceus_28)" TargetMode="External"/><Relationship Id="rId36" Type="http://schemas.openxmlformats.org/officeDocument/2006/relationships/hyperlink" Target="https://bulbapedia.bulbagarden.net/wiki/Gastly_(Arceus_36)" TargetMode="External"/><Relationship Id="rId49" Type="http://schemas.openxmlformats.org/officeDocument/2006/relationships/hyperlink" Target="https://bulbapedia.bulbagarden.net/wiki/Wormadam_(Arceus_49)" TargetMode="External"/><Relationship Id="rId57" Type="http://schemas.openxmlformats.org/officeDocument/2006/relationships/hyperlink" Target="https://bulbapedia.bulbagarden.net/wiki/Burmy_(Arceus_57)" TargetMode="External"/><Relationship Id="rId106" Type="http://schemas.openxmlformats.org/officeDocument/2006/relationships/hyperlink" Target="https://bulbapedia.bulbagarden.net/wiki/Arceus_(Arceus_AR4)" TargetMode="External"/><Relationship Id="rId10" Type="http://schemas.openxmlformats.org/officeDocument/2006/relationships/hyperlink" Target="https://bulbapedia.bulbagarden.net/wiki/Tangrowth_(Arceus_10)" TargetMode="External"/><Relationship Id="rId31" Type="http://schemas.openxmlformats.org/officeDocument/2006/relationships/hyperlink" Target="https://bulbapedia.bulbagarden.net/wiki/Sceptile_(Arceus_31)" TargetMode="External"/><Relationship Id="rId44" Type="http://schemas.openxmlformats.org/officeDocument/2006/relationships/hyperlink" Target="https://bulbapedia.bulbagarden.net/wiki/Manectric_(Arceus_44)" TargetMode="External"/><Relationship Id="rId52" Type="http://schemas.openxmlformats.org/officeDocument/2006/relationships/hyperlink" Target="https://bulbapedia.bulbagarden.net/wiki/Bagon_(Arceus_52)" TargetMode="External"/><Relationship Id="rId60" Type="http://schemas.openxmlformats.org/officeDocument/2006/relationships/hyperlink" Target="https://bulbapedia.bulbagarden.net/wiki/Cherubi_(Arceus_60)" TargetMode="External"/><Relationship Id="rId65" Type="http://schemas.openxmlformats.org/officeDocument/2006/relationships/hyperlink" Target="https://bulbapedia.bulbagarden.net/wiki/Geodude_(Arceus_65)" TargetMode="External"/><Relationship Id="rId73" Type="http://schemas.openxmlformats.org/officeDocument/2006/relationships/hyperlink" Target="https://bulbapedia.bulbagarden.net/wiki/Rattata_(Arceus_73)" TargetMode="External"/><Relationship Id="rId78" Type="http://schemas.openxmlformats.org/officeDocument/2006/relationships/hyperlink" Target="https://bulbapedia.bulbagarden.net/wiki/Treecko_(Arceus_78)" TargetMode="External"/><Relationship Id="rId81" Type="http://schemas.openxmlformats.org/officeDocument/2006/relationships/hyperlink" Target="https://bulbapedia.bulbagarden.net/wiki/Wingull_(Arceus_81)" TargetMode="External"/><Relationship Id="rId86" Type="http://schemas.openxmlformats.org/officeDocument/2006/relationships/hyperlink" Target="https://bulbapedia.bulbagarden.net/wiki/Energy_Restore_(Arceus_86)" TargetMode="External"/><Relationship Id="rId94" Type="http://schemas.openxmlformats.org/officeDocument/2006/relationships/hyperlink" Target="https://bulbapedia.bulbagarden.net/wiki/Arceus_LV.X_(Arceus_94)" TargetMode="External"/><Relationship Id="rId99" Type="http://schemas.openxmlformats.org/officeDocument/2006/relationships/hyperlink" Target="https://bulbapedia.bulbagarden.net/wiki/Tangrowth_LV.X_(Arceus_99)" TargetMode="External"/><Relationship Id="rId101" Type="http://schemas.openxmlformats.org/officeDocument/2006/relationships/hyperlink" Target="https://bulbapedia.bulbagarden.net/wiki/Ponyta_(Arceus_SH11)" TargetMode="External"/><Relationship Id="rId4" Type="http://schemas.openxmlformats.org/officeDocument/2006/relationships/hyperlink" Target="https://bulbapedia.bulbagarden.net/wiki/Kabutops_(Arceus_4)" TargetMode="External"/><Relationship Id="rId9" Type="http://schemas.openxmlformats.org/officeDocument/2006/relationships/hyperlink" Target="https://bulbapedia.bulbagarden.net/wiki/Swalot_(Arceus_9)" TargetMode="External"/><Relationship Id="rId13" Type="http://schemas.openxmlformats.org/officeDocument/2006/relationships/hyperlink" Target="https://bulbapedia.bulbagarden.net/wiki/Aerodactyl_(Arceus_13)" TargetMode="External"/><Relationship Id="rId18" Type="http://schemas.openxmlformats.org/officeDocument/2006/relationships/hyperlink" Target="https://bulbapedia.bulbagarden.net/wiki/Glalie_(Arceus_18)" TargetMode="External"/><Relationship Id="rId39" Type="http://schemas.openxmlformats.org/officeDocument/2006/relationships/hyperlink" Target="https://bulbapedia.bulbagarden.net/wiki/Grovyle_(Arceus_39)" TargetMode="External"/><Relationship Id="rId109" Type="http://schemas.openxmlformats.org/officeDocument/2006/relationships/hyperlink" Target="https://bulbapedia.bulbagarden.net/wiki/Arceus_(Arceus_AR7)" TargetMode="External"/><Relationship Id="rId34" Type="http://schemas.openxmlformats.org/officeDocument/2006/relationships/hyperlink" Target="https://bulbapedia.bulbagarden.net/wiki/Bronzor_(Arceus_34)" TargetMode="External"/><Relationship Id="rId50" Type="http://schemas.openxmlformats.org/officeDocument/2006/relationships/hyperlink" Target="https://bulbapedia.bulbagarden.net/wiki/Wormadam_(Arceus_50)" TargetMode="External"/><Relationship Id="rId55" Type="http://schemas.openxmlformats.org/officeDocument/2006/relationships/hyperlink" Target="https://bulbapedia.bulbagarden.net/wiki/Buneary_(Arceus_55)" TargetMode="External"/><Relationship Id="rId76" Type="http://schemas.openxmlformats.org/officeDocument/2006/relationships/hyperlink" Target="https://bulbapedia.bulbagarden.net/wiki/Tangela_(Arceus_76)" TargetMode="External"/><Relationship Id="rId97" Type="http://schemas.openxmlformats.org/officeDocument/2006/relationships/hyperlink" Target="https://bulbapedia.bulbagarden.net/wiki/Gengar_LV.X_(Arceus_97)" TargetMode="External"/><Relationship Id="rId104" Type="http://schemas.openxmlformats.org/officeDocument/2006/relationships/hyperlink" Target="https://bulbapedia.bulbagarden.net/wiki/Arceus_(Arceus_AR2)" TargetMode="External"/><Relationship Id="rId7" Type="http://schemas.openxmlformats.org/officeDocument/2006/relationships/hyperlink" Target="https://bulbapedia.bulbagarden.net/wiki/Probopass_(Arceus_7)" TargetMode="External"/><Relationship Id="rId71" Type="http://schemas.openxmlformats.org/officeDocument/2006/relationships/hyperlink" Target="https://bulbapedia.bulbagarden.net/wiki/Pikachu_(Arceus_71)" TargetMode="External"/><Relationship Id="rId92" Type="http://schemas.openxmlformats.org/officeDocument/2006/relationships/hyperlink" Target="https://bulbapedia.bulbagarden.net/wiki/Dome_Fossil_(Arceus_92)" TargetMode="External"/><Relationship Id="rId2" Type="http://schemas.openxmlformats.org/officeDocument/2006/relationships/hyperlink" Target="https://bulbapedia.bulbagarden.net/wiki/Froslass_(Arceus_2)" TargetMode="External"/><Relationship Id="rId29" Type="http://schemas.openxmlformats.org/officeDocument/2006/relationships/hyperlink" Target="https://bulbapedia.bulbagarden.net/wiki/Raticate_(Arceus_29)" TargetMode="External"/><Relationship Id="rId24" Type="http://schemas.openxmlformats.org/officeDocument/2006/relationships/hyperlink" Target="https://bulbapedia.bulbagarden.net/wiki/Pelipper_(Arceus_24)" TargetMode="External"/><Relationship Id="rId40" Type="http://schemas.openxmlformats.org/officeDocument/2006/relationships/hyperlink" Target="https://bulbapedia.bulbagarden.net/wiki/Gulpin_(Arceus_40)" TargetMode="External"/><Relationship Id="rId45" Type="http://schemas.openxmlformats.org/officeDocument/2006/relationships/hyperlink" Target="https://bulbapedia.bulbagarden.net/wiki/Pelipper_(Arceus_45)" TargetMode="External"/><Relationship Id="rId66" Type="http://schemas.openxmlformats.org/officeDocument/2006/relationships/hyperlink" Target="https://bulbapedia.bulbagarden.net/wiki/Gulpin_(Arceus_66)" TargetMode="External"/><Relationship Id="rId87" Type="http://schemas.openxmlformats.org/officeDocument/2006/relationships/hyperlink" Target="https://bulbapedia.bulbagarden.net/wiki/Expert_Belt_(Arceus_87)" TargetMode="External"/><Relationship Id="rId110" Type="http://schemas.openxmlformats.org/officeDocument/2006/relationships/hyperlink" Target="https://bulbapedia.bulbagarden.net/wiki/Arceus_(Arceus_AR8)" TargetMode="External"/><Relationship Id="rId61" Type="http://schemas.openxmlformats.org/officeDocument/2006/relationships/hyperlink" Target="https://bulbapedia.bulbagarden.net/wiki/Croagunk_(Arceus_61)" TargetMode="External"/><Relationship Id="rId82" Type="http://schemas.openxmlformats.org/officeDocument/2006/relationships/hyperlink" Target="https://bulbapedia.bulbagarden.net/wiki/Beginning_Door_(Arceus_82)" TargetMode="External"/><Relationship Id="rId19" Type="http://schemas.openxmlformats.org/officeDocument/2006/relationships/hyperlink" Target="https://bulbapedia.bulbagarden.net/wiki/Golem_(Arceus_19)" TargetMode="External"/><Relationship Id="rId14" Type="http://schemas.openxmlformats.org/officeDocument/2006/relationships/hyperlink" Target="https://bulbapedia.bulbagarden.net/wiki/Bronzong_(Arceus_14)" TargetMode="External"/><Relationship Id="rId30" Type="http://schemas.openxmlformats.org/officeDocument/2006/relationships/hyperlink" Target="https://bulbapedia.bulbagarden.net/wiki/Sceptile_(Arceus_30)" TargetMode="External"/><Relationship Id="rId35" Type="http://schemas.openxmlformats.org/officeDocument/2006/relationships/hyperlink" Target="https://bulbapedia.bulbagarden.net/wiki/Charmeleon_(Arceus_35)" TargetMode="External"/><Relationship Id="rId56" Type="http://schemas.openxmlformats.org/officeDocument/2006/relationships/hyperlink" Target="https://bulbapedia.bulbagarden.net/wiki/Burmy_(Arceus_56)" TargetMode="External"/><Relationship Id="rId77" Type="http://schemas.openxmlformats.org/officeDocument/2006/relationships/hyperlink" Target="https://bulbapedia.bulbagarden.net/wiki/Tangela_(Arceus_77)" TargetMode="External"/><Relationship Id="rId100" Type="http://schemas.openxmlformats.org/officeDocument/2006/relationships/hyperlink" Target="https://bulbapedia.bulbagarden.net/wiki/Bagon_(Arceus_SH10)" TargetMode="External"/><Relationship Id="rId105" Type="http://schemas.openxmlformats.org/officeDocument/2006/relationships/hyperlink" Target="https://bulbapedia.bulbagarden.net/wiki/Arceus_(Arceus_AR3)" TargetMode="External"/><Relationship Id="rId8" Type="http://schemas.openxmlformats.org/officeDocument/2006/relationships/hyperlink" Target="https://bulbapedia.bulbagarden.net/wiki/Salamence_(Arceus_8)" TargetMode="External"/><Relationship Id="rId51" Type="http://schemas.openxmlformats.org/officeDocument/2006/relationships/hyperlink" Target="https://bulbapedia.bulbagarden.net/wiki/Wormadam_(Arceus_51)" TargetMode="External"/><Relationship Id="rId72" Type="http://schemas.openxmlformats.org/officeDocument/2006/relationships/hyperlink" Target="https://bulbapedia.bulbagarden.net/wiki/Ponyta_(Arceus_72)" TargetMode="External"/><Relationship Id="rId93" Type="http://schemas.openxmlformats.org/officeDocument/2006/relationships/hyperlink" Target="https://bulbapedia.bulbagarden.net/wiki/Helix_Fossil_(Arceus_93)" TargetMode="External"/><Relationship Id="rId98" Type="http://schemas.openxmlformats.org/officeDocument/2006/relationships/hyperlink" Target="https://bulbapedia.bulbagarden.net/wiki/Salamence_LV.X_(Arceus_98)" TargetMode="External"/><Relationship Id="rId3" Type="http://schemas.openxmlformats.org/officeDocument/2006/relationships/hyperlink" Target="https://bulbapedia.bulbagarden.net/wiki/Heatran_(Arceus_3)" TargetMode="External"/><Relationship Id="rId25" Type="http://schemas.openxmlformats.org/officeDocument/2006/relationships/hyperlink" Target="https://bulbapedia.bulbagarden.net/wiki/Pichu_(Arceus_25)" TargetMode="External"/><Relationship Id="rId46" Type="http://schemas.openxmlformats.org/officeDocument/2006/relationships/hyperlink" Target="https://bulbapedia.bulbagarden.net/wiki/Ponyta_(Arceus_46)" TargetMode="External"/><Relationship Id="rId67" Type="http://schemas.openxmlformats.org/officeDocument/2006/relationships/hyperlink" Target="https://bulbapedia.bulbagarden.net/wiki/Kabuto_(Arceus_67)" TargetMode="External"/><Relationship Id="rId20" Type="http://schemas.openxmlformats.org/officeDocument/2006/relationships/hyperlink" Target="https://bulbapedia.bulbagarden.net/wiki/Hariyama_(Arceus_20)" TargetMode="External"/><Relationship Id="rId41" Type="http://schemas.openxmlformats.org/officeDocument/2006/relationships/hyperlink" Target="https://bulbapedia.bulbagarden.net/wiki/Haunter_(Arceus_41)" TargetMode="External"/><Relationship Id="rId62" Type="http://schemas.openxmlformats.org/officeDocument/2006/relationships/hyperlink" Target="https://bulbapedia.bulbagarden.net/wiki/Electrike_(Arceus_62)" TargetMode="External"/><Relationship Id="rId83" Type="http://schemas.openxmlformats.org/officeDocument/2006/relationships/hyperlink" Target="https://bulbapedia.bulbagarden.net/wiki/Bench_Shield_(Arceus_83)" TargetMode="External"/><Relationship Id="rId88" Type="http://schemas.openxmlformats.org/officeDocument/2006/relationships/hyperlink" Target="https://bulbapedia.bulbagarden.net/wiki/Lucky_Egg_(Arceus_88)" TargetMode="External"/><Relationship Id="rId111" Type="http://schemas.openxmlformats.org/officeDocument/2006/relationships/hyperlink" Target="https://bulbapedia.bulbagarden.net/wiki/Arceus_(Arceus_AR9)" TargetMode="External"/></Relationships>
</file>

<file path=xl/worksheets/_rels/sheet35.xml.rels><?xml version="1.0" encoding="UTF-8" standalone="yes"?>
<Relationships xmlns="http://schemas.openxmlformats.org/package/2006/relationships"><Relationship Id="rId26" Type="http://schemas.openxmlformats.org/officeDocument/2006/relationships/hyperlink" Target="https://bulbapedia.bulbagarden.net/wiki/Tyranitar_(Unleashed_26)" TargetMode="External"/><Relationship Id="rId21" Type="http://schemas.openxmlformats.org/officeDocument/2006/relationships/hyperlink" Target="https://bulbapedia.bulbagarden.net/wiki/Poliwrath_(Unleashed_21)" TargetMode="External"/><Relationship Id="rId42" Type="http://schemas.openxmlformats.org/officeDocument/2006/relationships/hyperlink" Target="https://bulbapedia.bulbagarden.net/wiki/Wartortle_(Unleashed_42)" TargetMode="External"/><Relationship Id="rId47" Type="http://schemas.openxmlformats.org/officeDocument/2006/relationships/hyperlink" Target="https://bulbapedia.bulbagarden.net/wiki/Cherubi_(Unleashed_47)" TargetMode="External"/><Relationship Id="rId63" Type="http://schemas.openxmlformats.org/officeDocument/2006/relationships/hyperlink" Target="https://bulbapedia.bulbagarden.net/wiki/Squirtle_(Unleashed_63)" TargetMode="External"/><Relationship Id="rId68" Type="http://schemas.openxmlformats.org/officeDocument/2006/relationships/hyperlink" Target="https://bulbapedia.bulbagarden.net/wiki/Vulpix_(Unleashed_68)" TargetMode="External"/><Relationship Id="rId84" Type="http://schemas.openxmlformats.org/officeDocument/2006/relationships/hyperlink" Target="https://bulbapedia.bulbagarden.net/wiki/Crobat_(Unleashed_84)" TargetMode="External"/><Relationship Id="rId89" Type="http://schemas.openxmlformats.org/officeDocument/2006/relationships/hyperlink" Target="https://bulbapedia.bulbagarden.net/wiki/Ursaring_(Unleashed_89)" TargetMode="External"/><Relationship Id="rId16" Type="http://schemas.openxmlformats.org/officeDocument/2006/relationships/hyperlink" Target="https://bulbapedia.bulbagarden.net/wiki/Floatzel_(Unleashed_16)" TargetMode="External"/><Relationship Id="rId11" Type="http://schemas.openxmlformats.org/officeDocument/2006/relationships/hyperlink" Target="https://bulbapedia.bulbagarden.net/wiki/Xatu_(Unleashed_11)" TargetMode="External"/><Relationship Id="rId32" Type="http://schemas.openxmlformats.org/officeDocument/2006/relationships/hyperlink" Target="https://bulbapedia.bulbagarden.net/wiki/Kakuna_(Unleashed_32)" TargetMode="External"/><Relationship Id="rId37" Type="http://schemas.openxmlformats.org/officeDocument/2006/relationships/hyperlink" Target="https://bulbapedia.bulbagarden.net/wiki/Poliwhirl_(Unleashed_37)" TargetMode="External"/><Relationship Id="rId53" Type="http://schemas.openxmlformats.org/officeDocument/2006/relationships/hyperlink" Target="https://bulbapedia.bulbagarden.net/wiki/Mankey_(Unleashed_53)" TargetMode="External"/><Relationship Id="rId58" Type="http://schemas.openxmlformats.org/officeDocument/2006/relationships/hyperlink" Target="https://bulbapedia.bulbagarden.net/wiki/Poliwag_(Unleashed_58)" TargetMode="External"/><Relationship Id="rId74" Type="http://schemas.openxmlformats.org/officeDocument/2006/relationships/hyperlink" Target="https://bulbapedia.bulbagarden.net/wiki/Energy_Returner_(Unleashed_74)" TargetMode="External"/><Relationship Id="rId79" Type="http://schemas.openxmlformats.org/officeDocument/2006/relationships/hyperlink" Target="https://bulbapedia.bulbagarden.net/wiki/Life_Herb_(Unleashed_79)" TargetMode="External"/><Relationship Id="rId5" Type="http://schemas.openxmlformats.org/officeDocument/2006/relationships/hyperlink" Target="https://bulbapedia.bulbagarden.net/wiki/Mismagius_(Unleashed_5)" TargetMode="External"/><Relationship Id="rId90" Type="http://schemas.openxmlformats.org/officeDocument/2006/relationships/hyperlink" Target="https://bulbapedia.bulbagarden.net/wiki/Entei_%26_Raikou_LEGEND_(Unleashed_90)" TargetMode="External"/><Relationship Id="rId95" Type="http://schemas.openxmlformats.org/officeDocument/2006/relationships/hyperlink" Target="https://bulbapedia.bulbagarden.net/wiki/Suicune_%26_Entei_LEGEND_(Unleashed_95)" TargetMode="External"/><Relationship Id="rId22" Type="http://schemas.openxmlformats.org/officeDocument/2006/relationships/hyperlink" Target="https://bulbapedia.bulbagarden.net/wiki/Primeape_(Unleashed_22)" TargetMode="External"/><Relationship Id="rId27" Type="http://schemas.openxmlformats.org/officeDocument/2006/relationships/hyperlink" Target="https://bulbapedia.bulbagarden.net/wiki/Ursaring_(Unleashed_27)" TargetMode="External"/><Relationship Id="rId43" Type="http://schemas.openxmlformats.org/officeDocument/2006/relationships/hyperlink" Target="https://bulbapedia.bulbagarden.net/wiki/Aipom_(Unleashed_43)" TargetMode="External"/><Relationship Id="rId48" Type="http://schemas.openxmlformats.org/officeDocument/2006/relationships/hyperlink" Target="https://bulbapedia.bulbagarden.net/wiki/Chinchou_(Unleashed_48)" TargetMode="External"/><Relationship Id="rId64" Type="http://schemas.openxmlformats.org/officeDocument/2006/relationships/hyperlink" Target="https://bulbapedia.bulbagarden.net/wiki/Stantler_(Unleashed_64)" TargetMode="External"/><Relationship Id="rId69" Type="http://schemas.openxmlformats.org/officeDocument/2006/relationships/hyperlink" Target="https://bulbapedia.bulbagarden.net/wiki/Weedle_(Unleashed_69)" TargetMode="External"/><Relationship Id="rId8" Type="http://schemas.openxmlformats.org/officeDocument/2006/relationships/hyperlink" Target="https://bulbapedia.bulbagarden.net/wiki/Shaymin_(Unleashed_8)" TargetMode="External"/><Relationship Id="rId51" Type="http://schemas.openxmlformats.org/officeDocument/2006/relationships/hyperlink" Target="https://bulbapedia.bulbagarden.net/wiki/Larvitar_(Unleashed_51)" TargetMode="External"/><Relationship Id="rId72" Type="http://schemas.openxmlformats.org/officeDocument/2006/relationships/hyperlink" Target="https://bulbapedia.bulbagarden.net/wiki/Dual_Ball_(Unleashed_72)" TargetMode="External"/><Relationship Id="rId80" Type="http://schemas.openxmlformats.org/officeDocument/2006/relationships/hyperlink" Target="https://bulbapedia.bulbagarden.net/wiki/PlusPower_(Unleashed_80)" TargetMode="External"/><Relationship Id="rId85" Type="http://schemas.openxmlformats.org/officeDocument/2006/relationships/hyperlink" Target="https://bulbapedia.bulbagarden.net/wiki/Kingdra_(Unleashed_85)" TargetMode="External"/><Relationship Id="rId93" Type="http://schemas.openxmlformats.org/officeDocument/2006/relationships/hyperlink" Target="https://bulbapedia.bulbagarden.net/wiki/Raikou_%26_Suicune_LEGEND_(Unleashed_93)" TargetMode="External"/><Relationship Id="rId3" Type="http://schemas.openxmlformats.org/officeDocument/2006/relationships/hyperlink" Target="https://bulbapedia.bulbagarden.net/wiki/Manaphy_(Unleashed_3)" TargetMode="External"/><Relationship Id="rId12" Type="http://schemas.openxmlformats.org/officeDocument/2006/relationships/hyperlink" Target="https://bulbapedia.bulbagarden.net/wiki/Beedrill_(Unleashed_12)" TargetMode="External"/><Relationship Id="rId17" Type="http://schemas.openxmlformats.org/officeDocument/2006/relationships/hyperlink" Target="https://bulbapedia.bulbagarden.net/wiki/Kingdra_(Unleashed_17)" TargetMode="External"/><Relationship Id="rId25" Type="http://schemas.openxmlformats.org/officeDocument/2006/relationships/hyperlink" Target="https://bulbapedia.bulbagarden.net/wiki/Torkoal_(Unleashed_25)" TargetMode="External"/><Relationship Id="rId33" Type="http://schemas.openxmlformats.org/officeDocument/2006/relationships/hyperlink" Target="https://bulbapedia.bulbagarden.net/wiki/Metang_(Unleashed_33)" TargetMode="External"/><Relationship Id="rId38" Type="http://schemas.openxmlformats.org/officeDocument/2006/relationships/hyperlink" Target="https://bulbapedia.bulbagarden.net/wiki/Pupitar_(Unleashed_38)" TargetMode="External"/><Relationship Id="rId46" Type="http://schemas.openxmlformats.org/officeDocument/2006/relationships/hyperlink" Target="https://bulbapedia.bulbagarden.net/wiki/Carnivine_(Unleashed_46)" TargetMode="External"/><Relationship Id="rId59" Type="http://schemas.openxmlformats.org/officeDocument/2006/relationships/hyperlink" Target="https://bulbapedia.bulbagarden.net/wiki/Remoraid_(Unleashed_59)" TargetMode="External"/><Relationship Id="rId67" Type="http://schemas.openxmlformats.org/officeDocument/2006/relationships/hyperlink" Target="https://bulbapedia.bulbagarden.net/wiki/Turtwig_(Unleashed_67)" TargetMode="External"/><Relationship Id="rId20" Type="http://schemas.openxmlformats.org/officeDocument/2006/relationships/hyperlink" Target="https://bulbapedia.bulbagarden.net/wiki/Ninetales_(Unleashed_20)" TargetMode="External"/><Relationship Id="rId41" Type="http://schemas.openxmlformats.org/officeDocument/2006/relationships/hyperlink" Target="https://bulbapedia.bulbagarden.net/wiki/Tauros_(Unleashed_41)" TargetMode="External"/><Relationship Id="rId54" Type="http://schemas.openxmlformats.org/officeDocument/2006/relationships/hyperlink" Target="https://bulbapedia.bulbagarden.net/wiki/Misdreavus_(Unleashed_54)" TargetMode="External"/><Relationship Id="rId62" Type="http://schemas.openxmlformats.org/officeDocument/2006/relationships/hyperlink" Target="https://bulbapedia.bulbagarden.net/wiki/Spearow_(Unleashed_62)" TargetMode="External"/><Relationship Id="rId70" Type="http://schemas.openxmlformats.org/officeDocument/2006/relationships/hyperlink" Target="https://bulbapedia.bulbagarden.net/wiki/Zubat_(Unleashed_70)" TargetMode="External"/><Relationship Id="rId75" Type="http://schemas.openxmlformats.org/officeDocument/2006/relationships/hyperlink" Target="https://bulbapedia.bulbagarden.net/wiki/Engineer%27s_Adjustments_(Unleashed_75)" TargetMode="External"/><Relationship Id="rId83" Type="http://schemas.openxmlformats.org/officeDocument/2006/relationships/hyperlink" Target="https://bulbapedia.bulbagarden.net/wiki/Super_Scoop_Up_(Unleashed_83)" TargetMode="External"/><Relationship Id="rId88" Type="http://schemas.openxmlformats.org/officeDocument/2006/relationships/hyperlink" Target="https://bulbapedia.bulbagarden.net/wiki/Tyranitar_(Unleashed_88)" TargetMode="External"/><Relationship Id="rId91" Type="http://schemas.openxmlformats.org/officeDocument/2006/relationships/hyperlink" Target="https://bulbapedia.bulbagarden.net/wiki/Entei_%26_Raikou_LEGEND_(Unleashed_91)" TargetMode="External"/><Relationship Id="rId96" Type="http://schemas.openxmlformats.org/officeDocument/2006/relationships/hyperlink" Target="https://bulbapedia.bulbagarden.net/wiki/Alph_Lithograph_(Unleashed_TWO)" TargetMode="External"/><Relationship Id="rId1" Type="http://schemas.openxmlformats.org/officeDocument/2006/relationships/hyperlink" Target="https://bulbapedia.bulbagarden.net/wiki/Jirachi_(Unleashed_1)" TargetMode="External"/><Relationship Id="rId6" Type="http://schemas.openxmlformats.org/officeDocument/2006/relationships/hyperlink" Target="https://bulbapedia.bulbagarden.net/wiki/Octillery_(Unleashed_6)" TargetMode="External"/><Relationship Id="rId15" Type="http://schemas.openxmlformats.org/officeDocument/2006/relationships/hyperlink" Target="https://bulbapedia.bulbagarden.net/wiki/Fearow_(Unleashed_15)" TargetMode="External"/><Relationship Id="rId23" Type="http://schemas.openxmlformats.org/officeDocument/2006/relationships/hyperlink" Target="https://bulbapedia.bulbagarden.net/wiki/Roserade_(Unleashed_23)" TargetMode="External"/><Relationship Id="rId28" Type="http://schemas.openxmlformats.org/officeDocument/2006/relationships/hyperlink" Target="https://bulbapedia.bulbagarden.net/wiki/Cherrim_(Unleashed_28)" TargetMode="External"/><Relationship Id="rId36" Type="http://schemas.openxmlformats.org/officeDocument/2006/relationships/hyperlink" Target="https://bulbapedia.bulbagarden.net/wiki/Plusle_(Unleashed_36)" TargetMode="External"/><Relationship Id="rId49" Type="http://schemas.openxmlformats.org/officeDocument/2006/relationships/hyperlink" Target="https://bulbapedia.bulbagarden.net/wiki/Horsea_(Unleashed_49)" TargetMode="External"/><Relationship Id="rId57" Type="http://schemas.openxmlformats.org/officeDocument/2006/relationships/hyperlink" Target="https://bulbapedia.bulbagarden.net/wiki/Onix_(Unleashed_57)" TargetMode="External"/><Relationship Id="rId10" Type="http://schemas.openxmlformats.org/officeDocument/2006/relationships/hyperlink" Target="https://bulbapedia.bulbagarden.net/wiki/Torterra_(Unleashed_10)" TargetMode="External"/><Relationship Id="rId31" Type="http://schemas.openxmlformats.org/officeDocument/2006/relationships/hyperlink" Target="https://bulbapedia.bulbagarden.net/wiki/Grotle_(Unleashed_31)" TargetMode="External"/><Relationship Id="rId44" Type="http://schemas.openxmlformats.org/officeDocument/2006/relationships/hyperlink" Target="https://bulbapedia.bulbagarden.net/wiki/Beldum_(Unleashed_44)" TargetMode="External"/><Relationship Id="rId52" Type="http://schemas.openxmlformats.org/officeDocument/2006/relationships/hyperlink" Target="https://bulbapedia.bulbagarden.net/wiki/Magmar_(Unleashed_52)" TargetMode="External"/><Relationship Id="rId60" Type="http://schemas.openxmlformats.org/officeDocument/2006/relationships/hyperlink" Target="https://bulbapedia.bulbagarden.net/wiki/Riolu_(Unleashed_60)" TargetMode="External"/><Relationship Id="rId65" Type="http://schemas.openxmlformats.org/officeDocument/2006/relationships/hyperlink" Target="https://bulbapedia.bulbagarden.net/wiki/Teddiursa_(Unleashed_65)" TargetMode="External"/><Relationship Id="rId73" Type="http://schemas.openxmlformats.org/officeDocument/2006/relationships/hyperlink" Target="https://bulbapedia.bulbagarden.net/wiki/Emcee%27s_Chatter_(Unleashed_73)" TargetMode="External"/><Relationship Id="rId78" Type="http://schemas.openxmlformats.org/officeDocument/2006/relationships/hyperlink" Target="https://bulbapedia.bulbagarden.net/wiki/Judge_(Unleashed_78)" TargetMode="External"/><Relationship Id="rId81" Type="http://schemas.openxmlformats.org/officeDocument/2006/relationships/hyperlink" Target="https://bulbapedia.bulbagarden.net/wiki/Pok%C3%A9mon_Circulator_(Unleashed_81)" TargetMode="External"/><Relationship Id="rId86" Type="http://schemas.openxmlformats.org/officeDocument/2006/relationships/hyperlink" Target="https://bulbapedia.bulbagarden.net/wiki/Lanturn_(Unleashed_86)" TargetMode="External"/><Relationship Id="rId94" Type="http://schemas.openxmlformats.org/officeDocument/2006/relationships/hyperlink" Target="https://bulbapedia.bulbagarden.net/wiki/Suicune_%26_Entei_LEGEND_(Unleashed_94)" TargetMode="External"/><Relationship Id="rId4" Type="http://schemas.openxmlformats.org/officeDocument/2006/relationships/hyperlink" Target="https://bulbapedia.bulbagarden.net/wiki/Metagross_(Unleashed_4)" TargetMode="External"/><Relationship Id="rId9" Type="http://schemas.openxmlformats.org/officeDocument/2006/relationships/hyperlink" Target="https://bulbapedia.bulbagarden.net/wiki/Sudowoodo_(Unleashed_9)" TargetMode="External"/><Relationship Id="rId13" Type="http://schemas.openxmlformats.org/officeDocument/2006/relationships/hyperlink" Target="https://bulbapedia.bulbagarden.net/wiki/Blastoise_(Unleashed_13)" TargetMode="External"/><Relationship Id="rId18" Type="http://schemas.openxmlformats.org/officeDocument/2006/relationships/hyperlink" Target="https://bulbapedia.bulbagarden.net/wiki/Lanturn_(Unleashed_18)" TargetMode="External"/><Relationship Id="rId39" Type="http://schemas.openxmlformats.org/officeDocument/2006/relationships/hyperlink" Target="https://bulbapedia.bulbagarden.net/wiki/Pupitar_(Unleashed_39)" TargetMode="External"/><Relationship Id="rId34" Type="http://schemas.openxmlformats.org/officeDocument/2006/relationships/hyperlink" Target="https://bulbapedia.bulbagarden.net/wiki/Minun_(Unleashed_34)" TargetMode="External"/><Relationship Id="rId50" Type="http://schemas.openxmlformats.org/officeDocument/2006/relationships/hyperlink" Target="https://bulbapedia.bulbagarden.net/wiki/Larvitar_(Unleashed_50)" TargetMode="External"/><Relationship Id="rId55" Type="http://schemas.openxmlformats.org/officeDocument/2006/relationships/hyperlink" Target="https://bulbapedia.bulbagarden.net/wiki/Natu_(Unleashed_55)" TargetMode="External"/><Relationship Id="rId76" Type="http://schemas.openxmlformats.org/officeDocument/2006/relationships/hyperlink" Target="https://bulbapedia.bulbagarden.net/wiki/Good_Rod_(Unleashed_76)" TargetMode="External"/><Relationship Id="rId7" Type="http://schemas.openxmlformats.org/officeDocument/2006/relationships/hyperlink" Target="https://bulbapedia.bulbagarden.net/wiki/Politoed_(Unleashed_7)" TargetMode="External"/><Relationship Id="rId71" Type="http://schemas.openxmlformats.org/officeDocument/2006/relationships/hyperlink" Target="https://bulbapedia.bulbagarden.net/wiki/Cheerleader%27s_Cheer_(Unleashed_71)" TargetMode="External"/><Relationship Id="rId92" Type="http://schemas.openxmlformats.org/officeDocument/2006/relationships/hyperlink" Target="https://bulbapedia.bulbagarden.net/wiki/Raikou_%26_Suicune_LEGEND_(Unleashed_92)" TargetMode="External"/><Relationship Id="rId2" Type="http://schemas.openxmlformats.org/officeDocument/2006/relationships/hyperlink" Target="https://bulbapedia.bulbagarden.net/wiki/Magmortar_(Unleashed_2)" TargetMode="External"/><Relationship Id="rId29" Type="http://schemas.openxmlformats.org/officeDocument/2006/relationships/hyperlink" Target="https://bulbapedia.bulbagarden.net/wiki/Dunsparce_(Unleashed_29)" TargetMode="External"/><Relationship Id="rId24" Type="http://schemas.openxmlformats.org/officeDocument/2006/relationships/hyperlink" Target="https://bulbapedia.bulbagarden.net/wiki/Steelix_(Unleashed_24)" TargetMode="External"/><Relationship Id="rId40" Type="http://schemas.openxmlformats.org/officeDocument/2006/relationships/hyperlink" Target="https://bulbapedia.bulbagarden.net/wiki/Seadra_(Unleashed_40)" TargetMode="External"/><Relationship Id="rId45" Type="http://schemas.openxmlformats.org/officeDocument/2006/relationships/hyperlink" Target="https://bulbapedia.bulbagarden.net/wiki/Buizel_(Unleashed_45)" TargetMode="External"/><Relationship Id="rId66" Type="http://schemas.openxmlformats.org/officeDocument/2006/relationships/hyperlink" Target="https://bulbapedia.bulbagarden.net/wiki/Tropius_(Unleashed_66)" TargetMode="External"/><Relationship Id="rId87" Type="http://schemas.openxmlformats.org/officeDocument/2006/relationships/hyperlink" Target="https://bulbapedia.bulbagarden.net/wiki/Steelix_(Unleashed_87)" TargetMode="External"/><Relationship Id="rId61" Type="http://schemas.openxmlformats.org/officeDocument/2006/relationships/hyperlink" Target="https://bulbapedia.bulbagarden.net/wiki/Roselia_(Unleashed_61)" TargetMode="External"/><Relationship Id="rId82" Type="http://schemas.openxmlformats.org/officeDocument/2006/relationships/hyperlink" Target="https://bulbapedia.bulbagarden.net/wiki/Rare_Candy_(Unleashed_82)" TargetMode="External"/><Relationship Id="rId19" Type="http://schemas.openxmlformats.org/officeDocument/2006/relationships/hyperlink" Target="https://bulbapedia.bulbagarden.net/wiki/Lucario_(Unleashed_19)" TargetMode="External"/><Relationship Id="rId14" Type="http://schemas.openxmlformats.org/officeDocument/2006/relationships/hyperlink" Target="https://bulbapedia.bulbagarden.net/wiki/Crobat_(Unleashed_14)" TargetMode="External"/><Relationship Id="rId30" Type="http://schemas.openxmlformats.org/officeDocument/2006/relationships/hyperlink" Target="https://bulbapedia.bulbagarden.net/wiki/Golbat_(Unleashed_30)" TargetMode="External"/><Relationship Id="rId35" Type="http://schemas.openxmlformats.org/officeDocument/2006/relationships/hyperlink" Target="https://bulbapedia.bulbagarden.net/wiki/Numel_(Unleashed_35)" TargetMode="External"/><Relationship Id="rId56" Type="http://schemas.openxmlformats.org/officeDocument/2006/relationships/hyperlink" Target="https://bulbapedia.bulbagarden.net/wiki/Onix_(Unleashed_56)" TargetMode="External"/><Relationship Id="rId77" Type="http://schemas.openxmlformats.org/officeDocument/2006/relationships/hyperlink" Target="https://bulbapedia.bulbagarden.net/wiki/Interviewer%27s_Questions_(Unleashed_77)" TargetMode="External"/></Relationships>
</file>

<file path=xl/worksheets/_rels/sheet36.xml.rels><?xml version="1.0" encoding="UTF-8" standalone="yes"?>
<Relationships xmlns="http://schemas.openxmlformats.org/package/2006/relationships"><Relationship Id="rId26" Type="http://schemas.openxmlformats.org/officeDocument/2006/relationships/hyperlink" Target="https://bulbapedia.bulbagarden.net/wiki/Flareon_(Undaunted_26)" TargetMode="External"/><Relationship Id="rId21" Type="http://schemas.openxmlformats.org/officeDocument/2006/relationships/hyperlink" Target="https://bulbapedia.bulbagarden.net/wiki/Skarmory_(Undaunted_21)" TargetMode="External"/><Relationship Id="rId42" Type="http://schemas.openxmlformats.org/officeDocument/2006/relationships/hyperlink" Target="https://bulbapedia.bulbagarden.net/wiki/Aron_(Undaunted_42)" TargetMode="External"/><Relationship Id="rId47" Type="http://schemas.openxmlformats.org/officeDocument/2006/relationships/hyperlink" Target="https://bulbapedia.bulbagarden.net/wiki/Eevee_(Undaunted_47)" TargetMode="External"/><Relationship Id="rId63" Type="http://schemas.openxmlformats.org/officeDocument/2006/relationships/hyperlink" Target="https://bulbapedia.bulbagarden.net/wiki/Pineco_(Undaunted_63)" TargetMode="External"/><Relationship Id="rId68" Type="http://schemas.openxmlformats.org/officeDocument/2006/relationships/hyperlink" Target="https://bulbapedia.bulbagarden.net/wiki/Sneasel_(Undaunted_68)" TargetMode="External"/><Relationship Id="rId84" Type="http://schemas.openxmlformats.org/officeDocument/2006/relationships/hyperlink" Target="https://bulbapedia.bulbagarden.net/wiki/Scizor_(Undaunted_84)" TargetMode="External"/><Relationship Id="rId89" Type="http://schemas.openxmlformats.org/officeDocument/2006/relationships/hyperlink" Target="https://bulbapedia.bulbagarden.net/wiki/Rayquaza_%26_Deoxys_LEGEND_(Undaunted_89)" TargetMode="External"/><Relationship Id="rId16" Type="http://schemas.openxmlformats.org/officeDocument/2006/relationships/hyperlink" Target="https://bulbapedia.bulbagarden.net/wiki/Honchkrow_(Undaunted_16)" TargetMode="External"/><Relationship Id="rId11" Type="http://schemas.openxmlformats.org/officeDocument/2006/relationships/hyperlink" Target="https://bulbapedia.bulbagarden.net/wiki/Dodrio_(Undaunted_11)" TargetMode="External"/><Relationship Id="rId32" Type="http://schemas.openxmlformats.org/officeDocument/2006/relationships/hyperlink" Target="https://bulbapedia.bulbagarden.net/wiki/Pinsir_(Undaunted_32)" TargetMode="External"/><Relationship Id="rId37" Type="http://schemas.openxmlformats.org/officeDocument/2006/relationships/hyperlink" Target="https://bulbapedia.bulbagarden.net/wiki/Skuntank_(Undaunted_37)" TargetMode="External"/><Relationship Id="rId53" Type="http://schemas.openxmlformats.org/officeDocument/2006/relationships/hyperlink" Target="https://bulbapedia.bulbagarden.net/wiki/Houndour_(Undaunted_53)" TargetMode="External"/><Relationship Id="rId58" Type="http://schemas.openxmlformats.org/officeDocument/2006/relationships/hyperlink" Target="https://bulbapedia.bulbagarden.net/wiki/Murkrow_(Undaunted_58)" TargetMode="External"/><Relationship Id="rId74" Type="http://schemas.openxmlformats.org/officeDocument/2006/relationships/hyperlink" Target="https://bulbapedia.bulbagarden.net/wiki/Flower_Shop_Lady_(Undaunted_74)" TargetMode="External"/><Relationship Id="rId79" Type="http://schemas.openxmlformats.org/officeDocument/2006/relationships/hyperlink" Target="https://bulbapedia.bulbagarden.net/wiki/Darkness_Energy_(Undaunted_79)" TargetMode="External"/><Relationship Id="rId5" Type="http://schemas.openxmlformats.org/officeDocument/2006/relationships/hyperlink" Target="https://bulbapedia.bulbagarden.net/wiki/Houndoom_(Undaunted_5)" TargetMode="External"/><Relationship Id="rId90" Type="http://schemas.openxmlformats.org/officeDocument/2006/relationships/hyperlink" Target="https://bulbapedia.bulbagarden.net/wiki/Rayquaza_%26_Deoxys_LEGEND_(Undaunted_90)" TargetMode="External"/><Relationship Id="rId14" Type="http://schemas.openxmlformats.org/officeDocument/2006/relationships/hyperlink" Target="https://bulbapedia.bulbagarden.net/wiki/Hariyama_(Undaunted_14)" TargetMode="External"/><Relationship Id="rId22" Type="http://schemas.openxmlformats.org/officeDocument/2006/relationships/hyperlink" Target="https://bulbapedia.bulbagarden.net/wiki/Tropius_(Undaunted_22)" TargetMode="External"/><Relationship Id="rId27" Type="http://schemas.openxmlformats.org/officeDocument/2006/relationships/hyperlink" Target="https://bulbapedia.bulbagarden.net/wiki/Gloom_(Undaunted_27)" TargetMode="External"/><Relationship Id="rId30" Type="http://schemas.openxmlformats.org/officeDocument/2006/relationships/hyperlink" Target="https://bulbapedia.bulbagarden.net/wiki/Metang_(Undaunted_30)" TargetMode="External"/><Relationship Id="rId35" Type="http://schemas.openxmlformats.org/officeDocument/2006/relationships/hyperlink" Target="https://bulbapedia.bulbagarden.net/wiki/Sableye_(Undaunted_35)" TargetMode="External"/><Relationship Id="rId43" Type="http://schemas.openxmlformats.org/officeDocument/2006/relationships/hyperlink" Target="https://bulbapedia.bulbagarden.net/wiki/Beldum_(Undaunted_43)" TargetMode="External"/><Relationship Id="rId48" Type="http://schemas.openxmlformats.org/officeDocument/2006/relationships/hyperlink" Target="https://bulbapedia.bulbagarden.net/wiki/Eevee_(Undaunted_48)" TargetMode="External"/><Relationship Id="rId56" Type="http://schemas.openxmlformats.org/officeDocument/2006/relationships/hyperlink" Target="https://bulbapedia.bulbagarden.net/wiki/Mawile_(Undaunted_56)" TargetMode="External"/><Relationship Id="rId64" Type="http://schemas.openxmlformats.org/officeDocument/2006/relationships/hyperlink" Target="https://bulbapedia.bulbagarden.net/wiki/Rattata_(Undaunted_64)" TargetMode="External"/><Relationship Id="rId69" Type="http://schemas.openxmlformats.org/officeDocument/2006/relationships/hyperlink" Target="https://bulbapedia.bulbagarden.net/wiki/Stunky_(Undaunted_69)" TargetMode="External"/><Relationship Id="rId77" Type="http://schemas.openxmlformats.org/officeDocument/2006/relationships/hyperlink" Target="https://bulbapedia.bulbagarden.net/wiki/Sage%27s_Training_(Undaunted_77)" TargetMode="External"/><Relationship Id="rId8" Type="http://schemas.openxmlformats.org/officeDocument/2006/relationships/hyperlink" Target="https://bulbapedia.bulbagarden.net/wiki/Smeargle_(Undaunted_8)" TargetMode="External"/><Relationship Id="rId51" Type="http://schemas.openxmlformats.org/officeDocument/2006/relationships/hyperlink" Target="https://bulbapedia.bulbagarden.net/wiki/Hitmonchan_(Undaunted_51)" TargetMode="External"/><Relationship Id="rId72" Type="http://schemas.openxmlformats.org/officeDocument/2006/relationships/hyperlink" Target="https://bulbapedia.bulbagarden.net/wiki/Defender_(Undaunted_72)" TargetMode="External"/><Relationship Id="rId80" Type="http://schemas.openxmlformats.org/officeDocument/2006/relationships/hyperlink" Target="https://bulbapedia.bulbagarden.net/wiki/Metal_Energy_(Undaunted_80)" TargetMode="External"/><Relationship Id="rId85" Type="http://schemas.openxmlformats.org/officeDocument/2006/relationships/hyperlink" Target="https://bulbapedia.bulbagarden.net/wiki/Slowking_(Undaunted_85)" TargetMode="External"/><Relationship Id="rId3" Type="http://schemas.openxmlformats.org/officeDocument/2006/relationships/hyperlink" Target="https://bulbapedia.bulbagarden.net/wiki/Forretress_(Undaunted_3)" TargetMode="External"/><Relationship Id="rId12" Type="http://schemas.openxmlformats.org/officeDocument/2006/relationships/hyperlink" Target="https://bulbapedia.bulbagarden.net/wiki/Drifblim_(Undaunted_12)" TargetMode="External"/><Relationship Id="rId17" Type="http://schemas.openxmlformats.org/officeDocument/2006/relationships/hyperlink" Target="https://bulbapedia.bulbagarden.net/wiki/Leafeon_(Undaunted_17)" TargetMode="External"/><Relationship Id="rId25" Type="http://schemas.openxmlformats.org/officeDocument/2006/relationships/hyperlink" Target="https://bulbapedia.bulbagarden.net/wiki/Weavile_(Undaunted_25)" TargetMode="External"/><Relationship Id="rId33" Type="http://schemas.openxmlformats.org/officeDocument/2006/relationships/hyperlink" Target="https://bulbapedia.bulbagarden.net/wiki/Raichu_(Undaunted_33)" TargetMode="External"/><Relationship Id="rId38" Type="http://schemas.openxmlformats.org/officeDocument/2006/relationships/hyperlink" Target="https://bulbapedia.bulbagarden.net/wiki/Slowbro_(Undaunted_38)" TargetMode="External"/><Relationship Id="rId46" Type="http://schemas.openxmlformats.org/officeDocument/2006/relationships/hyperlink" Target="https://bulbapedia.bulbagarden.net/wiki/Drifloon_(Undaunted_46)" TargetMode="External"/><Relationship Id="rId59" Type="http://schemas.openxmlformats.org/officeDocument/2006/relationships/hyperlink" Target="https://bulbapedia.bulbagarden.net/wiki/Murkrow_(Undaunted_59)" TargetMode="External"/><Relationship Id="rId67" Type="http://schemas.openxmlformats.org/officeDocument/2006/relationships/hyperlink" Target="https://bulbapedia.bulbagarden.net/wiki/Slugma_(Undaunted_67)" TargetMode="External"/><Relationship Id="rId20" Type="http://schemas.openxmlformats.org/officeDocument/2006/relationships/hyperlink" Target="https://bulbapedia.bulbagarden.net/wiki/Rotom_(Undaunted_20)" TargetMode="External"/><Relationship Id="rId41" Type="http://schemas.openxmlformats.org/officeDocument/2006/relationships/hyperlink" Target="https://bulbapedia.bulbagarden.net/wiki/Vaporeon_(Undaunted_41)" TargetMode="External"/><Relationship Id="rId54" Type="http://schemas.openxmlformats.org/officeDocument/2006/relationships/hyperlink" Target="https://bulbapedia.bulbagarden.net/wiki/Houndour_(Undaunted_54)" TargetMode="External"/><Relationship Id="rId62" Type="http://schemas.openxmlformats.org/officeDocument/2006/relationships/hyperlink" Target="https://bulbapedia.bulbagarden.net/wiki/Pineco_(Undaunted_62)" TargetMode="External"/><Relationship Id="rId70" Type="http://schemas.openxmlformats.org/officeDocument/2006/relationships/hyperlink" Target="https://bulbapedia.bulbagarden.net/wiki/Togepi_(Undaunted_70)" TargetMode="External"/><Relationship Id="rId75" Type="http://schemas.openxmlformats.org/officeDocument/2006/relationships/hyperlink" Target="https://bulbapedia.bulbagarden.net/wiki/Legend_Box_(Undaunted_75)" TargetMode="External"/><Relationship Id="rId83" Type="http://schemas.openxmlformats.org/officeDocument/2006/relationships/hyperlink" Target="https://bulbapedia.bulbagarden.net/wiki/Raichu_(Undaunted_83)" TargetMode="External"/><Relationship Id="rId88" Type="http://schemas.openxmlformats.org/officeDocument/2006/relationships/hyperlink" Target="https://bulbapedia.bulbagarden.net/wiki/Kyogre_%26_Groudon_LEGEND_(Undaunted_88)" TargetMode="External"/><Relationship Id="rId91" Type="http://schemas.openxmlformats.org/officeDocument/2006/relationships/hyperlink" Target="https://bulbapedia.bulbagarden.net/wiki/Alph_Lithograph_(Undaunted_THREE)" TargetMode="External"/><Relationship Id="rId1" Type="http://schemas.openxmlformats.org/officeDocument/2006/relationships/hyperlink" Target="https://bulbapedia.bulbagarden.net/wiki/Bellossom_(Undaunted_1)" TargetMode="External"/><Relationship Id="rId6" Type="http://schemas.openxmlformats.org/officeDocument/2006/relationships/hyperlink" Target="https://bulbapedia.bulbagarden.net/wiki/Magcargo_(Undaunted_6)" TargetMode="External"/><Relationship Id="rId15" Type="http://schemas.openxmlformats.org/officeDocument/2006/relationships/hyperlink" Target="https://bulbapedia.bulbagarden.net/wiki/Honchkrow_(Undaunted_15)" TargetMode="External"/><Relationship Id="rId23" Type="http://schemas.openxmlformats.org/officeDocument/2006/relationships/hyperlink" Target="https://bulbapedia.bulbagarden.net/wiki/Vespiquen_(Undaunted_23)" TargetMode="External"/><Relationship Id="rId28" Type="http://schemas.openxmlformats.org/officeDocument/2006/relationships/hyperlink" Target="https://bulbapedia.bulbagarden.net/wiki/Jolteon_(Undaunted_28)" TargetMode="External"/><Relationship Id="rId36" Type="http://schemas.openxmlformats.org/officeDocument/2006/relationships/hyperlink" Target="https://bulbapedia.bulbagarden.net/wiki/Scyther_(Undaunted_36)" TargetMode="External"/><Relationship Id="rId49" Type="http://schemas.openxmlformats.org/officeDocument/2006/relationships/hyperlink" Target="https://bulbapedia.bulbagarden.net/wiki/Gligar_(Undaunted_49)" TargetMode="External"/><Relationship Id="rId57" Type="http://schemas.openxmlformats.org/officeDocument/2006/relationships/hyperlink" Target="https://bulbapedia.bulbagarden.net/wiki/Misdreavus_(Undaunted_57)" TargetMode="External"/><Relationship Id="rId10" Type="http://schemas.openxmlformats.org/officeDocument/2006/relationships/hyperlink" Target="https://bulbapedia.bulbagarden.net/wiki/Umbreon_(Undaunted_10)" TargetMode="External"/><Relationship Id="rId31" Type="http://schemas.openxmlformats.org/officeDocument/2006/relationships/hyperlink" Target="https://bulbapedia.bulbagarden.net/wiki/Muk_(Undaunted_31)" TargetMode="External"/><Relationship Id="rId44" Type="http://schemas.openxmlformats.org/officeDocument/2006/relationships/hyperlink" Target="https://bulbapedia.bulbagarden.net/wiki/Combee_(Undaunted_44)" TargetMode="External"/><Relationship Id="rId52" Type="http://schemas.openxmlformats.org/officeDocument/2006/relationships/hyperlink" Target="https://bulbapedia.bulbagarden.net/wiki/Hitmonlee_(Undaunted_52)" TargetMode="External"/><Relationship Id="rId60" Type="http://schemas.openxmlformats.org/officeDocument/2006/relationships/hyperlink" Target="https://bulbapedia.bulbagarden.net/wiki/Oddish_(Undaunted_60)" TargetMode="External"/><Relationship Id="rId65" Type="http://schemas.openxmlformats.org/officeDocument/2006/relationships/hyperlink" Target="https://bulbapedia.bulbagarden.net/wiki/Scyther_(Undaunted_65)" TargetMode="External"/><Relationship Id="rId73" Type="http://schemas.openxmlformats.org/officeDocument/2006/relationships/hyperlink" Target="https://bulbapedia.bulbagarden.net/wiki/Energy_Exchanger_(Undaunted_73)" TargetMode="External"/><Relationship Id="rId78" Type="http://schemas.openxmlformats.org/officeDocument/2006/relationships/hyperlink" Target="https://bulbapedia.bulbagarden.net/wiki/Team_Rocket%27s_Trickery_(Undaunted_78)" TargetMode="External"/><Relationship Id="rId81" Type="http://schemas.openxmlformats.org/officeDocument/2006/relationships/hyperlink" Target="https://bulbapedia.bulbagarden.net/wiki/Espeon_(Undaunted_81)" TargetMode="External"/><Relationship Id="rId86" Type="http://schemas.openxmlformats.org/officeDocument/2006/relationships/hyperlink" Target="https://bulbapedia.bulbagarden.net/wiki/Umbreon_(Undaunted_86)" TargetMode="External"/><Relationship Id="rId4" Type="http://schemas.openxmlformats.org/officeDocument/2006/relationships/hyperlink" Target="https://bulbapedia.bulbagarden.net/wiki/Gliscor_(Undaunted_4)" TargetMode="External"/><Relationship Id="rId9" Type="http://schemas.openxmlformats.org/officeDocument/2006/relationships/hyperlink" Target="https://bulbapedia.bulbagarden.net/wiki/Togekiss_(Undaunted_9)" TargetMode="External"/><Relationship Id="rId13" Type="http://schemas.openxmlformats.org/officeDocument/2006/relationships/hyperlink" Target="https://bulbapedia.bulbagarden.net/wiki/Forretress_(Undaunted_13)" TargetMode="External"/><Relationship Id="rId18" Type="http://schemas.openxmlformats.org/officeDocument/2006/relationships/hyperlink" Target="https://bulbapedia.bulbagarden.net/wiki/Metagross_(Undaunted_18)" TargetMode="External"/><Relationship Id="rId39" Type="http://schemas.openxmlformats.org/officeDocument/2006/relationships/hyperlink" Target="https://bulbapedia.bulbagarden.net/wiki/Togetic_(Undaunted_39)" TargetMode="External"/><Relationship Id="rId34" Type="http://schemas.openxmlformats.org/officeDocument/2006/relationships/hyperlink" Target="https://bulbapedia.bulbagarden.net/wiki/Raticate_(Undaunted_34)" TargetMode="External"/><Relationship Id="rId50" Type="http://schemas.openxmlformats.org/officeDocument/2006/relationships/hyperlink" Target="https://bulbapedia.bulbagarden.net/wiki/Grimer_(Undaunted_50)" TargetMode="External"/><Relationship Id="rId55" Type="http://schemas.openxmlformats.org/officeDocument/2006/relationships/hyperlink" Target="https://bulbapedia.bulbagarden.net/wiki/Makuhita_(Undaunted_55)" TargetMode="External"/><Relationship Id="rId76" Type="http://schemas.openxmlformats.org/officeDocument/2006/relationships/hyperlink" Target="https://bulbapedia.bulbagarden.net/wiki/Ruins_of_Alph_(Undaunted_76)" TargetMode="External"/><Relationship Id="rId7" Type="http://schemas.openxmlformats.org/officeDocument/2006/relationships/hyperlink" Target="https://bulbapedia.bulbagarden.net/wiki/Scizor_(Undaunted_7)" TargetMode="External"/><Relationship Id="rId71" Type="http://schemas.openxmlformats.org/officeDocument/2006/relationships/hyperlink" Target="https://bulbapedia.bulbagarden.net/wiki/Burned_Tower_(Undaunted_71)" TargetMode="External"/><Relationship Id="rId2" Type="http://schemas.openxmlformats.org/officeDocument/2006/relationships/hyperlink" Target="https://bulbapedia.bulbagarden.net/wiki/Espeon_(Undaunted_2)" TargetMode="External"/><Relationship Id="rId29" Type="http://schemas.openxmlformats.org/officeDocument/2006/relationships/hyperlink" Target="https://bulbapedia.bulbagarden.net/wiki/Lairon_(Undaunted_29)" TargetMode="External"/><Relationship Id="rId24" Type="http://schemas.openxmlformats.org/officeDocument/2006/relationships/hyperlink" Target="https://bulbapedia.bulbagarden.net/wiki/Vileplume_(Undaunted_24)" TargetMode="External"/><Relationship Id="rId40" Type="http://schemas.openxmlformats.org/officeDocument/2006/relationships/hyperlink" Target="https://bulbapedia.bulbagarden.net/wiki/Unown_(Undaunted_40)" TargetMode="External"/><Relationship Id="rId45" Type="http://schemas.openxmlformats.org/officeDocument/2006/relationships/hyperlink" Target="https://bulbapedia.bulbagarden.net/wiki/Doduo_(Undaunted_45)" TargetMode="External"/><Relationship Id="rId66" Type="http://schemas.openxmlformats.org/officeDocument/2006/relationships/hyperlink" Target="https://bulbapedia.bulbagarden.net/wiki/Slowpoke_(Undaunted_66)" TargetMode="External"/><Relationship Id="rId87" Type="http://schemas.openxmlformats.org/officeDocument/2006/relationships/hyperlink" Target="https://bulbapedia.bulbagarden.net/wiki/Kyogre_%26_Groudon_LEGEND_(Undaunted_87)" TargetMode="External"/><Relationship Id="rId61" Type="http://schemas.openxmlformats.org/officeDocument/2006/relationships/hyperlink" Target="https://bulbapedia.bulbagarden.net/wiki/Pikachu_(Undaunted_61)" TargetMode="External"/><Relationship Id="rId82" Type="http://schemas.openxmlformats.org/officeDocument/2006/relationships/hyperlink" Target="https://bulbapedia.bulbagarden.net/wiki/Houndoom_(Undaunted_82)" TargetMode="External"/><Relationship Id="rId19" Type="http://schemas.openxmlformats.org/officeDocument/2006/relationships/hyperlink" Target="https://bulbapedia.bulbagarden.net/wiki/Mismagius_(Undaunted_19)"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bulbapedia.bulbagarden.net/wiki/Sandile_(McDonald%27s_Collection_8)" TargetMode="External"/><Relationship Id="rId3" Type="http://schemas.openxmlformats.org/officeDocument/2006/relationships/hyperlink" Target="https://bulbapedia.bulbagarden.net/wiki/Tepig_(McDonald%27s_Collection_3)" TargetMode="External"/><Relationship Id="rId7" Type="http://schemas.openxmlformats.org/officeDocument/2006/relationships/hyperlink" Target="https://bulbapedia.bulbagarden.net/wiki/Munna_(McDonald%27s_Collection_7)" TargetMode="External"/><Relationship Id="rId12" Type="http://schemas.openxmlformats.org/officeDocument/2006/relationships/hyperlink" Target="https://bulbapedia.bulbagarden.net/wiki/Audino_(McDonald%27s_Collection_12)" TargetMode="External"/><Relationship Id="rId2" Type="http://schemas.openxmlformats.org/officeDocument/2006/relationships/hyperlink" Target="https://bulbapedia.bulbagarden.net/wiki/Maractus_(McDonald%27s_Collection_2)" TargetMode="External"/><Relationship Id="rId1" Type="http://schemas.openxmlformats.org/officeDocument/2006/relationships/hyperlink" Target="https://bulbapedia.bulbagarden.net/wiki/Snivy_(McDonald%27s_Collection_1)" TargetMode="External"/><Relationship Id="rId6" Type="http://schemas.openxmlformats.org/officeDocument/2006/relationships/hyperlink" Target="https://bulbapedia.bulbagarden.net/wiki/Blitzle_(McDonald%27s_Collection_6)" TargetMode="External"/><Relationship Id="rId11" Type="http://schemas.openxmlformats.org/officeDocument/2006/relationships/hyperlink" Target="https://bulbapedia.bulbagarden.net/wiki/Pidove_(McDonald%27s_Collection_11)" TargetMode="External"/><Relationship Id="rId5" Type="http://schemas.openxmlformats.org/officeDocument/2006/relationships/hyperlink" Target="https://bulbapedia.bulbagarden.net/wiki/Alomomola_(McDonald%27s_Collection_5)" TargetMode="External"/><Relationship Id="rId10" Type="http://schemas.openxmlformats.org/officeDocument/2006/relationships/hyperlink" Target="https://bulbapedia.bulbagarden.net/wiki/Klink_(McDonald%27s_Collection_10)" TargetMode="External"/><Relationship Id="rId4" Type="http://schemas.openxmlformats.org/officeDocument/2006/relationships/hyperlink" Target="https://bulbapedia.bulbagarden.net/wiki/Oshawott_(McDonald%27s_Collection_4)" TargetMode="External"/><Relationship Id="rId9" Type="http://schemas.openxmlformats.org/officeDocument/2006/relationships/hyperlink" Target="https://bulbapedia.bulbagarden.net/wiki/Zorua_(McDonald%27s_Collection_9)" TargetMode="External"/></Relationships>
</file>

<file path=xl/worksheets/_rels/sheet38.xml.rels><?xml version="1.0" encoding="UTF-8" standalone="yes"?>
<Relationships xmlns="http://schemas.openxmlformats.org/package/2006/relationships"><Relationship Id="rId26" Type="http://schemas.openxmlformats.org/officeDocument/2006/relationships/hyperlink" Target="https://bulbapedia.bulbagarden.net/wiki/Carracosta_(Noble_Victories_26)" TargetMode="External"/><Relationship Id="rId21" Type="http://schemas.openxmlformats.org/officeDocument/2006/relationships/hyperlink" Target="https://bulbapedia.bulbagarden.net/wiki/Volcarona_(Noble_Victories_21)" TargetMode="External"/><Relationship Id="rId42" Type="http://schemas.openxmlformats.org/officeDocument/2006/relationships/hyperlink" Target="https://bulbapedia.bulbagarden.net/wiki/Stunfisk_(Noble_Victories_42)" TargetMode="External"/><Relationship Id="rId47" Type="http://schemas.openxmlformats.org/officeDocument/2006/relationships/hyperlink" Target="https://bulbapedia.bulbagarden.net/wiki/Cofagrigus_(Noble_Victories_47)" TargetMode="External"/><Relationship Id="rId63" Type="http://schemas.openxmlformats.org/officeDocument/2006/relationships/hyperlink" Target="https://bulbapedia.bulbagarden.net/wiki/Gurdurr_(Noble_Victories_63)" TargetMode="External"/><Relationship Id="rId68" Type="http://schemas.openxmlformats.org/officeDocument/2006/relationships/hyperlink" Target="https://bulbapedia.bulbagarden.net/wiki/Stunfisk_(Noble_Victories_68)" TargetMode="External"/><Relationship Id="rId84" Type="http://schemas.openxmlformats.org/officeDocument/2006/relationships/hyperlink" Target="https://bulbapedia.bulbagarden.net/wiki/Cobalion_(Noble_Victories_84)" TargetMode="External"/><Relationship Id="rId89" Type="http://schemas.openxmlformats.org/officeDocument/2006/relationships/hyperlink" Target="https://bulbapedia.bulbagarden.net/wiki/Druddigon_(Noble_Victories_89)" TargetMode="External"/><Relationship Id="rId16" Type="http://schemas.openxmlformats.org/officeDocument/2006/relationships/hyperlink" Target="https://bulbapedia.bulbagarden.net/wiki/Pansear_(Noble_Victories_16)" TargetMode="External"/><Relationship Id="rId11" Type="http://schemas.openxmlformats.org/officeDocument/2006/relationships/hyperlink" Target="https://bulbapedia.bulbagarden.net/wiki/Shelmet_(Noble_Victories_11)" TargetMode="External"/><Relationship Id="rId32" Type="http://schemas.openxmlformats.org/officeDocument/2006/relationships/hyperlink" Target="https://bulbapedia.bulbagarden.net/wiki/Cryogonal_(Noble_Victories_32)" TargetMode="External"/><Relationship Id="rId37" Type="http://schemas.openxmlformats.org/officeDocument/2006/relationships/hyperlink" Target="https://bulbapedia.bulbagarden.net/wiki/Emolga_(Noble_Victories_37)" TargetMode="External"/><Relationship Id="rId53" Type="http://schemas.openxmlformats.org/officeDocument/2006/relationships/hyperlink" Target="https://bulbapedia.bulbagarden.net/wiki/Reuniclus_(Noble_Victories_53)" TargetMode="External"/><Relationship Id="rId58" Type="http://schemas.openxmlformats.org/officeDocument/2006/relationships/hyperlink" Target="https://bulbapedia.bulbagarden.net/wiki/Litwick_(Noble_Victories_58)" TargetMode="External"/><Relationship Id="rId74" Type="http://schemas.openxmlformats.org/officeDocument/2006/relationships/hyperlink" Target="https://bulbapedia.bulbagarden.net/wiki/Landorus_(Noble_Victories_74)" TargetMode="External"/><Relationship Id="rId79" Type="http://schemas.openxmlformats.org/officeDocument/2006/relationships/hyperlink" Target="https://bulbapedia.bulbagarden.net/wiki/Hydreigon_(Noble_Victories_79)" TargetMode="External"/><Relationship Id="rId102" Type="http://schemas.openxmlformats.org/officeDocument/2006/relationships/hyperlink" Target="https://bulbapedia.bulbagarden.net/wiki/Meowth_(Noble_Victories_102)" TargetMode="External"/><Relationship Id="rId5" Type="http://schemas.openxmlformats.org/officeDocument/2006/relationships/hyperlink" Target="https://bulbapedia.bulbagarden.net/wiki/Lilligant_(Noble_Victories_5)" TargetMode="External"/><Relationship Id="rId90" Type="http://schemas.openxmlformats.org/officeDocument/2006/relationships/hyperlink" Target="https://bulbapedia.bulbagarden.net/wiki/Cover_Fossil_(Noble_Victories_90)" TargetMode="External"/><Relationship Id="rId95" Type="http://schemas.openxmlformats.org/officeDocument/2006/relationships/hyperlink" Target="https://bulbapedia.bulbagarden.net/wiki/Super_Rod_(Noble_Victories_95)" TargetMode="External"/><Relationship Id="rId22" Type="http://schemas.openxmlformats.org/officeDocument/2006/relationships/hyperlink" Target="https://bulbapedia.bulbagarden.net/wiki/Tympole_(Noble_Victories_22)" TargetMode="External"/><Relationship Id="rId27" Type="http://schemas.openxmlformats.org/officeDocument/2006/relationships/hyperlink" Target="https://bulbapedia.bulbagarden.net/wiki/Vanillite_(Noble_Victories_27)" TargetMode="External"/><Relationship Id="rId43" Type="http://schemas.openxmlformats.org/officeDocument/2006/relationships/hyperlink" Target="https://bulbapedia.bulbagarden.net/wiki/Victini_(Noble_Victories_43)" TargetMode="External"/><Relationship Id="rId48" Type="http://schemas.openxmlformats.org/officeDocument/2006/relationships/hyperlink" Target="https://bulbapedia.bulbagarden.net/wiki/Trubbish_(Noble_Victories_48)" TargetMode="External"/><Relationship Id="rId64" Type="http://schemas.openxmlformats.org/officeDocument/2006/relationships/hyperlink" Target="https://bulbapedia.bulbagarden.net/wiki/Conkeldurr_(Noble_Victories_64)" TargetMode="External"/><Relationship Id="rId69" Type="http://schemas.openxmlformats.org/officeDocument/2006/relationships/hyperlink" Target="https://bulbapedia.bulbagarden.net/wiki/Mienfoo_(Noble_Victories_69)" TargetMode="External"/><Relationship Id="rId80" Type="http://schemas.openxmlformats.org/officeDocument/2006/relationships/hyperlink" Target="https://bulbapedia.bulbagarden.net/wiki/Escavalier_(Noble_Victories_80)" TargetMode="External"/><Relationship Id="rId85" Type="http://schemas.openxmlformats.org/officeDocument/2006/relationships/hyperlink" Target="https://bulbapedia.bulbagarden.net/wiki/Audino_(Noble_Victories_85)" TargetMode="External"/><Relationship Id="rId12" Type="http://schemas.openxmlformats.org/officeDocument/2006/relationships/hyperlink" Target="https://bulbapedia.bulbagarden.net/wiki/Accelgor_(Noble_Victories_12)" TargetMode="External"/><Relationship Id="rId17" Type="http://schemas.openxmlformats.org/officeDocument/2006/relationships/hyperlink" Target="https://bulbapedia.bulbagarden.net/wiki/Simisear_(Noble_Victories_17)" TargetMode="External"/><Relationship Id="rId25" Type="http://schemas.openxmlformats.org/officeDocument/2006/relationships/hyperlink" Target="https://bulbapedia.bulbagarden.net/wiki/Tirtouga_(Noble_Victories_25)" TargetMode="External"/><Relationship Id="rId33" Type="http://schemas.openxmlformats.org/officeDocument/2006/relationships/hyperlink" Target="https://bulbapedia.bulbagarden.net/wiki/Cryogonal_(Noble_Victories_33)" TargetMode="External"/><Relationship Id="rId38" Type="http://schemas.openxmlformats.org/officeDocument/2006/relationships/hyperlink" Target="https://bulbapedia.bulbagarden.net/wiki/Tynamo_(Noble_Victories_38)" TargetMode="External"/><Relationship Id="rId46" Type="http://schemas.openxmlformats.org/officeDocument/2006/relationships/hyperlink" Target="https://bulbapedia.bulbagarden.net/wiki/Cofagrigus_(Noble_Victories_46)" TargetMode="External"/><Relationship Id="rId59" Type="http://schemas.openxmlformats.org/officeDocument/2006/relationships/hyperlink" Target="https://bulbapedia.bulbagarden.net/wiki/Lampent_(Noble_Victories_59)" TargetMode="External"/><Relationship Id="rId67" Type="http://schemas.openxmlformats.org/officeDocument/2006/relationships/hyperlink" Target="https://bulbapedia.bulbagarden.net/wiki/Archeops_(Noble_Victories_67)" TargetMode="External"/><Relationship Id="rId20" Type="http://schemas.openxmlformats.org/officeDocument/2006/relationships/hyperlink" Target="https://bulbapedia.bulbagarden.net/wiki/Larvesta_(Noble_Victories_20)" TargetMode="External"/><Relationship Id="rId41" Type="http://schemas.openxmlformats.org/officeDocument/2006/relationships/hyperlink" Target="https://bulbapedia.bulbagarden.net/wiki/Eelektross_(Noble_Victories_41)" TargetMode="External"/><Relationship Id="rId54" Type="http://schemas.openxmlformats.org/officeDocument/2006/relationships/hyperlink" Target="https://bulbapedia.bulbagarden.net/wiki/Elgyem_(Noble_Victories_54)" TargetMode="External"/><Relationship Id="rId62" Type="http://schemas.openxmlformats.org/officeDocument/2006/relationships/hyperlink" Target="https://bulbapedia.bulbagarden.net/wiki/Timburr_(Noble_Victories_62)" TargetMode="External"/><Relationship Id="rId70" Type="http://schemas.openxmlformats.org/officeDocument/2006/relationships/hyperlink" Target="https://bulbapedia.bulbagarden.net/wiki/Mienshao_(Noble_Victories_70)" TargetMode="External"/><Relationship Id="rId75" Type="http://schemas.openxmlformats.org/officeDocument/2006/relationships/hyperlink" Target="https://bulbapedia.bulbagarden.net/wiki/Pawniard_(Noble_Victories_75)" TargetMode="External"/><Relationship Id="rId83" Type="http://schemas.openxmlformats.org/officeDocument/2006/relationships/hyperlink" Target="https://bulbapedia.bulbagarden.net/wiki/Durant_(Noble_Victories_83)" TargetMode="External"/><Relationship Id="rId88" Type="http://schemas.openxmlformats.org/officeDocument/2006/relationships/hyperlink" Target="https://bulbapedia.bulbagarden.net/wiki/Haxorus_(Noble_Victories_88)" TargetMode="External"/><Relationship Id="rId91" Type="http://schemas.openxmlformats.org/officeDocument/2006/relationships/hyperlink" Target="https://bulbapedia.bulbagarden.net/wiki/Eviolite_(Noble_Victories_91)" TargetMode="External"/><Relationship Id="rId96" Type="http://schemas.openxmlformats.org/officeDocument/2006/relationships/hyperlink" Target="https://bulbapedia.bulbagarden.net/wiki/Xtransceiver_(Noble_Victories_96)" TargetMode="External"/><Relationship Id="rId1" Type="http://schemas.openxmlformats.org/officeDocument/2006/relationships/hyperlink" Target="https://bulbapedia.bulbagarden.net/wiki/Sewaddle_(Noble_Victories_1)" TargetMode="External"/><Relationship Id="rId6" Type="http://schemas.openxmlformats.org/officeDocument/2006/relationships/hyperlink" Target="https://bulbapedia.bulbagarden.net/wiki/Dwebble_(Noble_Victories_6)" TargetMode="External"/><Relationship Id="rId15" Type="http://schemas.openxmlformats.org/officeDocument/2006/relationships/hyperlink" Target="https://bulbapedia.bulbagarden.net/wiki/Victini_(Noble_Victories_15)" TargetMode="External"/><Relationship Id="rId23" Type="http://schemas.openxmlformats.org/officeDocument/2006/relationships/hyperlink" Target="https://bulbapedia.bulbagarden.net/wiki/Palpitoad_(Noble_Victories_23)" TargetMode="External"/><Relationship Id="rId28" Type="http://schemas.openxmlformats.org/officeDocument/2006/relationships/hyperlink" Target="https://bulbapedia.bulbagarden.net/wiki/Vanillish_(Noble_Victories_28)" TargetMode="External"/><Relationship Id="rId36" Type="http://schemas.openxmlformats.org/officeDocument/2006/relationships/hyperlink" Target="https://bulbapedia.bulbagarden.net/wiki/Zebstrika_(Noble_Victories_36)" TargetMode="External"/><Relationship Id="rId49" Type="http://schemas.openxmlformats.org/officeDocument/2006/relationships/hyperlink" Target="https://bulbapedia.bulbagarden.net/wiki/Garbodor_(Noble_Victories_49)" TargetMode="External"/><Relationship Id="rId57" Type="http://schemas.openxmlformats.org/officeDocument/2006/relationships/hyperlink" Target="https://bulbapedia.bulbagarden.net/wiki/Litwick_(Noble_Victories_57)" TargetMode="External"/><Relationship Id="rId10" Type="http://schemas.openxmlformats.org/officeDocument/2006/relationships/hyperlink" Target="https://bulbapedia.bulbagarden.net/wiki/Amoonguss_(Noble_Victories_10)" TargetMode="External"/><Relationship Id="rId31" Type="http://schemas.openxmlformats.org/officeDocument/2006/relationships/hyperlink" Target="https://bulbapedia.bulbagarden.net/wiki/Jellicent_(Noble_Victories_31)" TargetMode="External"/><Relationship Id="rId44" Type="http://schemas.openxmlformats.org/officeDocument/2006/relationships/hyperlink" Target="https://bulbapedia.bulbagarden.net/wiki/Yamask_(Noble_Victories_44)" TargetMode="External"/><Relationship Id="rId52" Type="http://schemas.openxmlformats.org/officeDocument/2006/relationships/hyperlink" Target="https://bulbapedia.bulbagarden.net/wiki/Reuniclus_(Noble_Victories_52)" TargetMode="External"/><Relationship Id="rId60" Type="http://schemas.openxmlformats.org/officeDocument/2006/relationships/hyperlink" Target="https://bulbapedia.bulbagarden.net/wiki/Chandelure_(Noble_Victories_60)" TargetMode="External"/><Relationship Id="rId65" Type="http://schemas.openxmlformats.org/officeDocument/2006/relationships/hyperlink" Target="https://bulbapedia.bulbagarden.net/wiki/Conkeldurr_(Noble_Victories_65)" TargetMode="External"/><Relationship Id="rId73" Type="http://schemas.openxmlformats.org/officeDocument/2006/relationships/hyperlink" Target="https://bulbapedia.bulbagarden.net/wiki/Terrakion_(Noble_Victories_73)" TargetMode="External"/><Relationship Id="rId78" Type="http://schemas.openxmlformats.org/officeDocument/2006/relationships/hyperlink" Target="https://bulbapedia.bulbagarden.net/wiki/Zweilous_(Noble_Victories_78)" TargetMode="External"/><Relationship Id="rId81" Type="http://schemas.openxmlformats.org/officeDocument/2006/relationships/hyperlink" Target="https://bulbapedia.bulbagarden.net/wiki/Pawniard_(Noble_Victories_81)" TargetMode="External"/><Relationship Id="rId86" Type="http://schemas.openxmlformats.org/officeDocument/2006/relationships/hyperlink" Target="https://bulbapedia.bulbagarden.net/wiki/Axew_(Noble_Victories_86)" TargetMode="External"/><Relationship Id="rId94" Type="http://schemas.openxmlformats.org/officeDocument/2006/relationships/hyperlink" Target="https://bulbapedia.bulbagarden.net/wiki/Rocky_Helmet_(Noble_Victories_94)" TargetMode="External"/><Relationship Id="rId99" Type="http://schemas.openxmlformats.org/officeDocument/2006/relationships/hyperlink" Target="https://bulbapedia.bulbagarden.net/wiki/Terrakion_(Noble_Victories_99)" TargetMode="External"/><Relationship Id="rId101" Type="http://schemas.openxmlformats.org/officeDocument/2006/relationships/hyperlink" Target="https://bulbapedia.bulbagarden.net/wiki/N_(Noble_Victories_101)" TargetMode="External"/><Relationship Id="rId4" Type="http://schemas.openxmlformats.org/officeDocument/2006/relationships/hyperlink" Target="https://bulbapedia.bulbagarden.net/wiki/Petilil_(Noble_Victories_4)" TargetMode="External"/><Relationship Id="rId9" Type="http://schemas.openxmlformats.org/officeDocument/2006/relationships/hyperlink" Target="https://bulbapedia.bulbagarden.net/wiki/Foongus_(Noble_Victories_9)" TargetMode="External"/><Relationship Id="rId13" Type="http://schemas.openxmlformats.org/officeDocument/2006/relationships/hyperlink" Target="https://bulbapedia.bulbagarden.net/wiki/Virizion_(Noble_Victories_13)" TargetMode="External"/><Relationship Id="rId18" Type="http://schemas.openxmlformats.org/officeDocument/2006/relationships/hyperlink" Target="https://bulbapedia.bulbagarden.net/wiki/Heatmor_(Noble_Victories_18)" TargetMode="External"/><Relationship Id="rId39" Type="http://schemas.openxmlformats.org/officeDocument/2006/relationships/hyperlink" Target="https://bulbapedia.bulbagarden.net/wiki/Tynamo_(Noble_Victories_39)" TargetMode="External"/><Relationship Id="rId34" Type="http://schemas.openxmlformats.org/officeDocument/2006/relationships/hyperlink" Target="https://bulbapedia.bulbagarden.net/wiki/Kyurem_(Noble_Victories_34)" TargetMode="External"/><Relationship Id="rId50" Type="http://schemas.openxmlformats.org/officeDocument/2006/relationships/hyperlink" Target="https://bulbapedia.bulbagarden.net/wiki/Solosis_(Noble_Victories_50)" TargetMode="External"/><Relationship Id="rId55" Type="http://schemas.openxmlformats.org/officeDocument/2006/relationships/hyperlink" Target="https://bulbapedia.bulbagarden.net/wiki/Elgyem_(Noble_Victories_55)" TargetMode="External"/><Relationship Id="rId76" Type="http://schemas.openxmlformats.org/officeDocument/2006/relationships/hyperlink" Target="https://bulbapedia.bulbagarden.net/wiki/Bisharp_(Noble_Victories_76)" TargetMode="External"/><Relationship Id="rId97" Type="http://schemas.openxmlformats.org/officeDocument/2006/relationships/hyperlink" Target="https://bulbapedia.bulbagarden.net/wiki/Virizion_(Noble_Victories_97)" TargetMode="External"/><Relationship Id="rId7" Type="http://schemas.openxmlformats.org/officeDocument/2006/relationships/hyperlink" Target="https://bulbapedia.bulbagarden.net/wiki/Crustle_(Noble_Victories_7)" TargetMode="External"/><Relationship Id="rId71" Type="http://schemas.openxmlformats.org/officeDocument/2006/relationships/hyperlink" Target="https://bulbapedia.bulbagarden.net/wiki/Golett_(Noble_Victories_71)" TargetMode="External"/><Relationship Id="rId92" Type="http://schemas.openxmlformats.org/officeDocument/2006/relationships/hyperlink" Target="https://bulbapedia.bulbagarden.net/wiki/N_(Noble_Victories_92)" TargetMode="External"/><Relationship Id="rId2" Type="http://schemas.openxmlformats.org/officeDocument/2006/relationships/hyperlink" Target="https://bulbapedia.bulbagarden.net/wiki/Swadloon_(Noble_Victories_2)" TargetMode="External"/><Relationship Id="rId29" Type="http://schemas.openxmlformats.org/officeDocument/2006/relationships/hyperlink" Target="https://bulbapedia.bulbagarden.net/wiki/Vanilluxe_(Noble_Victories_29)" TargetMode="External"/><Relationship Id="rId24" Type="http://schemas.openxmlformats.org/officeDocument/2006/relationships/hyperlink" Target="https://bulbapedia.bulbagarden.net/wiki/Seismitoad_(Noble_Victories_24)" TargetMode="External"/><Relationship Id="rId40" Type="http://schemas.openxmlformats.org/officeDocument/2006/relationships/hyperlink" Target="https://bulbapedia.bulbagarden.net/wiki/Eelektrik_(Noble_Victories_40)" TargetMode="External"/><Relationship Id="rId45" Type="http://schemas.openxmlformats.org/officeDocument/2006/relationships/hyperlink" Target="https://bulbapedia.bulbagarden.net/wiki/Yamask_(Noble_Victories_45)" TargetMode="External"/><Relationship Id="rId66" Type="http://schemas.openxmlformats.org/officeDocument/2006/relationships/hyperlink" Target="https://bulbapedia.bulbagarden.net/wiki/Archen_(Noble_Victories_66)" TargetMode="External"/><Relationship Id="rId87" Type="http://schemas.openxmlformats.org/officeDocument/2006/relationships/hyperlink" Target="https://bulbapedia.bulbagarden.net/wiki/Fraxure_(Noble_Victories_87)" TargetMode="External"/><Relationship Id="rId61" Type="http://schemas.openxmlformats.org/officeDocument/2006/relationships/hyperlink" Target="https://bulbapedia.bulbagarden.net/wiki/Gigalith_(Noble_Victories_61)" TargetMode="External"/><Relationship Id="rId82" Type="http://schemas.openxmlformats.org/officeDocument/2006/relationships/hyperlink" Target="https://bulbapedia.bulbagarden.net/wiki/Bisharp_(Noble_Victories_82)" TargetMode="External"/><Relationship Id="rId19" Type="http://schemas.openxmlformats.org/officeDocument/2006/relationships/hyperlink" Target="https://bulbapedia.bulbagarden.net/wiki/Larvesta_(Noble_Victories_19)" TargetMode="External"/><Relationship Id="rId14" Type="http://schemas.openxmlformats.org/officeDocument/2006/relationships/hyperlink" Target="https://bulbapedia.bulbagarden.net/wiki/Victini_(Noble_Victories_14)" TargetMode="External"/><Relationship Id="rId30" Type="http://schemas.openxmlformats.org/officeDocument/2006/relationships/hyperlink" Target="https://bulbapedia.bulbagarden.net/wiki/Frillish_(Noble_Victories_30)" TargetMode="External"/><Relationship Id="rId35" Type="http://schemas.openxmlformats.org/officeDocument/2006/relationships/hyperlink" Target="https://bulbapedia.bulbagarden.net/wiki/Blitzle_(Noble_Victories_35)" TargetMode="External"/><Relationship Id="rId56" Type="http://schemas.openxmlformats.org/officeDocument/2006/relationships/hyperlink" Target="https://bulbapedia.bulbagarden.net/wiki/Beheeyem_(Noble_Victories_56)" TargetMode="External"/><Relationship Id="rId77" Type="http://schemas.openxmlformats.org/officeDocument/2006/relationships/hyperlink" Target="https://bulbapedia.bulbagarden.net/wiki/Deino_(Noble_Victories_77)" TargetMode="External"/><Relationship Id="rId100" Type="http://schemas.openxmlformats.org/officeDocument/2006/relationships/hyperlink" Target="https://bulbapedia.bulbagarden.net/wiki/Cobalion_(Noble_Victories_100)" TargetMode="External"/><Relationship Id="rId8" Type="http://schemas.openxmlformats.org/officeDocument/2006/relationships/hyperlink" Target="https://bulbapedia.bulbagarden.net/wiki/Karrablast_(Noble_Victories_8)" TargetMode="External"/><Relationship Id="rId51" Type="http://schemas.openxmlformats.org/officeDocument/2006/relationships/hyperlink" Target="https://bulbapedia.bulbagarden.net/wiki/Duosion_(Noble_Victories_51)" TargetMode="External"/><Relationship Id="rId72" Type="http://schemas.openxmlformats.org/officeDocument/2006/relationships/hyperlink" Target="https://bulbapedia.bulbagarden.net/wiki/Golurk_(Noble_Victories_72)" TargetMode="External"/><Relationship Id="rId93" Type="http://schemas.openxmlformats.org/officeDocument/2006/relationships/hyperlink" Target="https://bulbapedia.bulbagarden.net/wiki/Plume_Fossil_(Noble_Victories_93)" TargetMode="External"/><Relationship Id="rId98" Type="http://schemas.openxmlformats.org/officeDocument/2006/relationships/hyperlink" Target="https://bulbapedia.bulbagarden.net/wiki/Victini_(Noble_Victories_98)" TargetMode="External"/><Relationship Id="rId3" Type="http://schemas.openxmlformats.org/officeDocument/2006/relationships/hyperlink" Target="https://bulbapedia.bulbagarden.net/wiki/Leavanny_(Noble_Victories_3)" TargetMode="External"/></Relationships>
</file>

<file path=xl/worksheets/_rels/sheet39.xml.rels><?xml version="1.0" encoding="UTF-8" standalone="yes"?>
<Relationships xmlns="http://schemas.openxmlformats.org/package/2006/relationships"><Relationship Id="rId26" Type="http://schemas.openxmlformats.org/officeDocument/2006/relationships/hyperlink" Target="https://bulbapedia.bulbagarden.net/wiki/Panpour_(Next_Destinies_28)" TargetMode="External"/><Relationship Id="rId21" Type="http://schemas.openxmlformats.org/officeDocument/2006/relationships/hyperlink" Target="https://bulbapedia.bulbagarden.net/wiki/Staryu_(Next_Destinies_23)" TargetMode="External"/><Relationship Id="rId42" Type="http://schemas.openxmlformats.org/officeDocument/2006/relationships/hyperlink" Target="https://bulbapedia.bulbagarden.net/wiki/Luxio_(Next_Destinies_45)" TargetMode="External"/><Relationship Id="rId47" Type="http://schemas.openxmlformats.org/officeDocument/2006/relationships/hyperlink" Target="https://bulbapedia.bulbagarden.net/wiki/Zekrom_(Next_Destinies_50)" TargetMode="External"/><Relationship Id="rId63" Type="http://schemas.openxmlformats.org/officeDocument/2006/relationships/hyperlink" Target="https://bulbapedia.bulbagarden.net/wiki/Mienshao_(Next_Destinies_68)" TargetMode="External"/><Relationship Id="rId68" Type="http://schemas.openxmlformats.org/officeDocument/2006/relationships/hyperlink" Target="https://bulbapedia.bulbagarden.net/wiki/Scraggy_(Next_Destinies_73)" TargetMode="External"/><Relationship Id="rId84" Type="http://schemas.openxmlformats.org/officeDocument/2006/relationships/hyperlink" Target="https://bulbapedia.bulbagarden.net/wiki/Pok%C3%A9mon_Center_(Next_Destinies_90)" TargetMode="External"/><Relationship Id="rId89" Type="http://schemas.openxmlformats.org/officeDocument/2006/relationships/hyperlink" Target="https://bulbapedia.bulbagarden.net/wiki/Chandelure_(Next_Destinies_101)" TargetMode="External"/><Relationship Id="rId16" Type="http://schemas.openxmlformats.org/officeDocument/2006/relationships/hyperlink" Target="https://bulbapedia.bulbagarden.net/wiki/Darumaka_(Next_Destinies_17)" TargetMode="External"/><Relationship Id="rId11" Type="http://schemas.openxmlformats.org/officeDocument/2006/relationships/hyperlink" Target="https://bulbapedia.bulbagarden.net/wiki/Arcanine_(Next_Destinies_12)" TargetMode="External"/><Relationship Id="rId32" Type="http://schemas.openxmlformats.org/officeDocument/2006/relationships/hyperlink" Target="https://bulbapedia.bulbagarden.net/wiki/Frillish_(Next_Destinies_34)" TargetMode="External"/><Relationship Id="rId37" Type="http://schemas.openxmlformats.org/officeDocument/2006/relationships/hyperlink" Target="https://bulbapedia.bulbagarden.net/wiki/Raichu_(Next_Destinies_40)" TargetMode="External"/><Relationship Id="rId53" Type="http://schemas.openxmlformats.org/officeDocument/2006/relationships/hyperlink" Target="https://bulbapedia.bulbagarden.net/wiki/Munna_(Next_Destinies_58)" TargetMode="External"/><Relationship Id="rId58" Type="http://schemas.openxmlformats.org/officeDocument/2006/relationships/hyperlink" Target="https://bulbapedia.bulbagarden.net/wiki/Riolu_(Next_Destinies_63)" TargetMode="External"/><Relationship Id="rId74" Type="http://schemas.openxmlformats.org/officeDocument/2006/relationships/hyperlink" Target="https://bulbapedia.bulbagarden.net/wiki/Wigglytuff_(Next_Destinies_79)" TargetMode="External"/><Relationship Id="rId79" Type="http://schemas.openxmlformats.org/officeDocument/2006/relationships/hyperlink" Target="https://bulbapedia.bulbagarden.net/wiki/Cinccino_(Next_Destinies_85)" TargetMode="External"/><Relationship Id="rId5" Type="http://schemas.openxmlformats.org/officeDocument/2006/relationships/hyperlink" Target="https://bulbapedia.bulbagarden.net/wiki/Pansage_(Next_Destinies_6)" TargetMode="External"/><Relationship Id="rId90" Type="http://schemas.openxmlformats.org/officeDocument/2006/relationships/hyperlink" Target="https://bulbapedia.bulbagarden.net/wiki/Zoroark_(Next_Destinies_102)" TargetMode="External"/><Relationship Id="rId14" Type="http://schemas.openxmlformats.org/officeDocument/2006/relationships/hyperlink" Target="https://bulbapedia.bulbagarden.net/wiki/Pansear_(Next_Destinies_15)" TargetMode="External"/><Relationship Id="rId22" Type="http://schemas.openxmlformats.org/officeDocument/2006/relationships/hyperlink" Target="https://bulbapedia.bulbagarden.net/wiki/Starmie_(Next_Destinies_24)" TargetMode="External"/><Relationship Id="rId27" Type="http://schemas.openxmlformats.org/officeDocument/2006/relationships/hyperlink" Target="https://bulbapedia.bulbagarden.net/wiki/Simipour_(Next_Destinies_29)" TargetMode="External"/><Relationship Id="rId30" Type="http://schemas.openxmlformats.org/officeDocument/2006/relationships/hyperlink" Target="https://bulbapedia.bulbagarden.net/wiki/Vanillish_(Next_Destinies_32)" TargetMode="External"/><Relationship Id="rId35" Type="http://schemas.openxmlformats.org/officeDocument/2006/relationships/hyperlink" Target="https://bulbapedia.bulbagarden.net/wiki/Beartic_(Next_Destinies_37)" TargetMode="External"/><Relationship Id="rId43" Type="http://schemas.openxmlformats.org/officeDocument/2006/relationships/hyperlink" Target="https://bulbapedia.bulbagarden.net/wiki/Luxray_(Next_Destinies_46)" TargetMode="External"/><Relationship Id="rId48" Type="http://schemas.openxmlformats.org/officeDocument/2006/relationships/hyperlink" Target="https://bulbapedia.bulbagarden.net/wiki/Grimer_(Next_Destinies_52)" TargetMode="External"/><Relationship Id="rId56" Type="http://schemas.openxmlformats.org/officeDocument/2006/relationships/hyperlink" Target="https://bulbapedia.bulbagarden.net/wiki/Elgyem_(Next_Destinies_61)" TargetMode="External"/><Relationship Id="rId64" Type="http://schemas.openxmlformats.org/officeDocument/2006/relationships/hyperlink" Target="https://bulbapedia.bulbagarden.net/wiki/Sneasel_(Next_Destinies_69)" TargetMode="External"/><Relationship Id="rId69" Type="http://schemas.openxmlformats.org/officeDocument/2006/relationships/hyperlink" Target="https://bulbapedia.bulbagarden.net/wiki/Scrafty_(Next_Destinies_74)" TargetMode="External"/><Relationship Id="rId77" Type="http://schemas.openxmlformats.org/officeDocument/2006/relationships/hyperlink" Target="https://bulbapedia.bulbagarden.net/wiki/Pidove_(Next_Destinies_83)" TargetMode="External"/><Relationship Id="rId8" Type="http://schemas.openxmlformats.org/officeDocument/2006/relationships/hyperlink" Target="https://bulbapedia.bulbagarden.net/wiki/Amoonguss_(Next_Destinies_9)" TargetMode="External"/><Relationship Id="rId51" Type="http://schemas.openxmlformats.org/officeDocument/2006/relationships/hyperlink" Target="https://bulbapedia.bulbagarden.net/wiki/Kirlia_(Next_Destinies_56)" TargetMode="External"/><Relationship Id="rId72" Type="http://schemas.openxmlformats.org/officeDocument/2006/relationships/hyperlink" Target="https://bulbapedia.bulbagarden.net/wiki/Ferroseed_(Next_Destinies_77)" TargetMode="External"/><Relationship Id="rId80" Type="http://schemas.openxmlformats.org/officeDocument/2006/relationships/hyperlink" Target="https://bulbapedia.bulbagarden.net/wiki/Cilan_(Next_Destinies_86)" TargetMode="External"/><Relationship Id="rId85" Type="http://schemas.openxmlformats.org/officeDocument/2006/relationships/hyperlink" Target="https://bulbapedia.bulbagarden.net/wiki/Skyarrow_Bridge_(Next_Destinies_91)" TargetMode="External"/><Relationship Id="rId3" Type="http://schemas.openxmlformats.org/officeDocument/2006/relationships/hyperlink" Target="https://bulbapedia.bulbagarden.net/wiki/Kricketot_(Next_Destinies_3)" TargetMode="External"/><Relationship Id="rId12" Type="http://schemas.openxmlformats.org/officeDocument/2006/relationships/hyperlink" Target="https://bulbapedia.bulbagarden.net/wiki/Arcanine_(Next_Destinies_13)" TargetMode="External"/><Relationship Id="rId17" Type="http://schemas.openxmlformats.org/officeDocument/2006/relationships/hyperlink" Target="https://bulbapedia.bulbagarden.net/wiki/Litwick_(Next_Destinies_18)" TargetMode="External"/><Relationship Id="rId25" Type="http://schemas.openxmlformats.org/officeDocument/2006/relationships/hyperlink" Target="https://bulbapedia.bulbagarden.net/wiki/Articuno_(Next_Destinies_27)" TargetMode="External"/><Relationship Id="rId33" Type="http://schemas.openxmlformats.org/officeDocument/2006/relationships/hyperlink" Target="https://bulbapedia.bulbagarden.net/wiki/Jellicent_(Next_Destinies_35)" TargetMode="External"/><Relationship Id="rId38" Type="http://schemas.openxmlformats.org/officeDocument/2006/relationships/hyperlink" Target="https://bulbapedia.bulbagarden.net/wiki/Zapdos_(Next_Destinies_41)" TargetMode="External"/><Relationship Id="rId46" Type="http://schemas.openxmlformats.org/officeDocument/2006/relationships/hyperlink" Target="https://bulbapedia.bulbagarden.net/wiki/Emolga_(Next_Destinies_49)" TargetMode="External"/><Relationship Id="rId59" Type="http://schemas.openxmlformats.org/officeDocument/2006/relationships/hyperlink" Target="https://bulbapedia.bulbagarden.net/wiki/Lucario_(Next_Destinies_64)" TargetMode="External"/><Relationship Id="rId67" Type="http://schemas.openxmlformats.org/officeDocument/2006/relationships/hyperlink" Target="https://bulbapedia.bulbagarden.net/wiki/Shiftry_(Next_Destinies_72)" TargetMode="External"/><Relationship Id="rId20" Type="http://schemas.openxmlformats.org/officeDocument/2006/relationships/hyperlink" Target="https://bulbapedia.bulbagarden.net/wiki/Reshiram_(Next_Destinies_21)" TargetMode="External"/><Relationship Id="rId41" Type="http://schemas.openxmlformats.org/officeDocument/2006/relationships/hyperlink" Target="https://bulbapedia.bulbagarden.net/wiki/Luxio_(Next_Destinies_44)" TargetMode="External"/><Relationship Id="rId54" Type="http://schemas.openxmlformats.org/officeDocument/2006/relationships/hyperlink" Target="https://bulbapedia.bulbagarden.net/wiki/Musharna_(Next_Destinies_59)" TargetMode="External"/><Relationship Id="rId62" Type="http://schemas.openxmlformats.org/officeDocument/2006/relationships/hyperlink" Target="https://bulbapedia.bulbagarden.net/wiki/Mienfoo_(Next_Destinies_67)" TargetMode="External"/><Relationship Id="rId70" Type="http://schemas.openxmlformats.org/officeDocument/2006/relationships/hyperlink" Target="https://bulbapedia.bulbagarden.net/wiki/Bronzor_(Next_Destinies_75)" TargetMode="External"/><Relationship Id="rId75" Type="http://schemas.openxmlformats.org/officeDocument/2006/relationships/hyperlink" Target="https://bulbapedia.bulbagarden.net/wiki/Meowth_(Next_Destinies_80)" TargetMode="External"/><Relationship Id="rId83" Type="http://schemas.openxmlformats.org/officeDocument/2006/relationships/hyperlink" Target="https://bulbapedia.bulbagarden.net/wiki/Level_Ball_(Next_Destinies_89)" TargetMode="External"/><Relationship Id="rId88" Type="http://schemas.openxmlformats.org/officeDocument/2006/relationships/hyperlink" Target="https://bulbapedia.bulbagarden.net/wiki/Emboar_(Next_Destinies_100)" TargetMode="External"/><Relationship Id="rId91" Type="http://schemas.openxmlformats.org/officeDocument/2006/relationships/hyperlink" Target="https://bulbapedia.bulbagarden.net/wiki/Hydreigon_(Next_Destinies_103)" TargetMode="External"/><Relationship Id="rId1" Type="http://schemas.openxmlformats.org/officeDocument/2006/relationships/hyperlink" Target="https://bulbapedia.bulbagarden.net/wiki/Pinsir_(Next_Destinies_1)" TargetMode="External"/><Relationship Id="rId6" Type="http://schemas.openxmlformats.org/officeDocument/2006/relationships/hyperlink" Target="https://bulbapedia.bulbagarden.net/wiki/Simisage_(Next_Destinies_7)" TargetMode="External"/><Relationship Id="rId15" Type="http://schemas.openxmlformats.org/officeDocument/2006/relationships/hyperlink" Target="https://bulbapedia.bulbagarden.net/wiki/Simisear_(Next_Destinies_16)" TargetMode="External"/><Relationship Id="rId23" Type="http://schemas.openxmlformats.org/officeDocument/2006/relationships/hyperlink" Target="https://bulbapedia.bulbagarden.net/wiki/Lapras_(Next_Destinies_25)" TargetMode="External"/><Relationship Id="rId28" Type="http://schemas.openxmlformats.org/officeDocument/2006/relationships/hyperlink" Target="https://bulbapedia.bulbagarden.net/wiki/Basculin_(Next_Destinies_30)" TargetMode="External"/><Relationship Id="rId36" Type="http://schemas.openxmlformats.org/officeDocument/2006/relationships/hyperlink" Target="https://bulbapedia.bulbagarden.net/wiki/Pikachu_(Next_Destinies_39)" TargetMode="External"/><Relationship Id="rId49" Type="http://schemas.openxmlformats.org/officeDocument/2006/relationships/hyperlink" Target="https://bulbapedia.bulbagarden.net/wiki/Muk_(Next_Destinies_53)" TargetMode="External"/><Relationship Id="rId57" Type="http://schemas.openxmlformats.org/officeDocument/2006/relationships/hyperlink" Target="https://bulbapedia.bulbagarden.net/wiki/Beheeyem_(Next_Destinies_62)" TargetMode="External"/><Relationship Id="rId10" Type="http://schemas.openxmlformats.org/officeDocument/2006/relationships/hyperlink" Target="https://bulbapedia.bulbagarden.net/wiki/Growlithe_(Next_Destinies_11)" TargetMode="External"/><Relationship Id="rId31" Type="http://schemas.openxmlformats.org/officeDocument/2006/relationships/hyperlink" Target="https://bulbapedia.bulbagarden.net/wiki/Vanilluxe_(Next_Destinies_33)" TargetMode="External"/><Relationship Id="rId44" Type="http://schemas.openxmlformats.org/officeDocument/2006/relationships/hyperlink" Target="https://bulbapedia.bulbagarden.net/wiki/Blitzle_(Next_Destinies_47)" TargetMode="External"/><Relationship Id="rId52" Type="http://schemas.openxmlformats.org/officeDocument/2006/relationships/hyperlink" Target="https://bulbapedia.bulbagarden.net/wiki/Gardevoir_(Next_Destinies_57)" TargetMode="External"/><Relationship Id="rId60" Type="http://schemas.openxmlformats.org/officeDocument/2006/relationships/hyperlink" Target="https://bulbapedia.bulbagarden.net/wiki/Hippopotas_(Next_Destinies_65)" TargetMode="External"/><Relationship Id="rId65" Type="http://schemas.openxmlformats.org/officeDocument/2006/relationships/hyperlink" Target="https://bulbapedia.bulbagarden.net/wiki/Weavile_(Next_Destinies_70)" TargetMode="External"/><Relationship Id="rId73" Type="http://schemas.openxmlformats.org/officeDocument/2006/relationships/hyperlink" Target="https://bulbapedia.bulbagarden.net/wiki/Jigglypuff_(Next_Destinies_78)" TargetMode="External"/><Relationship Id="rId78" Type="http://schemas.openxmlformats.org/officeDocument/2006/relationships/hyperlink" Target="https://bulbapedia.bulbagarden.net/wiki/Minccino_(Next_Destinies_84)" TargetMode="External"/><Relationship Id="rId81" Type="http://schemas.openxmlformats.org/officeDocument/2006/relationships/hyperlink" Target="https://bulbapedia.bulbagarden.net/wiki/Exp._Share_(Next_Destinies_87)" TargetMode="External"/><Relationship Id="rId86" Type="http://schemas.openxmlformats.org/officeDocument/2006/relationships/hyperlink" Target="https://bulbapedia.bulbagarden.net/wiki/Double_Colorless_Energy_(Next_Destinies_92)" TargetMode="External"/><Relationship Id="rId4" Type="http://schemas.openxmlformats.org/officeDocument/2006/relationships/hyperlink" Target="https://bulbapedia.bulbagarden.net/wiki/Kricketune_(Next_Destinies_4)" TargetMode="External"/><Relationship Id="rId9" Type="http://schemas.openxmlformats.org/officeDocument/2006/relationships/hyperlink" Target="https://bulbapedia.bulbagarden.net/wiki/Growlithe_(Next_Destinies_10)" TargetMode="External"/><Relationship Id="rId13" Type="http://schemas.openxmlformats.org/officeDocument/2006/relationships/hyperlink" Target="https://bulbapedia.bulbagarden.net/wiki/Moltres_(Next_Destinies_14)" TargetMode="External"/><Relationship Id="rId18" Type="http://schemas.openxmlformats.org/officeDocument/2006/relationships/hyperlink" Target="https://bulbapedia.bulbagarden.net/wiki/Lampent_(Next_Destinies_19)" TargetMode="External"/><Relationship Id="rId39" Type="http://schemas.openxmlformats.org/officeDocument/2006/relationships/hyperlink" Target="https://bulbapedia.bulbagarden.net/wiki/Shinx_(Next_Destinies_42)" TargetMode="External"/><Relationship Id="rId34" Type="http://schemas.openxmlformats.org/officeDocument/2006/relationships/hyperlink" Target="https://bulbapedia.bulbagarden.net/wiki/Cubchoo_(Next_Destinies_36)" TargetMode="External"/><Relationship Id="rId50" Type="http://schemas.openxmlformats.org/officeDocument/2006/relationships/hyperlink" Target="https://bulbapedia.bulbagarden.net/wiki/Ralts_(Next_Destinies_55)" TargetMode="External"/><Relationship Id="rId55" Type="http://schemas.openxmlformats.org/officeDocument/2006/relationships/hyperlink" Target="https://bulbapedia.bulbagarden.net/wiki/Darmanitan_(Next_Destinies_60)" TargetMode="External"/><Relationship Id="rId76" Type="http://schemas.openxmlformats.org/officeDocument/2006/relationships/hyperlink" Target="https://bulbapedia.bulbagarden.net/wiki/Persian_(Next_Destinies_81)" TargetMode="External"/><Relationship Id="rId7" Type="http://schemas.openxmlformats.org/officeDocument/2006/relationships/hyperlink" Target="https://bulbapedia.bulbagarden.net/wiki/Foongus_(Next_Destinies_8)" TargetMode="External"/><Relationship Id="rId71" Type="http://schemas.openxmlformats.org/officeDocument/2006/relationships/hyperlink" Target="https://bulbapedia.bulbagarden.net/wiki/Bronzong_(Next_Destinies_76)" TargetMode="External"/><Relationship Id="rId2" Type="http://schemas.openxmlformats.org/officeDocument/2006/relationships/hyperlink" Target="https://bulbapedia.bulbagarden.net/wiki/Seedot_(Next_Destinies_2)" TargetMode="External"/><Relationship Id="rId29" Type="http://schemas.openxmlformats.org/officeDocument/2006/relationships/hyperlink" Target="https://bulbapedia.bulbagarden.net/wiki/Vanillite_(Next_Destinies_31)" TargetMode="External"/><Relationship Id="rId24" Type="http://schemas.openxmlformats.org/officeDocument/2006/relationships/hyperlink" Target="https://bulbapedia.bulbagarden.net/wiki/Lapras_(Next_Destinies_26)" TargetMode="External"/><Relationship Id="rId40" Type="http://schemas.openxmlformats.org/officeDocument/2006/relationships/hyperlink" Target="https://bulbapedia.bulbagarden.net/wiki/Shinx_(Next_Destinies_43)" TargetMode="External"/><Relationship Id="rId45" Type="http://schemas.openxmlformats.org/officeDocument/2006/relationships/hyperlink" Target="https://bulbapedia.bulbagarden.net/wiki/Zebstrika_(Next_Destinies_48)" TargetMode="External"/><Relationship Id="rId66" Type="http://schemas.openxmlformats.org/officeDocument/2006/relationships/hyperlink" Target="https://bulbapedia.bulbagarden.net/wiki/Nuzleaf_(Next_Destinies_71)" TargetMode="External"/><Relationship Id="rId87" Type="http://schemas.openxmlformats.org/officeDocument/2006/relationships/hyperlink" Target="https://bulbapedia.bulbagarden.net/wiki/Prism_Energy_(Next_Destinies_93)" TargetMode="External"/><Relationship Id="rId61" Type="http://schemas.openxmlformats.org/officeDocument/2006/relationships/hyperlink" Target="https://bulbapedia.bulbagarden.net/wiki/Hippowdon_(Next_Destinies_66)" TargetMode="External"/><Relationship Id="rId82" Type="http://schemas.openxmlformats.org/officeDocument/2006/relationships/hyperlink" Target="https://bulbapedia.bulbagarden.net/wiki/Heavy_Ball_(Next_Destinies_88)" TargetMode="External"/><Relationship Id="rId19" Type="http://schemas.openxmlformats.org/officeDocument/2006/relationships/hyperlink" Target="https://bulbapedia.bulbagarden.net/wiki/Chandelure_(Next_Destinies_20)" TargetMode="External"/></Relationships>
</file>

<file path=xl/worksheets/_rels/sheet40.xml.rels><?xml version="1.0" encoding="UTF-8" standalone="yes"?>
<Relationships xmlns="http://schemas.openxmlformats.org/package/2006/relationships"><Relationship Id="rId26" Type="http://schemas.openxmlformats.org/officeDocument/2006/relationships/hyperlink" Target="https://bulbapedia.bulbagarden.net/wiki/Prinplup_(Dark_Explorers_28)" TargetMode="External"/><Relationship Id="rId21" Type="http://schemas.openxmlformats.org/officeDocument/2006/relationships/hyperlink" Target="https://bulbapedia.bulbagarden.net/wiki/Volcarona_(Dark_Explorers_22)" TargetMode="External"/><Relationship Id="rId42" Type="http://schemas.openxmlformats.org/officeDocument/2006/relationships/hyperlink" Target="https://bulbapedia.bulbagarden.net/wiki/Tynamo_(Dark_Explorers_45)" TargetMode="External"/><Relationship Id="rId47" Type="http://schemas.openxmlformats.org/officeDocument/2006/relationships/hyperlink" Target="https://bulbapedia.bulbagarden.net/wiki/Woobat_(Dark_Explorers_50)" TargetMode="External"/><Relationship Id="rId63" Type="http://schemas.openxmlformats.org/officeDocument/2006/relationships/hyperlink" Target="https://bulbapedia.bulbagarden.net/wiki/Scrafty_(Dark_Explorers_68)" TargetMode="External"/><Relationship Id="rId68" Type="http://schemas.openxmlformats.org/officeDocument/2006/relationships/hyperlink" Target="https://bulbapedia.bulbagarden.net/wiki/Vullaby_(Dark_Explorers_73)" TargetMode="External"/><Relationship Id="rId84" Type="http://schemas.openxmlformats.org/officeDocument/2006/relationships/hyperlink" Target="https://bulbapedia.bulbagarden.net/wiki/Haxorus_(Dark_Explorers_89)" TargetMode="External"/><Relationship Id="rId89" Type="http://schemas.openxmlformats.org/officeDocument/2006/relationships/hyperlink" Target="https://bulbapedia.bulbagarden.net/wiki/Hooligans_Jim_%26_Cas_(Dark_Explorers_95)" TargetMode="External"/><Relationship Id="rId16" Type="http://schemas.openxmlformats.org/officeDocument/2006/relationships/hyperlink" Target="https://bulbapedia.bulbagarden.net/wiki/Blaziken_(Dark_Explorers_17)" TargetMode="External"/><Relationship Id="rId11" Type="http://schemas.openxmlformats.org/officeDocument/2006/relationships/hyperlink" Target="https://bulbapedia.bulbagarden.net/wiki/Accelgor_(Dark_Explorers_11)" TargetMode="External"/><Relationship Id="rId32" Type="http://schemas.openxmlformats.org/officeDocument/2006/relationships/hyperlink" Target="https://bulbapedia.bulbagarden.net/wiki/Vanillish_(Dark_Explorers_34)" TargetMode="External"/><Relationship Id="rId37" Type="http://schemas.openxmlformats.org/officeDocument/2006/relationships/hyperlink" Target="https://bulbapedia.bulbagarden.net/wiki/Minun_(Dark_Explorers_40)" TargetMode="External"/><Relationship Id="rId53" Type="http://schemas.openxmlformats.org/officeDocument/2006/relationships/hyperlink" Target="https://bulbapedia.bulbagarden.net/wiki/Excadrill_(Dark_Explorers_57)" TargetMode="External"/><Relationship Id="rId58" Type="http://schemas.openxmlformats.org/officeDocument/2006/relationships/hyperlink" Target="https://bulbapedia.bulbagarden.net/wiki/Sableye_(Dark_Explorers_62)" TargetMode="External"/><Relationship Id="rId74" Type="http://schemas.openxmlformats.org/officeDocument/2006/relationships/hyperlink" Target="https://bulbapedia.bulbagarden.net/wiki/Bisharp_(Dark_Explorers_79)" TargetMode="External"/><Relationship Id="rId79" Type="http://schemas.openxmlformats.org/officeDocument/2006/relationships/hyperlink" Target="https://bulbapedia.bulbagarden.net/wiki/Eevee_(Dark_Explorers_84)" TargetMode="External"/><Relationship Id="rId5" Type="http://schemas.openxmlformats.org/officeDocument/2006/relationships/hyperlink" Target="https://bulbapedia.bulbagarden.net/wiki/Carnivine_(Dark_Explorers_5)" TargetMode="External"/><Relationship Id="rId90" Type="http://schemas.openxmlformats.org/officeDocument/2006/relationships/hyperlink" Target="https://bulbapedia.bulbagarden.net/wiki/N_(Dark_Explorers_96)" TargetMode="External"/><Relationship Id="rId95" Type="http://schemas.openxmlformats.org/officeDocument/2006/relationships/hyperlink" Target="https://bulbapedia.bulbagarden.net/wiki/Twist_Mountain_(Dark_Explorers_101)" TargetMode="External"/><Relationship Id="rId22" Type="http://schemas.openxmlformats.org/officeDocument/2006/relationships/hyperlink" Target="https://bulbapedia.bulbagarden.net/wiki/Slowpoke_(Dark_Explorers_23)" TargetMode="External"/><Relationship Id="rId27" Type="http://schemas.openxmlformats.org/officeDocument/2006/relationships/hyperlink" Target="https://bulbapedia.bulbagarden.net/wiki/Empoleon_(Dark_Explorers_29)" TargetMode="External"/><Relationship Id="rId43" Type="http://schemas.openxmlformats.org/officeDocument/2006/relationships/hyperlink" Target="https://bulbapedia.bulbagarden.net/wiki/Eelektrik_(Dark_Explorers_46)" TargetMode="External"/><Relationship Id="rId48" Type="http://schemas.openxmlformats.org/officeDocument/2006/relationships/hyperlink" Target="https://bulbapedia.bulbagarden.net/wiki/Yamask_(Dark_Explorers_51)" TargetMode="External"/><Relationship Id="rId64" Type="http://schemas.openxmlformats.org/officeDocument/2006/relationships/hyperlink" Target="https://bulbapedia.bulbagarden.net/wiki/Zorua_(Dark_Explorers_69)" TargetMode="External"/><Relationship Id="rId69" Type="http://schemas.openxmlformats.org/officeDocument/2006/relationships/hyperlink" Target="https://bulbapedia.bulbagarden.net/wiki/Escavalier_(Dark_Explorers_74)" TargetMode="External"/><Relationship Id="rId80" Type="http://schemas.openxmlformats.org/officeDocument/2006/relationships/hyperlink" Target="https://bulbapedia.bulbagarden.net/wiki/Chatot_(Dark_Explorers_85)" TargetMode="External"/><Relationship Id="rId85" Type="http://schemas.openxmlformats.org/officeDocument/2006/relationships/hyperlink" Target="https://bulbapedia.bulbagarden.net/wiki/Cheren_(Dark_Explorers_91)" TargetMode="External"/><Relationship Id="rId3" Type="http://schemas.openxmlformats.org/officeDocument/2006/relationships/hyperlink" Target="https://bulbapedia.bulbagarden.net/wiki/Venusaur_(Dark_Explorers_3)" TargetMode="External"/><Relationship Id="rId12" Type="http://schemas.openxmlformats.org/officeDocument/2006/relationships/hyperlink" Target="https://bulbapedia.bulbagarden.net/wiki/Flareon_(Dark_Explorers_12)" TargetMode="External"/><Relationship Id="rId17" Type="http://schemas.openxmlformats.org/officeDocument/2006/relationships/hyperlink" Target="https://bulbapedia.bulbagarden.net/wiki/Torkoal_(Dark_Explorers_18)" TargetMode="External"/><Relationship Id="rId25" Type="http://schemas.openxmlformats.org/officeDocument/2006/relationships/hyperlink" Target="https://bulbapedia.bulbagarden.net/wiki/Piplup_(Dark_Explorers_27)" TargetMode="External"/><Relationship Id="rId33" Type="http://schemas.openxmlformats.org/officeDocument/2006/relationships/hyperlink" Target="https://bulbapedia.bulbagarden.net/wiki/Ducklett_(Dark_Explorers_35)" TargetMode="External"/><Relationship Id="rId38" Type="http://schemas.openxmlformats.org/officeDocument/2006/relationships/hyperlink" Target="https://bulbapedia.bulbagarden.net/wiki/Joltik_(Dark_Explorers_41)" TargetMode="External"/><Relationship Id="rId46" Type="http://schemas.openxmlformats.org/officeDocument/2006/relationships/hyperlink" Target="https://bulbapedia.bulbagarden.net/wiki/Slowking_(Dark_Explorers_49)" TargetMode="External"/><Relationship Id="rId59" Type="http://schemas.openxmlformats.org/officeDocument/2006/relationships/hyperlink" Target="https://bulbapedia.bulbagarden.net/wiki/Sandile_(Dark_Explorers_64)" TargetMode="External"/><Relationship Id="rId67" Type="http://schemas.openxmlformats.org/officeDocument/2006/relationships/hyperlink" Target="https://bulbapedia.bulbagarden.net/wiki/Bisharp_(Dark_Explorers_72)" TargetMode="External"/><Relationship Id="rId20" Type="http://schemas.openxmlformats.org/officeDocument/2006/relationships/hyperlink" Target="https://bulbapedia.bulbagarden.net/wiki/Larvesta_(Dark_Explorers_21)" TargetMode="External"/><Relationship Id="rId41" Type="http://schemas.openxmlformats.org/officeDocument/2006/relationships/hyperlink" Target="https://bulbapedia.bulbagarden.net/wiki/Tynamo_(Dark_Explorers_44)" TargetMode="External"/><Relationship Id="rId54" Type="http://schemas.openxmlformats.org/officeDocument/2006/relationships/hyperlink" Target="https://bulbapedia.bulbagarden.net/wiki/Timburr_(Dark_Explorers_58)" TargetMode="External"/><Relationship Id="rId62" Type="http://schemas.openxmlformats.org/officeDocument/2006/relationships/hyperlink" Target="https://bulbapedia.bulbagarden.net/wiki/Scraggy_(Dark_Explorers_67)" TargetMode="External"/><Relationship Id="rId70" Type="http://schemas.openxmlformats.org/officeDocument/2006/relationships/hyperlink" Target="https://bulbapedia.bulbagarden.net/wiki/Klink_(Dark_Explorers_75)" TargetMode="External"/><Relationship Id="rId75" Type="http://schemas.openxmlformats.org/officeDocument/2006/relationships/hyperlink" Target="https://bulbapedia.bulbagarden.net/wiki/Chansey_(Dark_Explorers_80)" TargetMode="External"/><Relationship Id="rId83" Type="http://schemas.openxmlformats.org/officeDocument/2006/relationships/hyperlink" Target="https://bulbapedia.bulbagarden.net/wiki/Stoutland_(Dark_Explorers_88)" TargetMode="External"/><Relationship Id="rId88" Type="http://schemas.openxmlformats.org/officeDocument/2006/relationships/hyperlink" Target="https://bulbapedia.bulbagarden.net/wiki/Enhanced_Hammer_(Dark_Explorers_94)" TargetMode="External"/><Relationship Id="rId91" Type="http://schemas.openxmlformats.org/officeDocument/2006/relationships/hyperlink" Target="https://bulbapedia.bulbagarden.net/wiki/Old_Amber_Aerodactyl_(Dark_Explorers_97)" TargetMode="External"/><Relationship Id="rId96" Type="http://schemas.openxmlformats.org/officeDocument/2006/relationships/hyperlink" Target="https://bulbapedia.bulbagarden.net/wiki/Ultra_Ball_(Dark_Explorers_102)" TargetMode="External"/><Relationship Id="rId1" Type="http://schemas.openxmlformats.org/officeDocument/2006/relationships/hyperlink" Target="https://bulbapedia.bulbagarden.net/wiki/Bulbasaur_(Dark_Explorers_1)" TargetMode="External"/><Relationship Id="rId6" Type="http://schemas.openxmlformats.org/officeDocument/2006/relationships/hyperlink" Target="https://bulbapedia.bulbagarden.net/wiki/Leafeon_(Dark_Explorers_6)" TargetMode="External"/><Relationship Id="rId15" Type="http://schemas.openxmlformats.org/officeDocument/2006/relationships/hyperlink" Target="https://bulbapedia.bulbagarden.net/wiki/Combusken_(Dark_Explorers_16)" TargetMode="External"/><Relationship Id="rId23" Type="http://schemas.openxmlformats.org/officeDocument/2006/relationships/hyperlink" Target="https://bulbapedia.bulbagarden.net/wiki/Slowbro_(Dark_Explorers_24)" TargetMode="External"/><Relationship Id="rId28" Type="http://schemas.openxmlformats.org/officeDocument/2006/relationships/hyperlink" Target="https://bulbapedia.bulbagarden.net/wiki/Glaceon_(Dark_Explorers_30)" TargetMode="External"/><Relationship Id="rId36" Type="http://schemas.openxmlformats.org/officeDocument/2006/relationships/hyperlink" Target="https://bulbapedia.bulbagarden.net/wiki/Plusle_(Dark_Explorers_39)" TargetMode="External"/><Relationship Id="rId49" Type="http://schemas.openxmlformats.org/officeDocument/2006/relationships/hyperlink" Target="https://bulbapedia.bulbagarden.net/wiki/Cofagrigus_(Dark_Explorers_52)" TargetMode="External"/><Relationship Id="rId57" Type="http://schemas.openxmlformats.org/officeDocument/2006/relationships/hyperlink" Target="https://bulbapedia.bulbagarden.net/wiki/Umbreon_(Dark_Explorers_61)" TargetMode="External"/><Relationship Id="rId10" Type="http://schemas.openxmlformats.org/officeDocument/2006/relationships/hyperlink" Target="https://bulbapedia.bulbagarden.net/wiki/Shelmet_(Dark_Explorers_10)" TargetMode="External"/><Relationship Id="rId31" Type="http://schemas.openxmlformats.org/officeDocument/2006/relationships/hyperlink" Target="https://bulbapedia.bulbagarden.net/wiki/Vanillite_(Dark_Explorers_33)" TargetMode="External"/><Relationship Id="rId44" Type="http://schemas.openxmlformats.org/officeDocument/2006/relationships/hyperlink" Target="https://bulbapedia.bulbagarden.net/wiki/Eelektross_(Dark_Explorers_47)" TargetMode="External"/><Relationship Id="rId52" Type="http://schemas.openxmlformats.org/officeDocument/2006/relationships/hyperlink" Target="https://bulbapedia.bulbagarden.net/wiki/Excadrill_(Dark_Explorers_56)" TargetMode="External"/><Relationship Id="rId60" Type="http://schemas.openxmlformats.org/officeDocument/2006/relationships/hyperlink" Target="https://bulbapedia.bulbagarden.net/wiki/Krokorok_(Dark_Explorers_65)" TargetMode="External"/><Relationship Id="rId65" Type="http://schemas.openxmlformats.org/officeDocument/2006/relationships/hyperlink" Target="https://bulbapedia.bulbagarden.net/wiki/Zorua_(Dark_Explorers_70)" TargetMode="External"/><Relationship Id="rId73" Type="http://schemas.openxmlformats.org/officeDocument/2006/relationships/hyperlink" Target="https://bulbapedia.bulbagarden.net/wiki/Pawniard_(Dark_Explorers_78)" TargetMode="External"/><Relationship Id="rId78" Type="http://schemas.openxmlformats.org/officeDocument/2006/relationships/hyperlink" Target="https://bulbapedia.bulbagarden.net/wiki/Eevee_(Dark_Explorers_83)" TargetMode="External"/><Relationship Id="rId81" Type="http://schemas.openxmlformats.org/officeDocument/2006/relationships/hyperlink" Target="https://bulbapedia.bulbagarden.net/wiki/Lillipup_(Dark_Explorers_86)" TargetMode="External"/><Relationship Id="rId86" Type="http://schemas.openxmlformats.org/officeDocument/2006/relationships/hyperlink" Target="https://bulbapedia.bulbagarden.net/wiki/Dark_Claw_(Dark_Explorers_92)" TargetMode="External"/><Relationship Id="rId94" Type="http://schemas.openxmlformats.org/officeDocument/2006/relationships/hyperlink" Target="https://bulbapedia.bulbagarden.net/wiki/Rare_Candy_(Dark_Explorers_100)" TargetMode="External"/><Relationship Id="rId99" Type="http://schemas.openxmlformats.org/officeDocument/2006/relationships/hyperlink" Target="https://bulbapedia.bulbagarden.net/wiki/Pok%C3%A9mon_Catcher_(Dark_Explorers_111)" TargetMode="External"/><Relationship Id="rId4" Type="http://schemas.openxmlformats.org/officeDocument/2006/relationships/hyperlink" Target="https://bulbapedia.bulbagarden.net/wiki/Scyther_(Dark_Explorers_4)" TargetMode="External"/><Relationship Id="rId9" Type="http://schemas.openxmlformats.org/officeDocument/2006/relationships/hyperlink" Target="https://bulbapedia.bulbagarden.net/wiki/Karrablast_(Dark_Explorers_9)" TargetMode="External"/><Relationship Id="rId13" Type="http://schemas.openxmlformats.org/officeDocument/2006/relationships/hyperlink" Target="https://bulbapedia.bulbagarden.net/wiki/Torchic_(Dark_Explorers_14)" TargetMode="External"/><Relationship Id="rId18" Type="http://schemas.openxmlformats.org/officeDocument/2006/relationships/hyperlink" Target="https://bulbapedia.bulbagarden.net/wiki/Heatmor_(Dark_Explorers_19)" TargetMode="External"/><Relationship Id="rId39" Type="http://schemas.openxmlformats.org/officeDocument/2006/relationships/hyperlink" Target="https://bulbapedia.bulbagarden.net/wiki/Joltik_(Dark_Explorers_42)" TargetMode="External"/><Relationship Id="rId34" Type="http://schemas.openxmlformats.org/officeDocument/2006/relationships/hyperlink" Target="https://bulbapedia.bulbagarden.net/wiki/Swanna_(Dark_Explorers_36)" TargetMode="External"/><Relationship Id="rId50" Type="http://schemas.openxmlformats.org/officeDocument/2006/relationships/hyperlink" Target="https://bulbapedia.bulbagarden.net/wiki/Aerodactyl_(Dark_Explorers_53)" TargetMode="External"/><Relationship Id="rId55" Type="http://schemas.openxmlformats.org/officeDocument/2006/relationships/hyperlink" Target="https://bulbapedia.bulbagarden.net/wiki/Gurdurr_(Dark_Explorers_59)" TargetMode="External"/><Relationship Id="rId76" Type="http://schemas.openxmlformats.org/officeDocument/2006/relationships/hyperlink" Target="https://bulbapedia.bulbagarden.net/wiki/Chansey_(Dark_Explorers_81)" TargetMode="External"/><Relationship Id="rId97" Type="http://schemas.openxmlformats.org/officeDocument/2006/relationships/hyperlink" Target="https://bulbapedia.bulbagarden.net/wiki/Gardevoir_(Dark_Explorers_109)" TargetMode="External"/><Relationship Id="rId7" Type="http://schemas.openxmlformats.org/officeDocument/2006/relationships/hyperlink" Target="https://bulbapedia.bulbagarden.net/wiki/Dwebble_(Dark_Explorers_7)" TargetMode="External"/><Relationship Id="rId71" Type="http://schemas.openxmlformats.org/officeDocument/2006/relationships/hyperlink" Target="https://bulbapedia.bulbagarden.net/wiki/Klang_(Dark_Explorers_76)" TargetMode="External"/><Relationship Id="rId92" Type="http://schemas.openxmlformats.org/officeDocument/2006/relationships/hyperlink" Target="https://bulbapedia.bulbagarden.net/wiki/Professor_Juniper_(Dark_Explorers_98)" TargetMode="External"/><Relationship Id="rId2" Type="http://schemas.openxmlformats.org/officeDocument/2006/relationships/hyperlink" Target="https://bulbapedia.bulbagarden.net/wiki/Ivysaur_(Dark_Explorers_2)" TargetMode="External"/><Relationship Id="rId29" Type="http://schemas.openxmlformats.org/officeDocument/2006/relationships/hyperlink" Target="https://bulbapedia.bulbagarden.net/wiki/Tympole_(Dark_Explorers_31)" TargetMode="External"/><Relationship Id="rId24" Type="http://schemas.openxmlformats.org/officeDocument/2006/relationships/hyperlink" Target="https://bulbapedia.bulbagarden.net/wiki/Vaporeon_(Dark_Explorers_25)" TargetMode="External"/><Relationship Id="rId40" Type="http://schemas.openxmlformats.org/officeDocument/2006/relationships/hyperlink" Target="https://bulbapedia.bulbagarden.net/wiki/Galvantula_(Dark_Explorers_43)" TargetMode="External"/><Relationship Id="rId45" Type="http://schemas.openxmlformats.org/officeDocument/2006/relationships/hyperlink" Target="https://bulbapedia.bulbagarden.net/wiki/Espeon_(Dark_Explorers_48)" TargetMode="External"/><Relationship Id="rId66" Type="http://schemas.openxmlformats.org/officeDocument/2006/relationships/hyperlink" Target="https://bulbapedia.bulbagarden.net/wiki/Zoroark_(Dark_Explorers_71)" TargetMode="External"/><Relationship Id="rId87" Type="http://schemas.openxmlformats.org/officeDocument/2006/relationships/hyperlink" Target="https://bulbapedia.bulbagarden.net/wiki/Dark_Patch_(Dark_Explorers_93)" TargetMode="External"/><Relationship Id="rId61" Type="http://schemas.openxmlformats.org/officeDocument/2006/relationships/hyperlink" Target="https://bulbapedia.bulbagarden.net/wiki/Krookodile_(Dark_Explorers_66)" TargetMode="External"/><Relationship Id="rId82" Type="http://schemas.openxmlformats.org/officeDocument/2006/relationships/hyperlink" Target="https://bulbapedia.bulbagarden.net/wiki/Herdier_(Dark_Explorers_87)" TargetMode="External"/><Relationship Id="rId19" Type="http://schemas.openxmlformats.org/officeDocument/2006/relationships/hyperlink" Target="https://bulbapedia.bulbagarden.net/wiki/Larvesta_(Dark_Explorers_20)" TargetMode="External"/><Relationship Id="rId14" Type="http://schemas.openxmlformats.org/officeDocument/2006/relationships/hyperlink" Target="https://bulbapedia.bulbagarden.net/wiki/Torchic_(Dark_Explorers_15)" TargetMode="External"/><Relationship Id="rId30" Type="http://schemas.openxmlformats.org/officeDocument/2006/relationships/hyperlink" Target="https://bulbapedia.bulbagarden.net/wiki/Palpitoad_(Dark_Explorers_32)" TargetMode="External"/><Relationship Id="rId35" Type="http://schemas.openxmlformats.org/officeDocument/2006/relationships/hyperlink" Target="https://bulbapedia.bulbagarden.net/wiki/Jolteon_(Dark_Explorers_37)" TargetMode="External"/><Relationship Id="rId56" Type="http://schemas.openxmlformats.org/officeDocument/2006/relationships/hyperlink" Target="https://bulbapedia.bulbagarden.net/wiki/Umbreon_(Dark_Explorers_60)" TargetMode="External"/><Relationship Id="rId77" Type="http://schemas.openxmlformats.org/officeDocument/2006/relationships/hyperlink" Target="https://bulbapedia.bulbagarden.net/wiki/Blissey_(Dark_Explorers_82)" TargetMode="External"/><Relationship Id="rId8" Type="http://schemas.openxmlformats.org/officeDocument/2006/relationships/hyperlink" Target="https://bulbapedia.bulbagarden.net/wiki/Crustle_(Dark_Explorers_8)" TargetMode="External"/><Relationship Id="rId51" Type="http://schemas.openxmlformats.org/officeDocument/2006/relationships/hyperlink" Target="https://bulbapedia.bulbagarden.net/wiki/Drilbur_(Dark_Explorers_55)" TargetMode="External"/><Relationship Id="rId72" Type="http://schemas.openxmlformats.org/officeDocument/2006/relationships/hyperlink" Target="https://bulbapedia.bulbagarden.net/wiki/Klinklang_(Dark_Explorers_77)" TargetMode="External"/><Relationship Id="rId93" Type="http://schemas.openxmlformats.org/officeDocument/2006/relationships/hyperlink" Target="https://bulbapedia.bulbagarden.net/wiki/Random_Receiver_(Dark_Explorers_99)" TargetMode="External"/><Relationship Id="rId98" Type="http://schemas.openxmlformats.org/officeDocument/2006/relationships/hyperlink" Target="https://bulbapedia.bulbagarden.net/wiki/Archeops_(Dark_Explorers_110)"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bulbapedia.bulbagarden.net/wiki/Drilbur_(McDonald%27s_Collection_8)" TargetMode="External"/><Relationship Id="rId3" Type="http://schemas.openxmlformats.org/officeDocument/2006/relationships/hyperlink" Target="https://bulbapedia.bulbagarden.net/wiki/Dwebble_(McDonald%27s_Collection_3)" TargetMode="External"/><Relationship Id="rId7" Type="http://schemas.openxmlformats.org/officeDocument/2006/relationships/hyperlink" Target="https://bulbapedia.bulbagarden.net/wiki/Woobat_(McDonald%27s_Collection_7)" TargetMode="External"/><Relationship Id="rId12" Type="http://schemas.openxmlformats.org/officeDocument/2006/relationships/hyperlink" Target="https://bulbapedia.bulbagarden.net/wiki/Axew_(McDonald%27s_Collection_12)" TargetMode="External"/><Relationship Id="rId2" Type="http://schemas.openxmlformats.org/officeDocument/2006/relationships/hyperlink" Target="https://bulbapedia.bulbagarden.net/wiki/Pansage_(McDonald%27s_Collection_2)" TargetMode="External"/><Relationship Id="rId1" Type="http://schemas.openxmlformats.org/officeDocument/2006/relationships/hyperlink" Target="https://bulbapedia.bulbagarden.net/wiki/Servine_(McDonald%27s_Collection_1)" TargetMode="External"/><Relationship Id="rId6" Type="http://schemas.openxmlformats.org/officeDocument/2006/relationships/hyperlink" Target="https://bulbapedia.bulbagarden.net/wiki/Emolga_(McDonald%27s_Collection_6)" TargetMode="External"/><Relationship Id="rId11" Type="http://schemas.openxmlformats.org/officeDocument/2006/relationships/hyperlink" Target="https://bulbapedia.bulbagarden.net/wiki/Klang_(McDonald%27s_Collection_11)" TargetMode="External"/><Relationship Id="rId5" Type="http://schemas.openxmlformats.org/officeDocument/2006/relationships/hyperlink" Target="https://bulbapedia.bulbagarden.net/wiki/Dewott_(McDonald%27s_Collection_5)" TargetMode="External"/><Relationship Id="rId10" Type="http://schemas.openxmlformats.org/officeDocument/2006/relationships/hyperlink" Target="https://bulbapedia.bulbagarden.net/wiki/Scraggy_(McDonald%27s_Collection_10)" TargetMode="External"/><Relationship Id="rId4" Type="http://schemas.openxmlformats.org/officeDocument/2006/relationships/hyperlink" Target="https://bulbapedia.bulbagarden.net/wiki/Pignite_(McDonald%27s_Collection_4)" TargetMode="External"/><Relationship Id="rId9" Type="http://schemas.openxmlformats.org/officeDocument/2006/relationships/hyperlink" Target="https://bulbapedia.bulbagarden.net/wiki/Purrloin_(McDonald%27s_Collection_9)" TargetMode="External"/></Relationships>
</file>

<file path=xl/worksheets/_rels/sheet42.xml.rels><?xml version="1.0" encoding="UTF-8" standalone="yes"?>
<Relationships xmlns="http://schemas.openxmlformats.org/package/2006/relationships"><Relationship Id="rId26" Type="http://schemas.openxmlformats.org/officeDocument/2006/relationships/hyperlink" Target="https://bulbapedia.bulbagarden.net/wiki/Wailord_(Dragons_Exalted_26)" TargetMode="External"/><Relationship Id="rId117" Type="http://schemas.openxmlformats.org/officeDocument/2006/relationships/hyperlink" Target="https://bulbapedia.bulbagarden.net/wiki/Blend_Energy_GFPD_(Dragons_Exalted_117)" TargetMode="External"/><Relationship Id="rId21" Type="http://schemas.openxmlformats.org/officeDocument/2006/relationships/hyperlink" Target="https://bulbapedia.bulbagarden.net/wiki/Magmortar_(Dragons_Exalted_21)" TargetMode="External"/><Relationship Id="rId42" Type="http://schemas.openxmlformats.org/officeDocument/2006/relationships/hyperlink" Target="https://bulbapedia.bulbagarden.net/wiki/Electrike_(Dragons_Exalted_42)" TargetMode="External"/><Relationship Id="rId47" Type="http://schemas.openxmlformats.org/officeDocument/2006/relationships/hyperlink" Target="https://bulbapedia.bulbagarden.net/wiki/Dustox_(Dragons_Exalted_47)" TargetMode="External"/><Relationship Id="rId63" Type="http://schemas.openxmlformats.org/officeDocument/2006/relationships/hyperlink" Target="https://bulbapedia.bulbagarden.net/wiki/Baltoy_(Dragons_Exalted_63)" TargetMode="External"/><Relationship Id="rId68" Type="http://schemas.openxmlformats.org/officeDocument/2006/relationships/hyperlink" Target="https://bulbapedia.bulbagarden.net/wiki/Throh_(Dragons_Exalted_68)" TargetMode="External"/><Relationship Id="rId84" Type="http://schemas.openxmlformats.org/officeDocument/2006/relationships/hyperlink" Target="https://bulbapedia.bulbagarden.net/wiki/Altaria_(Dragons_Exalted_84)" TargetMode="External"/><Relationship Id="rId89" Type="http://schemas.openxmlformats.org/officeDocument/2006/relationships/hyperlink" Target="https://bulbapedia.bulbagarden.net/wiki/Gabite_(Dragons_Exalted_89)" TargetMode="External"/><Relationship Id="rId112" Type="http://schemas.openxmlformats.org/officeDocument/2006/relationships/hyperlink" Target="https://bulbapedia.bulbagarden.net/wiki/Braviary_(Dragons_Exalted_112)" TargetMode="External"/><Relationship Id="rId16" Type="http://schemas.openxmlformats.org/officeDocument/2006/relationships/hyperlink" Target="https://bulbapedia.bulbagarden.net/wiki/Maractus_(Dragons_Exalted_16)" TargetMode="External"/><Relationship Id="rId107" Type="http://schemas.openxmlformats.org/officeDocument/2006/relationships/hyperlink" Target="https://bulbapedia.bulbagarden.net/wiki/Bibarel_(Dragons_Exalted_107)" TargetMode="External"/><Relationship Id="rId11" Type="http://schemas.openxmlformats.org/officeDocument/2006/relationships/hyperlink" Target="https://bulbapedia.bulbagarden.net/wiki/Ninjask_(Dragons_Exalted_11)" TargetMode="External"/><Relationship Id="rId32" Type="http://schemas.openxmlformats.org/officeDocument/2006/relationships/hyperlink" Target="https://bulbapedia.bulbagarden.net/wiki/Buizel_(Dragons_Exalted_32)" TargetMode="External"/><Relationship Id="rId37" Type="http://schemas.openxmlformats.org/officeDocument/2006/relationships/hyperlink" Target="https://bulbapedia.bulbagarden.net/wiki/Alomomola_(Dragons_Exalted_37)" TargetMode="External"/><Relationship Id="rId53" Type="http://schemas.openxmlformats.org/officeDocument/2006/relationships/hyperlink" Target="https://bulbapedia.bulbagarden.net/wiki/Trubbish_(Dragons_Exalted_53)" TargetMode="External"/><Relationship Id="rId58" Type="http://schemas.openxmlformats.org/officeDocument/2006/relationships/hyperlink" Target="https://bulbapedia.bulbagarden.net/wiki/Golett_(Dragons_Exalted_58)" TargetMode="External"/><Relationship Id="rId74" Type="http://schemas.openxmlformats.org/officeDocument/2006/relationships/hyperlink" Target="https://bulbapedia.bulbagarden.net/wiki/Houndour_(Dragons_Exalted_74)" TargetMode="External"/><Relationship Id="rId79" Type="http://schemas.openxmlformats.org/officeDocument/2006/relationships/hyperlink" Target="https://bulbapedia.bulbagarden.net/wiki/Lairon_(Dragons_Exalted_79)" TargetMode="External"/><Relationship Id="rId102" Type="http://schemas.openxmlformats.org/officeDocument/2006/relationships/hyperlink" Target="https://bulbapedia.bulbagarden.net/wiki/Vigoroth_(Dragons_Exalted_102)" TargetMode="External"/><Relationship Id="rId123" Type="http://schemas.openxmlformats.org/officeDocument/2006/relationships/hyperlink" Target="https://bulbapedia.bulbagarden.net/wiki/Rayquaza-EX_(Dragons_Exalted_123)" TargetMode="External"/><Relationship Id="rId128" Type="http://schemas.openxmlformats.org/officeDocument/2006/relationships/hyperlink" Target="https://bulbapedia.bulbagarden.net/wiki/Rayquaza_(Dragons_Exalted_128)" TargetMode="External"/><Relationship Id="rId5" Type="http://schemas.openxmlformats.org/officeDocument/2006/relationships/hyperlink" Target="https://bulbapedia.bulbagarden.net/wiki/Yanmega_(Dragons_Exalted_5)" TargetMode="External"/><Relationship Id="rId90" Type="http://schemas.openxmlformats.org/officeDocument/2006/relationships/hyperlink" Target="https://bulbapedia.bulbagarden.net/wiki/Garchomp_(Dragons_Exalted_90)" TargetMode="External"/><Relationship Id="rId95" Type="http://schemas.openxmlformats.org/officeDocument/2006/relationships/hyperlink" Target="https://bulbapedia.bulbagarden.net/wiki/Zweilous_(Dragons_Exalted_95)" TargetMode="External"/><Relationship Id="rId22" Type="http://schemas.openxmlformats.org/officeDocument/2006/relationships/hyperlink" Target="https://bulbapedia.bulbagarden.net/wiki/Ho-Oh-EX_(Dragons_Exalted_22)" TargetMode="External"/><Relationship Id="rId27" Type="http://schemas.openxmlformats.org/officeDocument/2006/relationships/hyperlink" Target="https://bulbapedia.bulbagarden.net/wiki/Feebas_(Dragons_Exalted_27)" TargetMode="External"/><Relationship Id="rId43" Type="http://schemas.openxmlformats.org/officeDocument/2006/relationships/hyperlink" Target="https://bulbapedia.bulbagarden.net/wiki/Manectric_(Dragons_Exalted_43)" TargetMode="External"/><Relationship Id="rId48" Type="http://schemas.openxmlformats.org/officeDocument/2006/relationships/hyperlink" Target="https://bulbapedia.bulbagarden.net/wiki/Shedinja_(Dragons_Exalted_48)" TargetMode="External"/><Relationship Id="rId64" Type="http://schemas.openxmlformats.org/officeDocument/2006/relationships/hyperlink" Target="https://bulbapedia.bulbagarden.net/wiki/Claydol_(Dragons_Exalted_64)" TargetMode="External"/><Relationship Id="rId69" Type="http://schemas.openxmlformats.org/officeDocument/2006/relationships/hyperlink" Target="https://bulbapedia.bulbagarden.net/wiki/Sawk_(Dragons_Exalted_69)" TargetMode="External"/><Relationship Id="rId113" Type="http://schemas.openxmlformats.org/officeDocument/2006/relationships/hyperlink" Target="https://bulbapedia.bulbagarden.net/wiki/Devolution_Spray_(Dragons_Exalted_113)" TargetMode="External"/><Relationship Id="rId118" Type="http://schemas.openxmlformats.org/officeDocument/2006/relationships/hyperlink" Target="https://bulbapedia.bulbagarden.net/wiki/Blend_Energy_WLFM_(Dragons_Exalted_118)" TargetMode="External"/><Relationship Id="rId80" Type="http://schemas.openxmlformats.org/officeDocument/2006/relationships/hyperlink" Target="https://bulbapedia.bulbagarden.net/wiki/Aggron_(Dragons_Exalted_80)" TargetMode="External"/><Relationship Id="rId85" Type="http://schemas.openxmlformats.org/officeDocument/2006/relationships/hyperlink" Target="https://bulbapedia.bulbagarden.net/wiki/Rayquaza-EX_(Dragons_Exalted_85)" TargetMode="External"/><Relationship Id="rId12" Type="http://schemas.openxmlformats.org/officeDocument/2006/relationships/hyperlink" Target="https://bulbapedia.bulbagarden.net/wiki/Roselia_(Dragons_Exalted_12)" TargetMode="External"/><Relationship Id="rId17" Type="http://schemas.openxmlformats.org/officeDocument/2006/relationships/hyperlink" Target="https://bulbapedia.bulbagarden.net/wiki/Foongus_(Dragons_Exalted_17)" TargetMode="External"/><Relationship Id="rId33" Type="http://schemas.openxmlformats.org/officeDocument/2006/relationships/hyperlink" Target="https://bulbapedia.bulbagarden.net/wiki/Floatzel_(Dragons_Exalted_33)" TargetMode="External"/><Relationship Id="rId38" Type="http://schemas.openxmlformats.org/officeDocument/2006/relationships/hyperlink" Target="https://bulbapedia.bulbagarden.net/wiki/Mareep_(Dragons_Exalted_38)" TargetMode="External"/><Relationship Id="rId59" Type="http://schemas.openxmlformats.org/officeDocument/2006/relationships/hyperlink" Target="https://bulbapedia.bulbagarden.net/wiki/Golurk_(Dragons_Exalted_59)" TargetMode="External"/><Relationship Id="rId103" Type="http://schemas.openxmlformats.org/officeDocument/2006/relationships/hyperlink" Target="https://bulbapedia.bulbagarden.net/wiki/Slaking_(Dragons_Exalted_103)" TargetMode="External"/><Relationship Id="rId108" Type="http://schemas.openxmlformats.org/officeDocument/2006/relationships/hyperlink" Target="https://bulbapedia.bulbagarden.net/wiki/Audino_(Dragons_Exalted_108)" TargetMode="External"/><Relationship Id="rId124" Type="http://schemas.openxmlformats.org/officeDocument/2006/relationships/hyperlink" Target="https://bulbapedia.bulbagarden.net/wiki/Giratina-EX_(Dragons_Exalted_124)" TargetMode="External"/><Relationship Id="rId54" Type="http://schemas.openxmlformats.org/officeDocument/2006/relationships/hyperlink" Target="https://bulbapedia.bulbagarden.net/wiki/Garbodor_(Dragons_Exalted_54)" TargetMode="External"/><Relationship Id="rId70" Type="http://schemas.openxmlformats.org/officeDocument/2006/relationships/hyperlink" Target="https://bulbapedia.bulbagarden.net/wiki/Stunfisk_(Dragons_Exalted_70)" TargetMode="External"/><Relationship Id="rId75" Type="http://schemas.openxmlformats.org/officeDocument/2006/relationships/hyperlink" Target="https://bulbapedia.bulbagarden.net/wiki/Houndoom_(Dragons_Exalted_75)" TargetMode="External"/><Relationship Id="rId91" Type="http://schemas.openxmlformats.org/officeDocument/2006/relationships/hyperlink" Target="https://bulbapedia.bulbagarden.net/wiki/Garchomp_(Dragons_Exalted_91)" TargetMode="External"/><Relationship Id="rId96" Type="http://schemas.openxmlformats.org/officeDocument/2006/relationships/hyperlink" Target="https://bulbapedia.bulbagarden.net/wiki/Zweilous_(Dragons_Exalted_96)" TargetMode="External"/><Relationship Id="rId1" Type="http://schemas.openxmlformats.org/officeDocument/2006/relationships/hyperlink" Target="https://bulbapedia.bulbagarden.net/wiki/Hoppip_(Dragons_Exalted_1)" TargetMode="External"/><Relationship Id="rId6" Type="http://schemas.openxmlformats.org/officeDocument/2006/relationships/hyperlink" Target="https://bulbapedia.bulbagarden.net/wiki/Wurmple_(Dragons_Exalted_6)" TargetMode="External"/><Relationship Id="rId23" Type="http://schemas.openxmlformats.org/officeDocument/2006/relationships/hyperlink" Target="https://bulbapedia.bulbagarden.net/wiki/Magikarp_(Dragons_Exalted_23)" TargetMode="External"/><Relationship Id="rId28" Type="http://schemas.openxmlformats.org/officeDocument/2006/relationships/hyperlink" Target="https://bulbapedia.bulbagarden.net/wiki/Milotic_(Dragons_Exalted_28)" TargetMode="External"/><Relationship Id="rId49" Type="http://schemas.openxmlformats.org/officeDocument/2006/relationships/hyperlink" Target="https://bulbapedia.bulbagarden.net/wiki/Drifloon_(Dragons_Exalted_49)" TargetMode="External"/><Relationship Id="rId114" Type="http://schemas.openxmlformats.org/officeDocument/2006/relationships/hyperlink" Target="https://bulbapedia.bulbagarden.net/wiki/Giant_Cape_(Dragons_Exalted_114)" TargetMode="External"/><Relationship Id="rId119" Type="http://schemas.openxmlformats.org/officeDocument/2006/relationships/hyperlink" Target="https://bulbapedia.bulbagarden.net/wiki/Ho-Oh-EX_(Dragons_Exalted_119)" TargetMode="External"/><Relationship Id="rId44" Type="http://schemas.openxmlformats.org/officeDocument/2006/relationships/hyperlink" Target="https://bulbapedia.bulbagarden.net/wiki/Manectric_(Dragons_Exalted_44)" TargetMode="External"/><Relationship Id="rId60" Type="http://schemas.openxmlformats.org/officeDocument/2006/relationships/hyperlink" Target="https://bulbapedia.bulbagarden.net/wiki/Cubone_(Dragons_Exalted_60)" TargetMode="External"/><Relationship Id="rId65" Type="http://schemas.openxmlformats.org/officeDocument/2006/relationships/hyperlink" Target="https://bulbapedia.bulbagarden.net/wiki/Roggenrola_(Dragons_Exalted_65)" TargetMode="External"/><Relationship Id="rId81" Type="http://schemas.openxmlformats.org/officeDocument/2006/relationships/hyperlink" Target="https://bulbapedia.bulbagarden.net/wiki/Registeel-EX_(Dragons_Exalted_81)" TargetMode="External"/><Relationship Id="rId86" Type="http://schemas.openxmlformats.org/officeDocument/2006/relationships/hyperlink" Target="https://bulbapedia.bulbagarden.net/wiki/Gible_(Dragons_Exalted_86)" TargetMode="External"/><Relationship Id="rId13" Type="http://schemas.openxmlformats.org/officeDocument/2006/relationships/hyperlink" Target="https://bulbapedia.bulbagarden.net/wiki/Roselia_(Dragons_Exalted_13)" TargetMode="External"/><Relationship Id="rId18" Type="http://schemas.openxmlformats.org/officeDocument/2006/relationships/hyperlink" Target="https://bulbapedia.bulbagarden.net/wiki/Vulpix_(Dragons_Exalted_18)" TargetMode="External"/><Relationship Id="rId39" Type="http://schemas.openxmlformats.org/officeDocument/2006/relationships/hyperlink" Target="https://bulbapedia.bulbagarden.net/wiki/Flaaffy_(Dragons_Exalted_39)" TargetMode="External"/><Relationship Id="rId109" Type="http://schemas.openxmlformats.org/officeDocument/2006/relationships/hyperlink" Target="https://bulbapedia.bulbagarden.net/wiki/Minccino_(Dragons_Exalted_109)" TargetMode="External"/><Relationship Id="rId34" Type="http://schemas.openxmlformats.org/officeDocument/2006/relationships/hyperlink" Target="https://bulbapedia.bulbagarden.net/wiki/Tympole_(Dragons_Exalted_34)" TargetMode="External"/><Relationship Id="rId50" Type="http://schemas.openxmlformats.org/officeDocument/2006/relationships/hyperlink" Target="https://bulbapedia.bulbagarden.net/wiki/Drifloon_(Dragons_Exalted_50)" TargetMode="External"/><Relationship Id="rId55" Type="http://schemas.openxmlformats.org/officeDocument/2006/relationships/hyperlink" Target="https://bulbapedia.bulbagarden.net/wiki/Gothita_(Dragons_Exalted_55)" TargetMode="External"/><Relationship Id="rId76" Type="http://schemas.openxmlformats.org/officeDocument/2006/relationships/hyperlink" Target="https://bulbapedia.bulbagarden.net/wiki/Stunky_(Dragons_Exalted_76)" TargetMode="External"/><Relationship Id="rId97" Type="http://schemas.openxmlformats.org/officeDocument/2006/relationships/hyperlink" Target="https://bulbapedia.bulbagarden.net/wiki/Hydreigon_(Dragons_Exalted_97)" TargetMode="External"/><Relationship Id="rId104" Type="http://schemas.openxmlformats.org/officeDocument/2006/relationships/hyperlink" Target="https://bulbapedia.bulbagarden.net/wiki/Swablu_(Dragons_Exalted_104)" TargetMode="External"/><Relationship Id="rId120" Type="http://schemas.openxmlformats.org/officeDocument/2006/relationships/hyperlink" Target="https://bulbapedia.bulbagarden.net/wiki/Mew-EX_(Dragons_Exalted_120)" TargetMode="External"/><Relationship Id="rId125" Type="http://schemas.openxmlformats.org/officeDocument/2006/relationships/hyperlink" Target="https://bulbapedia.bulbagarden.net/wiki/Serperior_(Dragons_Exalted_125)" TargetMode="External"/><Relationship Id="rId7" Type="http://schemas.openxmlformats.org/officeDocument/2006/relationships/hyperlink" Target="https://bulbapedia.bulbagarden.net/wiki/Silcoon_(Dragons_Exalted_7)" TargetMode="External"/><Relationship Id="rId71" Type="http://schemas.openxmlformats.org/officeDocument/2006/relationships/hyperlink" Target="https://bulbapedia.bulbagarden.net/wiki/Terrakion-EX_(Dragons_Exalted_71)" TargetMode="External"/><Relationship Id="rId92" Type="http://schemas.openxmlformats.org/officeDocument/2006/relationships/hyperlink" Target="https://bulbapedia.bulbagarden.net/wiki/Giratina-EX_(Dragons_Exalted_92)" TargetMode="External"/><Relationship Id="rId2" Type="http://schemas.openxmlformats.org/officeDocument/2006/relationships/hyperlink" Target="https://bulbapedia.bulbagarden.net/wiki/Skiploom_(Dragons_Exalted_2)" TargetMode="External"/><Relationship Id="rId29" Type="http://schemas.openxmlformats.org/officeDocument/2006/relationships/hyperlink" Target="https://bulbapedia.bulbagarden.net/wiki/Spheal_(Dragons_Exalted_29)" TargetMode="External"/><Relationship Id="rId24" Type="http://schemas.openxmlformats.org/officeDocument/2006/relationships/hyperlink" Target="https://bulbapedia.bulbagarden.net/wiki/Gyarados_(Dragons_Exalted_24)" TargetMode="External"/><Relationship Id="rId40" Type="http://schemas.openxmlformats.org/officeDocument/2006/relationships/hyperlink" Target="https://bulbapedia.bulbagarden.net/wiki/Ampharos_(Dragons_Exalted_40)" TargetMode="External"/><Relationship Id="rId45" Type="http://schemas.openxmlformats.org/officeDocument/2006/relationships/hyperlink" Target="https://bulbapedia.bulbagarden.net/wiki/Emolga_(Dragons_Exalted_45)" TargetMode="External"/><Relationship Id="rId66" Type="http://schemas.openxmlformats.org/officeDocument/2006/relationships/hyperlink" Target="https://bulbapedia.bulbagarden.net/wiki/Boldore_(Dragons_Exalted_66)" TargetMode="External"/><Relationship Id="rId87" Type="http://schemas.openxmlformats.org/officeDocument/2006/relationships/hyperlink" Target="https://bulbapedia.bulbagarden.net/wiki/Gible_(Dragons_Exalted_87)" TargetMode="External"/><Relationship Id="rId110" Type="http://schemas.openxmlformats.org/officeDocument/2006/relationships/hyperlink" Target="https://bulbapedia.bulbagarden.net/wiki/Bouffalant_(Dragons_Exalted_110)" TargetMode="External"/><Relationship Id="rId115" Type="http://schemas.openxmlformats.org/officeDocument/2006/relationships/hyperlink" Target="https://bulbapedia.bulbagarden.net/wiki/Rescue_Scarf_(Dragons_Exalted_115)" TargetMode="External"/><Relationship Id="rId61" Type="http://schemas.openxmlformats.org/officeDocument/2006/relationships/hyperlink" Target="https://bulbapedia.bulbagarden.net/wiki/Marowak_(Dragons_Exalted_61)" TargetMode="External"/><Relationship Id="rId82" Type="http://schemas.openxmlformats.org/officeDocument/2006/relationships/hyperlink" Target="https://bulbapedia.bulbagarden.net/wiki/Probopass_(Dragons_Exalted_82)" TargetMode="External"/><Relationship Id="rId19" Type="http://schemas.openxmlformats.org/officeDocument/2006/relationships/hyperlink" Target="https://bulbapedia.bulbagarden.net/wiki/Ninetales_(Dragons_Exalted_19)" TargetMode="External"/><Relationship Id="rId14" Type="http://schemas.openxmlformats.org/officeDocument/2006/relationships/hyperlink" Target="https://bulbapedia.bulbagarden.net/wiki/Roserade_(Dragons_Exalted_14)" TargetMode="External"/><Relationship Id="rId30" Type="http://schemas.openxmlformats.org/officeDocument/2006/relationships/hyperlink" Target="https://bulbapedia.bulbagarden.net/wiki/Sealeo_(Dragons_Exalted_30)" TargetMode="External"/><Relationship Id="rId35" Type="http://schemas.openxmlformats.org/officeDocument/2006/relationships/hyperlink" Target="https://bulbapedia.bulbagarden.net/wiki/Palpitoad_(Dragons_Exalted_35)" TargetMode="External"/><Relationship Id="rId56" Type="http://schemas.openxmlformats.org/officeDocument/2006/relationships/hyperlink" Target="https://bulbapedia.bulbagarden.net/wiki/Gothorita_(Dragons_Exalted_56)" TargetMode="External"/><Relationship Id="rId77" Type="http://schemas.openxmlformats.org/officeDocument/2006/relationships/hyperlink" Target="https://bulbapedia.bulbagarden.net/wiki/Skuntank_(Dragons_Exalted_77)" TargetMode="External"/><Relationship Id="rId100" Type="http://schemas.openxmlformats.org/officeDocument/2006/relationships/hyperlink" Target="https://bulbapedia.bulbagarden.net/wiki/Ambipom_(Dragons_Exalted_100)" TargetMode="External"/><Relationship Id="rId105" Type="http://schemas.openxmlformats.org/officeDocument/2006/relationships/hyperlink" Target="https://bulbapedia.bulbagarden.net/wiki/Swablu_(Dragons_Exalted_105)" TargetMode="External"/><Relationship Id="rId126" Type="http://schemas.openxmlformats.org/officeDocument/2006/relationships/hyperlink" Target="https://bulbapedia.bulbagarden.net/wiki/Reuniclus_(Dragons_Exalted_126)" TargetMode="External"/><Relationship Id="rId8" Type="http://schemas.openxmlformats.org/officeDocument/2006/relationships/hyperlink" Target="https://bulbapedia.bulbagarden.net/wiki/Beautifly_(Dragons_Exalted_8)" TargetMode="External"/><Relationship Id="rId51" Type="http://schemas.openxmlformats.org/officeDocument/2006/relationships/hyperlink" Target="https://bulbapedia.bulbagarden.net/wiki/Drifblim_(Dragons_Exalted_51)" TargetMode="External"/><Relationship Id="rId72" Type="http://schemas.openxmlformats.org/officeDocument/2006/relationships/hyperlink" Target="https://bulbapedia.bulbagarden.net/wiki/Murkrow_(Dragons_Exalted_72)" TargetMode="External"/><Relationship Id="rId93" Type="http://schemas.openxmlformats.org/officeDocument/2006/relationships/hyperlink" Target="https://bulbapedia.bulbagarden.net/wiki/Deino_(Dragons_Exalted_93)" TargetMode="External"/><Relationship Id="rId98" Type="http://schemas.openxmlformats.org/officeDocument/2006/relationships/hyperlink" Target="https://bulbapedia.bulbagarden.net/wiki/Hydreigon_(Dragons_Exalted_98)" TargetMode="External"/><Relationship Id="rId121" Type="http://schemas.openxmlformats.org/officeDocument/2006/relationships/hyperlink" Target="https://bulbapedia.bulbagarden.net/wiki/Terrakion-EX_(Dragons_Exalted_121)" TargetMode="External"/><Relationship Id="rId3" Type="http://schemas.openxmlformats.org/officeDocument/2006/relationships/hyperlink" Target="https://bulbapedia.bulbagarden.net/wiki/Jumpluff_(Dragons_Exalted_3)" TargetMode="External"/><Relationship Id="rId25" Type="http://schemas.openxmlformats.org/officeDocument/2006/relationships/hyperlink" Target="https://bulbapedia.bulbagarden.net/wiki/Wailmer_(Dragons_Exalted_25)" TargetMode="External"/><Relationship Id="rId46" Type="http://schemas.openxmlformats.org/officeDocument/2006/relationships/hyperlink" Target="https://bulbapedia.bulbagarden.net/wiki/Mew-EX_(Dragons_Exalted_46)" TargetMode="External"/><Relationship Id="rId67" Type="http://schemas.openxmlformats.org/officeDocument/2006/relationships/hyperlink" Target="https://bulbapedia.bulbagarden.net/wiki/Gigalith_(Dragons_Exalted_67)" TargetMode="External"/><Relationship Id="rId116" Type="http://schemas.openxmlformats.org/officeDocument/2006/relationships/hyperlink" Target="https://bulbapedia.bulbagarden.net/wiki/Tool_Scrapper_(Dragons_Exalted_116)" TargetMode="External"/><Relationship Id="rId20" Type="http://schemas.openxmlformats.org/officeDocument/2006/relationships/hyperlink" Target="https://bulbapedia.bulbagarden.net/wiki/Magmar_(Dragons_Exalted_20)" TargetMode="External"/><Relationship Id="rId41" Type="http://schemas.openxmlformats.org/officeDocument/2006/relationships/hyperlink" Target="https://bulbapedia.bulbagarden.net/wiki/Electrike_(Dragons_Exalted_41)" TargetMode="External"/><Relationship Id="rId62" Type="http://schemas.openxmlformats.org/officeDocument/2006/relationships/hyperlink" Target="https://bulbapedia.bulbagarden.net/wiki/Nosepass_(Dragons_Exalted_62)" TargetMode="External"/><Relationship Id="rId83" Type="http://schemas.openxmlformats.org/officeDocument/2006/relationships/hyperlink" Target="https://bulbapedia.bulbagarden.net/wiki/Durant_(Dragons_Exalted_83)" TargetMode="External"/><Relationship Id="rId88" Type="http://schemas.openxmlformats.org/officeDocument/2006/relationships/hyperlink" Target="https://bulbapedia.bulbagarden.net/wiki/Gabite_(Dragons_Exalted_88)" TargetMode="External"/><Relationship Id="rId111" Type="http://schemas.openxmlformats.org/officeDocument/2006/relationships/hyperlink" Target="https://bulbapedia.bulbagarden.net/wiki/Rufflet_(Dragons_Exalted_111)" TargetMode="External"/><Relationship Id="rId15" Type="http://schemas.openxmlformats.org/officeDocument/2006/relationships/hyperlink" Target="https://bulbapedia.bulbagarden.net/wiki/Roserade_(Dragons_Exalted_15)" TargetMode="External"/><Relationship Id="rId36" Type="http://schemas.openxmlformats.org/officeDocument/2006/relationships/hyperlink" Target="https://bulbapedia.bulbagarden.net/wiki/Seismitoad_(Dragons_Exalted_36)" TargetMode="External"/><Relationship Id="rId57" Type="http://schemas.openxmlformats.org/officeDocument/2006/relationships/hyperlink" Target="https://bulbapedia.bulbagarden.net/wiki/Gothitelle_(Dragons_Exalted_57)" TargetMode="External"/><Relationship Id="rId106" Type="http://schemas.openxmlformats.org/officeDocument/2006/relationships/hyperlink" Target="https://bulbapedia.bulbagarden.net/wiki/Bidoof_(Dragons_Exalted_106)" TargetMode="External"/><Relationship Id="rId127" Type="http://schemas.openxmlformats.org/officeDocument/2006/relationships/hyperlink" Target="https://bulbapedia.bulbagarden.net/wiki/Krookodile_(Dragons_Exalted_127)" TargetMode="External"/><Relationship Id="rId10" Type="http://schemas.openxmlformats.org/officeDocument/2006/relationships/hyperlink" Target="https://bulbapedia.bulbagarden.net/wiki/Nincada_(Dragons_Exalted_10)" TargetMode="External"/><Relationship Id="rId31" Type="http://schemas.openxmlformats.org/officeDocument/2006/relationships/hyperlink" Target="https://bulbapedia.bulbagarden.net/wiki/Walrein_(Dragons_Exalted_31)" TargetMode="External"/><Relationship Id="rId52" Type="http://schemas.openxmlformats.org/officeDocument/2006/relationships/hyperlink" Target="https://bulbapedia.bulbagarden.net/wiki/Sigilyph_(Dragons_Exalted_52)" TargetMode="External"/><Relationship Id="rId73" Type="http://schemas.openxmlformats.org/officeDocument/2006/relationships/hyperlink" Target="https://bulbapedia.bulbagarden.net/wiki/Honchkrow_(Dragons_Exalted_73)" TargetMode="External"/><Relationship Id="rId78" Type="http://schemas.openxmlformats.org/officeDocument/2006/relationships/hyperlink" Target="https://bulbapedia.bulbagarden.net/wiki/Aron_(Dragons_Exalted_78)" TargetMode="External"/><Relationship Id="rId94" Type="http://schemas.openxmlformats.org/officeDocument/2006/relationships/hyperlink" Target="https://bulbapedia.bulbagarden.net/wiki/Deino_(Dragons_Exalted_94)" TargetMode="External"/><Relationship Id="rId99" Type="http://schemas.openxmlformats.org/officeDocument/2006/relationships/hyperlink" Target="https://bulbapedia.bulbagarden.net/wiki/Aipom_(Dragons_Exalted_99)" TargetMode="External"/><Relationship Id="rId101" Type="http://schemas.openxmlformats.org/officeDocument/2006/relationships/hyperlink" Target="https://bulbapedia.bulbagarden.net/wiki/Slakoth_(Dragons_Exalted_101)" TargetMode="External"/><Relationship Id="rId122" Type="http://schemas.openxmlformats.org/officeDocument/2006/relationships/hyperlink" Target="https://bulbapedia.bulbagarden.net/wiki/Registeel-EX_(Dragons_Exalted_122)" TargetMode="External"/><Relationship Id="rId4" Type="http://schemas.openxmlformats.org/officeDocument/2006/relationships/hyperlink" Target="https://bulbapedia.bulbagarden.net/wiki/Yanma_(Dragons_Exalted_4)" TargetMode="External"/><Relationship Id="rId9" Type="http://schemas.openxmlformats.org/officeDocument/2006/relationships/hyperlink" Target="https://bulbapedia.bulbagarden.net/wiki/Cascoon_(Dragons_Exalted_9)" TargetMode="External"/></Relationships>
</file>

<file path=xl/worksheets/_rels/sheet43.xml.rels><?xml version="1.0" encoding="UTF-8" standalone="yes"?>
<Relationships xmlns="http://schemas.openxmlformats.org/package/2006/relationships"><Relationship Id="rId117" Type="http://schemas.openxmlformats.org/officeDocument/2006/relationships/hyperlink" Target="https://bulbapedia.bulbagarden.net/wiki/Lopunny_(Boundaries_Crossed_117)" TargetMode="External"/><Relationship Id="rId21" Type="http://schemas.openxmlformats.org/officeDocument/2006/relationships/hyperlink" Target="https://bulbapedia.bulbagarden.net/wiki/Numel_(Boundaries_Crossed_21)" TargetMode="External"/><Relationship Id="rId42" Type="http://schemas.openxmlformats.org/officeDocument/2006/relationships/hyperlink" Target="https://bulbapedia.bulbagarden.net/wiki/Ducklett_(Boundaries_Crossed_42)" TargetMode="External"/><Relationship Id="rId63" Type="http://schemas.openxmlformats.org/officeDocument/2006/relationships/hyperlink" Target="https://bulbapedia.bulbagarden.net/wiki/Dusknoir_(Boundaries_Crossed_63)" TargetMode="External"/><Relationship Id="rId84" Type="http://schemas.openxmlformats.org/officeDocument/2006/relationships/hyperlink" Target="https://bulbapedia.bulbagarden.net/wiki/Dwebble_(Boundaries_Crossed_84)" TargetMode="External"/><Relationship Id="rId138" Type="http://schemas.openxmlformats.org/officeDocument/2006/relationships/hyperlink" Target="https://bulbapedia.bulbagarden.net/wiki/Crystal_Edge_(Boundaries_Crossed_138)" TargetMode="External"/><Relationship Id="rId107" Type="http://schemas.openxmlformats.org/officeDocument/2006/relationships/hyperlink" Target="https://bulbapedia.bulbagarden.net/wiki/Farfetch%27d_(Boundaries_Crossed_107)" TargetMode="External"/><Relationship Id="rId11" Type="http://schemas.openxmlformats.org/officeDocument/2006/relationships/hyperlink" Target="https://bulbapedia.bulbagarden.net/wiki/Snivy_(Boundaries_Crossed_11)" TargetMode="External"/><Relationship Id="rId32" Type="http://schemas.openxmlformats.org/officeDocument/2006/relationships/hyperlink" Target="https://bulbapedia.bulbagarden.net/wiki/Psyduck_(Boundaries_Crossed_32)" TargetMode="External"/><Relationship Id="rId53" Type="http://schemas.openxmlformats.org/officeDocument/2006/relationships/hyperlink" Target="https://bulbapedia.bulbagarden.net/wiki/Electabuzz_(Boundaries_Crossed_53)" TargetMode="External"/><Relationship Id="rId74" Type="http://schemas.openxmlformats.org/officeDocument/2006/relationships/hyperlink" Target="https://bulbapedia.bulbagarden.net/wiki/Scolipede_(Boundaries_Crossed_74)" TargetMode="External"/><Relationship Id="rId128" Type="http://schemas.openxmlformats.org/officeDocument/2006/relationships/hyperlink" Target="https://bulbapedia.bulbagarden.net/wiki/Energy_Search_(Boundaries_Crossed_128)" TargetMode="External"/><Relationship Id="rId149" Type="http://schemas.openxmlformats.org/officeDocument/2006/relationships/hyperlink" Target="https://bulbapedia.bulbagarden.net/wiki/Skyla_(Boundaries_Crossed_149)" TargetMode="External"/><Relationship Id="rId5" Type="http://schemas.openxmlformats.org/officeDocument/2006/relationships/hyperlink" Target="https://bulbapedia.bulbagarden.net/wiki/Tangela_(Boundaries_Crossed_5)" TargetMode="External"/><Relationship Id="rId95" Type="http://schemas.openxmlformats.org/officeDocument/2006/relationships/hyperlink" Target="https://bulbapedia.bulbagarden.net/wiki/Skarmory_(Boundaries_Crossed_95)" TargetMode="External"/><Relationship Id="rId22" Type="http://schemas.openxmlformats.org/officeDocument/2006/relationships/hyperlink" Target="https://bulbapedia.bulbagarden.net/wiki/Camerupt_(Boundaries_Crossed_22)" TargetMode="External"/><Relationship Id="rId27" Type="http://schemas.openxmlformats.org/officeDocument/2006/relationships/hyperlink" Target="https://bulbapedia.bulbagarden.net/wiki/Darumaka_(Boundaries_Crossed_27)" TargetMode="External"/><Relationship Id="rId43" Type="http://schemas.openxmlformats.org/officeDocument/2006/relationships/hyperlink" Target="https://bulbapedia.bulbagarden.net/wiki/Swanna_(Boundaries_Crossed_43)" TargetMode="External"/><Relationship Id="rId48" Type="http://schemas.openxmlformats.org/officeDocument/2006/relationships/hyperlink" Target="https://bulbapedia.bulbagarden.net/wiki/Keldeo_(Boundaries_Crossed_48)" TargetMode="External"/><Relationship Id="rId64" Type="http://schemas.openxmlformats.org/officeDocument/2006/relationships/hyperlink" Target="https://bulbapedia.bulbagarden.net/wiki/Croagunk_(Boundaries_Crossed_64)" TargetMode="External"/><Relationship Id="rId69" Type="http://schemas.openxmlformats.org/officeDocument/2006/relationships/hyperlink" Target="https://bulbapedia.bulbagarden.net/wiki/Musharna_(Boundaries_Crossed_69)" TargetMode="External"/><Relationship Id="rId113" Type="http://schemas.openxmlformats.org/officeDocument/2006/relationships/hyperlink" Target="https://bulbapedia.bulbagarden.net/wiki/Skitty_(Boundaries_Crossed_113)" TargetMode="External"/><Relationship Id="rId118" Type="http://schemas.openxmlformats.org/officeDocument/2006/relationships/hyperlink" Target="https://bulbapedia.bulbagarden.net/wiki/Patrat_(Boundaries_Crossed_118)" TargetMode="External"/><Relationship Id="rId134" Type="http://schemas.openxmlformats.org/officeDocument/2006/relationships/hyperlink" Target="https://bulbapedia.bulbagarden.net/wiki/Skyla_(Boundaries_Crossed_134)" TargetMode="External"/><Relationship Id="rId139" Type="http://schemas.openxmlformats.org/officeDocument/2006/relationships/hyperlink" Target="https://bulbapedia.bulbagarden.net/wiki/Crystal_Wall_(Boundaries_Crossed_139)" TargetMode="External"/><Relationship Id="rId80" Type="http://schemas.openxmlformats.org/officeDocument/2006/relationships/hyperlink" Target="https://bulbapedia.bulbagarden.net/wiki/Gligar_(Boundaries_Crossed_80)" TargetMode="External"/><Relationship Id="rId85" Type="http://schemas.openxmlformats.org/officeDocument/2006/relationships/hyperlink" Target="https://bulbapedia.bulbagarden.net/wiki/Crustle_(Boundaries_Crossed_85)" TargetMode="External"/><Relationship Id="rId150" Type="http://schemas.openxmlformats.org/officeDocument/2006/relationships/hyperlink" Target="https://bulbapedia.bulbagarden.net/wiki/Golurk_(Boundaries_Crossed_150)" TargetMode="External"/><Relationship Id="rId12" Type="http://schemas.openxmlformats.org/officeDocument/2006/relationships/hyperlink" Target="https://bulbapedia.bulbagarden.net/wiki/Servine_(Boundaries_Crossed_12)" TargetMode="External"/><Relationship Id="rId17" Type="http://schemas.openxmlformats.org/officeDocument/2006/relationships/hyperlink" Target="https://bulbapedia.bulbagarden.net/wiki/Lilligant_(Boundaries_Crossed_17)" TargetMode="External"/><Relationship Id="rId33" Type="http://schemas.openxmlformats.org/officeDocument/2006/relationships/hyperlink" Target="https://bulbapedia.bulbagarden.net/wiki/Psyduck_(Boundaries_Crossed_33)" TargetMode="External"/><Relationship Id="rId38" Type="http://schemas.openxmlformats.org/officeDocument/2006/relationships/hyperlink" Target="https://bulbapedia.bulbagarden.net/wiki/Delibird_(Boundaries_Crossed_38)" TargetMode="External"/><Relationship Id="rId59" Type="http://schemas.openxmlformats.org/officeDocument/2006/relationships/hyperlink" Target="https://bulbapedia.bulbagarden.net/wiki/Spoink_(Boundaries_Crossed_59)" TargetMode="External"/><Relationship Id="rId103" Type="http://schemas.openxmlformats.org/officeDocument/2006/relationships/hyperlink" Target="https://bulbapedia.bulbagarden.net/wiki/White_Kyurem-EX_(Boundaries_Crossed_103)" TargetMode="External"/><Relationship Id="rId108" Type="http://schemas.openxmlformats.org/officeDocument/2006/relationships/hyperlink" Target="https://bulbapedia.bulbagarden.net/wiki/Ditto_(Boundaries_Crossed_108)" TargetMode="External"/><Relationship Id="rId124" Type="http://schemas.openxmlformats.org/officeDocument/2006/relationships/hyperlink" Target="https://bulbapedia.bulbagarden.net/wiki/Tranquill_(Boundaries_Crossed_124)" TargetMode="External"/><Relationship Id="rId129" Type="http://schemas.openxmlformats.org/officeDocument/2006/relationships/hyperlink" Target="https://bulbapedia.bulbagarden.net/wiki/Great_Ball_(Boundaries_Crossed_129)" TargetMode="External"/><Relationship Id="rId54" Type="http://schemas.openxmlformats.org/officeDocument/2006/relationships/hyperlink" Target="https://bulbapedia.bulbagarden.net/wiki/Electivire_(Boundaries_Crossed_54)" TargetMode="External"/><Relationship Id="rId70" Type="http://schemas.openxmlformats.org/officeDocument/2006/relationships/hyperlink" Target="https://bulbapedia.bulbagarden.net/wiki/Woobat_(Boundaries_Crossed_70)" TargetMode="External"/><Relationship Id="rId75" Type="http://schemas.openxmlformats.org/officeDocument/2006/relationships/hyperlink" Target="https://bulbapedia.bulbagarden.net/wiki/Gothita_(Boundaries_Crossed_75)" TargetMode="External"/><Relationship Id="rId91" Type="http://schemas.openxmlformats.org/officeDocument/2006/relationships/hyperlink" Target="https://bulbapedia.bulbagarden.net/wiki/Liepard_(Boundaries_Crossed_91)" TargetMode="External"/><Relationship Id="rId96" Type="http://schemas.openxmlformats.org/officeDocument/2006/relationships/hyperlink" Target="https://bulbapedia.bulbagarden.net/wiki/Skarmory_(Boundaries_Crossed_96)" TargetMode="External"/><Relationship Id="rId140" Type="http://schemas.openxmlformats.org/officeDocument/2006/relationships/hyperlink" Target="https://bulbapedia.bulbagarden.net/wiki/Gold_Potion_(Boundaries_Crossed_140)" TargetMode="External"/><Relationship Id="rId145" Type="http://schemas.openxmlformats.org/officeDocument/2006/relationships/hyperlink" Target="https://bulbapedia.bulbagarden.net/wiki/Black_Kyurem-EX_(Boundaries_Crossed_145)" TargetMode="External"/><Relationship Id="rId1" Type="http://schemas.openxmlformats.org/officeDocument/2006/relationships/hyperlink" Target="https://bulbapedia.bulbagarden.net/wiki/Oddish_(Boundaries_Crossed_1)" TargetMode="External"/><Relationship Id="rId6" Type="http://schemas.openxmlformats.org/officeDocument/2006/relationships/hyperlink" Target="https://bulbapedia.bulbagarden.net/wiki/Tangrowth_(Boundaries_Crossed_6)" TargetMode="External"/><Relationship Id="rId23" Type="http://schemas.openxmlformats.org/officeDocument/2006/relationships/hyperlink" Target="https://bulbapedia.bulbagarden.net/wiki/Victini_(Boundaries_Crossed_23)" TargetMode="External"/><Relationship Id="rId28" Type="http://schemas.openxmlformats.org/officeDocument/2006/relationships/hyperlink" Target="https://bulbapedia.bulbagarden.net/wiki/Darmanitan_(Boundaries_Crossed_28)" TargetMode="External"/><Relationship Id="rId49" Type="http://schemas.openxmlformats.org/officeDocument/2006/relationships/hyperlink" Target="https://bulbapedia.bulbagarden.net/wiki/Keldeo-EX_(Boundaries_Crossed_49)" TargetMode="External"/><Relationship Id="rId114" Type="http://schemas.openxmlformats.org/officeDocument/2006/relationships/hyperlink" Target="https://bulbapedia.bulbagarden.net/wiki/Delcatty_(Boundaries_Crossed_114)" TargetMode="External"/><Relationship Id="rId119" Type="http://schemas.openxmlformats.org/officeDocument/2006/relationships/hyperlink" Target="https://bulbapedia.bulbagarden.net/wiki/Watchog_(Boundaries_Crossed_119)" TargetMode="External"/><Relationship Id="rId44" Type="http://schemas.openxmlformats.org/officeDocument/2006/relationships/hyperlink" Target="https://bulbapedia.bulbagarden.net/wiki/Frillish_(Boundaries_Crossed_44)" TargetMode="External"/><Relationship Id="rId60" Type="http://schemas.openxmlformats.org/officeDocument/2006/relationships/hyperlink" Target="https://bulbapedia.bulbagarden.net/wiki/Grumpig_(Boundaries_Crossed_60)" TargetMode="External"/><Relationship Id="rId65" Type="http://schemas.openxmlformats.org/officeDocument/2006/relationships/hyperlink" Target="https://bulbapedia.bulbagarden.net/wiki/Croagunk_(Boundaries_Crossed_65)" TargetMode="External"/><Relationship Id="rId81" Type="http://schemas.openxmlformats.org/officeDocument/2006/relationships/hyperlink" Target="https://bulbapedia.bulbagarden.net/wiki/Gliscor_(Boundaries_Crossed_81)" TargetMode="External"/><Relationship Id="rId86" Type="http://schemas.openxmlformats.org/officeDocument/2006/relationships/hyperlink" Target="https://bulbapedia.bulbagarden.net/wiki/Mienfoo_(Boundaries_Crossed_86)" TargetMode="External"/><Relationship Id="rId130" Type="http://schemas.openxmlformats.org/officeDocument/2006/relationships/hyperlink" Target="https://bulbapedia.bulbagarden.net/wiki/Hugh_(Boundaries_Crossed_130)" TargetMode="External"/><Relationship Id="rId135" Type="http://schemas.openxmlformats.org/officeDocument/2006/relationships/hyperlink" Target="https://bulbapedia.bulbagarden.net/wiki/Switch_(Boundaries_Crossed_135)" TargetMode="External"/><Relationship Id="rId151" Type="http://schemas.openxmlformats.org/officeDocument/2006/relationships/hyperlink" Target="https://bulbapedia.bulbagarden.net/wiki/Terrakion_(Boundaries_Crossed_151)" TargetMode="External"/><Relationship Id="rId13" Type="http://schemas.openxmlformats.org/officeDocument/2006/relationships/hyperlink" Target="https://bulbapedia.bulbagarden.net/wiki/Serperior_(Boundaries_Crossed_13)" TargetMode="External"/><Relationship Id="rId18" Type="http://schemas.openxmlformats.org/officeDocument/2006/relationships/hyperlink" Target="https://bulbapedia.bulbagarden.net/wiki/Charmander_(Boundaries_Crossed_18)" TargetMode="External"/><Relationship Id="rId39" Type="http://schemas.openxmlformats.org/officeDocument/2006/relationships/hyperlink" Target="https://bulbapedia.bulbagarden.net/wiki/Oshawott_(Boundaries_Crossed_39)" TargetMode="External"/><Relationship Id="rId109" Type="http://schemas.openxmlformats.org/officeDocument/2006/relationships/hyperlink" Target="https://bulbapedia.bulbagarden.net/wiki/Snorlax_(Boundaries_Crossed_109)" TargetMode="External"/><Relationship Id="rId34" Type="http://schemas.openxmlformats.org/officeDocument/2006/relationships/hyperlink" Target="https://bulbapedia.bulbagarden.net/wiki/Golduck_(Boundaries_Crossed_34)" TargetMode="External"/><Relationship Id="rId50" Type="http://schemas.openxmlformats.org/officeDocument/2006/relationships/hyperlink" Target="https://bulbapedia.bulbagarden.net/wiki/Pikachu_(Boundaries_Crossed_50)" TargetMode="External"/><Relationship Id="rId55" Type="http://schemas.openxmlformats.org/officeDocument/2006/relationships/hyperlink" Target="https://bulbapedia.bulbagarden.net/wiki/Chinchou_(Boundaries_Crossed_55)" TargetMode="External"/><Relationship Id="rId76" Type="http://schemas.openxmlformats.org/officeDocument/2006/relationships/hyperlink" Target="https://bulbapedia.bulbagarden.net/wiki/Gothorita_(Boundaries_Crossed_76)" TargetMode="External"/><Relationship Id="rId97" Type="http://schemas.openxmlformats.org/officeDocument/2006/relationships/hyperlink" Target="https://bulbapedia.bulbagarden.net/wiki/Klink_(Boundaries_Crossed_97)" TargetMode="External"/><Relationship Id="rId104" Type="http://schemas.openxmlformats.org/officeDocument/2006/relationships/hyperlink" Target="https://bulbapedia.bulbagarden.net/wiki/Rattata_(Boundaries_Crossed_104)" TargetMode="External"/><Relationship Id="rId120" Type="http://schemas.openxmlformats.org/officeDocument/2006/relationships/hyperlink" Target="https://bulbapedia.bulbagarden.net/wiki/Lillipup_(Boundaries_Crossed_120)" TargetMode="External"/><Relationship Id="rId125" Type="http://schemas.openxmlformats.org/officeDocument/2006/relationships/hyperlink" Target="https://bulbapedia.bulbagarden.net/wiki/Unfezant_(Boundaries_Crossed_125)" TargetMode="External"/><Relationship Id="rId141" Type="http://schemas.openxmlformats.org/officeDocument/2006/relationships/hyperlink" Target="https://bulbapedia.bulbagarden.net/wiki/Celebi-EX_(Boundaries_Crossed_141)" TargetMode="External"/><Relationship Id="rId146" Type="http://schemas.openxmlformats.org/officeDocument/2006/relationships/hyperlink" Target="https://bulbapedia.bulbagarden.net/wiki/White_Kyurem-EX_(Boundaries_Crossed_146)" TargetMode="External"/><Relationship Id="rId7" Type="http://schemas.openxmlformats.org/officeDocument/2006/relationships/hyperlink" Target="https://bulbapedia.bulbagarden.net/wiki/Scyther_(Boundaries_Crossed_7)" TargetMode="External"/><Relationship Id="rId71" Type="http://schemas.openxmlformats.org/officeDocument/2006/relationships/hyperlink" Target="https://bulbapedia.bulbagarden.net/wiki/Swoobat_(Boundaries_Crossed_71)" TargetMode="External"/><Relationship Id="rId92" Type="http://schemas.openxmlformats.org/officeDocument/2006/relationships/hyperlink" Target="https://bulbapedia.bulbagarden.net/wiki/Vullaby_(Boundaries_Crossed_92)" TargetMode="External"/><Relationship Id="rId2" Type="http://schemas.openxmlformats.org/officeDocument/2006/relationships/hyperlink" Target="https://bulbapedia.bulbagarden.net/wiki/Gloom_(Boundaries_Crossed_2)" TargetMode="External"/><Relationship Id="rId29" Type="http://schemas.openxmlformats.org/officeDocument/2006/relationships/hyperlink" Target="https://bulbapedia.bulbagarden.net/wiki/Squirtle_(Boundaries_Crossed_29)" TargetMode="External"/><Relationship Id="rId24" Type="http://schemas.openxmlformats.org/officeDocument/2006/relationships/hyperlink" Target="https://bulbapedia.bulbagarden.net/wiki/Tepig_(Boundaries_Crossed_24)" TargetMode="External"/><Relationship Id="rId40" Type="http://schemas.openxmlformats.org/officeDocument/2006/relationships/hyperlink" Target="https://bulbapedia.bulbagarden.net/wiki/Dewott_(Boundaries_Crossed_40)" TargetMode="External"/><Relationship Id="rId45" Type="http://schemas.openxmlformats.org/officeDocument/2006/relationships/hyperlink" Target="https://bulbapedia.bulbagarden.net/wiki/Jellicent_(Boundaries_Crossed_45)" TargetMode="External"/><Relationship Id="rId66" Type="http://schemas.openxmlformats.org/officeDocument/2006/relationships/hyperlink" Target="https://bulbapedia.bulbagarden.net/wiki/Toxicroak_(Boundaries_Crossed_66)" TargetMode="External"/><Relationship Id="rId87" Type="http://schemas.openxmlformats.org/officeDocument/2006/relationships/hyperlink" Target="https://bulbapedia.bulbagarden.net/wiki/Mienfoo_(Boundaries_Crossed_87)" TargetMode="External"/><Relationship Id="rId110" Type="http://schemas.openxmlformats.org/officeDocument/2006/relationships/hyperlink" Target="https://bulbapedia.bulbagarden.net/wiki/Togepi_(Boundaries_Crossed_110)" TargetMode="External"/><Relationship Id="rId115" Type="http://schemas.openxmlformats.org/officeDocument/2006/relationships/hyperlink" Target="https://bulbapedia.bulbagarden.net/wiki/Spinda_(Boundaries_Crossed_115)" TargetMode="External"/><Relationship Id="rId131" Type="http://schemas.openxmlformats.org/officeDocument/2006/relationships/hyperlink" Target="https://bulbapedia.bulbagarden.net/wiki/Pok%C3%A9_Ball_(Boundaries_Crossed_131)" TargetMode="External"/><Relationship Id="rId136" Type="http://schemas.openxmlformats.org/officeDocument/2006/relationships/hyperlink" Target="https://bulbapedia.bulbagarden.net/wiki/Town_Map_(Boundaries_Crossed_136)" TargetMode="External"/><Relationship Id="rId61" Type="http://schemas.openxmlformats.org/officeDocument/2006/relationships/hyperlink" Target="https://bulbapedia.bulbagarden.net/wiki/Duskull_(Boundaries_Crossed_61)" TargetMode="External"/><Relationship Id="rId82" Type="http://schemas.openxmlformats.org/officeDocument/2006/relationships/hyperlink" Target="https://bulbapedia.bulbagarden.net/wiki/Makuhita_(Boundaries_Crossed_82)" TargetMode="External"/><Relationship Id="rId152" Type="http://schemas.openxmlformats.org/officeDocument/2006/relationships/hyperlink" Target="https://bulbapedia.bulbagarden.net/wiki/Altaria_(Boundaries_Crossed_152)" TargetMode="External"/><Relationship Id="rId19" Type="http://schemas.openxmlformats.org/officeDocument/2006/relationships/hyperlink" Target="https://bulbapedia.bulbagarden.net/wiki/Charmeleon_(Boundaries_Crossed_19)" TargetMode="External"/><Relationship Id="rId14" Type="http://schemas.openxmlformats.org/officeDocument/2006/relationships/hyperlink" Target="https://bulbapedia.bulbagarden.net/wiki/Cottonee_(Boundaries_Crossed_14)" TargetMode="External"/><Relationship Id="rId30" Type="http://schemas.openxmlformats.org/officeDocument/2006/relationships/hyperlink" Target="https://bulbapedia.bulbagarden.net/wiki/Wartortle_(Boundaries_Crossed_30)" TargetMode="External"/><Relationship Id="rId35" Type="http://schemas.openxmlformats.org/officeDocument/2006/relationships/hyperlink" Target="https://bulbapedia.bulbagarden.net/wiki/Golduck_(Boundaries_Crossed_35)" TargetMode="External"/><Relationship Id="rId56" Type="http://schemas.openxmlformats.org/officeDocument/2006/relationships/hyperlink" Target="https://bulbapedia.bulbagarden.net/wiki/Blitzle_(Boundaries_Crossed_56)" TargetMode="External"/><Relationship Id="rId77" Type="http://schemas.openxmlformats.org/officeDocument/2006/relationships/hyperlink" Target="https://bulbapedia.bulbagarden.net/wiki/Meloetta_(Boundaries_Crossed_77)" TargetMode="External"/><Relationship Id="rId100" Type="http://schemas.openxmlformats.org/officeDocument/2006/relationships/hyperlink" Target="https://bulbapedia.bulbagarden.net/wiki/Black_Kyurem_(Boundaries_Crossed_100)" TargetMode="External"/><Relationship Id="rId105" Type="http://schemas.openxmlformats.org/officeDocument/2006/relationships/hyperlink" Target="https://bulbapedia.bulbagarden.net/wiki/Raticate_(Boundaries_Crossed_105)" TargetMode="External"/><Relationship Id="rId126" Type="http://schemas.openxmlformats.org/officeDocument/2006/relationships/hyperlink" Target="https://bulbapedia.bulbagarden.net/wiki/Audino_(Boundaries_Crossed_126)" TargetMode="External"/><Relationship Id="rId147" Type="http://schemas.openxmlformats.org/officeDocument/2006/relationships/hyperlink" Target="https://bulbapedia.bulbagarden.net/wiki/Bianca_(Boundaries_Crossed_147)" TargetMode="External"/><Relationship Id="rId8" Type="http://schemas.openxmlformats.org/officeDocument/2006/relationships/hyperlink" Target="https://bulbapedia.bulbagarden.net/wiki/Heracross_(Boundaries_Crossed_8)" TargetMode="External"/><Relationship Id="rId51" Type="http://schemas.openxmlformats.org/officeDocument/2006/relationships/hyperlink" Target="https://bulbapedia.bulbagarden.net/wiki/Voltorb_(Boundaries_Crossed_51)" TargetMode="External"/><Relationship Id="rId72" Type="http://schemas.openxmlformats.org/officeDocument/2006/relationships/hyperlink" Target="https://bulbapedia.bulbagarden.net/wiki/Venipede_(Boundaries_Crossed_72)" TargetMode="External"/><Relationship Id="rId93" Type="http://schemas.openxmlformats.org/officeDocument/2006/relationships/hyperlink" Target="https://bulbapedia.bulbagarden.net/wiki/Mandibuzz_(Boundaries_Crossed_93)" TargetMode="External"/><Relationship Id="rId98" Type="http://schemas.openxmlformats.org/officeDocument/2006/relationships/hyperlink" Target="https://bulbapedia.bulbagarden.net/wiki/Vibrava_(Boundaries_Crossed_98)" TargetMode="External"/><Relationship Id="rId121" Type="http://schemas.openxmlformats.org/officeDocument/2006/relationships/hyperlink" Target="https://bulbapedia.bulbagarden.net/wiki/Herdier_(Boundaries_Crossed_121)" TargetMode="External"/><Relationship Id="rId142" Type="http://schemas.openxmlformats.org/officeDocument/2006/relationships/hyperlink" Target="https://bulbapedia.bulbagarden.net/wiki/Keldeo-EX_(Boundaries_Crossed_142)" TargetMode="External"/><Relationship Id="rId3" Type="http://schemas.openxmlformats.org/officeDocument/2006/relationships/hyperlink" Target="https://bulbapedia.bulbagarden.net/wiki/Vileplume_(Boundaries_Crossed_3)" TargetMode="External"/><Relationship Id="rId25" Type="http://schemas.openxmlformats.org/officeDocument/2006/relationships/hyperlink" Target="https://bulbapedia.bulbagarden.net/wiki/Pignite_(Boundaries_Crossed_25)" TargetMode="External"/><Relationship Id="rId46" Type="http://schemas.openxmlformats.org/officeDocument/2006/relationships/hyperlink" Target="https://bulbapedia.bulbagarden.net/wiki/Cryogonal_(Boundaries_Crossed_46)" TargetMode="External"/><Relationship Id="rId67" Type="http://schemas.openxmlformats.org/officeDocument/2006/relationships/hyperlink" Target="https://bulbapedia.bulbagarden.net/wiki/Cresselia-EX_(Boundaries_Crossed_67)" TargetMode="External"/><Relationship Id="rId116" Type="http://schemas.openxmlformats.org/officeDocument/2006/relationships/hyperlink" Target="https://bulbapedia.bulbagarden.net/wiki/Buneary_(Boundaries_Crossed_116)" TargetMode="External"/><Relationship Id="rId137" Type="http://schemas.openxmlformats.org/officeDocument/2006/relationships/hyperlink" Target="https://bulbapedia.bulbagarden.net/wiki/Computer_Search_(Boundaries_Crossed_137)" TargetMode="External"/><Relationship Id="rId20" Type="http://schemas.openxmlformats.org/officeDocument/2006/relationships/hyperlink" Target="https://bulbapedia.bulbagarden.net/wiki/Charizard_(Boundaries_Crossed_20)" TargetMode="External"/><Relationship Id="rId41" Type="http://schemas.openxmlformats.org/officeDocument/2006/relationships/hyperlink" Target="https://bulbapedia.bulbagarden.net/wiki/Samurott_(Boundaries_Crossed_41)" TargetMode="External"/><Relationship Id="rId62" Type="http://schemas.openxmlformats.org/officeDocument/2006/relationships/hyperlink" Target="https://bulbapedia.bulbagarden.net/wiki/Dusclops_(Boundaries_Crossed_62)" TargetMode="External"/><Relationship Id="rId83" Type="http://schemas.openxmlformats.org/officeDocument/2006/relationships/hyperlink" Target="https://bulbapedia.bulbagarden.net/wiki/Trapinch_(Boundaries_Crossed_83)" TargetMode="External"/><Relationship Id="rId88" Type="http://schemas.openxmlformats.org/officeDocument/2006/relationships/hyperlink" Target="https://bulbapedia.bulbagarden.net/wiki/Mienshao_(Boundaries_Crossed_88)" TargetMode="External"/><Relationship Id="rId111" Type="http://schemas.openxmlformats.org/officeDocument/2006/relationships/hyperlink" Target="https://bulbapedia.bulbagarden.net/wiki/Dunsparce_(Boundaries_Crossed_111)" TargetMode="External"/><Relationship Id="rId132" Type="http://schemas.openxmlformats.org/officeDocument/2006/relationships/hyperlink" Target="https://bulbapedia.bulbagarden.net/wiki/Potion_(Boundaries_Crossed_132)" TargetMode="External"/><Relationship Id="rId153" Type="http://schemas.openxmlformats.org/officeDocument/2006/relationships/hyperlink" Target="https://bulbapedia.bulbagarden.net/wiki/Rocky_Helmet_(Boundaries_Crossed_153)" TargetMode="External"/><Relationship Id="rId15" Type="http://schemas.openxmlformats.org/officeDocument/2006/relationships/hyperlink" Target="https://bulbapedia.bulbagarden.net/wiki/Whimsicott_(Boundaries_Crossed_15)" TargetMode="External"/><Relationship Id="rId36" Type="http://schemas.openxmlformats.org/officeDocument/2006/relationships/hyperlink" Target="https://bulbapedia.bulbagarden.net/wiki/Marill_(Boundaries_Crossed_36)" TargetMode="External"/><Relationship Id="rId57" Type="http://schemas.openxmlformats.org/officeDocument/2006/relationships/hyperlink" Target="https://bulbapedia.bulbagarden.net/wiki/Zebstrika_(Boundaries_Crossed_57)" TargetMode="External"/><Relationship Id="rId106" Type="http://schemas.openxmlformats.org/officeDocument/2006/relationships/hyperlink" Target="https://bulbapedia.bulbagarden.net/wiki/Meowth_(Boundaries_Crossed_106)" TargetMode="External"/><Relationship Id="rId127" Type="http://schemas.openxmlformats.org/officeDocument/2006/relationships/hyperlink" Target="https://bulbapedia.bulbagarden.net/wiki/Aspertia_City_Gym_(Boundaries_Crossed_127)" TargetMode="External"/><Relationship Id="rId10" Type="http://schemas.openxmlformats.org/officeDocument/2006/relationships/hyperlink" Target="https://bulbapedia.bulbagarden.net/wiki/Shaymin_(Boundaries_Crossed_10)" TargetMode="External"/><Relationship Id="rId31" Type="http://schemas.openxmlformats.org/officeDocument/2006/relationships/hyperlink" Target="https://bulbapedia.bulbagarden.net/wiki/Blastoise_(Boundaries_Crossed_31)" TargetMode="External"/><Relationship Id="rId52" Type="http://schemas.openxmlformats.org/officeDocument/2006/relationships/hyperlink" Target="https://bulbapedia.bulbagarden.net/wiki/Electrode_(Boundaries_Crossed_52)" TargetMode="External"/><Relationship Id="rId73" Type="http://schemas.openxmlformats.org/officeDocument/2006/relationships/hyperlink" Target="https://bulbapedia.bulbagarden.net/wiki/Whirlipede_(Boundaries_Crossed_73)" TargetMode="External"/><Relationship Id="rId78" Type="http://schemas.openxmlformats.org/officeDocument/2006/relationships/hyperlink" Target="https://bulbapedia.bulbagarden.net/wiki/Sandshrew_(Boundaries_Crossed_78)" TargetMode="External"/><Relationship Id="rId94" Type="http://schemas.openxmlformats.org/officeDocument/2006/relationships/hyperlink" Target="https://bulbapedia.bulbagarden.net/wiki/Scizor_(Boundaries_Crossed_94)" TargetMode="External"/><Relationship Id="rId99" Type="http://schemas.openxmlformats.org/officeDocument/2006/relationships/hyperlink" Target="https://bulbapedia.bulbagarden.net/wiki/Flygon_(Boundaries_Crossed_99)" TargetMode="External"/><Relationship Id="rId101" Type="http://schemas.openxmlformats.org/officeDocument/2006/relationships/hyperlink" Target="https://bulbapedia.bulbagarden.net/wiki/Black_Kyurem-EX_(Boundaries_Crossed_101)" TargetMode="External"/><Relationship Id="rId122" Type="http://schemas.openxmlformats.org/officeDocument/2006/relationships/hyperlink" Target="https://bulbapedia.bulbagarden.net/wiki/Stoutland_(Boundaries_Crossed_122)" TargetMode="External"/><Relationship Id="rId143" Type="http://schemas.openxmlformats.org/officeDocument/2006/relationships/hyperlink" Target="https://bulbapedia.bulbagarden.net/wiki/Cresselia-EX_(Boundaries_Crossed_143)" TargetMode="External"/><Relationship Id="rId148" Type="http://schemas.openxmlformats.org/officeDocument/2006/relationships/hyperlink" Target="https://bulbapedia.bulbagarden.net/wiki/Cheren_(Boundaries_Crossed_148)" TargetMode="External"/><Relationship Id="rId4" Type="http://schemas.openxmlformats.org/officeDocument/2006/relationships/hyperlink" Target="https://bulbapedia.bulbagarden.net/wiki/Bellossom_(Boundaries_Crossed_4)" TargetMode="External"/><Relationship Id="rId9" Type="http://schemas.openxmlformats.org/officeDocument/2006/relationships/hyperlink" Target="https://bulbapedia.bulbagarden.net/wiki/Celebi-EX_(Boundaries_Crossed_9)" TargetMode="External"/><Relationship Id="rId26" Type="http://schemas.openxmlformats.org/officeDocument/2006/relationships/hyperlink" Target="https://bulbapedia.bulbagarden.net/wiki/Emboar_(Boundaries_Crossed_26)" TargetMode="External"/><Relationship Id="rId47" Type="http://schemas.openxmlformats.org/officeDocument/2006/relationships/hyperlink" Target="https://bulbapedia.bulbagarden.net/wiki/Keldeo_(Boundaries_Crossed_47)" TargetMode="External"/><Relationship Id="rId68" Type="http://schemas.openxmlformats.org/officeDocument/2006/relationships/hyperlink" Target="https://bulbapedia.bulbagarden.net/wiki/Munna_(Boundaries_Crossed_68)" TargetMode="External"/><Relationship Id="rId89" Type="http://schemas.openxmlformats.org/officeDocument/2006/relationships/hyperlink" Target="https://bulbapedia.bulbagarden.net/wiki/Landorus-EX_(Boundaries_Crossed_89)" TargetMode="External"/><Relationship Id="rId112" Type="http://schemas.openxmlformats.org/officeDocument/2006/relationships/hyperlink" Target="https://bulbapedia.bulbagarden.net/wiki/Taillow_(Boundaries_Crossed_112)" TargetMode="External"/><Relationship Id="rId133" Type="http://schemas.openxmlformats.org/officeDocument/2006/relationships/hyperlink" Target="https://bulbapedia.bulbagarden.net/wiki/Rocky_Helmet_(Boundaries_Crossed_133)" TargetMode="External"/><Relationship Id="rId16" Type="http://schemas.openxmlformats.org/officeDocument/2006/relationships/hyperlink" Target="https://bulbapedia.bulbagarden.net/wiki/Petilil_(Boundaries_Crossed_16)" TargetMode="External"/><Relationship Id="rId37" Type="http://schemas.openxmlformats.org/officeDocument/2006/relationships/hyperlink" Target="https://bulbapedia.bulbagarden.net/wiki/Azumarill_(Boundaries_Crossed_37)" TargetMode="External"/><Relationship Id="rId58" Type="http://schemas.openxmlformats.org/officeDocument/2006/relationships/hyperlink" Target="https://bulbapedia.bulbagarden.net/wiki/Wobbuffet_(Boundaries_Crossed_58)" TargetMode="External"/><Relationship Id="rId79" Type="http://schemas.openxmlformats.org/officeDocument/2006/relationships/hyperlink" Target="https://bulbapedia.bulbagarden.net/wiki/Sandslash_(Boundaries_Crossed_79)" TargetMode="External"/><Relationship Id="rId102" Type="http://schemas.openxmlformats.org/officeDocument/2006/relationships/hyperlink" Target="https://bulbapedia.bulbagarden.net/wiki/White_Kyurem_(Boundaries_Crossed_102)" TargetMode="External"/><Relationship Id="rId123" Type="http://schemas.openxmlformats.org/officeDocument/2006/relationships/hyperlink" Target="https://bulbapedia.bulbagarden.net/wiki/Pidove_(Boundaries_Crossed_123)" TargetMode="External"/><Relationship Id="rId144" Type="http://schemas.openxmlformats.org/officeDocument/2006/relationships/hyperlink" Target="https://bulbapedia.bulbagarden.net/wiki/Landorus-EX_(Boundaries_Crossed_144)" TargetMode="External"/><Relationship Id="rId90" Type="http://schemas.openxmlformats.org/officeDocument/2006/relationships/hyperlink" Target="https://bulbapedia.bulbagarden.net/wiki/Purrloin_(Boundaries_Crossed_90)"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s://bulbapedia.bulbagarden.net/wiki/Bicycle_(Plasma_Storm_117)" TargetMode="External"/><Relationship Id="rId21" Type="http://schemas.openxmlformats.org/officeDocument/2006/relationships/hyperlink" Target="https://bulbapedia.bulbagarden.net/wiki/Litwick_(Plasma_Storm_21)" TargetMode="External"/><Relationship Id="rId42" Type="http://schemas.openxmlformats.org/officeDocument/2006/relationships/hyperlink" Target="https://bulbapedia.bulbagarden.net/wiki/Magnemite_(Plasma_Storm_42)" TargetMode="External"/><Relationship Id="rId63" Type="http://schemas.openxmlformats.org/officeDocument/2006/relationships/hyperlink" Target="https://bulbapedia.bulbagarden.net/wiki/Trubbish_(Plasma_Storm_63)" TargetMode="External"/><Relationship Id="rId84" Type="http://schemas.openxmlformats.org/officeDocument/2006/relationships/hyperlink" Target="https://bulbapedia.bulbagarden.net/wiki/Liepard_(Plasma_Storm_84)" TargetMode="External"/><Relationship Id="rId138" Type="http://schemas.openxmlformats.org/officeDocument/2006/relationships/hyperlink" Target="https://bulbapedia.bulbagarden.net/wiki/Random_Receiver_(Plasma_Storm_138)" TargetMode="External"/><Relationship Id="rId16" Type="http://schemas.openxmlformats.org/officeDocument/2006/relationships/hyperlink" Target="https://bulbapedia.bulbagarden.net/wiki/Monferno_(Plasma_Storm_16)" TargetMode="External"/><Relationship Id="rId107" Type="http://schemas.openxmlformats.org/officeDocument/2006/relationships/hyperlink" Target="https://bulbapedia.bulbagarden.net/wiki/Exploud_(Plasma_Storm_107)" TargetMode="External"/><Relationship Id="rId11" Type="http://schemas.openxmlformats.org/officeDocument/2006/relationships/hyperlink" Target="https://bulbapedia.bulbagarden.net/wiki/Maractus_(Plasma_Storm_11)" TargetMode="External"/><Relationship Id="rId32" Type="http://schemas.openxmlformats.org/officeDocument/2006/relationships/hyperlink" Target="https://bulbapedia.bulbagarden.net/wiki/Carvanha_(Plasma_Storm_32)" TargetMode="External"/><Relationship Id="rId37" Type="http://schemas.openxmlformats.org/officeDocument/2006/relationships/hyperlink" Target="https://bulbapedia.bulbagarden.net/wiki/Vanilluxe_(Plasma_Storm_37)" TargetMode="External"/><Relationship Id="rId53" Type="http://schemas.openxmlformats.org/officeDocument/2006/relationships/hyperlink" Target="https://bulbapedia.bulbagarden.net/wiki/Zubat_(Plasma_Storm_53)" TargetMode="External"/><Relationship Id="rId58" Type="http://schemas.openxmlformats.org/officeDocument/2006/relationships/hyperlink" Target="https://bulbapedia.bulbagarden.net/wiki/Weezing_(Plasma_Storm_58)" TargetMode="External"/><Relationship Id="rId74" Type="http://schemas.openxmlformats.org/officeDocument/2006/relationships/hyperlink" Target="https://bulbapedia.bulbagarden.net/wiki/Solrock_(Plasma_Storm_74)" TargetMode="External"/><Relationship Id="rId79" Type="http://schemas.openxmlformats.org/officeDocument/2006/relationships/hyperlink" Target="https://bulbapedia.bulbagarden.net/wiki/Timburr_(Plasma_Storm_79)" TargetMode="External"/><Relationship Id="rId102" Type="http://schemas.openxmlformats.org/officeDocument/2006/relationships/hyperlink" Target="https://bulbapedia.bulbagarden.net/wiki/Togepi_(Plasma_Storm_102)" TargetMode="External"/><Relationship Id="rId123" Type="http://schemas.openxmlformats.org/officeDocument/2006/relationships/hyperlink" Target="https://bulbapedia.bulbagarden.net/wiki/Hypnotoxic_Laser_(Plasma_Storm_123)" TargetMode="External"/><Relationship Id="rId128" Type="http://schemas.openxmlformats.org/officeDocument/2006/relationships/hyperlink" Target="https://bulbapedia.bulbagarden.net/wiki/Dowsing_Machine_(Plasma_Storm_128)" TargetMode="External"/><Relationship Id="rId5" Type="http://schemas.openxmlformats.org/officeDocument/2006/relationships/hyperlink" Target="https://bulbapedia.bulbagarden.net/wiki/Vespiquen_(Plasma_Storm_5)" TargetMode="External"/><Relationship Id="rId90" Type="http://schemas.openxmlformats.org/officeDocument/2006/relationships/hyperlink" Target="https://bulbapedia.bulbagarden.net/wiki/Klinklang_(Plasma_Storm_90)" TargetMode="External"/><Relationship Id="rId95" Type="http://schemas.openxmlformats.org/officeDocument/2006/relationships/hyperlink" Target="https://bulbapedia.bulbagarden.net/wiki/Black_Kyurem-EX_(Plasma_Storm_95)" TargetMode="External"/><Relationship Id="rId22" Type="http://schemas.openxmlformats.org/officeDocument/2006/relationships/hyperlink" Target="https://bulbapedia.bulbagarden.net/wiki/Lampent_(Plasma_Storm_22)" TargetMode="External"/><Relationship Id="rId27" Type="http://schemas.openxmlformats.org/officeDocument/2006/relationships/hyperlink" Target="https://bulbapedia.bulbagarden.net/wiki/Piloswine_(Plasma_Storm_27)" TargetMode="External"/><Relationship Id="rId43" Type="http://schemas.openxmlformats.org/officeDocument/2006/relationships/hyperlink" Target="https://bulbapedia.bulbagarden.net/wiki/Magnemite_(Plasma_Storm_43)" TargetMode="External"/><Relationship Id="rId48" Type="http://schemas.openxmlformats.org/officeDocument/2006/relationships/hyperlink" Target="https://bulbapedia.bulbagarden.net/wiki/Zapdos-EX_(Plasma_Storm_48)" TargetMode="External"/><Relationship Id="rId64" Type="http://schemas.openxmlformats.org/officeDocument/2006/relationships/hyperlink" Target="https://bulbapedia.bulbagarden.net/wiki/Trubbish_(Plasma_Storm_64)" TargetMode="External"/><Relationship Id="rId69" Type="http://schemas.openxmlformats.org/officeDocument/2006/relationships/hyperlink" Target="https://bulbapedia.bulbagarden.net/wiki/Elgyem_(Plasma_Storm_69)" TargetMode="External"/><Relationship Id="rId113" Type="http://schemas.openxmlformats.org/officeDocument/2006/relationships/hyperlink" Target="https://bulbapedia.bulbagarden.net/wiki/Watchog_(Plasma_Storm_113)" TargetMode="External"/><Relationship Id="rId118" Type="http://schemas.openxmlformats.org/officeDocument/2006/relationships/hyperlink" Target="https://bulbapedia.bulbagarden.net/wiki/Colress_(Plasma_Storm_118)" TargetMode="External"/><Relationship Id="rId134" Type="http://schemas.openxmlformats.org/officeDocument/2006/relationships/hyperlink" Target="https://bulbapedia.bulbagarden.net/wiki/Lugia-EX_(Plasma_Storm_134)" TargetMode="External"/><Relationship Id="rId80" Type="http://schemas.openxmlformats.org/officeDocument/2006/relationships/hyperlink" Target="https://bulbapedia.bulbagarden.net/wiki/Gurdurr_(Plasma_Storm_80)" TargetMode="External"/><Relationship Id="rId85" Type="http://schemas.openxmlformats.org/officeDocument/2006/relationships/hyperlink" Target="https://bulbapedia.bulbagarden.net/wiki/Scraggy_(Plasma_Storm_85)" TargetMode="External"/><Relationship Id="rId12" Type="http://schemas.openxmlformats.org/officeDocument/2006/relationships/hyperlink" Target="https://bulbapedia.bulbagarden.net/wiki/Foongus_(Plasma_Storm_12)" TargetMode="External"/><Relationship Id="rId17" Type="http://schemas.openxmlformats.org/officeDocument/2006/relationships/hyperlink" Target="https://bulbapedia.bulbagarden.net/wiki/Infernape_(Plasma_Storm_17)" TargetMode="External"/><Relationship Id="rId33" Type="http://schemas.openxmlformats.org/officeDocument/2006/relationships/hyperlink" Target="https://bulbapedia.bulbagarden.net/wiki/Sharpedo_(Plasma_Storm_33)" TargetMode="External"/><Relationship Id="rId38" Type="http://schemas.openxmlformats.org/officeDocument/2006/relationships/hyperlink" Target="https://bulbapedia.bulbagarden.net/wiki/Frillish_(Plasma_Storm_38)" TargetMode="External"/><Relationship Id="rId59" Type="http://schemas.openxmlformats.org/officeDocument/2006/relationships/hyperlink" Target="https://bulbapedia.bulbagarden.net/wiki/Ralts_(Plasma_Storm_59)" TargetMode="External"/><Relationship Id="rId103" Type="http://schemas.openxmlformats.org/officeDocument/2006/relationships/hyperlink" Target="https://bulbapedia.bulbagarden.net/wiki/Togetic_(Plasma_Storm_103)" TargetMode="External"/><Relationship Id="rId108" Type="http://schemas.openxmlformats.org/officeDocument/2006/relationships/hyperlink" Target="https://bulbapedia.bulbagarden.net/wiki/Lugia-EX_(Plasma_Storm_108)" TargetMode="External"/><Relationship Id="rId124" Type="http://schemas.openxmlformats.org/officeDocument/2006/relationships/hyperlink" Target="https://bulbapedia.bulbagarden.net/wiki/Plasma_Frigate_(Plasma_Storm_124)" TargetMode="External"/><Relationship Id="rId129" Type="http://schemas.openxmlformats.org/officeDocument/2006/relationships/hyperlink" Target="https://bulbapedia.bulbagarden.net/wiki/Scramble_Switch_(Plasma_Storm_129)" TargetMode="External"/><Relationship Id="rId54" Type="http://schemas.openxmlformats.org/officeDocument/2006/relationships/hyperlink" Target="https://bulbapedia.bulbagarden.net/wiki/Golbat_(Plasma_Storm_54)" TargetMode="External"/><Relationship Id="rId70" Type="http://schemas.openxmlformats.org/officeDocument/2006/relationships/hyperlink" Target="https://bulbapedia.bulbagarden.net/wiki/Beheeyem_(Plasma_Storm_70)" TargetMode="External"/><Relationship Id="rId75" Type="http://schemas.openxmlformats.org/officeDocument/2006/relationships/hyperlink" Target="https://bulbapedia.bulbagarden.net/wiki/Riolu_(Plasma_Storm_75)" TargetMode="External"/><Relationship Id="rId91" Type="http://schemas.openxmlformats.org/officeDocument/2006/relationships/hyperlink" Target="https://bulbapedia.bulbagarden.net/wiki/Durant_(Plasma_Storm_91)" TargetMode="External"/><Relationship Id="rId96" Type="http://schemas.openxmlformats.org/officeDocument/2006/relationships/hyperlink" Target="https://bulbapedia.bulbagarden.net/wiki/White_Kyurem-EX_(Plasma_Storm_96)" TargetMode="External"/><Relationship Id="rId1" Type="http://schemas.openxmlformats.org/officeDocument/2006/relationships/hyperlink" Target="https://bulbapedia.bulbagarden.net/wiki/Turtwig_(Plasma_Storm_1)" TargetMode="External"/><Relationship Id="rId6" Type="http://schemas.openxmlformats.org/officeDocument/2006/relationships/hyperlink" Target="https://bulbapedia.bulbagarden.net/wiki/Cherubi_(Plasma_Storm_6)" TargetMode="External"/><Relationship Id="rId23" Type="http://schemas.openxmlformats.org/officeDocument/2006/relationships/hyperlink" Target="https://bulbapedia.bulbagarden.net/wiki/Heatmor_(Plasma_Storm_23)" TargetMode="External"/><Relationship Id="rId28" Type="http://schemas.openxmlformats.org/officeDocument/2006/relationships/hyperlink" Target="https://bulbapedia.bulbagarden.net/wiki/Mamoswine_(Plasma_Storm_28)" TargetMode="External"/><Relationship Id="rId49" Type="http://schemas.openxmlformats.org/officeDocument/2006/relationships/hyperlink" Target="https://bulbapedia.bulbagarden.net/wiki/Rotom_(Plasma_Storm_49)" TargetMode="External"/><Relationship Id="rId114" Type="http://schemas.openxmlformats.org/officeDocument/2006/relationships/hyperlink" Target="https://bulbapedia.bulbagarden.net/wiki/Bouffalant_(Plasma_Storm_114)" TargetMode="External"/><Relationship Id="rId119" Type="http://schemas.openxmlformats.org/officeDocument/2006/relationships/hyperlink" Target="https://bulbapedia.bulbagarden.net/wiki/Colress_Machine_(Plasma_Storm_119)" TargetMode="External"/><Relationship Id="rId44" Type="http://schemas.openxmlformats.org/officeDocument/2006/relationships/hyperlink" Target="https://bulbapedia.bulbagarden.net/wiki/Magneton_(Plasma_Storm_44)" TargetMode="External"/><Relationship Id="rId60" Type="http://schemas.openxmlformats.org/officeDocument/2006/relationships/hyperlink" Target="https://bulbapedia.bulbagarden.net/wiki/Kirlia_(Plasma_Storm_60)" TargetMode="External"/><Relationship Id="rId65" Type="http://schemas.openxmlformats.org/officeDocument/2006/relationships/hyperlink" Target="https://bulbapedia.bulbagarden.net/wiki/Trubbish_(Plasma_Storm_65)" TargetMode="External"/><Relationship Id="rId81" Type="http://schemas.openxmlformats.org/officeDocument/2006/relationships/hyperlink" Target="https://bulbapedia.bulbagarden.net/wiki/Conkeldurr_(Plasma_Storm_81)" TargetMode="External"/><Relationship Id="rId86" Type="http://schemas.openxmlformats.org/officeDocument/2006/relationships/hyperlink" Target="https://bulbapedia.bulbagarden.net/wiki/Scrafty_(Plasma_Storm_86)" TargetMode="External"/><Relationship Id="rId130" Type="http://schemas.openxmlformats.org/officeDocument/2006/relationships/hyperlink" Target="https://bulbapedia.bulbagarden.net/wiki/Victory_Piece_(Plasma_Storm_130)" TargetMode="External"/><Relationship Id="rId135" Type="http://schemas.openxmlformats.org/officeDocument/2006/relationships/hyperlink" Target="https://bulbapedia.bulbagarden.net/wiki/Colress_(Plasma_Storm_135)" TargetMode="External"/><Relationship Id="rId13" Type="http://schemas.openxmlformats.org/officeDocument/2006/relationships/hyperlink" Target="https://bulbapedia.bulbagarden.net/wiki/Amoonguss_(Plasma_Storm_13)" TargetMode="External"/><Relationship Id="rId18" Type="http://schemas.openxmlformats.org/officeDocument/2006/relationships/hyperlink" Target="https://bulbapedia.bulbagarden.net/wiki/Victini-EX_(Plasma_Storm_18)" TargetMode="External"/><Relationship Id="rId39" Type="http://schemas.openxmlformats.org/officeDocument/2006/relationships/hyperlink" Target="https://bulbapedia.bulbagarden.net/wiki/Jellicent_(Plasma_Storm_39)" TargetMode="External"/><Relationship Id="rId109" Type="http://schemas.openxmlformats.org/officeDocument/2006/relationships/hyperlink" Target="https://bulbapedia.bulbagarden.net/wiki/Skitty_(Plasma_Storm_109)" TargetMode="External"/><Relationship Id="rId34" Type="http://schemas.openxmlformats.org/officeDocument/2006/relationships/hyperlink" Target="https://bulbapedia.bulbagarden.net/wiki/Manaphy_(Plasma_Storm_34)" TargetMode="External"/><Relationship Id="rId50" Type="http://schemas.openxmlformats.org/officeDocument/2006/relationships/hyperlink" Target="https://bulbapedia.bulbagarden.net/wiki/Joltik_(Plasma_Storm_50)" TargetMode="External"/><Relationship Id="rId55" Type="http://schemas.openxmlformats.org/officeDocument/2006/relationships/hyperlink" Target="https://bulbapedia.bulbagarden.net/wiki/Crobat_(Plasma_Storm_55)" TargetMode="External"/><Relationship Id="rId76" Type="http://schemas.openxmlformats.org/officeDocument/2006/relationships/hyperlink" Target="https://bulbapedia.bulbagarden.net/wiki/Riolu_(Plasma_Storm_76)" TargetMode="External"/><Relationship Id="rId97" Type="http://schemas.openxmlformats.org/officeDocument/2006/relationships/hyperlink" Target="https://bulbapedia.bulbagarden.net/wiki/Clefairy_(Plasma_Storm_97)" TargetMode="External"/><Relationship Id="rId104" Type="http://schemas.openxmlformats.org/officeDocument/2006/relationships/hyperlink" Target="https://bulbapedia.bulbagarden.net/wiki/Togekiss_(Plasma_Storm_104)" TargetMode="External"/><Relationship Id="rId120" Type="http://schemas.openxmlformats.org/officeDocument/2006/relationships/hyperlink" Target="https://bulbapedia.bulbagarden.net/wiki/Escape_Rope_(Plasma_Storm_120)" TargetMode="External"/><Relationship Id="rId125" Type="http://schemas.openxmlformats.org/officeDocument/2006/relationships/hyperlink" Target="https://bulbapedia.bulbagarden.net/wiki/Team_Plasma_Grunt_(Plasma_Storm_125)" TargetMode="External"/><Relationship Id="rId7" Type="http://schemas.openxmlformats.org/officeDocument/2006/relationships/hyperlink" Target="https://bulbapedia.bulbagarden.net/wiki/Cherrim_(Plasma_Storm_7)" TargetMode="External"/><Relationship Id="rId71" Type="http://schemas.openxmlformats.org/officeDocument/2006/relationships/hyperlink" Target="https://bulbapedia.bulbagarden.net/wiki/Phanpy_(Plasma_Storm_71)" TargetMode="External"/><Relationship Id="rId92" Type="http://schemas.openxmlformats.org/officeDocument/2006/relationships/hyperlink" Target="https://bulbapedia.bulbagarden.net/wiki/Durant_(Plasma_Storm_92)" TargetMode="External"/><Relationship Id="rId2" Type="http://schemas.openxmlformats.org/officeDocument/2006/relationships/hyperlink" Target="https://bulbapedia.bulbagarden.net/wiki/Grotle_(Plasma_Storm_2)" TargetMode="External"/><Relationship Id="rId29" Type="http://schemas.openxmlformats.org/officeDocument/2006/relationships/hyperlink" Target="https://bulbapedia.bulbagarden.net/wiki/Lotad_(Plasma_Storm_29)" TargetMode="External"/><Relationship Id="rId24" Type="http://schemas.openxmlformats.org/officeDocument/2006/relationships/hyperlink" Target="https://bulbapedia.bulbagarden.net/wiki/Squirtle_(Plasma_Storm_24)" TargetMode="External"/><Relationship Id="rId40" Type="http://schemas.openxmlformats.org/officeDocument/2006/relationships/hyperlink" Target="https://bulbapedia.bulbagarden.net/wiki/Cubchoo_(Plasma_Storm_40)" TargetMode="External"/><Relationship Id="rId45" Type="http://schemas.openxmlformats.org/officeDocument/2006/relationships/hyperlink" Target="https://bulbapedia.bulbagarden.net/wiki/Magneton_(Plasma_Storm_45)" TargetMode="External"/><Relationship Id="rId66" Type="http://schemas.openxmlformats.org/officeDocument/2006/relationships/hyperlink" Target="https://bulbapedia.bulbagarden.net/wiki/Garbodor_(Plasma_Storm_66)" TargetMode="External"/><Relationship Id="rId87" Type="http://schemas.openxmlformats.org/officeDocument/2006/relationships/hyperlink" Target="https://bulbapedia.bulbagarden.net/wiki/Skarmory_(Plasma_Storm_87)" TargetMode="External"/><Relationship Id="rId110" Type="http://schemas.openxmlformats.org/officeDocument/2006/relationships/hyperlink" Target="https://bulbapedia.bulbagarden.net/wiki/Patrat_(Plasma_Storm_110)" TargetMode="External"/><Relationship Id="rId115" Type="http://schemas.openxmlformats.org/officeDocument/2006/relationships/hyperlink" Target="https://bulbapedia.bulbagarden.net/wiki/Rufflet_(Plasma_Storm_115)" TargetMode="External"/><Relationship Id="rId131" Type="http://schemas.openxmlformats.org/officeDocument/2006/relationships/hyperlink" Target="https://bulbapedia.bulbagarden.net/wiki/Victini-EX_(Plasma_Storm_131)" TargetMode="External"/><Relationship Id="rId136" Type="http://schemas.openxmlformats.org/officeDocument/2006/relationships/hyperlink" Target="https://bulbapedia.bulbagarden.net/wiki/Charizard_(Plasma_Storm_136)" TargetMode="External"/><Relationship Id="rId61" Type="http://schemas.openxmlformats.org/officeDocument/2006/relationships/hyperlink" Target="https://bulbapedia.bulbagarden.net/wiki/Gallade_(Plasma_Storm_61)" TargetMode="External"/><Relationship Id="rId82" Type="http://schemas.openxmlformats.org/officeDocument/2006/relationships/hyperlink" Target="https://bulbapedia.bulbagarden.net/wiki/Purrloin_(Plasma_Storm_82)" TargetMode="External"/><Relationship Id="rId19" Type="http://schemas.openxmlformats.org/officeDocument/2006/relationships/hyperlink" Target="https://bulbapedia.bulbagarden.net/wiki/Pansear_(Plasma_Storm_19)" TargetMode="External"/><Relationship Id="rId14" Type="http://schemas.openxmlformats.org/officeDocument/2006/relationships/hyperlink" Target="https://bulbapedia.bulbagarden.net/wiki/Moltres-EX_(Plasma_Storm_14)" TargetMode="External"/><Relationship Id="rId30" Type="http://schemas.openxmlformats.org/officeDocument/2006/relationships/hyperlink" Target="https://bulbapedia.bulbagarden.net/wiki/Lombre_(Plasma_Storm_30)" TargetMode="External"/><Relationship Id="rId35" Type="http://schemas.openxmlformats.org/officeDocument/2006/relationships/hyperlink" Target="https://bulbapedia.bulbagarden.net/wiki/Vanillite_(Plasma_Storm_35)" TargetMode="External"/><Relationship Id="rId56" Type="http://schemas.openxmlformats.org/officeDocument/2006/relationships/hyperlink" Target="https://bulbapedia.bulbagarden.net/wiki/Koffing_(Plasma_Storm_56)" TargetMode="External"/><Relationship Id="rId77" Type="http://schemas.openxmlformats.org/officeDocument/2006/relationships/hyperlink" Target="https://bulbapedia.bulbagarden.net/wiki/Lucario_(Plasma_Storm_77)" TargetMode="External"/><Relationship Id="rId100" Type="http://schemas.openxmlformats.org/officeDocument/2006/relationships/hyperlink" Target="https://bulbapedia.bulbagarden.net/wiki/Dodrio_(Plasma_Storm_100)" TargetMode="External"/><Relationship Id="rId105" Type="http://schemas.openxmlformats.org/officeDocument/2006/relationships/hyperlink" Target="https://bulbapedia.bulbagarden.net/wiki/Whismur_(Plasma_Storm_105)" TargetMode="External"/><Relationship Id="rId126" Type="http://schemas.openxmlformats.org/officeDocument/2006/relationships/hyperlink" Target="https://bulbapedia.bulbagarden.net/wiki/Virbank_City_Gym_(Plasma_Storm_126)" TargetMode="External"/><Relationship Id="rId8" Type="http://schemas.openxmlformats.org/officeDocument/2006/relationships/hyperlink" Target="https://bulbapedia.bulbagarden.net/wiki/Sewaddle_(Plasma_Storm_8)" TargetMode="External"/><Relationship Id="rId51" Type="http://schemas.openxmlformats.org/officeDocument/2006/relationships/hyperlink" Target="https://bulbapedia.bulbagarden.net/wiki/Galvantula_(Plasma_Storm_51)" TargetMode="External"/><Relationship Id="rId72" Type="http://schemas.openxmlformats.org/officeDocument/2006/relationships/hyperlink" Target="https://bulbapedia.bulbagarden.net/wiki/Donphan_(Plasma_Storm_72)" TargetMode="External"/><Relationship Id="rId93" Type="http://schemas.openxmlformats.org/officeDocument/2006/relationships/hyperlink" Target="https://bulbapedia.bulbagarden.net/wiki/Cobalion-EX_(Plasma_Storm_93)" TargetMode="External"/><Relationship Id="rId98" Type="http://schemas.openxmlformats.org/officeDocument/2006/relationships/hyperlink" Target="https://bulbapedia.bulbagarden.net/wiki/Clefable_(Plasma_Storm_98)" TargetMode="External"/><Relationship Id="rId121" Type="http://schemas.openxmlformats.org/officeDocument/2006/relationships/hyperlink" Target="https://bulbapedia.bulbagarden.net/wiki/Ether_(Plasma_Storm_121)" TargetMode="External"/><Relationship Id="rId3" Type="http://schemas.openxmlformats.org/officeDocument/2006/relationships/hyperlink" Target="https://bulbapedia.bulbagarden.net/wiki/Torterra_(Plasma_Storm_3)" TargetMode="External"/><Relationship Id="rId25" Type="http://schemas.openxmlformats.org/officeDocument/2006/relationships/hyperlink" Target="https://bulbapedia.bulbagarden.net/wiki/Articuno-EX_(Plasma_Storm_25)" TargetMode="External"/><Relationship Id="rId46" Type="http://schemas.openxmlformats.org/officeDocument/2006/relationships/hyperlink" Target="https://bulbapedia.bulbagarden.net/wiki/Magnezone_(Plasma_Storm_46)" TargetMode="External"/><Relationship Id="rId67" Type="http://schemas.openxmlformats.org/officeDocument/2006/relationships/hyperlink" Target="https://bulbapedia.bulbagarden.net/wiki/Garbodor_(Plasma_Storm_67)" TargetMode="External"/><Relationship Id="rId116" Type="http://schemas.openxmlformats.org/officeDocument/2006/relationships/hyperlink" Target="https://bulbapedia.bulbagarden.net/wiki/Braviary_(Plasma_Storm_116)" TargetMode="External"/><Relationship Id="rId137" Type="http://schemas.openxmlformats.org/officeDocument/2006/relationships/hyperlink" Target="https://bulbapedia.bulbagarden.net/wiki/Blastoise_(Plasma_Storm_137)" TargetMode="External"/><Relationship Id="rId20" Type="http://schemas.openxmlformats.org/officeDocument/2006/relationships/hyperlink" Target="https://bulbapedia.bulbagarden.net/wiki/Simisear_(Plasma_Storm_20)" TargetMode="External"/><Relationship Id="rId41" Type="http://schemas.openxmlformats.org/officeDocument/2006/relationships/hyperlink" Target="https://bulbapedia.bulbagarden.net/wiki/Beartic_(Plasma_Storm_41)" TargetMode="External"/><Relationship Id="rId62" Type="http://schemas.openxmlformats.org/officeDocument/2006/relationships/hyperlink" Target="https://bulbapedia.bulbagarden.net/wiki/Giratina_(Plasma_Storm_62)" TargetMode="External"/><Relationship Id="rId83" Type="http://schemas.openxmlformats.org/officeDocument/2006/relationships/hyperlink" Target="https://bulbapedia.bulbagarden.net/wiki/Purrloin_(Plasma_Storm_83)" TargetMode="External"/><Relationship Id="rId88" Type="http://schemas.openxmlformats.org/officeDocument/2006/relationships/hyperlink" Target="https://bulbapedia.bulbagarden.net/wiki/Klink_(Plasma_Storm_88)" TargetMode="External"/><Relationship Id="rId111" Type="http://schemas.openxmlformats.org/officeDocument/2006/relationships/hyperlink" Target="https://bulbapedia.bulbagarden.net/wiki/Patrat_(Plasma_Storm_111)" TargetMode="External"/><Relationship Id="rId132" Type="http://schemas.openxmlformats.org/officeDocument/2006/relationships/hyperlink" Target="https://bulbapedia.bulbagarden.net/wiki/Articuno-EX_(Plasma_Storm_132)" TargetMode="External"/><Relationship Id="rId15" Type="http://schemas.openxmlformats.org/officeDocument/2006/relationships/hyperlink" Target="https://bulbapedia.bulbagarden.net/wiki/Chimchar_(Plasma_Storm_15)" TargetMode="External"/><Relationship Id="rId36" Type="http://schemas.openxmlformats.org/officeDocument/2006/relationships/hyperlink" Target="https://bulbapedia.bulbagarden.net/wiki/Vanillish_(Plasma_Storm_36)" TargetMode="External"/><Relationship Id="rId57" Type="http://schemas.openxmlformats.org/officeDocument/2006/relationships/hyperlink" Target="https://bulbapedia.bulbagarden.net/wiki/Koffing_(Plasma_Storm_57)" TargetMode="External"/><Relationship Id="rId106" Type="http://schemas.openxmlformats.org/officeDocument/2006/relationships/hyperlink" Target="https://bulbapedia.bulbagarden.net/wiki/Loudred_(Plasma_Storm_106)" TargetMode="External"/><Relationship Id="rId127" Type="http://schemas.openxmlformats.org/officeDocument/2006/relationships/hyperlink" Target="https://bulbapedia.bulbagarden.net/wiki/Plasma_Energy_(Plasma_Storm_127)" TargetMode="External"/><Relationship Id="rId10" Type="http://schemas.openxmlformats.org/officeDocument/2006/relationships/hyperlink" Target="https://bulbapedia.bulbagarden.net/wiki/Leavanny_(Plasma_Storm_10)" TargetMode="External"/><Relationship Id="rId31" Type="http://schemas.openxmlformats.org/officeDocument/2006/relationships/hyperlink" Target="https://bulbapedia.bulbagarden.net/wiki/Ludicolo_(Plasma_Storm_31)" TargetMode="External"/><Relationship Id="rId52" Type="http://schemas.openxmlformats.org/officeDocument/2006/relationships/hyperlink" Target="https://bulbapedia.bulbagarden.net/wiki/Zubat_(Plasma_Storm_52)" TargetMode="External"/><Relationship Id="rId73" Type="http://schemas.openxmlformats.org/officeDocument/2006/relationships/hyperlink" Target="https://bulbapedia.bulbagarden.net/wiki/Lunatone_(Plasma_Storm_73)" TargetMode="External"/><Relationship Id="rId78" Type="http://schemas.openxmlformats.org/officeDocument/2006/relationships/hyperlink" Target="https://bulbapedia.bulbagarden.net/wiki/Lucario_(Plasma_Storm_78)" TargetMode="External"/><Relationship Id="rId94" Type="http://schemas.openxmlformats.org/officeDocument/2006/relationships/hyperlink" Target="https://bulbapedia.bulbagarden.net/wiki/Druddigon_(Plasma_Storm_94)" TargetMode="External"/><Relationship Id="rId99" Type="http://schemas.openxmlformats.org/officeDocument/2006/relationships/hyperlink" Target="https://bulbapedia.bulbagarden.net/wiki/Doduo_(Plasma_Storm_99)" TargetMode="External"/><Relationship Id="rId101" Type="http://schemas.openxmlformats.org/officeDocument/2006/relationships/hyperlink" Target="https://bulbapedia.bulbagarden.net/wiki/Snorlax_(Plasma_Storm_101)" TargetMode="External"/><Relationship Id="rId122" Type="http://schemas.openxmlformats.org/officeDocument/2006/relationships/hyperlink" Target="https://bulbapedia.bulbagarden.net/wiki/Eviolite_(Plasma_Storm_122)" TargetMode="External"/><Relationship Id="rId4" Type="http://schemas.openxmlformats.org/officeDocument/2006/relationships/hyperlink" Target="https://bulbapedia.bulbagarden.net/wiki/Combee_(Plasma_Storm_4)" TargetMode="External"/><Relationship Id="rId9" Type="http://schemas.openxmlformats.org/officeDocument/2006/relationships/hyperlink" Target="https://bulbapedia.bulbagarden.net/wiki/Swadloon_(Plasma_Storm_9)" TargetMode="External"/><Relationship Id="rId26" Type="http://schemas.openxmlformats.org/officeDocument/2006/relationships/hyperlink" Target="https://bulbapedia.bulbagarden.net/wiki/Swinub_(Plasma_Storm_26)" TargetMode="External"/><Relationship Id="rId47" Type="http://schemas.openxmlformats.org/officeDocument/2006/relationships/hyperlink" Target="https://bulbapedia.bulbagarden.net/wiki/Magnezone_(Plasma_Storm_47)" TargetMode="External"/><Relationship Id="rId68" Type="http://schemas.openxmlformats.org/officeDocument/2006/relationships/hyperlink" Target="https://bulbapedia.bulbagarden.net/wiki/Elgyem_(Plasma_Storm_68)" TargetMode="External"/><Relationship Id="rId89" Type="http://schemas.openxmlformats.org/officeDocument/2006/relationships/hyperlink" Target="https://bulbapedia.bulbagarden.net/wiki/Klang_(Plasma_Storm_89)" TargetMode="External"/><Relationship Id="rId112" Type="http://schemas.openxmlformats.org/officeDocument/2006/relationships/hyperlink" Target="https://bulbapedia.bulbagarden.net/wiki/Watchog_(Plasma_Storm_112)" TargetMode="External"/><Relationship Id="rId133" Type="http://schemas.openxmlformats.org/officeDocument/2006/relationships/hyperlink" Target="https://bulbapedia.bulbagarden.net/wiki/Cobalion-EX_(Plasma_Storm_133)" TargetMode="External"/></Relationships>
</file>

<file path=xl/worksheets/_rels/sheet45.xml.rels><?xml version="1.0" encoding="UTF-8" standalone="yes"?>
<Relationships xmlns="http://schemas.openxmlformats.org/package/2006/relationships"><Relationship Id="rId26" Type="http://schemas.openxmlformats.org/officeDocument/2006/relationships/hyperlink" Target="https://bulbapedia.bulbagarden.net/wiki/Abomasnow_(Plasma_Blast_26)" TargetMode="External"/><Relationship Id="rId21" Type="http://schemas.openxmlformats.org/officeDocument/2006/relationships/hyperlink" Target="https://bulbapedia.bulbagarden.net/wiki/Snorunt_(Plasma_Blast_21)" TargetMode="External"/><Relationship Id="rId42" Type="http://schemas.openxmlformats.org/officeDocument/2006/relationships/hyperlink" Target="https://bulbapedia.bulbagarden.net/wiki/Solosis_(Plasma_Blast_42)" TargetMode="External"/><Relationship Id="rId47" Type="http://schemas.openxmlformats.org/officeDocument/2006/relationships/hyperlink" Target="https://bulbapedia.bulbagarden.net/wiki/Machop_(Plasma_Blast_47)" TargetMode="External"/><Relationship Id="rId63" Type="http://schemas.openxmlformats.org/officeDocument/2006/relationships/hyperlink" Target="https://bulbapedia.bulbagarden.net/wiki/Shelgon_(Plasma_Blast_63)" TargetMode="External"/><Relationship Id="rId68" Type="http://schemas.openxmlformats.org/officeDocument/2006/relationships/hyperlink" Target="https://bulbapedia.bulbagarden.net/wiki/Fraxure_(Plasma_Blast_68)" TargetMode="External"/><Relationship Id="rId84" Type="http://schemas.openxmlformats.org/officeDocument/2006/relationships/hyperlink" Target="https://bulbapedia.bulbagarden.net/wiki/Professor_Juniper_(Plasma_Blast_84)" TargetMode="External"/><Relationship Id="rId89" Type="http://schemas.openxmlformats.org/officeDocument/2006/relationships/hyperlink" Target="https://bulbapedia.bulbagarden.net/wiki/Silver_Mirror_(Plasma_Blast_89)" TargetMode="External"/><Relationship Id="rId16" Type="http://schemas.openxmlformats.org/officeDocument/2006/relationships/hyperlink" Target="https://bulbapedia.bulbagarden.net/wiki/Blastoise_(Plasma_Blast_16)" TargetMode="External"/><Relationship Id="rId11" Type="http://schemas.openxmlformats.org/officeDocument/2006/relationships/hyperlink" Target="https://bulbapedia.bulbagarden.net/wiki/Genesect-EX_(Plasma_Blast_11)" TargetMode="External"/><Relationship Id="rId32" Type="http://schemas.openxmlformats.org/officeDocument/2006/relationships/hyperlink" Target="https://bulbapedia.bulbagarden.net/wiki/Eelektrik_(Plasma_Blast_32)" TargetMode="External"/><Relationship Id="rId37" Type="http://schemas.openxmlformats.org/officeDocument/2006/relationships/hyperlink" Target="https://bulbapedia.bulbagarden.net/wiki/Mesprit_(Plasma_Blast_37)" TargetMode="External"/><Relationship Id="rId53" Type="http://schemas.openxmlformats.org/officeDocument/2006/relationships/hyperlink" Target="https://bulbapedia.bulbagarden.net/wiki/Archen_(Plasma_Blast_53)" TargetMode="External"/><Relationship Id="rId58" Type="http://schemas.openxmlformats.org/officeDocument/2006/relationships/hyperlink" Target="https://bulbapedia.bulbagarden.net/wiki/Lairon_(Plasma_Blast_58)" TargetMode="External"/><Relationship Id="rId74" Type="http://schemas.openxmlformats.org/officeDocument/2006/relationships/hyperlink" Target="https://bulbapedia.bulbagarden.net/wiki/Porygon-Z_(Plasma_Blast_74)" TargetMode="External"/><Relationship Id="rId79" Type="http://schemas.openxmlformats.org/officeDocument/2006/relationships/hyperlink" Target="https://bulbapedia.bulbagarden.net/wiki/Cover_Fossil_(Plasma_Blast_79)" TargetMode="External"/><Relationship Id="rId102" Type="http://schemas.openxmlformats.org/officeDocument/2006/relationships/hyperlink" Target="https://bulbapedia.bulbagarden.net/wiki/Exeggcute_(Plasma_Blast_102)" TargetMode="External"/><Relationship Id="rId5" Type="http://schemas.openxmlformats.org/officeDocument/2006/relationships/hyperlink" Target="https://bulbapedia.bulbagarden.net/wiki/Tropius_(Plasma_Blast_5)" TargetMode="External"/><Relationship Id="rId90" Type="http://schemas.openxmlformats.org/officeDocument/2006/relationships/hyperlink" Target="https://bulbapedia.bulbagarden.net/wiki/Ultra_Ball_(Plasma_Blast_90)" TargetMode="External"/><Relationship Id="rId95" Type="http://schemas.openxmlformats.org/officeDocument/2006/relationships/hyperlink" Target="https://bulbapedia.bulbagarden.net/wiki/Scoop_Up_Cyclone_(Plasma_Blast_95)" TargetMode="External"/><Relationship Id="rId22" Type="http://schemas.openxmlformats.org/officeDocument/2006/relationships/hyperlink" Target="https://bulbapedia.bulbagarden.net/wiki/Glalie_(Plasma_Blast_22)" TargetMode="External"/><Relationship Id="rId27" Type="http://schemas.openxmlformats.org/officeDocument/2006/relationships/hyperlink" Target="https://bulbapedia.bulbagarden.net/wiki/Tirtouga_(Plasma_Blast_27)" TargetMode="External"/><Relationship Id="rId43" Type="http://schemas.openxmlformats.org/officeDocument/2006/relationships/hyperlink" Target="https://bulbapedia.bulbagarden.net/wiki/Duosion_(Plasma_Blast_43)" TargetMode="External"/><Relationship Id="rId48" Type="http://schemas.openxmlformats.org/officeDocument/2006/relationships/hyperlink" Target="https://bulbapedia.bulbagarden.net/wiki/Machoke_(Plasma_Blast_48)" TargetMode="External"/><Relationship Id="rId64" Type="http://schemas.openxmlformats.org/officeDocument/2006/relationships/hyperlink" Target="https://bulbapedia.bulbagarden.net/wiki/Salamence_(Plasma_Blast_64)" TargetMode="External"/><Relationship Id="rId69" Type="http://schemas.openxmlformats.org/officeDocument/2006/relationships/hyperlink" Target="https://bulbapedia.bulbagarden.net/wiki/Haxorus_(Plasma_Blast_69)" TargetMode="External"/><Relationship Id="rId80" Type="http://schemas.openxmlformats.org/officeDocument/2006/relationships/hyperlink" Target="https://bulbapedia.bulbagarden.net/wiki/Energy_Retrieval_(Plasma_Blast_80)" TargetMode="External"/><Relationship Id="rId85" Type="http://schemas.openxmlformats.org/officeDocument/2006/relationships/hyperlink" Target="https://bulbapedia.bulbagarden.net/wiki/Rare_Candy_(Plasma_Blast_85)" TargetMode="External"/><Relationship Id="rId12" Type="http://schemas.openxmlformats.org/officeDocument/2006/relationships/hyperlink" Target="https://bulbapedia.bulbagarden.net/wiki/Larvesta_(Plasma_Blast_12)" TargetMode="External"/><Relationship Id="rId17" Type="http://schemas.openxmlformats.org/officeDocument/2006/relationships/hyperlink" Target="https://bulbapedia.bulbagarden.net/wiki/Lapras_(Plasma_Blast_17)" TargetMode="External"/><Relationship Id="rId33" Type="http://schemas.openxmlformats.org/officeDocument/2006/relationships/hyperlink" Target="https://bulbapedia.bulbagarden.net/wiki/Eelektross_(Plasma_Blast_33)" TargetMode="External"/><Relationship Id="rId38" Type="http://schemas.openxmlformats.org/officeDocument/2006/relationships/hyperlink" Target="https://bulbapedia.bulbagarden.net/wiki/Azelf_(Plasma_Blast_38)" TargetMode="External"/><Relationship Id="rId59" Type="http://schemas.openxmlformats.org/officeDocument/2006/relationships/hyperlink" Target="https://bulbapedia.bulbagarden.net/wiki/Aggron_(Plasma_Blast_59)" TargetMode="External"/><Relationship Id="rId103" Type="http://schemas.openxmlformats.org/officeDocument/2006/relationships/hyperlink" Target="https://bulbapedia.bulbagarden.net/wiki/Virizion_(Plasma_Blast_103)" TargetMode="External"/><Relationship Id="rId20" Type="http://schemas.openxmlformats.org/officeDocument/2006/relationships/hyperlink" Target="https://bulbapedia.bulbagarden.net/wiki/Suicune_(Plasma_Blast_20)" TargetMode="External"/><Relationship Id="rId41" Type="http://schemas.openxmlformats.org/officeDocument/2006/relationships/hyperlink" Target="https://bulbapedia.bulbagarden.net/wiki/Sigilyph_(Plasma_Blast_41)" TargetMode="External"/><Relationship Id="rId54" Type="http://schemas.openxmlformats.org/officeDocument/2006/relationships/hyperlink" Target="https://bulbapedia.bulbagarden.net/wiki/Archeops_(Plasma_Blast_54)" TargetMode="External"/><Relationship Id="rId62" Type="http://schemas.openxmlformats.org/officeDocument/2006/relationships/hyperlink" Target="https://bulbapedia.bulbagarden.net/wiki/Bagon_(Plasma_Blast_62)" TargetMode="External"/><Relationship Id="rId70" Type="http://schemas.openxmlformats.org/officeDocument/2006/relationships/hyperlink" Target="https://bulbapedia.bulbagarden.net/wiki/Druddigon_(Plasma_Blast_70)" TargetMode="External"/><Relationship Id="rId75" Type="http://schemas.openxmlformats.org/officeDocument/2006/relationships/hyperlink" Target="https://bulbapedia.bulbagarden.net/wiki/Teddiursa_(Plasma_Blast_75)" TargetMode="External"/><Relationship Id="rId83" Type="http://schemas.openxmlformats.org/officeDocument/2006/relationships/hyperlink" Target="https://bulbapedia.bulbagarden.net/wiki/Pok%C3%A9mon_Catcher_(Plasma_Blast_83)" TargetMode="External"/><Relationship Id="rId88" Type="http://schemas.openxmlformats.org/officeDocument/2006/relationships/hyperlink" Target="https://bulbapedia.bulbagarden.net/wiki/Silver_Bangle_(Plasma_Blast_88)" TargetMode="External"/><Relationship Id="rId91" Type="http://schemas.openxmlformats.org/officeDocument/2006/relationships/hyperlink" Target="https://bulbapedia.bulbagarden.net/wiki/Plasma_Energy_(Plasma_Blast_91)" TargetMode="External"/><Relationship Id="rId96" Type="http://schemas.openxmlformats.org/officeDocument/2006/relationships/hyperlink" Target="https://bulbapedia.bulbagarden.net/wiki/Virizion-EX_(Plasma_Blast_96)" TargetMode="External"/><Relationship Id="rId1" Type="http://schemas.openxmlformats.org/officeDocument/2006/relationships/hyperlink" Target="https://bulbapedia.bulbagarden.net/wiki/Surskit_(Plasma_Blast_1)" TargetMode="External"/><Relationship Id="rId6" Type="http://schemas.openxmlformats.org/officeDocument/2006/relationships/hyperlink" Target="https://bulbapedia.bulbagarden.net/wiki/Karrablast_(Plasma_Blast_6)" TargetMode="External"/><Relationship Id="rId15" Type="http://schemas.openxmlformats.org/officeDocument/2006/relationships/hyperlink" Target="https://bulbapedia.bulbagarden.net/wiki/Wartortle_(Plasma_Blast_15)" TargetMode="External"/><Relationship Id="rId23" Type="http://schemas.openxmlformats.org/officeDocument/2006/relationships/hyperlink" Target="https://bulbapedia.bulbagarden.net/wiki/Froslass_(Plasma_Blast_23)" TargetMode="External"/><Relationship Id="rId28" Type="http://schemas.openxmlformats.org/officeDocument/2006/relationships/hyperlink" Target="https://bulbapedia.bulbagarden.net/wiki/Carracosta_(Plasma_Blast_28)" TargetMode="External"/><Relationship Id="rId36" Type="http://schemas.openxmlformats.org/officeDocument/2006/relationships/hyperlink" Target="https://bulbapedia.bulbagarden.net/wiki/Uxie_(Plasma_Blast_36)" TargetMode="External"/><Relationship Id="rId49" Type="http://schemas.openxmlformats.org/officeDocument/2006/relationships/hyperlink" Target="https://bulbapedia.bulbagarden.net/wiki/Machamp_(Plasma_Blast_49)" TargetMode="External"/><Relationship Id="rId57" Type="http://schemas.openxmlformats.org/officeDocument/2006/relationships/hyperlink" Target="https://bulbapedia.bulbagarden.net/wiki/Aron_(Plasma_Blast_57)" TargetMode="External"/><Relationship Id="rId10" Type="http://schemas.openxmlformats.org/officeDocument/2006/relationships/hyperlink" Target="https://bulbapedia.bulbagarden.net/wiki/Genesect_(Plasma_Blast_10)" TargetMode="External"/><Relationship Id="rId31" Type="http://schemas.openxmlformats.org/officeDocument/2006/relationships/hyperlink" Target="https://bulbapedia.bulbagarden.net/wiki/Tynamo_(Plasma_Blast_31)" TargetMode="External"/><Relationship Id="rId44" Type="http://schemas.openxmlformats.org/officeDocument/2006/relationships/hyperlink" Target="https://bulbapedia.bulbagarden.net/wiki/Reuniclus_(Plasma_Blast_44)" TargetMode="External"/><Relationship Id="rId52" Type="http://schemas.openxmlformats.org/officeDocument/2006/relationships/hyperlink" Target="https://bulbapedia.bulbagarden.net/wiki/Sawk_(Plasma_Blast_52)" TargetMode="External"/><Relationship Id="rId60" Type="http://schemas.openxmlformats.org/officeDocument/2006/relationships/hyperlink" Target="https://bulbapedia.bulbagarden.net/wiki/Jirachi-EX_(Plasma_Blast_60)" TargetMode="External"/><Relationship Id="rId65" Type="http://schemas.openxmlformats.org/officeDocument/2006/relationships/hyperlink" Target="https://bulbapedia.bulbagarden.net/wiki/Dialga-EX_(Plasma_Blast_65)" TargetMode="External"/><Relationship Id="rId73" Type="http://schemas.openxmlformats.org/officeDocument/2006/relationships/hyperlink" Target="https://bulbapedia.bulbagarden.net/wiki/Porygon2_(Plasma_Blast_73)" TargetMode="External"/><Relationship Id="rId78" Type="http://schemas.openxmlformats.org/officeDocument/2006/relationships/hyperlink" Target="https://bulbapedia.bulbagarden.net/wiki/Caitlin_(Plasma_Blast_78)" TargetMode="External"/><Relationship Id="rId81" Type="http://schemas.openxmlformats.org/officeDocument/2006/relationships/hyperlink" Target="https://bulbapedia.bulbagarden.net/wiki/Iris_(Plasma_Blast_81)" TargetMode="External"/><Relationship Id="rId86" Type="http://schemas.openxmlformats.org/officeDocument/2006/relationships/hyperlink" Target="https://bulbapedia.bulbagarden.net/wiki/Reversal_Trigger_(Plasma_Blast_86)" TargetMode="External"/><Relationship Id="rId94" Type="http://schemas.openxmlformats.org/officeDocument/2006/relationships/hyperlink" Target="https://bulbapedia.bulbagarden.net/wiki/Master_Ball_(Plasma_Blast_94)" TargetMode="External"/><Relationship Id="rId99" Type="http://schemas.openxmlformats.org/officeDocument/2006/relationships/hyperlink" Target="https://bulbapedia.bulbagarden.net/wiki/Dialga-EX_(Plasma_Blast_99)" TargetMode="External"/><Relationship Id="rId101" Type="http://schemas.openxmlformats.org/officeDocument/2006/relationships/hyperlink" Target="https://bulbapedia.bulbagarden.net/wiki/Iris_(Plasma_Blast_101)" TargetMode="External"/><Relationship Id="rId4" Type="http://schemas.openxmlformats.org/officeDocument/2006/relationships/hyperlink" Target="https://bulbapedia.bulbagarden.net/wiki/Cradily_(Plasma_Blast_4)" TargetMode="External"/><Relationship Id="rId9" Type="http://schemas.openxmlformats.org/officeDocument/2006/relationships/hyperlink" Target="https://bulbapedia.bulbagarden.net/wiki/Virizion-EX_(Plasma_Blast_9)" TargetMode="External"/><Relationship Id="rId13" Type="http://schemas.openxmlformats.org/officeDocument/2006/relationships/hyperlink" Target="https://bulbapedia.bulbagarden.net/wiki/Volcarona_(Plasma_Blast_13)" TargetMode="External"/><Relationship Id="rId18" Type="http://schemas.openxmlformats.org/officeDocument/2006/relationships/hyperlink" Target="https://bulbapedia.bulbagarden.net/wiki/Remoraid_(Plasma_Blast_18)" TargetMode="External"/><Relationship Id="rId39" Type="http://schemas.openxmlformats.org/officeDocument/2006/relationships/hyperlink" Target="https://bulbapedia.bulbagarden.net/wiki/Munna_(Plasma_Blast_39)" TargetMode="External"/><Relationship Id="rId34" Type="http://schemas.openxmlformats.org/officeDocument/2006/relationships/hyperlink" Target="https://bulbapedia.bulbagarden.net/wiki/Drifloon_(Plasma_Blast_34)" TargetMode="External"/><Relationship Id="rId50" Type="http://schemas.openxmlformats.org/officeDocument/2006/relationships/hyperlink" Target="https://bulbapedia.bulbagarden.net/wiki/Machamp_(Plasma_Blast_50)" TargetMode="External"/><Relationship Id="rId55" Type="http://schemas.openxmlformats.org/officeDocument/2006/relationships/hyperlink" Target="https://bulbapedia.bulbagarden.net/wiki/Houndour_(Plasma_Blast_55)" TargetMode="External"/><Relationship Id="rId76" Type="http://schemas.openxmlformats.org/officeDocument/2006/relationships/hyperlink" Target="https://bulbapedia.bulbagarden.net/wiki/Ursaring_(Plasma_Blast_76)" TargetMode="External"/><Relationship Id="rId97" Type="http://schemas.openxmlformats.org/officeDocument/2006/relationships/hyperlink" Target="https://bulbapedia.bulbagarden.net/wiki/Genesect-EX_(Plasma_Blast_97)" TargetMode="External"/><Relationship Id="rId104" Type="http://schemas.openxmlformats.org/officeDocument/2006/relationships/hyperlink" Target="https://bulbapedia.bulbagarden.net/wiki/Dusknoir_(Plasma_Blast_104)" TargetMode="External"/><Relationship Id="rId7" Type="http://schemas.openxmlformats.org/officeDocument/2006/relationships/hyperlink" Target="https://bulbapedia.bulbagarden.net/wiki/Shelmet_(Plasma_Blast_7)" TargetMode="External"/><Relationship Id="rId71" Type="http://schemas.openxmlformats.org/officeDocument/2006/relationships/hyperlink" Target="https://bulbapedia.bulbagarden.net/wiki/Kangaskhan_(Plasma_Blast_71)" TargetMode="External"/><Relationship Id="rId92" Type="http://schemas.openxmlformats.org/officeDocument/2006/relationships/hyperlink" Target="https://bulbapedia.bulbagarden.net/wiki/G_Booster_(Plasma_Blast_92)" TargetMode="External"/><Relationship Id="rId2" Type="http://schemas.openxmlformats.org/officeDocument/2006/relationships/hyperlink" Target="https://bulbapedia.bulbagarden.net/wiki/Masquerain_(Plasma_Blast_2)" TargetMode="External"/><Relationship Id="rId29" Type="http://schemas.openxmlformats.org/officeDocument/2006/relationships/hyperlink" Target="https://bulbapedia.bulbagarden.net/wiki/Ducklett_(Plasma_Blast_29)" TargetMode="External"/><Relationship Id="rId24" Type="http://schemas.openxmlformats.org/officeDocument/2006/relationships/hyperlink" Target="https://bulbapedia.bulbagarden.net/wiki/Relicanth_(Plasma_Blast_24)" TargetMode="External"/><Relationship Id="rId40" Type="http://schemas.openxmlformats.org/officeDocument/2006/relationships/hyperlink" Target="https://bulbapedia.bulbagarden.net/wiki/Musharna_(Plasma_Blast_40)" TargetMode="External"/><Relationship Id="rId45" Type="http://schemas.openxmlformats.org/officeDocument/2006/relationships/hyperlink" Target="https://bulbapedia.bulbagarden.net/wiki/Golett_(Plasma_Blast_45)" TargetMode="External"/><Relationship Id="rId66" Type="http://schemas.openxmlformats.org/officeDocument/2006/relationships/hyperlink" Target="https://bulbapedia.bulbagarden.net/wiki/Palkia-EX_(Plasma_Blast_66)" TargetMode="External"/><Relationship Id="rId87" Type="http://schemas.openxmlformats.org/officeDocument/2006/relationships/hyperlink" Target="https://bulbapedia.bulbagarden.net/wiki/Root_Fossil_Lileep_(Plasma_Blast_87)" TargetMode="External"/><Relationship Id="rId61" Type="http://schemas.openxmlformats.org/officeDocument/2006/relationships/hyperlink" Target="https://bulbapedia.bulbagarden.net/wiki/Escavalier_(Plasma_Blast_61)" TargetMode="External"/><Relationship Id="rId82" Type="http://schemas.openxmlformats.org/officeDocument/2006/relationships/hyperlink" Target="https://bulbapedia.bulbagarden.net/wiki/Plume_Fossil_(Plasma_Blast_82)" TargetMode="External"/><Relationship Id="rId19" Type="http://schemas.openxmlformats.org/officeDocument/2006/relationships/hyperlink" Target="https://bulbapedia.bulbagarden.net/wiki/Octillery_(Plasma_Blast_19)" TargetMode="External"/><Relationship Id="rId14" Type="http://schemas.openxmlformats.org/officeDocument/2006/relationships/hyperlink" Target="https://bulbapedia.bulbagarden.net/wiki/Squirtle_(Plasma_Blast_14)" TargetMode="External"/><Relationship Id="rId30" Type="http://schemas.openxmlformats.org/officeDocument/2006/relationships/hyperlink" Target="https://bulbapedia.bulbagarden.net/wiki/Kyurem-EX_(Plasma_Blast_30)" TargetMode="External"/><Relationship Id="rId35" Type="http://schemas.openxmlformats.org/officeDocument/2006/relationships/hyperlink" Target="https://bulbapedia.bulbagarden.net/wiki/Drifblim_(Plasma_Blast_35)" TargetMode="External"/><Relationship Id="rId56" Type="http://schemas.openxmlformats.org/officeDocument/2006/relationships/hyperlink" Target="https://bulbapedia.bulbagarden.net/wiki/Houndoom_(Plasma_Blast_56)" TargetMode="External"/><Relationship Id="rId77" Type="http://schemas.openxmlformats.org/officeDocument/2006/relationships/hyperlink" Target="https://bulbapedia.bulbagarden.net/wiki/Chatot_(Plasma_Blast_77)" TargetMode="External"/><Relationship Id="rId100" Type="http://schemas.openxmlformats.org/officeDocument/2006/relationships/hyperlink" Target="https://bulbapedia.bulbagarden.net/wiki/Palkia-EX_(Plasma_Blast_100)" TargetMode="External"/><Relationship Id="rId105" Type="http://schemas.openxmlformats.org/officeDocument/2006/relationships/hyperlink" Target="https://bulbapedia.bulbagarden.net/wiki/Rare_Candy_(Plasma_Blast_105)" TargetMode="External"/><Relationship Id="rId8" Type="http://schemas.openxmlformats.org/officeDocument/2006/relationships/hyperlink" Target="https://bulbapedia.bulbagarden.net/wiki/Accelgor_(Plasma_Blast_8)" TargetMode="External"/><Relationship Id="rId51" Type="http://schemas.openxmlformats.org/officeDocument/2006/relationships/hyperlink" Target="https://bulbapedia.bulbagarden.net/wiki/Throh_(Plasma_Blast_51)" TargetMode="External"/><Relationship Id="rId72" Type="http://schemas.openxmlformats.org/officeDocument/2006/relationships/hyperlink" Target="https://bulbapedia.bulbagarden.net/wiki/Porygon_(Plasma_Blast_72)" TargetMode="External"/><Relationship Id="rId93" Type="http://schemas.openxmlformats.org/officeDocument/2006/relationships/hyperlink" Target="https://bulbapedia.bulbagarden.net/wiki/G_Scope_(Plasma_Blast_93)" TargetMode="External"/><Relationship Id="rId98" Type="http://schemas.openxmlformats.org/officeDocument/2006/relationships/hyperlink" Target="https://bulbapedia.bulbagarden.net/wiki/Jirachi-EX_(Plasma_Blast_98)" TargetMode="External"/><Relationship Id="rId3" Type="http://schemas.openxmlformats.org/officeDocument/2006/relationships/hyperlink" Target="https://bulbapedia.bulbagarden.net/wiki/Lileep_(Plasma_Blast_3)" TargetMode="External"/><Relationship Id="rId25" Type="http://schemas.openxmlformats.org/officeDocument/2006/relationships/hyperlink" Target="https://bulbapedia.bulbagarden.net/wiki/Snover_(Plasma_Blast_25)" TargetMode="External"/><Relationship Id="rId46" Type="http://schemas.openxmlformats.org/officeDocument/2006/relationships/hyperlink" Target="https://bulbapedia.bulbagarden.net/wiki/Golurk_(Plasma_Blast_46)" TargetMode="External"/><Relationship Id="rId67" Type="http://schemas.openxmlformats.org/officeDocument/2006/relationships/hyperlink" Target="https://bulbapedia.bulbagarden.net/wiki/Axew_(Plasma_Blast_67)" TargetMode="External"/></Relationships>
</file>

<file path=xl/worksheets/_rels/sheet46.xml.rels><?xml version="1.0" encoding="UTF-8" standalone="yes"?>
<Relationships xmlns="http://schemas.openxmlformats.org/package/2006/relationships"><Relationship Id="rId26" Type="http://schemas.openxmlformats.org/officeDocument/2006/relationships/hyperlink" Target="https://bulbapedia.bulbagarden.net/wiki/Emboar_(Legendary_Treasures_27)" TargetMode="External"/><Relationship Id="rId117" Type="http://schemas.openxmlformats.org/officeDocument/2006/relationships/hyperlink" Target="https://bulbapedia.bulbagarden.net/wiki/Teddiursa_(Legendary_Treasures_RC15)" TargetMode="External"/><Relationship Id="rId21" Type="http://schemas.openxmlformats.org/officeDocument/2006/relationships/hyperlink" Target="https://bulbapedia.bulbagarden.net/wiki/Ninetales_(Legendary_Treasures_21)" TargetMode="External"/><Relationship Id="rId42" Type="http://schemas.openxmlformats.org/officeDocument/2006/relationships/hyperlink" Target="https://bulbapedia.bulbagarden.net/wiki/Zapdos_(Legendary_Treasures_46)" TargetMode="External"/><Relationship Id="rId47" Type="http://schemas.openxmlformats.org/officeDocument/2006/relationships/hyperlink" Target="https://bulbapedia.bulbagarden.net/wiki/Zekrom_(Legendary_Treasures_51)" TargetMode="External"/><Relationship Id="rId63" Type="http://schemas.openxmlformats.org/officeDocument/2006/relationships/hyperlink" Target="https://bulbapedia.bulbagarden.net/wiki/Gothita_(Legendary_Treasures_69)" TargetMode="External"/><Relationship Id="rId68" Type="http://schemas.openxmlformats.org/officeDocument/2006/relationships/hyperlink" Target="https://bulbapedia.bulbagarden.net/wiki/Solosis_(Legendary_Treasures_74)" TargetMode="External"/><Relationship Id="rId84" Type="http://schemas.openxmlformats.org/officeDocument/2006/relationships/hyperlink" Target="https://bulbapedia.bulbagarden.net/wiki/Rayquaza_(Legendary_Treasures_93)" TargetMode="External"/><Relationship Id="rId89" Type="http://schemas.openxmlformats.org/officeDocument/2006/relationships/hyperlink" Target="https://bulbapedia.bulbagarden.net/wiki/Zweilous_(Legendary_Treasures_98)" TargetMode="External"/><Relationship Id="rId112" Type="http://schemas.openxmlformats.org/officeDocument/2006/relationships/hyperlink" Target="https://bulbapedia.bulbagarden.net/wiki/Kirlia_(Legendary_Treasures_RC9)" TargetMode="External"/><Relationship Id="rId16" Type="http://schemas.openxmlformats.org/officeDocument/2006/relationships/hyperlink" Target="https://bulbapedia.bulbagarden.net/wiki/Genesect_(Legendary_Treasures_16)" TargetMode="External"/><Relationship Id="rId107" Type="http://schemas.openxmlformats.org/officeDocument/2006/relationships/hyperlink" Target="https://bulbapedia.bulbagarden.net/wiki/Growlithe_(Legendary_Treasures_RC4)" TargetMode="External"/><Relationship Id="rId11" Type="http://schemas.openxmlformats.org/officeDocument/2006/relationships/hyperlink" Target="https://bulbapedia.bulbagarden.net/wiki/Swadloon_(Legendary_Treasures_11)" TargetMode="External"/><Relationship Id="rId32" Type="http://schemas.openxmlformats.org/officeDocument/2006/relationships/hyperlink" Target="https://bulbapedia.bulbagarden.net/wiki/Prinplup_(Legendary_Treasures_34)" TargetMode="External"/><Relationship Id="rId37" Type="http://schemas.openxmlformats.org/officeDocument/2006/relationships/hyperlink" Target="https://bulbapedia.bulbagarden.net/wiki/Samurott_(Legendary_Treasures_39)" TargetMode="External"/><Relationship Id="rId53" Type="http://schemas.openxmlformats.org/officeDocument/2006/relationships/hyperlink" Target="https://bulbapedia.bulbagarden.net/wiki/Ralts_(Legendary_Treasures_59)" TargetMode="External"/><Relationship Id="rId58" Type="http://schemas.openxmlformats.org/officeDocument/2006/relationships/hyperlink" Target="https://bulbapedia.bulbagarden.net/wiki/Woobat_(Legendary_Treasures_64)" TargetMode="External"/><Relationship Id="rId74" Type="http://schemas.openxmlformats.org/officeDocument/2006/relationships/hyperlink" Target="https://bulbapedia.bulbagarden.net/wiki/Gallade_(Legendary_Treasures_81)" TargetMode="External"/><Relationship Id="rId79" Type="http://schemas.openxmlformats.org/officeDocument/2006/relationships/hyperlink" Target="https://bulbapedia.bulbagarden.net/wiki/Spiritomb_(Legendary_Treasures_87)" TargetMode="External"/><Relationship Id="rId102" Type="http://schemas.openxmlformats.org/officeDocument/2006/relationships/hyperlink" Target="https://bulbapedia.bulbagarden.net/wiki/Reshiram_(Legendary_Treasures_114)" TargetMode="External"/><Relationship Id="rId123" Type="http://schemas.openxmlformats.org/officeDocument/2006/relationships/hyperlink" Target="https://bulbapedia.bulbagarden.net/wiki/Reshiram_(Legendary_Treasures_RC22)" TargetMode="External"/><Relationship Id="rId5" Type="http://schemas.openxmlformats.org/officeDocument/2006/relationships/hyperlink" Target="https://bulbapedia.bulbagarden.net/wiki/Carnivine_(Legendary_Treasures_5)" TargetMode="External"/><Relationship Id="rId90" Type="http://schemas.openxmlformats.org/officeDocument/2006/relationships/hyperlink" Target="https://bulbapedia.bulbagarden.net/wiki/Hydreigon_(Legendary_Treasures_99)" TargetMode="External"/><Relationship Id="rId95" Type="http://schemas.openxmlformats.org/officeDocument/2006/relationships/hyperlink" Target="https://bulbapedia.bulbagarden.net/wiki/Bouffalant_(Legendary_Treasures_107)" TargetMode="External"/><Relationship Id="rId22" Type="http://schemas.openxmlformats.org/officeDocument/2006/relationships/hyperlink" Target="https://bulbapedia.bulbagarden.net/wiki/Moltres_(Legendary_Treasures_22)" TargetMode="External"/><Relationship Id="rId27" Type="http://schemas.openxmlformats.org/officeDocument/2006/relationships/hyperlink" Target="https://bulbapedia.bulbagarden.net/wiki/Reshiram_(Legendary_Treasures_28)" TargetMode="External"/><Relationship Id="rId43" Type="http://schemas.openxmlformats.org/officeDocument/2006/relationships/hyperlink" Target="https://bulbapedia.bulbagarden.net/wiki/Plusle_(Legendary_Treasures_47)" TargetMode="External"/><Relationship Id="rId48" Type="http://schemas.openxmlformats.org/officeDocument/2006/relationships/hyperlink" Target="https://bulbapedia.bulbagarden.net/wiki/Mewtwo_(Legendary_Treasures_53)" TargetMode="External"/><Relationship Id="rId64" Type="http://schemas.openxmlformats.org/officeDocument/2006/relationships/hyperlink" Target="https://bulbapedia.bulbagarden.net/wiki/Gothita_(Legendary_Treasures_70)" TargetMode="External"/><Relationship Id="rId69" Type="http://schemas.openxmlformats.org/officeDocument/2006/relationships/hyperlink" Target="https://bulbapedia.bulbagarden.net/wiki/Duosion_(Legendary_Treasures_75)" TargetMode="External"/><Relationship Id="rId113" Type="http://schemas.openxmlformats.org/officeDocument/2006/relationships/hyperlink" Target="https://bulbapedia.bulbagarden.net/wiki/Gardevoir_(Legendary_Treasures_RC10)" TargetMode="External"/><Relationship Id="rId118" Type="http://schemas.openxmlformats.org/officeDocument/2006/relationships/hyperlink" Target="https://bulbapedia.bulbagarden.net/wiki/Ursaring_(Legendary_Treasures_RC16)" TargetMode="External"/><Relationship Id="rId80" Type="http://schemas.openxmlformats.org/officeDocument/2006/relationships/hyperlink" Target="https://bulbapedia.bulbagarden.net/wiki/Zorua_(Legendary_Treasures_89)" TargetMode="External"/><Relationship Id="rId85" Type="http://schemas.openxmlformats.org/officeDocument/2006/relationships/hyperlink" Target="https://bulbapedia.bulbagarden.net/wiki/Gible_(Legendary_Treasures_94)" TargetMode="External"/><Relationship Id="rId12" Type="http://schemas.openxmlformats.org/officeDocument/2006/relationships/hyperlink" Target="https://bulbapedia.bulbagarden.net/wiki/Leavanny_(Legendary_Treasures_12)" TargetMode="External"/><Relationship Id="rId17" Type="http://schemas.openxmlformats.org/officeDocument/2006/relationships/hyperlink" Target="https://bulbapedia.bulbagarden.net/wiki/Charmander_(Legendary_Treasures_17)" TargetMode="External"/><Relationship Id="rId33" Type="http://schemas.openxmlformats.org/officeDocument/2006/relationships/hyperlink" Target="https://bulbapedia.bulbagarden.net/wiki/Empoleon_(Legendary_Treasures_35)" TargetMode="External"/><Relationship Id="rId38" Type="http://schemas.openxmlformats.org/officeDocument/2006/relationships/hyperlink" Target="https://bulbapedia.bulbagarden.net/wiki/Tympole_(Legendary_Treasures_40)" TargetMode="External"/><Relationship Id="rId59" Type="http://schemas.openxmlformats.org/officeDocument/2006/relationships/hyperlink" Target="https://bulbapedia.bulbagarden.net/wiki/Swoobat_(Legendary_Treasures_65)" TargetMode="External"/><Relationship Id="rId103" Type="http://schemas.openxmlformats.org/officeDocument/2006/relationships/hyperlink" Target="https://bulbapedia.bulbagarden.net/wiki/Zekrom_(Legendary_Treasures_115)" TargetMode="External"/><Relationship Id="rId108" Type="http://schemas.openxmlformats.org/officeDocument/2006/relationships/hyperlink" Target="https://bulbapedia.bulbagarden.net/wiki/Torchic_(Legendary_Treasures_RC5)" TargetMode="External"/><Relationship Id="rId124" Type="http://schemas.openxmlformats.org/officeDocument/2006/relationships/hyperlink" Target="https://bulbapedia.bulbagarden.net/wiki/Emolga_(Legendary_Treasures_RC23)" TargetMode="External"/><Relationship Id="rId54" Type="http://schemas.openxmlformats.org/officeDocument/2006/relationships/hyperlink" Target="https://bulbapedia.bulbagarden.net/wiki/Kirlia_(Legendary_Treasures_60)" TargetMode="External"/><Relationship Id="rId70" Type="http://schemas.openxmlformats.org/officeDocument/2006/relationships/hyperlink" Target="https://bulbapedia.bulbagarden.net/wiki/Reuniclus_(Legendary_Treasures_76)" TargetMode="External"/><Relationship Id="rId75" Type="http://schemas.openxmlformats.org/officeDocument/2006/relationships/hyperlink" Target="https://bulbapedia.bulbagarden.net/wiki/Stunfisk_(Legendary_Treasures_83)" TargetMode="External"/><Relationship Id="rId91" Type="http://schemas.openxmlformats.org/officeDocument/2006/relationships/hyperlink" Target="https://bulbapedia.bulbagarden.net/wiki/Swablu_(Legendary_Treasures_103)" TargetMode="External"/><Relationship Id="rId96" Type="http://schemas.openxmlformats.org/officeDocument/2006/relationships/hyperlink" Target="https://bulbapedia.bulbagarden.net/wiki/Tornadus_(Legendary_Treasures_108)" TargetMode="External"/><Relationship Id="rId1" Type="http://schemas.openxmlformats.org/officeDocument/2006/relationships/hyperlink" Target="https://bulbapedia.bulbagarden.net/wiki/Tangela_(Legendary_Treasures_1)" TargetMode="External"/><Relationship Id="rId6" Type="http://schemas.openxmlformats.org/officeDocument/2006/relationships/hyperlink" Target="https://bulbapedia.bulbagarden.net/wiki/Snivy_(Legendary_Treasures_6)" TargetMode="External"/><Relationship Id="rId23" Type="http://schemas.openxmlformats.org/officeDocument/2006/relationships/hyperlink" Target="https://bulbapedia.bulbagarden.net/wiki/Victini_(Legendary_Treasures_23)" TargetMode="External"/><Relationship Id="rId28" Type="http://schemas.openxmlformats.org/officeDocument/2006/relationships/hyperlink" Target="https://bulbapedia.bulbagarden.net/wiki/Magikarp_(Legendary_Treasures_30)" TargetMode="External"/><Relationship Id="rId49" Type="http://schemas.openxmlformats.org/officeDocument/2006/relationships/hyperlink" Target="https://bulbapedia.bulbagarden.net/wiki/Natu_(Legendary_Treasures_55)" TargetMode="External"/><Relationship Id="rId114" Type="http://schemas.openxmlformats.org/officeDocument/2006/relationships/hyperlink" Target="https://bulbapedia.bulbagarden.net/wiki/Stunfisk_(Legendary_Treasures_RC12)" TargetMode="External"/><Relationship Id="rId119" Type="http://schemas.openxmlformats.org/officeDocument/2006/relationships/hyperlink" Target="https://bulbapedia.bulbagarden.net/wiki/Audino_(Legendary_Treasures_RC17)" TargetMode="External"/><Relationship Id="rId44" Type="http://schemas.openxmlformats.org/officeDocument/2006/relationships/hyperlink" Target="https://bulbapedia.bulbagarden.net/wiki/Minun_(Legendary_Treasures_48)" TargetMode="External"/><Relationship Id="rId60" Type="http://schemas.openxmlformats.org/officeDocument/2006/relationships/hyperlink" Target="https://bulbapedia.bulbagarden.net/wiki/Sigilyph_(Legendary_Treasures_66)" TargetMode="External"/><Relationship Id="rId65" Type="http://schemas.openxmlformats.org/officeDocument/2006/relationships/hyperlink" Target="https://bulbapedia.bulbagarden.net/wiki/Gothorita_(Legendary_Treasures_71)" TargetMode="External"/><Relationship Id="rId81" Type="http://schemas.openxmlformats.org/officeDocument/2006/relationships/hyperlink" Target="https://bulbapedia.bulbagarden.net/wiki/Zoroark_(Legendary_Treasures_90)" TargetMode="External"/><Relationship Id="rId86" Type="http://schemas.openxmlformats.org/officeDocument/2006/relationships/hyperlink" Target="https://bulbapedia.bulbagarden.net/wiki/Gabite_(Legendary_Treasures_95)" TargetMode="External"/><Relationship Id="rId4" Type="http://schemas.openxmlformats.org/officeDocument/2006/relationships/hyperlink" Target="https://bulbapedia.bulbagarden.net/wiki/Cherubi_(Legendary_Treasures_4)" TargetMode="External"/><Relationship Id="rId9" Type="http://schemas.openxmlformats.org/officeDocument/2006/relationships/hyperlink" Target="https://bulbapedia.bulbagarden.net/wiki/Sewaddle_(Legendary_Treasures_9)" TargetMode="External"/><Relationship Id="rId13" Type="http://schemas.openxmlformats.org/officeDocument/2006/relationships/hyperlink" Target="https://bulbapedia.bulbagarden.net/wiki/Dwebble_(Legendary_Treasures_13)" TargetMode="External"/><Relationship Id="rId18" Type="http://schemas.openxmlformats.org/officeDocument/2006/relationships/hyperlink" Target="https://bulbapedia.bulbagarden.net/wiki/Charmeleon_(Legendary_Treasures_18)" TargetMode="External"/><Relationship Id="rId39" Type="http://schemas.openxmlformats.org/officeDocument/2006/relationships/hyperlink" Target="https://bulbapedia.bulbagarden.net/wiki/Palpitoad_(Legendary_Treasures_41)" TargetMode="External"/><Relationship Id="rId109" Type="http://schemas.openxmlformats.org/officeDocument/2006/relationships/hyperlink" Target="https://bulbapedia.bulbagarden.net/wiki/Piplup_(Legendary_Treasures_RC6)" TargetMode="External"/><Relationship Id="rId34" Type="http://schemas.openxmlformats.org/officeDocument/2006/relationships/hyperlink" Target="https://bulbapedia.bulbagarden.net/wiki/Phione_(Legendary_Treasures_36)" TargetMode="External"/><Relationship Id="rId50" Type="http://schemas.openxmlformats.org/officeDocument/2006/relationships/hyperlink" Target="https://bulbapedia.bulbagarden.net/wiki/Xatu_(Legendary_Treasures_56)" TargetMode="External"/><Relationship Id="rId55" Type="http://schemas.openxmlformats.org/officeDocument/2006/relationships/hyperlink" Target="https://bulbapedia.bulbagarden.net/wiki/Sableye_(Legendary_Treasures_61)" TargetMode="External"/><Relationship Id="rId76" Type="http://schemas.openxmlformats.org/officeDocument/2006/relationships/hyperlink" Target="https://bulbapedia.bulbagarden.net/wiki/Terrakion_(Legendary_Treasures_84)" TargetMode="External"/><Relationship Id="rId97" Type="http://schemas.openxmlformats.org/officeDocument/2006/relationships/hyperlink" Target="https://bulbapedia.bulbagarden.net/wiki/Bianca_(Legendary_Treasures_109)" TargetMode="External"/><Relationship Id="rId104" Type="http://schemas.openxmlformats.org/officeDocument/2006/relationships/hyperlink" Target="https://bulbapedia.bulbagarden.net/wiki/Snivy_(Legendary_Treasures_RC1)" TargetMode="External"/><Relationship Id="rId120" Type="http://schemas.openxmlformats.org/officeDocument/2006/relationships/hyperlink" Target="https://bulbapedia.bulbagarden.net/wiki/Minccino_(Legendary_Treasures_RC18)" TargetMode="External"/><Relationship Id="rId7" Type="http://schemas.openxmlformats.org/officeDocument/2006/relationships/hyperlink" Target="https://bulbapedia.bulbagarden.net/wiki/Servine_(Legendary_Treasures_7)" TargetMode="External"/><Relationship Id="rId71" Type="http://schemas.openxmlformats.org/officeDocument/2006/relationships/hyperlink" Target="https://bulbapedia.bulbagarden.net/wiki/Meloetta_(Legendary_Treasures_78)" TargetMode="External"/><Relationship Id="rId92" Type="http://schemas.openxmlformats.org/officeDocument/2006/relationships/hyperlink" Target="https://bulbapedia.bulbagarden.net/wiki/Minccino_(Legendary_Treasures_104)" TargetMode="External"/><Relationship Id="rId2" Type="http://schemas.openxmlformats.org/officeDocument/2006/relationships/hyperlink" Target="https://bulbapedia.bulbagarden.net/wiki/Tangrowth_(Legendary_Treasures_2)" TargetMode="External"/><Relationship Id="rId29" Type="http://schemas.openxmlformats.org/officeDocument/2006/relationships/hyperlink" Target="https://bulbapedia.bulbagarden.net/wiki/Gyarados_(Legendary_Treasures_31)" TargetMode="External"/><Relationship Id="rId24" Type="http://schemas.openxmlformats.org/officeDocument/2006/relationships/hyperlink" Target="https://bulbapedia.bulbagarden.net/wiki/Tepig_(Legendary_Treasures_25)" TargetMode="External"/><Relationship Id="rId40" Type="http://schemas.openxmlformats.org/officeDocument/2006/relationships/hyperlink" Target="https://bulbapedia.bulbagarden.net/wiki/Seismitoad_(Legendary_Treasures_42)" TargetMode="External"/><Relationship Id="rId45" Type="http://schemas.openxmlformats.org/officeDocument/2006/relationships/hyperlink" Target="https://bulbapedia.bulbagarden.net/wiki/Emolga_(Legendary_Treasures_49)" TargetMode="External"/><Relationship Id="rId66" Type="http://schemas.openxmlformats.org/officeDocument/2006/relationships/hyperlink" Target="https://bulbapedia.bulbagarden.net/wiki/Gothitelle_(Legendary_Treasures_72)" TargetMode="External"/><Relationship Id="rId87" Type="http://schemas.openxmlformats.org/officeDocument/2006/relationships/hyperlink" Target="https://bulbapedia.bulbagarden.net/wiki/Garchomp_(Legendary_Treasures_96)" TargetMode="External"/><Relationship Id="rId110" Type="http://schemas.openxmlformats.org/officeDocument/2006/relationships/hyperlink" Target="https://bulbapedia.bulbagarden.net/wiki/Pikachu_(Legendary_Treasures_RC7)" TargetMode="External"/><Relationship Id="rId115" Type="http://schemas.openxmlformats.org/officeDocument/2006/relationships/hyperlink" Target="https://bulbapedia.bulbagarden.net/wiki/Purrloin_(Legendary_Treasures_RC13)" TargetMode="External"/><Relationship Id="rId61" Type="http://schemas.openxmlformats.org/officeDocument/2006/relationships/hyperlink" Target="https://bulbapedia.bulbagarden.net/wiki/Trubbish_(Legendary_Treasures_67)" TargetMode="External"/><Relationship Id="rId82" Type="http://schemas.openxmlformats.org/officeDocument/2006/relationships/hyperlink" Target="https://bulbapedia.bulbagarden.net/wiki/Cobalion_(Legendary_Treasures_91)" TargetMode="External"/><Relationship Id="rId19" Type="http://schemas.openxmlformats.org/officeDocument/2006/relationships/hyperlink" Target="https://bulbapedia.bulbagarden.net/wiki/Charizard_(Legendary_Treasures_19)" TargetMode="External"/><Relationship Id="rId14" Type="http://schemas.openxmlformats.org/officeDocument/2006/relationships/hyperlink" Target="https://bulbapedia.bulbagarden.net/wiki/Crustle_(Legendary_Treasures_14)" TargetMode="External"/><Relationship Id="rId30" Type="http://schemas.openxmlformats.org/officeDocument/2006/relationships/hyperlink" Target="https://bulbapedia.bulbagarden.net/wiki/Articuno_(Legendary_Treasures_32)" TargetMode="External"/><Relationship Id="rId35" Type="http://schemas.openxmlformats.org/officeDocument/2006/relationships/hyperlink" Target="https://bulbapedia.bulbagarden.net/wiki/Oshawott_(Legendary_Treasures_37)" TargetMode="External"/><Relationship Id="rId56" Type="http://schemas.openxmlformats.org/officeDocument/2006/relationships/hyperlink" Target="https://bulbapedia.bulbagarden.net/wiki/Croagunk_(Legendary_Treasures_62)" TargetMode="External"/><Relationship Id="rId77" Type="http://schemas.openxmlformats.org/officeDocument/2006/relationships/hyperlink" Target="https://bulbapedia.bulbagarden.net/wiki/Landorus_(Legendary_Treasures_85)" TargetMode="External"/><Relationship Id="rId100" Type="http://schemas.openxmlformats.org/officeDocument/2006/relationships/hyperlink" Target="https://bulbapedia.bulbagarden.net/wiki/Energy_Switch_(Legendary_Treasures_112)" TargetMode="External"/><Relationship Id="rId105" Type="http://schemas.openxmlformats.org/officeDocument/2006/relationships/hyperlink" Target="https://bulbapedia.bulbagarden.net/wiki/Servine_(Legendary_Treasures_RC2)" TargetMode="External"/><Relationship Id="rId8" Type="http://schemas.openxmlformats.org/officeDocument/2006/relationships/hyperlink" Target="https://bulbapedia.bulbagarden.net/wiki/Serperior_(Legendary_Treasures_8)" TargetMode="External"/><Relationship Id="rId51" Type="http://schemas.openxmlformats.org/officeDocument/2006/relationships/hyperlink" Target="https://bulbapedia.bulbagarden.net/wiki/Misdreavus_(Legendary_Treasures_57)" TargetMode="External"/><Relationship Id="rId72" Type="http://schemas.openxmlformats.org/officeDocument/2006/relationships/hyperlink" Target="https://bulbapedia.bulbagarden.net/wiki/Riolu_(Legendary_Treasures_79)" TargetMode="External"/><Relationship Id="rId93" Type="http://schemas.openxmlformats.org/officeDocument/2006/relationships/hyperlink" Target="https://bulbapedia.bulbagarden.net/wiki/Cinccino_(Legendary_Treasures_105)" TargetMode="External"/><Relationship Id="rId98" Type="http://schemas.openxmlformats.org/officeDocument/2006/relationships/hyperlink" Target="https://bulbapedia.bulbagarden.net/wiki/Cedric_Juniper_(Legendary_Treasures_110)" TargetMode="External"/><Relationship Id="rId121" Type="http://schemas.openxmlformats.org/officeDocument/2006/relationships/hyperlink" Target="https://bulbapedia.bulbagarden.net/wiki/Cinccino_(Legendary_Treasures_RC19)" TargetMode="External"/><Relationship Id="rId3" Type="http://schemas.openxmlformats.org/officeDocument/2006/relationships/hyperlink" Target="https://bulbapedia.bulbagarden.net/wiki/Shuckle_(Legendary_Treasures_3)" TargetMode="External"/><Relationship Id="rId25" Type="http://schemas.openxmlformats.org/officeDocument/2006/relationships/hyperlink" Target="https://bulbapedia.bulbagarden.net/wiki/Pignite_(Legendary_Treasures_26)" TargetMode="External"/><Relationship Id="rId46" Type="http://schemas.openxmlformats.org/officeDocument/2006/relationships/hyperlink" Target="https://bulbapedia.bulbagarden.net/wiki/Thundurus_(Legendary_Treasures_50)" TargetMode="External"/><Relationship Id="rId67" Type="http://schemas.openxmlformats.org/officeDocument/2006/relationships/hyperlink" Target="https://bulbapedia.bulbagarden.net/wiki/Solosis_(Legendary_Treasures_73)" TargetMode="External"/><Relationship Id="rId116" Type="http://schemas.openxmlformats.org/officeDocument/2006/relationships/hyperlink" Target="https://bulbapedia.bulbagarden.net/wiki/Eevee_(Legendary_Treasures_RC14)" TargetMode="External"/><Relationship Id="rId20" Type="http://schemas.openxmlformats.org/officeDocument/2006/relationships/hyperlink" Target="https://bulbapedia.bulbagarden.net/wiki/Vulpix_(Legendary_Treasures_20)" TargetMode="External"/><Relationship Id="rId41" Type="http://schemas.openxmlformats.org/officeDocument/2006/relationships/hyperlink" Target="https://bulbapedia.bulbagarden.net/wiki/Kyurem_(Legendary_Treasures_43)" TargetMode="External"/><Relationship Id="rId62" Type="http://schemas.openxmlformats.org/officeDocument/2006/relationships/hyperlink" Target="https://bulbapedia.bulbagarden.net/wiki/Garbodor_(Legendary_Treasures_68)" TargetMode="External"/><Relationship Id="rId83" Type="http://schemas.openxmlformats.org/officeDocument/2006/relationships/hyperlink" Target="https://bulbapedia.bulbagarden.net/wiki/Altaria_(Legendary_Treasures_92)" TargetMode="External"/><Relationship Id="rId88" Type="http://schemas.openxmlformats.org/officeDocument/2006/relationships/hyperlink" Target="https://bulbapedia.bulbagarden.net/wiki/Deino_(Legendary_Treasures_97)" TargetMode="External"/><Relationship Id="rId111" Type="http://schemas.openxmlformats.org/officeDocument/2006/relationships/hyperlink" Target="https://bulbapedia.bulbagarden.net/wiki/Ralts_(Legendary_Treasures_RC8)" TargetMode="External"/><Relationship Id="rId15" Type="http://schemas.openxmlformats.org/officeDocument/2006/relationships/hyperlink" Target="https://bulbapedia.bulbagarden.net/wiki/Virizion_(Legendary_Treasures_15)" TargetMode="External"/><Relationship Id="rId36" Type="http://schemas.openxmlformats.org/officeDocument/2006/relationships/hyperlink" Target="https://bulbapedia.bulbagarden.net/wiki/Dewott_(Legendary_Treasures_38)" TargetMode="External"/><Relationship Id="rId57" Type="http://schemas.openxmlformats.org/officeDocument/2006/relationships/hyperlink" Target="https://bulbapedia.bulbagarden.net/wiki/Toxicroak_(Legendary_Treasures_63)" TargetMode="External"/><Relationship Id="rId106" Type="http://schemas.openxmlformats.org/officeDocument/2006/relationships/hyperlink" Target="https://bulbapedia.bulbagarden.net/wiki/Serperior_(Legendary_Treasures_RC3)" TargetMode="External"/><Relationship Id="rId10" Type="http://schemas.openxmlformats.org/officeDocument/2006/relationships/hyperlink" Target="https://bulbapedia.bulbagarden.net/wiki/Sewaddle_(Legendary_Treasures_10)" TargetMode="External"/><Relationship Id="rId31" Type="http://schemas.openxmlformats.org/officeDocument/2006/relationships/hyperlink" Target="https://bulbapedia.bulbagarden.net/wiki/Piplup_(Legendary_Treasures_33)" TargetMode="External"/><Relationship Id="rId52" Type="http://schemas.openxmlformats.org/officeDocument/2006/relationships/hyperlink" Target="https://bulbapedia.bulbagarden.net/wiki/Mismagius_(Legendary_Treasures_58)" TargetMode="External"/><Relationship Id="rId73" Type="http://schemas.openxmlformats.org/officeDocument/2006/relationships/hyperlink" Target="https://bulbapedia.bulbagarden.net/wiki/Lucario_(Legendary_Treasures_80)" TargetMode="External"/><Relationship Id="rId78" Type="http://schemas.openxmlformats.org/officeDocument/2006/relationships/hyperlink" Target="https://bulbapedia.bulbagarden.net/wiki/Meloetta_(Legendary_Treasures_86)" TargetMode="External"/><Relationship Id="rId94" Type="http://schemas.openxmlformats.org/officeDocument/2006/relationships/hyperlink" Target="https://bulbapedia.bulbagarden.net/wiki/Druddigon_(Legendary_Treasures_106)" TargetMode="External"/><Relationship Id="rId99" Type="http://schemas.openxmlformats.org/officeDocument/2006/relationships/hyperlink" Target="https://bulbapedia.bulbagarden.net/wiki/Crushing_Hammer_(Legendary_Treasures_111)" TargetMode="External"/><Relationship Id="rId101" Type="http://schemas.openxmlformats.org/officeDocument/2006/relationships/hyperlink" Target="https://bulbapedia.bulbagarden.net/wiki/Double_Colorless_Energy_(Legendary_Treasures_113)" TargetMode="External"/><Relationship Id="rId122" Type="http://schemas.openxmlformats.org/officeDocument/2006/relationships/hyperlink" Target="https://bulbapedia.bulbagarden.net/wiki/Elesa_(Legendary_Treasures_RC20)" TargetMode="External"/></Relationships>
</file>

<file path=xl/worksheets/_rels/sheet47.xml.rels><?xml version="1.0" encoding="UTF-8" standalone="yes"?>
<Relationships xmlns="http://schemas.openxmlformats.org/package/2006/relationships"><Relationship Id="rId26" Type="http://schemas.openxmlformats.org/officeDocument/2006/relationships/hyperlink" Target="https://bulbapedia.bulbagarden.net/wiki/Pangoro_(XY_Promo_50)" TargetMode="External"/><Relationship Id="rId117" Type="http://schemas.openxmlformats.org/officeDocument/2006/relationships/hyperlink" Target="https://bulbapedia.bulbagarden.net/wiki/Gym_Badge_(XY_Promo_208)" TargetMode="External"/><Relationship Id="rId21" Type="http://schemas.openxmlformats.org/officeDocument/2006/relationships/hyperlink" Target="https://bulbapedia.bulbagarden.net/wiki/Mudkip_(XY_Promo_38)" TargetMode="External"/><Relationship Id="rId42" Type="http://schemas.openxmlformats.org/officeDocument/2006/relationships/hyperlink" Target="https://bulbapedia.bulbagarden.net/wiki/Latios_(XY_Promo_79)" TargetMode="External"/><Relationship Id="rId47" Type="http://schemas.openxmlformats.org/officeDocument/2006/relationships/hyperlink" Target="https://bulbapedia.bulbagarden.net/wiki/Chespin_(XY_Promo_88)" TargetMode="External"/><Relationship Id="rId63" Type="http://schemas.openxmlformats.org/officeDocument/2006/relationships/hyperlink" Target="https://bulbapedia.bulbagarden.net/wiki/Darkrai_(XY_Promo_114)" TargetMode="External"/><Relationship Id="rId68" Type="http://schemas.openxmlformats.org/officeDocument/2006/relationships/hyperlink" Target="https://bulbapedia.bulbagarden.net/wiki/Genesect_(XY_Promo_119)" TargetMode="External"/><Relationship Id="rId84" Type="http://schemas.openxmlformats.org/officeDocument/2006/relationships/hyperlink" Target="https://bulbapedia.bulbagarden.net/wiki/Braixen_(XY_Promo_161)" TargetMode="External"/><Relationship Id="rId89" Type="http://schemas.openxmlformats.org/officeDocument/2006/relationships/hyperlink" Target="https://bulbapedia.bulbagarden.net/wiki/Garchomp_Spirit_Link_(XY_Promo_169)" TargetMode="External"/><Relationship Id="rId112" Type="http://schemas.openxmlformats.org/officeDocument/2006/relationships/hyperlink" Target="https://bulbapedia.bulbagarden.net/wiki/Gym_Badge_(XY_Promo_203)" TargetMode="External"/><Relationship Id="rId16" Type="http://schemas.openxmlformats.org/officeDocument/2006/relationships/hyperlink" Target="https://bulbapedia.bulbagarden.net/wiki/Xerneas_(XY_Promo_31)" TargetMode="External"/><Relationship Id="rId107" Type="http://schemas.openxmlformats.org/officeDocument/2006/relationships/hyperlink" Target="https://bulbapedia.bulbagarden.net/wiki/Genesect_(XY_Promo_196)" TargetMode="External"/><Relationship Id="rId11" Type="http://schemas.openxmlformats.org/officeDocument/2006/relationships/hyperlink" Target="https://bulbapedia.bulbagarden.net/wiki/Gogoat_(XY_Promo_16)" TargetMode="External"/><Relationship Id="rId32" Type="http://schemas.openxmlformats.org/officeDocument/2006/relationships/hyperlink" Target="https://bulbapedia.bulbagarden.net/wiki/Salamence_(XY_Promo_59)" TargetMode="External"/><Relationship Id="rId37" Type="http://schemas.openxmlformats.org/officeDocument/2006/relationships/hyperlink" Target="https://bulbapedia.bulbagarden.net/wiki/Reshiram_(XY_Promo_74)" TargetMode="External"/><Relationship Id="rId53" Type="http://schemas.openxmlformats.org/officeDocument/2006/relationships/hyperlink" Target="https://bulbapedia.bulbagarden.net/wiki/Umbreon_(XY_Promo_96)" TargetMode="External"/><Relationship Id="rId58" Type="http://schemas.openxmlformats.org/officeDocument/2006/relationships/hyperlink" Target="https://bulbapedia.bulbagarden.net/wiki/Gyarados_(XY_Promo_109)" TargetMode="External"/><Relationship Id="rId74" Type="http://schemas.openxmlformats.org/officeDocument/2006/relationships/hyperlink" Target="https://bulbapedia.bulbagarden.net/wiki/Floette_(XY_Promo_139)" TargetMode="External"/><Relationship Id="rId79" Type="http://schemas.openxmlformats.org/officeDocument/2006/relationships/hyperlink" Target="https://bulbapedia.bulbagarden.net/wiki/Zygarde_(XY_Promo_152)" TargetMode="External"/><Relationship Id="rId102" Type="http://schemas.openxmlformats.org/officeDocument/2006/relationships/hyperlink" Target="https://bulbapedia.bulbagarden.net/wiki/Keldeo_(XY_Promo_191)" TargetMode="External"/><Relationship Id="rId5" Type="http://schemas.openxmlformats.org/officeDocument/2006/relationships/hyperlink" Target="https://bulbapedia.bulbagarden.net/wiki/Xerneas_(XY_Promo_5)" TargetMode="External"/><Relationship Id="rId90" Type="http://schemas.openxmlformats.org/officeDocument/2006/relationships/hyperlink" Target="https://bulbapedia.bulbagarden.net/wiki/Salamence_Spirit_Link_(XY_Promo_172)" TargetMode="External"/><Relationship Id="rId95" Type="http://schemas.openxmlformats.org/officeDocument/2006/relationships/hyperlink" Target="https://bulbapedia.bulbagarden.net/wiki/Giratina_(XY_Promo_184)" TargetMode="External"/><Relationship Id="rId22" Type="http://schemas.openxmlformats.org/officeDocument/2006/relationships/hyperlink" Target="https://bulbapedia.bulbagarden.net/wiki/Ditto_(XY_Promo_40)" TargetMode="External"/><Relationship Id="rId27" Type="http://schemas.openxmlformats.org/officeDocument/2006/relationships/hyperlink" Target="https://bulbapedia.bulbagarden.net/wiki/Kyogre_(XY_Promo_51)" TargetMode="External"/><Relationship Id="rId43" Type="http://schemas.openxmlformats.org/officeDocument/2006/relationships/hyperlink" Target="https://bulbapedia.bulbagarden.net/wiki/Black_Kyurem_(XY_Promo_80)" TargetMode="External"/><Relationship Id="rId48" Type="http://schemas.openxmlformats.org/officeDocument/2006/relationships/hyperlink" Target="https://bulbapedia.bulbagarden.net/wiki/Pikachu_(XY_Promo_89)" TargetMode="External"/><Relationship Id="rId64" Type="http://schemas.openxmlformats.org/officeDocument/2006/relationships/hyperlink" Target="https://bulbapedia.bulbagarden.net/wiki/Shaymin_(XY_Promo_115)" TargetMode="External"/><Relationship Id="rId69" Type="http://schemas.openxmlformats.org/officeDocument/2006/relationships/hyperlink" Target="https://bulbapedia.bulbagarden.net/wiki/Meloetta_(XY_Promo_120)" TargetMode="External"/><Relationship Id="rId113" Type="http://schemas.openxmlformats.org/officeDocument/2006/relationships/hyperlink" Target="https://bulbapedia.bulbagarden.net/wiki/Gym_Badge_(XY_Promo_204)" TargetMode="External"/><Relationship Id="rId118" Type="http://schemas.openxmlformats.org/officeDocument/2006/relationships/hyperlink" Target="https://bulbapedia.bulbagarden.net/wiki/Gym_Badge_(XY_Promo_209)" TargetMode="External"/><Relationship Id="rId80" Type="http://schemas.openxmlformats.org/officeDocument/2006/relationships/hyperlink" Target="https://bulbapedia.bulbagarden.net/wiki/Ho-Oh_(XY_Promo_153)" TargetMode="External"/><Relationship Id="rId85" Type="http://schemas.openxmlformats.org/officeDocument/2006/relationships/hyperlink" Target="https://bulbapedia.bulbagarden.net/wiki/Greninja_(XY_Promo_162)" TargetMode="External"/><Relationship Id="rId12" Type="http://schemas.openxmlformats.org/officeDocument/2006/relationships/hyperlink" Target="https://bulbapedia.bulbagarden.net/wiki/Darkrai_(XY_Promo_22)" TargetMode="External"/><Relationship Id="rId17" Type="http://schemas.openxmlformats.org/officeDocument/2006/relationships/hyperlink" Target="https://bulbapedia.bulbagarden.net/wiki/Yveltal_(XY_Promo_32)" TargetMode="External"/><Relationship Id="rId33" Type="http://schemas.openxmlformats.org/officeDocument/2006/relationships/hyperlink" Target="https://bulbapedia.bulbagarden.net/wiki/Rayquaza_(XY_Promo_64)" TargetMode="External"/><Relationship Id="rId38" Type="http://schemas.openxmlformats.org/officeDocument/2006/relationships/hyperlink" Target="https://bulbapedia.bulbagarden.net/wiki/Palkia_(XY_Promo_75)" TargetMode="External"/><Relationship Id="rId59" Type="http://schemas.openxmlformats.org/officeDocument/2006/relationships/hyperlink" Target="https://bulbapedia.bulbagarden.net/wiki/Mew_(XY_Promo_110)" TargetMode="External"/><Relationship Id="rId103" Type="http://schemas.openxmlformats.org/officeDocument/2006/relationships/hyperlink" Target="https://bulbapedia.bulbagarden.net/wiki/Mew_(XY_Promo_192)" TargetMode="External"/><Relationship Id="rId108" Type="http://schemas.openxmlformats.org/officeDocument/2006/relationships/hyperlink" Target="https://bulbapedia.bulbagarden.net/wiki/Arceus_(XY_Promo_197)" TargetMode="External"/><Relationship Id="rId54" Type="http://schemas.openxmlformats.org/officeDocument/2006/relationships/hyperlink" Target="https://bulbapedia.bulbagarden.net/wiki/Aerodactyl_Spirit_Link_(XY_Promo_99)" TargetMode="External"/><Relationship Id="rId70" Type="http://schemas.openxmlformats.org/officeDocument/2006/relationships/hyperlink" Target="https://bulbapedia.bulbagarden.net/wiki/Pansear_(XY_Promo_131)" TargetMode="External"/><Relationship Id="rId75" Type="http://schemas.openxmlformats.org/officeDocument/2006/relationships/hyperlink" Target="https://bulbapedia.bulbagarden.net/wiki/Lucario_(XY_Promo_140)" TargetMode="External"/><Relationship Id="rId91" Type="http://schemas.openxmlformats.org/officeDocument/2006/relationships/hyperlink" Target="https://bulbapedia.bulbagarden.net/wiki/Karen_(XY_Promo_177)" TargetMode="External"/><Relationship Id="rId96" Type="http://schemas.openxmlformats.org/officeDocument/2006/relationships/hyperlink" Target="https://bulbapedia.bulbagarden.net/wiki/Volcanion_(XY_Promo_185)" TargetMode="External"/><Relationship Id="rId1" Type="http://schemas.openxmlformats.org/officeDocument/2006/relationships/hyperlink" Target="https://bulbapedia.bulbagarden.net/wiki/Chespin_(XY_Promo_1)" TargetMode="External"/><Relationship Id="rId6" Type="http://schemas.openxmlformats.org/officeDocument/2006/relationships/hyperlink" Target="https://bulbapedia.bulbagarden.net/wiki/Yveltal_(XY_Promo_6)" TargetMode="External"/><Relationship Id="rId23" Type="http://schemas.openxmlformats.org/officeDocument/2006/relationships/hyperlink" Target="https://bulbapedia.bulbagarden.net/wiki/Heliolisk_(XY_Promo_47)" TargetMode="External"/><Relationship Id="rId28" Type="http://schemas.openxmlformats.org/officeDocument/2006/relationships/hyperlink" Target="https://bulbapedia.bulbagarden.net/wiki/Groudon_(XY_Promo_52)" TargetMode="External"/><Relationship Id="rId49" Type="http://schemas.openxmlformats.org/officeDocument/2006/relationships/hyperlink" Target="https://bulbapedia.bulbagarden.net/wiki/Hoopa_(XY_Promo_90)" TargetMode="External"/><Relationship Id="rId114" Type="http://schemas.openxmlformats.org/officeDocument/2006/relationships/hyperlink" Target="https://bulbapedia.bulbagarden.net/wiki/Gym_Badge_(XY_Promo_205)" TargetMode="External"/><Relationship Id="rId119" Type="http://schemas.openxmlformats.org/officeDocument/2006/relationships/hyperlink" Target="https://bulbapedia.bulbagarden.net/wiki/Gym_Badge_(XY_Promo_210)" TargetMode="External"/><Relationship Id="rId10" Type="http://schemas.openxmlformats.org/officeDocument/2006/relationships/hyperlink" Target="https://bulbapedia.bulbagarden.net/wiki/Slurpuff_(XY_Promo_15)" TargetMode="External"/><Relationship Id="rId31" Type="http://schemas.openxmlformats.org/officeDocument/2006/relationships/hyperlink" Target="https://bulbapedia.bulbagarden.net/wiki/Malamar_(XY_Promo_58)" TargetMode="External"/><Relationship Id="rId44" Type="http://schemas.openxmlformats.org/officeDocument/2006/relationships/hyperlink" Target="https://bulbapedia.bulbagarden.net/wiki/White_Kyurem_(XY_Promo_81)" TargetMode="External"/><Relationship Id="rId52" Type="http://schemas.openxmlformats.org/officeDocument/2006/relationships/hyperlink" Target="https://bulbapedia.bulbagarden.net/wiki/Pikachu_(XY_Promo_95)" TargetMode="External"/><Relationship Id="rId60" Type="http://schemas.openxmlformats.org/officeDocument/2006/relationships/hyperlink" Target="https://bulbapedia.bulbagarden.net/wiki/Celebi_(XY_Promo_111)" TargetMode="External"/><Relationship Id="rId65" Type="http://schemas.openxmlformats.org/officeDocument/2006/relationships/hyperlink" Target="https://bulbapedia.bulbagarden.net/wiki/Arceus_(XY_Promo_116)" TargetMode="External"/><Relationship Id="rId73" Type="http://schemas.openxmlformats.org/officeDocument/2006/relationships/hyperlink" Target="https://bulbapedia.bulbagarden.net/wiki/Froakie_(XY_Promo_138)" TargetMode="External"/><Relationship Id="rId78" Type="http://schemas.openxmlformats.org/officeDocument/2006/relationships/hyperlink" Target="https://bulbapedia.bulbagarden.net/wiki/Magikarp_(XY_Promo_143)" TargetMode="External"/><Relationship Id="rId81" Type="http://schemas.openxmlformats.org/officeDocument/2006/relationships/hyperlink" Target="https://bulbapedia.bulbagarden.net/wiki/Lugia_(XY_Promo_156)" TargetMode="External"/><Relationship Id="rId86" Type="http://schemas.openxmlformats.org/officeDocument/2006/relationships/hyperlink" Target="https://bulbapedia.bulbagarden.net/wiki/Weezing_(XY_Promo_163)" TargetMode="External"/><Relationship Id="rId94" Type="http://schemas.openxmlformats.org/officeDocument/2006/relationships/hyperlink" Target="https://bulbapedia.bulbagarden.net/wiki/Snorlax_(XY_Promo_179)" TargetMode="External"/><Relationship Id="rId99" Type="http://schemas.openxmlformats.org/officeDocument/2006/relationships/hyperlink" Target="https://bulbapedia.bulbagarden.net/wiki/Shaymin_(XY_Promo_188)" TargetMode="External"/><Relationship Id="rId101" Type="http://schemas.openxmlformats.org/officeDocument/2006/relationships/hyperlink" Target="https://bulbapedia.bulbagarden.net/wiki/Manaphy_(XY_Promo_190)" TargetMode="External"/><Relationship Id="rId4" Type="http://schemas.openxmlformats.org/officeDocument/2006/relationships/hyperlink" Target="https://bulbapedia.bulbagarden.net/wiki/Sylveon_(XY_Promo_4)" TargetMode="External"/><Relationship Id="rId9" Type="http://schemas.openxmlformats.org/officeDocument/2006/relationships/hyperlink" Target="https://bulbapedia.bulbagarden.net/wiki/Trevenant_(XY_Promo_14)" TargetMode="External"/><Relationship Id="rId13" Type="http://schemas.openxmlformats.org/officeDocument/2006/relationships/hyperlink" Target="https://bulbapedia.bulbagarden.net/wiki/Shiftry_(XY_Promo_23)" TargetMode="External"/><Relationship Id="rId18" Type="http://schemas.openxmlformats.org/officeDocument/2006/relationships/hyperlink" Target="https://bulbapedia.bulbagarden.net/wiki/Trevor_(XY_Promo_33)" TargetMode="External"/><Relationship Id="rId39" Type="http://schemas.openxmlformats.org/officeDocument/2006/relationships/hyperlink" Target="https://bulbapedia.bulbagarden.net/wiki/Zekrom_(XY_Promo_76)" TargetMode="External"/><Relationship Id="rId109" Type="http://schemas.openxmlformats.org/officeDocument/2006/relationships/hyperlink" Target="https://bulbapedia.bulbagarden.net/wiki/Camerupt_Spirit_Link_(XY_Promo_199)" TargetMode="External"/><Relationship Id="rId34" Type="http://schemas.openxmlformats.org/officeDocument/2006/relationships/hyperlink" Target="https://bulbapedia.bulbagarden.net/wiki/Latios_(XY_Promo_65)" TargetMode="External"/><Relationship Id="rId50" Type="http://schemas.openxmlformats.org/officeDocument/2006/relationships/hyperlink" Target="https://bulbapedia.bulbagarden.net/wiki/Sableye_(XY_Promo_92)" TargetMode="External"/><Relationship Id="rId55" Type="http://schemas.openxmlformats.org/officeDocument/2006/relationships/hyperlink" Target="https://bulbapedia.bulbagarden.net/wiki/Mewtwo_(XY_Promo_100)" TargetMode="External"/><Relationship Id="rId76" Type="http://schemas.openxmlformats.org/officeDocument/2006/relationships/hyperlink" Target="https://bulbapedia.bulbagarden.net/wiki/Rayquaza_(XY_Promo_141)" TargetMode="External"/><Relationship Id="rId97" Type="http://schemas.openxmlformats.org/officeDocument/2006/relationships/hyperlink" Target="https://bulbapedia.bulbagarden.net/wiki/Magearna_(XY_Promo_186)" TargetMode="External"/><Relationship Id="rId104" Type="http://schemas.openxmlformats.org/officeDocument/2006/relationships/hyperlink" Target="https://bulbapedia.bulbagarden.net/wiki/Meloetta_(XY_Promo_193)" TargetMode="External"/><Relationship Id="rId120" Type="http://schemas.openxmlformats.org/officeDocument/2006/relationships/hyperlink" Target="https://bulbapedia.bulbagarden.net/wiki/Lucario_Spirit_Link_(XY_Promo_211)" TargetMode="External"/><Relationship Id="rId7" Type="http://schemas.openxmlformats.org/officeDocument/2006/relationships/hyperlink" Target="https://bulbapedia.bulbagarden.net/wiki/Skiddo_(XY_Promo_11)" TargetMode="External"/><Relationship Id="rId71" Type="http://schemas.openxmlformats.org/officeDocument/2006/relationships/hyperlink" Target="https://bulbapedia.bulbagarden.net/wiki/Gastly_(XY_Promo_132)" TargetMode="External"/><Relationship Id="rId92" Type="http://schemas.openxmlformats.org/officeDocument/2006/relationships/hyperlink" Target="https://bulbapedia.bulbagarden.net/wiki/Karen_(XY_Promo_177a)" TargetMode="External"/><Relationship Id="rId2" Type="http://schemas.openxmlformats.org/officeDocument/2006/relationships/hyperlink" Target="https://bulbapedia.bulbagarden.net/wiki/Fennekin_(XY_Promo_2)" TargetMode="External"/><Relationship Id="rId29" Type="http://schemas.openxmlformats.org/officeDocument/2006/relationships/hyperlink" Target="https://bulbapedia.bulbagarden.net/wiki/Blissey_(XY_Promo_56)" TargetMode="External"/><Relationship Id="rId24" Type="http://schemas.openxmlformats.org/officeDocument/2006/relationships/hyperlink" Target="https://bulbapedia.bulbagarden.net/wiki/Meowstic_(XY_Promo_48)" TargetMode="External"/><Relationship Id="rId40" Type="http://schemas.openxmlformats.org/officeDocument/2006/relationships/hyperlink" Target="https://bulbapedia.bulbagarden.net/wiki/Dialga_(XY_Promo_77)" TargetMode="External"/><Relationship Id="rId45" Type="http://schemas.openxmlformats.org/officeDocument/2006/relationships/hyperlink" Target="https://bulbapedia.bulbagarden.net/wiki/Regigigas_(XY_Promo_82)" TargetMode="External"/><Relationship Id="rId66" Type="http://schemas.openxmlformats.org/officeDocument/2006/relationships/hyperlink" Target="https://bulbapedia.bulbagarden.net/wiki/Victini_(XY_Promo_117)" TargetMode="External"/><Relationship Id="rId87" Type="http://schemas.openxmlformats.org/officeDocument/2006/relationships/hyperlink" Target="https://bulbapedia.bulbagarden.net/wiki/Volcanion_(XY_Promo_164)" TargetMode="External"/><Relationship Id="rId110" Type="http://schemas.openxmlformats.org/officeDocument/2006/relationships/hyperlink" Target="https://bulbapedia.bulbagarden.net/wiki/Sharpedo_Spirit_Link_(XY_Promo_201)" TargetMode="External"/><Relationship Id="rId115" Type="http://schemas.openxmlformats.org/officeDocument/2006/relationships/hyperlink" Target="https://bulbapedia.bulbagarden.net/wiki/Gym_Badge_(XY_Promo_206)" TargetMode="External"/><Relationship Id="rId61" Type="http://schemas.openxmlformats.org/officeDocument/2006/relationships/hyperlink" Target="https://bulbapedia.bulbagarden.net/wiki/Jirachi_(XY_Promo_112)" TargetMode="External"/><Relationship Id="rId82" Type="http://schemas.openxmlformats.org/officeDocument/2006/relationships/hyperlink" Target="https://bulbapedia.bulbagarden.net/wiki/Beedrill_Spirit_Link_(XY_Promo_159)" TargetMode="External"/><Relationship Id="rId19" Type="http://schemas.openxmlformats.org/officeDocument/2006/relationships/hyperlink" Target="https://bulbapedia.bulbagarden.net/wiki/Treecko_(XY_Promo_36)" TargetMode="External"/><Relationship Id="rId14" Type="http://schemas.openxmlformats.org/officeDocument/2006/relationships/hyperlink" Target="https://bulbapedia.bulbagarden.net/wiki/Greninja_(XY_Promo_24)" TargetMode="External"/><Relationship Id="rId30" Type="http://schemas.openxmlformats.org/officeDocument/2006/relationships/hyperlink" Target="https://bulbapedia.bulbagarden.net/wiki/Fearow_(XY_Promo_57)" TargetMode="External"/><Relationship Id="rId35" Type="http://schemas.openxmlformats.org/officeDocument/2006/relationships/hyperlink" Target="https://bulbapedia.bulbagarden.net/wiki/Jirachi_(XY_Promo_67)" TargetMode="External"/><Relationship Id="rId56" Type="http://schemas.openxmlformats.org/officeDocument/2006/relationships/hyperlink" Target="https://bulbapedia.bulbagarden.net/wiki/Mewtwo_(XY_Promo_101)" TargetMode="External"/><Relationship Id="rId77" Type="http://schemas.openxmlformats.org/officeDocument/2006/relationships/hyperlink" Target="https://bulbapedia.bulbagarden.net/wiki/Azelf_(XY_Promo_142)" TargetMode="External"/><Relationship Id="rId100" Type="http://schemas.openxmlformats.org/officeDocument/2006/relationships/hyperlink" Target="https://bulbapedia.bulbagarden.net/wiki/Victini_(XY_Promo_189)" TargetMode="External"/><Relationship Id="rId105" Type="http://schemas.openxmlformats.org/officeDocument/2006/relationships/hyperlink" Target="https://bulbapedia.bulbagarden.net/wiki/Darkrai_(XY_Promo_194)" TargetMode="External"/><Relationship Id="rId8" Type="http://schemas.openxmlformats.org/officeDocument/2006/relationships/hyperlink" Target="https://bulbapedia.bulbagarden.net/wiki/Honedge_(XY_Promo_12)" TargetMode="External"/><Relationship Id="rId51" Type="http://schemas.openxmlformats.org/officeDocument/2006/relationships/hyperlink" Target="https://bulbapedia.bulbagarden.net/wiki/Celebi_(XY_Promo_93)" TargetMode="External"/><Relationship Id="rId72" Type="http://schemas.openxmlformats.org/officeDocument/2006/relationships/hyperlink" Target="https://bulbapedia.bulbagarden.net/wiki/Vivillon_(XY_Promo_137)" TargetMode="External"/><Relationship Id="rId93" Type="http://schemas.openxmlformats.org/officeDocument/2006/relationships/hyperlink" Target="https://bulbapedia.bulbagarden.net/wiki/Absol_(XY_Promo_178)" TargetMode="External"/><Relationship Id="rId98" Type="http://schemas.openxmlformats.org/officeDocument/2006/relationships/hyperlink" Target="https://bulbapedia.bulbagarden.net/wiki/Celebi_(XY_Promo_187)" TargetMode="External"/><Relationship Id="rId3" Type="http://schemas.openxmlformats.org/officeDocument/2006/relationships/hyperlink" Target="https://bulbapedia.bulbagarden.net/wiki/Froakie_(XY_Promo_3)" TargetMode="External"/><Relationship Id="rId25" Type="http://schemas.openxmlformats.org/officeDocument/2006/relationships/hyperlink" Target="https://bulbapedia.bulbagarden.net/wiki/Regirock_(XY_Promo_49)" TargetMode="External"/><Relationship Id="rId46" Type="http://schemas.openxmlformats.org/officeDocument/2006/relationships/hyperlink" Target="https://bulbapedia.bulbagarden.net/wiki/Arceus_(XY_Promo_83)" TargetMode="External"/><Relationship Id="rId67" Type="http://schemas.openxmlformats.org/officeDocument/2006/relationships/hyperlink" Target="https://bulbapedia.bulbagarden.net/wiki/Keldeo_(XY_Promo_118)" TargetMode="External"/><Relationship Id="rId116" Type="http://schemas.openxmlformats.org/officeDocument/2006/relationships/hyperlink" Target="https://bulbapedia.bulbagarden.net/wiki/Gym_Badge_(XY_Promo_207)" TargetMode="External"/><Relationship Id="rId20" Type="http://schemas.openxmlformats.org/officeDocument/2006/relationships/hyperlink" Target="https://bulbapedia.bulbagarden.net/wiki/Torchic_(XY_Promo_37)" TargetMode="External"/><Relationship Id="rId41" Type="http://schemas.openxmlformats.org/officeDocument/2006/relationships/hyperlink" Target="https://bulbapedia.bulbagarden.net/wiki/Latias_(XY_Promo_78)" TargetMode="External"/><Relationship Id="rId62" Type="http://schemas.openxmlformats.org/officeDocument/2006/relationships/hyperlink" Target="https://bulbapedia.bulbagarden.net/wiki/Manaphy_(XY_Promo_113)" TargetMode="External"/><Relationship Id="rId83" Type="http://schemas.openxmlformats.org/officeDocument/2006/relationships/hyperlink" Target="https://bulbapedia.bulbagarden.net/wiki/Black_Kyurem_(XY_Promo_160)" TargetMode="External"/><Relationship Id="rId88" Type="http://schemas.openxmlformats.org/officeDocument/2006/relationships/hyperlink" Target="https://bulbapedia.bulbagarden.net/wiki/Magearna_(XY_Promo_165)" TargetMode="External"/><Relationship Id="rId111" Type="http://schemas.openxmlformats.org/officeDocument/2006/relationships/hyperlink" Target="https://bulbapedia.bulbagarden.net/wiki/Pikachu_(XY_Promo_202)" TargetMode="External"/><Relationship Id="rId15" Type="http://schemas.openxmlformats.org/officeDocument/2006/relationships/hyperlink" Target="https://bulbapedia.bulbagarden.net/wiki/Pyroar_(XY_Promo_26)" TargetMode="External"/><Relationship Id="rId36" Type="http://schemas.openxmlformats.org/officeDocument/2006/relationships/hyperlink" Target="https://bulbapedia.bulbagarden.net/wiki/Jirachi_(XY_Promo_67a)" TargetMode="External"/><Relationship Id="rId57" Type="http://schemas.openxmlformats.org/officeDocument/2006/relationships/hyperlink" Target="https://bulbapedia.bulbagarden.net/wiki/Mawile_Spirit_Link_(XY_Promo_105)" TargetMode="External"/><Relationship Id="rId106" Type="http://schemas.openxmlformats.org/officeDocument/2006/relationships/hyperlink" Target="https://bulbapedia.bulbagarden.net/wiki/Jirachi_(XY_Promo_195)" TargetMode="External"/></Relationships>
</file>

<file path=xl/worksheets/_rels/sheet48.xml.rels><?xml version="1.0" encoding="UTF-8" standalone="yes"?>
<Relationships xmlns="http://schemas.openxmlformats.org/package/2006/relationships"><Relationship Id="rId13" Type="http://schemas.openxmlformats.org/officeDocument/2006/relationships/hyperlink" Target="https://bulbapedia.bulbagarden.net/wiki/Frogadier_(Kalos_Starter_Set_13)" TargetMode="External"/><Relationship Id="rId18" Type="http://schemas.openxmlformats.org/officeDocument/2006/relationships/hyperlink" Target="https://bulbapedia.bulbagarden.net/wiki/Inkay_(Kalos_Starter_Set_18)" TargetMode="External"/><Relationship Id="rId26" Type="http://schemas.openxmlformats.org/officeDocument/2006/relationships/hyperlink" Target="https://bulbapedia.bulbagarden.net/wiki/Snorlax_(Kalos_Starter_Set_26)" TargetMode="External"/><Relationship Id="rId39" Type="http://schemas.openxmlformats.org/officeDocument/2006/relationships/hyperlink" Target="https://bulbapedia.bulbagarden.net/wiki/Tierno_(Kalos_Starter_Set_39)" TargetMode="External"/><Relationship Id="rId21" Type="http://schemas.openxmlformats.org/officeDocument/2006/relationships/hyperlink" Target="https://bulbapedia.bulbagarden.net/wiki/Honedge_(Kalos_Starter_Set_21)" TargetMode="External"/><Relationship Id="rId34" Type="http://schemas.openxmlformats.org/officeDocument/2006/relationships/hyperlink" Target="https://bulbapedia.bulbagarden.net/wiki/Crushing_Hammer_(Kalos_Starter_Set_34)" TargetMode="External"/><Relationship Id="rId7" Type="http://schemas.openxmlformats.org/officeDocument/2006/relationships/hyperlink" Target="https://bulbapedia.bulbagarden.net/wiki/Pansear_(Kalos_Starter_Set_7)" TargetMode="External"/><Relationship Id="rId12" Type="http://schemas.openxmlformats.org/officeDocument/2006/relationships/hyperlink" Target="https://bulbapedia.bulbagarden.net/wiki/Froakie_(Kalos_Starter_Set_12)" TargetMode="External"/><Relationship Id="rId17" Type="http://schemas.openxmlformats.org/officeDocument/2006/relationships/hyperlink" Target="https://bulbapedia.bulbagarden.net/wiki/Mightyena_(Kalos_Starter_Set_17)" TargetMode="External"/><Relationship Id="rId25" Type="http://schemas.openxmlformats.org/officeDocument/2006/relationships/hyperlink" Target="https://bulbapedia.bulbagarden.net/wiki/Farfetch%27d_(Kalos_Starter_Set_25)" TargetMode="External"/><Relationship Id="rId33" Type="http://schemas.openxmlformats.org/officeDocument/2006/relationships/hyperlink" Target="https://bulbapedia.bulbagarden.net/wiki/Furfrou_(Kalos_Starter_Set_33)" TargetMode="External"/><Relationship Id="rId38" Type="http://schemas.openxmlformats.org/officeDocument/2006/relationships/hyperlink" Target="https://bulbapedia.bulbagarden.net/wiki/Switch_(Kalos_Starter_Set_38)" TargetMode="External"/><Relationship Id="rId2" Type="http://schemas.openxmlformats.org/officeDocument/2006/relationships/hyperlink" Target="https://bulbapedia.bulbagarden.net/wiki/Pansage_(Kalos_Starter_Set_2)" TargetMode="External"/><Relationship Id="rId16" Type="http://schemas.openxmlformats.org/officeDocument/2006/relationships/hyperlink" Target="https://bulbapedia.bulbagarden.net/wiki/Poochyena_(Kalos_Starter_Set_16)" TargetMode="External"/><Relationship Id="rId20" Type="http://schemas.openxmlformats.org/officeDocument/2006/relationships/hyperlink" Target="https://bulbapedia.bulbagarden.net/wiki/Bisharp_(Kalos_Starter_Set_20)" TargetMode="External"/><Relationship Id="rId29" Type="http://schemas.openxmlformats.org/officeDocument/2006/relationships/hyperlink" Target="https://bulbapedia.bulbagarden.net/wiki/Bidoof_(Kalos_Starter_Set_29)" TargetMode="External"/><Relationship Id="rId1" Type="http://schemas.openxmlformats.org/officeDocument/2006/relationships/hyperlink" Target="https://bulbapedia.bulbagarden.net/wiki/Weedle_(Kalos_Starter_Set_1)" TargetMode="External"/><Relationship Id="rId6" Type="http://schemas.openxmlformats.org/officeDocument/2006/relationships/hyperlink" Target="https://bulbapedia.bulbagarden.net/wiki/Slugma_(Kalos_Starter_Set_6)" TargetMode="External"/><Relationship Id="rId11" Type="http://schemas.openxmlformats.org/officeDocument/2006/relationships/hyperlink" Target="https://bulbapedia.bulbagarden.net/wiki/Panpour_(Kalos_Starter_Set_11)" TargetMode="External"/><Relationship Id="rId24" Type="http://schemas.openxmlformats.org/officeDocument/2006/relationships/hyperlink" Target="https://bulbapedia.bulbagarden.net/wiki/Swirlix_(Kalos_Starter_Set_24)" TargetMode="External"/><Relationship Id="rId32" Type="http://schemas.openxmlformats.org/officeDocument/2006/relationships/hyperlink" Target="https://bulbapedia.bulbagarden.net/wiki/Furfrou_(Kalos_Starter_Set_32)" TargetMode="External"/><Relationship Id="rId37" Type="http://schemas.openxmlformats.org/officeDocument/2006/relationships/hyperlink" Target="https://bulbapedia.bulbagarden.net/wiki/Potion_(Kalos_Starter_Set_37)" TargetMode="External"/><Relationship Id="rId5" Type="http://schemas.openxmlformats.org/officeDocument/2006/relationships/hyperlink" Target="https://bulbapedia.bulbagarden.net/wiki/Chesnaught_(Kalos_Starter_Set_5)" TargetMode="External"/><Relationship Id="rId15" Type="http://schemas.openxmlformats.org/officeDocument/2006/relationships/hyperlink" Target="https://bulbapedia.bulbagarden.net/wiki/Clauncher_(Kalos_Starter_Set_15)" TargetMode="External"/><Relationship Id="rId23" Type="http://schemas.openxmlformats.org/officeDocument/2006/relationships/hyperlink" Target="https://bulbapedia.bulbagarden.net/wiki/Granbull_(Kalos_Starter_Set_23)" TargetMode="External"/><Relationship Id="rId28" Type="http://schemas.openxmlformats.org/officeDocument/2006/relationships/hyperlink" Target="https://bulbapedia.bulbagarden.net/wiki/Skitty_(Kalos_Starter_Set_28)" TargetMode="External"/><Relationship Id="rId36" Type="http://schemas.openxmlformats.org/officeDocument/2006/relationships/hyperlink" Target="https://bulbapedia.bulbagarden.net/wiki/Pok%C3%A9mon_Catcher_(Kalos_Starter_Set_36)" TargetMode="External"/><Relationship Id="rId10" Type="http://schemas.openxmlformats.org/officeDocument/2006/relationships/hyperlink" Target="https://bulbapedia.bulbagarden.net/wiki/Delphox_(Kalos_Starter_Set_10)" TargetMode="External"/><Relationship Id="rId19" Type="http://schemas.openxmlformats.org/officeDocument/2006/relationships/hyperlink" Target="https://bulbapedia.bulbagarden.net/wiki/Pawniard_(Kalos_Starter_Set_19)" TargetMode="External"/><Relationship Id="rId31" Type="http://schemas.openxmlformats.org/officeDocument/2006/relationships/hyperlink" Target="https://bulbapedia.bulbagarden.net/wiki/Fletchling_(Kalos_Starter_Set_31)" TargetMode="External"/><Relationship Id="rId4" Type="http://schemas.openxmlformats.org/officeDocument/2006/relationships/hyperlink" Target="https://bulbapedia.bulbagarden.net/wiki/Quilladin_(Kalos_Starter_Set_4)" TargetMode="External"/><Relationship Id="rId9" Type="http://schemas.openxmlformats.org/officeDocument/2006/relationships/hyperlink" Target="https://bulbapedia.bulbagarden.net/wiki/Braixen_(Kalos_Starter_Set_9)" TargetMode="External"/><Relationship Id="rId14" Type="http://schemas.openxmlformats.org/officeDocument/2006/relationships/hyperlink" Target="https://bulbapedia.bulbagarden.net/wiki/Greninja_(Kalos_Starter_Set_14)" TargetMode="External"/><Relationship Id="rId22" Type="http://schemas.openxmlformats.org/officeDocument/2006/relationships/hyperlink" Target="https://bulbapedia.bulbagarden.net/wiki/Snubbull_(Kalos_Starter_Set_22)" TargetMode="External"/><Relationship Id="rId27" Type="http://schemas.openxmlformats.org/officeDocument/2006/relationships/hyperlink" Target="https://bulbapedia.bulbagarden.net/wiki/Miltank_(Kalos_Starter_Set_27)" TargetMode="External"/><Relationship Id="rId30" Type="http://schemas.openxmlformats.org/officeDocument/2006/relationships/hyperlink" Target="https://bulbapedia.bulbagarden.net/wiki/Bunnelby_(Kalos_Starter_Set_30)" TargetMode="External"/><Relationship Id="rId35" Type="http://schemas.openxmlformats.org/officeDocument/2006/relationships/hyperlink" Target="https://bulbapedia.bulbagarden.net/wiki/Pok%C3%A9_Ball_(Kalos_Starter_Set_35)" TargetMode="External"/><Relationship Id="rId8" Type="http://schemas.openxmlformats.org/officeDocument/2006/relationships/hyperlink" Target="https://bulbapedia.bulbagarden.net/wiki/Fennekin_(Kalos_Starter_Set_8)" TargetMode="External"/><Relationship Id="rId3" Type="http://schemas.openxmlformats.org/officeDocument/2006/relationships/hyperlink" Target="https://bulbapedia.bulbagarden.net/wiki/Chespin_(Kalos_Starter_Set_3)" TargetMode="External"/></Relationships>
</file>

<file path=xl/worksheets/_rels/sheet49.xml.rels><?xml version="1.0" encoding="UTF-8" standalone="yes"?>
<Relationships xmlns="http://schemas.openxmlformats.org/package/2006/relationships"><Relationship Id="rId117" Type="http://schemas.openxmlformats.org/officeDocument/2006/relationships/hyperlink" Target="https://bulbapedia.bulbagarden.net/wiki/Shadow_Circle_(XY_126)" TargetMode="External"/><Relationship Id="rId21" Type="http://schemas.openxmlformats.org/officeDocument/2006/relationships/hyperlink" Target="https://bulbapedia.bulbagarden.net/wiki/Fennekin_(XY_24)" TargetMode="External"/><Relationship Id="rId42" Type="http://schemas.openxmlformats.org/officeDocument/2006/relationships/hyperlink" Target="https://bulbapedia.bulbagarden.net/wiki/Arbok_(XY_48)" TargetMode="External"/><Relationship Id="rId47" Type="http://schemas.openxmlformats.org/officeDocument/2006/relationships/hyperlink" Target="https://bulbapedia.bulbagarden.net/wiki/Scolipede_(XY_53)" TargetMode="External"/><Relationship Id="rId63" Type="http://schemas.openxmlformats.org/officeDocument/2006/relationships/hyperlink" Target="https://bulbapedia.bulbagarden.net/wiki/Sandile_(XY_69)" TargetMode="External"/><Relationship Id="rId68" Type="http://schemas.openxmlformats.org/officeDocument/2006/relationships/hyperlink" Target="https://bulbapedia.bulbagarden.net/wiki/Inkay_(XY_74)" TargetMode="External"/><Relationship Id="rId84" Type="http://schemas.openxmlformats.org/officeDocument/2006/relationships/hyperlink" Target="https://bulbapedia.bulbagarden.net/wiki/Spritzee_(XY_92)" TargetMode="External"/><Relationship Id="rId89" Type="http://schemas.openxmlformats.org/officeDocument/2006/relationships/hyperlink" Target="https://bulbapedia.bulbagarden.net/wiki/Doduo_(XY_98)" TargetMode="External"/><Relationship Id="rId112" Type="http://schemas.openxmlformats.org/officeDocument/2006/relationships/hyperlink" Target="https://bulbapedia.bulbagarden.net/wiki/Muscle_Band_(XY_121)" TargetMode="External"/><Relationship Id="rId16" Type="http://schemas.openxmlformats.org/officeDocument/2006/relationships/hyperlink" Target="https://bulbapedia.bulbagarden.net/wiki/Gogoat_(XY_19)" TargetMode="External"/><Relationship Id="rId107" Type="http://schemas.openxmlformats.org/officeDocument/2006/relationships/hyperlink" Target="https://bulbapedia.bulbagarden.net/wiki/Evosoda_(XY_116)" TargetMode="External"/><Relationship Id="rId11" Type="http://schemas.openxmlformats.org/officeDocument/2006/relationships/hyperlink" Target="https://bulbapedia.bulbagarden.net/wiki/Quilladin_(XY_13)" TargetMode="External"/><Relationship Id="rId32" Type="http://schemas.openxmlformats.org/officeDocument/2006/relationships/hyperlink" Target="https://bulbapedia.bulbagarden.net/wiki/Panpour_(XY_37)" TargetMode="External"/><Relationship Id="rId37" Type="http://schemas.openxmlformats.org/officeDocument/2006/relationships/hyperlink" Target="https://bulbapedia.bulbagarden.net/wiki/Pikachu_(XY_42)" TargetMode="External"/><Relationship Id="rId53" Type="http://schemas.openxmlformats.org/officeDocument/2006/relationships/hyperlink" Target="https://bulbapedia.bulbagarden.net/wiki/Dugtrio_(XY_59)" TargetMode="External"/><Relationship Id="rId58" Type="http://schemas.openxmlformats.org/officeDocument/2006/relationships/hyperlink" Target="https://bulbapedia.bulbagarden.net/wiki/Solrock_(XY_64)" TargetMode="External"/><Relationship Id="rId74" Type="http://schemas.openxmlformats.org/officeDocument/2006/relationships/hyperlink" Target="https://bulbapedia.bulbagarden.net/wiki/Bisharp_(XY_82)" TargetMode="External"/><Relationship Id="rId79" Type="http://schemas.openxmlformats.org/officeDocument/2006/relationships/hyperlink" Target="https://bulbapedia.bulbagarden.net/wiki/Jigglypuff_(XY_87)" TargetMode="External"/><Relationship Id="rId102" Type="http://schemas.openxmlformats.org/officeDocument/2006/relationships/hyperlink" Target="https://bulbapedia.bulbagarden.net/wiki/Bunnelby_(XY_111)" TargetMode="External"/><Relationship Id="rId123" Type="http://schemas.openxmlformats.org/officeDocument/2006/relationships/hyperlink" Target="https://bulbapedia.bulbagarden.net/wiki/Grass_Energy_(XY_132)" TargetMode="External"/><Relationship Id="rId128" Type="http://schemas.openxmlformats.org/officeDocument/2006/relationships/hyperlink" Target="https://bulbapedia.bulbagarden.net/wiki/Fighting_Energy_(XY_137)" TargetMode="External"/><Relationship Id="rId5" Type="http://schemas.openxmlformats.org/officeDocument/2006/relationships/hyperlink" Target="https://bulbapedia.bulbagarden.net/wiki/Ledian_(XY_7)" TargetMode="External"/><Relationship Id="rId90" Type="http://schemas.openxmlformats.org/officeDocument/2006/relationships/hyperlink" Target="https://bulbapedia.bulbagarden.net/wiki/Dodrio_(XY_99)" TargetMode="External"/><Relationship Id="rId95" Type="http://schemas.openxmlformats.org/officeDocument/2006/relationships/hyperlink" Target="https://bulbapedia.bulbagarden.net/wiki/Skitty_(XY_104)" TargetMode="External"/><Relationship Id="rId22" Type="http://schemas.openxmlformats.org/officeDocument/2006/relationships/hyperlink" Target="https://bulbapedia.bulbagarden.net/wiki/Braixen_(XY_25)" TargetMode="External"/><Relationship Id="rId27" Type="http://schemas.openxmlformats.org/officeDocument/2006/relationships/hyperlink" Target="https://bulbapedia.bulbagarden.net/wiki/Cloyster_(XY_32)" TargetMode="External"/><Relationship Id="rId43" Type="http://schemas.openxmlformats.org/officeDocument/2006/relationships/hyperlink" Target="https://bulbapedia.bulbagarden.net/wiki/Spoink_(XY_49)" TargetMode="External"/><Relationship Id="rId48" Type="http://schemas.openxmlformats.org/officeDocument/2006/relationships/hyperlink" Target="https://bulbapedia.bulbagarden.net/wiki/Phantump_(XY_54)" TargetMode="External"/><Relationship Id="rId64" Type="http://schemas.openxmlformats.org/officeDocument/2006/relationships/hyperlink" Target="https://bulbapedia.bulbagarden.net/wiki/Krokorok_(XY_70)" TargetMode="External"/><Relationship Id="rId69" Type="http://schemas.openxmlformats.org/officeDocument/2006/relationships/hyperlink" Target="https://bulbapedia.bulbagarden.net/wiki/Inkay_(XY_75)" TargetMode="External"/><Relationship Id="rId113" Type="http://schemas.openxmlformats.org/officeDocument/2006/relationships/hyperlink" Target="https://bulbapedia.bulbagarden.net/wiki/Professor_Sycamore_(XY_122)" TargetMode="External"/><Relationship Id="rId118" Type="http://schemas.openxmlformats.org/officeDocument/2006/relationships/hyperlink" Target="https://bulbapedia.bulbagarden.net/wiki/Shauna_(XY_127)" TargetMode="External"/><Relationship Id="rId80" Type="http://schemas.openxmlformats.org/officeDocument/2006/relationships/hyperlink" Target="https://bulbapedia.bulbagarden.net/wiki/Jigglypuff_(XY_88)" TargetMode="External"/><Relationship Id="rId85" Type="http://schemas.openxmlformats.org/officeDocument/2006/relationships/hyperlink" Target="https://bulbapedia.bulbagarden.net/wiki/Aromatisse_(XY_93)" TargetMode="External"/><Relationship Id="rId12" Type="http://schemas.openxmlformats.org/officeDocument/2006/relationships/hyperlink" Target="https://bulbapedia.bulbagarden.net/wiki/Chesnaught_(XY_14)" TargetMode="External"/><Relationship Id="rId17" Type="http://schemas.openxmlformats.org/officeDocument/2006/relationships/hyperlink" Target="https://bulbapedia.bulbagarden.net/wiki/Slugma_(XY_20)" TargetMode="External"/><Relationship Id="rId33" Type="http://schemas.openxmlformats.org/officeDocument/2006/relationships/hyperlink" Target="https://bulbapedia.bulbagarden.net/wiki/Simipour_(XY_38)" TargetMode="External"/><Relationship Id="rId38" Type="http://schemas.openxmlformats.org/officeDocument/2006/relationships/hyperlink" Target="https://bulbapedia.bulbagarden.net/wiki/Raichu_(XY_43)" TargetMode="External"/><Relationship Id="rId59" Type="http://schemas.openxmlformats.org/officeDocument/2006/relationships/hyperlink" Target="https://bulbapedia.bulbagarden.net/wiki/Timburr_(XY_65)" TargetMode="External"/><Relationship Id="rId103" Type="http://schemas.openxmlformats.org/officeDocument/2006/relationships/hyperlink" Target="https://bulbapedia.bulbagarden.net/wiki/Diggersby_(XY_112)" TargetMode="External"/><Relationship Id="rId108" Type="http://schemas.openxmlformats.org/officeDocument/2006/relationships/hyperlink" Target="https://bulbapedia.bulbagarden.net/wiki/Fairy_Garden_(XY_117)" TargetMode="External"/><Relationship Id="rId124" Type="http://schemas.openxmlformats.org/officeDocument/2006/relationships/hyperlink" Target="https://bulbapedia.bulbagarden.net/wiki/Fire_Energy_(XY_133)" TargetMode="External"/><Relationship Id="rId129" Type="http://schemas.openxmlformats.org/officeDocument/2006/relationships/hyperlink" Target="https://bulbapedia.bulbagarden.net/wiki/Darkness_Energy_(XY_138)" TargetMode="External"/><Relationship Id="rId54" Type="http://schemas.openxmlformats.org/officeDocument/2006/relationships/hyperlink" Target="https://bulbapedia.bulbagarden.net/wiki/Rhyhorn_(XY_60)" TargetMode="External"/><Relationship Id="rId70" Type="http://schemas.openxmlformats.org/officeDocument/2006/relationships/hyperlink" Target="https://bulbapedia.bulbagarden.net/wiki/Malamar_(XY_76)" TargetMode="External"/><Relationship Id="rId75" Type="http://schemas.openxmlformats.org/officeDocument/2006/relationships/hyperlink" Target="https://bulbapedia.bulbagarden.net/wiki/Honedge_(XY_83)" TargetMode="External"/><Relationship Id="rId91" Type="http://schemas.openxmlformats.org/officeDocument/2006/relationships/hyperlink" Target="https://bulbapedia.bulbagarden.net/wiki/Tauros_(XY_100)" TargetMode="External"/><Relationship Id="rId96" Type="http://schemas.openxmlformats.org/officeDocument/2006/relationships/hyperlink" Target="https://bulbapedia.bulbagarden.net/wiki/Delcatty_(XY_105)" TargetMode="External"/><Relationship Id="rId1" Type="http://schemas.openxmlformats.org/officeDocument/2006/relationships/hyperlink" Target="https://bulbapedia.bulbagarden.net/wiki/Weedle_(XY_3)" TargetMode="External"/><Relationship Id="rId6" Type="http://schemas.openxmlformats.org/officeDocument/2006/relationships/hyperlink" Target="https://bulbapedia.bulbagarden.net/wiki/Volbeat_(XY_8)" TargetMode="External"/><Relationship Id="rId23" Type="http://schemas.openxmlformats.org/officeDocument/2006/relationships/hyperlink" Target="https://bulbapedia.bulbagarden.net/wiki/Delphox_(XY_26)" TargetMode="External"/><Relationship Id="rId28" Type="http://schemas.openxmlformats.org/officeDocument/2006/relationships/hyperlink" Target="https://bulbapedia.bulbagarden.net/wiki/Staryu_(XY_33)" TargetMode="External"/><Relationship Id="rId49" Type="http://schemas.openxmlformats.org/officeDocument/2006/relationships/hyperlink" Target="https://bulbapedia.bulbagarden.net/wiki/Trevenant_(XY_55)" TargetMode="External"/><Relationship Id="rId114" Type="http://schemas.openxmlformats.org/officeDocument/2006/relationships/hyperlink" Target="https://bulbapedia.bulbagarden.net/wiki/Professor%27s_Letter_(XY_123)" TargetMode="External"/><Relationship Id="rId119" Type="http://schemas.openxmlformats.org/officeDocument/2006/relationships/hyperlink" Target="https://bulbapedia.bulbagarden.net/wiki/Super_Potion_(XY_128)" TargetMode="External"/><Relationship Id="rId44" Type="http://schemas.openxmlformats.org/officeDocument/2006/relationships/hyperlink" Target="https://bulbapedia.bulbagarden.net/wiki/Grumpig_(XY_50)" TargetMode="External"/><Relationship Id="rId60" Type="http://schemas.openxmlformats.org/officeDocument/2006/relationships/hyperlink" Target="https://bulbapedia.bulbagarden.net/wiki/Gurdurr_(XY_66)" TargetMode="External"/><Relationship Id="rId65" Type="http://schemas.openxmlformats.org/officeDocument/2006/relationships/hyperlink" Target="https://bulbapedia.bulbagarden.net/wiki/Krookodile_(XY_71)" TargetMode="External"/><Relationship Id="rId81" Type="http://schemas.openxmlformats.org/officeDocument/2006/relationships/hyperlink" Target="https://bulbapedia.bulbagarden.net/wiki/Wigglytuff_(XY_89)" TargetMode="External"/><Relationship Id="rId86" Type="http://schemas.openxmlformats.org/officeDocument/2006/relationships/hyperlink" Target="https://bulbapedia.bulbagarden.net/wiki/Swirlix_(XY_94)" TargetMode="External"/><Relationship Id="rId130" Type="http://schemas.openxmlformats.org/officeDocument/2006/relationships/hyperlink" Target="https://bulbapedia.bulbagarden.net/wiki/Metal_Energy_(XY_139)" TargetMode="External"/><Relationship Id="rId13" Type="http://schemas.openxmlformats.org/officeDocument/2006/relationships/hyperlink" Target="https://bulbapedia.bulbagarden.net/wiki/Scatterbug_(XY_15)" TargetMode="External"/><Relationship Id="rId18" Type="http://schemas.openxmlformats.org/officeDocument/2006/relationships/hyperlink" Target="https://bulbapedia.bulbagarden.net/wiki/Magcargo_(XY_21)" TargetMode="External"/><Relationship Id="rId39" Type="http://schemas.openxmlformats.org/officeDocument/2006/relationships/hyperlink" Target="https://bulbapedia.bulbagarden.net/wiki/Voltorb_(XY_44)" TargetMode="External"/><Relationship Id="rId109" Type="http://schemas.openxmlformats.org/officeDocument/2006/relationships/hyperlink" Target="https://bulbapedia.bulbagarden.net/wiki/Great_Ball_(XY_118)" TargetMode="External"/><Relationship Id="rId34" Type="http://schemas.openxmlformats.org/officeDocument/2006/relationships/hyperlink" Target="https://bulbapedia.bulbagarden.net/wiki/Froakie_(XY_39)" TargetMode="External"/><Relationship Id="rId50" Type="http://schemas.openxmlformats.org/officeDocument/2006/relationships/hyperlink" Target="https://bulbapedia.bulbagarden.net/wiki/Pumpkaboo_(XY_56)" TargetMode="External"/><Relationship Id="rId55" Type="http://schemas.openxmlformats.org/officeDocument/2006/relationships/hyperlink" Target="https://bulbapedia.bulbagarden.net/wiki/Rhydon_(XY_61)" TargetMode="External"/><Relationship Id="rId76" Type="http://schemas.openxmlformats.org/officeDocument/2006/relationships/hyperlink" Target="https://bulbapedia.bulbagarden.net/wiki/Doublade_(XY_84)" TargetMode="External"/><Relationship Id="rId97" Type="http://schemas.openxmlformats.org/officeDocument/2006/relationships/hyperlink" Target="https://bulbapedia.bulbagarden.net/wiki/Bidoof_(XY_106)" TargetMode="External"/><Relationship Id="rId104" Type="http://schemas.openxmlformats.org/officeDocument/2006/relationships/hyperlink" Target="https://bulbapedia.bulbagarden.net/wiki/Fletchling_(XY_113)" TargetMode="External"/><Relationship Id="rId120" Type="http://schemas.openxmlformats.org/officeDocument/2006/relationships/hyperlink" Target="https://bulbapedia.bulbagarden.net/wiki/Team_Flare_Grunt_(XY_129)" TargetMode="External"/><Relationship Id="rId125" Type="http://schemas.openxmlformats.org/officeDocument/2006/relationships/hyperlink" Target="https://bulbapedia.bulbagarden.net/wiki/Water_Energy_(XY_134)" TargetMode="External"/><Relationship Id="rId7" Type="http://schemas.openxmlformats.org/officeDocument/2006/relationships/hyperlink" Target="https://bulbapedia.bulbagarden.net/wiki/Illumise_(XY_9)" TargetMode="External"/><Relationship Id="rId71" Type="http://schemas.openxmlformats.org/officeDocument/2006/relationships/hyperlink" Target="https://bulbapedia.bulbagarden.net/wiki/Malamar_(XY_77)" TargetMode="External"/><Relationship Id="rId92" Type="http://schemas.openxmlformats.org/officeDocument/2006/relationships/hyperlink" Target="https://bulbapedia.bulbagarden.net/wiki/Dunsparce_(XY_101)" TargetMode="External"/><Relationship Id="rId2" Type="http://schemas.openxmlformats.org/officeDocument/2006/relationships/hyperlink" Target="https://bulbapedia.bulbagarden.net/wiki/Kakuna_(XY_4)" TargetMode="External"/><Relationship Id="rId29" Type="http://schemas.openxmlformats.org/officeDocument/2006/relationships/hyperlink" Target="https://bulbapedia.bulbagarden.net/wiki/Starmie_(XY_34)" TargetMode="External"/><Relationship Id="rId24" Type="http://schemas.openxmlformats.org/officeDocument/2006/relationships/hyperlink" Target="https://bulbapedia.bulbagarden.net/wiki/Fletchinder_(XY_27)" TargetMode="External"/><Relationship Id="rId40" Type="http://schemas.openxmlformats.org/officeDocument/2006/relationships/hyperlink" Target="https://bulbapedia.bulbagarden.net/wiki/Electrode_(XY_45)" TargetMode="External"/><Relationship Id="rId45" Type="http://schemas.openxmlformats.org/officeDocument/2006/relationships/hyperlink" Target="https://bulbapedia.bulbagarden.net/wiki/Venipede_(XY_51)" TargetMode="External"/><Relationship Id="rId66" Type="http://schemas.openxmlformats.org/officeDocument/2006/relationships/hyperlink" Target="https://bulbapedia.bulbagarden.net/wiki/Zorua_(XY_72)" TargetMode="External"/><Relationship Id="rId87" Type="http://schemas.openxmlformats.org/officeDocument/2006/relationships/hyperlink" Target="https://bulbapedia.bulbagarden.net/wiki/Slurpuff_(XY_95)" TargetMode="External"/><Relationship Id="rId110" Type="http://schemas.openxmlformats.org/officeDocument/2006/relationships/hyperlink" Target="https://bulbapedia.bulbagarden.net/wiki/Hard_Charm_(XY_119)" TargetMode="External"/><Relationship Id="rId115" Type="http://schemas.openxmlformats.org/officeDocument/2006/relationships/hyperlink" Target="https://bulbapedia.bulbagarden.net/wiki/Red_Card_(XY_124)" TargetMode="External"/><Relationship Id="rId131" Type="http://schemas.openxmlformats.org/officeDocument/2006/relationships/hyperlink" Target="https://bulbapedia.bulbagarden.net/wiki/Fairy_Energy_(XY_140)" TargetMode="External"/><Relationship Id="rId61" Type="http://schemas.openxmlformats.org/officeDocument/2006/relationships/hyperlink" Target="https://bulbapedia.bulbagarden.net/wiki/Conkeldurr_(XY_67)" TargetMode="External"/><Relationship Id="rId82" Type="http://schemas.openxmlformats.org/officeDocument/2006/relationships/hyperlink" Target="https://bulbapedia.bulbagarden.net/wiki/Wigglytuff_(XY_90)" TargetMode="External"/><Relationship Id="rId19" Type="http://schemas.openxmlformats.org/officeDocument/2006/relationships/hyperlink" Target="https://bulbapedia.bulbagarden.net/wiki/Pansear_(XY_22)" TargetMode="External"/><Relationship Id="rId14" Type="http://schemas.openxmlformats.org/officeDocument/2006/relationships/hyperlink" Target="https://bulbapedia.bulbagarden.net/wiki/Spewpa_(XY_16)" TargetMode="External"/><Relationship Id="rId30" Type="http://schemas.openxmlformats.org/officeDocument/2006/relationships/hyperlink" Target="https://bulbapedia.bulbagarden.net/wiki/Lapras_(XY_35)" TargetMode="External"/><Relationship Id="rId35" Type="http://schemas.openxmlformats.org/officeDocument/2006/relationships/hyperlink" Target="https://bulbapedia.bulbagarden.net/wiki/Frogadier_(XY_40)" TargetMode="External"/><Relationship Id="rId56" Type="http://schemas.openxmlformats.org/officeDocument/2006/relationships/hyperlink" Target="https://bulbapedia.bulbagarden.net/wiki/Rhyperior_(XY_62)" TargetMode="External"/><Relationship Id="rId77" Type="http://schemas.openxmlformats.org/officeDocument/2006/relationships/hyperlink" Target="https://bulbapedia.bulbagarden.net/wiki/Aegislash_(XY_85)" TargetMode="External"/><Relationship Id="rId100" Type="http://schemas.openxmlformats.org/officeDocument/2006/relationships/hyperlink" Target="https://bulbapedia.bulbagarden.net/wiki/Herdier_(XY_109)" TargetMode="External"/><Relationship Id="rId105" Type="http://schemas.openxmlformats.org/officeDocument/2006/relationships/hyperlink" Target="https://bulbapedia.bulbagarden.net/wiki/Furfrou_(XY_114)" TargetMode="External"/><Relationship Id="rId126" Type="http://schemas.openxmlformats.org/officeDocument/2006/relationships/hyperlink" Target="https://bulbapedia.bulbagarden.net/wiki/Lightning_Energy_(XY_135)" TargetMode="External"/><Relationship Id="rId8" Type="http://schemas.openxmlformats.org/officeDocument/2006/relationships/hyperlink" Target="https://bulbapedia.bulbagarden.net/wiki/Pansage_(XY_10)" TargetMode="External"/><Relationship Id="rId51" Type="http://schemas.openxmlformats.org/officeDocument/2006/relationships/hyperlink" Target="https://bulbapedia.bulbagarden.net/wiki/Gourgeist_(XY_57)" TargetMode="External"/><Relationship Id="rId72" Type="http://schemas.openxmlformats.org/officeDocument/2006/relationships/hyperlink" Target="https://bulbapedia.bulbagarden.net/wiki/Yveltal_(XY_78)" TargetMode="External"/><Relationship Id="rId93" Type="http://schemas.openxmlformats.org/officeDocument/2006/relationships/hyperlink" Target="https://bulbapedia.bulbagarden.net/wiki/Taillow_(XY_102)" TargetMode="External"/><Relationship Id="rId98" Type="http://schemas.openxmlformats.org/officeDocument/2006/relationships/hyperlink" Target="https://bulbapedia.bulbagarden.net/wiki/Bibarel_(XY_107)" TargetMode="External"/><Relationship Id="rId121" Type="http://schemas.openxmlformats.org/officeDocument/2006/relationships/hyperlink" Target="https://bulbapedia.bulbagarden.net/wiki/Double_Colorless_Energy_(XY_130)" TargetMode="External"/><Relationship Id="rId3" Type="http://schemas.openxmlformats.org/officeDocument/2006/relationships/hyperlink" Target="https://bulbapedia.bulbagarden.net/wiki/Beedrill_(XY_5)" TargetMode="External"/><Relationship Id="rId25" Type="http://schemas.openxmlformats.org/officeDocument/2006/relationships/hyperlink" Target="https://bulbapedia.bulbagarden.net/wiki/Talonflame_(XY_28)" TargetMode="External"/><Relationship Id="rId46" Type="http://schemas.openxmlformats.org/officeDocument/2006/relationships/hyperlink" Target="https://bulbapedia.bulbagarden.net/wiki/Whirlipede_(XY_52)" TargetMode="External"/><Relationship Id="rId67" Type="http://schemas.openxmlformats.org/officeDocument/2006/relationships/hyperlink" Target="https://bulbapedia.bulbagarden.net/wiki/Zoroark_(XY_73)" TargetMode="External"/><Relationship Id="rId116" Type="http://schemas.openxmlformats.org/officeDocument/2006/relationships/hyperlink" Target="https://bulbapedia.bulbagarden.net/wiki/Roller_Skates_(XY_125)" TargetMode="External"/><Relationship Id="rId20" Type="http://schemas.openxmlformats.org/officeDocument/2006/relationships/hyperlink" Target="https://bulbapedia.bulbagarden.net/wiki/Simisear_(XY_23)" TargetMode="External"/><Relationship Id="rId41" Type="http://schemas.openxmlformats.org/officeDocument/2006/relationships/hyperlink" Target="https://bulbapedia.bulbagarden.net/wiki/Ekans_(XY_47)" TargetMode="External"/><Relationship Id="rId62" Type="http://schemas.openxmlformats.org/officeDocument/2006/relationships/hyperlink" Target="https://bulbapedia.bulbagarden.net/wiki/Sableye_(XY_68)" TargetMode="External"/><Relationship Id="rId83" Type="http://schemas.openxmlformats.org/officeDocument/2006/relationships/hyperlink" Target="https://bulbapedia.bulbagarden.net/wiki/Mr._Mime_(XY_91)" TargetMode="External"/><Relationship Id="rId88" Type="http://schemas.openxmlformats.org/officeDocument/2006/relationships/hyperlink" Target="https://bulbapedia.bulbagarden.net/wiki/Xerneas_(XY_96)" TargetMode="External"/><Relationship Id="rId111" Type="http://schemas.openxmlformats.org/officeDocument/2006/relationships/hyperlink" Target="https://bulbapedia.bulbagarden.net/wiki/Max_Revive_(XY_120)" TargetMode="External"/><Relationship Id="rId15" Type="http://schemas.openxmlformats.org/officeDocument/2006/relationships/hyperlink" Target="https://bulbapedia.bulbagarden.net/wiki/Skiddo_(XY_18)" TargetMode="External"/><Relationship Id="rId36" Type="http://schemas.openxmlformats.org/officeDocument/2006/relationships/hyperlink" Target="https://bulbapedia.bulbagarden.net/wiki/Greninja_(XY_41)" TargetMode="External"/><Relationship Id="rId57" Type="http://schemas.openxmlformats.org/officeDocument/2006/relationships/hyperlink" Target="https://bulbapedia.bulbagarden.net/wiki/Lunatone_(XY_63)" TargetMode="External"/><Relationship Id="rId106" Type="http://schemas.openxmlformats.org/officeDocument/2006/relationships/hyperlink" Target="https://bulbapedia.bulbagarden.net/wiki/Cassius_(XY_115)" TargetMode="External"/><Relationship Id="rId127" Type="http://schemas.openxmlformats.org/officeDocument/2006/relationships/hyperlink" Target="https://bulbapedia.bulbagarden.net/wiki/Psychic_Energy_(XY_136)" TargetMode="External"/><Relationship Id="rId10" Type="http://schemas.openxmlformats.org/officeDocument/2006/relationships/hyperlink" Target="https://bulbapedia.bulbagarden.net/wiki/Chespin_(XY_12)" TargetMode="External"/><Relationship Id="rId31" Type="http://schemas.openxmlformats.org/officeDocument/2006/relationships/hyperlink" Target="https://bulbapedia.bulbagarden.net/wiki/Corsola_(XY_36)" TargetMode="External"/><Relationship Id="rId52" Type="http://schemas.openxmlformats.org/officeDocument/2006/relationships/hyperlink" Target="https://bulbapedia.bulbagarden.net/wiki/Diglett_(XY_58)" TargetMode="External"/><Relationship Id="rId73" Type="http://schemas.openxmlformats.org/officeDocument/2006/relationships/hyperlink" Target="https://bulbapedia.bulbagarden.net/wiki/Pawniard_(XY_81)" TargetMode="External"/><Relationship Id="rId78" Type="http://schemas.openxmlformats.org/officeDocument/2006/relationships/hyperlink" Target="https://bulbapedia.bulbagarden.net/wiki/Aegislash_(XY_86)" TargetMode="External"/><Relationship Id="rId94" Type="http://schemas.openxmlformats.org/officeDocument/2006/relationships/hyperlink" Target="https://bulbapedia.bulbagarden.net/wiki/Swellow_(XY_103)" TargetMode="External"/><Relationship Id="rId99" Type="http://schemas.openxmlformats.org/officeDocument/2006/relationships/hyperlink" Target="https://bulbapedia.bulbagarden.net/wiki/Lillipup_(XY_108)" TargetMode="External"/><Relationship Id="rId101" Type="http://schemas.openxmlformats.org/officeDocument/2006/relationships/hyperlink" Target="https://bulbapedia.bulbagarden.net/wiki/Stoutland_(XY_110)" TargetMode="External"/><Relationship Id="rId122" Type="http://schemas.openxmlformats.org/officeDocument/2006/relationships/hyperlink" Target="https://bulbapedia.bulbagarden.net/wiki/Rainbow_Energy_(XY_131)" TargetMode="External"/><Relationship Id="rId4" Type="http://schemas.openxmlformats.org/officeDocument/2006/relationships/hyperlink" Target="https://bulbapedia.bulbagarden.net/wiki/Ledyba_(XY_6)" TargetMode="External"/><Relationship Id="rId9" Type="http://schemas.openxmlformats.org/officeDocument/2006/relationships/hyperlink" Target="https://bulbapedia.bulbagarden.net/wiki/Simisage_(XY_11)" TargetMode="External"/><Relationship Id="rId26" Type="http://schemas.openxmlformats.org/officeDocument/2006/relationships/hyperlink" Target="https://bulbapedia.bulbagarden.net/wiki/Shellder_(XY_31)" TargetMode="External"/></Relationships>
</file>

<file path=xl/worksheets/_rels/sheet50.xml.rels><?xml version="1.0" encoding="UTF-8" standalone="yes"?>
<Relationships xmlns="http://schemas.openxmlformats.org/package/2006/relationships"><Relationship Id="rId13" Type="http://schemas.openxmlformats.org/officeDocument/2006/relationships/hyperlink" Target="https://bulbapedia.bulbagarden.net/wiki/Eevee_(Sylveon_Half_Deck_13)" TargetMode="External"/><Relationship Id="rId18" Type="http://schemas.openxmlformats.org/officeDocument/2006/relationships/hyperlink" Target="https://bulbapedia.bulbagarden.net/wiki/Fairy_Energy_(Sylveon_Half_Deck_18)" TargetMode="External"/><Relationship Id="rId26" Type="http://schemas.openxmlformats.org/officeDocument/2006/relationships/hyperlink" Target="https://bulbapedia.bulbagarden.net/wiki/Pok%C3%A9_Ball_(Sylveon_Half_Deck_26)" TargetMode="External"/><Relationship Id="rId39" Type="http://schemas.openxmlformats.org/officeDocument/2006/relationships/hyperlink" Target="https://bulbapedia.bulbagarden.net/wiki/Psychic_Energy_(Noivern_Half_Deck_9)" TargetMode="External"/><Relationship Id="rId21" Type="http://schemas.openxmlformats.org/officeDocument/2006/relationships/hyperlink" Target="https://bulbapedia.bulbagarden.net/wiki/Eevee_(Sylveon_Half_Deck_21)" TargetMode="External"/><Relationship Id="rId34" Type="http://schemas.openxmlformats.org/officeDocument/2006/relationships/hyperlink" Target="https://bulbapedia.bulbagarden.net/wiki/Bunnelby_(Noivern_Half_Deck_4)" TargetMode="External"/><Relationship Id="rId42" Type="http://schemas.openxmlformats.org/officeDocument/2006/relationships/hyperlink" Target="https://bulbapedia.bulbagarden.net/wiki/Noibat_(Noivern_Half_Deck_12)" TargetMode="External"/><Relationship Id="rId47" Type="http://schemas.openxmlformats.org/officeDocument/2006/relationships/hyperlink" Target="https://bulbapedia.bulbagarden.net/wiki/Psychic_Energy_(Noivern_Half_Deck_11)" TargetMode="External"/><Relationship Id="rId50" Type="http://schemas.openxmlformats.org/officeDocument/2006/relationships/hyperlink" Target="https://bulbapedia.bulbagarden.net/wiki/Furfrou_(Noivern_Half_Deck_20)" TargetMode="External"/><Relationship Id="rId55" Type="http://schemas.openxmlformats.org/officeDocument/2006/relationships/hyperlink" Target="https://bulbapedia.bulbagarden.net/wiki/Psychic_Energy_(Noivern_Half_Deck_25)" TargetMode="External"/><Relationship Id="rId7" Type="http://schemas.openxmlformats.org/officeDocument/2006/relationships/hyperlink" Target="https://bulbapedia.bulbagarden.net/wiki/Fairy_Energy_(Sylveon_Half_Deck_7)" TargetMode="External"/><Relationship Id="rId2" Type="http://schemas.openxmlformats.org/officeDocument/2006/relationships/hyperlink" Target="https://bulbapedia.bulbagarden.net/wiki/Fairy_Energy_(Sylveon_Half_Deck_2)" TargetMode="External"/><Relationship Id="rId16" Type="http://schemas.openxmlformats.org/officeDocument/2006/relationships/hyperlink" Target="https://bulbapedia.bulbagarden.net/wiki/Furfrou_(Sylveon_Half_Deck_16)" TargetMode="External"/><Relationship Id="rId29" Type="http://schemas.openxmlformats.org/officeDocument/2006/relationships/hyperlink" Target="https://bulbapedia.bulbagarden.net/wiki/Granbull_(Sylveon_Half_Deck_29)" TargetMode="External"/><Relationship Id="rId11" Type="http://schemas.openxmlformats.org/officeDocument/2006/relationships/hyperlink" Target="https://bulbapedia.bulbagarden.net/wiki/Snubbull_(Sylveon_Half_Deck_11)" TargetMode="External"/><Relationship Id="rId24" Type="http://schemas.openxmlformats.org/officeDocument/2006/relationships/hyperlink" Target="https://bulbapedia.bulbagarden.net/wiki/Potion_(Sylveon_Half_Deck_24)" TargetMode="External"/><Relationship Id="rId32" Type="http://schemas.openxmlformats.org/officeDocument/2006/relationships/hyperlink" Target="https://bulbapedia.bulbagarden.net/wiki/Gourgeist_(Noivern_Half_Deck_2)" TargetMode="External"/><Relationship Id="rId37" Type="http://schemas.openxmlformats.org/officeDocument/2006/relationships/hyperlink" Target="https://bulbapedia.bulbagarden.net/wiki/Psychic_Energy_(Noivern_Half_Deck_7)" TargetMode="External"/><Relationship Id="rId40" Type="http://schemas.openxmlformats.org/officeDocument/2006/relationships/hyperlink" Target="https://bulbapedia.bulbagarden.net/wiki/Psychic_Energy_(Noivern_Half_Deck_10)" TargetMode="External"/><Relationship Id="rId45" Type="http://schemas.openxmlformats.org/officeDocument/2006/relationships/hyperlink" Target="https://bulbapedia.bulbagarden.net/wiki/Potion_(Noivern_Half_Deck_15)" TargetMode="External"/><Relationship Id="rId53" Type="http://schemas.openxmlformats.org/officeDocument/2006/relationships/hyperlink" Target="https://bulbapedia.bulbagarden.net/wiki/Noibat_(Noivern_Half_Deck_23)" TargetMode="External"/><Relationship Id="rId58" Type="http://schemas.openxmlformats.org/officeDocument/2006/relationships/hyperlink" Target="https://bulbapedia.bulbagarden.net/wiki/Darkness_Energy_(Noivern_Half_Deck_28)" TargetMode="External"/><Relationship Id="rId5" Type="http://schemas.openxmlformats.org/officeDocument/2006/relationships/hyperlink" Target="https://bulbapedia.bulbagarden.net/wiki/Fairy_Energy_(Sylveon_Half_Deck_5)" TargetMode="External"/><Relationship Id="rId19" Type="http://schemas.openxmlformats.org/officeDocument/2006/relationships/hyperlink" Target="https://bulbapedia.bulbagarden.net/wiki/Fletchling_(Sylveon_Half_Deck_19)" TargetMode="External"/><Relationship Id="rId4" Type="http://schemas.openxmlformats.org/officeDocument/2006/relationships/hyperlink" Target="https://bulbapedia.bulbagarden.net/wiki/Switch_(Sylveon_Half_Deck_4)" TargetMode="External"/><Relationship Id="rId9" Type="http://schemas.openxmlformats.org/officeDocument/2006/relationships/hyperlink" Target="https://bulbapedia.bulbagarden.net/wiki/Fairy_Energy_(Sylveon_Half_Deck_9)" TargetMode="External"/><Relationship Id="rId14" Type="http://schemas.openxmlformats.org/officeDocument/2006/relationships/hyperlink" Target="https://bulbapedia.bulbagarden.net/wiki/Granbull_(Sylveon_Half_Deck_14)" TargetMode="External"/><Relationship Id="rId22" Type="http://schemas.openxmlformats.org/officeDocument/2006/relationships/hyperlink" Target="https://bulbapedia.bulbagarden.net/wiki/Furfrou_(Sylveon_Half_Deck_22)" TargetMode="External"/><Relationship Id="rId27" Type="http://schemas.openxmlformats.org/officeDocument/2006/relationships/hyperlink" Target="https://bulbapedia.bulbagarden.net/wiki/Snubbull_(Sylveon_Half_Deck_27)" TargetMode="External"/><Relationship Id="rId30" Type="http://schemas.openxmlformats.org/officeDocument/2006/relationships/hyperlink" Target="https://bulbapedia.bulbagarden.net/wiki/Sylveon_(Sylveon_Half_Deck_30)" TargetMode="External"/><Relationship Id="rId35" Type="http://schemas.openxmlformats.org/officeDocument/2006/relationships/hyperlink" Target="https://bulbapedia.bulbagarden.net/wiki/Psychic_Energy_(Noivern_Half_Deck_5)" TargetMode="External"/><Relationship Id="rId43" Type="http://schemas.openxmlformats.org/officeDocument/2006/relationships/hyperlink" Target="https://bulbapedia.bulbagarden.net/wiki/Noivern_(Noivern_Half_Deck_13)" TargetMode="External"/><Relationship Id="rId48" Type="http://schemas.openxmlformats.org/officeDocument/2006/relationships/hyperlink" Target="https://bulbapedia.bulbagarden.net/wiki/Pumpkaboo_(Noivern_Half_Deck_18)" TargetMode="External"/><Relationship Id="rId56" Type="http://schemas.openxmlformats.org/officeDocument/2006/relationships/hyperlink" Target="https://bulbapedia.bulbagarden.net/wiki/Darkness_Energy_(Noivern_Half_Deck_26)" TargetMode="External"/><Relationship Id="rId8" Type="http://schemas.openxmlformats.org/officeDocument/2006/relationships/hyperlink" Target="https://bulbapedia.bulbagarden.net/wiki/Fairy_Energy_(Sylveon_Half_Deck_8)" TargetMode="External"/><Relationship Id="rId51" Type="http://schemas.openxmlformats.org/officeDocument/2006/relationships/hyperlink" Target="https://bulbapedia.bulbagarden.net/wiki/Pok%C3%A9_Ball_(Noivern_Half_Deck_21)" TargetMode="External"/><Relationship Id="rId3" Type="http://schemas.openxmlformats.org/officeDocument/2006/relationships/hyperlink" Target="https://bulbapedia.bulbagarden.net/wiki/Fairy_Energy_(Sylveon_Half_Deck_3)" TargetMode="External"/><Relationship Id="rId12" Type="http://schemas.openxmlformats.org/officeDocument/2006/relationships/hyperlink" Target="https://bulbapedia.bulbagarden.net/wiki/Fairy_Energy_(Sylveon_Half_Deck_12)" TargetMode="External"/><Relationship Id="rId17" Type="http://schemas.openxmlformats.org/officeDocument/2006/relationships/hyperlink" Target="https://bulbapedia.bulbagarden.net/wiki/Fairy_Energy_(Sylveon_Half_Deck_17)" TargetMode="External"/><Relationship Id="rId25" Type="http://schemas.openxmlformats.org/officeDocument/2006/relationships/hyperlink" Target="https://bulbapedia.bulbagarden.net/wiki/Fairy_Energy_(Sylveon_Half_Deck_25)" TargetMode="External"/><Relationship Id="rId33" Type="http://schemas.openxmlformats.org/officeDocument/2006/relationships/hyperlink" Target="https://bulbapedia.bulbagarden.net/wiki/Arbok_(Noivern_Half_Deck_3)" TargetMode="External"/><Relationship Id="rId38" Type="http://schemas.openxmlformats.org/officeDocument/2006/relationships/hyperlink" Target="https://bulbapedia.bulbagarden.net/wiki/Psychic_Energy_(Noivern_Half_Deck_8)" TargetMode="External"/><Relationship Id="rId46" Type="http://schemas.openxmlformats.org/officeDocument/2006/relationships/hyperlink" Target="https://bulbapedia.bulbagarden.net/wiki/Ekans_(Noivern_Half_Deck_16)" TargetMode="External"/><Relationship Id="rId59" Type="http://schemas.openxmlformats.org/officeDocument/2006/relationships/hyperlink" Target="https://bulbapedia.bulbagarden.net/wiki/Switch_(Noivern_Half_Deck_29)" TargetMode="External"/><Relationship Id="rId20" Type="http://schemas.openxmlformats.org/officeDocument/2006/relationships/hyperlink" Target="https://bulbapedia.bulbagarden.net/wiki/Potion_(Sylveon_Half_Deck_20)" TargetMode="External"/><Relationship Id="rId41" Type="http://schemas.openxmlformats.org/officeDocument/2006/relationships/hyperlink" Target="https://bulbapedia.bulbagarden.net/wiki/Pumpkaboo_(Noivern_Half_Deck_11)" TargetMode="External"/><Relationship Id="rId54" Type="http://schemas.openxmlformats.org/officeDocument/2006/relationships/hyperlink" Target="https://bulbapedia.bulbagarden.net/wiki/Professor%27s_Letter_(Noivern_Half_Deck_24)" TargetMode="External"/><Relationship Id="rId1" Type="http://schemas.openxmlformats.org/officeDocument/2006/relationships/hyperlink" Target="https://bulbapedia.bulbagarden.net/wiki/Fletchling_(Sylveon_Half_Deck_1)" TargetMode="External"/><Relationship Id="rId6" Type="http://schemas.openxmlformats.org/officeDocument/2006/relationships/hyperlink" Target="https://bulbapedia.bulbagarden.net/wiki/Fairy_Energy_(Sylveon_Half_Deck_6)" TargetMode="External"/><Relationship Id="rId15" Type="http://schemas.openxmlformats.org/officeDocument/2006/relationships/hyperlink" Target="https://bulbapedia.bulbagarden.net/wiki/Sylveon_(Sylveon_Half_Deck_15)" TargetMode="External"/><Relationship Id="rId23" Type="http://schemas.openxmlformats.org/officeDocument/2006/relationships/hyperlink" Target="https://bulbapedia.bulbagarden.net/wiki/Pok%C3%A9mon_Catcher_(Sylveon_Half_Deck_23)" TargetMode="External"/><Relationship Id="rId28" Type="http://schemas.openxmlformats.org/officeDocument/2006/relationships/hyperlink" Target="https://bulbapedia.bulbagarden.net/wiki/Professor%27s_Letter_(Sylveon_Half_Deck_28)" TargetMode="External"/><Relationship Id="rId36" Type="http://schemas.openxmlformats.org/officeDocument/2006/relationships/hyperlink" Target="https://bulbapedia.bulbagarden.net/wiki/Psychic_Energy_(Noivern_Half_Deck_6)" TargetMode="External"/><Relationship Id="rId49" Type="http://schemas.openxmlformats.org/officeDocument/2006/relationships/hyperlink" Target="https://bulbapedia.bulbagarden.net/wiki/Darkness_Energy_(Noivern_Half_Deck_19)" TargetMode="External"/><Relationship Id="rId57" Type="http://schemas.openxmlformats.org/officeDocument/2006/relationships/hyperlink" Target="https://bulbapedia.bulbagarden.net/wiki/Potion_(Noivern_Half_Deck_27)" TargetMode="External"/><Relationship Id="rId10" Type="http://schemas.openxmlformats.org/officeDocument/2006/relationships/hyperlink" Target="https://bulbapedia.bulbagarden.net/wiki/Fairy_Energy_(Sylveon_Half_Deck_10)" TargetMode="External"/><Relationship Id="rId31" Type="http://schemas.openxmlformats.org/officeDocument/2006/relationships/hyperlink" Target="https://bulbapedia.bulbagarden.net/wiki/Spoink_(Noivern_Half_Deck_1)" TargetMode="External"/><Relationship Id="rId44" Type="http://schemas.openxmlformats.org/officeDocument/2006/relationships/hyperlink" Target="https://bulbapedia.bulbagarden.net/wiki/Pok%C3%A9mon_Catcher_(Noivern_Half_Deck_14)" TargetMode="External"/><Relationship Id="rId52" Type="http://schemas.openxmlformats.org/officeDocument/2006/relationships/hyperlink" Target="https://bulbapedia.bulbagarden.net/wiki/Darkness_Energy_(Noivern_Half_Deck_22)" TargetMode="External"/><Relationship Id="rId60" Type="http://schemas.openxmlformats.org/officeDocument/2006/relationships/hyperlink" Target="https://bulbapedia.bulbagarden.net/wiki/Noivern_(Noivern_Half_Deck_30)" TargetMode="External"/></Relationships>
</file>

<file path=xl/worksheets/_rels/sheet51.xml.rels><?xml version="1.0" encoding="UTF-8" standalone="yes"?>
<Relationships xmlns="http://schemas.openxmlformats.org/package/2006/relationships"><Relationship Id="rId26" Type="http://schemas.openxmlformats.org/officeDocument/2006/relationships/hyperlink" Target="https://bulbapedia.bulbagarden.net/wiki/Floatzel_(Flashfire_29)" TargetMode="External"/><Relationship Id="rId21" Type="http://schemas.openxmlformats.org/officeDocument/2006/relationships/hyperlink" Target="https://bulbapedia.bulbagarden.net/wiki/Spheal_(Flashfire_24)" TargetMode="External"/><Relationship Id="rId42" Type="http://schemas.openxmlformats.org/officeDocument/2006/relationships/hyperlink" Target="https://bulbapedia.bulbagarden.net/wiki/Golem_(Flashfire_47)" TargetMode="External"/><Relationship Id="rId47" Type="http://schemas.openxmlformats.org/officeDocument/2006/relationships/hyperlink" Target="https://bulbapedia.bulbagarden.net/wiki/Weavile_(Flashfire_52)" TargetMode="External"/><Relationship Id="rId63" Type="http://schemas.openxmlformats.org/officeDocument/2006/relationships/hyperlink" Target="https://bulbapedia.bulbagarden.net/wiki/Carbink_(Flashfire_68)" TargetMode="External"/><Relationship Id="rId68" Type="http://schemas.openxmlformats.org/officeDocument/2006/relationships/hyperlink" Target="https://bulbapedia.bulbagarden.net/wiki/Goodra_(Flashfire_74)" TargetMode="External"/><Relationship Id="rId84" Type="http://schemas.openxmlformats.org/officeDocument/2006/relationships/hyperlink" Target="https://bulbapedia.bulbagarden.net/wiki/Pal_Pad_(Flashfire_92)" TargetMode="External"/><Relationship Id="rId89" Type="http://schemas.openxmlformats.org/officeDocument/2006/relationships/hyperlink" Target="https://bulbapedia.bulbagarden.net/wiki/Startling_Megaphone_(Flashfire_97)" TargetMode="External"/><Relationship Id="rId16" Type="http://schemas.openxmlformats.org/officeDocument/2006/relationships/hyperlink" Target="https://bulbapedia.bulbagarden.net/wiki/Litleo_(Flashfire_19)" TargetMode="External"/><Relationship Id="rId11" Type="http://schemas.openxmlformats.org/officeDocument/2006/relationships/hyperlink" Target="https://bulbapedia.bulbagarden.net/wiki/Ponyta_(Flashfire_14)" TargetMode="External"/><Relationship Id="rId32" Type="http://schemas.openxmlformats.org/officeDocument/2006/relationships/hyperlink" Target="https://bulbapedia.bulbagarden.net/wiki/Helioptile_(Flashfire_36)" TargetMode="External"/><Relationship Id="rId37" Type="http://schemas.openxmlformats.org/officeDocument/2006/relationships/hyperlink" Target="https://bulbapedia.bulbagarden.net/wiki/Espurr_(Flashfire_42)" TargetMode="External"/><Relationship Id="rId53" Type="http://schemas.openxmlformats.org/officeDocument/2006/relationships/hyperlink" Target="https://bulbapedia.bulbagarden.net/wiki/Scraggy_(Flashfire_58)" TargetMode="External"/><Relationship Id="rId58" Type="http://schemas.openxmlformats.org/officeDocument/2006/relationships/hyperlink" Target="https://bulbapedia.bulbagarden.net/wiki/Flab%C3%A9b%C3%A9_(Flashfire_63)" TargetMode="External"/><Relationship Id="rId74" Type="http://schemas.openxmlformats.org/officeDocument/2006/relationships/hyperlink" Target="https://bulbapedia.bulbagarden.net/wiki/Furret_(Flashfire_82)" TargetMode="External"/><Relationship Id="rId79" Type="http://schemas.openxmlformats.org/officeDocument/2006/relationships/hyperlink" Target="https://bulbapedia.bulbagarden.net/wiki/Furfrou_(Flashfire_87)" TargetMode="External"/><Relationship Id="rId5" Type="http://schemas.openxmlformats.org/officeDocument/2006/relationships/hyperlink" Target="https://bulbapedia.bulbagarden.net/wiki/Seedot_(Flashfire_5)" TargetMode="External"/><Relationship Id="rId90" Type="http://schemas.openxmlformats.org/officeDocument/2006/relationships/hyperlink" Target="https://bulbapedia.bulbagarden.net/wiki/Trick_Shovel_(Flashfire_98)" TargetMode="External"/><Relationship Id="rId22" Type="http://schemas.openxmlformats.org/officeDocument/2006/relationships/hyperlink" Target="https://bulbapedia.bulbagarden.net/wiki/Sealeo_(Flashfire_25)" TargetMode="External"/><Relationship Id="rId27" Type="http://schemas.openxmlformats.org/officeDocument/2006/relationships/hyperlink" Target="https://bulbapedia.bulbagarden.net/wiki/Bergmite_(Flashfire_30)" TargetMode="External"/><Relationship Id="rId43" Type="http://schemas.openxmlformats.org/officeDocument/2006/relationships/hyperlink" Target="https://bulbapedia.bulbagarden.net/wiki/Binacle_(Flashfire_48)" TargetMode="External"/><Relationship Id="rId48" Type="http://schemas.openxmlformats.org/officeDocument/2006/relationships/hyperlink" Target="https://bulbapedia.bulbagarden.net/wiki/Stunky_(Flashfire_53)" TargetMode="External"/><Relationship Id="rId64" Type="http://schemas.openxmlformats.org/officeDocument/2006/relationships/hyperlink" Target="https://bulbapedia.bulbagarden.net/wiki/Druddigon_(Flashfire_70)" TargetMode="External"/><Relationship Id="rId69" Type="http://schemas.openxmlformats.org/officeDocument/2006/relationships/hyperlink" Target="https://bulbapedia.bulbagarden.net/wiki/Pidgey_(Flashfire_75)" TargetMode="External"/><Relationship Id="rId8" Type="http://schemas.openxmlformats.org/officeDocument/2006/relationships/hyperlink" Target="https://bulbapedia.bulbagarden.net/wiki/Roselia_(Flashfire_8)" TargetMode="External"/><Relationship Id="rId51" Type="http://schemas.openxmlformats.org/officeDocument/2006/relationships/hyperlink" Target="https://bulbapedia.bulbagarden.net/wiki/Sandile_(Flashfire_56)" TargetMode="External"/><Relationship Id="rId72" Type="http://schemas.openxmlformats.org/officeDocument/2006/relationships/hyperlink" Target="https://bulbapedia.bulbagarden.net/wiki/Snorlax_(Flashfire_80)" TargetMode="External"/><Relationship Id="rId80" Type="http://schemas.openxmlformats.org/officeDocument/2006/relationships/hyperlink" Target="https://bulbapedia.bulbagarden.net/wiki/Blacksmith_(Flashfire_88)" TargetMode="External"/><Relationship Id="rId85" Type="http://schemas.openxmlformats.org/officeDocument/2006/relationships/hyperlink" Target="https://bulbapedia.bulbagarden.net/wiki/Pok%C3%A9mon_Center_Lady_(Flashfire_93)" TargetMode="External"/><Relationship Id="rId93" Type="http://schemas.openxmlformats.org/officeDocument/2006/relationships/hyperlink" Target="https://bulbapedia.bulbagarden.net/wiki/Pok%C3%A9mon_Center_Lady_(Flashfire_105)" TargetMode="External"/><Relationship Id="rId3" Type="http://schemas.openxmlformats.org/officeDocument/2006/relationships/hyperlink" Target="https://bulbapedia.bulbagarden.net/wiki/Butterfree_(Flashfire_3)" TargetMode="External"/><Relationship Id="rId12" Type="http://schemas.openxmlformats.org/officeDocument/2006/relationships/hyperlink" Target="https://bulbapedia.bulbagarden.net/wiki/Rapidash_(Flashfire_15)" TargetMode="External"/><Relationship Id="rId17" Type="http://schemas.openxmlformats.org/officeDocument/2006/relationships/hyperlink" Target="https://bulbapedia.bulbagarden.net/wiki/Pyroar_(Flashfire_20)" TargetMode="External"/><Relationship Id="rId25" Type="http://schemas.openxmlformats.org/officeDocument/2006/relationships/hyperlink" Target="https://bulbapedia.bulbagarden.net/wiki/Buizel_(Flashfire_28)" TargetMode="External"/><Relationship Id="rId33" Type="http://schemas.openxmlformats.org/officeDocument/2006/relationships/hyperlink" Target="https://bulbapedia.bulbagarden.net/wiki/Heliolisk_(Flashfire_37)" TargetMode="External"/><Relationship Id="rId38" Type="http://schemas.openxmlformats.org/officeDocument/2006/relationships/hyperlink" Target="https://bulbapedia.bulbagarden.net/wiki/Meowstic_(Flashfire_43)" TargetMode="External"/><Relationship Id="rId46" Type="http://schemas.openxmlformats.org/officeDocument/2006/relationships/hyperlink" Target="https://bulbapedia.bulbagarden.net/wiki/Sneasel_(Flashfire_51)" TargetMode="External"/><Relationship Id="rId59" Type="http://schemas.openxmlformats.org/officeDocument/2006/relationships/hyperlink" Target="https://bulbapedia.bulbagarden.net/wiki/Floette_(Flashfire_64)" TargetMode="External"/><Relationship Id="rId67" Type="http://schemas.openxmlformats.org/officeDocument/2006/relationships/hyperlink" Target="https://bulbapedia.bulbagarden.net/wiki/Sliggoo_(Flashfire_73)" TargetMode="External"/><Relationship Id="rId20" Type="http://schemas.openxmlformats.org/officeDocument/2006/relationships/hyperlink" Target="https://bulbapedia.bulbagarden.net/wiki/Milotic_(Flashfire_23)" TargetMode="External"/><Relationship Id="rId41" Type="http://schemas.openxmlformats.org/officeDocument/2006/relationships/hyperlink" Target="https://bulbapedia.bulbagarden.net/wiki/Graveler_(Flashfire_46)" TargetMode="External"/><Relationship Id="rId54" Type="http://schemas.openxmlformats.org/officeDocument/2006/relationships/hyperlink" Target="https://bulbapedia.bulbagarden.net/wiki/Scrafty_(Flashfire_59)" TargetMode="External"/><Relationship Id="rId62" Type="http://schemas.openxmlformats.org/officeDocument/2006/relationships/hyperlink" Target="https://bulbapedia.bulbagarden.net/wiki/Spritzee_(Flashfire_67)" TargetMode="External"/><Relationship Id="rId70" Type="http://schemas.openxmlformats.org/officeDocument/2006/relationships/hyperlink" Target="https://bulbapedia.bulbagarden.net/wiki/Pidgeotto_(Flashfire_76)" TargetMode="External"/><Relationship Id="rId75" Type="http://schemas.openxmlformats.org/officeDocument/2006/relationships/hyperlink" Target="https://bulbapedia.bulbagarden.net/wiki/Miltank_(Flashfire_83)" TargetMode="External"/><Relationship Id="rId83" Type="http://schemas.openxmlformats.org/officeDocument/2006/relationships/hyperlink" Target="https://bulbapedia.bulbagarden.net/wiki/Magnetic_Storm_(Flashfire_91)" TargetMode="External"/><Relationship Id="rId88" Type="http://schemas.openxmlformats.org/officeDocument/2006/relationships/hyperlink" Target="https://bulbapedia.bulbagarden.net/wiki/Sacred_Ash_(Flashfire_96)" TargetMode="External"/><Relationship Id="rId91" Type="http://schemas.openxmlformats.org/officeDocument/2006/relationships/hyperlink" Target="https://bulbapedia.bulbagarden.net/wiki/Ultra_Ball_(Flashfire_99)" TargetMode="External"/><Relationship Id="rId1" Type="http://schemas.openxmlformats.org/officeDocument/2006/relationships/hyperlink" Target="https://bulbapedia.bulbagarden.net/wiki/Caterpie_(Flashfire_1)" TargetMode="External"/><Relationship Id="rId6" Type="http://schemas.openxmlformats.org/officeDocument/2006/relationships/hyperlink" Target="https://bulbapedia.bulbagarden.net/wiki/Nuzleaf_(Flashfire_6)" TargetMode="External"/><Relationship Id="rId15" Type="http://schemas.openxmlformats.org/officeDocument/2006/relationships/hyperlink" Target="https://bulbapedia.bulbagarden.net/wiki/Litleo_(Flashfire_18)" TargetMode="External"/><Relationship Id="rId23" Type="http://schemas.openxmlformats.org/officeDocument/2006/relationships/hyperlink" Target="https://bulbapedia.bulbagarden.net/wiki/Walrein_(Flashfire_26)" TargetMode="External"/><Relationship Id="rId28" Type="http://schemas.openxmlformats.org/officeDocument/2006/relationships/hyperlink" Target="https://bulbapedia.bulbagarden.net/wiki/Avalugg_(Flashfire_31)" TargetMode="External"/><Relationship Id="rId36" Type="http://schemas.openxmlformats.org/officeDocument/2006/relationships/hyperlink" Target="https://bulbapedia.bulbagarden.net/wiki/Dusknoir_(Flashfire_40)" TargetMode="External"/><Relationship Id="rId49" Type="http://schemas.openxmlformats.org/officeDocument/2006/relationships/hyperlink" Target="https://bulbapedia.bulbagarden.net/wiki/Stunky_(Flashfire_54)" TargetMode="External"/><Relationship Id="rId57" Type="http://schemas.openxmlformats.org/officeDocument/2006/relationships/hyperlink" Target="https://bulbapedia.bulbagarden.net/wiki/Flab%C3%A9b%C3%A9_(Flashfire_62)" TargetMode="External"/><Relationship Id="rId10" Type="http://schemas.openxmlformats.org/officeDocument/2006/relationships/hyperlink" Target="https://bulbapedia.bulbagarden.net/wiki/Maractus_(Flashfire_10)" TargetMode="External"/><Relationship Id="rId31" Type="http://schemas.openxmlformats.org/officeDocument/2006/relationships/hyperlink" Target="https://bulbapedia.bulbagarden.net/wiki/Luxray_(Flashfire_34)" TargetMode="External"/><Relationship Id="rId44" Type="http://schemas.openxmlformats.org/officeDocument/2006/relationships/hyperlink" Target="https://bulbapedia.bulbagarden.net/wiki/Barbaracle_(Flashfire_49)" TargetMode="External"/><Relationship Id="rId52" Type="http://schemas.openxmlformats.org/officeDocument/2006/relationships/hyperlink" Target="https://bulbapedia.bulbagarden.net/wiki/Krokorok_(Flashfire_57)" TargetMode="External"/><Relationship Id="rId60" Type="http://schemas.openxmlformats.org/officeDocument/2006/relationships/hyperlink" Target="https://bulbapedia.bulbagarden.net/wiki/Floette_(Flashfire_65)" TargetMode="External"/><Relationship Id="rId65" Type="http://schemas.openxmlformats.org/officeDocument/2006/relationships/hyperlink" Target="https://bulbapedia.bulbagarden.net/wiki/Dragalge_(Flashfire_71)" TargetMode="External"/><Relationship Id="rId73" Type="http://schemas.openxmlformats.org/officeDocument/2006/relationships/hyperlink" Target="https://bulbapedia.bulbagarden.net/wiki/Sentret_(Flashfire_81)" TargetMode="External"/><Relationship Id="rId78" Type="http://schemas.openxmlformats.org/officeDocument/2006/relationships/hyperlink" Target="https://bulbapedia.bulbagarden.net/wiki/Fletchling_(Flashfire_86)" TargetMode="External"/><Relationship Id="rId81" Type="http://schemas.openxmlformats.org/officeDocument/2006/relationships/hyperlink" Target="https://bulbapedia.bulbagarden.net/wiki/Fiery_Torch_(Flashfire_89)" TargetMode="External"/><Relationship Id="rId86" Type="http://schemas.openxmlformats.org/officeDocument/2006/relationships/hyperlink" Target="https://bulbapedia.bulbagarden.net/wiki/Pok%C3%A9mon_Fan_Club_(Flashfire_94)" TargetMode="External"/><Relationship Id="rId94" Type="http://schemas.openxmlformats.org/officeDocument/2006/relationships/hyperlink" Target="https://bulbapedia.bulbagarden.net/wiki/Pok%C3%A9mon_Fan_Club_(Flashfire_106)" TargetMode="External"/><Relationship Id="rId4" Type="http://schemas.openxmlformats.org/officeDocument/2006/relationships/hyperlink" Target="https://bulbapedia.bulbagarden.net/wiki/Pineco_(Flashfire_4)" TargetMode="External"/><Relationship Id="rId9" Type="http://schemas.openxmlformats.org/officeDocument/2006/relationships/hyperlink" Target="https://bulbapedia.bulbagarden.net/wiki/Roserade_(Flashfire_9)" TargetMode="External"/><Relationship Id="rId13" Type="http://schemas.openxmlformats.org/officeDocument/2006/relationships/hyperlink" Target="https://bulbapedia.bulbagarden.net/wiki/Torkoal_(Flashfire_16)" TargetMode="External"/><Relationship Id="rId18" Type="http://schemas.openxmlformats.org/officeDocument/2006/relationships/hyperlink" Target="https://bulbapedia.bulbagarden.net/wiki/Qwilfish_(Flashfire_21)" TargetMode="External"/><Relationship Id="rId39" Type="http://schemas.openxmlformats.org/officeDocument/2006/relationships/hyperlink" Target="https://bulbapedia.bulbagarden.net/wiki/Skrelp_(Flashfire_44)" TargetMode="External"/><Relationship Id="rId34" Type="http://schemas.openxmlformats.org/officeDocument/2006/relationships/hyperlink" Target="https://bulbapedia.bulbagarden.net/wiki/Duskull_(Flashfire_38)" TargetMode="External"/><Relationship Id="rId50" Type="http://schemas.openxmlformats.org/officeDocument/2006/relationships/hyperlink" Target="https://bulbapedia.bulbagarden.net/wiki/Skuntank_(Flashfire_55)" TargetMode="External"/><Relationship Id="rId55" Type="http://schemas.openxmlformats.org/officeDocument/2006/relationships/hyperlink" Target="https://bulbapedia.bulbagarden.net/wiki/Forretress_(Flashfire_60)" TargetMode="External"/><Relationship Id="rId76" Type="http://schemas.openxmlformats.org/officeDocument/2006/relationships/hyperlink" Target="https://bulbapedia.bulbagarden.net/wiki/Buneary_(Flashfire_84)" TargetMode="External"/><Relationship Id="rId7" Type="http://schemas.openxmlformats.org/officeDocument/2006/relationships/hyperlink" Target="https://bulbapedia.bulbagarden.net/wiki/Shiftry_(Flashfire_7)" TargetMode="External"/><Relationship Id="rId71" Type="http://schemas.openxmlformats.org/officeDocument/2006/relationships/hyperlink" Target="https://bulbapedia.bulbagarden.net/wiki/Pidgeot_(Flashfire_77)" TargetMode="External"/><Relationship Id="rId92" Type="http://schemas.openxmlformats.org/officeDocument/2006/relationships/hyperlink" Target="https://bulbapedia.bulbagarden.net/wiki/Lysandre_(Flashfire_104)" TargetMode="External"/><Relationship Id="rId2" Type="http://schemas.openxmlformats.org/officeDocument/2006/relationships/hyperlink" Target="https://bulbapedia.bulbagarden.net/wiki/Metapod_(Flashfire_2)" TargetMode="External"/><Relationship Id="rId29" Type="http://schemas.openxmlformats.org/officeDocument/2006/relationships/hyperlink" Target="https://bulbapedia.bulbagarden.net/wiki/Shinx_(Flashfire_32)" TargetMode="External"/><Relationship Id="rId24" Type="http://schemas.openxmlformats.org/officeDocument/2006/relationships/hyperlink" Target="https://bulbapedia.bulbagarden.net/wiki/Luvdisc_(Flashfire_27)" TargetMode="External"/><Relationship Id="rId40" Type="http://schemas.openxmlformats.org/officeDocument/2006/relationships/hyperlink" Target="https://bulbapedia.bulbagarden.net/wiki/Geodude_(Flashfire_45)" TargetMode="External"/><Relationship Id="rId45" Type="http://schemas.openxmlformats.org/officeDocument/2006/relationships/hyperlink" Target="https://bulbapedia.bulbagarden.net/wiki/Sneasel_(Flashfire_50)" TargetMode="External"/><Relationship Id="rId66" Type="http://schemas.openxmlformats.org/officeDocument/2006/relationships/hyperlink" Target="https://bulbapedia.bulbagarden.net/wiki/Goomy_(Flashfire_72)" TargetMode="External"/><Relationship Id="rId87" Type="http://schemas.openxmlformats.org/officeDocument/2006/relationships/hyperlink" Target="https://bulbapedia.bulbagarden.net/wiki/Protection_Cube_(Flashfire_95)" TargetMode="External"/><Relationship Id="rId61" Type="http://schemas.openxmlformats.org/officeDocument/2006/relationships/hyperlink" Target="https://bulbapedia.bulbagarden.net/wiki/Florges_(Flashfire_66)" TargetMode="External"/><Relationship Id="rId82" Type="http://schemas.openxmlformats.org/officeDocument/2006/relationships/hyperlink" Target="https://bulbapedia.bulbagarden.net/wiki/Lysandre_(Flashfire_90)" TargetMode="External"/><Relationship Id="rId19" Type="http://schemas.openxmlformats.org/officeDocument/2006/relationships/hyperlink" Target="https://bulbapedia.bulbagarden.net/wiki/Feebas_(Flashfire_22)" TargetMode="External"/><Relationship Id="rId14" Type="http://schemas.openxmlformats.org/officeDocument/2006/relationships/hyperlink" Target="https://bulbapedia.bulbagarden.net/wiki/Fletchinder_(Flashfire_17)" TargetMode="External"/><Relationship Id="rId30" Type="http://schemas.openxmlformats.org/officeDocument/2006/relationships/hyperlink" Target="https://bulbapedia.bulbagarden.net/wiki/Luxio_(Flashfire_33)" TargetMode="External"/><Relationship Id="rId35" Type="http://schemas.openxmlformats.org/officeDocument/2006/relationships/hyperlink" Target="https://bulbapedia.bulbagarden.net/wiki/Dusclops_(Flashfire_39)" TargetMode="External"/><Relationship Id="rId56" Type="http://schemas.openxmlformats.org/officeDocument/2006/relationships/hyperlink" Target="https://bulbapedia.bulbagarden.net/wiki/Durant_(Flashfire_61)" TargetMode="External"/><Relationship Id="rId77" Type="http://schemas.openxmlformats.org/officeDocument/2006/relationships/hyperlink" Target="https://bulbapedia.bulbagarden.net/wiki/Lopunny_(Flashfire_85)"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s://bulbapedia.bulbagarden.net/wiki/Snubbull_(McDonald%27s_Collection_8)" TargetMode="External"/><Relationship Id="rId3" Type="http://schemas.openxmlformats.org/officeDocument/2006/relationships/hyperlink" Target="https://bulbapedia.bulbagarden.net/wiki/Fennekin_(McDonald%27s_Collection_3)" TargetMode="External"/><Relationship Id="rId7" Type="http://schemas.openxmlformats.org/officeDocument/2006/relationships/hyperlink" Target="https://bulbapedia.bulbagarden.net/wiki/Honedge_(McDonald%27s_Collection_7)" TargetMode="External"/><Relationship Id="rId12" Type="http://schemas.openxmlformats.org/officeDocument/2006/relationships/hyperlink" Target="https://bulbapedia.bulbagarden.net/wiki/Furfrou_(McDonald%27s_Collection_12)" TargetMode="External"/><Relationship Id="rId2" Type="http://schemas.openxmlformats.org/officeDocument/2006/relationships/hyperlink" Target="https://bulbapedia.bulbagarden.net/wiki/Chespin_(McDonald%27s_Collection_2)" TargetMode="External"/><Relationship Id="rId1" Type="http://schemas.openxmlformats.org/officeDocument/2006/relationships/hyperlink" Target="https://bulbapedia.bulbagarden.net/wiki/Weedle_(McDonald%27s_Collection_1)" TargetMode="External"/><Relationship Id="rId6" Type="http://schemas.openxmlformats.org/officeDocument/2006/relationships/hyperlink" Target="https://bulbapedia.bulbagarden.net/wiki/Inkay_(McDonald%27s_Collection_6)" TargetMode="External"/><Relationship Id="rId11" Type="http://schemas.openxmlformats.org/officeDocument/2006/relationships/hyperlink" Target="https://bulbapedia.bulbagarden.net/wiki/Fletchling_(McDonald%27s_Collection_11)" TargetMode="External"/><Relationship Id="rId5" Type="http://schemas.openxmlformats.org/officeDocument/2006/relationships/hyperlink" Target="https://bulbapedia.bulbagarden.net/wiki/Pikachu_(McDonald%27s_Collection_5)" TargetMode="External"/><Relationship Id="rId10" Type="http://schemas.openxmlformats.org/officeDocument/2006/relationships/hyperlink" Target="https://bulbapedia.bulbagarden.net/wiki/Bunnelby_(McDonald%27s_Collection_10)" TargetMode="External"/><Relationship Id="rId4" Type="http://schemas.openxmlformats.org/officeDocument/2006/relationships/hyperlink" Target="https://bulbapedia.bulbagarden.net/wiki/Froakie_(McDonald%27s_Collection_4)" TargetMode="External"/><Relationship Id="rId9" Type="http://schemas.openxmlformats.org/officeDocument/2006/relationships/hyperlink" Target="https://bulbapedia.bulbagarden.net/wiki/Swirlix_(McDonald%27s_Collection_9)" TargetMode="External"/></Relationships>
</file>

<file path=xl/worksheets/_rels/sheet53.xml.rels><?xml version="1.0" encoding="UTF-8" standalone="yes"?>
<Relationships xmlns="http://schemas.openxmlformats.org/package/2006/relationships"><Relationship Id="rId26" Type="http://schemas.openxmlformats.org/officeDocument/2006/relationships/hyperlink" Target="https://bulbapedia.bulbagarden.net/wiki/Electabuzz_(Furious_Fists_29)" TargetMode="External"/><Relationship Id="rId21" Type="http://schemas.openxmlformats.org/officeDocument/2006/relationships/hyperlink" Target="https://bulbapedia.bulbagarden.net/wiki/Clawitzer_(Furious_Fists_24)" TargetMode="External"/><Relationship Id="rId42" Type="http://schemas.openxmlformats.org/officeDocument/2006/relationships/hyperlink" Target="https://bulbapedia.bulbagarden.net/wiki/Machoke_(Furious_Fists_45)" TargetMode="External"/><Relationship Id="rId47" Type="http://schemas.openxmlformats.org/officeDocument/2006/relationships/hyperlink" Target="https://bulbapedia.bulbagarden.net/wiki/Breloom_(Furious_Fists_50)" TargetMode="External"/><Relationship Id="rId63" Type="http://schemas.openxmlformats.org/officeDocument/2006/relationships/hyperlink" Target="https://bulbapedia.bulbagarden.net/wiki/Clefairy_(Furious_Fists_69)" TargetMode="External"/><Relationship Id="rId68" Type="http://schemas.openxmlformats.org/officeDocument/2006/relationships/hyperlink" Target="https://bulbapedia.bulbagarden.net/wiki/Vibrava_(Furious_Fists_75)" TargetMode="External"/><Relationship Id="rId84" Type="http://schemas.openxmlformats.org/officeDocument/2006/relationships/hyperlink" Target="https://bulbapedia.bulbagarden.net/wiki/Focus_Sash_(Furious_Fists_91)" TargetMode="External"/><Relationship Id="rId89" Type="http://schemas.openxmlformats.org/officeDocument/2006/relationships/hyperlink" Target="https://bulbapedia.bulbagarden.net/wiki/Maintenance_(Furious_Fists_96)" TargetMode="External"/><Relationship Id="rId16" Type="http://schemas.openxmlformats.org/officeDocument/2006/relationships/hyperlink" Target="https://bulbapedia.bulbagarden.net/wiki/Politoed_(Furious_Fists_18)" TargetMode="External"/><Relationship Id="rId11" Type="http://schemas.openxmlformats.org/officeDocument/2006/relationships/hyperlink" Target="https://bulbapedia.bulbagarden.net/wiki/Combusken_(Furious_Fists_13)" TargetMode="External"/><Relationship Id="rId32" Type="http://schemas.openxmlformats.org/officeDocument/2006/relationships/hyperlink" Target="https://bulbapedia.bulbagarden.net/wiki/Drowzee_(Furious_Fists_35)" TargetMode="External"/><Relationship Id="rId37" Type="http://schemas.openxmlformats.org/officeDocument/2006/relationships/hyperlink" Target="https://bulbapedia.bulbagarden.net/wiki/Gothorita_(Furious_Fists_40)" TargetMode="External"/><Relationship Id="rId53" Type="http://schemas.openxmlformats.org/officeDocument/2006/relationships/hyperlink" Target="https://bulbapedia.bulbagarden.net/wiki/Landorus_(Furious_Fists_58)" TargetMode="External"/><Relationship Id="rId58" Type="http://schemas.openxmlformats.org/officeDocument/2006/relationships/hyperlink" Target="https://bulbapedia.bulbagarden.net/wiki/Hawlucha_(Furious_Fists_63)" TargetMode="External"/><Relationship Id="rId74" Type="http://schemas.openxmlformats.org/officeDocument/2006/relationships/hyperlink" Target="https://bulbapedia.bulbagarden.net/wiki/Slakoth_(Furious_Fists_81)" TargetMode="External"/><Relationship Id="rId79" Type="http://schemas.openxmlformats.org/officeDocument/2006/relationships/hyperlink" Target="https://bulbapedia.bulbagarden.net/wiki/Tornadus_(Furious_Fists_86)" TargetMode="External"/><Relationship Id="rId5" Type="http://schemas.openxmlformats.org/officeDocument/2006/relationships/hyperlink" Target="https://bulbapedia.bulbagarden.net/wiki/Leafeon_(Furious_Fists_7)" TargetMode="External"/><Relationship Id="rId90" Type="http://schemas.openxmlformats.org/officeDocument/2006/relationships/hyperlink" Target="https://bulbapedia.bulbagarden.net/wiki/Mountain_Ring_(Furious_Fists_97)" TargetMode="External"/><Relationship Id="rId95" Type="http://schemas.openxmlformats.org/officeDocument/2006/relationships/hyperlink" Target="https://bulbapedia.bulbagarden.net/wiki/Training_Center_(Furious_Fists_102)" TargetMode="External"/><Relationship Id="rId22" Type="http://schemas.openxmlformats.org/officeDocument/2006/relationships/hyperlink" Target="https://bulbapedia.bulbagarden.net/wiki/Amaura_(Furious_Fists_25)" TargetMode="External"/><Relationship Id="rId27" Type="http://schemas.openxmlformats.org/officeDocument/2006/relationships/hyperlink" Target="https://bulbapedia.bulbagarden.net/wiki/Electivire_(Furious_Fists_30)" TargetMode="External"/><Relationship Id="rId43" Type="http://schemas.openxmlformats.org/officeDocument/2006/relationships/hyperlink" Target="https://bulbapedia.bulbagarden.net/wiki/Machamp_(Furious_Fists_46)" TargetMode="External"/><Relationship Id="rId48" Type="http://schemas.openxmlformats.org/officeDocument/2006/relationships/hyperlink" Target="https://bulbapedia.bulbagarden.net/wiki/Makuhita_(Furious_Fists_51)" TargetMode="External"/><Relationship Id="rId64" Type="http://schemas.openxmlformats.org/officeDocument/2006/relationships/hyperlink" Target="https://bulbapedia.bulbagarden.net/wiki/Clefairy_(Furious_Fists_70)" TargetMode="External"/><Relationship Id="rId69" Type="http://schemas.openxmlformats.org/officeDocument/2006/relationships/hyperlink" Target="https://bulbapedia.bulbagarden.net/wiki/Flygon_(Furious_Fists_76)" TargetMode="External"/><Relationship Id="rId80" Type="http://schemas.openxmlformats.org/officeDocument/2006/relationships/hyperlink" Target="https://bulbapedia.bulbagarden.net/wiki/Noibat_(Furious_Fists_87)" TargetMode="External"/><Relationship Id="rId85" Type="http://schemas.openxmlformats.org/officeDocument/2006/relationships/hyperlink" Target="https://bulbapedia.bulbagarden.net/wiki/Fossil_Researcher_(Furious_Fists_92)" TargetMode="External"/><Relationship Id="rId3" Type="http://schemas.openxmlformats.org/officeDocument/2006/relationships/hyperlink" Target="https://bulbapedia.bulbagarden.net/wiki/Victreebel_(Furious_Fists_3)" TargetMode="External"/><Relationship Id="rId12" Type="http://schemas.openxmlformats.org/officeDocument/2006/relationships/hyperlink" Target="https://bulbapedia.bulbagarden.net/wiki/Blaziken_(Furious_Fists_14)" TargetMode="External"/><Relationship Id="rId17" Type="http://schemas.openxmlformats.org/officeDocument/2006/relationships/hyperlink" Target="https://bulbapedia.bulbagarden.net/wiki/Glaceon_(Furious_Fists_19)" TargetMode="External"/><Relationship Id="rId25" Type="http://schemas.openxmlformats.org/officeDocument/2006/relationships/hyperlink" Target="https://bulbapedia.bulbagarden.net/wiki/Raichu_(Furious_Fists_28)" TargetMode="External"/><Relationship Id="rId33" Type="http://schemas.openxmlformats.org/officeDocument/2006/relationships/hyperlink" Target="https://bulbapedia.bulbagarden.net/wiki/Hypno_(Furious_Fists_36)" TargetMode="External"/><Relationship Id="rId38" Type="http://schemas.openxmlformats.org/officeDocument/2006/relationships/hyperlink" Target="https://bulbapedia.bulbagarden.net/wiki/Gothitelle_(Furious_Fists_41)" TargetMode="External"/><Relationship Id="rId46" Type="http://schemas.openxmlformats.org/officeDocument/2006/relationships/hyperlink" Target="https://bulbapedia.bulbagarden.net/wiki/Hitmontop_(Furious_Fists_49)" TargetMode="External"/><Relationship Id="rId59" Type="http://schemas.openxmlformats.org/officeDocument/2006/relationships/hyperlink" Target="https://bulbapedia.bulbagarden.net/wiki/Drapion_(Furious_Fists_65)" TargetMode="External"/><Relationship Id="rId67" Type="http://schemas.openxmlformats.org/officeDocument/2006/relationships/hyperlink" Target="https://bulbapedia.bulbagarden.net/wiki/Klefki_(Furious_Fists_73)" TargetMode="External"/><Relationship Id="rId20" Type="http://schemas.openxmlformats.org/officeDocument/2006/relationships/hyperlink" Target="https://bulbapedia.bulbagarden.net/wiki/Clauncher_(Furious_Fists_23)" TargetMode="External"/><Relationship Id="rId41" Type="http://schemas.openxmlformats.org/officeDocument/2006/relationships/hyperlink" Target="https://bulbapedia.bulbagarden.net/wiki/Machop_(Furious_Fists_44)" TargetMode="External"/><Relationship Id="rId54" Type="http://schemas.openxmlformats.org/officeDocument/2006/relationships/hyperlink" Target="https://bulbapedia.bulbagarden.net/wiki/Pancham_(Furious_Fists_59)" TargetMode="External"/><Relationship Id="rId62" Type="http://schemas.openxmlformats.org/officeDocument/2006/relationships/hyperlink" Target="https://bulbapedia.bulbagarden.net/wiki/Pangoro_(Furious_Fists_68)" TargetMode="External"/><Relationship Id="rId70" Type="http://schemas.openxmlformats.org/officeDocument/2006/relationships/hyperlink" Target="https://bulbapedia.bulbagarden.net/wiki/Noivern_(Furious_Fists_77)" TargetMode="External"/><Relationship Id="rId75" Type="http://schemas.openxmlformats.org/officeDocument/2006/relationships/hyperlink" Target="https://bulbapedia.bulbagarden.net/wiki/Vigoroth_(Furious_Fists_82)" TargetMode="External"/><Relationship Id="rId83" Type="http://schemas.openxmlformats.org/officeDocument/2006/relationships/hyperlink" Target="https://bulbapedia.bulbagarden.net/wiki/Fighting_Stadium_(Furious_Fists_90)" TargetMode="External"/><Relationship Id="rId88" Type="http://schemas.openxmlformats.org/officeDocument/2006/relationships/hyperlink" Target="https://bulbapedia.bulbagarden.net/wiki/Korrina_(Furious_Fists_95)" TargetMode="External"/><Relationship Id="rId91" Type="http://schemas.openxmlformats.org/officeDocument/2006/relationships/hyperlink" Target="https://bulbapedia.bulbagarden.net/wiki/Sail_Fossil_(Furious_Fists_98)" TargetMode="External"/><Relationship Id="rId96" Type="http://schemas.openxmlformats.org/officeDocument/2006/relationships/hyperlink" Target="https://bulbapedia.bulbagarden.net/wiki/Herbal_Energy_(Furious_Fists_103)" TargetMode="External"/><Relationship Id="rId1" Type="http://schemas.openxmlformats.org/officeDocument/2006/relationships/hyperlink" Target="https://bulbapedia.bulbagarden.net/wiki/Bellsprout_(Furious_Fists_1)" TargetMode="External"/><Relationship Id="rId6" Type="http://schemas.openxmlformats.org/officeDocument/2006/relationships/hyperlink" Target="https://bulbapedia.bulbagarden.net/wiki/Shelmet_(Furious_Fists_8)" TargetMode="External"/><Relationship Id="rId15" Type="http://schemas.openxmlformats.org/officeDocument/2006/relationships/hyperlink" Target="https://bulbapedia.bulbagarden.net/wiki/Poliwrath_(Furious_Fists_17)" TargetMode="External"/><Relationship Id="rId23" Type="http://schemas.openxmlformats.org/officeDocument/2006/relationships/hyperlink" Target="https://bulbapedia.bulbagarden.net/wiki/Aurorus_(Furious_Fists_26)" TargetMode="External"/><Relationship Id="rId28" Type="http://schemas.openxmlformats.org/officeDocument/2006/relationships/hyperlink" Target="https://bulbapedia.bulbagarden.net/wiki/Plusle_(Furious_Fists_31)" TargetMode="External"/><Relationship Id="rId36" Type="http://schemas.openxmlformats.org/officeDocument/2006/relationships/hyperlink" Target="https://bulbapedia.bulbagarden.net/wiki/Gothita_(Furious_Fists_39)" TargetMode="External"/><Relationship Id="rId49" Type="http://schemas.openxmlformats.org/officeDocument/2006/relationships/hyperlink" Target="https://bulbapedia.bulbagarden.net/wiki/Hariyama_(Furious_Fists_52)" TargetMode="External"/><Relationship Id="rId57" Type="http://schemas.openxmlformats.org/officeDocument/2006/relationships/hyperlink" Target="https://bulbapedia.bulbagarden.net/wiki/Tyrantrum_(Furious_Fists_62)" TargetMode="External"/><Relationship Id="rId10" Type="http://schemas.openxmlformats.org/officeDocument/2006/relationships/hyperlink" Target="https://bulbapedia.bulbagarden.net/wiki/Torchic_(Furious_Fists_12)" TargetMode="External"/><Relationship Id="rId31" Type="http://schemas.openxmlformats.org/officeDocument/2006/relationships/hyperlink" Target="https://bulbapedia.bulbagarden.net/wiki/Dedenne_(Furious_Fists_34)" TargetMode="External"/><Relationship Id="rId44" Type="http://schemas.openxmlformats.org/officeDocument/2006/relationships/hyperlink" Target="https://bulbapedia.bulbagarden.net/wiki/Hitmonlee_(Furious_Fists_47)" TargetMode="External"/><Relationship Id="rId52" Type="http://schemas.openxmlformats.org/officeDocument/2006/relationships/hyperlink" Target="https://bulbapedia.bulbagarden.net/wiki/Mienshao_(Furious_Fists_57)" TargetMode="External"/><Relationship Id="rId60" Type="http://schemas.openxmlformats.org/officeDocument/2006/relationships/hyperlink" Target="https://bulbapedia.bulbagarden.net/wiki/Scraggy_(Furious_Fists_66)" TargetMode="External"/><Relationship Id="rId65" Type="http://schemas.openxmlformats.org/officeDocument/2006/relationships/hyperlink" Target="https://bulbapedia.bulbagarden.net/wiki/Clefable_(Furious_Fists_71)" TargetMode="External"/><Relationship Id="rId73" Type="http://schemas.openxmlformats.org/officeDocument/2006/relationships/hyperlink" Target="https://bulbapedia.bulbagarden.net/wiki/Eevee_(Furious_Fists_80)" TargetMode="External"/><Relationship Id="rId78" Type="http://schemas.openxmlformats.org/officeDocument/2006/relationships/hyperlink" Target="https://bulbapedia.bulbagarden.net/wiki/Watchog_(Furious_Fists_85)" TargetMode="External"/><Relationship Id="rId81" Type="http://schemas.openxmlformats.org/officeDocument/2006/relationships/hyperlink" Target="https://bulbapedia.bulbagarden.net/wiki/Battle_Reporter_(Furious_Fists_88)" TargetMode="External"/><Relationship Id="rId86" Type="http://schemas.openxmlformats.org/officeDocument/2006/relationships/hyperlink" Target="https://bulbapedia.bulbagarden.net/wiki/Full_Heal_(Furious_Fists_93)" TargetMode="External"/><Relationship Id="rId94" Type="http://schemas.openxmlformats.org/officeDocument/2006/relationships/hyperlink" Target="https://bulbapedia.bulbagarden.net/wiki/Tool_Retriever_(Furious_Fists_101)" TargetMode="External"/><Relationship Id="rId99" Type="http://schemas.openxmlformats.org/officeDocument/2006/relationships/hyperlink" Target="https://bulbapedia.bulbagarden.net/wiki/Fossil_Researcher_(Furious_Fists_110)" TargetMode="External"/><Relationship Id="rId4" Type="http://schemas.openxmlformats.org/officeDocument/2006/relationships/hyperlink" Target="https://bulbapedia.bulbagarden.net/wiki/Shroomish_(Furious_Fists_6)" TargetMode="External"/><Relationship Id="rId9" Type="http://schemas.openxmlformats.org/officeDocument/2006/relationships/hyperlink" Target="https://bulbapedia.bulbagarden.net/wiki/Magmortar_(Furious_Fists_11)" TargetMode="External"/><Relationship Id="rId13" Type="http://schemas.openxmlformats.org/officeDocument/2006/relationships/hyperlink" Target="https://bulbapedia.bulbagarden.net/wiki/Poliwag_(Furious_Fists_15)" TargetMode="External"/><Relationship Id="rId18" Type="http://schemas.openxmlformats.org/officeDocument/2006/relationships/hyperlink" Target="https://bulbapedia.bulbagarden.net/wiki/Cubchoo_(Furious_Fists_21)" TargetMode="External"/><Relationship Id="rId39" Type="http://schemas.openxmlformats.org/officeDocument/2006/relationships/hyperlink" Target="https://bulbapedia.bulbagarden.net/wiki/Golett_(Furious_Fists_42)" TargetMode="External"/><Relationship Id="rId34" Type="http://schemas.openxmlformats.org/officeDocument/2006/relationships/hyperlink" Target="https://bulbapedia.bulbagarden.net/wiki/Jynx_(Furious_Fists_37)" TargetMode="External"/><Relationship Id="rId50" Type="http://schemas.openxmlformats.org/officeDocument/2006/relationships/hyperlink" Target="https://bulbapedia.bulbagarden.net/wiki/Trapinch_(Furious_Fists_53)" TargetMode="External"/><Relationship Id="rId55" Type="http://schemas.openxmlformats.org/officeDocument/2006/relationships/hyperlink" Target="https://bulbapedia.bulbagarden.net/wiki/Pancham_(Furious_Fists_60)" TargetMode="External"/><Relationship Id="rId76" Type="http://schemas.openxmlformats.org/officeDocument/2006/relationships/hyperlink" Target="https://bulbapedia.bulbagarden.net/wiki/Slaking_(Furious_Fists_83)" TargetMode="External"/><Relationship Id="rId97" Type="http://schemas.openxmlformats.org/officeDocument/2006/relationships/hyperlink" Target="https://bulbapedia.bulbagarden.net/wiki/Strong_Energy_(Furious_Fists_104)" TargetMode="External"/><Relationship Id="rId7" Type="http://schemas.openxmlformats.org/officeDocument/2006/relationships/hyperlink" Target="https://bulbapedia.bulbagarden.net/wiki/Accelgor_(Furious_Fists_9)" TargetMode="External"/><Relationship Id="rId71" Type="http://schemas.openxmlformats.org/officeDocument/2006/relationships/hyperlink" Target="https://bulbapedia.bulbagarden.net/wiki/Lickitung_(Furious_Fists_78)" TargetMode="External"/><Relationship Id="rId92" Type="http://schemas.openxmlformats.org/officeDocument/2006/relationships/hyperlink" Target="https://bulbapedia.bulbagarden.net/wiki/Sparkling_Robe_(Furious_Fists_99)" TargetMode="External"/><Relationship Id="rId2" Type="http://schemas.openxmlformats.org/officeDocument/2006/relationships/hyperlink" Target="https://bulbapedia.bulbagarden.net/wiki/Weepinbell_(Furious_Fists_2)" TargetMode="External"/><Relationship Id="rId29" Type="http://schemas.openxmlformats.org/officeDocument/2006/relationships/hyperlink" Target="https://bulbapedia.bulbagarden.net/wiki/Minun_(Furious_Fists_32)" TargetMode="External"/><Relationship Id="rId24" Type="http://schemas.openxmlformats.org/officeDocument/2006/relationships/hyperlink" Target="https://bulbapedia.bulbagarden.net/wiki/Pikachu_(Furious_Fists_27)" TargetMode="External"/><Relationship Id="rId40" Type="http://schemas.openxmlformats.org/officeDocument/2006/relationships/hyperlink" Target="https://bulbapedia.bulbagarden.net/wiki/Golurk_(Furious_Fists_43)" TargetMode="External"/><Relationship Id="rId45" Type="http://schemas.openxmlformats.org/officeDocument/2006/relationships/hyperlink" Target="https://bulbapedia.bulbagarden.net/wiki/Hitmonchan_(Furious_Fists_48)" TargetMode="External"/><Relationship Id="rId66" Type="http://schemas.openxmlformats.org/officeDocument/2006/relationships/hyperlink" Target="https://bulbapedia.bulbagarden.net/wiki/Sylveon_(Furious_Fists_72)" TargetMode="External"/><Relationship Id="rId87" Type="http://schemas.openxmlformats.org/officeDocument/2006/relationships/hyperlink" Target="https://bulbapedia.bulbagarden.net/wiki/Jaw_Fossil_(Furious_Fists_94)" TargetMode="External"/><Relationship Id="rId61" Type="http://schemas.openxmlformats.org/officeDocument/2006/relationships/hyperlink" Target="https://bulbapedia.bulbagarden.net/wiki/Scrafty_(Furious_Fists_67)" TargetMode="External"/><Relationship Id="rId82" Type="http://schemas.openxmlformats.org/officeDocument/2006/relationships/hyperlink" Target="https://bulbapedia.bulbagarden.net/wiki/Energy_Switch_(Furious_Fists_89)" TargetMode="External"/><Relationship Id="rId19" Type="http://schemas.openxmlformats.org/officeDocument/2006/relationships/hyperlink" Target="https://bulbapedia.bulbagarden.net/wiki/Beartic_(Furious_Fists_22)" TargetMode="External"/><Relationship Id="rId14" Type="http://schemas.openxmlformats.org/officeDocument/2006/relationships/hyperlink" Target="https://bulbapedia.bulbagarden.net/wiki/Poliwhirl_(Furious_Fists_16)" TargetMode="External"/><Relationship Id="rId30" Type="http://schemas.openxmlformats.org/officeDocument/2006/relationships/hyperlink" Target="https://bulbapedia.bulbagarden.net/wiki/Thundurus_(Furious_Fists_33)" TargetMode="External"/><Relationship Id="rId35" Type="http://schemas.openxmlformats.org/officeDocument/2006/relationships/hyperlink" Target="https://bulbapedia.bulbagarden.net/wiki/Skorupi_(Furious_Fists_38)" TargetMode="External"/><Relationship Id="rId56" Type="http://schemas.openxmlformats.org/officeDocument/2006/relationships/hyperlink" Target="https://bulbapedia.bulbagarden.net/wiki/Tyrunt_(Furious_Fists_61)" TargetMode="External"/><Relationship Id="rId77" Type="http://schemas.openxmlformats.org/officeDocument/2006/relationships/hyperlink" Target="https://bulbapedia.bulbagarden.net/wiki/Patrat_(Furious_Fists_84)" TargetMode="External"/><Relationship Id="rId100" Type="http://schemas.openxmlformats.org/officeDocument/2006/relationships/hyperlink" Target="https://bulbapedia.bulbagarden.net/wiki/Korrina_(Furious_Fists_111)" TargetMode="External"/><Relationship Id="rId8" Type="http://schemas.openxmlformats.org/officeDocument/2006/relationships/hyperlink" Target="https://bulbapedia.bulbagarden.net/wiki/Magmar_(Furious_Fists_10)" TargetMode="External"/><Relationship Id="rId51" Type="http://schemas.openxmlformats.org/officeDocument/2006/relationships/hyperlink" Target="https://bulbapedia.bulbagarden.net/wiki/Mienfoo_(Furious_Fists_56)" TargetMode="External"/><Relationship Id="rId72" Type="http://schemas.openxmlformats.org/officeDocument/2006/relationships/hyperlink" Target="https://bulbapedia.bulbagarden.net/wiki/Lickilicky_(Furious_Fists_79)" TargetMode="External"/><Relationship Id="rId93" Type="http://schemas.openxmlformats.org/officeDocument/2006/relationships/hyperlink" Target="https://bulbapedia.bulbagarden.net/wiki/Super_Scoop_Up_(Furious_Fists_100)" TargetMode="External"/><Relationship Id="rId98" Type="http://schemas.openxmlformats.org/officeDocument/2006/relationships/hyperlink" Target="https://bulbapedia.bulbagarden.net/wiki/Battle_Reporter_(Furious_Fists_109)" TargetMode="External"/></Relationships>
</file>

<file path=xl/worksheets/_rels/sheet54.xml.rels><?xml version="1.0" encoding="UTF-8" standalone="yes"?>
<Relationships xmlns="http://schemas.openxmlformats.org/package/2006/relationships"><Relationship Id="rId26" Type="http://schemas.openxmlformats.org/officeDocument/2006/relationships/hyperlink" Target="https://bulbapedia.bulbagarden.net/wiki/Helioptile_(Phantom_Forces_28)" TargetMode="External"/><Relationship Id="rId21" Type="http://schemas.openxmlformats.org/officeDocument/2006/relationships/hyperlink" Target="https://bulbapedia.bulbagarden.net/wiki/Jellicent_(Phantom_Forces_21)" TargetMode="External"/><Relationship Id="rId42" Type="http://schemas.openxmlformats.org/officeDocument/2006/relationships/hyperlink" Target="https://bulbapedia.bulbagarden.net/wiki/Gligar_(Phantom_Forces_46)" TargetMode="External"/><Relationship Id="rId47" Type="http://schemas.openxmlformats.org/officeDocument/2006/relationships/hyperlink" Target="https://bulbapedia.bulbagarden.net/wiki/Murkrow_(Phantom_Forces_51)" TargetMode="External"/><Relationship Id="rId63" Type="http://schemas.openxmlformats.org/officeDocument/2006/relationships/hyperlink" Target="https://bulbapedia.bulbagarden.net/wiki/Diancie_(Phantom_Forces_71)" TargetMode="External"/><Relationship Id="rId68" Type="http://schemas.openxmlformats.org/officeDocument/2006/relationships/hyperlink" Target="https://bulbapedia.bulbagarden.net/wiki/Sliggoo_(Phantom_Forces_76)" TargetMode="External"/><Relationship Id="rId84" Type="http://schemas.openxmlformats.org/officeDocument/2006/relationships/hyperlink" Target="https://bulbapedia.bulbagarden.net/wiki/Battle_Compressor_(Phantom_Forces_92)" TargetMode="External"/><Relationship Id="rId89" Type="http://schemas.openxmlformats.org/officeDocument/2006/relationships/hyperlink" Target="https://bulbapedia.bulbagarden.net/wiki/Head_Ringer_(Phantom_Forces_97)" TargetMode="External"/><Relationship Id="rId16" Type="http://schemas.openxmlformats.org/officeDocument/2006/relationships/hyperlink" Target="https://bulbapedia.bulbagarden.net/wiki/Croconaw_(Phantom_Forces_16)" TargetMode="External"/><Relationship Id="rId107" Type="http://schemas.openxmlformats.org/officeDocument/2006/relationships/hyperlink" Target="https://bulbapedia.bulbagarden.net/wiki/Xerosic_(Phantom_Forces_119)" TargetMode="External"/><Relationship Id="rId11" Type="http://schemas.openxmlformats.org/officeDocument/2006/relationships/hyperlink" Target="https://bulbapedia.bulbagarden.net/wiki/Litleo_(Phantom_Forces_11)" TargetMode="External"/><Relationship Id="rId32" Type="http://schemas.openxmlformats.org/officeDocument/2006/relationships/hyperlink" Target="https://bulbapedia.bulbagarden.net/wiki/Wobbuffet_(Phantom_Forces_36)" TargetMode="External"/><Relationship Id="rId37" Type="http://schemas.openxmlformats.org/officeDocument/2006/relationships/hyperlink" Target="https://bulbapedia.bulbagarden.net/wiki/Litwick_(Phantom_Forces_41)" TargetMode="External"/><Relationship Id="rId53" Type="http://schemas.openxmlformats.org/officeDocument/2006/relationships/hyperlink" Target="https://bulbapedia.bulbagarden.net/wiki/Liepard_(Phantom_Forces_57)" TargetMode="External"/><Relationship Id="rId58" Type="http://schemas.openxmlformats.org/officeDocument/2006/relationships/hyperlink" Target="https://bulbapedia.bulbagarden.net/wiki/Escavalier_(Phantom_Forces_64)" TargetMode="External"/><Relationship Id="rId74" Type="http://schemas.openxmlformats.org/officeDocument/2006/relationships/hyperlink" Target="https://bulbapedia.bulbagarden.net/wiki/Girafarig_(Phantom_Forces_82)" TargetMode="External"/><Relationship Id="rId79" Type="http://schemas.openxmlformats.org/officeDocument/2006/relationships/hyperlink" Target="https://bulbapedia.bulbagarden.net/wiki/Bunnelby_(Phantom_Forces_87)" TargetMode="External"/><Relationship Id="rId102" Type="http://schemas.openxmlformats.org/officeDocument/2006/relationships/hyperlink" Target="https://bulbapedia.bulbagarden.net/wiki/Xerosic_(Phantom_Forces_110)" TargetMode="External"/><Relationship Id="rId5" Type="http://schemas.openxmlformats.org/officeDocument/2006/relationships/hyperlink" Target="https://bulbapedia.bulbagarden.net/wiki/Sewaddle_(Phantom_Forces_5)" TargetMode="External"/><Relationship Id="rId90" Type="http://schemas.openxmlformats.org/officeDocument/2006/relationships/hyperlink" Target="https://bulbapedia.bulbagarden.net/wiki/Jamming_Net_(Phantom_Forces_98)" TargetMode="External"/><Relationship Id="rId95" Type="http://schemas.openxmlformats.org/officeDocument/2006/relationships/hyperlink" Target="https://bulbapedia.bulbagarden.net/wiki/Roller_Skates_(Phantom_Forces_103)" TargetMode="External"/><Relationship Id="rId22" Type="http://schemas.openxmlformats.org/officeDocument/2006/relationships/hyperlink" Target="https://bulbapedia.bulbagarden.net/wiki/Alomomola_(Phantom_Forces_22)" TargetMode="External"/><Relationship Id="rId27" Type="http://schemas.openxmlformats.org/officeDocument/2006/relationships/hyperlink" Target="https://bulbapedia.bulbagarden.net/wiki/Helioptile_(Phantom_Forces_29)" TargetMode="External"/><Relationship Id="rId43" Type="http://schemas.openxmlformats.org/officeDocument/2006/relationships/hyperlink" Target="https://bulbapedia.bulbagarden.net/wiki/Gliscor_(Phantom_Forces_47)" TargetMode="External"/><Relationship Id="rId48" Type="http://schemas.openxmlformats.org/officeDocument/2006/relationships/hyperlink" Target="https://bulbapedia.bulbagarden.net/wiki/Honchkrow_(Phantom_Forces_52)" TargetMode="External"/><Relationship Id="rId64" Type="http://schemas.openxmlformats.org/officeDocument/2006/relationships/hyperlink" Target="https://bulbapedia.bulbagarden.net/wiki/Deino_(Phantom_Forces_72)" TargetMode="External"/><Relationship Id="rId69" Type="http://schemas.openxmlformats.org/officeDocument/2006/relationships/hyperlink" Target="https://bulbapedia.bulbagarden.net/wiki/Goodra_(Phantom_Forces_77)" TargetMode="External"/><Relationship Id="rId80" Type="http://schemas.openxmlformats.org/officeDocument/2006/relationships/hyperlink" Target="https://bulbapedia.bulbagarden.net/wiki/Diggersby_(Phantom_Forces_88)" TargetMode="External"/><Relationship Id="rId85" Type="http://schemas.openxmlformats.org/officeDocument/2006/relationships/hyperlink" Target="https://bulbapedia.bulbagarden.net/wiki/Dimension_Valley_(Phantom_Forces_93)" TargetMode="External"/><Relationship Id="rId12" Type="http://schemas.openxmlformats.org/officeDocument/2006/relationships/hyperlink" Target="https://bulbapedia.bulbagarden.net/wiki/Pyroar_(Phantom_Forces_12)" TargetMode="External"/><Relationship Id="rId17" Type="http://schemas.openxmlformats.org/officeDocument/2006/relationships/hyperlink" Target="https://bulbapedia.bulbagarden.net/wiki/Feraligatr_(Phantom_Forces_17)" TargetMode="External"/><Relationship Id="rId33" Type="http://schemas.openxmlformats.org/officeDocument/2006/relationships/hyperlink" Target="https://bulbapedia.bulbagarden.net/wiki/Gulpin_(Phantom_Forces_37)" TargetMode="External"/><Relationship Id="rId38" Type="http://schemas.openxmlformats.org/officeDocument/2006/relationships/hyperlink" Target="https://bulbapedia.bulbagarden.net/wiki/Lampent_(Phantom_Forces_42)" TargetMode="External"/><Relationship Id="rId59" Type="http://schemas.openxmlformats.org/officeDocument/2006/relationships/hyperlink" Target="https://bulbapedia.bulbagarden.net/wiki/Klefki_(Phantom_Forces_66)" TargetMode="External"/><Relationship Id="rId103" Type="http://schemas.openxmlformats.org/officeDocument/2006/relationships/hyperlink" Target="https://bulbapedia.bulbagarden.net/wiki/Double_Colorless_Energy_(Phantom_Forces_111)" TargetMode="External"/><Relationship Id="rId20" Type="http://schemas.openxmlformats.org/officeDocument/2006/relationships/hyperlink" Target="https://bulbapedia.bulbagarden.net/wiki/Frillish_(Phantom_Forces_20)" TargetMode="External"/><Relationship Id="rId41" Type="http://schemas.openxmlformats.org/officeDocument/2006/relationships/hyperlink" Target="https://bulbapedia.bulbagarden.net/wiki/Gourgeist_(Phantom_Forces_45)" TargetMode="External"/><Relationship Id="rId54" Type="http://schemas.openxmlformats.org/officeDocument/2006/relationships/hyperlink" Target="https://bulbapedia.bulbagarden.net/wiki/Skarmory_(Phantom_Forces_59)" TargetMode="External"/><Relationship Id="rId62" Type="http://schemas.openxmlformats.org/officeDocument/2006/relationships/hyperlink" Target="https://bulbapedia.bulbagarden.net/wiki/Dedenne_(Phantom_Forces_70)" TargetMode="External"/><Relationship Id="rId70" Type="http://schemas.openxmlformats.org/officeDocument/2006/relationships/hyperlink" Target="https://bulbapedia.bulbagarden.net/wiki/Spearow_(Phantom_Forces_78)" TargetMode="External"/><Relationship Id="rId75" Type="http://schemas.openxmlformats.org/officeDocument/2006/relationships/hyperlink" Target="https://bulbapedia.bulbagarden.net/wiki/Whismur_(Phantom_Forces_83)" TargetMode="External"/><Relationship Id="rId83" Type="http://schemas.openxmlformats.org/officeDocument/2006/relationships/hyperlink" Target="https://bulbapedia.bulbagarden.net/wiki/AZ_(Phantom_Forces_91)" TargetMode="External"/><Relationship Id="rId88" Type="http://schemas.openxmlformats.org/officeDocument/2006/relationships/hyperlink" Target="https://bulbapedia.bulbagarden.net/wiki/Hand_Scope_(Phantom_Forces_96)" TargetMode="External"/><Relationship Id="rId91" Type="http://schemas.openxmlformats.org/officeDocument/2006/relationships/hyperlink" Target="https://bulbapedia.bulbagarden.net/wiki/Lysandre%27s_Trump_Card_(Phantom_Forces_99)" TargetMode="External"/><Relationship Id="rId96" Type="http://schemas.openxmlformats.org/officeDocument/2006/relationships/hyperlink" Target="https://bulbapedia.bulbagarden.net/wiki/Shauna_(Phantom_Forces_104)" TargetMode="External"/><Relationship Id="rId1" Type="http://schemas.openxmlformats.org/officeDocument/2006/relationships/hyperlink" Target="https://bulbapedia.bulbagarden.net/wiki/Venonat_(Phantom_Forces_1)" TargetMode="External"/><Relationship Id="rId6" Type="http://schemas.openxmlformats.org/officeDocument/2006/relationships/hyperlink" Target="https://bulbapedia.bulbagarden.net/wiki/Swadloon_(Phantom_Forces_6)" TargetMode="External"/><Relationship Id="rId15" Type="http://schemas.openxmlformats.org/officeDocument/2006/relationships/hyperlink" Target="https://bulbapedia.bulbagarden.net/wiki/Totodile_(Phantom_Forces_15)" TargetMode="External"/><Relationship Id="rId23" Type="http://schemas.openxmlformats.org/officeDocument/2006/relationships/hyperlink" Target="https://bulbapedia.bulbagarden.net/wiki/Pachirisu_(Phantom_Forces_25)" TargetMode="External"/><Relationship Id="rId28" Type="http://schemas.openxmlformats.org/officeDocument/2006/relationships/hyperlink" Target="https://bulbapedia.bulbagarden.net/wiki/Heliolisk_(Phantom_Forces_30)" TargetMode="External"/><Relationship Id="rId36" Type="http://schemas.openxmlformats.org/officeDocument/2006/relationships/hyperlink" Target="https://bulbapedia.bulbagarden.net/wiki/Musharna_(Phantom_Forces_40)" TargetMode="External"/><Relationship Id="rId49" Type="http://schemas.openxmlformats.org/officeDocument/2006/relationships/hyperlink" Target="https://bulbapedia.bulbagarden.net/wiki/Poochyena_(Phantom_Forces_53)" TargetMode="External"/><Relationship Id="rId57" Type="http://schemas.openxmlformats.org/officeDocument/2006/relationships/hyperlink" Target="https://bulbapedia.bulbagarden.net/wiki/Heatran_(Phantom_Forces_63)" TargetMode="External"/><Relationship Id="rId106" Type="http://schemas.openxmlformats.org/officeDocument/2006/relationships/hyperlink" Target="https://bulbapedia.bulbagarden.net/wiki/Lysandre%27s_Trump_Card_(Phantom_Forces_118)" TargetMode="External"/><Relationship Id="rId10" Type="http://schemas.openxmlformats.org/officeDocument/2006/relationships/hyperlink" Target="https://bulbapedia.bulbagarden.net/wiki/Talonflame_(Phantom_Forces_10)" TargetMode="External"/><Relationship Id="rId31" Type="http://schemas.openxmlformats.org/officeDocument/2006/relationships/hyperlink" Target="https://bulbapedia.bulbagarden.net/wiki/Crobat_(Phantom_Forces_33)" TargetMode="External"/><Relationship Id="rId44" Type="http://schemas.openxmlformats.org/officeDocument/2006/relationships/hyperlink" Target="https://bulbapedia.bulbagarden.net/wiki/Roggenrola_(Phantom_Forces_48)" TargetMode="External"/><Relationship Id="rId52" Type="http://schemas.openxmlformats.org/officeDocument/2006/relationships/hyperlink" Target="https://bulbapedia.bulbagarden.net/wiki/Purrloin_(Phantom_Forces_56)" TargetMode="External"/><Relationship Id="rId60" Type="http://schemas.openxmlformats.org/officeDocument/2006/relationships/hyperlink" Target="https://bulbapedia.bulbagarden.net/wiki/Swirlix_(Phantom_Forces_68)" TargetMode="External"/><Relationship Id="rId65" Type="http://schemas.openxmlformats.org/officeDocument/2006/relationships/hyperlink" Target="https://bulbapedia.bulbagarden.net/wiki/Zweilous_(Phantom_Forces_73)" TargetMode="External"/><Relationship Id="rId73" Type="http://schemas.openxmlformats.org/officeDocument/2006/relationships/hyperlink" Target="https://bulbapedia.bulbagarden.net/wiki/Blissey_(Phantom_Forces_81)" TargetMode="External"/><Relationship Id="rId78" Type="http://schemas.openxmlformats.org/officeDocument/2006/relationships/hyperlink" Target="https://bulbapedia.bulbagarden.net/wiki/Regigigas_(Phantom_Forces_86)" TargetMode="External"/><Relationship Id="rId81" Type="http://schemas.openxmlformats.org/officeDocument/2006/relationships/hyperlink" Target="https://bulbapedia.bulbagarden.net/wiki/Fletchling_(Phantom_Forces_89)" TargetMode="External"/><Relationship Id="rId86" Type="http://schemas.openxmlformats.org/officeDocument/2006/relationships/hyperlink" Target="https://bulbapedia.bulbagarden.net/wiki/Enhanced_Hammer_(Phantom_Forces_94)" TargetMode="External"/><Relationship Id="rId94" Type="http://schemas.openxmlformats.org/officeDocument/2006/relationships/hyperlink" Target="https://bulbapedia.bulbagarden.net/wiki/Robo_Substitute_(Phantom_Forces_102)" TargetMode="External"/><Relationship Id="rId99" Type="http://schemas.openxmlformats.org/officeDocument/2006/relationships/hyperlink" Target="https://bulbapedia.bulbagarden.net/wiki/Tierno_(Phantom_Forces_107)" TargetMode="External"/><Relationship Id="rId101" Type="http://schemas.openxmlformats.org/officeDocument/2006/relationships/hyperlink" Target="https://bulbapedia.bulbagarden.net/wiki/VS_Seeker_(Phantom_Forces_109)" TargetMode="External"/><Relationship Id="rId4" Type="http://schemas.openxmlformats.org/officeDocument/2006/relationships/hyperlink" Target="https://bulbapedia.bulbagarden.net/wiki/Yanmega_(Phantom_Forces_4)" TargetMode="External"/><Relationship Id="rId9" Type="http://schemas.openxmlformats.org/officeDocument/2006/relationships/hyperlink" Target="https://bulbapedia.bulbagarden.net/wiki/Fletchinder_(Phantom_Forces_9)" TargetMode="External"/><Relationship Id="rId13" Type="http://schemas.openxmlformats.org/officeDocument/2006/relationships/hyperlink" Target="https://bulbapedia.bulbagarden.net/wiki/Krabby_(Phantom_Forces_13)" TargetMode="External"/><Relationship Id="rId18" Type="http://schemas.openxmlformats.org/officeDocument/2006/relationships/hyperlink" Target="https://bulbapedia.bulbagarden.net/wiki/Finneon_(Phantom_Forces_18)" TargetMode="External"/><Relationship Id="rId39" Type="http://schemas.openxmlformats.org/officeDocument/2006/relationships/hyperlink" Target="https://bulbapedia.bulbagarden.net/wiki/Chandelure_(Phantom_Forces_43)" TargetMode="External"/><Relationship Id="rId34" Type="http://schemas.openxmlformats.org/officeDocument/2006/relationships/hyperlink" Target="https://bulbapedia.bulbagarden.net/wiki/Swalot_(Phantom_Forces_38)" TargetMode="External"/><Relationship Id="rId50" Type="http://schemas.openxmlformats.org/officeDocument/2006/relationships/hyperlink" Target="https://bulbapedia.bulbagarden.net/wiki/Mightyena_(Phantom_Forces_54)" TargetMode="External"/><Relationship Id="rId55" Type="http://schemas.openxmlformats.org/officeDocument/2006/relationships/hyperlink" Target="https://bulbapedia.bulbagarden.net/wiki/Bronzor_(Phantom_Forces_60)" TargetMode="External"/><Relationship Id="rId76" Type="http://schemas.openxmlformats.org/officeDocument/2006/relationships/hyperlink" Target="https://bulbapedia.bulbagarden.net/wiki/Loudred_(Phantom_Forces_84)" TargetMode="External"/><Relationship Id="rId97" Type="http://schemas.openxmlformats.org/officeDocument/2006/relationships/hyperlink" Target="https://bulbapedia.bulbagarden.net/wiki/Steel_Shelter_(Phantom_Forces_105)" TargetMode="External"/><Relationship Id="rId104" Type="http://schemas.openxmlformats.org/officeDocument/2006/relationships/hyperlink" Target="https://bulbapedia.bulbagarden.net/wiki/Mystery_Energy_(Phantom_Forces_112)" TargetMode="External"/><Relationship Id="rId7" Type="http://schemas.openxmlformats.org/officeDocument/2006/relationships/hyperlink" Target="https://bulbapedia.bulbagarden.net/wiki/Leavanny_(Phantom_Forces_7)" TargetMode="External"/><Relationship Id="rId71" Type="http://schemas.openxmlformats.org/officeDocument/2006/relationships/hyperlink" Target="https://bulbapedia.bulbagarden.net/wiki/Fearow_(Phantom_Forces_79)" TargetMode="External"/><Relationship Id="rId92" Type="http://schemas.openxmlformats.org/officeDocument/2006/relationships/hyperlink" Target="https://bulbapedia.bulbagarden.net/wiki/Manectric_Spirit_Link_(Phantom_Forces_100)" TargetMode="External"/><Relationship Id="rId2" Type="http://schemas.openxmlformats.org/officeDocument/2006/relationships/hyperlink" Target="https://bulbapedia.bulbagarden.net/wiki/Venomoth_(Phantom_Forces_2)" TargetMode="External"/><Relationship Id="rId29" Type="http://schemas.openxmlformats.org/officeDocument/2006/relationships/hyperlink" Target="https://bulbapedia.bulbagarden.net/wiki/Zubat_(Phantom_Forces_31)" TargetMode="External"/><Relationship Id="rId24" Type="http://schemas.openxmlformats.org/officeDocument/2006/relationships/hyperlink" Target="https://bulbapedia.bulbagarden.net/wiki/Joltik_(Phantom_Forces_26)" TargetMode="External"/><Relationship Id="rId40" Type="http://schemas.openxmlformats.org/officeDocument/2006/relationships/hyperlink" Target="https://bulbapedia.bulbagarden.net/wiki/Pumpkaboo_(Phantom_Forces_44)" TargetMode="External"/><Relationship Id="rId45" Type="http://schemas.openxmlformats.org/officeDocument/2006/relationships/hyperlink" Target="https://bulbapedia.bulbagarden.net/wiki/Boldore_(Phantom_Forces_49)" TargetMode="External"/><Relationship Id="rId66" Type="http://schemas.openxmlformats.org/officeDocument/2006/relationships/hyperlink" Target="https://bulbapedia.bulbagarden.net/wiki/Hydreigon_(Phantom_Forces_74)" TargetMode="External"/><Relationship Id="rId87" Type="http://schemas.openxmlformats.org/officeDocument/2006/relationships/hyperlink" Target="https://bulbapedia.bulbagarden.net/wiki/Gengar_Spirit_Link_(Phantom_Forces_95)" TargetMode="External"/><Relationship Id="rId61" Type="http://schemas.openxmlformats.org/officeDocument/2006/relationships/hyperlink" Target="https://bulbapedia.bulbagarden.net/wiki/Slurpuff_(Phantom_Forces_69)" TargetMode="External"/><Relationship Id="rId82" Type="http://schemas.openxmlformats.org/officeDocument/2006/relationships/hyperlink" Target="https://bulbapedia.bulbagarden.net/wiki/Furfrou_(Phantom_Forces_90)" TargetMode="External"/><Relationship Id="rId19" Type="http://schemas.openxmlformats.org/officeDocument/2006/relationships/hyperlink" Target="https://bulbapedia.bulbagarden.net/wiki/Lumineon_(Phantom_Forces_19)" TargetMode="External"/><Relationship Id="rId14" Type="http://schemas.openxmlformats.org/officeDocument/2006/relationships/hyperlink" Target="https://bulbapedia.bulbagarden.net/wiki/Kingler_(Phantom_Forces_14)" TargetMode="External"/><Relationship Id="rId30" Type="http://schemas.openxmlformats.org/officeDocument/2006/relationships/hyperlink" Target="https://bulbapedia.bulbagarden.net/wiki/Golbat_(Phantom_Forces_32)" TargetMode="External"/><Relationship Id="rId35" Type="http://schemas.openxmlformats.org/officeDocument/2006/relationships/hyperlink" Target="https://bulbapedia.bulbagarden.net/wiki/Munna_(Phantom_Forces_39)" TargetMode="External"/><Relationship Id="rId56" Type="http://schemas.openxmlformats.org/officeDocument/2006/relationships/hyperlink" Target="https://bulbapedia.bulbagarden.net/wiki/Bronzong_(Phantom_Forces_61)" TargetMode="External"/><Relationship Id="rId77" Type="http://schemas.openxmlformats.org/officeDocument/2006/relationships/hyperlink" Target="https://bulbapedia.bulbagarden.net/wiki/Exploud_(Phantom_Forces_85)" TargetMode="External"/><Relationship Id="rId100" Type="http://schemas.openxmlformats.org/officeDocument/2006/relationships/hyperlink" Target="https://bulbapedia.bulbagarden.net/wiki/Trick_Coin_(Phantom_Forces_108)" TargetMode="External"/><Relationship Id="rId105" Type="http://schemas.openxmlformats.org/officeDocument/2006/relationships/hyperlink" Target="https://bulbapedia.bulbagarden.net/wiki/AZ_(Phantom_Forces_117)" TargetMode="External"/><Relationship Id="rId8" Type="http://schemas.openxmlformats.org/officeDocument/2006/relationships/hyperlink" Target="https://bulbapedia.bulbagarden.net/wiki/Karrablast_(Phantom_Forces_8)" TargetMode="External"/><Relationship Id="rId51" Type="http://schemas.openxmlformats.org/officeDocument/2006/relationships/hyperlink" Target="https://bulbapedia.bulbagarden.net/wiki/Spiritomb_(Phantom_Forces_55)" TargetMode="External"/><Relationship Id="rId72" Type="http://schemas.openxmlformats.org/officeDocument/2006/relationships/hyperlink" Target="https://bulbapedia.bulbagarden.net/wiki/Chansey_(Phantom_Forces_80)" TargetMode="External"/><Relationship Id="rId93" Type="http://schemas.openxmlformats.org/officeDocument/2006/relationships/hyperlink" Target="https://bulbapedia.bulbagarden.net/wiki/Professor_Sycamore_(Phantom_Forces_101)" TargetMode="External"/><Relationship Id="rId98" Type="http://schemas.openxmlformats.org/officeDocument/2006/relationships/hyperlink" Target="https://bulbapedia.bulbagarden.net/wiki/Target_Whistle_(Phantom_Forces_106)" TargetMode="External"/><Relationship Id="rId3" Type="http://schemas.openxmlformats.org/officeDocument/2006/relationships/hyperlink" Target="https://bulbapedia.bulbagarden.net/wiki/Yanma_(Phantom_Forces_3)" TargetMode="External"/><Relationship Id="rId25" Type="http://schemas.openxmlformats.org/officeDocument/2006/relationships/hyperlink" Target="https://bulbapedia.bulbagarden.net/wiki/Galvantula_(Phantom_Forces_27)" TargetMode="External"/><Relationship Id="rId46" Type="http://schemas.openxmlformats.org/officeDocument/2006/relationships/hyperlink" Target="https://bulbapedia.bulbagarden.net/wiki/Gigalith_(Phantom_Forces_50)" TargetMode="External"/><Relationship Id="rId67" Type="http://schemas.openxmlformats.org/officeDocument/2006/relationships/hyperlink" Target="https://bulbapedia.bulbagarden.net/wiki/Goomy_(Phantom_Forces_75)" TargetMode="External"/></Relationships>
</file>

<file path=xl/worksheets/_rels/sheet55.xml.rels><?xml version="1.0" encoding="UTF-8" standalone="yes"?>
<Relationships xmlns="http://schemas.openxmlformats.org/package/2006/relationships"><Relationship Id="rId117" Type="http://schemas.openxmlformats.org/officeDocument/2006/relationships/hyperlink" Target="https://bulbapedia.bulbagarden.net/wiki/Fresh_Water_Set_(Primal_Clash_129)" TargetMode="External"/><Relationship Id="rId21" Type="http://schemas.openxmlformats.org/officeDocument/2006/relationships/hyperlink" Target="https://bulbapedia.bulbagarden.net/wiki/Slugma_(Primal_Clash_22)" TargetMode="External"/><Relationship Id="rId42" Type="http://schemas.openxmlformats.org/officeDocument/2006/relationships/hyperlink" Target="https://bulbapedia.bulbagarden.net/wiki/Spheal_(Primal_Clash_45)" TargetMode="External"/><Relationship Id="rId63" Type="http://schemas.openxmlformats.org/officeDocument/2006/relationships/hyperlink" Target="https://bulbapedia.bulbagarden.net/wiki/Nidoqueen_(Primal_Clash_68)" TargetMode="External"/><Relationship Id="rId84" Type="http://schemas.openxmlformats.org/officeDocument/2006/relationships/hyperlink" Target="https://bulbapedia.bulbagarden.net/wiki/Crawdaunt_(Primal_Clash_92)" TargetMode="External"/><Relationship Id="rId138" Type="http://schemas.openxmlformats.org/officeDocument/2006/relationships/hyperlink" Target="https://bulbapedia.bulbagarden.net/wiki/Enhanced_Hammer_(Primal_Clash_162)" TargetMode="External"/><Relationship Id="rId16" Type="http://schemas.openxmlformats.org/officeDocument/2006/relationships/hyperlink" Target="https://bulbapedia.bulbagarden.net/wiki/Breloom_(Primal_Clash_16)" TargetMode="External"/><Relationship Id="rId107" Type="http://schemas.openxmlformats.org/officeDocument/2006/relationships/hyperlink" Target="https://bulbapedia.bulbagarden.net/wiki/Bouffalant_(Primal_Clash_119)" TargetMode="External"/><Relationship Id="rId11" Type="http://schemas.openxmlformats.org/officeDocument/2006/relationships/hyperlink" Target="https://bulbapedia.bulbagarden.net/wiki/Lombre_(Primal_Clash_11)" TargetMode="External"/><Relationship Id="rId32" Type="http://schemas.openxmlformats.org/officeDocument/2006/relationships/hyperlink" Target="https://bulbapedia.bulbagarden.net/wiki/Marshtomp_(Primal_Clash_34)" TargetMode="External"/><Relationship Id="rId37" Type="http://schemas.openxmlformats.org/officeDocument/2006/relationships/hyperlink" Target="https://bulbapedia.bulbagarden.net/wiki/Whiscash_(Primal_Clash_40)" TargetMode="External"/><Relationship Id="rId53" Type="http://schemas.openxmlformats.org/officeDocument/2006/relationships/hyperlink" Target="https://bulbapedia.bulbagarden.net/wiki/Lanturn_(Primal_Clash_58)" TargetMode="External"/><Relationship Id="rId58" Type="http://schemas.openxmlformats.org/officeDocument/2006/relationships/hyperlink" Target="https://bulbapedia.bulbagarden.net/wiki/Eelektrik_(Primal_Clash_63)" TargetMode="External"/><Relationship Id="rId74" Type="http://schemas.openxmlformats.org/officeDocument/2006/relationships/hyperlink" Target="https://bulbapedia.bulbagarden.net/wiki/Meditite_(Primal_Clash_79)" TargetMode="External"/><Relationship Id="rId79" Type="http://schemas.openxmlformats.org/officeDocument/2006/relationships/hyperlink" Target="https://bulbapedia.bulbagarden.net/wiki/Groudon_(Primal_Clash_84)" TargetMode="External"/><Relationship Id="rId102" Type="http://schemas.openxmlformats.org/officeDocument/2006/relationships/hyperlink" Target="https://bulbapedia.bulbagarden.net/wiki/Delcatty_(Primal_Clash_114)" TargetMode="External"/><Relationship Id="rId123" Type="http://schemas.openxmlformats.org/officeDocument/2006/relationships/hyperlink" Target="https://bulbapedia.bulbagarden.net/wiki/Rare_Candy_(Primal_Clash_135)" TargetMode="External"/><Relationship Id="rId128" Type="http://schemas.openxmlformats.org/officeDocument/2006/relationships/hyperlink" Target="https://bulbapedia.bulbagarden.net/wiki/Silent_Lab_(Primal_Clash_140)" TargetMode="External"/><Relationship Id="rId5" Type="http://schemas.openxmlformats.org/officeDocument/2006/relationships/hyperlink" Target="https://bulbapedia.bulbagarden.net/wiki/Tangrowth_(Primal_Clash_5)" TargetMode="External"/><Relationship Id="rId90" Type="http://schemas.openxmlformats.org/officeDocument/2006/relationships/hyperlink" Target="https://bulbapedia.bulbagarden.net/wiki/Aegislash_(Primal_Clash_100)" TargetMode="External"/><Relationship Id="rId95" Type="http://schemas.openxmlformats.org/officeDocument/2006/relationships/hyperlink" Target="https://bulbapedia.bulbagarden.net/wiki/Kingdra_(Primal_Clash_107)" TargetMode="External"/><Relationship Id="rId22" Type="http://schemas.openxmlformats.org/officeDocument/2006/relationships/hyperlink" Target="https://bulbapedia.bulbagarden.net/wiki/Magcargo_(Primal_Clash_23)" TargetMode="External"/><Relationship Id="rId27" Type="http://schemas.openxmlformats.org/officeDocument/2006/relationships/hyperlink" Target="https://bulbapedia.bulbagarden.net/wiki/Blaziken_(Primal_Clash_28)" TargetMode="External"/><Relationship Id="rId43" Type="http://schemas.openxmlformats.org/officeDocument/2006/relationships/hyperlink" Target="https://bulbapedia.bulbagarden.net/wiki/Spheal_(Primal_Clash_46)" TargetMode="External"/><Relationship Id="rId48" Type="http://schemas.openxmlformats.org/officeDocument/2006/relationships/hyperlink" Target="https://bulbapedia.bulbagarden.net/wiki/Gorebyss_(Primal_Clash_51)" TargetMode="External"/><Relationship Id="rId64" Type="http://schemas.openxmlformats.org/officeDocument/2006/relationships/hyperlink" Target="https://bulbapedia.bulbagarden.net/wiki/Nidoqueen_(Primal_Clash_69)" TargetMode="External"/><Relationship Id="rId69" Type="http://schemas.openxmlformats.org/officeDocument/2006/relationships/hyperlink" Target="https://bulbapedia.bulbagarden.net/wiki/Rhyhorn_(Primal_Clash_74)" TargetMode="External"/><Relationship Id="rId113" Type="http://schemas.openxmlformats.org/officeDocument/2006/relationships/hyperlink" Target="https://bulbapedia.bulbagarden.net/wiki/Dive_Ball_(Primal_Clash_125)" TargetMode="External"/><Relationship Id="rId118" Type="http://schemas.openxmlformats.org/officeDocument/2006/relationships/hyperlink" Target="https://bulbapedia.bulbagarden.net/wiki/Gardevoir_Spirit_Link_(Primal_Clash_130)" TargetMode="External"/><Relationship Id="rId134" Type="http://schemas.openxmlformats.org/officeDocument/2006/relationships/hyperlink" Target="https://bulbapedia.bulbagarden.net/wiki/Maxie%27s_Hidden_Ball_Trick_(Primal_Clash_158)" TargetMode="External"/><Relationship Id="rId139" Type="http://schemas.openxmlformats.org/officeDocument/2006/relationships/hyperlink" Target="https://bulbapedia.bulbagarden.net/wiki/Switch_(Primal_Clash_163)" TargetMode="External"/><Relationship Id="rId80" Type="http://schemas.openxmlformats.org/officeDocument/2006/relationships/hyperlink" Target="https://bulbapedia.bulbagarden.net/wiki/Hippopotas_(Primal_Clash_87)" TargetMode="External"/><Relationship Id="rId85" Type="http://schemas.openxmlformats.org/officeDocument/2006/relationships/hyperlink" Target="https://bulbapedia.bulbagarden.net/wiki/Probopass_(Primal_Clash_95)" TargetMode="External"/><Relationship Id="rId12" Type="http://schemas.openxmlformats.org/officeDocument/2006/relationships/hyperlink" Target="https://bulbapedia.bulbagarden.net/wiki/Ludicolo_(Primal_Clash_12)" TargetMode="External"/><Relationship Id="rId17" Type="http://schemas.openxmlformats.org/officeDocument/2006/relationships/hyperlink" Target="https://bulbapedia.bulbagarden.net/wiki/Volbeat_(Primal_Clash_17)" TargetMode="External"/><Relationship Id="rId33" Type="http://schemas.openxmlformats.org/officeDocument/2006/relationships/hyperlink" Target="https://bulbapedia.bulbagarden.net/wiki/Swampert_(Primal_Clash_35)" TargetMode="External"/><Relationship Id="rId38" Type="http://schemas.openxmlformats.org/officeDocument/2006/relationships/hyperlink" Target="https://bulbapedia.bulbagarden.net/wiki/Whiscash_(Primal_Clash_41)" TargetMode="External"/><Relationship Id="rId59" Type="http://schemas.openxmlformats.org/officeDocument/2006/relationships/hyperlink" Target="https://bulbapedia.bulbagarden.net/wiki/Eelektrik_(Primal_Clash_64)" TargetMode="External"/><Relationship Id="rId103" Type="http://schemas.openxmlformats.org/officeDocument/2006/relationships/hyperlink" Target="https://bulbapedia.bulbagarden.net/wiki/Spinda_(Primal_Clash_115)" TargetMode="External"/><Relationship Id="rId108" Type="http://schemas.openxmlformats.org/officeDocument/2006/relationships/hyperlink" Target="https://bulbapedia.bulbagarden.net/wiki/Bunnelby_(Primal_Clash_120)" TargetMode="External"/><Relationship Id="rId124" Type="http://schemas.openxmlformats.org/officeDocument/2006/relationships/hyperlink" Target="https://bulbapedia.bulbagarden.net/wiki/Repeat_Ball_(Primal_Clash_136)" TargetMode="External"/><Relationship Id="rId129" Type="http://schemas.openxmlformats.org/officeDocument/2006/relationships/hyperlink" Target="https://bulbapedia.bulbagarden.net/wiki/Teammates_(Primal_Clash_141)" TargetMode="External"/><Relationship Id="rId54" Type="http://schemas.openxmlformats.org/officeDocument/2006/relationships/hyperlink" Target="https://bulbapedia.bulbagarden.net/wiki/Electrike_(Primal_Clash_59)" TargetMode="External"/><Relationship Id="rId70" Type="http://schemas.openxmlformats.org/officeDocument/2006/relationships/hyperlink" Target="https://bulbapedia.bulbagarden.net/wiki/Rhydon_(Primal_Clash_75)" TargetMode="External"/><Relationship Id="rId75" Type="http://schemas.openxmlformats.org/officeDocument/2006/relationships/hyperlink" Target="https://bulbapedia.bulbagarden.net/wiki/Medicham_(Primal_Clash_80)" TargetMode="External"/><Relationship Id="rId91" Type="http://schemas.openxmlformats.org/officeDocument/2006/relationships/hyperlink" Target="https://bulbapedia.bulbagarden.net/wiki/Mr._Mime_(Primal_Clash_101)" TargetMode="External"/><Relationship Id="rId96" Type="http://schemas.openxmlformats.org/officeDocument/2006/relationships/hyperlink" Target="https://bulbapedia.bulbagarden.net/wiki/Kingdra_(Primal_Clash_108)" TargetMode="External"/><Relationship Id="rId140" Type="http://schemas.openxmlformats.org/officeDocument/2006/relationships/hyperlink" Target="https://bulbapedia.bulbagarden.net/wiki/Weakness_Policy_(Primal_Clash_164)" TargetMode="External"/><Relationship Id="rId1" Type="http://schemas.openxmlformats.org/officeDocument/2006/relationships/hyperlink" Target="https://bulbapedia.bulbagarden.net/wiki/Weedle_(Primal_Clash_1)" TargetMode="External"/><Relationship Id="rId6" Type="http://schemas.openxmlformats.org/officeDocument/2006/relationships/hyperlink" Target="https://bulbapedia.bulbagarden.net/wiki/Treecko_(Primal_Clash_6)" TargetMode="External"/><Relationship Id="rId23" Type="http://schemas.openxmlformats.org/officeDocument/2006/relationships/hyperlink" Target="https://bulbapedia.bulbagarden.net/wiki/Magcargo_(Primal_Clash_24)" TargetMode="External"/><Relationship Id="rId28" Type="http://schemas.openxmlformats.org/officeDocument/2006/relationships/hyperlink" Target="https://bulbapedia.bulbagarden.net/wiki/Horsea_(Primal_Clash_30)" TargetMode="External"/><Relationship Id="rId49" Type="http://schemas.openxmlformats.org/officeDocument/2006/relationships/hyperlink" Target="https://bulbapedia.bulbagarden.net/wiki/Gorebyss_(Primal_Clash_52)" TargetMode="External"/><Relationship Id="rId114" Type="http://schemas.openxmlformats.org/officeDocument/2006/relationships/hyperlink" Target="https://bulbapedia.bulbagarden.net/wiki/Energy_Retrieval_(Primal_Clash_126)" TargetMode="External"/><Relationship Id="rId119" Type="http://schemas.openxmlformats.org/officeDocument/2006/relationships/hyperlink" Target="https://bulbapedia.bulbagarden.net/wiki/Groudon_Spirit_Link_(Primal_Clash_131)" TargetMode="External"/><Relationship Id="rId44" Type="http://schemas.openxmlformats.org/officeDocument/2006/relationships/hyperlink" Target="https://bulbapedia.bulbagarden.net/wiki/Sealeo_(Primal_Clash_47)" TargetMode="External"/><Relationship Id="rId60" Type="http://schemas.openxmlformats.org/officeDocument/2006/relationships/hyperlink" Target="https://bulbapedia.bulbagarden.net/wiki/Eelektross_(Primal_Clash_65)" TargetMode="External"/><Relationship Id="rId65" Type="http://schemas.openxmlformats.org/officeDocument/2006/relationships/hyperlink" Target="https://bulbapedia.bulbagarden.net/wiki/Tentacool_(Primal_Clash_70)" TargetMode="External"/><Relationship Id="rId81" Type="http://schemas.openxmlformats.org/officeDocument/2006/relationships/hyperlink" Target="https://bulbapedia.bulbagarden.net/wiki/Hippowdon_(Primal_Clash_88)" TargetMode="External"/><Relationship Id="rId86" Type="http://schemas.openxmlformats.org/officeDocument/2006/relationships/hyperlink" Target="https://bulbapedia.bulbagarden.net/wiki/Excadrill_(Primal_Clash_96)" TargetMode="External"/><Relationship Id="rId130" Type="http://schemas.openxmlformats.org/officeDocument/2006/relationships/hyperlink" Target="https://bulbapedia.bulbagarden.net/wiki/Weakness_Policy_(Primal_Clash_142)" TargetMode="External"/><Relationship Id="rId135" Type="http://schemas.openxmlformats.org/officeDocument/2006/relationships/hyperlink" Target="https://bulbapedia.bulbagarden.net/wiki/Professor_Birch%27s_Observations_(Primal_Clash_159)" TargetMode="External"/><Relationship Id="rId13" Type="http://schemas.openxmlformats.org/officeDocument/2006/relationships/hyperlink" Target="https://bulbapedia.bulbagarden.net/wiki/Surskit_(Primal_Clash_13)" TargetMode="External"/><Relationship Id="rId18" Type="http://schemas.openxmlformats.org/officeDocument/2006/relationships/hyperlink" Target="https://bulbapedia.bulbagarden.net/wiki/Illumise_(Primal_Clash_18)" TargetMode="External"/><Relationship Id="rId39" Type="http://schemas.openxmlformats.org/officeDocument/2006/relationships/hyperlink" Target="https://bulbapedia.bulbagarden.net/wiki/Corphish_(Primal_Clash_42)" TargetMode="External"/><Relationship Id="rId109" Type="http://schemas.openxmlformats.org/officeDocument/2006/relationships/hyperlink" Target="https://bulbapedia.bulbagarden.net/wiki/Bunnelby_(Primal_Clash_121)" TargetMode="External"/><Relationship Id="rId34" Type="http://schemas.openxmlformats.org/officeDocument/2006/relationships/hyperlink" Target="https://bulbapedia.bulbagarden.net/wiki/Swampert_(Primal_Clash_36)" TargetMode="External"/><Relationship Id="rId50" Type="http://schemas.openxmlformats.org/officeDocument/2006/relationships/hyperlink" Target="https://bulbapedia.bulbagarden.net/wiki/Kyogre_(Primal_Clash_53)" TargetMode="External"/><Relationship Id="rId55" Type="http://schemas.openxmlformats.org/officeDocument/2006/relationships/hyperlink" Target="https://bulbapedia.bulbagarden.net/wiki/Electrike_(Primal_Clash_60)" TargetMode="External"/><Relationship Id="rId76" Type="http://schemas.openxmlformats.org/officeDocument/2006/relationships/hyperlink" Target="https://bulbapedia.bulbagarden.net/wiki/Medicham_(Primal_Clash_81)" TargetMode="External"/><Relationship Id="rId97" Type="http://schemas.openxmlformats.org/officeDocument/2006/relationships/hyperlink" Target="https://bulbapedia.bulbagarden.net/wiki/Vibrava_(Primal_Clash_109)" TargetMode="External"/><Relationship Id="rId104" Type="http://schemas.openxmlformats.org/officeDocument/2006/relationships/hyperlink" Target="https://bulbapedia.bulbagarden.net/wiki/Bidoof_(Primal_Clash_116)" TargetMode="External"/><Relationship Id="rId120" Type="http://schemas.openxmlformats.org/officeDocument/2006/relationships/hyperlink" Target="https://bulbapedia.bulbagarden.net/wiki/Kyogre_Spirit_Link_(Primal_Clash_132)" TargetMode="External"/><Relationship Id="rId125" Type="http://schemas.openxmlformats.org/officeDocument/2006/relationships/hyperlink" Target="https://bulbapedia.bulbagarden.net/wiki/Rough_Seas_(Primal_Clash_137)" TargetMode="External"/><Relationship Id="rId7" Type="http://schemas.openxmlformats.org/officeDocument/2006/relationships/hyperlink" Target="https://bulbapedia.bulbagarden.net/wiki/Grovyle_(Primal_Clash_7)" TargetMode="External"/><Relationship Id="rId71" Type="http://schemas.openxmlformats.org/officeDocument/2006/relationships/hyperlink" Target="https://bulbapedia.bulbagarden.net/wiki/Rhyperior_(Primal_Clash_76)" TargetMode="External"/><Relationship Id="rId92" Type="http://schemas.openxmlformats.org/officeDocument/2006/relationships/hyperlink" Target="https://bulbapedia.bulbagarden.net/wiki/Marill_(Primal_Clash_102)" TargetMode="External"/><Relationship Id="rId2" Type="http://schemas.openxmlformats.org/officeDocument/2006/relationships/hyperlink" Target="https://bulbapedia.bulbagarden.net/wiki/Kakuna_(Primal_Clash_2)" TargetMode="External"/><Relationship Id="rId29" Type="http://schemas.openxmlformats.org/officeDocument/2006/relationships/hyperlink" Target="https://bulbapedia.bulbagarden.net/wiki/Seadra_(Primal_Clash_31)" TargetMode="External"/><Relationship Id="rId24" Type="http://schemas.openxmlformats.org/officeDocument/2006/relationships/hyperlink" Target="https://bulbapedia.bulbagarden.net/wiki/Torchic_(Primal_Clash_25)" TargetMode="External"/><Relationship Id="rId40" Type="http://schemas.openxmlformats.org/officeDocument/2006/relationships/hyperlink" Target="https://bulbapedia.bulbagarden.net/wiki/Feebas_(Primal_Clash_43)" TargetMode="External"/><Relationship Id="rId45" Type="http://schemas.openxmlformats.org/officeDocument/2006/relationships/hyperlink" Target="https://bulbapedia.bulbagarden.net/wiki/Walrein_(Primal_Clash_48)" TargetMode="External"/><Relationship Id="rId66" Type="http://schemas.openxmlformats.org/officeDocument/2006/relationships/hyperlink" Target="https://bulbapedia.bulbagarden.net/wiki/Tentacool_(Primal_Clash_71)" TargetMode="External"/><Relationship Id="rId87" Type="http://schemas.openxmlformats.org/officeDocument/2006/relationships/hyperlink" Target="https://bulbapedia.bulbagarden.net/wiki/Excadrill_(Primal_Clash_97)" TargetMode="External"/><Relationship Id="rId110" Type="http://schemas.openxmlformats.org/officeDocument/2006/relationships/hyperlink" Target="https://bulbapedia.bulbagarden.net/wiki/Acro_Bike_(Primal_Clash_122)" TargetMode="External"/><Relationship Id="rId115" Type="http://schemas.openxmlformats.org/officeDocument/2006/relationships/hyperlink" Target="https://bulbapedia.bulbagarden.net/wiki/Escape_Rope_(Primal_Clash_127)" TargetMode="External"/><Relationship Id="rId131" Type="http://schemas.openxmlformats.org/officeDocument/2006/relationships/hyperlink" Target="https://bulbapedia.bulbagarden.net/wiki/Shield_Energy_(Primal_Clash_143)" TargetMode="External"/><Relationship Id="rId136" Type="http://schemas.openxmlformats.org/officeDocument/2006/relationships/hyperlink" Target="https://bulbapedia.bulbagarden.net/wiki/Teammates_(Primal_Clash_160)" TargetMode="External"/><Relationship Id="rId61" Type="http://schemas.openxmlformats.org/officeDocument/2006/relationships/hyperlink" Target="https://bulbapedia.bulbagarden.net/wiki/Nidoran%E2%99%80_(Primal_Clash_66)" TargetMode="External"/><Relationship Id="rId82" Type="http://schemas.openxmlformats.org/officeDocument/2006/relationships/hyperlink" Target="https://bulbapedia.bulbagarden.net/wiki/Drilbur_(Primal_Clash_89)" TargetMode="External"/><Relationship Id="rId19" Type="http://schemas.openxmlformats.org/officeDocument/2006/relationships/hyperlink" Target="https://bulbapedia.bulbagarden.net/wiki/Vulpix_(Primal_Clash_20)" TargetMode="External"/><Relationship Id="rId14" Type="http://schemas.openxmlformats.org/officeDocument/2006/relationships/hyperlink" Target="https://bulbapedia.bulbagarden.net/wiki/Masquerain_(Primal_Clash_14)" TargetMode="External"/><Relationship Id="rId30" Type="http://schemas.openxmlformats.org/officeDocument/2006/relationships/hyperlink" Target="https://bulbapedia.bulbagarden.net/wiki/Staryu_(Primal_Clash_32)" TargetMode="External"/><Relationship Id="rId35" Type="http://schemas.openxmlformats.org/officeDocument/2006/relationships/hyperlink" Target="https://bulbapedia.bulbagarden.net/wiki/Ludicolo_(Primal_Clash_37)" TargetMode="External"/><Relationship Id="rId56" Type="http://schemas.openxmlformats.org/officeDocument/2006/relationships/hyperlink" Target="https://bulbapedia.bulbagarden.net/wiki/Manectric_(Primal_Clash_61)" TargetMode="External"/><Relationship Id="rId77" Type="http://schemas.openxmlformats.org/officeDocument/2006/relationships/hyperlink" Target="https://bulbapedia.bulbagarden.net/wiki/Trapinch_(Primal_Clash_82)" TargetMode="External"/><Relationship Id="rId100" Type="http://schemas.openxmlformats.org/officeDocument/2006/relationships/hyperlink" Target="https://bulbapedia.bulbagarden.net/wiki/Linoone_(Primal_Clash_112)" TargetMode="External"/><Relationship Id="rId105" Type="http://schemas.openxmlformats.org/officeDocument/2006/relationships/hyperlink" Target="https://bulbapedia.bulbagarden.net/wiki/Bidoof_(Primal_Clash_117)" TargetMode="External"/><Relationship Id="rId126" Type="http://schemas.openxmlformats.org/officeDocument/2006/relationships/hyperlink" Target="https://bulbapedia.bulbagarden.net/wiki/Scorched_Earth_(Primal_Clash_138)" TargetMode="External"/><Relationship Id="rId8" Type="http://schemas.openxmlformats.org/officeDocument/2006/relationships/hyperlink" Target="https://bulbapedia.bulbagarden.net/wiki/Sceptile_(Primal_Clash_8)" TargetMode="External"/><Relationship Id="rId51" Type="http://schemas.openxmlformats.org/officeDocument/2006/relationships/hyperlink" Target="https://bulbapedia.bulbagarden.net/wiki/Manaphy_(Primal_Clash_56)" TargetMode="External"/><Relationship Id="rId72" Type="http://schemas.openxmlformats.org/officeDocument/2006/relationships/hyperlink" Target="https://bulbapedia.bulbagarden.net/wiki/Rhyperior_(Primal_Clash_77)" TargetMode="External"/><Relationship Id="rId93" Type="http://schemas.openxmlformats.org/officeDocument/2006/relationships/hyperlink" Target="https://bulbapedia.bulbagarden.net/wiki/Azumarill_(Primal_Clash_103)" TargetMode="External"/><Relationship Id="rId98" Type="http://schemas.openxmlformats.org/officeDocument/2006/relationships/hyperlink" Target="https://bulbapedia.bulbagarden.net/wiki/Flygon_(Primal_Clash_110)" TargetMode="External"/><Relationship Id="rId121" Type="http://schemas.openxmlformats.org/officeDocument/2006/relationships/hyperlink" Target="https://bulbapedia.bulbagarden.net/wiki/Maxie%27s_Hidden_Ball_Trick_(Primal_Clash_133)" TargetMode="External"/><Relationship Id="rId3" Type="http://schemas.openxmlformats.org/officeDocument/2006/relationships/hyperlink" Target="https://bulbapedia.bulbagarden.net/wiki/Beedrill_(Primal_Clash_3)" TargetMode="External"/><Relationship Id="rId25" Type="http://schemas.openxmlformats.org/officeDocument/2006/relationships/hyperlink" Target="https://bulbapedia.bulbagarden.net/wiki/Torchic_(Primal_Clash_26)" TargetMode="External"/><Relationship Id="rId46" Type="http://schemas.openxmlformats.org/officeDocument/2006/relationships/hyperlink" Target="https://bulbapedia.bulbagarden.net/wiki/Clamperl_(Primal_Clash_49)" TargetMode="External"/><Relationship Id="rId67" Type="http://schemas.openxmlformats.org/officeDocument/2006/relationships/hyperlink" Target="https://bulbapedia.bulbagarden.net/wiki/Tentacruel_(Primal_Clash_72)" TargetMode="External"/><Relationship Id="rId116" Type="http://schemas.openxmlformats.org/officeDocument/2006/relationships/hyperlink" Target="https://bulbapedia.bulbagarden.net/wiki/Exp._Share_(Primal_Clash_128)" TargetMode="External"/><Relationship Id="rId137" Type="http://schemas.openxmlformats.org/officeDocument/2006/relationships/hyperlink" Target="https://bulbapedia.bulbagarden.net/wiki/Dive_Ball_(Primal_Clash_161)" TargetMode="External"/><Relationship Id="rId20" Type="http://schemas.openxmlformats.org/officeDocument/2006/relationships/hyperlink" Target="https://bulbapedia.bulbagarden.net/wiki/Ninetales_(Primal_Clash_21)" TargetMode="External"/><Relationship Id="rId41" Type="http://schemas.openxmlformats.org/officeDocument/2006/relationships/hyperlink" Target="https://bulbapedia.bulbagarden.net/wiki/Milotic_(Primal_Clash_44)" TargetMode="External"/><Relationship Id="rId62" Type="http://schemas.openxmlformats.org/officeDocument/2006/relationships/hyperlink" Target="https://bulbapedia.bulbagarden.net/wiki/Nidorina_(Primal_Clash_67)" TargetMode="External"/><Relationship Id="rId83" Type="http://schemas.openxmlformats.org/officeDocument/2006/relationships/hyperlink" Target="https://bulbapedia.bulbagarden.net/wiki/Diggersby_(Primal_Clash_90)" TargetMode="External"/><Relationship Id="rId88" Type="http://schemas.openxmlformats.org/officeDocument/2006/relationships/hyperlink" Target="https://bulbapedia.bulbagarden.net/wiki/Honedge_(Primal_Clash_98)" TargetMode="External"/><Relationship Id="rId111" Type="http://schemas.openxmlformats.org/officeDocument/2006/relationships/hyperlink" Target="https://bulbapedia.bulbagarden.net/wiki/Aggron_Spirit_Link_(Primal_Clash_123)" TargetMode="External"/><Relationship Id="rId132" Type="http://schemas.openxmlformats.org/officeDocument/2006/relationships/hyperlink" Target="https://bulbapedia.bulbagarden.net/wiki/Wonder_Energy_(Primal_Clash_144)" TargetMode="External"/><Relationship Id="rId15" Type="http://schemas.openxmlformats.org/officeDocument/2006/relationships/hyperlink" Target="https://bulbapedia.bulbagarden.net/wiki/Shroomish_(Primal_Clash_15)" TargetMode="External"/><Relationship Id="rId36" Type="http://schemas.openxmlformats.org/officeDocument/2006/relationships/hyperlink" Target="https://bulbapedia.bulbagarden.net/wiki/Barboach_(Primal_Clash_39)" TargetMode="External"/><Relationship Id="rId57" Type="http://schemas.openxmlformats.org/officeDocument/2006/relationships/hyperlink" Target="https://bulbapedia.bulbagarden.net/wiki/Tynamo_(Primal_Clash_62)" TargetMode="External"/><Relationship Id="rId106" Type="http://schemas.openxmlformats.org/officeDocument/2006/relationships/hyperlink" Target="https://bulbapedia.bulbagarden.net/wiki/Bibarel_(Primal_Clash_118)" TargetMode="External"/><Relationship Id="rId127" Type="http://schemas.openxmlformats.org/officeDocument/2006/relationships/hyperlink" Target="https://bulbapedia.bulbagarden.net/wiki/Shrine_of_Memories_(Primal_Clash_139)" TargetMode="External"/><Relationship Id="rId10" Type="http://schemas.openxmlformats.org/officeDocument/2006/relationships/hyperlink" Target="https://bulbapedia.bulbagarden.net/wiki/Lotad_(Primal_Clash_10)" TargetMode="External"/><Relationship Id="rId31" Type="http://schemas.openxmlformats.org/officeDocument/2006/relationships/hyperlink" Target="https://bulbapedia.bulbagarden.net/wiki/Mudkip_(Primal_Clash_33)" TargetMode="External"/><Relationship Id="rId52" Type="http://schemas.openxmlformats.org/officeDocument/2006/relationships/hyperlink" Target="https://bulbapedia.bulbagarden.net/wiki/Chinchou_(Primal_Clash_57)" TargetMode="External"/><Relationship Id="rId73" Type="http://schemas.openxmlformats.org/officeDocument/2006/relationships/hyperlink" Target="https://bulbapedia.bulbagarden.net/wiki/Nosepass_(Primal_Clash_78)" TargetMode="External"/><Relationship Id="rId78" Type="http://schemas.openxmlformats.org/officeDocument/2006/relationships/hyperlink" Target="https://bulbapedia.bulbagarden.net/wiki/Solrock_(Primal_Clash_83)" TargetMode="External"/><Relationship Id="rId94" Type="http://schemas.openxmlformats.org/officeDocument/2006/relationships/hyperlink" Target="https://bulbapedia.bulbagarden.net/wiki/Azumarill_(Primal_Clash_104)" TargetMode="External"/><Relationship Id="rId99" Type="http://schemas.openxmlformats.org/officeDocument/2006/relationships/hyperlink" Target="https://bulbapedia.bulbagarden.net/wiki/Zigzagoon_(Primal_Clash_111)" TargetMode="External"/><Relationship Id="rId101" Type="http://schemas.openxmlformats.org/officeDocument/2006/relationships/hyperlink" Target="https://bulbapedia.bulbagarden.net/wiki/Skitty_(Primal_Clash_113)" TargetMode="External"/><Relationship Id="rId122" Type="http://schemas.openxmlformats.org/officeDocument/2006/relationships/hyperlink" Target="https://bulbapedia.bulbagarden.net/wiki/Professor_Birch%27s_Observations_(Primal_Clash_134)" TargetMode="External"/><Relationship Id="rId4" Type="http://schemas.openxmlformats.org/officeDocument/2006/relationships/hyperlink" Target="https://bulbapedia.bulbagarden.net/wiki/Tangela_(Primal_Clash_4)" TargetMode="External"/><Relationship Id="rId9" Type="http://schemas.openxmlformats.org/officeDocument/2006/relationships/hyperlink" Target="https://bulbapedia.bulbagarden.net/wiki/Sceptile_(Primal_Clash_9)" TargetMode="External"/><Relationship Id="rId26" Type="http://schemas.openxmlformats.org/officeDocument/2006/relationships/hyperlink" Target="https://bulbapedia.bulbagarden.net/wiki/Combusken_(Primal_Clash_27)" TargetMode="External"/><Relationship Id="rId47" Type="http://schemas.openxmlformats.org/officeDocument/2006/relationships/hyperlink" Target="https://bulbapedia.bulbagarden.net/wiki/Huntail_(Primal_Clash_50)" TargetMode="External"/><Relationship Id="rId68" Type="http://schemas.openxmlformats.org/officeDocument/2006/relationships/hyperlink" Target="https://bulbapedia.bulbagarden.net/wiki/Starmie_(Primal_Clash_73)" TargetMode="External"/><Relationship Id="rId89" Type="http://schemas.openxmlformats.org/officeDocument/2006/relationships/hyperlink" Target="https://bulbapedia.bulbagarden.net/wiki/Doublade_(Primal_Clash_99)" TargetMode="External"/><Relationship Id="rId112" Type="http://schemas.openxmlformats.org/officeDocument/2006/relationships/hyperlink" Target="https://bulbapedia.bulbagarden.net/wiki/Archie%27s_Ace_in_the_Hole_(Primal_Clash_124)" TargetMode="External"/><Relationship Id="rId133" Type="http://schemas.openxmlformats.org/officeDocument/2006/relationships/hyperlink" Target="https://bulbapedia.bulbagarden.net/wiki/Archie%27s_Ace_in_the_Hole_(Primal_Clash_157)" TargetMode="External"/></Relationships>
</file>

<file path=xl/worksheets/_rels/sheet56.xml.rels><?xml version="1.0" encoding="UTF-8" standalone="yes"?>
<Relationships xmlns="http://schemas.openxmlformats.org/package/2006/relationships"><Relationship Id="rId13" Type="http://schemas.openxmlformats.org/officeDocument/2006/relationships/hyperlink" Target="https://bulbapedia.bulbagarden.net/wiki/Tangela_(Latias_Half_Deck_13)" TargetMode="External"/><Relationship Id="rId18" Type="http://schemas.openxmlformats.org/officeDocument/2006/relationships/hyperlink" Target="https://bulbapedia.bulbagarden.net/wiki/Grovyle_(Latias_Half_Deck_18)" TargetMode="External"/><Relationship Id="rId26" Type="http://schemas.openxmlformats.org/officeDocument/2006/relationships/hyperlink" Target="https://bulbapedia.bulbagarden.net/wiki/Tangela_(Latias_Half_Deck_26)" TargetMode="External"/><Relationship Id="rId39" Type="http://schemas.openxmlformats.org/officeDocument/2006/relationships/hyperlink" Target="https://bulbapedia.bulbagarden.net/wiki/Fighting_Energy_(Latios_Half_Deck_9)" TargetMode="External"/><Relationship Id="rId21" Type="http://schemas.openxmlformats.org/officeDocument/2006/relationships/hyperlink" Target="https://bulbapedia.bulbagarden.net/wiki/Lombre_(Latias_Half_Deck_21)" TargetMode="External"/><Relationship Id="rId34" Type="http://schemas.openxmlformats.org/officeDocument/2006/relationships/hyperlink" Target="https://bulbapedia.bulbagarden.net/wiki/Rhydon_(Latios_Half_Deck_4)" TargetMode="External"/><Relationship Id="rId42" Type="http://schemas.openxmlformats.org/officeDocument/2006/relationships/hyperlink" Target="https://bulbapedia.bulbagarden.net/wiki/Solrock_(Latios_Half_Deck_12)" TargetMode="External"/><Relationship Id="rId47" Type="http://schemas.openxmlformats.org/officeDocument/2006/relationships/hyperlink" Target="https://bulbapedia.bulbagarden.net/wiki/Fighting_Energy_(Latios_Half_Deck_17)" TargetMode="External"/><Relationship Id="rId50" Type="http://schemas.openxmlformats.org/officeDocument/2006/relationships/hyperlink" Target="https://bulbapedia.bulbagarden.net/wiki/Acro_Bike_(Latios_Half_Deck_20)" TargetMode="External"/><Relationship Id="rId55" Type="http://schemas.openxmlformats.org/officeDocument/2006/relationships/hyperlink" Target="https://bulbapedia.bulbagarden.net/wiki/Rhydon_(Latios_Half_Deck_25)" TargetMode="External"/><Relationship Id="rId7" Type="http://schemas.openxmlformats.org/officeDocument/2006/relationships/hyperlink" Target="https://bulbapedia.bulbagarden.net/wiki/Treecko_(Latias_Half_Deck_7)" TargetMode="External"/><Relationship Id="rId2" Type="http://schemas.openxmlformats.org/officeDocument/2006/relationships/hyperlink" Target="https://bulbapedia.bulbagarden.net/wiki/Grass_Energy_(Latias_Half_Deck_2)" TargetMode="External"/><Relationship Id="rId16" Type="http://schemas.openxmlformats.org/officeDocument/2006/relationships/hyperlink" Target="https://bulbapedia.bulbagarden.net/wiki/Surskit_(Latias_Half_Deck_16)" TargetMode="External"/><Relationship Id="rId29" Type="http://schemas.openxmlformats.org/officeDocument/2006/relationships/hyperlink" Target="https://bulbapedia.bulbagarden.net/wiki/Acro_Bike_(Latias_Half_Deck_29)" TargetMode="External"/><Relationship Id="rId11" Type="http://schemas.openxmlformats.org/officeDocument/2006/relationships/hyperlink" Target="https://bulbapedia.bulbagarden.net/wiki/Lotad_(Latias_Half_Deck_11)" TargetMode="External"/><Relationship Id="rId24" Type="http://schemas.openxmlformats.org/officeDocument/2006/relationships/hyperlink" Target="https://bulbapedia.bulbagarden.net/wiki/Treecko_(Latias_Half_Deck_24)" TargetMode="External"/><Relationship Id="rId32" Type="http://schemas.openxmlformats.org/officeDocument/2006/relationships/hyperlink" Target="https://bulbapedia.bulbagarden.net/wiki/Fighting_Energy_(Latios_Half_Deck_2)" TargetMode="External"/><Relationship Id="rId37" Type="http://schemas.openxmlformats.org/officeDocument/2006/relationships/hyperlink" Target="https://bulbapedia.bulbagarden.net/wiki/Fighting_Energy_(Latios_Half_Deck_7)" TargetMode="External"/><Relationship Id="rId40" Type="http://schemas.openxmlformats.org/officeDocument/2006/relationships/hyperlink" Target="https://bulbapedia.bulbagarden.net/wiki/Fighting_Energy_(Latios_Half_Deck_10)" TargetMode="External"/><Relationship Id="rId45" Type="http://schemas.openxmlformats.org/officeDocument/2006/relationships/hyperlink" Target="https://bulbapedia.bulbagarden.net/wiki/Rhyhorn_(Latios_Half_Deck_15)" TargetMode="External"/><Relationship Id="rId53" Type="http://schemas.openxmlformats.org/officeDocument/2006/relationships/hyperlink" Target="https://bulbapedia.bulbagarden.net/wiki/Rhyhorn_(Latios_Half_Deck_23)" TargetMode="External"/><Relationship Id="rId58" Type="http://schemas.openxmlformats.org/officeDocument/2006/relationships/hyperlink" Target="https://bulbapedia.bulbagarden.net/wiki/Machop_(Latios_Half_Deck_28)" TargetMode="External"/><Relationship Id="rId5" Type="http://schemas.openxmlformats.org/officeDocument/2006/relationships/hyperlink" Target="https://bulbapedia.bulbagarden.net/wiki/Grass_Energy_(Latias_Half_Deck_5)" TargetMode="External"/><Relationship Id="rId19" Type="http://schemas.openxmlformats.org/officeDocument/2006/relationships/hyperlink" Target="https://bulbapedia.bulbagarden.net/wiki/Grass_Energy_(Latias_Half_Deck_19)" TargetMode="External"/><Relationship Id="rId4" Type="http://schemas.openxmlformats.org/officeDocument/2006/relationships/hyperlink" Target="https://bulbapedia.bulbagarden.net/wiki/Fletchling_(Latias_Half_Deck_4)" TargetMode="External"/><Relationship Id="rId9" Type="http://schemas.openxmlformats.org/officeDocument/2006/relationships/hyperlink" Target="https://bulbapedia.bulbagarden.net/wiki/Psychic_Energy_(Latias_Half_Deck_9)" TargetMode="External"/><Relationship Id="rId14" Type="http://schemas.openxmlformats.org/officeDocument/2006/relationships/hyperlink" Target="https://bulbapedia.bulbagarden.net/wiki/Latias_(Latias_Half_Deck_14)" TargetMode="External"/><Relationship Id="rId22" Type="http://schemas.openxmlformats.org/officeDocument/2006/relationships/hyperlink" Target="https://bulbapedia.bulbagarden.net/wiki/Psychic_Energy_(Latias_Half_Deck_22)" TargetMode="External"/><Relationship Id="rId27" Type="http://schemas.openxmlformats.org/officeDocument/2006/relationships/hyperlink" Target="https://bulbapedia.bulbagarden.net/wiki/Grovyle_(Latias_Half_Deck_27)" TargetMode="External"/><Relationship Id="rId30" Type="http://schemas.openxmlformats.org/officeDocument/2006/relationships/hyperlink" Target="https://bulbapedia.bulbagarden.net/wiki/Latias_(Latias_Half_Deck_30)" TargetMode="External"/><Relationship Id="rId35" Type="http://schemas.openxmlformats.org/officeDocument/2006/relationships/hyperlink" Target="https://bulbapedia.bulbagarden.net/wiki/Fighting_Energy_(Latios_Half_Deck_5)" TargetMode="External"/><Relationship Id="rId43" Type="http://schemas.openxmlformats.org/officeDocument/2006/relationships/hyperlink" Target="https://bulbapedia.bulbagarden.net/wiki/Latios_(Latios_Half_Deck_13)" TargetMode="External"/><Relationship Id="rId48" Type="http://schemas.openxmlformats.org/officeDocument/2006/relationships/hyperlink" Target="https://bulbapedia.bulbagarden.net/wiki/Psychic_Energy_(Latios_Half_Deck_18)" TargetMode="External"/><Relationship Id="rId56" Type="http://schemas.openxmlformats.org/officeDocument/2006/relationships/hyperlink" Target="https://bulbapedia.bulbagarden.net/wiki/Solrock_(Latios_Half_Deck_26)" TargetMode="External"/><Relationship Id="rId8" Type="http://schemas.openxmlformats.org/officeDocument/2006/relationships/hyperlink" Target="https://bulbapedia.bulbagarden.net/wiki/Psychic_Energy_(Latias_Half_Deck_8)" TargetMode="External"/><Relationship Id="rId51" Type="http://schemas.openxmlformats.org/officeDocument/2006/relationships/hyperlink" Target="https://bulbapedia.bulbagarden.net/wiki/Potion_(Latios_Half_Deck_21)" TargetMode="External"/><Relationship Id="rId3" Type="http://schemas.openxmlformats.org/officeDocument/2006/relationships/hyperlink" Target="https://bulbapedia.bulbagarden.net/wiki/Grass_Energy_(Latias_Half_Deck_3)" TargetMode="External"/><Relationship Id="rId12" Type="http://schemas.openxmlformats.org/officeDocument/2006/relationships/hyperlink" Target="https://bulbapedia.bulbagarden.net/wiki/Tangrowth_(Latias_Half_Deck_12)" TargetMode="External"/><Relationship Id="rId17" Type="http://schemas.openxmlformats.org/officeDocument/2006/relationships/hyperlink" Target="https://bulbapedia.bulbagarden.net/wiki/Psychic_Energy_(Latias_Half_Deck_17)" TargetMode="External"/><Relationship Id="rId25" Type="http://schemas.openxmlformats.org/officeDocument/2006/relationships/hyperlink" Target="https://bulbapedia.bulbagarden.net/wiki/Tangrowth_(Latias_Half_Deck_25)" TargetMode="External"/><Relationship Id="rId33" Type="http://schemas.openxmlformats.org/officeDocument/2006/relationships/hyperlink" Target="https://bulbapedia.bulbagarden.net/wiki/Fighting_Energy_(Latios_Half_Deck_3)" TargetMode="External"/><Relationship Id="rId38" Type="http://schemas.openxmlformats.org/officeDocument/2006/relationships/hyperlink" Target="https://bulbapedia.bulbagarden.net/wiki/Fighting_Energy_(Latios_Half_Deck_8)" TargetMode="External"/><Relationship Id="rId46" Type="http://schemas.openxmlformats.org/officeDocument/2006/relationships/hyperlink" Target="https://bulbapedia.bulbagarden.net/wiki/Psychic_Energy_(Latios_Half_Deck_16)" TargetMode="External"/><Relationship Id="rId59" Type="http://schemas.openxmlformats.org/officeDocument/2006/relationships/hyperlink" Target="https://bulbapedia.bulbagarden.net/wiki/Psychic_Energy_(Latios_Half_Deck_29)" TargetMode="External"/><Relationship Id="rId20" Type="http://schemas.openxmlformats.org/officeDocument/2006/relationships/hyperlink" Target="https://bulbapedia.bulbagarden.net/wiki/Acro_Bike_(Latias_Half_Deck_20)" TargetMode="External"/><Relationship Id="rId41" Type="http://schemas.openxmlformats.org/officeDocument/2006/relationships/hyperlink" Target="https://bulbapedia.bulbagarden.net/wiki/Machop_(Latios_Half_Deck_11)" TargetMode="External"/><Relationship Id="rId54" Type="http://schemas.openxmlformats.org/officeDocument/2006/relationships/hyperlink" Target="https://bulbapedia.bulbagarden.net/wiki/Delcatty_(Latios_Half_Deck_24)" TargetMode="External"/><Relationship Id="rId1" Type="http://schemas.openxmlformats.org/officeDocument/2006/relationships/hyperlink" Target="https://bulbapedia.bulbagarden.net/wiki/Grass_Energy_(Latias_Half_Deck_1)" TargetMode="External"/><Relationship Id="rId6" Type="http://schemas.openxmlformats.org/officeDocument/2006/relationships/hyperlink" Target="https://bulbapedia.bulbagarden.net/wiki/Lombre_(Latias_Half_Deck_6)" TargetMode="External"/><Relationship Id="rId15" Type="http://schemas.openxmlformats.org/officeDocument/2006/relationships/hyperlink" Target="https://bulbapedia.bulbagarden.net/wiki/Potion_(Latias_Half_Deck_15)" TargetMode="External"/><Relationship Id="rId23" Type="http://schemas.openxmlformats.org/officeDocument/2006/relationships/hyperlink" Target="https://bulbapedia.bulbagarden.net/wiki/Lotad_(Latias_Half_Deck_23)" TargetMode="External"/><Relationship Id="rId28" Type="http://schemas.openxmlformats.org/officeDocument/2006/relationships/hyperlink" Target="https://bulbapedia.bulbagarden.net/wiki/Psychic_Energy_(Latias_Half_Deck_28)" TargetMode="External"/><Relationship Id="rId36" Type="http://schemas.openxmlformats.org/officeDocument/2006/relationships/hyperlink" Target="https://bulbapedia.bulbagarden.net/wiki/Fighting_Energy_(Latios_Half_Deck_6)" TargetMode="External"/><Relationship Id="rId49" Type="http://schemas.openxmlformats.org/officeDocument/2006/relationships/hyperlink" Target="https://bulbapedia.bulbagarden.net/wiki/Delcatty_(Latios_Half_Deck_19)" TargetMode="External"/><Relationship Id="rId57" Type="http://schemas.openxmlformats.org/officeDocument/2006/relationships/hyperlink" Target="https://bulbapedia.bulbagarden.net/wiki/Skitty_(Latios_Half_Deck_27)" TargetMode="External"/><Relationship Id="rId10" Type="http://schemas.openxmlformats.org/officeDocument/2006/relationships/hyperlink" Target="https://bulbapedia.bulbagarden.net/wiki/Psychic_Energy_(Latias_Half_Deck_10)" TargetMode="External"/><Relationship Id="rId31" Type="http://schemas.openxmlformats.org/officeDocument/2006/relationships/hyperlink" Target="https://bulbapedia.bulbagarden.net/wiki/Skitty_(Latios_Half_Deck_1)" TargetMode="External"/><Relationship Id="rId44" Type="http://schemas.openxmlformats.org/officeDocument/2006/relationships/hyperlink" Target="https://bulbapedia.bulbagarden.net/wiki/Machoke_(Latios_Half_Deck_14)" TargetMode="External"/><Relationship Id="rId52" Type="http://schemas.openxmlformats.org/officeDocument/2006/relationships/hyperlink" Target="https://bulbapedia.bulbagarden.net/wiki/Machoke_(Latios_Half_Deck_22)" TargetMode="External"/><Relationship Id="rId60" Type="http://schemas.openxmlformats.org/officeDocument/2006/relationships/hyperlink" Target="https://bulbapedia.bulbagarden.net/wiki/Latios_(Latios_Half_Deck_30)" TargetMode="External"/></Relationships>
</file>

<file path=xl/worksheets/_rels/sheet57.xml.rels><?xml version="1.0" encoding="UTF-8" standalone="yes"?>
<Relationships xmlns="http://schemas.openxmlformats.org/package/2006/relationships"><Relationship Id="rId26" Type="http://schemas.openxmlformats.org/officeDocument/2006/relationships/hyperlink" Target="https://bulbapedia.bulbagarden.net/wiki/Natu_(Roaring_Skies_27)" TargetMode="External"/><Relationship Id="rId21" Type="http://schemas.openxmlformats.org/officeDocument/2006/relationships/hyperlink" Target="https://bulbapedia.bulbagarden.net/wiki/Voltorb_(Roaring_Skies_21)" TargetMode="External"/><Relationship Id="rId42" Type="http://schemas.openxmlformats.org/officeDocument/2006/relationships/hyperlink" Target="https://bulbapedia.bulbagarden.net/wiki/Togekiss_(Roaring_Skies_45)" TargetMode="External"/><Relationship Id="rId47" Type="http://schemas.openxmlformats.org/officeDocument/2006/relationships/hyperlink" Target="https://bulbapedia.bulbagarden.net/wiki/Dragonair_(Roaring_Skies_50)" TargetMode="External"/><Relationship Id="rId63" Type="http://schemas.openxmlformats.org/officeDocument/2006/relationships/hyperlink" Target="https://bulbapedia.bulbagarden.net/wiki/Swellow_(Roaring_Skies_71)" TargetMode="External"/><Relationship Id="rId68" Type="http://schemas.openxmlformats.org/officeDocument/2006/relationships/hyperlink" Target="https://bulbapedia.bulbagarden.net/wiki/Tranquill_(Roaring_Skies_79)" TargetMode="External"/><Relationship Id="rId84" Type="http://schemas.openxmlformats.org/officeDocument/2006/relationships/hyperlink" Target="https://bulbapedia.bulbagarden.net/wiki/Wide_Lens_(Roaring_Skies_95)" TargetMode="External"/><Relationship Id="rId89" Type="http://schemas.openxmlformats.org/officeDocument/2006/relationships/hyperlink" Target="https://bulbapedia.bulbagarden.net/wiki/Energy_Switch_(Roaring_Skies_109)" TargetMode="External"/><Relationship Id="rId16" Type="http://schemas.openxmlformats.org/officeDocument/2006/relationships/hyperlink" Target="https://bulbapedia.bulbagarden.net/wiki/Articuno_(Roaring_Skies_16)" TargetMode="External"/><Relationship Id="rId11" Type="http://schemas.openxmlformats.org/officeDocument/2006/relationships/hyperlink" Target="https://bulbapedia.bulbagarden.net/wiki/Shedinja_(Roaring_Skies_11)" TargetMode="External"/><Relationship Id="rId32" Type="http://schemas.openxmlformats.org/officeDocument/2006/relationships/hyperlink" Target="https://bulbapedia.bulbagarden.net/wiki/Deoxys_(Roaring_Skies_33)" TargetMode="External"/><Relationship Id="rId37" Type="http://schemas.openxmlformats.org/officeDocument/2006/relationships/hyperlink" Target="https://bulbapedia.bulbagarden.net/wiki/Absol_(Roaring_Skies_40)" TargetMode="External"/><Relationship Id="rId53" Type="http://schemas.openxmlformats.org/officeDocument/2006/relationships/hyperlink" Target="https://bulbapedia.bulbagarden.net/wiki/Shelgon_(Roaring_Skies_56)" TargetMode="External"/><Relationship Id="rId58" Type="http://schemas.openxmlformats.org/officeDocument/2006/relationships/hyperlink" Target="https://bulbapedia.bulbagarden.net/wiki/Fearow_(Roaring_Skies_66)" TargetMode="External"/><Relationship Id="rId74" Type="http://schemas.openxmlformats.org/officeDocument/2006/relationships/hyperlink" Target="https://bulbapedia.bulbagarden.net/wiki/Latios_Spirit_Link_(Roaring_Skies_85)" TargetMode="External"/><Relationship Id="rId79" Type="http://schemas.openxmlformats.org/officeDocument/2006/relationships/hyperlink" Target="https://bulbapedia.bulbagarden.net/wiki/Steven_(Roaring_Skies_90)" TargetMode="External"/><Relationship Id="rId5" Type="http://schemas.openxmlformats.org/officeDocument/2006/relationships/hyperlink" Target="https://bulbapedia.bulbagarden.net/wiki/Beautifly_(Roaring_Skies_5)" TargetMode="External"/><Relationship Id="rId90" Type="http://schemas.openxmlformats.org/officeDocument/2006/relationships/hyperlink" Target="https://bulbapedia.bulbagarden.net/wiki/VS_Seeker_(Roaring_Skies_110)" TargetMode="External"/><Relationship Id="rId14" Type="http://schemas.openxmlformats.org/officeDocument/2006/relationships/hyperlink" Target="https://bulbapedia.bulbagarden.net/wiki/Fletchinder_(Roaring_Skies_14)" TargetMode="External"/><Relationship Id="rId22" Type="http://schemas.openxmlformats.org/officeDocument/2006/relationships/hyperlink" Target="https://bulbapedia.bulbagarden.net/wiki/Electrode_(Roaring_Skies_22)" TargetMode="External"/><Relationship Id="rId27" Type="http://schemas.openxmlformats.org/officeDocument/2006/relationships/hyperlink" Target="https://bulbapedia.bulbagarden.net/wiki/Natu_(Roaring_Skies_28)" TargetMode="External"/><Relationship Id="rId30" Type="http://schemas.openxmlformats.org/officeDocument/2006/relationships/hyperlink" Target="https://bulbapedia.bulbagarden.net/wiki/Banette_(Roaring_Skies_31)" TargetMode="External"/><Relationship Id="rId35" Type="http://schemas.openxmlformats.org/officeDocument/2006/relationships/hyperlink" Target="https://bulbapedia.bulbagarden.net/wiki/Binacle_(Roaring_Skies_38)" TargetMode="External"/><Relationship Id="rId43" Type="http://schemas.openxmlformats.org/officeDocument/2006/relationships/hyperlink" Target="https://bulbapedia.bulbagarden.net/wiki/Togekiss_(Roaring_Skies_46)" TargetMode="External"/><Relationship Id="rId48" Type="http://schemas.openxmlformats.org/officeDocument/2006/relationships/hyperlink" Target="https://bulbapedia.bulbagarden.net/wiki/Dragonite_(Roaring_Skies_51)" TargetMode="External"/><Relationship Id="rId56" Type="http://schemas.openxmlformats.org/officeDocument/2006/relationships/hyperlink" Target="https://bulbapedia.bulbagarden.net/wiki/Zekrom_(Roaring_Skies_64)" TargetMode="External"/><Relationship Id="rId64" Type="http://schemas.openxmlformats.org/officeDocument/2006/relationships/hyperlink" Target="https://bulbapedia.bulbagarden.net/wiki/Swellow_(Roaring_Skies_72)" TargetMode="External"/><Relationship Id="rId69" Type="http://schemas.openxmlformats.org/officeDocument/2006/relationships/hyperlink" Target="https://bulbapedia.bulbagarden.net/wiki/Unfezant_(Roaring_Skies_80)" TargetMode="External"/><Relationship Id="rId77" Type="http://schemas.openxmlformats.org/officeDocument/2006/relationships/hyperlink" Target="https://bulbapedia.bulbagarden.net/wiki/Revive_(Roaring_Skies_88)" TargetMode="External"/><Relationship Id="rId8" Type="http://schemas.openxmlformats.org/officeDocument/2006/relationships/hyperlink" Target="https://bulbapedia.bulbagarden.net/wiki/Dustox_(Roaring_Skies_8)" TargetMode="External"/><Relationship Id="rId51" Type="http://schemas.openxmlformats.org/officeDocument/2006/relationships/hyperlink" Target="https://bulbapedia.bulbagarden.net/wiki/Bagon_(Roaring_Skies_54)" TargetMode="External"/><Relationship Id="rId72" Type="http://schemas.openxmlformats.org/officeDocument/2006/relationships/hyperlink" Target="https://bulbapedia.bulbagarden.net/wiki/Gallade_Spirit_Link_(Roaring_Skies_83)" TargetMode="External"/><Relationship Id="rId80" Type="http://schemas.openxmlformats.org/officeDocument/2006/relationships/hyperlink" Target="https://bulbapedia.bulbagarden.net/wiki/Switch_(Roaring_Skies_91)" TargetMode="External"/><Relationship Id="rId85" Type="http://schemas.openxmlformats.org/officeDocument/2006/relationships/hyperlink" Target="https://bulbapedia.bulbagarden.net/wiki/Winona_(Roaring_Skies_96)" TargetMode="External"/><Relationship Id="rId3" Type="http://schemas.openxmlformats.org/officeDocument/2006/relationships/hyperlink" Target="https://bulbapedia.bulbagarden.net/wiki/Wurmple_(Roaring_Skies_3)" TargetMode="External"/><Relationship Id="rId12" Type="http://schemas.openxmlformats.org/officeDocument/2006/relationships/hyperlink" Target="https://bulbapedia.bulbagarden.net/wiki/Tropius_(Roaring_Skies_12)" TargetMode="External"/><Relationship Id="rId17" Type="http://schemas.openxmlformats.org/officeDocument/2006/relationships/hyperlink" Target="https://bulbapedia.bulbagarden.net/wiki/Articuno_(Roaring_Skies_17)" TargetMode="External"/><Relationship Id="rId25" Type="http://schemas.openxmlformats.org/officeDocument/2006/relationships/hyperlink" Target="https://bulbapedia.bulbagarden.net/wiki/Manectric_(Roaring_Skies_25)" TargetMode="External"/><Relationship Id="rId33" Type="http://schemas.openxmlformats.org/officeDocument/2006/relationships/hyperlink" Target="https://bulbapedia.bulbagarden.net/wiki/Gligar_(Roaring_Skies_36)" TargetMode="External"/><Relationship Id="rId38" Type="http://schemas.openxmlformats.org/officeDocument/2006/relationships/hyperlink" Target="https://bulbapedia.bulbagarden.net/wiki/Inkay_(Roaring_Skies_41)" TargetMode="External"/><Relationship Id="rId46" Type="http://schemas.openxmlformats.org/officeDocument/2006/relationships/hyperlink" Target="https://bulbapedia.bulbagarden.net/wiki/Dratini_(Roaring_Skies_49)" TargetMode="External"/><Relationship Id="rId59" Type="http://schemas.openxmlformats.org/officeDocument/2006/relationships/hyperlink" Target="https://bulbapedia.bulbagarden.net/wiki/Meowth_(Roaring_Skies_67)" TargetMode="External"/><Relationship Id="rId67" Type="http://schemas.openxmlformats.org/officeDocument/2006/relationships/hyperlink" Target="https://bulbapedia.bulbagarden.net/wiki/Pidove_(Roaring_Skies_78)" TargetMode="External"/><Relationship Id="rId20" Type="http://schemas.openxmlformats.org/officeDocument/2006/relationships/hyperlink" Target="https://bulbapedia.bulbagarden.net/wiki/Pikachu_(Roaring_Skies_20)" TargetMode="External"/><Relationship Id="rId41" Type="http://schemas.openxmlformats.org/officeDocument/2006/relationships/hyperlink" Target="https://bulbapedia.bulbagarden.net/wiki/Togetic_(Roaring_Skies_44)" TargetMode="External"/><Relationship Id="rId54" Type="http://schemas.openxmlformats.org/officeDocument/2006/relationships/hyperlink" Target="https://bulbapedia.bulbagarden.net/wiki/Salamence_(Roaring_Skies_57)" TargetMode="External"/><Relationship Id="rId62" Type="http://schemas.openxmlformats.org/officeDocument/2006/relationships/hyperlink" Target="https://bulbapedia.bulbagarden.net/wiki/Taillow_(Roaring_Skies_70)" TargetMode="External"/><Relationship Id="rId70" Type="http://schemas.openxmlformats.org/officeDocument/2006/relationships/hyperlink" Target="https://bulbapedia.bulbagarden.net/wiki/Unfezant_(Roaring_Skies_81)" TargetMode="External"/><Relationship Id="rId75" Type="http://schemas.openxmlformats.org/officeDocument/2006/relationships/hyperlink" Target="https://bulbapedia.bulbagarden.net/wiki/Mega_Turbo_(Roaring_Skies_86)" TargetMode="External"/><Relationship Id="rId83" Type="http://schemas.openxmlformats.org/officeDocument/2006/relationships/hyperlink" Target="https://bulbapedia.bulbagarden.net/wiki/Wally_(Roaring_Skies_94)" TargetMode="External"/><Relationship Id="rId88" Type="http://schemas.openxmlformats.org/officeDocument/2006/relationships/hyperlink" Target="https://bulbapedia.bulbagarden.net/wiki/Winona_(Roaring_Skies_108)" TargetMode="External"/><Relationship Id="rId1" Type="http://schemas.openxmlformats.org/officeDocument/2006/relationships/hyperlink" Target="https://bulbapedia.bulbagarden.net/wiki/Exeggcute_(Roaring_Skies_1)" TargetMode="External"/><Relationship Id="rId6" Type="http://schemas.openxmlformats.org/officeDocument/2006/relationships/hyperlink" Target="https://bulbapedia.bulbagarden.net/wiki/Cascoon_(Roaring_Skies_6)" TargetMode="External"/><Relationship Id="rId15" Type="http://schemas.openxmlformats.org/officeDocument/2006/relationships/hyperlink" Target="https://bulbapedia.bulbagarden.net/wiki/Talonflame_(Roaring_Skies_15)" TargetMode="External"/><Relationship Id="rId23" Type="http://schemas.openxmlformats.org/officeDocument/2006/relationships/hyperlink" Target="https://bulbapedia.bulbagarden.net/wiki/Zapdos_(Roaring_Skies_23)" TargetMode="External"/><Relationship Id="rId28" Type="http://schemas.openxmlformats.org/officeDocument/2006/relationships/hyperlink" Target="https://bulbapedia.bulbagarden.net/wiki/Xatu_(Roaring_Skies_29)" TargetMode="External"/><Relationship Id="rId36" Type="http://schemas.openxmlformats.org/officeDocument/2006/relationships/hyperlink" Target="https://bulbapedia.bulbagarden.net/wiki/Hawlucha_(Roaring_Skies_39)" TargetMode="External"/><Relationship Id="rId49" Type="http://schemas.openxmlformats.org/officeDocument/2006/relationships/hyperlink" Target="https://bulbapedia.bulbagarden.net/wiki/Dragonite_(Roaring_Skies_52)" TargetMode="External"/><Relationship Id="rId57" Type="http://schemas.openxmlformats.org/officeDocument/2006/relationships/hyperlink" Target="https://bulbapedia.bulbagarden.net/wiki/Spearow_(Roaring_Skies_65)" TargetMode="External"/><Relationship Id="rId10" Type="http://schemas.openxmlformats.org/officeDocument/2006/relationships/hyperlink" Target="https://bulbapedia.bulbagarden.net/wiki/Ninjask_(Roaring_Skies_10)" TargetMode="External"/><Relationship Id="rId31" Type="http://schemas.openxmlformats.org/officeDocument/2006/relationships/hyperlink" Target="https://bulbapedia.bulbagarden.net/wiki/Banette_(Roaring_Skies_32)" TargetMode="External"/><Relationship Id="rId44" Type="http://schemas.openxmlformats.org/officeDocument/2006/relationships/hyperlink" Target="https://bulbapedia.bulbagarden.net/wiki/Carbink_(Roaring_Skies_47)" TargetMode="External"/><Relationship Id="rId52" Type="http://schemas.openxmlformats.org/officeDocument/2006/relationships/hyperlink" Target="https://bulbapedia.bulbagarden.net/wiki/Bagon_(Roaring_Skies_55)" TargetMode="External"/><Relationship Id="rId60" Type="http://schemas.openxmlformats.org/officeDocument/2006/relationships/hyperlink" Target="https://bulbapedia.bulbagarden.net/wiki/Dunsparce_(Roaring_Skies_68)" TargetMode="External"/><Relationship Id="rId65" Type="http://schemas.openxmlformats.org/officeDocument/2006/relationships/hyperlink" Target="https://bulbapedia.bulbagarden.net/wiki/Swablu_(Roaring_Skies_73)" TargetMode="External"/><Relationship Id="rId73" Type="http://schemas.openxmlformats.org/officeDocument/2006/relationships/hyperlink" Target="https://bulbapedia.bulbagarden.net/wiki/Healing_Scarf_(Roaring_Skies_84)" TargetMode="External"/><Relationship Id="rId78" Type="http://schemas.openxmlformats.org/officeDocument/2006/relationships/hyperlink" Target="https://bulbapedia.bulbagarden.net/wiki/Sky_Field_(Roaring_Skies_89)" TargetMode="External"/><Relationship Id="rId81" Type="http://schemas.openxmlformats.org/officeDocument/2006/relationships/hyperlink" Target="https://bulbapedia.bulbagarden.net/wiki/Trainers%27_Mail_(Roaring_Skies_92)" TargetMode="External"/><Relationship Id="rId86" Type="http://schemas.openxmlformats.org/officeDocument/2006/relationships/hyperlink" Target="https://bulbapedia.bulbagarden.net/wiki/Double_Dragon_Energy_(Roaring_Skies_97)" TargetMode="External"/><Relationship Id="rId4" Type="http://schemas.openxmlformats.org/officeDocument/2006/relationships/hyperlink" Target="https://bulbapedia.bulbagarden.net/wiki/Silcoon_(Roaring_Skies_4)" TargetMode="External"/><Relationship Id="rId9" Type="http://schemas.openxmlformats.org/officeDocument/2006/relationships/hyperlink" Target="https://bulbapedia.bulbagarden.net/wiki/Nincada_(Roaring_Skies_9)" TargetMode="External"/><Relationship Id="rId13" Type="http://schemas.openxmlformats.org/officeDocument/2006/relationships/hyperlink" Target="https://bulbapedia.bulbagarden.net/wiki/Victini_(Roaring_Skies_13)" TargetMode="External"/><Relationship Id="rId18" Type="http://schemas.openxmlformats.org/officeDocument/2006/relationships/hyperlink" Target="https://bulbapedia.bulbagarden.net/wiki/Wingull_(Roaring_Skies_18)" TargetMode="External"/><Relationship Id="rId39" Type="http://schemas.openxmlformats.org/officeDocument/2006/relationships/hyperlink" Target="https://bulbapedia.bulbagarden.net/wiki/Jirachi_(Roaring_Skies_42)" TargetMode="External"/><Relationship Id="rId34" Type="http://schemas.openxmlformats.org/officeDocument/2006/relationships/hyperlink" Target="https://bulbapedia.bulbagarden.net/wiki/Gliscor_(Roaring_Skies_37)" TargetMode="External"/><Relationship Id="rId50" Type="http://schemas.openxmlformats.org/officeDocument/2006/relationships/hyperlink" Target="https://bulbapedia.bulbagarden.net/wiki/Altaria_(Roaring_Skies_53)" TargetMode="External"/><Relationship Id="rId55" Type="http://schemas.openxmlformats.org/officeDocument/2006/relationships/hyperlink" Target="https://bulbapedia.bulbagarden.net/wiki/Reshiram_(Roaring_Skies_63)" TargetMode="External"/><Relationship Id="rId76" Type="http://schemas.openxmlformats.org/officeDocument/2006/relationships/hyperlink" Target="https://bulbapedia.bulbagarden.net/wiki/Rayquaza_Spirit_Link_(Roaring_Skies_87)" TargetMode="External"/><Relationship Id="rId7" Type="http://schemas.openxmlformats.org/officeDocument/2006/relationships/hyperlink" Target="https://bulbapedia.bulbagarden.net/wiki/Dustox_(Roaring_Skies_7)" TargetMode="External"/><Relationship Id="rId71" Type="http://schemas.openxmlformats.org/officeDocument/2006/relationships/hyperlink" Target="https://bulbapedia.bulbagarden.net/wiki/Fletchling_(Roaring_Skies_82)" TargetMode="External"/><Relationship Id="rId2" Type="http://schemas.openxmlformats.org/officeDocument/2006/relationships/hyperlink" Target="https://bulbapedia.bulbagarden.net/wiki/Exeggutor_(Roaring_Skies_2)" TargetMode="External"/><Relationship Id="rId29" Type="http://schemas.openxmlformats.org/officeDocument/2006/relationships/hyperlink" Target="https://bulbapedia.bulbagarden.net/wiki/Shuppet_(Roaring_Skies_30)" TargetMode="External"/><Relationship Id="rId24" Type="http://schemas.openxmlformats.org/officeDocument/2006/relationships/hyperlink" Target="https://bulbapedia.bulbagarden.net/wiki/Electrike_(Roaring_Skies_24)" TargetMode="External"/><Relationship Id="rId40" Type="http://schemas.openxmlformats.org/officeDocument/2006/relationships/hyperlink" Target="https://bulbapedia.bulbagarden.net/wiki/Togepi_(Roaring_Skies_43)" TargetMode="External"/><Relationship Id="rId45" Type="http://schemas.openxmlformats.org/officeDocument/2006/relationships/hyperlink" Target="https://bulbapedia.bulbagarden.net/wiki/Klefki_(Roaring_Skies_48)" TargetMode="External"/><Relationship Id="rId66" Type="http://schemas.openxmlformats.org/officeDocument/2006/relationships/hyperlink" Target="https://bulbapedia.bulbagarden.net/wiki/Altaria_(Roaring_Skies_74)" TargetMode="External"/><Relationship Id="rId87" Type="http://schemas.openxmlformats.org/officeDocument/2006/relationships/hyperlink" Target="https://bulbapedia.bulbagarden.net/wiki/Wally_(Roaring_Skies_107)" TargetMode="External"/><Relationship Id="rId61" Type="http://schemas.openxmlformats.org/officeDocument/2006/relationships/hyperlink" Target="https://bulbapedia.bulbagarden.net/wiki/Skarmory_(Roaring_Skies_69)" TargetMode="External"/><Relationship Id="rId82" Type="http://schemas.openxmlformats.org/officeDocument/2006/relationships/hyperlink" Target="https://bulbapedia.bulbagarden.net/wiki/Ultra_Ball_(Roaring_Skies_93)" TargetMode="External"/><Relationship Id="rId19" Type="http://schemas.openxmlformats.org/officeDocument/2006/relationships/hyperlink" Target="https://bulbapedia.bulbagarden.net/wiki/Pelipper_(Roaring_Skies_19)" TargetMode="External"/></Relationships>
</file>

<file path=xl/worksheets/_rels/sheet58.xml.rels><?xml version="1.0" encoding="UTF-8" standalone="yes"?>
<Relationships xmlns="http://schemas.openxmlformats.org/package/2006/relationships"><Relationship Id="rId26" Type="http://schemas.openxmlformats.org/officeDocument/2006/relationships/hyperlink" Target="https://bulbapedia.bulbagarden.net/wiki/Baltoy_(Ancient_Origins_31)" TargetMode="External"/><Relationship Id="rId21" Type="http://schemas.openxmlformats.org/officeDocument/2006/relationships/hyperlink" Target="https://bulbapedia.bulbagarden.net/wiki/Relicanth_(Ancient_Origins_23)" TargetMode="External"/><Relationship Id="rId42" Type="http://schemas.openxmlformats.org/officeDocument/2006/relationships/hyperlink" Target="https://bulbapedia.bulbagarden.net/wiki/Registeel_(Ancient_Origins_51)" TargetMode="External"/><Relationship Id="rId47" Type="http://schemas.openxmlformats.org/officeDocument/2006/relationships/hyperlink" Target="https://bulbapedia.bulbagarden.net/wiki/Whimsicott_(Ancient_Origins_56)" TargetMode="External"/><Relationship Id="rId63" Type="http://schemas.openxmlformats.org/officeDocument/2006/relationships/hyperlink" Target="https://bulbapedia.bulbagarden.net/wiki/Forest_of_Giant_Plants_(Ancient_Origins_74)" TargetMode="External"/><Relationship Id="rId68" Type="http://schemas.openxmlformats.org/officeDocument/2006/relationships/hyperlink" Target="https://bulbapedia.bulbagarden.net/wiki/Paint_Roller_(Ancient_Origins_79)" TargetMode="External"/><Relationship Id="rId2" Type="http://schemas.openxmlformats.org/officeDocument/2006/relationships/hyperlink" Target="https://bulbapedia.bulbagarden.net/wiki/Gloom_(Ancient_Origins_2)" TargetMode="External"/><Relationship Id="rId16" Type="http://schemas.openxmlformats.org/officeDocument/2006/relationships/hyperlink" Target="https://bulbapedia.bulbagarden.net/wiki/Volcarona_(Ancient_Origins_18)" TargetMode="External"/><Relationship Id="rId29" Type="http://schemas.openxmlformats.org/officeDocument/2006/relationships/hyperlink" Target="https://bulbapedia.bulbagarden.net/wiki/Golett_(Ancient_Origins_34)" TargetMode="External"/><Relationship Id="rId11" Type="http://schemas.openxmlformats.org/officeDocument/2006/relationships/hyperlink" Target="https://bulbapedia.bulbagarden.net/wiki/Flareon_(Ancient_Origins_13)" TargetMode="External"/><Relationship Id="rId24" Type="http://schemas.openxmlformats.org/officeDocument/2006/relationships/hyperlink" Target="https://bulbapedia.bulbagarden.net/wiki/Rotom_(Ancient_Origins_29)" TargetMode="External"/><Relationship Id="rId32" Type="http://schemas.openxmlformats.org/officeDocument/2006/relationships/hyperlink" Target="https://bulbapedia.bulbagarden.net/wiki/Quagsire_(Ancient_Origins_39)" TargetMode="External"/><Relationship Id="rId37" Type="http://schemas.openxmlformats.org/officeDocument/2006/relationships/hyperlink" Target="https://bulbapedia.bulbagarden.net/wiki/Malamar_(Ancient_Origins_46)" TargetMode="External"/><Relationship Id="rId40" Type="http://schemas.openxmlformats.org/officeDocument/2006/relationships/hyperlink" Target="https://bulbapedia.bulbagarden.net/wiki/Metagross_(Ancient_Origins_49)" TargetMode="External"/><Relationship Id="rId45" Type="http://schemas.openxmlformats.org/officeDocument/2006/relationships/hyperlink" Target="https://bulbapedia.bulbagarden.net/wiki/Gardevoir_(Ancient_Origins_54)" TargetMode="External"/><Relationship Id="rId53" Type="http://schemas.openxmlformats.org/officeDocument/2006/relationships/hyperlink" Target="https://bulbapedia.bulbagarden.net/wiki/Eevee_(Ancient_Origins_63)" TargetMode="External"/><Relationship Id="rId58" Type="http://schemas.openxmlformats.org/officeDocument/2006/relationships/hyperlink" Target="https://bulbapedia.bulbagarden.net/wiki/Ace_Trainer_(Ancient_Origins_69)" TargetMode="External"/><Relationship Id="rId66" Type="http://schemas.openxmlformats.org/officeDocument/2006/relationships/hyperlink" Target="https://bulbapedia.bulbagarden.net/wiki/Lucky_Helmet_(Ancient_Origins_77)" TargetMode="External"/><Relationship Id="rId74" Type="http://schemas.openxmlformats.org/officeDocument/2006/relationships/hyperlink" Target="https://bulbapedia.bulbagarden.net/wiki/Energy_Retrieval_(Ancient_Origins_99)" TargetMode="External"/><Relationship Id="rId5" Type="http://schemas.openxmlformats.org/officeDocument/2006/relationships/hyperlink" Target="https://bulbapedia.bulbagarden.net/wiki/Spinarak_(Ancient_Origins_5)" TargetMode="External"/><Relationship Id="rId61" Type="http://schemas.openxmlformats.org/officeDocument/2006/relationships/hyperlink" Target="https://bulbapedia.bulbagarden.net/wiki/Energy_Recycler_(Ancient_Origins_72)" TargetMode="External"/><Relationship Id="rId19" Type="http://schemas.openxmlformats.org/officeDocument/2006/relationships/hyperlink" Target="https://bulbapedia.bulbagarden.net/wiki/Gyarados_(Ancient_Origins_21)" TargetMode="External"/><Relationship Id="rId14" Type="http://schemas.openxmlformats.org/officeDocument/2006/relationships/hyperlink" Target="https://bulbapedia.bulbagarden.net/wiki/Larvesta_(Ancient_Origins_16)" TargetMode="External"/><Relationship Id="rId22" Type="http://schemas.openxmlformats.org/officeDocument/2006/relationships/hyperlink" Target="https://bulbapedia.bulbagarden.net/wiki/Regice_(Ancient_Origins_24)" TargetMode="External"/><Relationship Id="rId27" Type="http://schemas.openxmlformats.org/officeDocument/2006/relationships/hyperlink" Target="https://bulbapedia.bulbagarden.net/wiki/Baltoy_(Ancient_Origins_32)" TargetMode="External"/><Relationship Id="rId30" Type="http://schemas.openxmlformats.org/officeDocument/2006/relationships/hyperlink" Target="https://bulbapedia.bulbagarden.net/wiki/Golurk_(Ancient_Origins_35)" TargetMode="External"/><Relationship Id="rId35" Type="http://schemas.openxmlformats.org/officeDocument/2006/relationships/hyperlink" Target="https://bulbapedia.bulbagarden.net/wiki/Sableye_(Ancient_Origins_44)" TargetMode="External"/><Relationship Id="rId43" Type="http://schemas.openxmlformats.org/officeDocument/2006/relationships/hyperlink" Target="https://bulbapedia.bulbagarden.net/wiki/Ralts_(Ancient_Origins_52)" TargetMode="External"/><Relationship Id="rId48" Type="http://schemas.openxmlformats.org/officeDocument/2006/relationships/hyperlink" Target="https://bulbapedia.bulbagarden.net/wiki/Goomy_(Ancient_Origins_58)" TargetMode="External"/><Relationship Id="rId56" Type="http://schemas.openxmlformats.org/officeDocument/2006/relationships/hyperlink" Target="https://bulbapedia.bulbagarden.net/wiki/Porygon-Z_(Ancient_Origins_66)" TargetMode="External"/><Relationship Id="rId64" Type="http://schemas.openxmlformats.org/officeDocument/2006/relationships/hyperlink" Target="https://bulbapedia.bulbagarden.net/wiki/Hex_Maniac_(Ancient_Origins_75)" TargetMode="External"/><Relationship Id="rId69" Type="http://schemas.openxmlformats.org/officeDocument/2006/relationships/hyperlink" Target="https://bulbapedia.bulbagarden.net/wiki/Sceptile_Spirit_Link_(Ancient_Origins_80)" TargetMode="External"/><Relationship Id="rId8" Type="http://schemas.openxmlformats.org/officeDocument/2006/relationships/hyperlink" Target="https://bulbapedia.bulbagarden.net/wiki/Vespiquen_(Ancient_Origins_10)" TargetMode="External"/><Relationship Id="rId51" Type="http://schemas.openxmlformats.org/officeDocument/2006/relationships/hyperlink" Target="https://bulbapedia.bulbagarden.net/wiki/Meowth_(Ancient_Origins_61)" TargetMode="External"/><Relationship Id="rId72" Type="http://schemas.openxmlformats.org/officeDocument/2006/relationships/hyperlink" Target="https://bulbapedia.bulbagarden.net/wiki/Flash_Energy_(Ancient_Origins_83)" TargetMode="External"/><Relationship Id="rId3" Type="http://schemas.openxmlformats.org/officeDocument/2006/relationships/hyperlink" Target="https://bulbapedia.bulbagarden.net/wiki/Vileplume_(Ancient_Origins_3)" TargetMode="External"/><Relationship Id="rId12" Type="http://schemas.openxmlformats.org/officeDocument/2006/relationships/hyperlink" Target="https://bulbapedia.bulbagarden.net/wiki/Entei_(Ancient_Origins_14)" TargetMode="External"/><Relationship Id="rId17" Type="http://schemas.openxmlformats.org/officeDocument/2006/relationships/hyperlink" Target="https://bulbapedia.bulbagarden.net/wiki/Magikarp_(Ancient_Origins_19)" TargetMode="External"/><Relationship Id="rId25" Type="http://schemas.openxmlformats.org/officeDocument/2006/relationships/hyperlink" Target="https://bulbapedia.bulbagarden.net/wiki/Unown_(Ancient_Origins_30)" TargetMode="External"/><Relationship Id="rId33" Type="http://schemas.openxmlformats.org/officeDocument/2006/relationships/hyperlink" Target="https://bulbapedia.bulbagarden.net/wiki/Regirock_(Ancient_Origins_40)" TargetMode="External"/><Relationship Id="rId38" Type="http://schemas.openxmlformats.org/officeDocument/2006/relationships/hyperlink" Target="https://bulbapedia.bulbagarden.net/wiki/Beldum_(Ancient_Origins_47)" TargetMode="External"/><Relationship Id="rId46" Type="http://schemas.openxmlformats.org/officeDocument/2006/relationships/hyperlink" Target="https://bulbapedia.bulbagarden.net/wiki/Cottonee_(Ancient_Origins_55)" TargetMode="External"/><Relationship Id="rId59" Type="http://schemas.openxmlformats.org/officeDocument/2006/relationships/hyperlink" Target="https://bulbapedia.bulbagarden.net/wiki/Ampharos_Spirit_Link_(Ancient_Origins_70)" TargetMode="External"/><Relationship Id="rId67" Type="http://schemas.openxmlformats.org/officeDocument/2006/relationships/hyperlink" Target="https://bulbapedia.bulbagarden.net/wiki/Lysandre_(Ancient_Origins_78)" TargetMode="External"/><Relationship Id="rId20" Type="http://schemas.openxmlformats.org/officeDocument/2006/relationships/hyperlink" Target="https://bulbapedia.bulbagarden.net/wiki/Vaporeon_(Ancient_Origins_22)" TargetMode="External"/><Relationship Id="rId41" Type="http://schemas.openxmlformats.org/officeDocument/2006/relationships/hyperlink" Target="https://bulbapedia.bulbagarden.net/wiki/Metagross_(Ancient_Origins_50)" TargetMode="External"/><Relationship Id="rId54" Type="http://schemas.openxmlformats.org/officeDocument/2006/relationships/hyperlink" Target="https://bulbapedia.bulbagarden.net/wiki/Porygon_(Ancient_Origins_64)" TargetMode="External"/><Relationship Id="rId62" Type="http://schemas.openxmlformats.org/officeDocument/2006/relationships/hyperlink" Target="https://bulbapedia.bulbagarden.net/wiki/Faded_Town_(Ancient_Origins_73)" TargetMode="External"/><Relationship Id="rId70" Type="http://schemas.openxmlformats.org/officeDocument/2006/relationships/hyperlink" Target="https://bulbapedia.bulbagarden.net/wiki/Tyranitar_Spirit_Link_(Ancient_Origins_81)" TargetMode="External"/><Relationship Id="rId75" Type="http://schemas.openxmlformats.org/officeDocument/2006/relationships/hyperlink" Target="https://bulbapedia.bulbagarden.net/wiki/Trainers%27_Mail_(Ancient_Origins_100)" TargetMode="External"/><Relationship Id="rId1" Type="http://schemas.openxmlformats.org/officeDocument/2006/relationships/hyperlink" Target="https://bulbapedia.bulbagarden.net/wiki/Oddish_(Ancient_Origins_1)" TargetMode="External"/><Relationship Id="rId6" Type="http://schemas.openxmlformats.org/officeDocument/2006/relationships/hyperlink" Target="https://bulbapedia.bulbagarden.net/wiki/Ariados_(Ancient_Origins_6)" TargetMode="External"/><Relationship Id="rId15" Type="http://schemas.openxmlformats.org/officeDocument/2006/relationships/hyperlink" Target="https://bulbapedia.bulbagarden.net/wiki/Volcarona_(Ancient_Origins_17)" TargetMode="External"/><Relationship Id="rId23" Type="http://schemas.openxmlformats.org/officeDocument/2006/relationships/hyperlink" Target="https://bulbapedia.bulbagarden.net/wiki/Jolteon_(Ancient_Origins_26)" TargetMode="External"/><Relationship Id="rId28" Type="http://schemas.openxmlformats.org/officeDocument/2006/relationships/hyperlink" Target="https://bulbapedia.bulbagarden.net/wiki/Claydol_(Ancient_Origins_33)" TargetMode="External"/><Relationship Id="rId36" Type="http://schemas.openxmlformats.org/officeDocument/2006/relationships/hyperlink" Target="https://bulbapedia.bulbagarden.net/wiki/Inkay_(Ancient_Origins_45)" TargetMode="External"/><Relationship Id="rId49" Type="http://schemas.openxmlformats.org/officeDocument/2006/relationships/hyperlink" Target="https://bulbapedia.bulbagarden.net/wiki/Sliggoo_(Ancient_Origins_59)" TargetMode="External"/><Relationship Id="rId57" Type="http://schemas.openxmlformats.org/officeDocument/2006/relationships/hyperlink" Target="https://bulbapedia.bulbagarden.net/wiki/Porygon-Z_(Ancient_Origins_67)" TargetMode="External"/><Relationship Id="rId10" Type="http://schemas.openxmlformats.org/officeDocument/2006/relationships/hyperlink" Target="https://bulbapedia.bulbagarden.net/wiki/Virizion_(Ancient_Origins_12)" TargetMode="External"/><Relationship Id="rId31" Type="http://schemas.openxmlformats.org/officeDocument/2006/relationships/hyperlink" Target="https://bulbapedia.bulbagarden.net/wiki/Wooper_(Ancient_Origins_38)" TargetMode="External"/><Relationship Id="rId44" Type="http://schemas.openxmlformats.org/officeDocument/2006/relationships/hyperlink" Target="https://bulbapedia.bulbagarden.net/wiki/Kirlia_(Ancient_Origins_53)" TargetMode="External"/><Relationship Id="rId52" Type="http://schemas.openxmlformats.org/officeDocument/2006/relationships/hyperlink" Target="https://bulbapedia.bulbagarden.net/wiki/Persian_(Ancient_Origins_62)" TargetMode="External"/><Relationship Id="rId60" Type="http://schemas.openxmlformats.org/officeDocument/2006/relationships/hyperlink" Target="https://bulbapedia.bulbagarden.net/wiki/Eco_Arm_(Ancient_Origins_71)" TargetMode="External"/><Relationship Id="rId65" Type="http://schemas.openxmlformats.org/officeDocument/2006/relationships/hyperlink" Target="https://bulbapedia.bulbagarden.net/wiki/Level_Ball_(Ancient_Origins_76)" TargetMode="External"/><Relationship Id="rId73" Type="http://schemas.openxmlformats.org/officeDocument/2006/relationships/hyperlink" Target="https://bulbapedia.bulbagarden.net/wiki/Steven_(Ancient_Origins_95)" TargetMode="External"/><Relationship Id="rId4" Type="http://schemas.openxmlformats.org/officeDocument/2006/relationships/hyperlink" Target="https://bulbapedia.bulbagarden.net/wiki/Bellossom_(Ancient_Origins_4)" TargetMode="External"/><Relationship Id="rId9" Type="http://schemas.openxmlformats.org/officeDocument/2006/relationships/hyperlink" Target="https://bulbapedia.bulbagarden.net/wiki/Vespiquen_(Ancient_Origins_11)" TargetMode="External"/><Relationship Id="rId13" Type="http://schemas.openxmlformats.org/officeDocument/2006/relationships/hyperlink" Target="https://bulbapedia.bulbagarden.net/wiki/Entei_(Ancient_Origins_15)" TargetMode="External"/><Relationship Id="rId18" Type="http://schemas.openxmlformats.org/officeDocument/2006/relationships/hyperlink" Target="https://bulbapedia.bulbagarden.net/wiki/Gyarados_(Ancient_Origins_20)" TargetMode="External"/><Relationship Id="rId39" Type="http://schemas.openxmlformats.org/officeDocument/2006/relationships/hyperlink" Target="https://bulbapedia.bulbagarden.net/wiki/Metang_(Ancient_Origins_48)" TargetMode="External"/><Relationship Id="rId34" Type="http://schemas.openxmlformats.org/officeDocument/2006/relationships/hyperlink" Target="https://bulbapedia.bulbagarden.net/wiki/Golurk_(Ancient_Origins_41)" TargetMode="External"/><Relationship Id="rId50" Type="http://schemas.openxmlformats.org/officeDocument/2006/relationships/hyperlink" Target="https://bulbapedia.bulbagarden.net/wiki/Goodra_(Ancient_Origins_60)" TargetMode="External"/><Relationship Id="rId55" Type="http://schemas.openxmlformats.org/officeDocument/2006/relationships/hyperlink" Target="https://bulbapedia.bulbagarden.net/wiki/Porygon2_(Ancient_Origins_65)" TargetMode="External"/><Relationship Id="rId7" Type="http://schemas.openxmlformats.org/officeDocument/2006/relationships/hyperlink" Target="https://bulbapedia.bulbagarden.net/wiki/Combee_(Ancient_Origins_9)" TargetMode="External"/><Relationship Id="rId71" Type="http://schemas.openxmlformats.org/officeDocument/2006/relationships/hyperlink" Target="https://bulbapedia.bulbagarden.net/wiki/Dangerous_Energy_(Ancient_Origins_82)"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https://bulbapedia.bulbagarden.net/wiki/Rhyhorn_(McDonald%27s_Collection_2015_8)" TargetMode="External"/><Relationship Id="rId3" Type="http://schemas.openxmlformats.org/officeDocument/2006/relationships/hyperlink" Target="https://bulbapedia.bulbagarden.net/wiki/Torchic_(McDonald%27s_Collection_2015_3)" TargetMode="External"/><Relationship Id="rId7" Type="http://schemas.openxmlformats.org/officeDocument/2006/relationships/hyperlink" Target="https://bulbapedia.bulbagarden.net/wiki/Electrike_(McDonald%27s_Collection_2015_7)" TargetMode="External"/><Relationship Id="rId12" Type="http://schemas.openxmlformats.org/officeDocument/2006/relationships/hyperlink" Target="https://bulbapedia.bulbagarden.net/wiki/Skitty_(McDonald%27s_Collection_2015_12)" TargetMode="External"/><Relationship Id="rId2" Type="http://schemas.openxmlformats.org/officeDocument/2006/relationships/hyperlink" Target="https://bulbapedia.bulbagarden.net/wiki/Lotad_(McDonald%27s_Collection_2015_2)" TargetMode="External"/><Relationship Id="rId1" Type="http://schemas.openxmlformats.org/officeDocument/2006/relationships/hyperlink" Target="https://bulbapedia.bulbagarden.net/wiki/Treecko_(McDonald%27s_Collection_2015_1)" TargetMode="External"/><Relationship Id="rId6" Type="http://schemas.openxmlformats.org/officeDocument/2006/relationships/hyperlink" Target="https://bulbapedia.bulbagarden.net/wiki/Pikachu_(McDonald%27s_Collection_2015_6)" TargetMode="External"/><Relationship Id="rId11" Type="http://schemas.openxmlformats.org/officeDocument/2006/relationships/hyperlink" Target="https://bulbapedia.bulbagarden.net/wiki/Zigzagoon_(McDonald%27s_Collection_2015_11)" TargetMode="External"/><Relationship Id="rId5" Type="http://schemas.openxmlformats.org/officeDocument/2006/relationships/hyperlink" Target="https://bulbapedia.bulbagarden.net/wiki/Mudkip_(McDonald%27s_Collection_2015_5)" TargetMode="External"/><Relationship Id="rId10" Type="http://schemas.openxmlformats.org/officeDocument/2006/relationships/hyperlink" Target="https://bulbapedia.bulbagarden.net/wiki/Marill_(McDonald%27s_Collection_2015_10)" TargetMode="External"/><Relationship Id="rId4" Type="http://schemas.openxmlformats.org/officeDocument/2006/relationships/hyperlink" Target="https://bulbapedia.bulbagarden.net/wiki/Staryu_(McDonald%27s_Collection_2015_4)" TargetMode="External"/><Relationship Id="rId9" Type="http://schemas.openxmlformats.org/officeDocument/2006/relationships/hyperlink" Target="https://bulbapedia.bulbagarden.net/wiki/Meditite_(McDonald%27s_Collection_2015_9)" TargetMode="External"/></Relationships>
</file>

<file path=xl/worksheets/_rels/sheet60.xml.rels><?xml version="1.0" encoding="UTF-8" standalone="yes"?>
<Relationships xmlns="http://schemas.openxmlformats.org/package/2006/relationships"><Relationship Id="rId117" Type="http://schemas.openxmlformats.org/officeDocument/2006/relationships/hyperlink" Target="https://bulbapedia.bulbagarden.net/wiki/Noibat_(BREAKthrough_131)" TargetMode="External"/><Relationship Id="rId21" Type="http://schemas.openxmlformats.org/officeDocument/2006/relationships/hyperlink" Target="https://bulbapedia.bulbagarden.net/wiki/Simisear_(BREAKthrough_24)" TargetMode="External"/><Relationship Id="rId42" Type="http://schemas.openxmlformats.org/officeDocument/2006/relationships/hyperlink" Target="https://bulbapedia.bulbagarden.net/wiki/Frogadier_(BREAKthrough_47)" TargetMode="External"/><Relationship Id="rId63" Type="http://schemas.openxmlformats.org/officeDocument/2006/relationships/hyperlink" Target="https://bulbapedia.bulbagarden.net/wiki/Elgyem_(BREAKthrough_73)" TargetMode="External"/><Relationship Id="rId84" Type="http://schemas.openxmlformats.org/officeDocument/2006/relationships/hyperlink" Target="https://bulbapedia.bulbagarden.net/wiki/Bronzong_(BREAKthrough_96)" TargetMode="External"/><Relationship Id="rId138" Type="http://schemas.openxmlformats.org/officeDocument/2006/relationships/hyperlink" Target="https://bulbapedia.bulbagarden.net/wiki/Rainbow_Energy_(BREAKthrough_152)" TargetMode="External"/><Relationship Id="rId16" Type="http://schemas.openxmlformats.org/officeDocument/2006/relationships/hyperlink" Target="https://bulbapedia.bulbagarden.net/wiki/Gogoat_(BREAKthrough_17)" TargetMode="External"/><Relationship Id="rId107" Type="http://schemas.openxmlformats.org/officeDocument/2006/relationships/hyperlink" Target="https://bulbapedia.bulbagarden.net/wiki/Teddiursa_(BREAKthrough_121)" TargetMode="External"/><Relationship Id="rId11" Type="http://schemas.openxmlformats.org/officeDocument/2006/relationships/hyperlink" Target="https://bulbapedia.bulbagarden.net/wiki/Chesnaught_(BREAKthrough_11)" TargetMode="External"/><Relationship Id="rId32" Type="http://schemas.openxmlformats.org/officeDocument/2006/relationships/hyperlink" Target="https://bulbapedia.bulbagarden.net/wiki/Prinplup_(BREAKthrough_37)" TargetMode="External"/><Relationship Id="rId37" Type="http://schemas.openxmlformats.org/officeDocument/2006/relationships/hyperlink" Target="https://bulbapedia.bulbagarden.net/wiki/Simipour_(BREAKthrough_42)" TargetMode="External"/><Relationship Id="rId53" Type="http://schemas.openxmlformats.org/officeDocument/2006/relationships/hyperlink" Target="https://bulbapedia.bulbagarden.net/wiki/Haunter_(BREAKthrough_59)" TargetMode="External"/><Relationship Id="rId58" Type="http://schemas.openxmlformats.org/officeDocument/2006/relationships/hyperlink" Target="https://bulbapedia.bulbagarden.net/wiki/Ralts_(BREAKthrough_68)" TargetMode="External"/><Relationship Id="rId74" Type="http://schemas.openxmlformats.org/officeDocument/2006/relationships/hyperlink" Target="https://bulbapedia.bulbagarden.net/wiki/Meloetta_(BREAKthrough_85)" TargetMode="External"/><Relationship Id="rId79" Type="http://schemas.openxmlformats.org/officeDocument/2006/relationships/hyperlink" Target="https://bulbapedia.bulbagarden.net/wiki/Zorua_(BREAKthrough_90)" TargetMode="External"/><Relationship Id="rId102" Type="http://schemas.openxmlformats.org/officeDocument/2006/relationships/hyperlink" Target="https://bulbapedia.bulbagarden.net/wiki/Doduo_(BREAKthrough_116)" TargetMode="External"/><Relationship Id="rId123" Type="http://schemas.openxmlformats.org/officeDocument/2006/relationships/hyperlink" Target="https://bulbapedia.bulbagarden.net/wiki/Float_Stone_(BREAKthrough_137)" TargetMode="External"/><Relationship Id="rId128" Type="http://schemas.openxmlformats.org/officeDocument/2006/relationships/hyperlink" Target="https://bulbapedia.bulbagarden.net/wiki/Houndoom_Spirit_Link_(BREAKthrough_142)" TargetMode="External"/><Relationship Id="rId5" Type="http://schemas.openxmlformats.org/officeDocument/2006/relationships/hyperlink" Target="https://bulbapedia.bulbagarden.net/wiki/Pansage_(BREAKthrough_5)" TargetMode="External"/><Relationship Id="rId90" Type="http://schemas.openxmlformats.org/officeDocument/2006/relationships/hyperlink" Target="https://bulbapedia.bulbagarden.net/wiki/Floette_(BREAKthrough_102)" TargetMode="External"/><Relationship Id="rId95" Type="http://schemas.openxmlformats.org/officeDocument/2006/relationships/hyperlink" Target="https://bulbapedia.bulbagarden.net/wiki/Axew_(BREAKthrough_108)" TargetMode="External"/><Relationship Id="rId22" Type="http://schemas.openxmlformats.org/officeDocument/2006/relationships/hyperlink" Target="https://bulbapedia.bulbagarden.net/wiki/Fennekin_(BREAKthrough_25)" TargetMode="External"/><Relationship Id="rId27" Type="http://schemas.openxmlformats.org/officeDocument/2006/relationships/hyperlink" Target="https://bulbapedia.bulbagarden.net/wiki/Starmie_(BREAKthrough_30)" TargetMode="External"/><Relationship Id="rId43" Type="http://schemas.openxmlformats.org/officeDocument/2006/relationships/hyperlink" Target="https://bulbapedia.bulbagarden.net/wiki/Pikachu_(BREAKthrough_48)" TargetMode="External"/><Relationship Id="rId48" Type="http://schemas.openxmlformats.org/officeDocument/2006/relationships/hyperlink" Target="https://bulbapedia.bulbagarden.net/wiki/Magnezone_(BREAKthrough_54)" TargetMode="External"/><Relationship Id="rId64" Type="http://schemas.openxmlformats.org/officeDocument/2006/relationships/hyperlink" Target="https://bulbapedia.bulbagarden.net/wiki/Beheeyem_(BREAKthrough_74)" TargetMode="External"/><Relationship Id="rId69" Type="http://schemas.openxmlformats.org/officeDocument/2006/relationships/hyperlink" Target="https://bulbapedia.bulbagarden.net/wiki/Swinub_(BREAKthrough_80)" TargetMode="External"/><Relationship Id="rId113" Type="http://schemas.openxmlformats.org/officeDocument/2006/relationships/hyperlink" Target="https://bulbapedia.bulbagarden.net/wiki/Staraptor_(BREAKthrough_127)" TargetMode="External"/><Relationship Id="rId118" Type="http://schemas.openxmlformats.org/officeDocument/2006/relationships/hyperlink" Target="https://bulbapedia.bulbagarden.net/wiki/Noibat_(BREAKthrough_132)" TargetMode="External"/><Relationship Id="rId134" Type="http://schemas.openxmlformats.org/officeDocument/2006/relationships/hyperlink" Target="https://bulbapedia.bulbagarden.net/wiki/Skyla_(BREAKthrough_148)" TargetMode="External"/><Relationship Id="rId139" Type="http://schemas.openxmlformats.org/officeDocument/2006/relationships/hyperlink" Target="https://bulbapedia.bulbagarden.net/wiki/Brigette_(BREAKthrough_161)" TargetMode="External"/><Relationship Id="rId80" Type="http://schemas.openxmlformats.org/officeDocument/2006/relationships/hyperlink" Target="https://bulbapedia.bulbagarden.net/wiki/Zoroark_(BREAKthrough_91)" TargetMode="External"/><Relationship Id="rId85" Type="http://schemas.openxmlformats.org/officeDocument/2006/relationships/hyperlink" Target="https://bulbapedia.bulbagarden.net/wiki/Mr._Mime_(BREAKthrough_97)" TargetMode="External"/><Relationship Id="rId12" Type="http://schemas.openxmlformats.org/officeDocument/2006/relationships/hyperlink" Target="https://bulbapedia.bulbagarden.net/wiki/Scatterbug_(BREAKthrough_13)" TargetMode="External"/><Relationship Id="rId17" Type="http://schemas.openxmlformats.org/officeDocument/2006/relationships/hyperlink" Target="https://bulbapedia.bulbagarden.net/wiki/Cyndaquil_(BREAKthrough_18)" TargetMode="External"/><Relationship Id="rId33" Type="http://schemas.openxmlformats.org/officeDocument/2006/relationships/hyperlink" Target="https://bulbapedia.bulbagarden.net/wiki/Empoleon_(BREAKthrough_38)" TargetMode="External"/><Relationship Id="rId38" Type="http://schemas.openxmlformats.org/officeDocument/2006/relationships/hyperlink" Target="https://bulbapedia.bulbagarden.net/wiki/Vanillite_(BREAKthrough_43)" TargetMode="External"/><Relationship Id="rId59" Type="http://schemas.openxmlformats.org/officeDocument/2006/relationships/hyperlink" Target="https://bulbapedia.bulbagarden.net/wiki/Kirlia_(BREAKthrough_69)" TargetMode="External"/><Relationship Id="rId103" Type="http://schemas.openxmlformats.org/officeDocument/2006/relationships/hyperlink" Target="https://bulbapedia.bulbagarden.net/wiki/Dodrio_(BREAKthrough_117)" TargetMode="External"/><Relationship Id="rId108" Type="http://schemas.openxmlformats.org/officeDocument/2006/relationships/hyperlink" Target="https://bulbapedia.bulbagarden.net/wiki/Ursaring_(BREAKthrough_122)" TargetMode="External"/><Relationship Id="rId124" Type="http://schemas.openxmlformats.org/officeDocument/2006/relationships/hyperlink" Target="https://bulbapedia.bulbagarden.net/wiki/Giovanni%27s_Scheme_(BREAKthrough_138)" TargetMode="External"/><Relationship Id="rId129" Type="http://schemas.openxmlformats.org/officeDocument/2006/relationships/hyperlink" Target="https://bulbapedia.bulbagarden.net/wiki/Judge_(BREAKthrough_143)" TargetMode="External"/><Relationship Id="rId54" Type="http://schemas.openxmlformats.org/officeDocument/2006/relationships/hyperlink" Target="https://bulbapedia.bulbagarden.net/wiki/Gengar_(BREAKthrough_60)" TargetMode="External"/><Relationship Id="rId70" Type="http://schemas.openxmlformats.org/officeDocument/2006/relationships/hyperlink" Target="https://bulbapedia.bulbagarden.net/wiki/Piloswine_(BREAKthrough_81)" TargetMode="External"/><Relationship Id="rId75" Type="http://schemas.openxmlformats.org/officeDocument/2006/relationships/hyperlink" Target="https://bulbapedia.bulbagarden.net/wiki/Pancham_(BREAKthrough_86)" TargetMode="External"/><Relationship Id="rId91" Type="http://schemas.openxmlformats.org/officeDocument/2006/relationships/hyperlink" Target="https://bulbapedia.bulbagarden.net/wiki/Florges_(BREAKthrough_103)" TargetMode="External"/><Relationship Id="rId96" Type="http://schemas.openxmlformats.org/officeDocument/2006/relationships/hyperlink" Target="https://bulbapedia.bulbagarden.net/wiki/Axew_(BREAKthrough_109)" TargetMode="External"/><Relationship Id="rId140" Type="http://schemas.openxmlformats.org/officeDocument/2006/relationships/hyperlink" Target="https://bulbapedia.bulbagarden.net/wiki/Giovanni%27s_Scheme_(BREAKthrough_162)" TargetMode="External"/><Relationship Id="rId1" Type="http://schemas.openxmlformats.org/officeDocument/2006/relationships/hyperlink" Target="https://bulbapedia.bulbagarden.net/wiki/Paras_(BREAKthrough_1)" TargetMode="External"/><Relationship Id="rId6" Type="http://schemas.openxmlformats.org/officeDocument/2006/relationships/hyperlink" Target="https://bulbapedia.bulbagarden.net/wiki/Simisage_(BREAKthrough_6)" TargetMode="External"/><Relationship Id="rId23" Type="http://schemas.openxmlformats.org/officeDocument/2006/relationships/hyperlink" Target="https://bulbapedia.bulbagarden.net/wiki/Braixen_(BREAKthrough_26)" TargetMode="External"/><Relationship Id="rId28" Type="http://schemas.openxmlformats.org/officeDocument/2006/relationships/hyperlink" Target="https://bulbapedia.bulbagarden.net/wiki/Remoraid_(BREAKthrough_31)" TargetMode="External"/><Relationship Id="rId49" Type="http://schemas.openxmlformats.org/officeDocument/2006/relationships/hyperlink" Target="https://bulbapedia.bulbagarden.net/wiki/Raikou_(BREAKthrough_55)" TargetMode="External"/><Relationship Id="rId114" Type="http://schemas.openxmlformats.org/officeDocument/2006/relationships/hyperlink" Target="https://bulbapedia.bulbagarden.net/wiki/Chatot_(BREAKthrough_128)" TargetMode="External"/><Relationship Id="rId119" Type="http://schemas.openxmlformats.org/officeDocument/2006/relationships/hyperlink" Target="https://bulbapedia.bulbagarden.net/wiki/Assault_Vest_(BREAKthrough_133)" TargetMode="External"/><Relationship Id="rId44" Type="http://schemas.openxmlformats.org/officeDocument/2006/relationships/hyperlink" Target="https://bulbapedia.bulbagarden.net/wiki/Raichu_(BREAKthrough_49)" TargetMode="External"/><Relationship Id="rId60" Type="http://schemas.openxmlformats.org/officeDocument/2006/relationships/hyperlink" Target="https://bulbapedia.bulbagarden.net/wiki/Cresselia_(BREAKthrough_70)" TargetMode="External"/><Relationship Id="rId65" Type="http://schemas.openxmlformats.org/officeDocument/2006/relationships/hyperlink" Target="https://bulbapedia.bulbagarden.net/wiki/Sandshrew_(BREAKthrough_75)" TargetMode="External"/><Relationship Id="rId81" Type="http://schemas.openxmlformats.org/officeDocument/2006/relationships/hyperlink" Target="https://bulbapedia.bulbagarden.net/wiki/Inkay_(BREAKthrough_93)" TargetMode="External"/><Relationship Id="rId86" Type="http://schemas.openxmlformats.org/officeDocument/2006/relationships/hyperlink" Target="https://bulbapedia.bulbagarden.net/wiki/Snubbull_(BREAKthrough_98)" TargetMode="External"/><Relationship Id="rId130" Type="http://schemas.openxmlformats.org/officeDocument/2006/relationships/hyperlink" Target="https://bulbapedia.bulbagarden.net/wiki/Mewtwo_Spirit_Link_(BREAKthrough_144)" TargetMode="External"/><Relationship Id="rId135" Type="http://schemas.openxmlformats.org/officeDocument/2006/relationships/hyperlink" Target="https://bulbapedia.bulbagarden.net/wiki/Super_Rod_(BREAKthrough_149)" TargetMode="External"/><Relationship Id="rId13" Type="http://schemas.openxmlformats.org/officeDocument/2006/relationships/hyperlink" Target="https://bulbapedia.bulbagarden.net/wiki/Spewpa_(BREAKthrough_14)" TargetMode="External"/><Relationship Id="rId18" Type="http://schemas.openxmlformats.org/officeDocument/2006/relationships/hyperlink" Target="https://bulbapedia.bulbagarden.net/wiki/Quilava_(BREAKthrough_19)" TargetMode="External"/><Relationship Id="rId39" Type="http://schemas.openxmlformats.org/officeDocument/2006/relationships/hyperlink" Target="https://bulbapedia.bulbagarden.net/wiki/Vanillish_(BREAKthrough_44)" TargetMode="External"/><Relationship Id="rId109" Type="http://schemas.openxmlformats.org/officeDocument/2006/relationships/hyperlink" Target="https://bulbapedia.bulbagarden.net/wiki/Smeargle_(BREAKthrough_123)" TargetMode="External"/><Relationship Id="rId34" Type="http://schemas.openxmlformats.org/officeDocument/2006/relationships/hyperlink" Target="https://bulbapedia.bulbagarden.net/wiki/Snover_(BREAKthrough_39)" TargetMode="External"/><Relationship Id="rId50" Type="http://schemas.openxmlformats.org/officeDocument/2006/relationships/hyperlink" Target="https://bulbapedia.bulbagarden.net/wiki/Stunfisk_(BREAKthrough_56)" TargetMode="External"/><Relationship Id="rId55" Type="http://schemas.openxmlformats.org/officeDocument/2006/relationships/hyperlink" Target="https://bulbapedia.bulbagarden.net/wiki/Misdreavus_(BREAKthrough_65)" TargetMode="External"/><Relationship Id="rId76" Type="http://schemas.openxmlformats.org/officeDocument/2006/relationships/hyperlink" Target="https://bulbapedia.bulbagarden.net/wiki/Hawlucha_(BREAKthrough_87)" TargetMode="External"/><Relationship Id="rId97" Type="http://schemas.openxmlformats.org/officeDocument/2006/relationships/hyperlink" Target="https://bulbapedia.bulbagarden.net/wiki/Fraxure_(BREAKthrough_110)" TargetMode="External"/><Relationship Id="rId104" Type="http://schemas.openxmlformats.org/officeDocument/2006/relationships/hyperlink" Target="https://bulbapedia.bulbagarden.net/wiki/Snorlax_(BREAKthrough_118)" TargetMode="External"/><Relationship Id="rId120" Type="http://schemas.openxmlformats.org/officeDocument/2006/relationships/hyperlink" Target="https://bulbapedia.bulbagarden.net/wiki/Brigette_(BREAKthrough_134)" TargetMode="External"/><Relationship Id="rId125" Type="http://schemas.openxmlformats.org/officeDocument/2006/relationships/hyperlink" Target="https://bulbapedia.bulbagarden.net/wiki/Glalie_Spirit_Link_(BREAKthrough_139)" TargetMode="External"/><Relationship Id="rId7" Type="http://schemas.openxmlformats.org/officeDocument/2006/relationships/hyperlink" Target="https://bulbapedia.bulbagarden.net/wiki/Chespin_(BREAKthrough_7)" TargetMode="External"/><Relationship Id="rId71" Type="http://schemas.openxmlformats.org/officeDocument/2006/relationships/hyperlink" Target="https://bulbapedia.bulbagarden.net/wiki/Mamoswine_(BREAKthrough_82)" TargetMode="External"/><Relationship Id="rId92" Type="http://schemas.openxmlformats.org/officeDocument/2006/relationships/hyperlink" Target="https://bulbapedia.bulbagarden.net/wiki/Spritzee_(BREAKthrough_105)" TargetMode="External"/><Relationship Id="rId2" Type="http://schemas.openxmlformats.org/officeDocument/2006/relationships/hyperlink" Target="https://bulbapedia.bulbagarden.net/wiki/Parasect_(BREAKthrough_2)" TargetMode="External"/><Relationship Id="rId29" Type="http://schemas.openxmlformats.org/officeDocument/2006/relationships/hyperlink" Target="https://bulbapedia.bulbagarden.net/wiki/Remoraid_(BREAKthrough_32)" TargetMode="External"/><Relationship Id="rId24" Type="http://schemas.openxmlformats.org/officeDocument/2006/relationships/hyperlink" Target="https://bulbapedia.bulbagarden.net/wiki/Goldeen_(BREAKthrough_27)" TargetMode="External"/><Relationship Id="rId40" Type="http://schemas.openxmlformats.org/officeDocument/2006/relationships/hyperlink" Target="https://bulbapedia.bulbagarden.net/wiki/Vanilluxe_(BREAKthrough_45)" TargetMode="External"/><Relationship Id="rId45" Type="http://schemas.openxmlformats.org/officeDocument/2006/relationships/hyperlink" Target="https://bulbapedia.bulbagarden.net/wiki/Magnemite_(BREAKthrough_51)" TargetMode="External"/><Relationship Id="rId66" Type="http://schemas.openxmlformats.org/officeDocument/2006/relationships/hyperlink" Target="https://bulbapedia.bulbagarden.net/wiki/Sandslash_(BREAKthrough_76)" TargetMode="External"/><Relationship Id="rId87" Type="http://schemas.openxmlformats.org/officeDocument/2006/relationships/hyperlink" Target="https://bulbapedia.bulbagarden.net/wiki/Granbull_(BREAKthrough_99)" TargetMode="External"/><Relationship Id="rId110" Type="http://schemas.openxmlformats.org/officeDocument/2006/relationships/hyperlink" Target="https://bulbapedia.bulbagarden.net/wiki/Swablu_(BREAKthrough_124)" TargetMode="External"/><Relationship Id="rId115" Type="http://schemas.openxmlformats.org/officeDocument/2006/relationships/hyperlink" Target="https://bulbapedia.bulbagarden.net/wiki/Rufflet_(BREAKthrough_129)" TargetMode="External"/><Relationship Id="rId131" Type="http://schemas.openxmlformats.org/officeDocument/2006/relationships/hyperlink" Target="https://bulbapedia.bulbagarden.net/wiki/Parallel_City_(BREAKthrough_145)" TargetMode="External"/><Relationship Id="rId136" Type="http://schemas.openxmlformats.org/officeDocument/2006/relationships/hyperlink" Target="https://bulbapedia.bulbagarden.net/wiki/Town_Map_(BREAKthrough_150)" TargetMode="External"/><Relationship Id="rId61" Type="http://schemas.openxmlformats.org/officeDocument/2006/relationships/hyperlink" Target="https://bulbapedia.bulbagarden.net/wiki/Woobat_(BREAKthrough_71)" TargetMode="External"/><Relationship Id="rId82" Type="http://schemas.openxmlformats.org/officeDocument/2006/relationships/hyperlink" Target="https://bulbapedia.bulbagarden.net/wiki/Yveltal_(BREAKthrough_94)" TargetMode="External"/><Relationship Id="rId19" Type="http://schemas.openxmlformats.org/officeDocument/2006/relationships/hyperlink" Target="https://bulbapedia.bulbagarden.net/wiki/Typhlosion_(BREAKthrough_20)" TargetMode="External"/><Relationship Id="rId14" Type="http://schemas.openxmlformats.org/officeDocument/2006/relationships/hyperlink" Target="https://bulbapedia.bulbagarden.net/wiki/Vivillon_(BREAKthrough_15)" TargetMode="External"/><Relationship Id="rId30" Type="http://schemas.openxmlformats.org/officeDocument/2006/relationships/hyperlink" Target="https://bulbapedia.bulbagarden.net/wiki/Octillery_(BREAKthrough_33)" TargetMode="External"/><Relationship Id="rId35" Type="http://schemas.openxmlformats.org/officeDocument/2006/relationships/hyperlink" Target="https://bulbapedia.bulbagarden.net/wiki/Abomasnow_(BREAKthrough_40)" TargetMode="External"/><Relationship Id="rId56" Type="http://schemas.openxmlformats.org/officeDocument/2006/relationships/hyperlink" Target="https://bulbapedia.bulbagarden.net/wiki/Mismagius_(BREAKthrough_66)" TargetMode="External"/><Relationship Id="rId77" Type="http://schemas.openxmlformats.org/officeDocument/2006/relationships/hyperlink" Target="https://bulbapedia.bulbagarden.net/wiki/Cacturne_(BREAKthrough_88)" TargetMode="External"/><Relationship Id="rId100" Type="http://schemas.openxmlformats.org/officeDocument/2006/relationships/hyperlink" Target="https://bulbapedia.bulbagarden.net/wiki/Meowth_(BREAKthrough_114)" TargetMode="External"/><Relationship Id="rId105" Type="http://schemas.openxmlformats.org/officeDocument/2006/relationships/hyperlink" Target="https://bulbapedia.bulbagarden.net/wiki/Hoothoot_(BREAKthrough_119)" TargetMode="External"/><Relationship Id="rId126" Type="http://schemas.openxmlformats.org/officeDocument/2006/relationships/hyperlink" Target="https://bulbapedia.bulbagarden.net/wiki/Heavy_Ball_(BREAKthrough_140)" TargetMode="External"/><Relationship Id="rId8" Type="http://schemas.openxmlformats.org/officeDocument/2006/relationships/hyperlink" Target="https://bulbapedia.bulbagarden.net/wiki/Chespin_(BREAKthrough_8)" TargetMode="External"/><Relationship Id="rId51" Type="http://schemas.openxmlformats.org/officeDocument/2006/relationships/hyperlink" Target="https://bulbapedia.bulbagarden.net/wiki/Dedenne_(BREAKthrough_57)" TargetMode="External"/><Relationship Id="rId72" Type="http://schemas.openxmlformats.org/officeDocument/2006/relationships/hyperlink" Target="https://bulbapedia.bulbagarden.net/wiki/Hippopotas_(BREAKthrough_83)" TargetMode="External"/><Relationship Id="rId93" Type="http://schemas.openxmlformats.org/officeDocument/2006/relationships/hyperlink" Target="https://bulbapedia.bulbagarden.net/wiki/Aromatisse_(BREAKthrough_106)" TargetMode="External"/><Relationship Id="rId98" Type="http://schemas.openxmlformats.org/officeDocument/2006/relationships/hyperlink" Target="https://bulbapedia.bulbagarden.net/wiki/Haxorus_(BREAKthrough_111)" TargetMode="External"/><Relationship Id="rId121" Type="http://schemas.openxmlformats.org/officeDocument/2006/relationships/hyperlink" Target="https://bulbapedia.bulbagarden.net/wiki/Buddy-Buddy_Rescue_(BREAKthrough_135)" TargetMode="External"/><Relationship Id="rId3" Type="http://schemas.openxmlformats.org/officeDocument/2006/relationships/hyperlink" Target="https://bulbapedia.bulbagarden.net/wiki/Pinsir_(BREAKthrough_3)" TargetMode="External"/><Relationship Id="rId25" Type="http://schemas.openxmlformats.org/officeDocument/2006/relationships/hyperlink" Target="https://bulbapedia.bulbagarden.net/wiki/Seaking_(BREAKthrough_28)" TargetMode="External"/><Relationship Id="rId46" Type="http://schemas.openxmlformats.org/officeDocument/2006/relationships/hyperlink" Target="https://bulbapedia.bulbagarden.net/wiki/Magnemite_(BREAKthrough_52)" TargetMode="External"/><Relationship Id="rId67" Type="http://schemas.openxmlformats.org/officeDocument/2006/relationships/hyperlink" Target="https://bulbapedia.bulbagarden.net/wiki/Cubone_(BREAKthrough_77)" TargetMode="External"/><Relationship Id="rId116" Type="http://schemas.openxmlformats.org/officeDocument/2006/relationships/hyperlink" Target="https://bulbapedia.bulbagarden.net/wiki/Braviary_(BREAKthrough_130)" TargetMode="External"/><Relationship Id="rId137" Type="http://schemas.openxmlformats.org/officeDocument/2006/relationships/hyperlink" Target="https://bulbapedia.bulbagarden.net/wiki/Burning_Energy_(BREAKthrough_151)" TargetMode="External"/><Relationship Id="rId20" Type="http://schemas.openxmlformats.org/officeDocument/2006/relationships/hyperlink" Target="https://bulbapedia.bulbagarden.net/wiki/Pansear_(BREAKthrough_23)" TargetMode="External"/><Relationship Id="rId41" Type="http://schemas.openxmlformats.org/officeDocument/2006/relationships/hyperlink" Target="https://bulbapedia.bulbagarden.net/wiki/Froakie_(BREAKthrough_46)" TargetMode="External"/><Relationship Id="rId62" Type="http://schemas.openxmlformats.org/officeDocument/2006/relationships/hyperlink" Target="https://bulbapedia.bulbagarden.net/wiki/Swoobat_(BREAKthrough_72)" TargetMode="External"/><Relationship Id="rId83" Type="http://schemas.openxmlformats.org/officeDocument/2006/relationships/hyperlink" Target="https://bulbapedia.bulbagarden.net/wiki/Bronzor_(BREAKthrough_95)" TargetMode="External"/><Relationship Id="rId88" Type="http://schemas.openxmlformats.org/officeDocument/2006/relationships/hyperlink" Target="https://bulbapedia.bulbagarden.net/wiki/Ralts_(BREAKthrough_100)" TargetMode="External"/><Relationship Id="rId111" Type="http://schemas.openxmlformats.org/officeDocument/2006/relationships/hyperlink" Target="https://bulbapedia.bulbagarden.net/wiki/Starly_(BREAKthrough_125)" TargetMode="External"/><Relationship Id="rId132" Type="http://schemas.openxmlformats.org/officeDocument/2006/relationships/hyperlink" Target="https://bulbapedia.bulbagarden.net/wiki/Professor%27s_Letter_(BREAKthrough_146)" TargetMode="External"/><Relationship Id="rId15" Type="http://schemas.openxmlformats.org/officeDocument/2006/relationships/hyperlink" Target="https://bulbapedia.bulbagarden.net/wiki/Skiddo_(BREAKthrough_16)" TargetMode="External"/><Relationship Id="rId36" Type="http://schemas.openxmlformats.org/officeDocument/2006/relationships/hyperlink" Target="https://bulbapedia.bulbagarden.net/wiki/Panpour_(BREAKthrough_41)" TargetMode="External"/><Relationship Id="rId57" Type="http://schemas.openxmlformats.org/officeDocument/2006/relationships/hyperlink" Target="https://bulbapedia.bulbagarden.net/wiki/Wobbuffet_(BREAKthrough_67)" TargetMode="External"/><Relationship Id="rId106" Type="http://schemas.openxmlformats.org/officeDocument/2006/relationships/hyperlink" Target="https://bulbapedia.bulbagarden.net/wiki/Noctowl_(BREAKthrough_120)" TargetMode="External"/><Relationship Id="rId127" Type="http://schemas.openxmlformats.org/officeDocument/2006/relationships/hyperlink" Target="https://bulbapedia.bulbagarden.net/wiki/Heavy_Boots_(BREAKthrough_141)" TargetMode="External"/><Relationship Id="rId10" Type="http://schemas.openxmlformats.org/officeDocument/2006/relationships/hyperlink" Target="https://bulbapedia.bulbagarden.net/wiki/Quilladin_(BREAKthrough_10)" TargetMode="External"/><Relationship Id="rId31" Type="http://schemas.openxmlformats.org/officeDocument/2006/relationships/hyperlink" Target="https://bulbapedia.bulbagarden.net/wiki/Piplup_(BREAKthrough_36)" TargetMode="External"/><Relationship Id="rId52" Type="http://schemas.openxmlformats.org/officeDocument/2006/relationships/hyperlink" Target="https://bulbapedia.bulbagarden.net/wiki/Gastly_(BREAKthrough_58)" TargetMode="External"/><Relationship Id="rId73" Type="http://schemas.openxmlformats.org/officeDocument/2006/relationships/hyperlink" Target="https://bulbapedia.bulbagarden.net/wiki/Gallade_(BREAKthrough_84)" TargetMode="External"/><Relationship Id="rId78" Type="http://schemas.openxmlformats.org/officeDocument/2006/relationships/hyperlink" Target="https://bulbapedia.bulbagarden.net/wiki/Zorua_(BREAKthrough_89)" TargetMode="External"/><Relationship Id="rId94" Type="http://schemas.openxmlformats.org/officeDocument/2006/relationships/hyperlink" Target="https://bulbapedia.bulbagarden.net/wiki/Xerneas_(BREAKthrough_107)" TargetMode="External"/><Relationship Id="rId99" Type="http://schemas.openxmlformats.org/officeDocument/2006/relationships/hyperlink" Target="https://bulbapedia.bulbagarden.net/wiki/Noivern_(BREAKthrough_112)" TargetMode="External"/><Relationship Id="rId101" Type="http://schemas.openxmlformats.org/officeDocument/2006/relationships/hyperlink" Target="https://bulbapedia.bulbagarden.net/wiki/Doduo_(BREAKthrough_115)" TargetMode="External"/><Relationship Id="rId122" Type="http://schemas.openxmlformats.org/officeDocument/2006/relationships/hyperlink" Target="https://bulbapedia.bulbagarden.net/wiki/Fisherman_(BREAKthrough_136)" TargetMode="External"/><Relationship Id="rId4" Type="http://schemas.openxmlformats.org/officeDocument/2006/relationships/hyperlink" Target="https://bulbapedia.bulbagarden.net/wiki/Cacnea_(BREAKthrough_4)" TargetMode="External"/><Relationship Id="rId9" Type="http://schemas.openxmlformats.org/officeDocument/2006/relationships/hyperlink" Target="https://bulbapedia.bulbagarden.net/wiki/Chespin_(BREAKthrough_9)" TargetMode="External"/><Relationship Id="rId26" Type="http://schemas.openxmlformats.org/officeDocument/2006/relationships/hyperlink" Target="https://bulbapedia.bulbagarden.net/wiki/Staryu_(BREAKthrough_29)" TargetMode="External"/><Relationship Id="rId47" Type="http://schemas.openxmlformats.org/officeDocument/2006/relationships/hyperlink" Target="https://bulbapedia.bulbagarden.net/wiki/Magneton_(BREAKthrough_53)" TargetMode="External"/><Relationship Id="rId68" Type="http://schemas.openxmlformats.org/officeDocument/2006/relationships/hyperlink" Target="https://bulbapedia.bulbagarden.net/wiki/Marowak_(BREAKthrough_78)" TargetMode="External"/><Relationship Id="rId89" Type="http://schemas.openxmlformats.org/officeDocument/2006/relationships/hyperlink" Target="https://bulbapedia.bulbagarden.net/wiki/Flab%C3%A9b%C3%A9_(BREAKthrough_101)" TargetMode="External"/><Relationship Id="rId112" Type="http://schemas.openxmlformats.org/officeDocument/2006/relationships/hyperlink" Target="https://bulbapedia.bulbagarden.net/wiki/Staravia_(BREAKthrough_126)" TargetMode="External"/><Relationship Id="rId133" Type="http://schemas.openxmlformats.org/officeDocument/2006/relationships/hyperlink" Target="https://bulbapedia.bulbagarden.net/wiki/Reserved_Ticket_(BREAKthrough_147)" TargetMode="External"/></Relationships>
</file>

<file path=xl/worksheets/_rels/sheet61.xml.rels><?xml version="1.0" encoding="UTF-8" standalone="yes"?>
<Relationships xmlns="http://schemas.openxmlformats.org/package/2006/relationships"><Relationship Id="rId26" Type="http://schemas.openxmlformats.org/officeDocument/2006/relationships/hyperlink" Target="https://bulbapedia.bulbagarden.net/wiki/Suicune_(BREAKpoint_30)" TargetMode="External"/><Relationship Id="rId21" Type="http://schemas.openxmlformats.org/officeDocument/2006/relationships/hyperlink" Target="https://bulbapedia.bulbagarden.net/wiki/Shellder_(BREAKpoint_23)" TargetMode="External"/><Relationship Id="rId42" Type="http://schemas.openxmlformats.org/officeDocument/2006/relationships/hyperlink" Target="https://bulbapedia.bulbagarden.net/wiki/Drowzee_(BREAKpoint_50)" TargetMode="External"/><Relationship Id="rId47" Type="http://schemas.openxmlformats.org/officeDocument/2006/relationships/hyperlink" Target="https://bulbapedia.bulbagarden.net/wiki/Trubbish_(BREAKpoint_56)" TargetMode="External"/><Relationship Id="rId63" Type="http://schemas.openxmlformats.org/officeDocument/2006/relationships/hyperlink" Target="https://bulbapedia.bulbagarden.net/wiki/Shiftry_(BREAKpoint_73)" TargetMode="External"/><Relationship Id="rId68" Type="http://schemas.openxmlformats.org/officeDocument/2006/relationships/hyperlink" Target="https://bulbapedia.bulbagarden.net/wiki/Clefairy_(BREAKpoint_81)" TargetMode="External"/><Relationship Id="rId84" Type="http://schemas.openxmlformats.org/officeDocument/2006/relationships/hyperlink" Target="https://bulbapedia.bulbagarden.net/wiki/Great_Ball_(BREAKpoint_100)" TargetMode="External"/><Relationship Id="rId89" Type="http://schemas.openxmlformats.org/officeDocument/2006/relationships/hyperlink" Target="https://bulbapedia.bulbagarden.net/wiki/Pok%C3%A9mon_Catcher_(BREAKpoint_105)" TargetMode="External"/><Relationship Id="rId16" Type="http://schemas.openxmlformats.org/officeDocument/2006/relationships/hyperlink" Target="https://bulbapedia.bulbagarden.net/wiki/Golduck_(BREAKpoint_17)" TargetMode="External"/><Relationship Id="rId11" Type="http://schemas.openxmlformats.org/officeDocument/2006/relationships/hyperlink" Target="https://bulbapedia.bulbagarden.net/wiki/Arcanine_(BREAKpoint_11)" TargetMode="External"/><Relationship Id="rId32" Type="http://schemas.openxmlformats.org/officeDocument/2006/relationships/hyperlink" Target="https://bulbapedia.bulbagarden.net/wiki/Froakie_(BREAKpoint_38)" TargetMode="External"/><Relationship Id="rId37" Type="http://schemas.openxmlformats.org/officeDocument/2006/relationships/hyperlink" Target="https://bulbapedia.bulbagarden.net/wiki/Shinx_(BREAKpoint_44)" TargetMode="External"/><Relationship Id="rId53" Type="http://schemas.openxmlformats.org/officeDocument/2006/relationships/hyperlink" Target="https://bulbapedia.bulbagarden.net/wiki/Aegislash_(BREAKpoint_62)" TargetMode="External"/><Relationship Id="rId58" Type="http://schemas.openxmlformats.org/officeDocument/2006/relationships/hyperlink" Target="https://bulbapedia.bulbagarden.net/wiki/Gible_(BREAKpoint_68)" TargetMode="External"/><Relationship Id="rId74" Type="http://schemas.openxmlformats.org/officeDocument/2006/relationships/hyperlink" Target="https://bulbapedia.bulbagarden.net/wiki/Raticate_(BREAKpoint_88)" TargetMode="External"/><Relationship Id="rId79" Type="http://schemas.openxmlformats.org/officeDocument/2006/relationships/hyperlink" Target="https://bulbapedia.bulbagarden.net/wiki/Furfrou_(BREAKpoint_95)" TargetMode="External"/><Relationship Id="rId5" Type="http://schemas.openxmlformats.org/officeDocument/2006/relationships/hyperlink" Target="https://bulbapedia.bulbagarden.net/wiki/Kricketot_(BREAKpoint_5)" TargetMode="External"/><Relationship Id="rId90" Type="http://schemas.openxmlformats.org/officeDocument/2006/relationships/hyperlink" Target="https://bulbapedia.bulbagarden.net/wiki/Potion_(BREAKpoint_106)" TargetMode="External"/><Relationship Id="rId95" Type="http://schemas.openxmlformats.org/officeDocument/2006/relationships/hyperlink" Target="https://bulbapedia.bulbagarden.net/wiki/Scizor_Spirit_Link_(BREAKpoint_111)" TargetMode="External"/><Relationship Id="rId22" Type="http://schemas.openxmlformats.org/officeDocument/2006/relationships/hyperlink" Target="https://bulbapedia.bulbagarden.net/wiki/Cloyster_(BREAKpoint_24)" TargetMode="External"/><Relationship Id="rId27" Type="http://schemas.openxmlformats.org/officeDocument/2006/relationships/hyperlink" Target="https://bulbapedia.bulbagarden.net/wiki/Tympole_(BREAKpoint_33)" TargetMode="External"/><Relationship Id="rId43" Type="http://schemas.openxmlformats.org/officeDocument/2006/relationships/hyperlink" Target="https://bulbapedia.bulbagarden.net/wiki/Hypno_(BREAKpoint_51)" TargetMode="External"/><Relationship Id="rId48" Type="http://schemas.openxmlformats.org/officeDocument/2006/relationships/hyperlink" Target="https://bulbapedia.bulbagarden.net/wiki/Garbodor_(BREAKpoint_57)" TargetMode="External"/><Relationship Id="rId64" Type="http://schemas.openxmlformats.org/officeDocument/2006/relationships/hyperlink" Target="https://bulbapedia.bulbagarden.net/wiki/Pangoro_(BREAKpoint_75)" TargetMode="External"/><Relationship Id="rId69" Type="http://schemas.openxmlformats.org/officeDocument/2006/relationships/hyperlink" Target="https://bulbapedia.bulbagarden.net/wiki/Clefable_(BREAKpoint_82)" TargetMode="External"/><Relationship Id="rId80" Type="http://schemas.openxmlformats.org/officeDocument/2006/relationships/hyperlink" Target="https://bulbapedia.bulbagarden.net/wiki/All-Night_Party_(BREAKpoint_96)" TargetMode="External"/><Relationship Id="rId85" Type="http://schemas.openxmlformats.org/officeDocument/2006/relationships/hyperlink" Target="https://bulbapedia.bulbagarden.net/wiki/Gyarados_Spirit_Link_(BREAKpoint_101)" TargetMode="External"/><Relationship Id="rId3" Type="http://schemas.openxmlformats.org/officeDocument/2006/relationships/hyperlink" Target="https://bulbapedia.bulbagarden.net/wiki/Meganium_(BREAKpoint_3)" TargetMode="External"/><Relationship Id="rId12" Type="http://schemas.openxmlformats.org/officeDocument/2006/relationships/hyperlink" Target="https://bulbapedia.bulbagarden.net/wiki/Numel_(BREAKpoint_12)" TargetMode="External"/><Relationship Id="rId17" Type="http://schemas.openxmlformats.org/officeDocument/2006/relationships/hyperlink" Target="https://bulbapedia.bulbagarden.net/wiki/Slowpoke_(BREAKpoint_19)" TargetMode="External"/><Relationship Id="rId25" Type="http://schemas.openxmlformats.org/officeDocument/2006/relationships/hyperlink" Target="https://bulbapedia.bulbagarden.net/wiki/Corsola_(BREAKpoint_29)" TargetMode="External"/><Relationship Id="rId33" Type="http://schemas.openxmlformats.org/officeDocument/2006/relationships/hyperlink" Target="https://bulbapedia.bulbagarden.net/wiki/Frogadier_(BREAKpoint_39)" TargetMode="External"/><Relationship Id="rId38" Type="http://schemas.openxmlformats.org/officeDocument/2006/relationships/hyperlink" Target="https://bulbapedia.bulbagarden.net/wiki/Luxio_(BREAKpoint_45)" TargetMode="External"/><Relationship Id="rId46" Type="http://schemas.openxmlformats.org/officeDocument/2006/relationships/hyperlink" Target="https://bulbapedia.bulbagarden.net/wiki/Sigilyph_(BREAKpoint_55)" TargetMode="External"/><Relationship Id="rId59" Type="http://schemas.openxmlformats.org/officeDocument/2006/relationships/hyperlink" Target="https://bulbapedia.bulbagarden.net/wiki/Gabite_(BREAKpoint_69)" TargetMode="External"/><Relationship Id="rId67" Type="http://schemas.openxmlformats.org/officeDocument/2006/relationships/hyperlink" Target="https://bulbapedia.bulbagarden.net/wiki/Ferrothorn_(BREAKpoint_80)" TargetMode="External"/><Relationship Id="rId20" Type="http://schemas.openxmlformats.org/officeDocument/2006/relationships/hyperlink" Target="https://bulbapedia.bulbagarden.net/wiki/Shellder_(BREAKpoint_22)" TargetMode="External"/><Relationship Id="rId41" Type="http://schemas.openxmlformats.org/officeDocument/2006/relationships/hyperlink" Target="https://bulbapedia.bulbagarden.net/wiki/Zebstrika_(BREAKpoint_49)" TargetMode="External"/><Relationship Id="rId54" Type="http://schemas.openxmlformats.org/officeDocument/2006/relationships/hyperlink" Target="https://bulbapedia.bulbagarden.net/wiki/Skrelp_(BREAKpoint_63)" TargetMode="External"/><Relationship Id="rId62" Type="http://schemas.openxmlformats.org/officeDocument/2006/relationships/hyperlink" Target="https://bulbapedia.bulbagarden.net/wiki/Nuzleaf_(BREAKpoint_72)" TargetMode="External"/><Relationship Id="rId70" Type="http://schemas.openxmlformats.org/officeDocument/2006/relationships/hyperlink" Target="https://bulbapedia.bulbagarden.net/wiki/Spritzee_(BREAKpoint_84)" TargetMode="External"/><Relationship Id="rId75" Type="http://schemas.openxmlformats.org/officeDocument/2006/relationships/hyperlink" Target="https://bulbapedia.bulbagarden.net/wiki/Dunsparce_(BREAKpoint_90)" TargetMode="External"/><Relationship Id="rId83" Type="http://schemas.openxmlformats.org/officeDocument/2006/relationships/hyperlink" Target="https://bulbapedia.bulbagarden.net/wiki/Fighting_Fury_Belt_(BREAKpoint_99)" TargetMode="External"/><Relationship Id="rId88" Type="http://schemas.openxmlformats.org/officeDocument/2006/relationships/hyperlink" Target="https://bulbapedia.bulbagarden.net/wiki/Misty%27s_Determination_(BREAKpoint_104)" TargetMode="External"/><Relationship Id="rId91" Type="http://schemas.openxmlformats.org/officeDocument/2006/relationships/hyperlink" Target="https://bulbapedia.bulbagarden.net/wiki/Professor_Sycamore_(BREAKpoint_107)" TargetMode="External"/><Relationship Id="rId96" Type="http://schemas.openxmlformats.org/officeDocument/2006/relationships/hyperlink" Target="https://bulbapedia.bulbagarden.net/wiki/Tierno_(BREAKpoint_112)" TargetMode="External"/><Relationship Id="rId1" Type="http://schemas.openxmlformats.org/officeDocument/2006/relationships/hyperlink" Target="https://bulbapedia.bulbagarden.net/wiki/Chikorita_(BREAKpoint_1)" TargetMode="External"/><Relationship Id="rId6" Type="http://schemas.openxmlformats.org/officeDocument/2006/relationships/hyperlink" Target="https://bulbapedia.bulbagarden.net/wiki/Kricketune_(BREAKpoint_6)" TargetMode="External"/><Relationship Id="rId15" Type="http://schemas.openxmlformats.org/officeDocument/2006/relationships/hyperlink" Target="https://bulbapedia.bulbagarden.net/wiki/Psyduck_(BREAKpoint_16)" TargetMode="External"/><Relationship Id="rId23" Type="http://schemas.openxmlformats.org/officeDocument/2006/relationships/hyperlink" Target="https://bulbapedia.bulbagarden.net/wiki/Staryu_(BREAKpoint_25)" TargetMode="External"/><Relationship Id="rId28" Type="http://schemas.openxmlformats.org/officeDocument/2006/relationships/hyperlink" Target="https://bulbapedia.bulbagarden.net/wiki/Palpitoad_(BREAKpoint_34)" TargetMode="External"/><Relationship Id="rId36" Type="http://schemas.openxmlformats.org/officeDocument/2006/relationships/hyperlink" Target="https://bulbapedia.bulbagarden.net/wiki/Electivire_(BREAKpoint_43)" TargetMode="External"/><Relationship Id="rId49" Type="http://schemas.openxmlformats.org/officeDocument/2006/relationships/hyperlink" Target="https://bulbapedia.bulbagarden.net/wiki/Espurr_(BREAKpoint_58)" TargetMode="External"/><Relationship Id="rId57" Type="http://schemas.openxmlformats.org/officeDocument/2006/relationships/hyperlink" Target="https://bulbapedia.bulbagarden.net/wiki/Sudowoodo_(BREAKpoint_67)" TargetMode="External"/><Relationship Id="rId10" Type="http://schemas.openxmlformats.org/officeDocument/2006/relationships/hyperlink" Target="https://bulbapedia.bulbagarden.net/wiki/Growlithe_(BREAKpoint_10)" TargetMode="External"/><Relationship Id="rId31" Type="http://schemas.openxmlformats.org/officeDocument/2006/relationships/hyperlink" Target="https://bulbapedia.bulbagarden.net/wiki/Swanna_(BREAKpoint_37)" TargetMode="External"/><Relationship Id="rId44" Type="http://schemas.openxmlformats.org/officeDocument/2006/relationships/hyperlink" Target="https://bulbapedia.bulbagarden.net/wiki/Skorupi_(BREAKpoint_53)" TargetMode="External"/><Relationship Id="rId52" Type="http://schemas.openxmlformats.org/officeDocument/2006/relationships/hyperlink" Target="https://bulbapedia.bulbagarden.net/wiki/Doublade_(BREAKpoint_61)" TargetMode="External"/><Relationship Id="rId60" Type="http://schemas.openxmlformats.org/officeDocument/2006/relationships/hyperlink" Target="https://bulbapedia.bulbagarden.net/wiki/Garchomp_(BREAKpoint_70)" TargetMode="External"/><Relationship Id="rId65" Type="http://schemas.openxmlformats.org/officeDocument/2006/relationships/hyperlink" Target="https://bulbapedia.bulbagarden.net/wiki/Mawile_(BREAKpoint_78)" TargetMode="External"/><Relationship Id="rId73" Type="http://schemas.openxmlformats.org/officeDocument/2006/relationships/hyperlink" Target="https://bulbapedia.bulbagarden.net/wiki/Rattata_(BREAKpoint_87)" TargetMode="External"/><Relationship Id="rId78" Type="http://schemas.openxmlformats.org/officeDocument/2006/relationships/hyperlink" Target="https://bulbapedia.bulbagarden.net/wiki/Purugly_(BREAKpoint_94)" TargetMode="External"/><Relationship Id="rId81" Type="http://schemas.openxmlformats.org/officeDocument/2006/relationships/hyperlink" Target="https://bulbapedia.bulbagarden.net/wiki/Bursting_Balloon_(BREAKpoint_97)" TargetMode="External"/><Relationship Id="rId86" Type="http://schemas.openxmlformats.org/officeDocument/2006/relationships/hyperlink" Target="https://bulbapedia.bulbagarden.net/wiki/Max_Elixir_(BREAKpoint_102)" TargetMode="External"/><Relationship Id="rId94" Type="http://schemas.openxmlformats.org/officeDocument/2006/relationships/hyperlink" Target="https://bulbapedia.bulbagarden.net/wiki/Reverse_Valley_(BREAKpoint_110)" TargetMode="External"/><Relationship Id="rId4" Type="http://schemas.openxmlformats.org/officeDocument/2006/relationships/hyperlink" Target="https://bulbapedia.bulbagarden.net/wiki/Seedot_(BREAKpoint_4)" TargetMode="External"/><Relationship Id="rId9" Type="http://schemas.openxmlformats.org/officeDocument/2006/relationships/hyperlink" Target="https://bulbapedia.bulbagarden.net/wiki/Durant_(BREAKpoint_9)" TargetMode="External"/><Relationship Id="rId13" Type="http://schemas.openxmlformats.org/officeDocument/2006/relationships/hyperlink" Target="https://bulbapedia.bulbagarden.net/wiki/Camerupt_(BREAKpoint_13)" TargetMode="External"/><Relationship Id="rId18" Type="http://schemas.openxmlformats.org/officeDocument/2006/relationships/hyperlink" Target="https://bulbapedia.bulbagarden.net/wiki/Slowbro_(BREAKpoint_20)" TargetMode="External"/><Relationship Id="rId39" Type="http://schemas.openxmlformats.org/officeDocument/2006/relationships/hyperlink" Target="https://bulbapedia.bulbagarden.net/wiki/Luxray_(BREAKpoint_46)" TargetMode="External"/><Relationship Id="rId34" Type="http://schemas.openxmlformats.org/officeDocument/2006/relationships/hyperlink" Target="https://bulbapedia.bulbagarden.net/wiki/Greninja_(BREAKpoint_40)" TargetMode="External"/><Relationship Id="rId50" Type="http://schemas.openxmlformats.org/officeDocument/2006/relationships/hyperlink" Target="https://bulbapedia.bulbagarden.net/wiki/Meowstic_(BREAKpoint_59)" TargetMode="External"/><Relationship Id="rId55" Type="http://schemas.openxmlformats.org/officeDocument/2006/relationships/hyperlink" Target="https://bulbapedia.bulbagarden.net/wiki/Phantump_(BREAKpoint_64)" TargetMode="External"/><Relationship Id="rId76" Type="http://schemas.openxmlformats.org/officeDocument/2006/relationships/hyperlink" Target="https://bulbapedia.bulbagarden.net/wiki/Stantler_(BREAKpoint_91)" TargetMode="External"/><Relationship Id="rId97" Type="http://schemas.openxmlformats.org/officeDocument/2006/relationships/hyperlink" Target="https://bulbapedia.bulbagarden.net/wiki/Splash_Energy_(BREAKpoint_113)" TargetMode="External"/><Relationship Id="rId7" Type="http://schemas.openxmlformats.org/officeDocument/2006/relationships/hyperlink" Target="https://bulbapedia.bulbagarden.net/wiki/Petilil_(BREAKpoint_7)" TargetMode="External"/><Relationship Id="rId71" Type="http://schemas.openxmlformats.org/officeDocument/2006/relationships/hyperlink" Target="https://bulbapedia.bulbagarden.net/wiki/Aromatisse_(BREAKpoint_85)" TargetMode="External"/><Relationship Id="rId92" Type="http://schemas.openxmlformats.org/officeDocument/2006/relationships/hyperlink" Target="https://bulbapedia.bulbagarden.net/wiki/Psychic%27s_Third_Eye_(BREAKpoint_108)" TargetMode="External"/><Relationship Id="rId2" Type="http://schemas.openxmlformats.org/officeDocument/2006/relationships/hyperlink" Target="https://bulbapedia.bulbagarden.net/wiki/Bayleef_(BREAKpoint_2)" TargetMode="External"/><Relationship Id="rId29" Type="http://schemas.openxmlformats.org/officeDocument/2006/relationships/hyperlink" Target="https://bulbapedia.bulbagarden.net/wiki/Seismitoad_(BREAKpoint_35)" TargetMode="External"/><Relationship Id="rId24" Type="http://schemas.openxmlformats.org/officeDocument/2006/relationships/hyperlink" Target="https://bulbapedia.bulbagarden.net/wiki/Lapras_(BREAKpoint_28)" TargetMode="External"/><Relationship Id="rId40" Type="http://schemas.openxmlformats.org/officeDocument/2006/relationships/hyperlink" Target="https://bulbapedia.bulbagarden.net/wiki/Blitzle_(BREAKpoint_48)" TargetMode="External"/><Relationship Id="rId45" Type="http://schemas.openxmlformats.org/officeDocument/2006/relationships/hyperlink" Target="https://bulbapedia.bulbagarden.net/wiki/Drapion_(BREAKpoint_54)" TargetMode="External"/><Relationship Id="rId66" Type="http://schemas.openxmlformats.org/officeDocument/2006/relationships/hyperlink" Target="https://bulbapedia.bulbagarden.net/wiki/Ferroseed_(BREAKpoint_79)" TargetMode="External"/><Relationship Id="rId87" Type="http://schemas.openxmlformats.org/officeDocument/2006/relationships/hyperlink" Target="https://bulbapedia.bulbagarden.net/wiki/Max_Potion_(BREAKpoint_103)" TargetMode="External"/><Relationship Id="rId61" Type="http://schemas.openxmlformats.org/officeDocument/2006/relationships/hyperlink" Target="https://bulbapedia.bulbagarden.net/wiki/Pancham_(BREAKpoint_71)" TargetMode="External"/><Relationship Id="rId82" Type="http://schemas.openxmlformats.org/officeDocument/2006/relationships/hyperlink" Target="https://bulbapedia.bulbagarden.net/wiki/Delinquent_(BREAKpoint_98)" TargetMode="External"/><Relationship Id="rId19" Type="http://schemas.openxmlformats.org/officeDocument/2006/relationships/hyperlink" Target="https://bulbapedia.bulbagarden.net/wiki/Slowking_(BREAKpoint_21)" TargetMode="External"/><Relationship Id="rId14" Type="http://schemas.openxmlformats.org/officeDocument/2006/relationships/hyperlink" Target="https://bulbapedia.bulbagarden.net/wiki/Heatmor_(BREAKpoint_15)" TargetMode="External"/><Relationship Id="rId30" Type="http://schemas.openxmlformats.org/officeDocument/2006/relationships/hyperlink" Target="https://bulbapedia.bulbagarden.net/wiki/Ducklett_(BREAKpoint_36)" TargetMode="External"/><Relationship Id="rId35" Type="http://schemas.openxmlformats.org/officeDocument/2006/relationships/hyperlink" Target="https://bulbapedia.bulbagarden.net/wiki/Electabuzz_(BREAKpoint_42)" TargetMode="External"/><Relationship Id="rId56" Type="http://schemas.openxmlformats.org/officeDocument/2006/relationships/hyperlink" Target="https://bulbapedia.bulbagarden.net/wiki/Trevenant_(BREAKpoint_65)" TargetMode="External"/><Relationship Id="rId77" Type="http://schemas.openxmlformats.org/officeDocument/2006/relationships/hyperlink" Target="https://bulbapedia.bulbagarden.net/wiki/Glameow_(BREAKpoint_93)" TargetMode="External"/><Relationship Id="rId8" Type="http://schemas.openxmlformats.org/officeDocument/2006/relationships/hyperlink" Target="https://bulbapedia.bulbagarden.net/wiki/Lilligant_(BREAKpoint_8)" TargetMode="External"/><Relationship Id="rId51" Type="http://schemas.openxmlformats.org/officeDocument/2006/relationships/hyperlink" Target="https://bulbapedia.bulbagarden.net/wiki/Honedge_(BREAKpoint_60)" TargetMode="External"/><Relationship Id="rId72" Type="http://schemas.openxmlformats.org/officeDocument/2006/relationships/hyperlink" Target="https://bulbapedia.bulbagarden.net/wiki/Dragalge_(BREAKpoint_86)" TargetMode="External"/><Relationship Id="rId93" Type="http://schemas.openxmlformats.org/officeDocument/2006/relationships/hyperlink" Target="https://bulbapedia.bulbagarden.net/wiki/Puzzle_of_Time_(BREAKpoint_109)" TargetMode="External"/><Relationship Id="rId98" Type="http://schemas.openxmlformats.org/officeDocument/2006/relationships/hyperlink" Target="https://bulbapedia.bulbagarden.net/wiki/Skyla_(BREAKpoint_122)" TargetMode="External"/></Relationships>
</file>

<file path=xl/worksheets/_rels/sheet62.xml.rels><?xml version="1.0" encoding="UTF-8" standalone="yes"?>
<Relationships xmlns="http://schemas.openxmlformats.org/package/2006/relationships"><Relationship Id="rId26" Type="http://schemas.openxmlformats.org/officeDocument/2006/relationships/hyperlink" Target="https://bulbapedia.bulbagarden.net/wiki/Jynx_(Generations_36)" TargetMode="External"/><Relationship Id="rId21" Type="http://schemas.openxmlformats.org/officeDocument/2006/relationships/hyperlink" Target="https://bulbapedia.bulbagarden.net/wiki/Golbat_(Generations_31)" TargetMode="External"/><Relationship Id="rId42" Type="http://schemas.openxmlformats.org/officeDocument/2006/relationships/hyperlink" Target="https://bulbapedia.bulbagarden.net/wiki/Persian_(Generations_54)" TargetMode="External"/><Relationship Id="rId47" Type="http://schemas.openxmlformats.org/officeDocument/2006/relationships/hyperlink" Target="https://bulbapedia.bulbagarden.net/wiki/Clemont_(Generations_59)" TargetMode="External"/><Relationship Id="rId63" Type="http://schemas.openxmlformats.org/officeDocument/2006/relationships/hyperlink" Target="https://bulbapedia.bulbagarden.net/wiki/Grass_Energy_(Generations_75)" TargetMode="External"/><Relationship Id="rId68" Type="http://schemas.openxmlformats.org/officeDocument/2006/relationships/hyperlink" Target="https://bulbapedia.bulbagarden.net/wiki/Fighting_Energy_(Generations_80)" TargetMode="External"/><Relationship Id="rId84" Type="http://schemas.openxmlformats.org/officeDocument/2006/relationships/hyperlink" Target="https://bulbapedia.bulbagarden.net/wiki/Espurr_(Generations_RC14)" TargetMode="External"/><Relationship Id="rId89" Type="http://schemas.openxmlformats.org/officeDocument/2006/relationships/hyperlink" Target="https://bulbapedia.bulbagarden.net/wiki/Swirlix_(Generations_RC19)" TargetMode="External"/><Relationship Id="rId16" Type="http://schemas.openxmlformats.org/officeDocument/2006/relationships/hyperlink" Target="https://bulbapedia.bulbagarden.net/wiki/Articuno_(Generations_25)" TargetMode="External"/><Relationship Id="rId11" Type="http://schemas.openxmlformats.org/officeDocument/2006/relationships/hyperlink" Target="https://bulbapedia.bulbagarden.net/wiki/Shellder_(Generations_19)" TargetMode="External"/><Relationship Id="rId32" Type="http://schemas.openxmlformats.org/officeDocument/2006/relationships/hyperlink" Target="https://bulbapedia.bulbagarden.net/wiki/Geodude_(Generations_43)" TargetMode="External"/><Relationship Id="rId37" Type="http://schemas.openxmlformats.org/officeDocument/2006/relationships/hyperlink" Target="https://bulbapedia.bulbagarden.net/wiki/Rhyhorn_(Generations_49)" TargetMode="External"/><Relationship Id="rId53" Type="http://schemas.openxmlformats.org/officeDocument/2006/relationships/hyperlink" Target="https://bulbapedia.bulbagarden.net/wiki/Max_Revive_(Generations_65)" TargetMode="External"/><Relationship Id="rId58" Type="http://schemas.openxmlformats.org/officeDocument/2006/relationships/hyperlink" Target="https://bulbapedia.bulbagarden.net/wiki/Revitalizer_(Generations_70)" TargetMode="External"/><Relationship Id="rId74" Type="http://schemas.openxmlformats.org/officeDocument/2006/relationships/hyperlink" Target="https://bulbapedia.bulbagarden.net/wiki/Charmander_(Generations_RC3)" TargetMode="External"/><Relationship Id="rId79" Type="http://schemas.openxmlformats.org/officeDocument/2006/relationships/hyperlink" Target="https://bulbapedia.bulbagarden.net/wiki/Raichu_(Generations_RC9)" TargetMode="External"/><Relationship Id="rId5" Type="http://schemas.openxmlformats.org/officeDocument/2006/relationships/hyperlink" Target="https://bulbapedia.bulbagarden.net/wiki/Parasect_(Generations_7)" TargetMode="External"/><Relationship Id="rId90" Type="http://schemas.openxmlformats.org/officeDocument/2006/relationships/hyperlink" Target="https://bulbapedia.bulbagarden.net/wiki/Slurpuff_(Generations_RC20)" TargetMode="External"/><Relationship Id="rId95" Type="http://schemas.openxmlformats.org/officeDocument/2006/relationships/hyperlink" Target="https://bulbapedia.bulbagarden.net/wiki/Floral_Crown_(Generations_RC26)" TargetMode="External"/><Relationship Id="rId22" Type="http://schemas.openxmlformats.org/officeDocument/2006/relationships/hyperlink" Target="https://bulbapedia.bulbagarden.net/wiki/Slowpoke_(Generations_32)" TargetMode="External"/><Relationship Id="rId27" Type="http://schemas.openxmlformats.org/officeDocument/2006/relationships/hyperlink" Target="https://bulbapedia.bulbagarden.net/wiki/Diglett_(Generations_38)" TargetMode="External"/><Relationship Id="rId43" Type="http://schemas.openxmlformats.org/officeDocument/2006/relationships/hyperlink" Target="https://bulbapedia.bulbagarden.net/wiki/Doduo_(Generations_55)" TargetMode="External"/><Relationship Id="rId48" Type="http://schemas.openxmlformats.org/officeDocument/2006/relationships/hyperlink" Target="https://bulbapedia.bulbagarden.net/wiki/Crushing_Hammer_(Generations_60)" TargetMode="External"/><Relationship Id="rId64" Type="http://schemas.openxmlformats.org/officeDocument/2006/relationships/hyperlink" Target="https://bulbapedia.bulbagarden.net/wiki/Fire_Energy_(Generations_76)" TargetMode="External"/><Relationship Id="rId69" Type="http://schemas.openxmlformats.org/officeDocument/2006/relationships/hyperlink" Target="https://bulbapedia.bulbagarden.net/wiki/Darkness_Energy_(Generations_81)" TargetMode="External"/><Relationship Id="rId80" Type="http://schemas.openxmlformats.org/officeDocument/2006/relationships/hyperlink" Target="https://bulbapedia.bulbagarden.net/wiki/Dedenne_(Generations_RC10)" TargetMode="External"/><Relationship Id="rId85" Type="http://schemas.openxmlformats.org/officeDocument/2006/relationships/hyperlink" Target="https://bulbapedia.bulbagarden.net/wiki/Meowstic_(Generations_RC15)" TargetMode="External"/><Relationship Id="rId3" Type="http://schemas.openxmlformats.org/officeDocument/2006/relationships/hyperlink" Target="https://bulbapedia.bulbagarden.net/wiki/Butterfree_(Generations_5)" TargetMode="External"/><Relationship Id="rId12" Type="http://schemas.openxmlformats.org/officeDocument/2006/relationships/hyperlink" Target="https://bulbapedia.bulbagarden.net/wiki/Cloyster_(Generations_20)" TargetMode="External"/><Relationship Id="rId17" Type="http://schemas.openxmlformats.org/officeDocument/2006/relationships/hyperlink" Target="https://bulbapedia.bulbagarden.net/wiki/Pikachu_(Generations_26)" TargetMode="External"/><Relationship Id="rId25" Type="http://schemas.openxmlformats.org/officeDocument/2006/relationships/hyperlink" Target="https://bulbapedia.bulbagarden.net/wiki/Gengar_(Generations_35)" TargetMode="External"/><Relationship Id="rId33" Type="http://schemas.openxmlformats.org/officeDocument/2006/relationships/hyperlink" Target="https://bulbapedia.bulbagarden.net/wiki/Graveler_(Generations_44)" TargetMode="External"/><Relationship Id="rId38" Type="http://schemas.openxmlformats.org/officeDocument/2006/relationships/hyperlink" Target="https://bulbapedia.bulbagarden.net/wiki/Clefairy_(Generations_50)" TargetMode="External"/><Relationship Id="rId46" Type="http://schemas.openxmlformats.org/officeDocument/2006/relationships/hyperlink" Target="https://bulbapedia.bulbagarden.net/wiki/Snorlax_(Generations_58)" TargetMode="External"/><Relationship Id="rId59" Type="http://schemas.openxmlformats.org/officeDocument/2006/relationships/hyperlink" Target="https://bulbapedia.bulbagarden.net/wiki/Red_Card_(Generations_71)" TargetMode="External"/><Relationship Id="rId67" Type="http://schemas.openxmlformats.org/officeDocument/2006/relationships/hyperlink" Target="https://bulbapedia.bulbagarden.net/wiki/Psychic_Energy_(Generations_79)" TargetMode="External"/><Relationship Id="rId20" Type="http://schemas.openxmlformats.org/officeDocument/2006/relationships/hyperlink" Target="https://bulbapedia.bulbagarden.net/wiki/Zubat_(Generations_30)" TargetMode="External"/><Relationship Id="rId41" Type="http://schemas.openxmlformats.org/officeDocument/2006/relationships/hyperlink" Target="https://bulbapedia.bulbagarden.net/wiki/Meowth_(Generations_53)" TargetMode="External"/><Relationship Id="rId54" Type="http://schemas.openxmlformats.org/officeDocument/2006/relationships/hyperlink" Target="https://bulbapedia.bulbagarden.net/wiki/Olympia_(Generations_66)" TargetMode="External"/><Relationship Id="rId62" Type="http://schemas.openxmlformats.org/officeDocument/2006/relationships/hyperlink" Target="https://bulbapedia.bulbagarden.net/wiki/Double_Colorless_Energy_(Generations_74)" TargetMode="External"/><Relationship Id="rId70" Type="http://schemas.openxmlformats.org/officeDocument/2006/relationships/hyperlink" Target="https://bulbapedia.bulbagarden.net/wiki/Metal_Energy_(Generations_82)" TargetMode="External"/><Relationship Id="rId75" Type="http://schemas.openxmlformats.org/officeDocument/2006/relationships/hyperlink" Target="https://bulbapedia.bulbagarden.net/wiki/Charmeleon_(Generations_RC4)" TargetMode="External"/><Relationship Id="rId83" Type="http://schemas.openxmlformats.org/officeDocument/2006/relationships/hyperlink" Target="https://bulbapedia.bulbagarden.net/wiki/Jirachi_(Generations_RC13)" TargetMode="External"/><Relationship Id="rId88" Type="http://schemas.openxmlformats.org/officeDocument/2006/relationships/hyperlink" Target="https://bulbapedia.bulbagarden.net/wiki/Floette_(Generations_RC18)" TargetMode="External"/><Relationship Id="rId91" Type="http://schemas.openxmlformats.org/officeDocument/2006/relationships/hyperlink" Target="https://bulbapedia.bulbagarden.net/wiki/Diancie_(Generations_RC22)" TargetMode="External"/><Relationship Id="rId96" Type="http://schemas.openxmlformats.org/officeDocument/2006/relationships/hyperlink" Target="https://bulbapedia.bulbagarden.net/wiki/Wally_(Generations_RC27)" TargetMode="External"/><Relationship Id="rId1" Type="http://schemas.openxmlformats.org/officeDocument/2006/relationships/hyperlink" Target="https://bulbapedia.bulbagarden.net/wiki/Caterpie_(Generations_3)" TargetMode="External"/><Relationship Id="rId6" Type="http://schemas.openxmlformats.org/officeDocument/2006/relationships/hyperlink" Target="https://bulbapedia.bulbagarden.net/wiki/Tangela_(Generations_8)" TargetMode="External"/><Relationship Id="rId15" Type="http://schemas.openxmlformats.org/officeDocument/2006/relationships/hyperlink" Target="https://bulbapedia.bulbagarden.net/wiki/Gyarados_(Generations_23)" TargetMode="External"/><Relationship Id="rId23" Type="http://schemas.openxmlformats.org/officeDocument/2006/relationships/hyperlink" Target="https://bulbapedia.bulbagarden.net/wiki/Gastly_(Generations_33)" TargetMode="External"/><Relationship Id="rId28" Type="http://schemas.openxmlformats.org/officeDocument/2006/relationships/hyperlink" Target="https://bulbapedia.bulbagarden.net/wiki/Dugtrio_(Generations_39)" TargetMode="External"/><Relationship Id="rId36" Type="http://schemas.openxmlformats.org/officeDocument/2006/relationships/hyperlink" Target="https://bulbapedia.bulbagarden.net/wiki/Hitmonchan_(Generations_48)" TargetMode="External"/><Relationship Id="rId49" Type="http://schemas.openxmlformats.org/officeDocument/2006/relationships/hyperlink" Target="https://bulbapedia.bulbagarden.net/wiki/Energy_Switch_(Generations_61)" TargetMode="External"/><Relationship Id="rId57" Type="http://schemas.openxmlformats.org/officeDocument/2006/relationships/hyperlink" Target="https://bulbapedia.bulbagarden.net/wiki/Pok%C3%A9mon_Fan_Club_(Generations_69)" TargetMode="External"/><Relationship Id="rId10" Type="http://schemas.openxmlformats.org/officeDocument/2006/relationships/hyperlink" Target="https://bulbapedia.bulbagarden.net/wiki/Magmar_(Generations_16)" TargetMode="External"/><Relationship Id="rId31" Type="http://schemas.openxmlformats.org/officeDocument/2006/relationships/hyperlink" Target="https://bulbapedia.bulbagarden.net/wiki/Machamp_(Generations_42)" TargetMode="External"/><Relationship Id="rId44" Type="http://schemas.openxmlformats.org/officeDocument/2006/relationships/hyperlink" Target="https://bulbapedia.bulbagarden.net/wiki/Dodrio_(Generations_56)" TargetMode="External"/><Relationship Id="rId52" Type="http://schemas.openxmlformats.org/officeDocument/2006/relationships/hyperlink" Target="https://bulbapedia.bulbagarden.net/wiki/Maintenance_(Generations_64)" TargetMode="External"/><Relationship Id="rId60" Type="http://schemas.openxmlformats.org/officeDocument/2006/relationships/hyperlink" Target="https://bulbapedia.bulbagarden.net/wiki/Shauna_(Generations_72)" TargetMode="External"/><Relationship Id="rId65" Type="http://schemas.openxmlformats.org/officeDocument/2006/relationships/hyperlink" Target="https://bulbapedia.bulbagarden.net/wiki/Water_Energy_(Generations_77)" TargetMode="External"/><Relationship Id="rId73" Type="http://schemas.openxmlformats.org/officeDocument/2006/relationships/hyperlink" Target="https://bulbapedia.bulbagarden.net/wiki/Shroomish_(Generations_RC2)" TargetMode="External"/><Relationship Id="rId78" Type="http://schemas.openxmlformats.org/officeDocument/2006/relationships/hyperlink" Target="https://bulbapedia.bulbagarden.net/wiki/Froslass_(Generations_RC8)" TargetMode="External"/><Relationship Id="rId81" Type="http://schemas.openxmlformats.org/officeDocument/2006/relationships/hyperlink" Target="https://bulbapedia.bulbagarden.net/wiki/Wobbuffet_(Generations_RC11)" TargetMode="External"/><Relationship Id="rId86" Type="http://schemas.openxmlformats.org/officeDocument/2006/relationships/hyperlink" Target="https://bulbapedia.bulbagarden.net/wiki/Yveltal_(Generations_RC16)" TargetMode="External"/><Relationship Id="rId94" Type="http://schemas.openxmlformats.org/officeDocument/2006/relationships/hyperlink" Target="https://bulbapedia.bulbagarden.net/wiki/Fletchling_(Generations_RC25)" TargetMode="External"/><Relationship Id="rId4" Type="http://schemas.openxmlformats.org/officeDocument/2006/relationships/hyperlink" Target="https://bulbapedia.bulbagarden.net/wiki/Paras_(Generations_6)" TargetMode="External"/><Relationship Id="rId9" Type="http://schemas.openxmlformats.org/officeDocument/2006/relationships/hyperlink" Target="https://bulbapedia.bulbagarden.net/wiki/Rapidash_(Generations_15)" TargetMode="External"/><Relationship Id="rId13" Type="http://schemas.openxmlformats.org/officeDocument/2006/relationships/hyperlink" Target="https://bulbapedia.bulbagarden.net/wiki/Krabby_(Generations_21)" TargetMode="External"/><Relationship Id="rId18" Type="http://schemas.openxmlformats.org/officeDocument/2006/relationships/hyperlink" Target="https://bulbapedia.bulbagarden.net/wiki/Raichu_(Generations_27)" TargetMode="External"/><Relationship Id="rId39" Type="http://schemas.openxmlformats.org/officeDocument/2006/relationships/hyperlink" Target="https://bulbapedia.bulbagarden.net/wiki/Clefable_(Generations_51)" TargetMode="External"/><Relationship Id="rId34" Type="http://schemas.openxmlformats.org/officeDocument/2006/relationships/hyperlink" Target="https://bulbapedia.bulbagarden.net/wiki/Golem_(Generations_45)" TargetMode="External"/><Relationship Id="rId50" Type="http://schemas.openxmlformats.org/officeDocument/2006/relationships/hyperlink" Target="https://bulbapedia.bulbagarden.net/wiki/Evosoda_(Generations_62)" TargetMode="External"/><Relationship Id="rId55" Type="http://schemas.openxmlformats.org/officeDocument/2006/relationships/hyperlink" Target="https://bulbapedia.bulbagarden.net/wiki/Pok%C3%A9_Ball_(Generations_67)" TargetMode="External"/><Relationship Id="rId76" Type="http://schemas.openxmlformats.org/officeDocument/2006/relationships/hyperlink" Target="https://bulbapedia.bulbagarden.net/wiki/Charizard_(Generations_RC5)" TargetMode="External"/><Relationship Id="rId97" Type="http://schemas.openxmlformats.org/officeDocument/2006/relationships/hyperlink" Target="https://bulbapedia.bulbagarden.net/wiki/Pikachu_(Generations_RC29)" TargetMode="External"/><Relationship Id="rId7" Type="http://schemas.openxmlformats.org/officeDocument/2006/relationships/hyperlink" Target="https://bulbapedia.bulbagarden.net/wiki/Pinsir_(Generations_9)" TargetMode="External"/><Relationship Id="rId71" Type="http://schemas.openxmlformats.org/officeDocument/2006/relationships/hyperlink" Target="https://bulbapedia.bulbagarden.net/wiki/Fairy_Energy_(Generations_83)" TargetMode="External"/><Relationship Id="rId92" Type="http://schemas.openxmlformats.org/officeDocument/2006/relationships/hyperlink" Target="https://bulbapedia.bulbagarden.net/wiki/Swablu_(Generations_RC23)" TargetMode="External"/><Relationship Id="rId2" Type="http://schemas.openxmlformats.org/officeDocument/2006/relationships/hyperlink" Target="https://bulbapedia.bulbagarden.net/wiki/Metapod_(Generations_4)" TargetMode="External"/><Relationship Id="rId29" Type="http://schemas.openxmlformats.org/officeDocument/2006/relationships/hyperlink" Target="https://bulbapedia.bulbagarden.net/wiki/Machop_(Generations_40)" TargetMode="External"/><Relationship Id="rId24" Type="http://schemas.openxmlformats.org/officeDocument/2006/relationships/hyperlink" Target="https://bulbapedia.bulbagarden.net/wiki/Haunter_(Generations_34)" TargetMode="External"/><Relationship Id="rId40" Type="http://schemas.openxmlformats.org/officeDocument/2006/relationships/hyperlink" Target="https://bulbapedia.bulbagarden.net/wiki/Mr._Mime_(Generations_52)" TargetMode="External"/><Relationship Id="rId45" Type="http://schemas.openxmlformats.org/officeDocument/2006/relationships/hyperlink" Target="https://bulbapedia.bulbagarden.net/wiki/Tauros_(Generations_57)" TargetMode="External"/><Relationship Id="rId66" Type="http://schemas.openxmlformats.org/officeDocument/2006/relationships/hyperlink" Target="https://bulbapedia.bulbagarden.net/wiki/Lightning_Energy_(Generations_78)" TargetMode="External"/><Relationship Id="rId87" Type="http://schemas.openxmlformats.org/officeDocument/2006/relationships/hyperlink" Target="https://bulbapedia.bulbagarden.net/wiki/Flab%C3%A9b%C3%A9_(Generations_RC17)" TargetMode="External"/><Relationship Id="rId61" Type="http://schemas.openxmlformats.org/officeDocument/2006/relationships/hyperlink" Target="https://bulbapedia.bulbagarden.net/wiki/Team_Flare_Grunt_(Generations_73)" TargetMode="External"/><Relationship Id="rId82" Type="http://schemas.openxmlformats.org/officeDocument/2006/relationships/hyperlink" Target="https://bulbapedia.bulbagarden.net/wiki/Gulpin_(Generations_RC12)" TargetMode="External"/><Relationship Id="rId19" Type="http://schemas.openxmlformats.org/officeDocument/2006/relationships/hyperlink" Target="https://bulbapedia.bulbagarden.net/wiki/Zapdos_(Generations_29)" TargetMode="External"/><Relationship Id="rId14" Type="http://schemas.openxmlformats.org/officeDocument/2006/relationships/hyperlink" Target="https://bulbapedia.bulbagarden.net/wiki/Magikarp_(Generations_22)" TargetMode="External"/><Relationship Id="rId30" Type="http://schemas.openxmlformats.org/officeDocument/2006/relationships/hyperlink" Target="https://bulbapedia.bulbagarden.net/wiki/Machoke_(Generations_41)" TargetMode="External"/><Relationship Id="rId35" Type="http://schemas.openxmlformats.org/officeDocument/2006/relationships/hyperlink" Target="https://bulbapedia.bulbagarden.net/wiki/Hitmonlee_(Generations_47)" TargetMode="External"/><Relationship Id="rId56" Type="http://schemas.openxmlformats.org/officeDocument/2006/relationships/hyperlink" Target="https://bulbapedia.bulbagarden.net/wiki/Pok%C3%A9mon_Center_Lady_(Generations_68)" TargetMode="External"/><Relationship Id="rId77" Type="http://schemas.openxmlformats.org/officeDocument/2006/relationships/hyperlink" Target="https://bulbapedia.bulbagarden.net/wiki/Snorunt_(Generations_RC7)" TargetMode="External"/><Relationship Id="rId8" Type="http://schemas.openxmlformats.org/officeDocument/2006/relationships/hyperlink" Target="https://bulbapedia.bulbagarden.net/wiki/Ponyta_(Generations_14)" TargetMode="External"/><Relationship Id="rId51" Type="http://schemas.openxmlformats.org/officeDocument/2006/relationships/hyperlink" Target="https://bulbapedia.bulbagarden.net/wiki/Imakuni%3F_(Generations_63)" TargetMode="External"/><Relationship Id="rId72" Type="http://schemas.openxmlformats.org/officeDocument/2006/relationships/hyperlink" Target="https://bulbapedia.bulbagarden.net/wiki/Chikorita_(Generations_RC1)" TargetMode="External"/><Relationship Id="rId93" Type="http://schemas.openxmlformats.org/officeDocument/2006/relationships/hyperlink" Target="https://bulbapedia.bulbagarden.net/wiki/Altaria_(Generations_RC24)" TargetMode="External"/></Relationships>
</file>

<file path=xl/worksheets/_rels/sheet63.xml.rels><?xml version="1.0" encoding="UTF-8" standalone="yes"?>
<Relationships xmlns="http://schemas.openxmlformats.org/package/2006/relationships"><Relationship Id="rId26" Type="http://schemas.openxmlformats.org/officeDocument/2006/relationships/hyperlink" Target="https://bulbapedia.bulbagarden.net/wiki/Grumpig_(Fates_Collide_31)" TargetMode="External"/><Relationship Id="rId21" Type="http://schemas.openxmlformats.org/officeDocument/2006/relationships/hyperlink" Target="https://bulbapedia.bulbagarden.net/wiki/Rotom_(Fates_Collide_24)" TargetMode="External"/><Relationship Id="rId42" Type="http://schemas.openxmlformats.org/officeDocument/2006/relationships/hyperlink" Target="https://bulbapedia.bulbagarden.net/wiki/Hawlucha_(Fates_Collide_48)" TargetMode="External"/><Relationship Id="rId47" Type="http://schemas.openxmlformats.org/officeDocument/2006/relationships/hyperlink" Target="https://bulbapedia.bulbagarden.net/wiki/Tyranitar_(Fates_Collide_56)" TargetMode="External"/><Relationship Id="rId63" Type="http://schemas.openxmlformats.org/officeDocument/2006/relationships/hyperlink" Target="https://bulbapedia.bulbagarden.net/wiki/Snorlax_(Fates_Collide_77)" TargetMode="External"/><Relationship Id="rId68" Type="http://schemas.openxmlformats.org/officeDocument/2006/relationships/hyperlink" Target="https://bulbapedia.bulbagarden.net/wiki/Minccino_(Fates_Collide_86)" TargetMode="External"/><Relationship Id="rId84" Type="http://schemas.openxmlformats.org/officeDocument/2006/relationships/hyperlink" Target="https://bulbapedia.bulbagarden.net/wiki/Helix_Fossil_Omanyte_(Fates_Collide_102)" TargetMode="External"/><Relationship Id="rId89" Type="http://schemas.openxmlformats.org/officeDocument/2006/relationships/hyperlink" Target="https://bulbapedia.bulbagarden.net/wiki/Pok%C3%A9mon_Fan_Club_(Fates_Collide_107)" TargetMode="External"/><Relationship Id="rId16" Type="http://schemas.openxmlformats.org/officeDocument/2006/relationships/hyperlink" Target="https://bulbapedia.bulbagarden.net/wiki/Omanyte_(Fates_Collide_17)" TargetMode="External"/><Relationship Id="rId11" Type="http://schemas.openxmlformats.org/officeDocument/2006/relationships/hyperlink" Target="https://bulbapedia.bulbagarden.net/wiki/Fennekin_(Fates_Collide_11)" TargetMode="External"/><Relationship Id="rId32" Type="http://schemas.openxmlformats.org/officeDocument/2006/relationships/hyperlink" Target="https://bulbapedia.bulbagarden.net/wiki/Marowak_(Fates_Collide_37)" TargetMode="External"/><Relationship Id="rId37" Type="http://schemas.openxmlformats.org/officeDocument/2006/relationships/hyperlink" Target="https://bulbapedia.bulbagarden.net/wiki/Pupitar_(Fates_Collide_42)" TargetMode="External"/><Relationship Id="rId53" Type="http://schemas.openxmlformats.org/officeDocument/2006/relationships/hyperlink" Target="https://bulbapedia.bulbagarden.net/wiki/Lucario_(Fates_Collide_63)" TargetMode="External"/><Relationship Id="rId58" Type="http://schemas.openxmlformats.org/officeDocument/2006/relationships/hyperlink" Target="https://bulbapedia.bulbagarden.net/wiki/Cottonee_(Fates_Collide_70)" TargetMode="External"/><Relationship Id="rId74" Type="http://schemas.openxmlformats.org/officeDocument/2006/relationships/hyperlink" Target="https://bulbapedia.bulbagarden.net/wiki/Audino_Spirit_Link_(Fates_Collide_92)" TargetMode="External"/><Relationship Id="rId79" Type="http://schemas.openxmlformats.org/officeDocument/2006/relationships/hyperlink" Target="https://bulbapedia.bulbagarden.net/wiki/Energy_Pouch_(Fates_Collide_97)" TargetMode="External"/><Relationship Id="rId5" Type="http://schemas.openxmlformats.org/officeDocument/2006/relationships/hyperlink" Target="https://bulbapedia.bulbagarden.net/wiki/Snivy_(Fates_Collide_5)" TargetMode="External"/><Relationship Id="rId90" Type="http://schemas.openxmlformats.org/officeDocument/2006/relationships/hyperlink" Target="https://bulbapedia.bulbagarden.net/wiki/Power_Memory_(Fates_Collide_108)" TargetMode="External"/><Relationship Id="rId95" Type="http://schemas.openxmlformats.org/officeDocument/2006/relationships/hyperlink" Target="https://bulbapedia.bulbagarden.net/wiki/Ultra_Ball_(Fates_Collide_113)" TargetMode="External"/><Relationship Id="rId22" Type="http://schemas.openxmlformats.org/officeDocument/2006/relationships/hyperlink" Target="https://bulbapedia.bulbagarden.net/wiki/Koffing_(Fates_Collide_27)" TargetMode="External"/><Relationship Id="rId27" Type="http://schemas.openxmlformats.org/officeDocument/2006/relationships/hyperlink" Target="https://bulbapedia.bulbagarden.net/wiki/Gothita_(Fates_Collide_32)" TargetMode="External"/><Relationship Id="rId43" Type="http://schemas.openxmlformats.org/officeDocument/2006/relationships/hyperlink" Target="https://bulbapedia.bulbagarden.net/wiki/Carbink_(Fates_Collide_49)" TargetMode="External"/><Relationship Id="rId48" Type="http://schemas.openxmlformats.org/officeDocument/2006/relationships/hyperlink" Target="https://bulbapedia.bulbagarden.net/wiki/Vullaby_(Fates_Collide_57)" TargetMode="External"/><Relationship Id="rId64" Type="http://schemas.openxmlformats.org/officeDocument/2006/relationships/hyperlink" Target="https://bulbapedia.bulbagarden.net/wiki/Lugia_(Fates_Collide_78)" TargetMode="External"/><Relationship Id="rId69" Type="http://schemas.openxmlformats.org/officeDocument/2006/relationships/hyperlink" Target="https://bulbapedia.bulbagarden.net/wiki/Minccino_(Fates_Collide_87)" TargetMode="External"/><Relationship Id="rId80" Type="http://schemas.openxmlformats.org/officeDocument/2006/relationships/hyperlink" Target="https://bulbapedia.bulbagarden.net/wiki/Energy_Reset_(Fates_Collide_98)" TargetMode="External"/><Relationship Id="rId85" Type="http://schemas.openxmlformats.org/officeDocument/2006/relationships/hyperlink" Target="https://bulbapedia.bulbagarden.net/wiki/Lass%27s_Special_(Fates_Collide_103)" TargetMode="External"/><Relationship Id="rId3" Type="http://schemas.openxmlformats.org/officeDocument/2006/relationships/hyperlink" Target="https://bulbapedia.bulbagarden.net/wiki/Wormadam_(Fates_Collide_3)" TargetMode="External"/><Relationship Id="rId12" Type="http://schemas.openxmlformats.org/officeDocument/2006/relationships/hyperlink" Target="https://bulbapedia.bulbagarden.net/wiki/Braixen_(Fates_Collide_12)" TargetMode="External"/><Relationship Id="rId17" Type="http://schemas.openxmlformats.org/officeDocument/2006/relationships/hyperlink" Target="https://bulbapedia.bulbagarden.net/wiki/Omastar_(Fates_Collide_18)" TargetMode="External"/><Relationship Id="rId25" Type="http://schemas.openxmlformats.org/officeDocument/2006/relationships/hyperlink" Target="https://bulbapedia.bulbagarden.net/wiki/Spoink_(Fates_Collide_30)" TargetMode="External"/><Relationship Id="rId33" Type="http://schemas.openxmlformats.org/officeDocument/2006/relationships/hyperlink" Target="https://bulbapedia.bulbagarden.net/wiki/Kabuto_(Fates_Collide_38)" TargetMode="External"/><Relationship Id="rId38" Type="http://schemas.openxmlformats.org/officeDocument/2006/relationships/hyperlink" Target="https://bulbapedia.bulbagarden.net/wiki/Wormadam_(Fates_Collide_44)" TargetMode="External"/><Relationship Id="rId46" Type="http://schemas.openxmlformats.org/officeDocument/2006/relationships/hyperlink" Target="https://bulbapedia.bulbagarden.net/wiki/Zygarde_(Fates_Collide_53)" TargetMode="External"/><Relationship Id="rId59" Type="http://schemas.openxmlformats.org/officeDocument/2006/relationships/hyperlink" Target="https://bulbapedia.bulbagarden.net/wiki/Whimsicott_(Fates_Collide_71)" TargetMode="External"/><Relationship Id="rId67" Type="http://schemas.openxmlformats.org/officeDocument/2006/relationships/hyperlink" Target="https://bulbapedia.bulbagarden.net/wiki/Exploud_(Fates_Collide_82)" TargetMode="External"/><Relationship Id="rId20" Type="http://schemas.openxmlformats.org/officeDocument/2006/relationships/hyperlink" Target="https://bulbapedia.bulbagarden.net/wiki/Barbaracle_(Fates_Collide_23)" TargetMode="External"/><Relationship Id="rId41" Type="http://schemas.openxmlformats.org/officeDocument/2006/relationships/hyperlink" Target="https://bulbapedia.bulbagarden.net/wiki/Lucario_(Fates_Collide_47)" TargetMode="External"/><Relationship Id="rId54" Type="http://schemas.openxmlformats.org/officeDocument/2006/relationships/hyperlink" Target="https://bulbapedia.bulbagarden.net/wiki/Jigglypuff_(Fates_Collide_65)" TargetMode="External"/><Relationship Id="rId62" Type="http://schemas.openxmlformats.org/officeDocument/2006/relationships/hyperlink" Target="https://bulbapedia.bulbagarden.net/wiki/Aerodactyl_(Fates_Collide_76)" TargetMode="External"/><Relationship Id="rId70" Type="http://schemas.openxmlformats.org/officeDocument/2006/relationships/hyperlink" Target="https://bulbapedia.bulbagarden.net/wiki/Cinccino_(Fates_Collide_88)" TargetMode="External"/><Relationship Id="rId75" Type="http://schemas.openxmlformats.org/officeDocument/2006/relationships/hyperlink" Target="https://bulbapedia.bulbagarden.net/wiki/Bent_Spoon_(Fates_Collide_93)" TargetMode="External"/><Relationship Id="rId83" Type="http://schemas.openxmlformats.org/officeDocument/2006/relationships/hyperlink" Target="https://bulbapedia.bulbagarden.net/wiki/Fossil_Excavation_Kit_(Fates_Collide_101)" TargetMode="External"/><Relationship Id="rId88" Type="http://schemas.openxmlformats.org/officeDocument/2006/relationships/hyperlink" Target="https://bulbapedia.bulbagarden.net/wiki/Old_Amber_Aerodactyl_(Fates_Collide_106)" TargetMode="External"/><Relationship Id="rId91" Type="http://schemas.openxmlformats.org/officeDocument/2006/relationships/hyperlink" Target="https://bulbapedia.bulbagarden.net/wiki/Random_Receiver_(Fates_Collide_109)" TargetMode="External"/><Relationship Id="rId96" Type="http://schemas.openxmlformats.org/officeDocument/2006/relationships/hyperlink" Target="https://bulbapedia.bulbagarden.net/wiki/Double_Colorless_Energy_(Fates_Collide_114)" TargetMode="External"/><Relationship Id="rId1" Type="http://schemas.openxmlformats.org/officeDocument/2006/relationships/hyperlink" Target="https://bulbapedia.bulbagarden.net/wiki/Shuckle_(Fates_Collide_1)" TargetMode="External"/><Relationship Id="rId6" Type="http://schemas.openxmlformats.org/officeDocument/2006/relationships/hyperlink" Target="https://bulbapedia.bulbagarden.net/wiki/Servine_(Fates_Collide_6)" TargetMode="External"/><Relationship Id="rId15" Type="http://schemas.openxmlformats.org/officeDocument/2006/relationships/hyperlink" Target="https://bulbapedia.bulbagarden.net/wiki/Dewgong_(Fates_Collide_16)" TargetMode="External"/><Relationship Id="rId23" Type="http://schemas.openxmlformats.org/officeDocument/2006/relationships/hyperlink" Target="https://bulbapedia.bulbagarden.net/wiki/Weezing_(Fates_Collide_28)" TargetMode="External"/><Relationship Id="rId28" Type="http://schemas.openxmlformats.org/officeDocument/2006/relationships/hyperlink" Target="https://bulbapedia.bulbagarden.net/wiki/Solosis_(Fates_Collide_33)" TargetMode="External"/><Relationship Id="rId36" Type="http://schemas.openxmlformats.org/officeDocument/2006/relationships/hyperlink" Target="https://bulbapedia.bulbagarden.net/wiki/Larvitar_(Fates_Collide_41)" TargetMode="External"/><Relationship Id="rId49" Type="http://schemas.openxmlformats.org/officeDocument/2006/relationships/hyperlink" Target="https://bulbapedia.bulbagarden.net/wiki/Mandibuzz_(Fates_Collide_58)" TargetMode="External"/><Relationship Id="rId57" Type="http://schemas.openxmlformats.org/officeDocument/2006/relationships/hyperlink" Target="https://bulbapedia.bulbagarden.net/wiki/Snubbull_(Fates_Collide_68)" TargetMode="External"/><Relationship Id="rId10" Type="http://schemas.openxmlformats.org/officeDocument/2006/relationships/hyperlink" Target="https://bulbapedia.bulbagarden.net/wiki/Fennekin_(Fates_Collide_10)" TargetMode="External"/><Relationship Id="rId31" Type="http://schemas.openxmlformats.org/officeDocument/2006/relationships/hyperlink" Target="https://bulbapedia.bulbagarden.net/wiki/Diglett_(Fates_Collide_36)" TargetMode="External"/><Relationship Id="rId44" Type="http://schemas.openxmlformats.org/officeDocument/2006/relationships/hyperlink" Target="https://bulbapedia.bulbagarden.net/wiki/Carbink_(Fates_Collide_50)" TargetMode="External"/><Relationship Id="rId52" Type="http://schemas.openxmlformats.org/officeDocument/2006/relationships/hyperlink" Target="https://bulbapedia.bulbagarden.net/wiki/Bronzong_(Fates_Collide_61)" TargetMode="External"/><Relationship Id="rId60" Type="http://schemas.openxmlformats.org/officeDocument/2006/relationships/hyperlink" Target="https://bulbapedia.bulbagarden.net/wiki/Meowth_(Fates_Collide_74)" TargetMode="External"/><Relationship Id="rId65" Type="http://schemas.openxmlformats.org/officeDocument/2006/relationships/hyperlink" Target="https://bulbapedia.bulbagarden.net/wiki/Whismur_(Fates_Collide_80)" TargetMode="External"/><Relationship Id="rId73" Type="http://schemas.openxmlformats.org/officeDocument/2006/relationships/hyperlink" Target="https://bulbapedia.bulbagarden.net/wiki/Altaria_Spirit_Link_(Fates_Collide_91)" TargetMode="External"/><Relationship Id="rId78" Type="http://schemas.openxmlformats.org/officeDocument/2006/relationships/hyperlink" Target="https://bulbapedia.bulbagarden.net/wiki/Dome_Fossil_Kabuto_(Fates_Collide_96)" TargetMode="External"/><Relationship Id="rId81" Type="http://schemas.openxmlformats.org/officeDocument/2006/relationships/hyperlink" Target="https://bulbapedia.bulbagarden.net/wiki/Fairy_Drop_(Fates_Collide_99)" TargetMode="External"/><Relationship Id="rId86" Type="http://schemas.openxmlformats.org/officeDocument/2006/relationships/hyperlink" Target="https://bulbapedia.bulbagarden.net/wiki/Mega_Catcher_(Fates_Collide_104)" TargetMode="External"/><Relationship Id="rId94" Type="http://schemas.openxmlformats.org/officeDocument/2006/relationships/hyperlink" Target="https://bulbapedia.bulbagarden.net/wiki/Team_Rocket%27s_Handiwork_(Fates_Collide_112)" TargetMode="External"/><Relationship Id="rId4" Type="http://schemas.openxmlformats.org/officeDocument/2006/relationships/hyperlink" Target="https://bulbapedia.bulbagarden.net/wiki/Mothim_(Fates_Collide_4)" TargetMode="External"/><Relationship Id="rId9" Type="http://schemas.openxmlformats.org/officeDocument/2006/relationships/hyperlink" Target="https://bulbapedia.bulbagarden.net/wiki/Moltres_(Fates_Collide_9)" TargetMode="External"/><Relationship Id="rId13" Type="http://schemas.openxmlformats.org/officeDocument/2006/relationships/hyperlink" Target="https://bulbapedia.bulbagarden.net/wiki/Delphox_(Fates_Collide_13)" TargetMode="External"/><Relationship Id="rId18" Type="http://schemas.openxmlformats.org/officeDocument/2006/relationships/hyperlink" Target="https://bulbapedia.bulbagarden.net/wiki/White_Kyurem_(Fates_Collide_21)" TargetMode="External"/><Relationship Id="rId39" Type="http://schemas.openxmlformats.org/officeDocument/2006/relationships/hyperlink" Target="https://bulbapedia.bulbagarden.net/wiki/Riolu_(Fates_Collide_45)" TargetMode="External"/><Relationship Id="rId34" Type="http://schemas.openxmlformats.org/officeDocument/2006/relationships/hyperlink" Target="https://bulbapedia.bulbagarden.net/wiki/Kabutops_(Fates_Collide_39)" TargetMode="External"/><Relationship Id="rId50" Type="http://schemas.openxmlformats.org/officeDocument/2006/relationships/hyperlink" Target="https://bulbapedia.bulbagarden.net/wiki/Wormadam_(Fates_Collide_59)" TargetMode="External"/><Relationship Id="rId55" Type="http://schemas.openxmlformats.org/officeDocument/2006/relationships/hyperlink" Target="https://bulbapedia.bulbagarden.net/wiki/Wigglytuff_(Fates_Collide_66)" TargetMode="External"/><Relationship Id="rId76" Type="http://schemas.openxmlformats.org/officeDocument/2006/relationships/hyperlink" Target="https://bulbapedia.bulbagarden.net/wiki/Chaos_Tower_(Fates_Collide_94)" TargetMode="External"/><Relationship Id="rId97" Type="http://schemas.openxmlformats.org/officeDocument/2006/relationships/hyperlink" Target="https://bulbapedia.bulbagarden.net/wiki/Strong_Energy_(Fates_Collide_115)" TargetMode="External"/><Relationship Id="rId7" Type="http://schemas.openxmlformats.org/officeDocument/2006/relationships/hyperlink" Target="https://bulbapedia.bulbagarden.net/wiki/Serperior_(Fates_Collide_7)" TargetMode="External"/><Relationship Id="rId71" Type="http://schemas.openxmlformats.org/officeDocument/2006/relationships/hyperlink" Target="https://bulbapedia.bulbagarden.net/wiki/Cinccino_(Fates_Collide_89)" TargetMode="External"/><Relationship Id="rId92" Type="http://schemas.openxmlformats.org/officeDocument/2006/relationships/hyperlink" Target="https://bulbapedia.bulbagarden.net/wiki/Scorched_Earth_(Fates_Collide_110)" TargetMode="External"/><Relationship Id="rId2" Type="http://schemas.openxmlformats.org/officeDocument/2006/relationships/hyperlink" Target="https://bulbapedia.bulbagarden.net/wiki/Burmy_(Fates_Collide_2)" TargetMode="External"/><Relationship Id="rId29" Type="http://schemas.openxmlformats.org/officeDocument/2006/relationships/hyperlink" Target="https://bulbapedia.bulbagarden.net/wiki/Duosion_(Fates_Collide_34)" TargetMode="External"/><Relationship Id="rId24" Type="http://schemas.openxmlformats.org/officeDocument/2006/relationships/hyperlink" Target="https://bulbapedia.bulbagarden.net/wiki/Mew_(Fates_Collide_29)" TargetMode="External"/><Relationship Id="rId40" Type="http://schemas.openxmlformats.org/officeDocument/2006/relationships/hyperlink" Target="https://bulbapedia.bulbagarden.net/wiki/Riolu_(Fates_Collide_46)" TargetMode="External"/><Relationship Id="rId45" Type="http://schemas.openxmlformats.org/officeDocument/2006/relationships/hyperlink" Target="https://bulbapedia.bulbagarden.net/wiki/Zygarde_(Fates_Collide_52)" TargetMode="External"/><Relationship Id="rId66" Type="http://schemas.openxmlformats.org/officeDocument/2006/relationships/hyperlink" Target="https://bulbapedia.bulbagarden.net/wiki/Loudred_(Fates_Collide_81)" TargetMode="External"/><Relationship Id="rId87" Type="http://schemas.openxmlformats.org/officeDocument/2006/relationships/hyperlink" Target="https://bulbapedia.bulbagarden.net/wiki/N_(Fates_Collide_105)" TargetMode="External"/><Relationship Id="rId61" Type="http://schemas.openxmlformats.org/officeDocument/2006/relationships/hyperlink" Target="https://bulbapedia.bulbagarden.net/wiki/Kangaskhan_(Fates_Collide_75)" TargetMode="External"/><Relationship Id="rId82" Type="http://schemas.openxmlformats.org/officeDocument/2006/relationships/hyperlink" Target="https://bulbapedia.bulbagarden.net/wiki/Fairy_Garden_(Fates_Collide_100)" TargetMode="External"/><Relationship Id="rId19" Type="http://schemas.openxmlformats.org/officeDocument/2006/relationships/hyperlink" Target="https://bulbapedia.bulbagarden.net/wiki/Binacle_(Fates_Collide_22)" TargetMode="External"/><Relationship Id="rId14" Type="http://schemas.openxmlformats.org/officeDocument/2006/relationships/hyperlink" Target="https://bulbapedia.bulbagarden.net/wiki/Seel_(Fates_Collide_15)" TargetMode="External"/><Relationship Id="rId30" Type="http://schemas.openxmlformats.org/officeDocument/2006/relationships/hyperlink" Target="https://bulbapedia.bulbagarden.net/wiki/Reuniclus_(Fates_Collide_35)" TargetMode="External"/><Relationship Id="rId35" Type="http://schemas.openxmlformats.org/officeDocument/2006/relationships/hyperlink" Target="https://bulbapedia.bulbagarden.net/wiki/Larvitar_(Fates_Collide_40)" TargetMode="External"/><Relationship Id="rId56" Type="http://schemas.openxmlformats.org/officeDocument/2006/relationships/hyperlink" Target="https://bulbapedia.bulbagarden.net/wiki/Mr._Mime_(Fates_Collide_67)" TargetMode="External"/><Relationship Id="rId77" Type="http://schemas.openxmlformats.org/officeDocument/2006/relationships/hyperlink" Target="https://bulbapedia.bulbagarden.net/wiki/Devolution_Spray_(Fates_Collide_95)" TargetMode="External"/><Relationship Id="rId8" Type="http://schemas.openxmlformats.org/officeDocument/2006/relationships/hyperlink" Target="https://bulbapedia.bulbagarden.net/wiki/Deerling_(Fates_Collide_8)" TargetMode="External"/><Relationship Id="rId51" Type="http://schemas.openxmlformats.org/officeDocument/2006/relationships/hyperlink" Target="https://bulbapedia.bulbagarden.net/wiki/Bronzor_(Fates_Collide_60)" TargetMode="External"/><Relationship Id="rId72" Type="http://schemas.openxmlformats.org/officeDocument/2006/relationships/hyperlink" Target="https://bulbapedia.bulbagarden.net/wiki/Alakazam_Spirit_Link_(Fates_Collide_90)" TargetMode="External"/><Relationship Id="rId93" Type="http://schemas.openxmlformats.org/officeDocument/2006/relationships/hyperlink" Target="https://bulbapedia.bulbagarden.net/wiki/Shauna_(Fates_Collide_111)" TargetMode="External"/><Relationship Id="rId98" Type="http://schemas.openxmlformats.org/officeDocument/2006/relationships/hyperlink" Target="https://bulbapedia.bulbagarden.net/wiki/Team_Rocket%27s_Handiwork_(Fates_Collide_124)" TargetMode="External"/></Relationships>
</file>

<file path=xl/worksheets/_rels/sheet64.xml.rels><?xml version="1.0" encoding="UTF-8" standalone="yes"?>
<Relationships xmlns="http://schemas.openxmlformats.org/package/2006/relationships"><Relationship Id="rId26" Type="http://schemas.openxmlformats.org/officeDocument/2006/relationships/hyperlink" Target="https://bulbapedia.bulbagarden.net/wiki/Oshawott_(Steam_Siege_30)" TargetMode="External"/><Relationship Id="rId21" Type="http://schemas.openxmlformats.org/officeDocument/2006/relationships/hyperlink" Target="https://bulbapedia.bulbagarden.net/wiki/Pyroar_(Steam_Siege_23)" TargetMode="External"/><Relationship Id="rId42" Type="http://schemas.openxmlformats.org/officeDocument/2006/relationships/hyperlink" Target="https://bulbapedia.bulbagarden.net/wiki/Drifblim_(Steam_Siege_47)" TargetMode="External"/><Relationship Id="rId47" Type="http://schemas.openxmlformats.org/officeDocument/2006/relationships/hyperlink" Target="https://bulbapedia.bulbagarden.net/wiki/Mankey_(Steam_Siege_52)" TargetMode="External"/><Relationship Id="rId63" Type="http://schemas.openxmlformats.org/officeDocument/2006/relationships/hyperlink" Target="https://bulbapedia.bulbagarden.net/wiki/Klink_(Steam_Siege_71)" TargetMode="External"/><Relationship Id="rId68" Type="http://schemas.openxmlformats.org/officeDocument/2006/relationships/hyperlink" Target="https://bulbapedia.bulbagarden.net/wiki/Azumarill_(Steam_Siege_77)" TargetMode="External"/><Relationship Id="rId84" Type="http://schemas.openxmlformats.org/officeDocument/2006/relationships/hyperlink" Target="https://bulbapedia.bulbagarden.net/wiki/Hawlucha_(Steam_Siege_97)" TargetMode="External"/><Relationship Id="rId89" Type="http://schemas.openxmlformats.org/officeDocument/2006/relationships/hyperlink" Target="https://bulbapedia.bulbagarden.net/wiki/Greedy_Dice_(Steam_Siege_102)" TargetMode="External"/><Relationship Id="rId16" Type="http://schemas.openxmlformats.org/officeDocument/2006/relationships/hyperlink" Target="https://bulbapedia.bulbagarden.net/wiki/Rapidash_(Steam_Siege_17)" TargetMode="External"/><Relationship Id="rId11" Type="http://schemas.openxmlformats.org/officeDocument/2006/relationships/hyperlink" Target="https://bulbapedia.bulbagarden.net/wiki/Foongus_(Steam_Siege_12)" TargetMode="External"/><Relationship Id="rId32" Type="http://schemas.openxmlformats.org/officeDocument/2006/relationships/hyperlink" Target="https://bulbapedia.bulbagarden.net/wiki/Avalugg_(Steam_Siege_37)" TargetMode="External"/><Relationship Id="rId37" Type="http://schemas.openxmlformats.org/officeDocument/2006/relationships/hyperlink" Target="https://bulbapedia.bulbagarden.net/wiki/Galvantula_(Steam_Siege_42)" TargetMode="External"/><Relationship Id="rId53" Type="http://schemas.openxmlformats.org/officeDocument/2006/relationships/hyperlink" Target="https://bulbapedia.bulbagarden.net/wiki/Croagunk_(Steam_Siege_58)" TargetMode="External"/><Relationship Id="rId58" Type="http://schemas.openxmlformats.org/officeDocument/2006/relationships/hyperlink" Target="https://bulbapedia.bulbagarden.net/wiki/Pawniard_(Steam_Siege_63)" TargetMode="External"/><Relationship Id="rId74" Type="http://schemas.openxmlformats.org/officeDocument/2006/relationships/hyperlink" Target="https://bulbapedia.bulbagarden.net/wiki/Hydreigon_(Steam_Siege_86)" TargetMode="External"/><Relationship Id="rId79" Type="http://schemas.openxmlformats.org/officeDocument/2006/relationships/hyperlink" Target="https://bulbapedia.bulbagarden.net/wiki/Rufflet_(Steam_Siege_92)" TargetMode="External"/><Relationship Id="rId5" Type="http://schemas.openxmlformats.org/officeDocument/2006/relationships/hyperlink" Target="https://bulbapedia.bulbagarden.net/wiki/Jumpluff_(Steam_Siege_5)" TargetMode="External"/><Relationship Id="rId90" Type="http://schemas.openxmlformats.org/officeDocument/2006/relationships/hyperlink" Target="https://bulbapedia.bulbagarden.net/wiki/Ninja_Boy_(Steam_Siege_103)" TargetMode="External"/><Relationship Id="rId95" Type="http://schemas.openxmlformats.org/officeDocument/2006/relationships/hyperlink" Target="https://bulbapedia.bulbagarden.net/wiki/Professor_Sycamore_(Steam_Siege_114)" TargetMode="External"/><Relationship Id="rId22" Type="http://schemas.openxmlformats.org/officeDocument/2006/relationships/hyperlink" Target="https://bulbapedia.bulbagarden.net/wiki/Volcanion_(Steam_Siege_25)" TargetMode="External"/><Relationship Id="rId27" Type="http://schemas.openxmlformats.org/officeDocument/2006/relationships/hyperlink" Target="https://bulbapedia.bulbagarden.net/wiki/Dewott_(Steam_Siege_31)" TargetMode="External"/><Relationship Id="rId43" Type="http://schemas.openxmlformats.org/officeDocument/2006/relationships/hyperlink" Target="https://bulbapedia.bulbagarden.net/wiki/Litwick_(Steam_Siege_48)" TargetMode="External"/><Relationship Id="rId48" Type="http://schemas.openxmlformats.org/officeDocument/2006/relationships/hyperlink" Target="https://bulbapedia.bulbagarden.net/wiki/Primeape_(Steam_Siege_53)" TargetMode="External"/><Relationship Id="rId64" Type="http://schemas.openxmlformats.org/officeDocument/2006/relationships/hyperlink" Target="https://bulbapedia.bulbagarden.net/wiki/Klang_(Steam_Siege_72)" TargetMode="External"/><Relationship Id="rId69" Type="http://schemas.openxmlformats.org/officeDocument/2006/relationships/hyperlink" Target="https://bulbapedia.bulbagarden.net/wiki/Klefki_(Steam_Siege_80)" TargetMode="External"/><Relationship Id="rId8" Type="http://schemas.openxmlformats.org/officeDocument/2006/relationships/hyperlink" Target="https://bulbapedia.bulbagarden.net/wiki/Seedot_(Steam_Siege_9)" TargetMode="External"/><Relationship Id="rId51" Type="http://schemas.openxmlformats.org/officeDocument/2006/relationships/hyperlink" Target="https://bulbapedia.bulbagarden.net/wiki/Anorith_(Steam_Siege_56)" TargetMode="External"/><Relationship Id="rId72" Type="http://schemas.openxmlformats.org/officeDocument/2006/relationships/hyperlink" Target="https://bulbapedia.bulbagarden.net/wiki/Deino_(Steam_Siege_84)" TargetMode="External"/><Relationship Id="rId80" Type="http://schemas.openxmlformats.org/officeDocument/2006/relationships/hyperlink" Target="https://bulbapedia.bulbagarden.net/wiki/Braviary_(Steam_Siege_93)" TargetMode="External"/><Relationship Id="rId85" Type="http://schemas.openxmlformats.org/officeDocument/2006/relationships/hyperlink" Target="https://bulbapedia.bulbagarden.net/wiki/Armor_Fossil_Shieldon_(Steam_Siege_98)" TargetMode="External"/><Relationship Id="rId93" Type="http://schemas.openxmlformats.org/officeDocument/2006/relationships/hyperlink" Target="https://bulbapedia.bulbagarden.net/wiki/Steelix_Spirit_Link_(Steam_Siege_106)" TargetMode="External"/><Relationship Id="rId3" Type="http://schemas.openxmlformats.org/officeDocument/2006/relationships/hyperlink" Target="https://bulbapedia.bulbagarden.net/wiki/Hoppip_(Steam_Siege_3)" TargetMode="External"/><Relationship Id="rId12" Type="http://schemas.openxmlformats.org/officeDocument/2006/relationships/hyperlink" Target="https://bulbapedia.bulbagarden.net/wiki/Amoonguss_(Steam_Siege_13)" TargetMode="External"/><Relationship Id="rId17" Type="http://schemas.openxmlformats.org/officeDocument/2006/relationships/hyperlink" Target="https://bulbapedia.bulbagarden.net/wiki/Chimchar_(Steam_Siege_18)" TargetMode="External"/><Relationship Id="rId25" Type="http://schemas.openxmlformats.org/officeDocument/2006/relationships/hyperlink" Target="https://bulbapedia.bulbagarden.net/wiki/Gastrodon_(Steam_Siege_29)" TargetMode="External"/><Relationship Id="rId33" Type="http://schemas.openxmlformats.org/officeDocument/2006/relationships/hyperlink" Target="https://bulbapedia.bulbagarden.net/wiki/Mareep_(Steam_Siege_38)" TargetMode="External"/><Relationship Id="rId38" Type="http://schemas.openxmlformats.org/officeDocument/2006/relationships/hyperlink" Target="https://bulbapedia.bulbagarden.net/wiki/Nidoran%E2%99%82_(Steam_Siege_43)" TargetMode="External"/><Relationship Id="rId46" Type="http://schemas.openxmlformats.org/officeDocument/2006/relationships/hyperlink" Target="https://bulbapedia.bulbagarden.net/wiki/Hoopa_(Steam_Siege_51)" TargetMode="External"/><Relationship Id="rId59" Type="http://schemas.openxmlformats.org/officeDocument/2006/relationships/hyperlink" Target="https://bulbapedia.bulbagarden.net/wiki/Bisharp_(Steam_Siege_64)" TargetMode="External"/><Relationship Id="rId67" Type="http://schemas.openxmlformats.org/officeDocument/2006/relationships/hyperlink" Target="https://bulbapedia.bulbagarden.net/wiki/Marill_(Steam_Siege_76)" TargetMode="External"/><Relationship Id="rId20" Type="http://schemas.openxmlformats.org/officeDocument/2006/relationships/hyperlink" Target="https://bulbapedia.bulbagarden.net/wiki/Litleo_(Steam_Siege_22)" TargetMode="External"/><Relationship Id="rId41" Type="http://schemas.openxmlformats.org/officeDocument/2006/relationships/hyperlink" Target="https://bulbapedia.bulbagarden.net/wiki/Drifloon_(Steam_Siege_46)" TargetMode="External"/><Relationship Id="rId54" Type="http://schemas.openxmlformats.org/officeDocument/2006/relationships/hyperlink" Target="https://bulbapedia.bulbagarden.net/wiki/Toxicroak_(Steam_Siege_59)" TargetMode="External"/><Relationship Id="rId62" Type="http://schemas.openxmlformats.org/officeDocument/2006/relationships/hyperlink" Target="https://bulbapedia.bulbagarden.net/wiki/Bastiodon_(Steam_Siege_70)" TargetMode="External"/><Relationship Id="rId70" Type="http://schemas.openxmlformats.org/officeDocument/2006/relationships/hyperlink" Target="https://bulbapedia.bulbagarden.net/wiki/Xerneas_(Steam_Siege_81)" TargetMode="External"/><Relationship Id="rId75" Type="http://schemas.openxmlformats.org/officeDocument/2006/relationships/hyperlink" Target="https://bulbapedia.bulbagarden.net/wiki/Meowth_(Steam_Siege_88)" TargetMode="External"/><Relationship Id="rId83" Type="http://schemas.openxmlformats.org/officeDocument/2006/relationships/hyperlink" Target="https://bulbapedia.bulbagarden.net/wiki/Talonflame_(Steam_Siege_96)" TargetMode="External"/><Relationship Id="rId88" Type="http://schemas.openxmlformats.org/officeDocument/2006/relationships/hyperlink" Target="https://bulbapedia.bulbagarden.net/wiki/Gardevoir_Spirit_Link_(Steam_Siege_101)" TargetMode="External"/><Relationship Id="rId91" Type="http://schemas.openxmlformats.org/officeDocument/2006/relationships/hyperlink" Target="https://bulbapedia.bulbagarden.net/wiki/Pok%C3%A9mon_Ranger_(Steam_Siege_104)" TargetMode="External"/><Relationship Id="rId1" Type="http://schemas.openxmlformats.org/officeDocument/2006/relationships/hyperlink" Target="https://bulbapedia.bulbagarden.net/wiki/Tangela_(Steam_Siege_1)" TargetMode="External"/><Relationship Id="rId6" Type="http://schemas.openxmlformats.org/officeDocument/2006/relationships/hyperlink" Target="https://bulbapedia.bulbagarden.net/wiki/Yanma_(Steam_Siege_6)" TargetMode="External"/><Relationship Id="rId15" Type="http://schemas.openxmlformats.org/officeDocument/2006/relationships/hyperlink" Target="https://bulbapedia.bulbagarden.net/wiki/Ponyta_(Steam_Siege_16)" TargetMode="External"/><Relationship Id="rId23" Type="http://schemas.openxmlformats.org/officeDocument/2006/relationships/hyperlink" Target="https://bulbapedia.bulbagarden.net/wiki/Mantine_(Steam_Siege_27)" TargetMode="External"/><Relationship Id="rId28" Type="http://schemas.openxmlformats.org/officeDocument/2006/relationships/hyperlink" Target="https://bulbapedia.bulbagarden.net/wiki/Samurott_(Steam_Siege_32)" TargetMode="External"/><Relationship Id="rId36" Type="http://schemas.openxmlformats.org/officeDocument/2006/relationships/hyperlink" Target="https://bulbapedia.bulbagarden.net/wiki/Joltik_(Steam_Siege_41)" TargetMode="External"/><Relationship Id="rId49" Type="http://schemas.openxmlformats.org/officeDocument/2006/relationships/hyperlink" Target="https://bulbapedia.bulbagarden.net/wiki/Nosepass_(Steam_Siege_54)" TargetMode="External"/><Relationship Id="rId57" Type="http://schemas.openxmlformats.org/officeDocument/2006/relationships/hyperlink" Target="https://bulbapedia.bulbagarden.net/wiki/Spiritomb_(Steam_Siege_62)" TargetMode="External"/><Relationship Id="rId10" Type="http://schemas.openxmlformats.org/officeDocument/2006/relationships/hyperlink" Target="https://bulbapedia.bulbagarden.net/wiki/Shiftry_(Steam_Siege_11)" TargetMode="External"/><Relationship Id="rId31" Type="http://schemas.openxmlformats.org/officeDocument/2006/relationships/hyperlink" Target="https://bulbapedia.bulbagarden.net/wiki/Bergmite_(Steam_Siege_36)" TargetMode="External"/><Relationship Id="rId44" Type="http://schemas.openxmlformats.org/officeDocument/2006/relationships/hyperlink" Target="https://bulbapedia.bulbagarden.net/wiki/Lampent_(Steam_Siege_49)" TargetMode="External"/><Relationship Id="rId52" Type="http://schemas.openxmlformats.org/officeDocument/2006/relationships/hyperlink" Target="https://bulbapedia.bulbagarden.net/wiki/Armaldo_(Steam_Siege_57)" TargetMode="External"/><Relationship Id="rId60" Type="http://schemas.openxmlformats.org/officeDocument/2006/relationships/hyperlink" Target="https://bulbapedia.bulbagarden.net/wiki/Yveltal_(Steam_Siege_65)" TargetMode="External"/><Relationship Id="rId65" Type="http://schemas.openxmlformats.org/officeDocument/2006/relationships/hyperlink" Target="https://bulbapedia.bulbagarden.net/wiki/Klinklang_(Steam_Siege_73)" TargetMode="External"/><Relationship Id="rId73" Type="http://schemas.openxmlformats.org/officeDocument/2006/relationships/hyperlink" Target="https://bulbapedia.bulbagarden.net/wiki/Zweilous_(Steam_Siege_85)" TargetMode="External"/><Relationship Id="rId78" Type="http://schemas.openxmlformats.org/officeDocument/2006/relationships/hyperlink" Target="https://bulbapedia.bulbagarden.net/wiki/Ambipom_(Steam_Siege_91)" TargetMode="External"/><Relationship Id="rId81" Type="http://schemas.openxmlformats.org/officeDocument/2006/relationships/hyperlink" Target="https://bulbapedia.bulbagarden.net/wiki/Fletchling_(Steam_Siege_94)" TargetMode="External"/><Relationship Id="rId86" Type="http://schemas.openxmlformats.org/officeDocument/2006/relationships/hyperlink" Target="https://bulbapedia.bulbagarden.net/wiki/Captivating_Pok%C3%A9_Puff_(Steam_Siege_99)" TargetMode="External"/><Relationship Id="rId94" Type="http://schemas.openxmlformats.org/officeDocument/2006/relationships/hyperlink" Target="https://bulbapedia.bulbagarden.net/wiki/Pok%C3%A9mon_Ranger_(Steam_Siege_113)" TargetMode="External"/><Relationship Id="rId4" Type="http://schemas.openxmlformats.org/officeDocument/2006/relationships/hyperlink" Target="https://bulbapedia.bulbagarden.net/wiki/Skiploom_(Steam_Siege_4)" TargetMode="External"/><Relationship Id="rId9" Type="http://schemas.openxmlformats.org/officeDocument/2006/relationships/hyperlink" Target="https://bulbapedia.bulbagarden.net/wiki/Nuzleaf_(Steam_Siege_10)" TargetMode="External"/><Relationship Id="rId13" Type="http://schemas.openxmlformats.org/officeDocument/2006/relationships/hyperlink" Target="https://bulbapedia.bulbagarden.net/wiki/Larvesta_(Steam_Siege_14)" TargetMode="External"/><Relationship Id="rId18" Type="http://schemas.openxmlformats.org/officeDocument/2006/relationships/hyperlink" Target="https://bulbapedia.bulbagarden.net/wiki/Monferno_(Steam_Siege_19)" TargetMode="External"/><Relationship Id="rId39" Type="http://schemas.openxmlformats.org/officeDocument/2006/relationships/hyperlink" Target="https://bulbapedia.bulbagarden.net/wiki/Nidorino_(Steam_Siege_44)" TargetMode="External"/><Relationship Id="rId34" Type="http://schemas.openxmlformats.org/officeDocument/2006/relationships/hyperlink" Target="https://bulbapedia.bulbagarden.net/wiki/Flaaffy_(Steam_Siege_39)" TargetMode="External"/><Relationship Id="rId50" Type="http://schemas.openxmlformats.org/officeDocument/2006/relationships/hyperlink" Target="https://bulbapedia.bulbagarden.net/wiki/Probopass_(Steam_Siege_55)" TargetMode="External"/><Relationship Id="rId55" Type="http://schemas.openxmlformats.org/officeDocument/2006/relationships/hyperlink" Target="https://bulbapedia.bulbagarden.net/wiki/Sneasel_(Steam_Siege_60)" TargetMode="External"/><Relationship Id="rId76" Type="http://schemas.openxmlformats.org/officeDocument/2006/relationships/hyperlink" Target="https://bulbapedia.bulbagarden.net/wiki/Persian_(Steam_Siege_89)" TargetMode="External"/><Relationship Id="rId7" Type="http://schemas.openxmlformats.org/officeDocument/2006/relationships/hyperlink" Target="https://bulbapedia.bulbagarden.net/wiki/Yanmega_(Steam_Siege_7)" TargetMode="External"/><Relationship Id="rId71" Type="http://schemas.openxmlformats.org/officeDocument/2006/relationships/hyperlink" Target="https://bulbapedia.bulbagarden.net/wiki/Druddigon_(Steam_Siege_83)" TargetMode="External"/><Relationship Id="rId92" Type="http://schemas.openxmlformats.org/officeDocument/2006/relationships/hyperlink" Target="https://bulbapedia.bulbagarden.net/wiki/Special_Charge_(Steam_Siege_105)" TargetMode="External"/><Relationship Id="rId2" Type="http://schemas.openxmlformats.org/officeDocument/2006/relationships/hyperlink" Target="https://bulbapedia.bulbagarden.net/wiki/Tangrowth_(Steam_Siege_2)" TargetMode="External"/><Relationship Id="rId29" Type="http://schemas.openxmlformats.org/officeDocument/2006/relationships/hyperlink" Target="https://bulbapedia.bulbagarden.net/wiki/Clauncher_(Steam_Siege_33)" TargetMode="External"/><Relationship Id="rId24" Type="http://schemas.openxmlformats.org/officeDocument/2006/relationships/hyperlink" Target="https://bulbapedia.bulbagarden.net/wiki/Shellos_(Steam_Siege_28)" TargetMode="External"/><Relationship Id="rId40" Type="http://schemas.openxmlformats.org/officeDocument/2006/relationships/hyperlink" Target="https://bulbapedia.bulbagarden.net/wiki/Nidoking_(Steam_Siege_45)" TargetMode="External"/><Relationship Id="rId45" Type="http://schemas.openxmlformats.org/officeDocument/2006/relationships/hyperlink" Target="https://bulbapedia.bulbagarden.net/wiki/Chandelure_(Steam_Siege_50)" TargetMode="External"/><Relationship Id="rId66" Type="http://schemas.openxmlformats.org/officeDocument/2006/relationships/hyperlink" Target="https://bulbapedia.bulbagarden.net/wiki/Cobalion_(Steam_Siege_74)" TargetMode="External"/><Relationship Id="rId87" Type="http://schemas.openxmlformats.org/officeDocument/2006/relationships/hyperlink" Target="https://bulbapedia.bulbagarden.net/wiki/Claw_Fossil_Anorith_(Steam_Siege_100)" TargetMode="External"/><Relationship Id="rId61" Type="http://schemas.openxmlformats.org/officeDocument/2006/relationships/hyperlink" Target="https://bulbapedia.bulbagarden.net/wiki/Shieldon_(Steam_Siege_69)" TargetMode="External"/><Relationship Id="rId82" Type="http://schemas.openxmlformats.org/officeDocument/2006/relationships/hyperlink" Target="https://bulbapedia.bulbagarden.net/wiki/Fletchinder_(Steam_Siege_95)" TargetMode="External"/><Relationship Id="rId19" Type="http://schemas.openxmlformats.org/officeDocument/2006/relationships/hyperlink" Target="https://bulbapedia.bulbagarden.net/wiki/Infernape_(Steam_Siege_20)" TargetMode="External"/><Relationship Id="rId14" Type="http://schemas.openxmlformats.org/officeDocument/2006/relationships/hyperlink" Target="https://bulbapedia.bulbagarden.net/wiki/Volcarona_(Steam_Siege_15)" TargetMode="External"/><Relationship Id="rId30" Type="http://schemas.openxmlformats.org/officeDocument/2006/relationships/hyperlink" Target="https://bulbapedia.bulbagarden.net/wiki/Clawitzer_(Steam_Siege_34)" TargetMode="External"/><Relationship Id="rId35" Type="http://schemas.openxmlformats.org/officeDocument/2006/relationships/hyperlink" Target="https://bulbapedia.bulbagarden.net/wiki/Ampharos_(Steam_Siege_40)" TargetMode="External"/><Relationship Id="rId56" Type="http://schemas.openxmlformats.org/officeDocument/2006/relationships/hyperlink" Target="https://bulbapedia.bulbagarden.net/wiki/Weavile_(Steam_Siege_61)" TargetMode="External"/><Relationship Id="rId77" Type="http://schemas.openxmlformats.org/officeDocument/2006/relationships/hyperlink" Target="https://bulbapedia.bulbagarden.net/wiki/Aipom_(Steam_Siege_90)" TargetMode="External"/></Relationships>
</file>

<file path=xl/worksheets/_rels/sheet65.xml.rels><?xml version="1.0" encoding="UTF-8" standalone="yes"?>
<Relationships xmlns="http://schemas.openxmlformats.org/package/2006/relationships"><Relationship Id="rId26" Type="http://schemas.openxmlformats.org/officeDocument/2006/relationships/hyperlink" Target="https://bulbapedia.bulbagarden.net/wiki/Raichu_(Evolutions_36)" TargetMode="External"/><Relationship Id="rId21" Type="http://schemas.openxmlformats.org/officeDocument/2006/relationships/hyperlink" Target="https://bulbapedia.bulbagarden.net/wiki/Staryu_(Evolutions_30)" TargetMode="External"/><Relationship Id="rId42" Type="http://schemas.openxmlformats.org/officeDocument/2006/relationships/hyperlink" Target="https://bulbapedia.bulbagarden.net/wiki/Sandshrew_(Evolutions_54)" TargetMode="External"/><Relationship Id="rId47" Type="http://schemas.openxmlformats.org/officeDocument/2006/relationships/hyperlink" Target="https://bulbapedia.bulbagarden.net/wiki/Machamp_(Evolutions_59)" TargetMode="External"/><Relationship Id="rId63" Type="http://schemas.openxmlformats.org/officeDocument/2006/relationships/hyperlink" Target="https://bulbapedia.bulbagarden.net/wiki/Maintenance_(Evolutions_79)" TargetMode="External"/><Relationship Id="rId68" Type="http://schemas.openxmlformats.org/officeDocument/2006/relationships/hyperlink" Target="https://bulbapedia.bulbagarden.net/wiki/Professor_Oak%27s_Hint_(Evolutions_84)" TargetMode="External"/><Relationship Id="rId84" Type="http://schemas.openxmlformats.org/officeDocument/2006/relationships/hyperlink" Target="https://bulbapedia.bulbagarden.net/wiki/Brock%27s_Grit_(Evolutions_107)" TargetMode="External"/><Relationship Id="rId89" Type="http://schemas.openxmlformats.org/officeDocument/2006/relationships/hyperlink" Target="https://bulbapedia.bulbagarden.net/wiki/Imakuni%3F%27s_Doduo_(Evolutions_112)" TargetMode="External"/><Relationship Id="rId16" Type="http://schemas.openxmlformats.org/officeDocument/2006/relationships/hyperlink" Target="https://bulbapedia.bulbagarden.net/wiki/Poliwag_(Evolutions_23)" TargetMode="External"/><Relationship Id="rId11" Type="http://schemas.openxmlformats.org/officeDocument/2006/relationships/hyperlink" Target="https://bulbapedia.bulbagarden.net/wiki/Ninetales_(Evolutions_15)" TargetMode="External"/><Relationship Id="rId32" Type="http://schemas.openxmlformats.org/officeDocument/2006/relationships/hyperlink" Target="https://bulbapedia.bulbagarden.net/wiki/Zapdos_(Evolutions_42)" TargetMode="External"/><Relationship Id="rId37" Type="http://schemas.openxmlformats.org/officeDocument/2006/relationships/hyperlink" Target="https://bulbapedia.bulbagarden.net/wiki/Haunter_(Evolutions_48)" TargetMode="External"/><Relationship Id="rId53" Type="http://schemas.openxmlformats.org/officeDocument/2006/relationships/hyperlink" Target="https://bulbapedia.bulbagarden.net/wiki/Farfetch%27d_(Evolutions_68)" TargetMode="External"/><Relationship Id="rId58" Type="http://schemas.openxmlformats.org/officeDocument/2006/relationships/hyperlink" Target="https://bulbapedia.bulbagarden.net/wiki/Brock%27s_Grit_(Evolutions_74)" TargetMode="External"/><Relationship Id="rId74" Type="http://schemas.openxmlformats.org/officeDocument/2006/relationships/hyperlink" Target="https://bulbapedia.bulbagarden.net/wiki/Double_Colorless_Energy_(Evolutions_90)" TargetMode="External"/><Relationship Id="rId79" Type="http://schemas.openxmlformats.org/officeDocument/2006/relationships/hyperlink" Target="https://bulbapedia.bulbagarden.net/wiki/Psychic_Energy_(Evolutions_95)" TargetMode="External"/><Relationship Id="rId5" Type="http://schemas.openxmlformats.org/officeDocument/2006/relationships/hyperlink" Target="https://bulbapedia.bulbagarden.net/wiki/Beedrill_(Evolutions_7)" TargetMode="External"/><Relationship Id="rId90" Type="http://schemas.openxmlformats.org/officeDocument/2006/relationships/hyperlink" Target="https://bulbapedia.bulbagarden.net/wiki/Here_Comes_Team_Rocket!_(Evolutions_113)" TargetMode="External"/><Relationship Id="rId14" Type="http://schemas.openxmlformats.org/officeDocument/2006/relationships/hyperlink" Target="https://bulbapedia.bulbagarden.net/wiki/Ponyta_(Evolutions_19)" TargetMode="External"/><Relationship Id="rId22" Type="http://schemas.openxmlformats.org/officeDocument/2006/relationships/hyperlink" Target="https://bulbapedia.bulbagarden.net/wiki/Starmie_(Evolutions_31)" TargetMode="External"/><Relationship Id="rId27" Type="http://schemas.openxmlformats.org/officeDocument/2006/relationships/hyperlink" Target="https://bulbapedia.bulbagarden.net/wiki/Magnemite_(Evolutions_37)" TargetMode="External"/><Relationship Id="rId30" Type="http://schemas.openxmlformats.org/officeDocument/2006/relationships/hyperlink" Target="https://bulbapedia.bulbagarden.net/wiki/Electrode_(Evolutions_40)" TargetMode="External"/><Relationship Id="rId35" Type="http://schemas.openxmlformats.org/officeDocument/2006/relationships/hyperlink" Target="https://bulbapedia.bulbagarden.net/wiki/Nidoking_(Evolutions_45)" TargetMode="External"/><Relationship Id="rId43" Type="http://schemas.openxmlformats.org/officeDocument/2006/relationships/hyperlink" Target="https://bulbapedia.bulbagarden.net/wiki/Diglett_(Evolutions_55)" TargetMode="External"/><Relationship Id="rId48" Type="http://schemas.openxmlformats.org/officeDocument/2006/relationships/hyperlink" Target="https://bulbapedia.bulbagarden.net/wiki/Onix_(Evolutions_61)" TargetMode="External"/><Relationship Id="rId56" Type="http://schemas.openxmlformats.org/officeDocument/2006/relationships/hyperlink" Target="https://bulbapedia.bulbagarden.net/wiki/Porygon_(Evolutions_71)" TargetMode="External"/><Relationship Id="rId64" Type="http://schemas.openxmlformats.org/officeDocument/2006/relationships/hyperlink" Target="https://bulbapedia.bulbagarden.net/wiki/Misty%27s_Determination_(Evolutions_80)" TargetMode="External"/><Relationship Id="rId69" Type="http://schemas.openxmlformats.org/officeDocument/2006/relationships/hyperlink" Target="https://bulbapedia.bulbagarden.net/wiki/Revive_(Evolutions_85)" TargetMode="External"/><Relationship Id="rId77" Type="http://schemas.openxmlformats.org/officeDocument/2006/relationships/hyperlink" Target="https://bulbapedia.bulbagarden.net/wiki/Water_Energy_(Evolutions_93)" TargetMode="External"/><Relationship Id="rId8" Type="http://schemas.openxmlformats.org/officeDocument/2006/relationships/hyperlink" Target="https://bulbapedia.bulbagarden.net/wiki/Charmeleon_(Evolutions_10)" TargetMode="External"/><Relationship Id="rId51" Type="http://schemas.openxmlformats.org/officeDocument/2006/relationships/hyperlink" Target="https://bulbapedia.bulbagarden.net/wiki/Rattata_(Evolutions_66)" TargetMode="External"/><Relationship Id="rId72" Type="http://schemas.openxmlformats.org/officeDocument/2006/relationships/hyperlink" Target="https://bulbapedia.bulbagarden.net/wiki/Switch_(Evolutions_88)" TargetMode="External"/><Relationship Id="rId80" Type="http://schemas.openxmlformats.org/officeDocument/2006/relationships/hyperlink" Target="https://bulbapedia.bulbagarden.net/wiki/Fighting_Energy_(Evolutions_96)" TargetMode="External"/><Relationship Id="rId85" Type="http://schemas.openxmlformats.org/officeDocument/2006/relationships/hyperlink" Target="https://bulbapedia.bulbagarden.net/wiki/Misty%27s_Determination_(Evolutions_108)" TargetMode="External"/><Relationship Id="rId3" Type="http://schemas.openxmlformats.org/officeDocument/2006/relationships/hyperlink" Target="https://bulbapedia.bulbagarden.net/wiki/Weedle_(Evolutions_5)" TargetMode="External"/><Relationship Id="rId12" Type="http://schemas.openxmlformats.org/officeDocument/2006/relationships/hyperlink" Target="https://bulbapedia.bulbagarden.net/wiki/Growlithe_(Evolutions_17)" TargetMode="External"/><Relationship Id="rId17" Type="http://schemas.openxmlformats.org/officeDocument/2006/relationships/hyperlink" Target="https://bulbapedia.bulbagarden.net/wiki/Poliwhirl_(Evolutions_24)" TargetMode="External"/><Relationship Id="rId25" Type="http://schemas.openxmlformats.org/officeDocument/2006/relationships/hyperlink" Target="https://bulbapedia.bulbagarden.net/wiki/Pikachu_(Evolutions_35)" TargetMode="External"/><Relationship Id="rId33" Type="http://schemas.openxmlformats.org/officeDocument/2006/relationships/hyperlink" Target="https://bulbapedia.bulbagarden.net/wiki/Nidoran%E2%99%82_(Evolutions_43)" TargetMode="External"/><Relationship Id="rId38" Type="http://schemas.openxmlformats.org/officeDocument/2006/relationships/hyperlink" Target="https://bulbapedia.bulbagarden.net/wiki/Drowzee_(Evolutions_49)" TargetMode="External"/><Relationship Id="rId46" Type="http://schemas.openxmlformats.org/officeDocument/2006/relationships/hyperlink" Target="https://bulbapedia.bulbagarden.net/wiki/Machoke_(Evolutions_58)" TargetMode="External"/><Relationship Id="rId59" Type="http://schemas.openxmlformats.org/officeDocument/2006/relationships/hyperlink" Target="https://bulbapedia.bulbagarden.net/wiki/Charizard_Spirit_Link_(Evolutions_75)" TargetMode="External"/><Relationship Id="rId67" Type="http://schemas.openxmlformats.org/officeDocument/2006/relationships/hyperlink" Target="https://bulbapedia.bulbagarden.net/wiki/Potion_(Evolutions_83)" TargetMode="External"/><Relationship Id="rId20" Type="http://schemas.openxmlformats.org/officeDocument/2006/relationships/hyperlink" Target="https://bulbapedia.bulbagarden.net/wiki/Dewgong_(Evolutions_29)" TargetMode="External"/><Relationship Id="rId41" Type="http://schemas.openxmlformats.org/officeDocument/2006/relationships/hyperlink" Target="https://bulbapedia.bulbagarden.net/wiki/Mew_(Evolutions_53)" TargetMode="External"/><Relationship Id="rId54" Type="http://schemas.openxmlformats.org/officeDocument/2006/relationships/hyperlink" Target="https://bulbapedia.bulbagarden.net/wiki/Doduo_(Evolutions_69)" TargetMode="External"/><Relationship Id="rId62" Type="http://schemas.openxmlformats.org/officeDocument/2006/relationships/hyperlink" Target="https://bulbapedia.bulbagarden.net/wiki/Full_Heal_(Evolutions_78)" TargetMode="External"/><Relationship Id="rId70" Type="http://schemas.openxmlformats.org/officeDocument/2006/relationships/hyperlink" Target="https://bulbapedia.bulbagarden.net/wiki/Slowbro_Spirit_Link_(Evolutions_86)" TargetMode="External"/><Relationship Id="rId75" Type="http://schemas.openxmlformats.org/officeDocument/2006/relationships/hyperlink" Target="https://bulbapedia.bulbagarden.net/wiki/Grass_Energy_(Evolutions_91)" TargetMode="External"/><Relationship Id="rId83" Type="http://schemas.openxmlformats.org/officeDocument/2006/relationships/hyperlink" Target="https://bulbapedia.bulbagarden.net/wiki/Fairy_Energy_(Evolutions_99)" TargetMode="External"/><Relationship Id="rId88" Type="http://schemas.openxmlformats.org/officeDocument/2006/relationships/hyperlink" Target="https://bulbapedia.bulbagarden.net/wiki/Surfing_Pikachu_(Evolutions_111)" TargetMode="External"/><Relationship Id="rId1" Type="http://schemas.openxmlformats.org/officeDocument/2006/relationships/hyperlink" Target="https://bulbapedia.bulbagarden.net/wiki/Caterpie_(Evolutions_3)" TargetMode="External"/><Relationship Id="rId6" Type="http://schemas.openxmlformats.org/officeDocument/2006/relationships/hyperlink" Target="https://bulbapedia.bulbagarden.net/wiki/Tangela_(Evolutions_8)" TargetMode="External"/><Relationship Id="rId15" Type="http://schemas.openxmlformats.org/officeDocument/2006/relationships/hyperlink" Target="https://bulbapedia.bulbagarden.net/wiki/Magmar_(Evolutions_20)" TargetMode="External"/><Relationship Id="rId23" Type="http://schemas.openxmlformats.org/officeDocument/2006/relationships/hyperlink" Target="https://bulbapedia.bulbagarden.net/wiki/Magikarp_(Evolutions_33)" TargetMode="External"/><Relationship Id="rId28" Type="http://schemas.openxmlformats.org/officeDocument/2006/relationships/hyperlink" Target="https://bulbapedia.bulbagarden.net/wiki/Magneton_(Evolutions_38)" TargetMode="External"/><Relationship Id="rId36" Type="http://schemas.openxmlformats.org/officeDocument/2006/relationships/hyperlink" Target="https://bulbapedia.bulbagarden.net/wiki/Gastly_(Evolutions_47)" TargetMode="External"/><Relationship Id="rId49" Type="http://schemas.openxmlformats.org/officeDocument/2006/relationships/hyperlink" Target="https://bulbapedia.bulbagarden.net/wiki/Hitmonchan_(Evolutions_62)" TargetMode="External"/><Relationship Id="rId57" Type="http://schemas.openxmlformats.org/officeDocument/2006/relationships/hyperlink" Target="https://bulbapedia.bulbagarden.net/wiki/Blastoise_Spirit_Link_(Evolutions_73)" TargetMode="External"/><Relationship Id="rId10" Type="http://schemas.openxmlformats.org/officeDocument/2006/relationships/hyperlink" Target="https://bulbapedia.bulbagarden.net/wiki/Vulpix_(Evolutions_14)" TargetMode="External"/><Relationship Id="rId31" Type="http://schemas.openxmlformats.org/officeDocument/2006/relationships/hyperlink" Target="https://bulbapedia.bulbagarden.net/wiki/Electabuzz_(Evolutions_41)" TargetMode="External"/><Relationship Id="rId44" Type="http://schemas.openxmlformats.org/officeDocument/2006/relationships/hyperlink" Target="https://bulbapedia.bulbagarden.net/wiki/Dugtrio_(Evolutions_56)" TargetMode="External"/><Relationship Id="rId52" Type="http://schemas.openxmlformats.org/officeDocument/2006/relationships/hyperlink" Target="https://bulbapedia.bulbagarden.net/wiki/Raticate_(Evolutions_67)" TargetMode="External"/><Relationship Id="rId60" Type="http://schemas.openxmlformats.org/officeDocument/2006/relationships/hyperlink" Target="https://bulbapedia.bulbagarden.net/wiki/Devolution_Spray_(Evolutions_76)" TargetMode="External"/><Relationship Id="rId65" Type="http://schemas.openxmlformats.org/officeDocument/2006/relationships/hyperlink" Target="https://bulbapedia.bulbagarden.net/wiki/Pidgeot_Spirit_Link_(Evolutions_81)" TargetMode="External"/><Relationship Id="rId73" Type="http://schemas.openxmlformats.org/officeDocument/2006/relationships/hyperlink" Target="https://bulbapedia.bulbagarden.net/wiki/Venusaur_Spirit_Link_(Evolutions_89)" TargetMode="External"/><Relationship Id="rId78" Type="http://schemas.openxmlformats.org/officeDocument/2006/relationships/hyperlink" Target="https://bulbapedia.bulbagarden.net/wiki/Lightning_Energy_(Evolutions_94)" TargetMode="External"/><Relationship Id="rId81" Type="http://schemas.openxmlformats.org/officeDocument/2006/relationships/hyperlink" Target="https://bulbapedia.bulbagarden.net/wiki/Darkness_Energy_(Evolutions_97)" TargetMode="External"/><Relationship Id="rId86" Type="http://schemas.openxmlformats.org/officeDocument/2006/relationships/hyperlink" Target="https://bulbapedia.bulbagarden.net/wiki/Exeggutor_(Evolutions_109)" TargetMode="External"/><Relationship Id="rId4" Type="http://schemas.openxmlformats.org/officeDocument/2006/relationships/hyperlink" Target="https://bulbapedia.bulbagarden.net/wiki/Kakuna_(Evolutions_6)" TargetMode="External"/><Relationship Id="rId9" Type="http://schemas.openxmlformats.org/officeDocument/2006/relationships/hyperlink" Target="https://bulbapedia.bulbagarden.net/wiki/Charizard_(Evolutions_11)" TargetMode="External"/><Relationship Id="rId13" Type="http://schemas.openxmlformats.org/officeDocument/2006/relationships/hyperlink" Target="https://bulbapedia.bulbagarden.net/wiki/Arcanine_(Evolutions_18)" TargetMode="External"/><Relationship Id="rId18" Type="http://schemas.openxmlformats.org/officeDocument/2006/relationships/hyperlink" Target="https://bulbapedia.bulbagarden.net/wiki/Poliwrath_(Evolutions_25)" TargetMode="External"/><Relationship Id="rId39" Type="http://schemas.openxmlformats.org/officeDocument/2006/relationships/hyperlink" Target="https://bulbapedia.bulbagarden.net/wiki/Koffing_(Evolutions_50)" TargetMode="External"/><Relationship Id="rId34" Type="http://schemas.openxmlformats.org/officeDocument/2006/relationships/hyperlink" Target="https://bulbapedia.bulbagarden.net/wiki/Nidorino_(Evolutions_44)" TargetMode="External"/><Relationship Id="rId50" Type="http://schemas.openxmlformats.org/officeDocument/2006/relationships/hyperlink" Target="https://bulbapedia.bulbagarden.net/wiki/Clefairy_(Evolutions_63)" TargetMode="External"/><Relationship Id="rId55" Type="http://schemas.openxmlformats.org/officeDocument/2006/relationships/hyperlink" Target="https://bulbapedia.bulbagarden.net/wiki/Chansey_(Evolutions_70)" TargetMode="External"/><Relationship Id="rId76" Type="http://schemas.openxmlformats.org/officeDocument/2006/relationships/hyperlink" Target="https://bulbapedia.bulbagarden.net/wiki/Fire_Energy_(Evolutions_92)" TargetMode="External"/><Relationship Id="rId7" Type="http://schemas.openxmlformats.org/officeDocument/2006/relationships/hyperlink" Target="https://bulbapedia.bulbagarden.net/wiki/Charmander_(Evolutions_9)" TargetMode="External"/><Relationship Id="rId71" Type="http://schemas.openxmlformats.org/officeDocument/2006/relationships/hyperlink" Target="https://bulbapedia.bulbagarden.net/wiki/Super_Potion_(Evolutions_87)" TargetMode="External"/><Relationship Id="rId2" Type="http://schemas.openxmlformats.org/officeDocument/2006/relationships/hyperlink" Target="https://bulbapedia.bulbagarden.net/wiki/Metapod_(Evolutions_4)" TargetMode="External"/><Relationship Id="rId29" Type="http://schemas.openxmlformats.org/officeDocument/2006/relationships/hyperlink" Target="https://bulbapedia.bulbagarden.net/wiki/Voltorb_(Evolutions_39)" TargetMode="External"/><Relationship Id="rId24" Type="http://schemas.openxmlformats.org/officeDocument/2006/relationships/hyperlink" Target="https://bulbapedia.bulbagarden.net/wiki/Gyarados_(Evolutions_34)" TargetMode="External"/><Relationship Id="rId40" Type="http://schemas.openxmlformats.org/officeDocument/2006/relationships/hyperlink" Target="https://bulbapedia.bulbagarden.net/wiki/Mewtwo_(Evolutions_51)" TargetMode="External"/><Relationship Id="rId45" Type="http://schemas.openxmlformats.org/officeDocument/2006/relationships/hyperlink" Target="https://bulbapedia.bulbagarden.net/wiki/Machop_(Evolutions_57)" TargetMode="External"/><Relationship Id="rId66" Type="http://schemas.openxmlformats.org/officeDocument/2006/relationships/hyperlink" Target="https://bulbapedia.bulbagarden.net/wiki/Pok%C3%A9dex_(Evolutions_82)" TargetMode="External"/><Relationship Id="rId87" Type="http://schemas.openxmlformats.org/officeDocument/2006/relationships/hyperlink" Target="https://bulbapedia.bulbagarden.net/wiki/Flying_Pikachu_(Evolutions_110)" TargetMode="External"/><Relationship Id="rId61" Type="http://schemas.openxmlformats.org/officeDocument/2006/relationships/hyperlink" Target="https://bulbapedia.bulbagarden.net/wiki/Energy_Retrieval_(Evolutions_77)" TargetMode="External"/><Relationship Id="rId82" Type="http://schemas.openxmlformats.org/officeDocument/2006/relationships/hyperlink" Target="https://bulbapedia.bulbagarden.net/wiki/Metal_Energy_(Evolutions_98)" TargetMode="External"/><Relationship Id="rId19" Type="http://schemas.openxmlformats.org/officeDocument/2006/relationships/hyperlink" Target="https://bulbapedia.bulbagarden.net/wiki/Seel_(Evolutions_28)" TargetMode="External"/></Relationships>
</file>

<file path=xl/worksheets/_rels/sheet66.xml.rels><?xml version="1.0" encoding="UTF-8" standalone="yes"?>
<Relationships xmlns="http://schemas.openxmlformats.org/package/2006/relationships"><Relationship Id="rId26" Type="http://schemas.openxmlformats.org/officeDocument/2006/relationships/hyperlink" Target="https://bulbapedia.bulbagarden.net/wiki/Alolan_Raichu_(SM_Promo_65)" TargetMode="External"/><Relationship Id="rId21" Type="http://schemas.openxmlformats.org/officeDocument/2006/relationships/hyperlink" Target="https://bulbapedia.bulbagarden.net/wiki/Golisopod_(SM_Promo_52)" TargetMode="External"/><Relationship Id="rId42" Type="http://schemas.openxmlformats.org/officeDocument/2006/relationships/hyperlink" Target="https://bulbapedia.bulbagarden.net/wiki/Dawn_Wings_Necrozma_(SM_Promo_106)" TargetMode="External"/><Relationship Id="rId47" Type="http://schemas.openxmlformats.org/officeDocument/2006/relationships/hyperlink" Target="https://bulbapedia.bulbagarden.net/wiki/Ash%27s_Pikachu_(SM_Promo_111)" TargetMode="External"/><Relationship Id="rId63" Type="http://schemas.openxmlformats.org/officeDocument/2006/relationships/hyperlink" Target="https://bulbapedia.bulbagarden.net/w/index.php?title=Zapdos_(SM_Promo_145)&amp;action=edit&amp;redlink=1" TargetMode="External"/><Relationship Id="rId68" Type="http://schemas.openxmlformats.org/officeDocument/2006/relationships/hyperlink" Target="https://bulbapedia.bulbagarden.net/w/index.php?title=Mimikyu_(SM_Promo_163)&amp;action=edit&amp;redlink=1" TargetMode="External"/><Relationship Id="rId84" Type="http://schemas.openxmlformats.org/officeDocument/2006/relationships/hyperlink" Target="https://bulbapedia.bulbagarden.net/wiki/Vikavolt_(SM_Promo_208)" TargetMode="External"/><Relationship Id="rId89" Type="http://schemas.openxmlformats.org/officeDocument/2006/relationships/hyperlink" Target="https://bulbapedia.bulbagarden.net/wiki/Terrakion_(SM_Promo_223)" TargetMode="External"/><Relationship Id="rId16" Type="http://schemas.openxmlformats.org/officeDocument/2006/relationships/hyperlink" Target="https://bulbapedia.bulbagarden.net/wiki/Komala_(SM_Promo_41)" TargetMode="External"/><Relationship Id="rId11" Type="http://schemas.openxmlformats.org/officeDocument/2006/relationships/hyperlink" Target="https://bulbapedia.bulbagarden.net/wiki/Vikavolt_(SM_Promo_28)" TargetMode="External"/><Relationship Id="rId32" Type="http://schemas.openxmlformats.org/officeDocument/2006/relationships/hyperlink" Target="https://bulbapedia.bulbagarden.net/wiki/Shining_Lugia_(SM_Promo_82)" TargetMode="External"/><Relationship Id="rId37" Type="http://schemas.openxmlformats.org/officeDocument/2006/relationships/hyperlink" Target="https://bulbapedia.bulbagarden.net/wiki/Zoroark_(SM_Promo_89)" TargetMode="External"/><Relationship Id="rId53" Type="http://schemas.openxmlformats.org/officeDocument/2006/relationships/hyperlink" Target="https://bulbapedia.bulbagarden.net/wiki/Dawn_Wings_Necrozma_(SM_Promo_123)" TargetMode="External"/><Relationship Id="rId58" Type="http://schemas.openxmlformats.org/officeDocument/2006/relationships/hyperlink" Target="https://bulbapedia.bulbagarden.net/wiki/Latios_(SM_Promo_136)" TargetMode="External"/><Relationship Id="rId74" Type="http://schemas.openxmlformats.org/officeDocument/2006/relationships/hyperlink" Target="https://bulbapedia.bulbagarden.net/wiki/Eevee_(SM_Promo_184)" TargetMode="External"/><Relationship Id="rId79" Type="http://schemas.openxmlformats.org/officeDocument/2006/relationships/hyperlink" Target="https://bulbapedia.bulbagarden.net/wiki/Bulbasaur_(SM_Promo_198)" TargetMode="External"/><Relationship Id="rId102" Type="http://schemas.openxmlformats.org/officeDocument/2006/relationships/hyperlink" Target="https://bulbapedia.bulbagarden.net/wiki/Eevee-GX_(SM_Promo_242)" TargetMode="External"/><Relationship Id="rId5" Type="http://schemas.openxmlformats.org/officeDocument/2006/relationships/hyperlink" Target="https://bulbapedia.bulbagarden.net/wiki/Rowlet_(SM_Promo_22)" TargetMode="External"/><Relationship Id="rId90" Type="http://schemas.openxmlformats.org/officeDocument/2006/relationships/hyperlink" Target="https://bulbapedia.bulbagarden.net/wiki/Celebi_(SM_Promo_224)" TargetMode="External"/><Relationship Id="rId95" Type="http://schemas.openxmlformats.org/officeDocument/2006/relationships/hyperlink" Target="https://bulbapedia.bulbagarden.net/w/index.php?title=Pikachu_(SM_Promo_234)&amp;action=edit&amp;redlink=1" TargetMode="External"/><Relationship Id="rId22" Type="http://schemas.openxmlformats.org/officeDocument/2006/relationships/hyperlink" Target="https://bulbapedia.bulbagarden.net/wiki/Dhelmise_(SM_Promo_53)" TargetMode="External"/><Relationship Id="rId27" Type="http://schemas.openxmlformats.org/officeDocument/2006/relationships/hyperlink" Target="https://bulbapedia.bulbagarden.net/wiki/Shining_Ho-Oh_(SM_Promo_70)" TargetMode="External"/><Relationship Id="rId43" Type="http://schemas.openxmlformats.org/officeDocument/2006/relationships/hyperlink" Target="https://bulbapedia.bulbagarden.net/wiki/Dusk_Mane_Necrozma_(SM_Promo_107)" TargetMode="External"/><Relationship Id="rId48" Type="http://schemas.openxmlformats.org/officeDocument/2006/relationships/hyperlink" Target="https://bulbapedia.bulbagarden.net/wiki/Ash%27s_Pikachu_(SM_Promo_112)" TargetMode="External"/><Relationship Id="rId64" Type="http://schemas.openxmlformats.org/officeDocument/2006/relationships/hyperlink" Target="https://bulbapedia.bulbagarden.net/w/index.php?title=Rowlet_(SM_Promo_153)&amp;action=edit&amp;redlink=1" TargetMode="External"/><Relationship Id="rId69" Type="http://schemas.openxmlformats.org/officeDocument/2006/relationships/hyperlink" Target="https://bulbapedia.bulbagarden.net/w/index.php?title=Deoxys_(SM_Promo_164)&amp;action=edit&amp;redlink=1" TargetMode="External"/><Relationship Id="rId80" Type="http://schemas.openxmlformats.org/officeDocument/2006/relationships/hyperlink" Target="https://bulbapedia.bulbagarden.net/wiki/Psyduck_(SM_Promo_199)" TargetMode="External"/><Relationship Id="rId85" Type="http://schemas.openxmlformats.org/officeDocument/2006/relationships/hyperlink" Target="https://bulbapedia.bulbagarden.net/wiki/Stakataka_(SM_Promo_209)" TargetMode="External"/><Relationship Id="rId12" Type="http://schemas.openxmlformats.org/officeDocument/2006/relationships/hyperlink" Target="https://bulbapedia.bulbagarden.net/wiki/Mimikyu_(SM_Promo_29)" TargetMode="External"/><Relationship Id="rId17" Type="http://schemas.openxmlformats.org/officeDocument/2006/relationships/hyperlink" Target="https://bulbapedia.bulbagarden.net/wiki/Alolan_Meowth_(SM_Promo_43)" TargetMode="External"/><Relationship Id="rId25" Type="http://schemas.openxmlformats.org/officeDocument/2006/relationships/hyperlink" Target="https://bulbapedia.bulbagarden.net/wiki/Silvally_(SM_Promo_64)" TargetMode="External"/><Relationship Id="rId33" Type="http://schemas.openxmlformats.org/officeDocument/2006/relationships/hyperlink" Target="https://bulbapedia.bulbagarden.net/wiki/Zorua_(SM_Promo_83)" TargetMode="External"/><Relationship Id="rId38" Type="http://schemas.openxmlformats.org/officeDocument/2006/relationships/hyperlink" Target="https://bulbapedia.bulbagarden.net/wiki/Marshadow_(SM_Promo_93)" TargetMode="External"/><Relationship Id="rId46" Type="http://schemas.openxmlformats.org/officeDocument/2006/relationships/hyperlink" Target="https://bulbapedia.bulbagarden.net/wiki/Ash%27s_Pikachu_(SM_Promo_110)" TargetMode="External"/><Relationship Id="rId59" Type="http://schemas.openxmlformats.org/officeDocument/2006/relationships/hyperlink" Target="https://bulbapedia.bulbagarden.net/w/index.php?title=Salamence_(SM_Promo_140)&amp;action=edit&amp;redlink=1" TargetMode="External"/><Relationship Id="rId67" Type="http://schemas.openxmlformats.org/officeDocument/2006/relationships/hyperlink" Target="https://bulbapedia.bulbagarden.net/w/index.php?title=Pikachu_(SM_Promo_162)&amp;action=edit&amp;redlink=1" TargetMode="External"/><Relationship Id="rId103" Type="http://schemas.openxmlformats.org/officeDocument/2006/relationships/hyperlink" Target="https://bulbapedia.bulbagarden.net/wiki/Regigigas_(SM_Promo_243)" TargetMode="External"/><Relationship Id="rId20" Type="http://schemas.openxmlformats.org/officeDocument/2006/relationships/hyperlink" Target="https://bulbapedia.bulbagarden.net/wiki/Alolan_Meowth_(SM_Promo_51)" TargetMode="External"/><Relationship Id="rId41" Type="http://schemas.openxmlformats.org/officeDocument/2006/relationships/hyperlink" Target="https://bulbapedia.bulbagarden.net/wiki/Lycanroc_(SM_Promo_105)" TargetMode="External"/><Relationship Id="rId54" Type="http://schemas.openxmlformats.org/officeDocument/2006/relationships/hyperlink" Target="https://bulbapedia.bulbagarden.net/wiki/Dusk_Mane_Necrozma_(SM_Promo_124)" TargetMode="External"/><Relationship Id="rId62" Type="http://schemas.openxmlformats.org/officeDocument/2006/relationships/hyperlink" Target="https://bulbapedia.bulbagarden.net/w/index.php?title=Articuno_(SM_Promo_144)&amp;action=edit&amp;redlink=1" TargetMode="External"/><Relationship Id="rId70" Type="http://schemas.openxmlformats.org/officeDocument/2006/relationships/hyperlink" Target="https://bulbapedia.bulbagarden.net/wiki/Ultra_Necrozma_(SM_Promo_165)" TargetMode="External"/><Relationship Id="rId75" Type="http://schemas.openxmlformats.org/officeDocument/2006/relationships/hyperlink" Target="https://bulbapedia.bulbagarden.net/wiki/Typhlosion_(SM_Promo_185)" TargetMode="External"/><Relationship Id="rId83" Type="http://schemas.openxmlformats.org/officeDocument/2006/relationships/hyperlink" Target="https://bulbapedia.bulbagarden.net/wiki/Sudowoodo_(SM_Promo_207)" TargetMode="External"/><Relationship Id="rId88" Type="http://schemas.openxmlformats.org/officeDocument/2006/relationships/hyperlink" Target="https://bulbapedia.bulbagarden.net/wiki/Mismagius_(SM_Promo_222)" TargetMode="External"/><Relationship Id="rId91" Type="http://schemas.openxmlformats.org/officeDocument/2006/relationships/hyperlink" Target="https://bulbapedia.bulbagarden.net/wiki/Victini_(SM_Promo_225)" TargetMode="External"/><Relationship Id="rId96" Type="http://schemas.openxmlformats.org/officeDocument/2006/relationships/hyperlink" Target="https://bulbapedia.bulbagarden.net/w/index.php?title=Eevee_(SM_Promo_235)&amp;action=edit&amp;redlink=1" TargetMode="External"/><Relationship Id="rId1" Type="http://schemas.openxmlformats.org/officeDocument/2006/relationships/hyperlink" Target="https://bulbapedia.bulbagarden.net/wiki/Pikipek_(SM_Promo_7)" TargetMode="External"/><Relationship Id="rId6" Type="http://schemas.openxmlformats.org/officeDocument/2006/relationships/hyperlink" Target="https://bulbapedia.bulbagarden.net/wiki/Litten_(SM_Promo_23)" TargetMode="External"/><Relationship Id="rId15" Type="http://schemas.openxmlformats.org/officeDocument/2006/relationships/hyperlink" Target="https://bulbapedia.bulbagarden.net/wiki/Tapu_Koko_(SM_Promo_31)" TargetMode="External"/><Relationship Id="rId23" Type="http://schemas.openxmlformats.org/officeDocument/2006/relationships/hyperlink" Target="https://bulbapedia.bulbagarden.net/wiki/Lucario_(SM_Promo_54)" TargetMode="External"/><Relationship Id="rId28" Type="http://schemas.openxmlformats.org/officeDocument/2006/relationships/hyperlink" Target="https://bulbapedia.bulbagarden.net/wiki/Pikachu_(SM_Promo_76)" TargetMode="External"/><Relationship Id="rId36" Type="http://schemas.openxmlformats.org/officeDocument/2006/relationships/hyperlink" Target="https://bulbapedia.bulbagarden.net/wiki/Latios_(SM_Promo_88)" TargetMode="External"/><Relationship Id="rId49" Type="http://schemas.openxmlformats.org/officeDocument/2006/relationships/hyperlink" Target="https://bulbapedia.bulbagarden.net/wiki/Ash%27s_Pikachu_(SM_Promo_113)" TargetMode="External"/><Relationship Id="rId57" Type="http://schemas.openxmlformats.org/officeDocument/2006/relationships/hyperlink" Target="https://bulbapedia.bulbagarden.net/wiki/Latias_(SM_Promo_135)" TargetMode="External"/><Relationship Id="rId10" Type="http://schemas.openxmlformats.org/officeDocument/2006/relationships/hyperlink" Target="https://bulbapedia.bulbagarden.net/wiki/Turtonator_(SM_Promo_27)" TargetMode="External"/><Relationship Id="rId31" Type="http://schemas.openxmlformats.org/officeDocument/2006/relationships/hyperlink" Target="https://bulbapedia.bulbagarden.net/wiki/Pikachu_(SM_Promo_81)" TargetMode="External"/><Relationship Id="rId44" Type="http://schemas.openxmlformats.org/officeDocument/2006/relationships/hyperlink" Target="https://bulbapedia.bulbagarden.net/wiki/Ash%27s_Pikachu_(SM_Promo_108)" TargetMode="External"/><Relationship Id="rId52" Type="http://schemas.openxmlformats.org/officeDocument/2006/relationships/hyperlink" Target="https://bulbapedia.bulbagarden.net/wiki/Rockruff_(SM_Promo_120)" TargetMode="External"/><Relationship Id="rId60" Type="http://schemas.openxmlformats.org/officeDocument/2006/relationships/hyperlink" Target="https://bulbapedia.bulbagarden.net/w/index.php?title=Kyurem_(SM_Promo_142)&amp;action=edit&amp;redlink=1" TargetMode="External"/><Relationship Id="rId65" Type="http://schemas.openxmlformats.org/officeDocument/2006/relationships/hyperlink" Target="https://bulbapedia.bulbagarden.net/w/index.php?title=Salandit_(SM_Promo_154)&amp;action=edit&amp;redlink=1" TargetMode="External"/><Relationship Id="rId73" Type="http://schemas.openxmlformats.org/officeDocument/2006/relationships/hyperlink" Target="https://bulbapedia.bulbagarden.net/wiki/Pikachu_(SM_Promo_183)" TargetMode="External"/><Relationship Id="rId78" Type="http://schemas.openxmlformats.org/officeDocument/2006/relationships/hyperlink" Target="https://bulbapedia.bulbagarden.net/wiki/Detective_Pikachu_(SM_Promo_194)" TargetMode="External"/><Relationship Id="rId81" Type="http://schemas.openxmlformats.org/officeDocument/2006/relationships/hyperlink" Target="https://bulbapedia.bulbagarden.net/wiki/Snubbull_(SM_Promo_200)" TargetMode="External"/><Relationship Id="rId86" Type="http://schemas.openxmlformats.org/officeDocument/2006/relationships/hyperlink" Target="https://bulbapedia.bulbagarden.net/wiki/Mewtwo_(SM_Promo_214)" TargetMode="External"/><Relationship Id="rId94" Type="http://schemas.openxmlformats.org/officeDocument/2006/relationships/hyperlink" Target="https://bulbapedia.bulbagarden.net/wiki/Armored_Mewtwo_(SM_Promo_228)" TargetMode="External"/><Relationship Id="rId99" Type="http://schemas.openxmlformats.org/officeDocument/2006/relationships/hyperlink" Target="https://bulbapedia.bulbagarden.net/wiki/Carracosta-GX_(SM_Promo_239)" TargetMode="External"/><Relationship Id="rId101" Type="http://schemas.openxmlformats.org/officeDocument/2006/relationships/hyperlink" Target="https://bulbapedia.bulbagarden.net/wiki/Umbreon_%26_Darkrai-GX_(SM_Promo_241)" TargetMode="External"/><Relationship Id="rId4" Type="http://schemas.openxmlformats.org/officeDocument/2006/relationships/hyperlink" Target="https://bulbapedia.bulbagarden.net/wiki/Zygarde_(SM_Promo_15)" TargetMode="External"/><Relationship Id="rId9" Type="http://schemas.openxmlformats.org/officeDocument/2006/relationships/hyperlink" Target="https://bulbapedia.bulbagarden.net/wiki/Tsareena_(SM_Promo_26)" TargetMode="External"/><Relationship Id="rId13" Type="http://schemas.openxmlformats.org/officeDocument/2006/relationships/hyperlink" Target="https://bulbapedia.bulbagarden.net/wiki/Tapu_Koko_(SM_Promo_30)" TargetMode="External"/><Relationship Id="rId18" Type="http://schemas.openxmlformats.org/officeDocument/2006/relationships/hyperlink" Target="https://bulbapedia.bulbagarden.net/wiki/Togedemaru_(SM_Promo_44)" TargetMode="External"/><Relationship Id="rId39" Type="http://schemas.openxmlformats.org/officeDocument/2006/relationships/hyperlink" Target="https://bulbapedia.bulbagarden.net/wiki/Pikachu_(SM_Promo_98)" TargetMode="External"/><Relationship Id="rId34" Type="http://schemas.openxmlformats.org/officeDocument/2006/relationships/hyperlink" Target="https://bulbapedia.bulbagarden.net/wiki/Marshadow_(SM_Promo_85)" TargetMode="External"/><Relationship Id="rId50" Type="http://schemas.openxmlformats.org/officeDocument/2006/relationships/hyperlink" Target="https://bulbapedia.bulbagarden.net/wiki/Ash%27s_Pikachu_(SM_Promo_114)" TargetMode="External"/><Relationship Id="rId55" Type="http://schemas.openxmlformats.org/officeDocument/2006/relationships/hyperlink" Target="https://bulbapedia.bulbagarden.net/wiki/Alolan_Sandslash_(SM_Promo_127)" TargetMode="External"/><Relationship Id="rId76" Type="http://schemas.openxmlformats.org/officeDocument/2006/relationships/hyperlink" Target="https://bulbapedia.bulbagarden.net/wiki/Flareon_(SM_Promo_186)" TargetMode="External"/><Relationship Id="rId97" Type="http://schemas.openxmlformats.org/officeDocument/2006/relationships/hyperlink" Target="https://bulbapedia.bulbagarden.net/wiki/Leafeon_(SM_Promo_237)" TargetMode="External"/><Relationship Id="rId104" Type="http://schemas.openxmlformats.org/officeDocument/2006/relationships/hyperlink" Target="https://bulbapedia.bulbagarden.net/wiki/Aipom_(SM_Promo_244)" TargetMode="External"/><Relationship Id="rId7" Type="http://schemas.openxmlformats.org/officeDocument/2006/relationships/hyperlink" Target="https://bulbapedia.bulbagarden.net/wiki/Popplio_(SM_Promo_24)" TargetMode="External"/><Relationship Id="rId71" Type="http://schemas.openxmlformats.org/officeDocument/2006/relationships/hyperlink" Target="https://bulbapedia.bulbagarden.net/w/index.php?title=Detective_Pikachu_(SM_Promo_170)&amp;action=edit&amp;redlink=1" TargetMode="External"/><Relationship Id="rId92" Type="http://schemas.openxmlformats.org/officeDocument/2006/relationships/hyperlink" Target="https://bulbapedia.bulbagarden.net/wiki/Charizard_(SM_Promo_226)" TargetMode="External"/><Relationship Id="rId2" Type="http://schemas.openxmlformats.org/officeDocument/2006/relationships/hyperlink" Target="https://bulbapedia.bulbagarden.net/wiki/Litten_(SM_Promo_8)" TargetMode="External"/><Relationship Id="rId29" Type="http://schemas.openxmlformats.org/officeDocument/2006/relationships/hyperlink" Target="https://bulbapedia.bulbagarden.net/wiki/Mewtwo_(SM_Promo_77)" TargetMode="External"/><Relationship Id="rId24" Type="http://schemas.openxmlformats.org/officeDocument/2006/relationships/hyperlink" Target="https://bulbapedia.bulbagarden.net/wiki/Decidueye_(SM_Promo_55)" TargetMode="External"/><Relationship Id="rId40" Type="http://schemas.openxmlformats.org/officeDocument/2006/relationships/hyperlink" Target="https://bulbapedia.bulbagarden.net/wiki/Mimikyu_(SM_Promo_99)" TargetMode="External"/><Relationship Id="rId45" Type="http://schemas.openxmlformats.org/officeDocument/2006/relationships/hyperlink" Target="https://bulbapedia.bulbagarden.net/wiki/Ash%27s_Pikachu_(SM_Promo_109)" TargetMode="External"/><Relationship Id="rId66" Type="http://schemas.openxmlformats.org/officeDocument/2006/relationships/hyperlink" Target="https://bulbapedia.bulbagarden.net/w/index.php?title=Pikachu_(SM_Promo_157)&amp;action=edit&amp;redlink=1" TargetMode="External"/><Relationship Id="rId87" Type="http://schemas.openxmlformats.org/officeDocument/2006/relationships/hyperlink" Target="https://bulbapedia.bulbagarden.net/wiki/Mew_(SM_Promo_215)" TargetMode="External"/><Relationship Id="rId61" Type="http://schemas.openxmlformats.org/officeDocument/2006/relationships/hyperlink" Target="https://bulbapedia.bulbagarden.net/w/index.php?title=Moltres_(SM_Promo_143)&amp;action=edit&amp;redlink=1" TargetMode="External"/><Relationship Id="rId82" Type="http://schemas.openxmlformats.org/officeDocument/2006/relationships/hyperlink" Target="https://bulbapedia.bulbagarden.net/wiki/Pikachu_(SM_Promo_206)" TargetMode="External"/><Relationship Id="rId19" Type="http://schemas.openxmlformats.org/officeDocument/2006/relationships/hyperlink" Target="https://bulbapedia.bulbagarden.net/wiki/Tapu_Lele_(SM_Promo_45)" TargetMode="External"/><Relationship Id="rId14" Type="http://schemas.openxmlformats.org/officeDocument/2006/relationships/hyperlink" Target="https://bulbapedia.bulbagarden.net/wiki/Tapu_Koko_(SM_Promo_30)" TargetMode="External"/><Relationship Id="rId30" Type="http://schemas.openxmlformats.org/officeDocument/2006/relationships/hyperlink" Target="https://bulbapedia.bulbagarden.net/wiki/Shining_Celebi_(SM_Promo_79)" TargetMode="External"/><Relationship Id="rId35" Type="http://schemas.openxmlformats.org/officeDocument/2006/relationships/hyperlink" Target="https://bulbapedia.bulbagarden.net/wiki/Latias_(SM_Promo_87)" TargetMode="External"/><Relationship Id="rId56" Type="http://schemas.openxmlformats.org/officeDocument/2006/relationships/hyperlink" Target="https://bulbapedia.bulbagarden.net/wiki/Alolan_Ninetales_(SM_Promo_128)" TargetMode="External"/><Relationship Id="rId77" Type="http://schemas.openxmlformats.org/officeDocument/2006/relationships/hyperlink" Target="https://bulbapedia.bulbagarden.net/wiki/Detective_Pikachu_(SM_Promo_190)" TargetMode="External"/><Relationship Id="rId100" Type="http://schemas.openxmlformats.org/officeDocument/2006/relationships/hyperlink" Target="https://bulbapedia.bulbagarden.net/wiki/Espeon_%26_Deoxys-GX_(SM_Promo_240)" TargetMode="External"/><Relationship Id="rId8" Type="http://schemas.openxmlformats.org/officeDocument/2006/relationships/hyperlink" Target="https://bulbapedia.bulbagarden.net/wiki/Lurantis_(SM_Promo_25)" TargetMode="External"/><Relationship Id="rId51" Type="http://schemas.openxmlformats.org/officeDocument/2006/relationships/hyperlink" Target="https://bulbapedia.bulbagarden.net/wiki/Exeggcute_(SM_Promo_119)" TargetMode="External"/><Relationship Id="rId72" Type="http://schemas.openxmlformats.org/officeDocument/2006/relationships/hyperlink" Target="https://bulbapedia.bulbagarden.net/w/index.php?title=Meltan_(SM_Promo_177)&amp;action=edit&amp;redlink=1" TargetMode="External"/><Relationship Id="rId93" Type="http://schemas.openxmlformats.org/officeDocument/2006/relationships/hyperlink" Target="https://bulbapedia.bulbagarden.net/wiki/Pikachu_(SM_Promo_227)" TargetMode="External"/><Relationship Id="rId98" Type="http://schemas.openxmlformats.org/officeDocument/2006/relationships/hyperlink" Target="https://bulbapedia.bulbagarden.net/wiki/Glaceon_(SM_Promo_238)" TargetMode="External"/><Relationship Id="rId3" Type="http://schemas.openxmlformats.org/officeDocument/2006/relationships/hyperlink" Target="https://bulbapedia.bulbagarden.net/wiki/Togedemaru_(SM_Promo_9)" TargetMode="External"/></Relationships>
</file>

<file path=xl/worksheets/_rels/sheet67.xml.rels><?xml version="1.0" encoding="UTF-8" standalone="yes"?>
<Relationships xmlns="http://schemas.openxmlformats.org/package/2006/relationships"><Relationship Id="rId117" Type="http://schemas.openxmlformats.org/officeDocument/2006/relationships/hyperlink" Target="https://bulbapedia.bulbagarden.net/wiki/Professor_Kukui_(Sun_%26_Moon_128)" TargetMode="External"/><Relationship Id="rId21" Type="http://schemas.openxmlformats.org/officeDocument/2006/relationships/hyperlink" Target="https://bulbapedia.bulbagarden.net/wiki/Torkoal_(Sun_%26_Moon_23)" TargetMode="External"/><Relationship Id="rId42" Type="http://schemas.openxmlformats.org/officeDocument/2006/relationships/hyperlink" Target="https://bulbapedia.bulbagarden.net/wiki/Pyukumuku_(Sun_%26_Moon_47)" TargetMode="External"/><Relationship Id="rId63" Type="http://schemas.openxmlformats.org/officeDocument/2006/relationships/hyperlink" Target="https://bulbapedia.bulbagarden.net/wiki/Boldore_(Sun_%26_Moon_70)" TargetMode="External"/><Relationship Id="rId84" Type="http://schemas.openxmlformats.org/officeDocument/2006/relationships/hyperlink" Target="https://bulbapedia.bulbagarden.net/wiki/Ribombee_(Sun_%26_Moon_93)" TargetMode="External"/><Relationship Id="rId16" Type="http://schemas.openxmlformats.org/officeDocument/2006/relationships/hyperlink" Target="https://bulbapedia.bulbagarden.net/wiki/Bounsweet_(Sun_%26_Moon_18)" TargetMode="External"/><Relationship Id="rId107" Type="http://schemas.openxmlformats.org/officeDocument/2006/relationships/hyperlink" Target="https://bulbapedia.bulbagarden.net/wiki/Exp._Share_(Sun_%26_Moon_118)" TargetMode="External"/><Relationship Id="rId11" Type="http://schemas.openxmlformats.org/officeDocument/2006/relationships/hyperlink" Target="https://bulbapedia.bulbagarden.net/wiki/Decidueye_(Sun_%26_Moon_11)" TargetMode="External"/><Relationship Id="rId32" Type="http://schemas.openxmlformats.org/officeDocument/2006/relationships/hyperlink" Target="https://bulbapedia.bulbagarden.net/wiki/Corsola_(Sun_%26_Moon_36)" TargetMode="External"/><Relationship Id="rId37" Type="http://schemas.openxmlformats.org/officeDocument/2006/relationships/hyperlink" Target="https://bulbapedia.bulbagarden.net/wiki/Primarina_(Sun_%26_Moon_41)" TargetMode="External"/><Relationship Id="rId53" Type="http://schemas.openxmlformats.org/officeDocument/2006/relationships/hyperlink" Target="https://bulbapedia.bulbagarden.net/wiki/Alolan_Muk_(Sun_%26_Moon_58)" TargetMode="External"/><Relationship Id="rId58" Type="http://schemas.openxmlformats.org/officeDocument/2006/relationships/hyperlink" Target="https://bulbapedia.bulbagarden.net/wiki/Cosmog_(Sun_%26_Moon_64)" TargetMode="External"/><Relationship Id="rId74" Type="http://schemas.openxmlformats.org/officeDocument/2006/relationships/hyperlink" Target="https://bulbapedia.bulbagarden.net/wiki/Sharpedo_(Sun_%26_Moon_82)" TargetMode="External"/><Relationship Id="rId79" Type="http://schemas.openxmlformats.org/officeDocument/2006/relationships/hyperlink" Target="https://bulbapedia.bulbagarden.net/wiki/Alolan_Dugtrio_(Sun_%26_Moon_87)" TargetMode="External"/><Relationship Id="rId102" Type="http://schemas.openxmlformats.org/officeDocument/2006/relationships/hyperlink" Target="https://bulbapedia.bulbagarden.net/wiki/Oranguru_(Sun_%26_Moon_113)" TargetMode="External"/><Relationship Id="rId123" Type="http://schemas.openxmlformats.org/officeDocument/2006/relationships/hyperlink" Target="https://bulbapedia.bulbagarden.net/wiki/Timer_Ball_(Sun_%26_Moon_134)" TargetMode="External"/><Relationship Id="rId128" Type="http://schemas.openxmlformats.org/officeDocument/2006/relationships/hyperlink" Target="https://bulbapedia.bulbagarden.net/wiki/Lillie_(Sun_%26_Moon_147)" TargetMode="External"/><Relationship Id="rId5" Type="http://schemas.openxmlformats.org/officeDocument/2006/relationships/hyperlink" Target="https://bulbapedia.bulbagarden.net/wiki/Parasect_(Sun_%26_Moon_5)" TargetMode="External"/><Relationship Id="rId90" Type="http://schemas.openxmlformats.org/officeDocument/2006/relationships/hyperlink" Target="https://bulbapedia.bulbagarden.net/wiki/Kangaskhan_(Sun_%26_Moon_99)" TargetMode="External"/><Relationship Id="rId95" Type="http://schemas.openxmlformats.org/officeDocument/2006/relationships/hyperlink" Target="https://bulbapedia.bulbagarden.net/wiki/Stoutland_(Sun_%26_Moon_105)" TargetMode="External"/><Relationship Id="rId22" Type="http://schemas.openxmlformats.org/officeDocument/2006/relationships/hyperlink" Target="https://bulbapedia.bulbagarden.net/wiki/Litten_(Sun_%26_Moon_24)" TargetMode="External"/><Relationship Id="rId27" Type="http://schemas.openxmlformats.org/officeDocument/2006/relationships/hyperlink" Target="https://bulbapedia.bulbagarden.net/wiki/Poliwag_(Sun_%26_Moon_30)" TargetMode="External"/><Relationship Id="rId43" Type="http://schemas.openxmlformats.org/officeDocument/2006/relationships/hyperlink" Target="https://bulbapedia.bulbagarden.net/wiki/Bruxish_(Sun_%26_Moon_48)" TargetMode="External"/><Relationship Id="rId48" Type="http://schemas.openxmlformats.org/officeDocument/2006/relationships/hyperlink" Target="https://bulbapedia.bulbagarden.net/wiki/Togedemaru_(Sun_%26_Moon_53)" TargetMode="External"/><Relationship Id="rId64" Type="http://schemas.openxmlformats.org/officeDocument/2006/relationships/hyperlink" Target="https://bulbapedia.bulbagarden.net/wiki/Gigalith_(Sun_%26_Moon_71)" TargetMode="External"/><Relationship Id="rId69" Type="http://schemas.openxmlformats.org/officeDocument/2006/relationships/hyperlink" Target="https://bulbapedia.bulbagarden.net/wiki/Alolan_Rattata_(Sun_%26_Moon_76)" TargetMode="External"/><Relationship Id="rId113" Type="http://schemas.openxmlformats.org/officeDocument/2006/relationships/hyperlink" Target="https://bulbapedia.bulbagarden.net/wiki/Poison_Barb_(Sun_%26_Moon_124)" TargetMode="External"/><Relationship Id="rId118" Type="http://schemas.openxmlformats.org/officeDocument/2006/relationships/hyperlink" Target="https://bulbapedia.bulbagarden.net/wiki/Rare_Candy_(Sun_%26_Moon_129)" TargetMode="External"/><Relationship Id="rId134" Type="http://schemas.openxmlformats.org/officeDocument/2006/relationships/hyperlink" Target="https://bulbapedia.bulbagarden.net/wiki/Ultra_Ball_(Sun_%26_Moon_161)" TargetMode="External"/><Relationship Id="rId80" Type="http://schemas.openxmlformats.org/officeDocument/2006/relationships/hyperlink" Target="https://bulbapedia.bulbagarden.net/wiki/Skarmory_(Sun_%26_Moon_88)" TargetMode="External"/><Relationship Id="rId85" Type="http://schemas.openxmlformats.org/officeDocument/2006/relationships/hyperlink" Target="https://bulbapedia.bulbagarden.net/wiki/Dratini_(Sun_%26_Moon_94)" TargetMode="External"/><Relationship Id="rId12" Type="http://schemas.openxmlformats.org/officeDocument/2006/relationships/hyperlink" Target="https://bulbapedia.bulbagarden.net/wiki/Grubbin_(Sun_%26_Moon_13)" TargetMode="External"/><Relationship Id="rId17" Type="http://schemas.openxmlformats.org/officeDocument/2006/relationships/hyperlink" Target="https://bulbapedia.bulbagarden.net/wiki/Steenee_(Sun_%26_Moon_19)" TargetMode="External"/><Relationship Id="rId33" Type="http://schemas.openxmlformats.org/officeDocument/2006/relationships/hyperlink" Target="https://bulbapedia.bulbagarden.net/wiki/Wingull_(Sun_%26_Moon_37)" TargetMode="External"/><Relationship Id="rId38" Type="http://schemas.openxmlformats.org/officeDocument/2006/relationships/hyperlink" Target="https://bulbapedia.bulbagarden.net/wiki/Crabominable_(Sun_%26_Moon_43)" TargetMode="External"/><Relationship Id="rId59" Type="http://schemas.openxmlformats.org/officeDocument/2006/relationships/hyperlink" Target="https://bulbapedia.bulbagarden.net/wiki/Cosmoem_(Sun_%26_Moon_65)" TargetMode="External"/><Relationship Id="rId103" Type="http://schemas.openxmlformats.org/officeDocument/2006/relationships/hyperlink" Target="https://bulbapedia.bulbagarden.net/wiki/Big_Malasada_(Sun_%26_Moon_114)" TargetMode="External"/><Relationship Id="rId108" Type="http://schemas.openxmlformats.org/officeDocument/2006/relationships/hyperlink" Target="https://bulbapedia.bulbagarden.net/wiki/Great_Ball_(Sun_%26_Moon_119)" TargetMode="External"/><Relationship Id="rId124" Type="http://schemas.openxmlformats.org/officeDocument/2006/relationships/hyperlink" Target="https://bulbapedia.bulbagarden.net/wiki/Ultra_Ball_(Sun_%26_Moon_135)" TargetMode="External"/><Relationship Id="rId129" Type="http://schemas.openxmlformats.org/officeDocument/2006/relationships/hyperlink" Target="https://bulbapedia.bulbagarden.net/wiki/Professor_Kukui_(Sun_%26_Moon_148)" TargetMode="External"/><Relationship Id="rId54" Type="http://schemas.openxmlformats.org/officeDocument/2006/relationships/hyperlink" Target="https://bulbapedia.bulbagarden.net/wiki/Drowzee_(Sun_%26_Moon_59)" TargetMode="External"/><Relationship Id="rId70" Type="http://schemas.openxmlformats.org/officeDocument/2006/relationships/hyperlink" Target="https://bulbapedia.bulbagarden.net/wiki/Alolan_Raticate_(Sun_%26_Moon_77)" TargetMode="External"/><Relationship Id="rId75" Type="http://schemas.openxmlformats.org/officeDocument/2006/relationships/hyperlink" Target="https://bulbapedia.bulbagarden.net/wiki/Sandile_(Sun_%26_Moon_83)" TargetMode="External"/><Relationship Id="rId91" Type="http://schemas.openxmlformats.org/officeDocument/2006/relationships/hyperlink" Target="https://bulbapedia.bulbagarden.net/wiki/Eevee_(Sun_%26_Moon_101)" TargetMode="External"/><Relationship Id="rId96" Type="http://schemas.openxmlformats.org/officeDocument/2006/relationships/hyperlink" Target="https://bulbapedia.bulbagarden.net/wiki/Pikipek_(Sun_%26_Moon_106)" TargetMode="External"/><Relationship Id="rId1" Type="http://schemas.openxmlformats.org/officeDocument/2006/relationships/hyperlink" Target="https://bulbapedia.bulbagarden.net/wiki/Caterpie_(Sun_%26_Moon_1)" TargetMode="External"/><Relationship Id="rId6" Type="http://schemas.openxmlformats.org/officeDocument/2006/relationships/hyperlink" Target="https://bulbapedia.bulbagarden.net/wiki/Pinsir_(Sun_%26_Moon_6)" TargetMode="External"/><Relationship Id="rId23" Type="http://schemas.openxmlformats.org/officeDocument/2006/relationships/hyperlink" Target="https://bulbapedia.bulbagarden.net/wiki/Torracat_(Sun_%26_Moon_25)" TargetMode="External"/><Relationship Id="rId28" Type="http://schemas.openxmlformats.org/officeDocument/2006/relationships/hyperlink" Target="https://bulbapedia.bulbagarden.net/wiki/Poliwhirl_(Sun_%26_Moon_31)" TargetMode="External"/><Relationship Id="rId49" Type="http://schemas.openxmlformats.org/officeDocument/2006/relationships/hyperlink" Target="https://bulbapedia.bulbagarden.net/wiki/Zubat_(Sun_%26_Moon_54)" TargetMode="External"/><Relationship Id="rId114" Type="http://schemas.openxmlformats.org/officeDocument/2006/relationships/hyperlink" Target="https://bulbapedia.bulbagarden.net/wiki/Pok%C3%A9_Ball_(Sun_%26_Moon_125)" TargetMode="External"/><Relationship Id="rId119" Type="http://schemas.openxmlformats.org/officeDocument/2006/relationships/hyperlink" Target="https://bulbapedia.bulbagarden.net/wiki/Repel_(Sun_%26_Moon_130)" TargetMode="External"/><Relationship Id="rId44" Type="http://schemas.openxmlformats.org/officeDocument/2006/relationships/hyperlink" Target="https://bulbapedia.bulbagarden.net/wiki/Chinchou_(Sun_%26_Moon_49)" TargetMode="External"/><Relationship Id="rId60" Type="http://schemas.openxmlformats.org/officeDocument/2006/relationships/hyperlink" Target="https://bulbapedia.bulbagarden.net/wiki/Makuhita_(Sun_%26_Moon_67)" TargetMode="External"/><Relationship Id="rId65" Type="http://schemas.openxmlformats.org/officeDocument/2006/relationships/hyperlink" Target="https://bulbapedia.bulbagarden.net/wiki/Crabrawler_(Sun_%26_Moon_72)" TargetMode="External"/><Relationship Id="rId81" Type="http://schemas.openxmlformats.org/officeDocument/2006/relationships/hyperlink" Target="https://bulbapedia.bulbagarden.net/wiki/Snubbull_(Sun_%26_Moon_90)" TargetMode="External"/><Relationship Id="rId86" Type="http://schemas.openxmlformats.org/officeDocument/2006/relationships/hyperlink" Target="https://bulbapedia.bulbagarden.net/wiki/Dragonair_(Sun_%26_Moon_95)" TargetMode="External"/><Relationship Id="rId130" Type="http://schemas.openxmlformats.org/officeDocument/2006/relationships/hyperlink" Target="https://bulbapedia.bulbagarden.net/wiki/Team_Skull_Grunt_(Sun_%26_Moon_149)" TargetMode="External"/><Relationship Id="rId135" Type="http://schemas.openxmlformats.org/officeDocument/2006/relationships/hyperlink" Target="https://bulbapedia.bulbagarden.net/wiki/Psychic_Energy_(Sun_%26_Moon_162)" TargetMode="External"/><Relationship Id="rId13" Type="http://schemas.openxmlformats.org/officeDocument/2006/relationships/hyperlink" Target="https://bulbapedia.bulbagarden.net/wiki/Fomantis_(Sun_%26_Moon_14)" TargetMode="External"/><Relationship Id="rId18" Type="http://schemas.openxmlformats.org/officeDocument/2006/relationships/hyperlink" Target="https://bulbapedia.bulbagarden.net/wiki/Tsareena_(Sun_%26_Moon_20)" TargetMode="External"/><Relationship Id="rId39" Type="http://schemas.openxmlformats.org/officeDocument/2006/relationships/hyperlink" Target="https://bulbapedia.bulbagarden.net/wiki/Wishiwashi_(Sun_%26_Moon_44)" TargetMode="External"/><Relationship Id="rId109" Type="http://schemas.openxmlformats.org/officeDocument/2006/relationships/hyperlink" Target="https://bulbapedia.bulbagarden.net/wiki/Hau_(Sun_%26_Moon_120)" TargetMode="External"/><Relationship Id="rId34" Type="http://schemas.openxmlformats.org/officeDocument/2006/relationships/hyperlink" Target="https://bulbapedia.bulbagarden.net/wiki/Pelipper_(Sun_%26_Moon_38)" TargetMode="External"/><Relationship Id="rId50" Type="http://schemas.openxmlformats.org/officeDocument/2006/relationships/hyperlink" Target="https://bulbapedia.bulbagarden.net/wiki/Golbat_(Sun_%26_Moon_55)" TargetMode="External"/><Relationship Id="rId55" Type="http://schemas.openxmlformats.org/officeDocument/2006/relationships/hyperlink" Target="https://bulbapedia.bulbagarden.net/wiki/Hypno_(Sun_%26_Moon_60)" TargetMode="External"/><Relationship Id="rId76" Type="http://schemas.openxmlformats.org/officeDocument/2006/relationships/hyperlink" Target="https://bulbapedia.bulbagarden.net/wiki/Krokorok_(Sun_%26_Moon_84)" TargetMode="External"/><Relationship Id="rId97" Type="http://schemas.openxmlformats.org/officeDocument/2006/relationships/hyperlink" Target="https://bulbapedia.bulbagarden.net/wiki/Trumbeak_(Sun_%26_Moon_107)" TargetMode="External"/><Relationship Id="rId104" Type="http://schemas.openxmlformats.org/officeDocument/2006/relationships/hyperlink" Target="https://bulbapedia.bulbagarden.net/wiki/Crushing_Hammer_(Sun_%26_Moon_115)" TargetMode="External"/><Relationship Id="rId120" Type="http://schemas.openxmlformats.org/officeDocument/2006/relationships/hyperlink" Target="https://bulbapedia.bulbagarden.net/wiki/Rotom_Dex_(Sun_%26_Moon_131)" TargetMode="External"/><Relationship Id="rId125" Type="http://schemas.openxmlformats.org/officeDocument/2006/relationships/hyperlink" Target="https://bulbapedia.bulbagarden.net/wiki/Double_Colorless_Energy_(Sun_%26_Moon_136)" TargetMode="External"/><Relationship Id="rId7" Type="http://schemas.openxmlformats.org/officeDocument/2006/relationships/hyperlink" Target="https://bulbapedia.bulbagarden.net/wiki/Surskit_(Sun_%26_Moon_7)" TargetMode="External"/><Relationship Id="rId71" Type="http://schemas.openxmlformats.org/officeDocument/2006/relationships/hyperlink" Target="https://bulbapedia.bulbagarden.net/wiki/Alolan_Meowth_(Sun_%26_Moon_78)" TargetMode="External"/><Relationship Id="rId92" Type="http://schemas.openxmlformats.org/officeDocument/2006/relationships/hyperlink" Target="https://bulbapedia.bulbagarden.net/wiki/Spinda_(Sun_%26_Moon_102)" TargetMode="External"/><Relationship Id="rId2" Type="http://schemas.openxmlformats.org/officeDocument/2006/relationships/hyperlink" Target="https://bulbapedia.bulbagarden.net/wiki/Metapod_(Sun_%26_Moon_2)" TargetMode="External"/><Relationship Id="rId29" Type="http://schemas.openxmlformats.org/officeDocument/2006/relationships/hyperlink" Target="https://bulbapedia.bulbagarden.net/wiki/Poliwrath_(Sun_%26_Moon_32)" TargetMode="External"/><Relationship Id="rId24" Type="http://schemas.openxmlformats.org/officeDocument/2006/relationships/hyperlink" Target="https://bulbapedia.bulbagarden.net/wiki/Incineroar_(Sun_%26_Moon_26)" TargetMode="External"/><Relationship Id="rId40" Type="http://schemas.openxmlformats.org/officeDocument/2006/relationships/hyperlink" Target="https://bulbapedia.bulbagarden.net/wiki/Dewpider_(Sun_%26_Moon_45)" TargetMode="External"/><Relationship Id="rId45" Type="http://schemas.openxmlformats.org/officeDocument/2006/relationships/hyperlink" Target="https://bulbapedia.bulbagarden.net/wiki/Lanturn_(Sun_%26_Moon_50)" TargetMode="External"/><Relationship Id="rId66" Type="http://schemas.openxmlformats.org/officeDocument/2006/relationships/hyperlink" Target="https://bulbapedia.bulbagarden.net/wiki/Passimian_(Sun_%26_Moon_73)" TargetMode="External"/><Relationship Id="rId87" Type="http://schemas.openxmlformats.org/officeDocument/2006/relationships/hyperlink" Target="https://bulbapedia.bulbagarden.net/wiki/Dragonite_(Sun_%26_Moon_96)" TargetMode="External"/><Relationship Id="rId110" Type="http://schemas.openxmlformats.org/officeDocument/2006/relationships/hyperlink" Target="https://bulbapedia.bulbagarden.net/wiki/Ilima_(Sun_%26_Moon_121)" TargetMode="External"/><Relationship Id="rId115" Type="http://schemas.openxmlformats.org/officeDocument/2006/relationships/hyperlink" Target="https://bulbapedia.bulbagarden.net/wiki/Pok%C3%A9mon_Catcher_(Sun_%26_Moon_126)" TargetMode="External"/><Relationship Id="rId131" Type="http://schemas.openxmlformats.org/officeDocument/2006/relationships/hyperlink" Target="https://bulbapedia.bulbagarden.net/wiki/Nest_Ball_(Sun_%26_Moon_158)" TargetMode="External"/><Relationship Id="rId136" Type="http://schemas.openxmlformats.org/officeDocument/2006/relationships/hyperlink" Target="https://bulbapedia.bulbagarden.net/wiki/Metal_Energy_(Sun_%26_Moon_163)" TargetMode="External"/><Relationship Id="rId61" Type="http://schemas.openxmlformats.org/officeDocument/2006/relationships/hyperlink" Target="https://bulbapedia.bulbagarden.net/wiki/Hariyama_(Sun_%26_Moon_68)" TargetMode="External"/><Relationship Id="rId82" Type="http://schemas.openxmlformats.org/officeDocument/2006/relationships/hyperlink" Target="https://bulbapedia.bulbagarden.net/wiki/Granbull_(Sun_%26_Moon_91)" TargetMode="External"/><Relationship Id="rId19" Type="http://schemas.openxmlformats.org/officeDocument/2006/relationships/hyperlink" Target="https://bulbapedia.bulbagarden.net/wiki/Growlithe_(Sun_%26_Moon_21)" TargetMode="External"/><Relationship Id="rId14" Type="http://schemas.openxmlformats.org/officeDocument/2006/relationships/hyperlink" Target="https://bulbapedia.bulbagarden.net/wiki/Morelull_(Sun_%26_Moon_16)" TargetMode="External"/><Relationship Id="rId30" Type="http://schemas.openxmlformats.org/officeDocument/2006/relationships/hyperlink" Target="https://bulbapedia.bulbagarden.net/wiki/Shellder_(Sun_%26_Moon_33)" TargetMode="External"/><Relationship Id="rId35" Type="http://schemas.openxmlformats.org/officeDocument/2006/relationships/hyperlink" Target="https://bulbapedia.bulbagarden.net/wiki/Popplio_(Sun_%26_Moon_39)" TargetMode="External"/><Relationship Id="rId56" Type="http://schemas.openxmlformats.org/officeDocument/2006/relationships/hyperlink" Target="https://bulbapedia.bulbagarden.net/wiki/Mareanie_(Sun_%26_Moon_62)" TargetMode="External"/><Relationship Id="rId77" Type="http://schemas.openxmlformats.org/officeDocument/2006/relationships/hyperlink" Target="https://bulbapedia.bulbagarden.net/wiki/Krookodile_(Sun_%26_Moon_85)" TargetMode="External"/><Relationship Id="rId100" Type="http://schemas.openxmlformats.org/officeDocument/2006/relationships/hyperlink" Target="https://bulbapedia.bulbagarden.net/wiki/Stufful_(Sun_%26_Moon_111)" TargetMode="External"/><Relationship Id="rId105" Type="http://schemas.openxmlformats.org/officeDocument/2006/relationships/hyperlink" Target="https://bulbapedia.bulbagarden.net/wiki/Energy_Retrieval_(Sun_%26_Moon_116)" TargetMode="External"/><Relationship Id="rId126" Type="http://schemas.openxmlformats.org/officeDocument/2006/relationships/hyperlink" Target="https://bulbapedia.bulbagarden.net/wiki/Rainbow_Energy_(Sun_%26_Moon_137)" TargetMode="External"/><Relationship Id="rId8" Type="http://schemas.openxmlformats.org/officeDocument/2006/relationships/hyperlink" Target="https://bulbapedia.bulbagarden.net/wiki/Masquerain_(Sun_%26_Moon_8)" TargetMode="External"/><Relationship Id="rId51" Type="http://schemas.openxmlformats.org/officeDocument/2006/relationships/hyperlink" Target="https://bulbapedia.bulbagarden.net/wiki/Crobat_(Sun_%26_Moon_56)" TargetMode="External"/><Relationship Id="rId72" Type="http://schemas.openxmlformats.org/officeDocument/2006/relationships/hyperlink" Target="https://bulbapedia.bulbagarden.net/wiki/Alolan_Persian_(Sun_%26_Moon_79)" TargetMode="External"/><Relationship Id="rId93" Type="http://schemas.openxmlformats.org/officeDocument/2006/relationships/hyperlink" Target="https://bulbapedia.bulbagarden.net/wiki/Lillipup_(Sun_%26_Moon_103)" TargetMode="External"/><Relationship Id="rId98" Type="http://schemas.openxmlformats.org/officeDocument/2006/relationships/hyperlink" Target="https://bulbapedia.bulbagarden.net/wiki/Toucannon_(Sun_%26_Moon_108)" TargetMode="External"/><Relationship Id="rId121" Type="http://schemas.openxmlformats.org/officeDocument/2006/relationships/hyperlink" Target="https://bulbapedia.bulbagarden.net/wiki/Switch_(Sun_%26_Moon_132)" TargetMode="External"/><Relationship Id="rId3" Type="http://schemas.openxmlformats.org/officeDocument/2006/relationships/hyperlink" Target="https://bulbapedia.bulbagarden.net/wiki/Butterfree_(Sun_%26_Moon_3)" TargetMode="External"/><Relationship Id="rId25" Type="http://schemas.openxmlformats.org/officeDocument/2006/relationships/hyperlink" Target="https://bulbapedia.bulbagarden.net/wiki/Psyduck_(Sun_%26_Moon_28)" TargetMode="External"/><Relationship Id="rId46" Type="http://schemas.openxmlformats.org/officeDocument/2006/relationships/hyperlink" Target="https://bulbapedia.bulbagarden.net/wiki/Charjabug_(Sun_%26_Moon_51)" TargetMode="External"/><Relationship Id="rId67" Type="http://schemas.openxmlformats.org/officeDocument/2006/relationships/hyperlink" Target="https://bulbapedia.bulbagarden.net/wiki/Sandygast_(Sun_%26_Moon_74)" TargetMode="External"/><Relationship Id="rId116" Type="http://schemas.openxmlformats.org/officeDocument/2006/relationships/hyperlink" Target="https://bulbapedia.bulbagarden.net/wiki/Potion_(Sun_%26_Moon_127)" TargetMode="External"/><Relationship Id="rId20" Type="http://schemas.openxmlformats.org/officeDocument/2006/relationships/hyperlink" Target="https://bulbapedia.bulbagarden.net/wiki/Arcanine_(Sun_%26_Moon_22)" TargetMode="External"/><Relationship Id="rId41" Type="http://schemas.openxmlformats.org/officeDocument/2006/relationships/hyperlink" Target="https://bulbapedia.bulbagarden.net/wiki/Araquanid_(Sun_%26_Moon_46)" TargetMode="External"/><Relationship Id="rId62" Type="http://schemas.openxmlformats.org/officeDocument/2006/relationships/hyperlink" Target="https://bulbapedia.bulbagarden.net/wiki/Roggenrola_(Sun_%26_Moon_69)" TargetMode="External"/><Relationship Id="rId83" Type="http://schemas.openxmlformats.org/officeDocument/2006/relationships/hyperlink" Target="https://bulbapedia.bulbagarden.net/wiki/Cutiefly_(Sun_%26_Moon_92)" TargetMode="External"/><Relationship Id="rId88" Type="http://schemas.openxmlformats.org/officeDocument/2006/relationships/hyperlink" Target="https://bulbapedia.bulbagarden.net/wiki/Spearow_(Sun_%26_Moon_97)" TargetMode="External"/><Relationship Id="rId111" Type="http://schemas.openxmlformats.org/officeDocument/2006/relationships/hyperlink" Target="https://bulbapedia.bulbagarden.net/wiki/Lillie_(Sun_%26_Moon_122)" TargetMode="External"/><Relationship Id="rId132" Type="http://schemas.openxmlformats.org/officeDocument/2006/relationships/hyperlink" Target="https://bulbapedia.bulbagarden.net/wiki/Rotom_Dex_(Sun_%26_Moon_159)" TargetMode="External"/><Relationship Id="rId15" Type="http://schemas.openxmlformats.org/officeDocument/2006/relationships/hyperlink" Target="https://bulbapedia.bulbagarden.net/wiki/Shiinotic_(Sun_%26_Moon_17)" TargetMode="External"/><Relationship Id="rId36" Type="http://schemas.openxmlformats.org/officeDocument/2006/relationships/hyperlink" Target="https://bulbapedia.bulbagarden.net/wiki/Brionne_(Sun_%26_Moon_40)" TargetMode="External"/><Relationship Id="rId57" Type="http://schemas.openxmlformats.org/officeDocument/2006/relationships/hyperlink" Target="https://bulbapedia.bulbagarden.net/wiki/Toxapex_(Sun_%26_Moon_63)" TargetMode="External"/><Relationship Id="rId106" Type="http://schemas.openxmlformats.org/officeDocument/2006/relationships/hyperlink" Target="https://bulbapedia.bulbagarden.net/wiki/Energy_Switch_(Sun_%26_Moon_117)" TargetMode="External"/><Relationship Id="rId127" Type="http://schemas.openxmlformats.org/officeDocument/2006/relationships/hyperlink" Target="https://bulbapedia.bulbagarden.net/wiki/Ilima_(Sun_%26_Moon_146)" TargetMode="External"/><Relationship Id="rId10" Type="http://schemas.openxmlformats.org/officeDocument/2006/relationships/hyperlink" Target="https://bulbapedia.bulbagarden.net/wiki/Dartrix_(Sun_%26_Moon_10)" TargetMode="External"/><Relationship Id="rId31" Type="http://schemas.openxmlformats.org/officeDocument/2006/relationships/hyperlink" Target="https://bulbapedia.bulbagarden.net/wiki/Cloyster_(Sun_%26_Moon_34)" TargetMode="External"/><Relationship Id="rId52" Type="http://schemas.openxmlformats.org/officeDocument/2006/relationships/hyperlink" Target="https://bulbapedia.bulbagarden.net/wiki/Alolan_Grimer_(Sun_%26_Moon_57)" TargetMode="External"/><Relationship Id="rId73" Type="http://schemas.openxmlformats.org/officeDocument/2006/relationships/hyperlink" Target="https://bulbapedia.bulbagarden.net/wiki/Carvanha_(Sun_%26_Moon_81)" TargetMode="External"/><Relationship Id="rId78" Type="http://schemas.openxmlformats.org/officeDocument/2006/relationships/hyperlink" Target="https://bulbapedia.bulbagarden.net/wiki/Alolan_Diglett_(Sun_%26_Moon_86)" TargetMode="External"/><Relationship Id="rId94" Type="http://schemas.openxmlformats.org/officeDocument/2006/relationships/hyperlink" Target="https://bulbapedia.bulbagarden.net/wiki/Herdier_(Sun_%26_Moon_104)" TargetMode="External"/><Relationship Id="rId99" Type="http://schemas.openxmlformats.org/officeDocument/2006/relationships/hyperlink" Target="https://bulbapedia.bulbagarden.net/wiki/Yungoos_(Sun_%26_Moon_109)" TargetMode="External"/><Relationship Id="rId101" Type="http://schemas.openxmlformats.org/officeDocument/2006/relationships/hyperlink" Target="https://bulbapedia.bulbagarden.net/wiki/Bewear_(Sun_%26_Moon_112)" TargetMode="External"/><Relationship Id="rId122" Type="http://schemas.openxmlformats.org/officeDocument/2006/relationships/hyperlink" Target="https://bulbapedia.bulbagarden.net/wiki/Team_Skull_Grunt_(Sun_%26_Moon_133)" TargetMode="External"/><Relationship Id="rId4" Type="http://schemas.openxmlformats.org/officeDocument/2006/relationships/hyperlink" Target="https://bulbapedia.bulbagarden.net/wiki/Paras_(Sun_%26_Moon_4)" TargetMode="External"/><Relationship Id="rId9" Type="http://schemas.openxmlformats.org/officeDocument/2006/relationships/hyperlink" Target="https://bulbapedia.bulbagarden.net/wiki/Rowlet_(Sun_%26_Moon_9)" TargetMode="External"/><Relationship Id="rId26" Type="http://schemas.openxmlformats.org/officeDocument/2006/relationships/hyperlink" Target="https://bulbapedia.bulbagarden.net/wiki/Golduck_(Sun_%26_Moon_29)" TargetMode="External"/><Relationship Id="rId47" Type="http://schemas.openxmlformats.org/officeDocument/2006/relationships/hyperlink" Target="https://bulbapedia.bulbagarden.net/wiki/Vikavolt_(Sun_%26_Moon_52)" TargetMode="External"/><Relationship Id="rId68" Type="http://schemas.openxmlformats.org/officeDocument/2006/relationships/hyperlink" Target="https://bulbapedia.bulbagarden.net/wiki/Palossand_(Sun_%26_Moon_75)" TargetMode="External"/><Relationship Id="rId89" Type="http://schemas.openxmlformats.org/officeDocument/2006/relationships/hyperlink" Target="https://bulbapedia.bulbagarden.net/wiki/Fearow_(Sun_%26_Moon_98)" TargetMode="External"/><Relationship Id="rId112" Type="http://schemas.openxmlformats.org/officeDocument/2006/relationships/hyperlink" Target="https://bulbapedia.bulbagarden.net/wiki/Nest_Ball_(Sun_%26_Moon_123)" TargetMode="External"/><Relationship Id="rId133" Type="http://schemas.openxmlformats.org/officeDocument/2006/relationships/hyperlink" Target="https://bulbapedia.bulbagarden.net/wiki/Switch_(Sun_%26_Moon_160)" TargetMode="External"/></Relationships>
</file>

<file path=xl/worksheets/_rels/sheet68.xml.rels><?xml version="1.0" encoding="UTF-8" standalone="yes"?>
<Relationships xmlns="http://schemas.openxmlformats.org/package/2006/relationships"><Relationship Id="rId117" Type="http://schemas.openxmlformats.org/officeDocument/2006/relationships/hyperlink" Target="https://bulbapedia.bulbagarden.net/wiki/Field_Blower_(Guardians_Rising_125)" TargetMode="External"/><Relationship Id="rId21" Type="http://schemas.openxmlformats.org/officeDocument/2006/relationships/hyperlink" Target="https://bulbapedia.bulbagarden.net/wiki/Alolan_Vulpix_(Guardians_Rising_21)" TargetMode="External"/><Relationship Id="rId42" Type="http://schemas.openxmlformats.org/officeDocument/2006/relationships/hyperlink" Target="https://bulbapedia.bulbagarden.net/wiki/Helioptile_(Guardians_Rising_43)" TargetMode="External"/><Relationship Id="rId63" Type="http://schemas.openxmlformats.org/officeDocument/2006/relationships/hyperlink" Target="https://bulbapedia.bulbagarden.net/wiki/Gligar_(Guardians_Rising_67)" TargetMode="External"/><Relationship Id="rId84" Type="http://schemas.openxmlformats.org/officeDocument/2006/relationships/hyperlink" Target="https://bulbapedia.bulbagarden.net/wiki/Cottonee_(Guardians_Rising_90)" TargetMode="External"/><Relationship Id="rId16" Type="http://schemas.openxmlformats.org/officeDocument/2006/relationships/hyperlink" Target="https://bulbapedia.bulbagarden.net/wiki/Salazzle_(Guardians_Rising_16)" TargetMode="External"/><Relationship Id="rId107" Type="http://schemas.openxmlformats.org/officeDocument/2006/relationships/hyperlink" Target="https://bulbapedia.bulbagarden.net/wiki/Aether_Paradise_Conservation_Area_(Guardians_Rising_116)" TargetMode="External"/><Relationship Id="rId11" Type="http://schemas.openxmlformats.org/officeDocument/2006/relationships/hyperlink" Target="https://bulbapedia.bulbagarden.net/wiki/Litwick_(Guardians_Rising_11)" TargetMode="External"/><Relationship Id="rId32" Type="http://schemas.openxmlformats.org/officeDocument/2006/relationships/hyperlink" Target="https://bulbapedia.bulbagarden.net/wiki/Glalie_(Guardians_Rising_32)" TargetMode="External"/><Relationship Id="rId37" Type="http://schemas.openxmlformats.org/officeDocument/2006/relationships/hyperlink" Target="https://bulbapedia.bulbagarden.net/wiki/Wishiwashi_(Guardians_Rising_37)" TargetMode="External"/><Relationship Id="rId53" Type="http://schemas.openxmlformats.org/officeDocument/2006/relationships/hyperlink" Target="https://bulbapedia.bulbagarden.net/wiki/Oricorio_(Guardians_Rising_55)" TargetMode="External"/><Relationship Id="rId58" Type="http://schemas.openxmlformats.org/officeDocument/2006/relationships/hyperlink" Target="https://bulbapedia.bulbagarden.net/wiki/Machop_(Guardians_Rising_62)" TargetMode="External"/><Relationship Id="rId74" Type="http://schemas.openxmlformats.org/officeDocument/2006/relationships/hyperlink" Target="https://bulbapedia.bulbagarden.net/wiki/Honchkrow_(Guardians_Rising_79)" TargetMode="External"/><Relationship Id="rId79" Type="http://schemas.openxmlformats.org/officeDocument/2006/relationships/hyperlink" Target="https://bulbapedia.bulbagarden.net/wiki/Metang_(Guardians_Rising_84)" TargetMode="External"/><Relationship Id="rId102" Type="http://schemas.openxmlformats.org/officeDocument/2006/relationships/hyperlink" Target="https://bulbapedia.bulbagarden.net/wiki/Fletchinder_(Guardians_Rising_110)" TargetMode="External"/><Relationship Id="rId123" Type="http://schemas.openxmlformats.org/officeDocument/2006/relationships/hyperlink" Target="https://bulbapedia.bulbagarden.net/wiki/Multi_Switch_(Guardians_Rising_129)" TargetMode="External"/><Relationship Id="rId128" Type="http://schemas.openxmlformats.org/officeDocument/2006/relationships/hyperlink" Target="https://bulbapedia.bulbagarden.net/wiki/Mallow_(Guardians_Rising_145)" TargetMode="External"/><Relationship Id="rId5" Type="http://schemas.openxmlformats.org/officeDocument/2006/relationships/hyperlink" Target="https://bulbapedia.bulbagarden.net/wiki/Lilligant_(Guardians_Rising_5)" TargetMode="External"/><Relationship Id="rId90" Type="http://schemas.openxmlformats.org/officeDocument/2006/relationships/hyperlink" Target="https://bulbapedia.bulbagarden.net/wiki/Drampa_(Guardians_Rising_97)" TargetMode="External"/><Relationship Id="rId95" Type="http://schemas.openxmlformats.org/officeDocument/2006/relationships/hyperlink" Target="https://bulbapedia.bulbagarden.net/wiki/Taillow_(Guardians_Rising_103)" TargetMode="External"/><Relationship Id="rId22" Type="http://schemas.openxmlformats.org/officeDocument/2006/relationships/hyperlink" Target="https://bulbapedia.bulbagarden.net/wiki/Alolan_Vulpix_(Guardians_Rising_21)" TargetMode="External"/><Relationship Id="rId27" Type="http://schemas.openxmlformats.org/officeDocument/2006/relationships/hyperlink" Target="https://bulbapedia.bulbagarden.net/wiki/Carvanha_(Guardians_Rising_27)" TargetMode="External"/><Relationship Id="rId43" Type="http://schemas.openxmlformats.org/officeDocument/2006/relationships/hyperlink" Target="https://bulbapedia.bulbagarden.net/wiki/Heliolisk_(Guardians_Rising_44)" TargetMode="External"/><Relationship Id="rId48" Type="http://schemas.openxmlformats.org/officeDocument/2006/relationships/hyperlink" Target="https://bulbapedia.bulbagarden.net/wiki/Garbodor_(Guardians_Rising_51)" TargetMode="External"/><Relationship Id="rId64" Type="http://schemas.openxmlformats.org/officeDocument/2006/relationships/hyperlink" Target="https://bulbapedia.bulbagarden.net/wiki/Gliscor_(Guardians_Rising_68)" TargetMode="External"/><Relationship Id="rId69" Type="http://schemas.openxmlformats.org/officeDocument/2006/relationships/hyperlink" Target="https://bulbapedia.bulbagarden.net/wiki/Rockruff_(Guardians_Rising_73)" TargetMode="External"/><Relationship Id="rId113" Type="http://schemas.openxmlformats.org/officeDocument/2006/relationships/hyperlink" Target="https://bulbapedia.bulbagarden.net/wiki/Energy_Loto_(Guardians_Rising_122)" TargetMode="External"/><Relationship Id="rId118" Type="http://schemas.openxmlformats.org/officeDocument/2006/relationships/hyperlink" Target="https://bulbapedia.bulbagarden.net/wiki/Field_Blower_(Guardians_Rising_125)" TargetMode="External"/><Relationship Id="rId134" Type="http://schemas.openxmlformats.org/officeDocument/2006/relationships/hyperlink" Target="https://bulbapedia.bulbagarden.net/wiki/Double_Colorless_Energy_(Guardians_Rising_166)" TargetMode="External"/><Relationship Id="rId80" Type="http://schemas.openxmlformats.org/officeDocument/2006/relationships/hyperlink" Target="https://bulbapedia.bulbagarden.net/wiki/Probopass_(Guardians_Rising_86)" TargetMode="External"/><Relationship Id="rId85" Type="http://schemas.openxmlformats.org/officeDocument/2006/relationships/hyperlink" Target="https://bulbapedia.bulbagarden.net/wiki/Whimsicott_(Guardians_Rising_91)" TargetMode="External"/><Relationship Id="rId12" Type="http://schemas.openxmlformats.org/officeDocument/2006/relationships/hyperlink" Target="https://bulbapedia.bulbagarden.net/wiki/Lampent_(Guardians_Rising_12)" TargetMode="External"/><Relationship Id="rId17" Type="http://schemas.openxmlformats.org/officeDocument/2006/relationships/hyperlink" Target="https://bulbapedia.bulbagarden.net/wiki/Turtonator_(Guardians_Rising_17)" TargetMode="External"/><Relationship Id="rId33" Type="http://schemas.openxmlformats.org/officeDocument/2006/relationships/hyperlink" Target="https://bulbapedia.bulbagarden.net/wiki/Vanillite_(Guardians_Rising_33)" TargetMode="External"/><Relationship Id="rId38" Type="http://schemas.openxmlformats.org/officeDocument/2006/relationships/hyperlink" Target="https://bulbapedia.bulbagarden.net/wiki/Mareanie_(Guardians_Rising_39)" TargetMode="External"/><Relationship Id="rId59" Type="http://schemas.openxmlformats.org/officeDocument/2006/relationships/hyperlink" Target="https://bulbapedia.bulbagarden.net/wiki/Machop_(Guardians_Rising_63)" TargetMode="External"/><Relationship Id="rId103" Type="http://schemas.openxmlformats.org/officeDocument/2006/relationships/hyperlink" Target="https://bulbapedia.bulbagarden.net/wiki/Talonflame_(Guardians_Rising_111)" TargetMode="External"/><Relationship Id="rId108" Type="http://schemas.openxmlformats.org/officeDocument/2006/relationships/hyperlink" Target="https://bulbapedia.bulbagarden.net/wiki/Altar_of_the_Moone_(Guardians_Rising_117)" TargetMode="External"/><Relationship Id="rId124" Type="http://schemas.openxmlformats.org/officeDocument/2006/relationships/hyperlink" Target="https://bulbapedia.bulbagarden.net/wiki/Rescue_Stretcher_(Guardians_Rising_130)" TargetMode="External"/><Relationship Id="rId129" Type="http://schemas.openxmlformats.org/officeDocument/2006/relationships/hyperlink" Target="https://bulbapedia.bulbagarden.net/wiki/Aqua_Patch_(Guardians_Rising_161)" TargetMode="External"/><Relationship Id="rId54" Type="http://schemas.openxmlformats.org/officeDocument/2006/relationships/hyperlink" Target="https://bulbapedia.bulbagarden.net/wiki/Oricorio_(Guardians_Rising_56)" TargetMode="External"/><Relationship Id="rId70" Type="http://schemas.openxmlformats.org/officeDocument/2006/relationships/hyperlink" Target="https://bulbapedia.bulbagarden.net/wiki/Mudbray_(Guardians_Rising_75)" TargetMode="External"/><Relationship Id="rId75" Type="http://schemas.openxmlformats.org/officeDocument/2006/relationships/hyperlink" Target="https://bulbapedia.bulbagarden.net/wiki/Sableye_(Guardians_Rising_80)" TargetMode="External"/><Relationship Id="rId91" Type="http://schemas.openxmlformats.org/officeDocument/2006/relationships/hyperlink" Target="https://bulbapedia.bulbagarden.net/wiki/Jangmo-o_(Guardians_Rising_98)" TargetMode="External"/><Relationship Id="rId96" Type="http://schemas.openxmlformats.org/officeDocument/2006/relationships/hyperlink" Target="https://bulbapedia.bulbagarden.net/wiki/Swellow_(Guardians_Rising_104)" TargetMode="External"/><Relationship Id="rId1" Type="http://schemas.openxmlformats.org/officeDocument/2006/relationships/hyperlink" Target="https://bulbapedia.bulbagarden.net/wiki/Bellsprout_(Guardians_Rising_1)" TargetMode="External"/><Relationship Id="rId6" Type="http://schemas.openxmlformats.org/officeDocument/2006/relationships/hyperlink" Target="https://bulbapedia.bulbagarden.net/wiki/Phantump_(Guardians_Rising_6)" TargetMode="External"/><Relationship Id="rId23" Type="http://schemas.openxmlformats.org/officeDocument/2006/relationships/hyperlink" Target="https://bulbapedia.bulbagarden.net/wiki/Tentacool_(Guardians_Rising_23)" TargetMode="External"/><Relationship Id="rId28" Type="http://schemas.openxmlformats.org/officeDocument/2006/relationships/hyperlink" Target="https://bulbapedia.bulbagarden.net/wiki/Sharpedo_(Guardians_Rising_28)" TargetMode="External"/><Relationship Id="rId49" Type="http://schemas.openxmlformats.org/officeDocument/2006/relationships/hyperlink" Target="https://bulbapedia.bulbagarden.net/wiki/Garbodor_(Guardians_Rising_51)" TargetMode="External"/><Relationship Id="rId114" Type="http://schemas.openxmlformats.org/officeDocument/2006/relationships/hyperlink" Target="https://bulbapedia.bulbagarden.net/wiki/Energy_Recycler_(Guardians_Rising_123)" TargetMode="External"/><Relationship Id="rId119" Type="http://schemas.openxmlformats.org/officeDocument/2006/relationships/hyperlink" Target="https://bulbapedia.bulbagarden.net/wiki/Hala_(Guardians_Rising_126)" TargetMode="External"/><Relationship Id="rId44" Type="http://schemas.openxmlformats.org/officeDocument/2006/relationships/hyperlink" Target="https://bulbapedia.bulbagarden.net/wiki/Oricorio_(Guardians_Rising_46)" TargetMode="External"/><Relationship Id="rId60" Type="http://schemas.openxmlformats.org/officeDocument/2006/relationships/hyperlink" Target="https://bulbapedia.bulbagarden.net/wiki/Machoke_(Guardians_Rising_64)" TargetMode="External"/><Relationship Id="rId65" Type="http://schemas.openxmlformats.org/officeDocument/2006/relationships/hyperlink" Target="https://bulbapedia.bulbagarden.net/wiki/Nosepass_(Guardians_Rising_69)" TargetMode="External"/><Relationship Id="rId81" Type="http://schemas.openxmlformats.org/officeDocument/2006/relationships/hyperlink" Target="https://bulbapedia.bulbagarden.net/wiki/Solgaleo_(Guardians_Rising_87)" TargetMode="External"/><Relationship Id="rId86" Type="http://schemas.openxmlformats.org/officeDocument/2006/relationships/hyperlink" Target="https://bulbapedia.bulbagarden.net/wiki/Comfey_(Guardians_Rising_93)" TargetMode="External"/><Relationship Id="rId130" Type="http://schemas.openxmlformats.org/officeDocument/2006/relationships/hyperlink" Target="https://bulbapedia.bulbagarden.net/wiki/Enhanced_Hammer_(Guardians_Rising_162)" TargetMode="External"/><Relationship Id="rId135" Type="http://schemas.openxmlformats.org/officeDocument/2006/relationships/hyperlink" Target="https://bulbapedia.bulbagarden.net/wiki/Grass_Energy_(Guardians_Rising_167)" TargetMode="External"/><Relationship Id="rId13" Type="http://schemas.openxmlformats.org/officeDocument/2006/relationships/hyperlink" Target="https://bulbapedia.bulbagarden.net/wiki/Chandelure_(Guardians_Rising_13)" TargetMode="External"/><Relationship Id="rId18" Type="http://schemas.openxmlformats.org/officeDocument/2006/relationships/hyperlink" Target="https://bulbapedia.bulbagarden.net/wiki/Alolan_Sandshrew_(Guardians_Rising_19)" TargetMode="External"/><Relationship Id="rId39" Type="http://schemas.openxmlformats.org/officeDocument/2006/relationships/hyperlink" Target="https://bulbapedia.bulbagarden.net/wiki/Alolan_Geodude_(Guardians_Rising_40)" TargetMode="External"/><Relationship Id="rId109" Type="http://schemas.openxmlformats.org/officeDocument/2006/relationships/hyperlink" Target="https://bulbapedia.bulbagarden.net/wiki/Altar_of_the_Sunne_(Guardians_Rising_118)" TargetMode="External"/><Relationship Id="rId34" Type="http://schemas.openxmlformats.org/officeDocument/2006/relationships/hyperlink" Target="https://bulbapedia.bulbagarden.net/wiki/Vanillish_(Guardians_Rising_34)" TargetMode="External"/><Relationship Id="rId50" Type="http://schemas.openxmlformats.org/officeDocument/2006/relationships/hyperlink" Target="https://bulbapedia.bulbagarden.net/wiki/Gothita_(Guardians_Rising_52)" TargetMode="External"/><Relationship Id="rId55" Type="http://schemas.openxmlformats.org/officeDocument/2006/relationships/hyperlink" Target="https://bulbapedia.bulbagarden.net/wiki/Mimikyu_(Guardians_Rising_58)" TargetMode="External"/><Relationship Id="rId76" Type="http://schemas.openxmlformats.org/officeDocument/2006/relationships/hyperlink" Target="https://bulbapedia.bulbagarden.net/wiki/Absol_(Guardians_Rising_81)" TargetMode="External"/><Relationship Id="rId97" Type="http://schemas.openxmlformats.org/officeDocument/2006/relationships/hyperlink" Target="https://bulbapedia.bulbagarden.net/wiki/Castform_(Guardians_Rising_105)" TargetMode="External"/><Relationship Id="rId104" Type="http://schemas.openxmlformats.org/officeDocument/2006/relationships/hyperlink" Target="https://bulbapedia.bulbagarden.net/wiki/Stufful_(Guardians_Rising_112)" TargetMode="External"/><Relationship Id="rId120" Type="http://schemas.openxmlformats.org/officeDocument/2006/relationships/hyperlink" Target="https://bulbapedia.bulbagarden.net/wiki/Mallow_(Guardians_Rising_127)" TargetMode="External"/><Relationship Id="rId125" Type="http://schemas.openxmlformats.org/officeDocument/2006/relationships/hyperlink" Target="https://bulbapedia.bulbagarden.net/wiki/Rescue_Stretcher_(Guardians_Rising_130)" TargetMode="External"/><Relationship Id="rId7" Type="http://schemas.openxmlformats.org/officeDocument/2006/relationships/hyperlink" Target="https://bulbapedia.bulbagarden.net/wiki/Trevenant_(Guardians_Rising_7)" TargetMode="External"/><Relationship Id="rId71" Type="http://schemas.openxmlformats.org/officeDocument/2006/relationships/hyperlink" Target="https://bulbapedia.bulbagarden.net/wiki/Mudsdale_(Guardians_Rising_76)" TargetMode="External"/><Relationship Id="rId92" Type="http://schemas.openxmlformats.org/officeDocument/2006/relationships/hyperlink" Target="https://bulbapedia.bulbagarden.net/wiki/Hakamo-o_(Guardians_Rising_99)" TargetMode="External"/><Relationship Id="rId2" Type="http://schemas.openxmlformats.org/officeDocument/2006/relationships/hyperlink" Target="https://bulbapedia.bulbagarden.net/wiki/Weepinbell_(Guardians_Rising_2)" TargetMode="External"/><Relationship Id="rId29" Type="http://schemas.openxmlformats.org/officeDocument/2006/relationships/hyperlink" Target="https://bulbapedia.bulbagarden.net/wiki/Wailmer_(Guardians_Rising_29)" TargetMode="External"/><Relationship Id="rId24" Type="http://schemas.openxmlformats.org/officeDocument/2006/relationships/hyperlink" Target="https://bulbapedia.bulbagarden.net/wiki/Tentacruel_(Guardians_Rising_24)" TargetMode="External"/><Relationship Id="rId40" Type="http://schemas.openxmlformats.org/officeDocument/2006/relationships/hyperlink" Target="https://bulbapedia.bulbagarden.net/wiki/Alolan_Graveler_(Guardians_Rising_41)" TargetMode="External"/><Relationship Id="rId45" Type="http://schemas.openxmlformats.org/officeDocument/2006/relationships/hyperlink" Target="https://bulbapedia.bulbagarden.net/wiki/Slowpoke_(Guardians_Rising_48)" TargetMode="External"/><Relationship Id="rId66" Type="http://schemas.openxmlformats.org/officeDocument/2006/relationships/hyperlink" Target="https://bulbapedia.bulbagarden.net/wiki/Barboach_(Guardians_Rising_70)" TargetMode="External"/><Relationship Id="rId87" Type="http://schemas.openxmlformats.org/officeDocument/2006/relationships/hyperlink" Target="https://bulbapedia.bulbagarden.net/wiki/Goomy_(Guardians_Rising_94)" TargetMode="External"/><Relationship Id="rId110" Type="http://schemas.openxmlformats.org/officeDocument/2006/relationships/hyperlink" Target="https://bulbapedia.bulbagarden.net/wiki/Aqua_Patch_(Guardians_Rising_119)" TargetMode="External"/><Relationship Id="rId115" Type="http://schemas.openxmlformats.org/officeDocument/2006/relationships/hyperlink" Target="https://bulbapedia.bulbagarden.net/wiki/Enhanced_Hammer_(Guardians_Rising_124)" TargetMode="External"/><Relationship Id="rId131" Type="http://schemas.openxmlformats.org/officeDocument/2006/relationships/hyperlink" Target="https://bulbapedia.bulbagarden.net/wiki/Field_Blower_(Guardians_Rising_163)" TargetMode="External"/><Relationship Id="rId136" Type="http://schemas.openxmlformats.org/officeDocument/2006/relationships/hyperlink" Target="https://bulbapedia.bulbagarden.net/wiki/Lightning_Energy_(Guardians_Rising_168)" TargetMode="External"/><Relationship Id="rId61" Type="http://schemas.openxmlformats.org/officeDocument/2006/relationships/hyperlink" Target="https://bulbapedia.bulbagarden.net/wiki/Machamp_(Guardians_Rising_65)" TargetMode="External"/><Relationship Id="rId82" Type="http://schemas.openxmlformats.org/officeDocument/2006/relationships/hyperlink" Target="https://bulbapedia.bulbagarden.net/wiki/Clefairy_(Guardians_Rising_88)" TargetMode="External"/><Relationship Id="rId19" Type="http://schemas.openxmlformats.org/officeDocument/2006/relationships/hyperlink" Target="https://bulbapedia.bulbagarden.net/wiki/Alolan_Sandshrew_(Guardians_Rising_19)" TargetMode="External"/><Relationship Id="rId14" Type="http://schemas.openxmlformats.org/officeDocument/2006/relationships/hyperlink" Target="https://bulbapedia.bulbagarden.net/wiki/Oricorio_(Guardians_Rising_14)" TargetMode="External"/><Relationship Id="rId30" Type="http://schemas.openxmlformats.org/officeDocument/2006/relationships/hyperlink" Target="https://bulbapedia.bulbagarden.net/wiki/Wailord_(Guardians_Rising_30)" TargetMode="External"/><Relationship Id="rId35" Type="http://schemas.openxmlformats.org/officeDocument/2006/relationships/hyperlink" Target="https://bulbapedia.bulbagarden.net/wiki/Vanilluxe_(Guardians_Rising_35)" TargetMode="External"/><Relationship Id="rId56" Type="http://schemas.openxmlformats.org/officeDocument/2006/relationships/hyperlink" Target="https://bulbapedia.bulbagarden.net/wiki/Dhelmise_(Guardians_Rising_59)" TargetMode="External"/><Relationship Id="rId77" Type="http://schemas.openxmlformats.org/officeDocument/2006/relationships/hyperlink" Target="https://bulbapedia.bulbagarden.net/wiki/Pangoro_(Guardians_Rising_82)" TargetMode="External"/><Relationship Id="rId100" Type="http://schemas.openxmlformats.org/officeDocument/2006/relationships/hyperlink" Target="https://bulbapedia.bulbagarden.net/wiki/Watchog_(Guardians_Rising_108)" TargetMode="External"/><Relationship Id="rId105" Type="http://schemas.openxmlformats.org/officeDocument/2006/relationships/hyperlink" Target="https://bulbapedia.bulbagarden.net/wiki/Bewear_(Guardians_Rising_113)" TargetMode="External"/><Relationship Id="rId126" Type="http://schemas.openxmlformats.org/officeDocument/2006/relationships/hyperlink" Target="https://bulbapedia.bulbagarden.net/wiki/Hala_(Guardians_Rising_143)" TargetMode="External"/><Relationship Id="rId8" Type="http://schemas.openxmlformats.org/officeDocument/2006/relationships/hyperlink" Target="https://bulbapedia.bulbagarden.net/wiki/Wimpod_(Guardians_Rising_8)" TargetMode="External"/><Relationship Id="rId51" Type="http://schemas.openxmlformats.org/officeDocument/2006/relationships/hyperlink" Target="https://bulbapedia.bulbagarden.net/wiki/Gothorita_(Guardians_Rising_53)" TargetMode="External"/><Relationship Id="rId72" Type="http://schemas.openxmlformats.org/officeDocument/2006/relationships/hyperlink" Target="https://bulbapedia.bulbagarden.net/wiki/Minior_(Guardians_Rising_77)" TargetMode="External"/><Relationship Id="rId93" Type="http://schemas.openxmlformats.org/officeDocument/2006/relationships/hyperlink" Target="https://bulbapedia.bulbagarden.net/wiki/Chansey_(Guardians_Rising_101)" TargetMode="External"/><Relationship Id="rId98" Type="http://schemas.openxmlformats.org/officeDocument/2006/relationships/hyperlink" Target="https://bulbapedia.bulbagarden.net/wiki/Rayquaza_(Guardians_Rising_106)" TargetMode="External"/><Relationship Id="rId121" Type="http://schemas.openxmlformats.org/officeDocument/2006/relationships/hyperlink" Target="https://bulbapedia.bulbagarden.net/wiki/Max_Potion_(Guardians_Rising_128)" TargetMode="External"/><Relationship Id="rId3" Type="http://schemas.openxmlformats.org/officeDocument/2006/relationships/hyperlink" Target="https://bulbapedia.bulbagarden.net/wiki/Victreebel_(Guardians_Rising_3)" TargetMode="External"/><Relationship Id="rId25" Type="http://schemas.openxmlformats.org/officeDocument/2006/relationships/hyperlink" Target="https://bulbapedia.bulbagarden.net/wiki/Politoed_(Guardians_Rising_25)" TargetMode="External"/><Relationship Id="rId46" Type="http://schemas.openxmlformats.org/officeDocument/2006/relationships/hyperlink" Target="https://bulbapedia.bulbagarden.net/wiki/Slowbro_(Guardians_Rising_49)" TargetMode="External"/><Relationship Id="rId67" Type="http://schemas.openxmlformats.org/officeDocument/2006/relationships/hyperlink" Target="https://bulbapedia.bulbagarden.net/wiki/Whiscash_(Guardians_Rising_71)" TargetMode="External"/><Relationship Id="rId116" Type="http://schemas.openxmlformats.org/officeDocument/2006/relationships/hyperlink" Target="https://bulbapedia.bulbagarden.net/wiki/Enhanced_Hammer_(Guardians_Rising_124)" TargetMode="External"/><Relationship Id="rId137" Type="http://schemas.openxmlformats.org/officeDocument/2006/relationships/hyperlink" Target="https://bulbapedia.bulbagarden.net/wiki/Fighting_Energy_(Guardians_Rising_169)" TargetMode="External"/><Relationship Id="rId20" Type="http://schemas.openxmlformats.org/officeDocument/2006/relationships/hyperlink" Target="https://bulbapedia.bulbagarden.net/wiki/Alolan_Sandslash_(Guardians_Rising_20)" TargetMode="External"/><Relationship Id="rId41" Type="http://schemas.openxmlformats.org/officeDocument/2006/relationships/hyperlink" Target="https://bulbapedia.bulbagarden.net/wiki/Alolan_Golem_(Guardians_Rising_42)" TargetMode="External"/><Relationship Id="rId62" Type="http://schemas.openxmlformats.org/officeDocument/2006/relationships/hyperlink" Target="https://bulbapedia.bulbagarden.net/wiki/Sudowoodo_(Guardians_Rising_66)" TargetMode="External"/><Relationship Id="rId83" Type="http://schemas.openxmlformats.org/officeDocument/2006/relationships/hyperlink" Target="https://bulbapedia.bulbagarden.net/wiki/Clefable_(Guardians_Rising_89)" TargetMode="External"/><Relationship Id="rId88" Type="http://schemas.openxmlformats.org/officeDocument/2006/relationships/hyperlink" Target="https://bulbapedia.bulbagarden.net/wiki/Sliggoo_(Guardians_Rising_95)" TargetMode="External"/><Relationship Id="rId111" Type="http://schemas.openxmlformats.org/officeDocument/2006/relationships/hyperlink" Target="https://bulbapedia.bulbagarden.net/wiki/Brooklet_Hill_(Guardians_Rising_120)" TargetMode="External"/><Relationship Id="rId132" Type="http://schemas.openxmlformats.org/officeDocument/2006/relationships/hyperlink" Target="https://bulbapedia.bulbagarden.net/wiki/Max_Potion_(Guardians_Rising_164)" TargetMode="External"/><Relationship Id="rId15" Type="http://schemas.openxmlformats.org/officeDocument/2006/relationships/hyperlink" Target="https://bulbapedia.bulbagarden.net/wiki/Salandit_(Guardians_Rising_15)" TargetMode="External"/><Relationship Id="rId36" Type="http://schemas.openxmlformats.org/officeDocument/2006/relationships/hyperlink" Target="https://bulbapedia.bulbagarden.net/wiki/Alomomola_(Guardians_Rising_36)" TargetMode="External"/><Relationship Id="rId57" Type="http://schemas.openxmlformats.org/officeDocument/2006/relationships/hyperlink" Target="https://bulbapedia.bulbagarden.net/wiki/Lunala_(Guardians_Rising_61)" TargetMode="External"/><Relationship Id="rId106" Type="http://schemas.openxmlformats.org/officeDocument/2006/relationships/hyperlink" Target="https://bulbapedia.bulbagarden.net/wiki/Komala_(Guardians_Rising_114)" TargetMode="External"/><Relationship Id="rId127" Type="http://schemas.openxmlformats.org/officeDocument/2006/relationships/hyperlink" Target="https://bulbapedia.bulbagarden.net/wiki/Hau_(Guardians_Rising_144)" TargetMode="External"/><Relationship Id="rId10" Type="http://schemas.openxmlformats.org/officeDocument/2006/relationships/hyperlink" Target="https://bulbapedia.bulbagarden.net/wiki/Victini_(Guardians_Rising_10)" TargetMode="External"/><Relationship Id="rId31" Type="http://schemas.openxmlformats.org/officeDocument/2006/relationships/hyperlink" Target="https://bulbapedia.bulbagarden.net/wiki/Snorunt_(Guardians_Rising_31)" TargetMode="External"/><Relationship Id="rId52" Type="http://schemas.openxmlformats.org/officeDocument/2006/relationships/hyperlink" Target="https://bulbapedia.bulbagarden.net/wiki/Gothitelle_(Guardians_Rising_54)" TargetMode="External"/><Relationship Id="rId73" Type="http://schemas.openxmlformats.org/officeDocument/2006/relationships/hyperlink" Target="https://bulbapedia.bulbagarden.net/wiki/Murkrow_(Guardians_Rising_78)" TargetMode="External"/><Relationship Id="rId78" Type="http://schemas.openxmlformats.org/officeDocument/2006/relationships/hyperlink" Target="https://bulbapedia.bulbagarden.net/wiki/Beldum_(Guardians_Rising_83)" TargetMode="External"/><Relationship Id="rId94" Type="http://schemas.openxmlformats.org/officeDocument/2006/relationships/hyperlink" Target="https://bulbapedia.bulbagarden.net/wiki/Blissey_(Guardians_Rising_102)" TargetMode="External"/><Relationship Id="rId99" Type="http://schemas.openxmlformats.org/officeDocument/2006/relationships/hyperlink" Target="https://bulbapedia.bulbagarden.net/wiki/Patrat_(Guardians_Rising_107)" TargetMode="External"/><Relationship Id="rId101" Type="http://schemas.openxmlformats.org/officeDocument/2006/relationships/hyperlink" Target="https://bulbapedia.bulbagarden.net/wiki/Fletchling_(Guardians_Rising_109)" TargetMode="External"/><Relationship Id="rId122" Type="http://schemas.openxmlformats.org/officeDocument/2006/relationships/hyperlink" Target="https://bulbapedia.bulbagarden.net/wiki/Max_Potion_(Guardians_Rising_128)" TargetMode="External"/><Relationship Id="rId4" Type="http://schemas.openxmlformats.org/officeDocument/2006/relationships/hyperlink" Target="https://bulbapedia.bulbagarden.net/wiki/Petilil_(Guardians_Rising_4)" TargetMode="External"/><Relationship Id="rId9" Type="http://schemas.openxmlformats.org/officeDocument/2006/relationships/hyperlink" Target="https://bulbapedia.bulbagarden.net/wiki/Golisopod_(Guardians_Rising_9)" TargetMode="External"/><Relationship Id="rId26" Type="http://schemas.openxmlformats.org/officeDocument/2006/relationships/hyperlink" Target="https://bulbapedia.bulbagarden.net/wiki/Delibird_(Guardians_Rising_26)" TargetMode="External"/><Relationship Id="rId47" Type="http://schemas.openxmlformats.org/officeDocument/2006/relationships/hyperlink" Target="https://bulbapedia.bulbagarden.net/wiki/Trubbish_(Guardians_Rising_50)" TargetMode="External"/><Relationship Id="rId68" Type="http://schemas.openxmlformats.org/officeDocument/2006/relationships/hyperlink" Target="https://bulbapedia.bulbagarden.net/wiki/Pancham_(Guardians_Rising_72)" TargetMode="External"/><Relationship Id="rId89" Type="http://schemas.openxmlformats.org/officeDocument/2006/relationships/hyperlink" Target="https://bulbapedia.bulbagarden.net/wiki/Goodra_(Guardians_Rising_96)" TargetMode="External"/><Relationship Id="rId112" Type="http://schemas.openxmlformats.org/officeDocument/2006/relationships/hyperlink" Target="https://bulbapedia.bulbagarden.net/wiki/Choice_Band_(Guardians_Rising_121)" TargetMode="External"/><Relationship Id="rId133" Type="http://schemas.openxmlformats.org/officeDocument/2006/relationships/hyperlink" Target="https://bulbapedia.bulbagarden.net/wiki/Rare_Candy_(Guardians_Rising_165)" TargetMode="External"/></Relationships>
</file>

<file path=xl/worksheets/_rels/sheet69.xml.rels><?xml version="1.0" encoding="UTF-8" standalone="yes"?>
<Relationships xmlns="http://schemas.openxmlformats.org/package/2006/relationships"><Relationship Id="rId117" Type="http://schemas.openxmlformats.org/officeDocument/2006/relationships/hyperlink" Target="https://bulbapedia.bulbagarden.net/wiki/Tormenting_Spray_(Burning_Shadows_125)" TargetMode="External"/><Relationship Id="rId21" Type="http://schemas.openxmlformats.org/officeDocument/2006/relationships/hyperlink" Target="https://bulbapedia.bulbagarden.net/wiki/Heatmor_(Burning_Shadows_24)" TargetMode="External"/><Relationship Id="rId42" Type="http://schemas.openxmlformats.org/officeDocument/2006/relationships/hyperlink" Target="https://bulbapedia.bulbagarden.net/wiki/Togedemaru_(Burning_Shadows_47)" TargetMode="External"/><Relationship Id="rId63" Type="http://schemas.openxmlformats.org/officeDocument/2006/relationships/hyperlink" Target="https://bulbapedia.bulbagarden.net/wiki/Riolu_(Burning_Shadows_70)" TargetMode="External"/><Relationship Id="rId84" Type="http://schemas.openxmlformats.org/officeDocument/2006/relationships/hyperlink" Target="https://bulbapedia.bulbagarden.net/wiki/Cutiefly_(Burning_Shadows_95)" TargetMode="External"/><Relationship Id="rId16" Type="http://schemas.openxmlformats.org/officeDocument/2006/relationships/hyperlink" Target="https://bulbapedia.bulbagarden.net/wiki/Wimpod_(Burning_Shadows_16)" TargetMode="External"/><Relationship Id="rId107" Type="http://schemas.openxmlformats.org/officeDocument/2006/relationships/hyperlink" Target="https://bulbapedia.bulbagarden.net/wiki/Kiawe_(Burning_Shadows_116)" TargetMode="External"/><Relationship Id="rId11" Type="http://schemas.openxmlformats.org/officeDocument/2006/relationships/hyperlink" Target="https://bulbapedia.bulbagarden.net/wiki/Heracross_(Burning_Shadows_11)" TargetMode="External"/><Relationship Id="rId32" Type="http://schemas.openxmlformats.org/officeDocument/2006/relationships/hyperlink" Target="https://bulbapedia.bulbagarden.net/wiki/Panpour_(Burning_Shadows_36)" TargetMode="External"/><Relationship Id="rId37" Type="http://schemas.openxmlformats.org/officeDocument/2006/relationships/hyperlink" Target="https://bulbapedia.bulbagarden.net/wiki/Electabuzz_(Burning_Shadows_42)" TargetMode="External"/><Relationship Id="rId53" Type="http://schemas.openxmlformats.org/officeDocument/2006/relationships/hyperlink" Target="https://bulbapedia.bulbagarden.net/wiki/Scolipede_(Burning_Shadows_58)" TargetMode="External"/><Relationship Id="rId58" Type="http://schemas.openxmlformats.org/officeDocument/2006/relationships/hyperlink" Target="https://bulbapedia.bulbagarden.net/wiki/Rhyhorn_(Burning_Shadows_65)" TargetMode="External"/><Relationship Id="rId74" Type="http://schemas.openxmlformats.org/officeDocument/2006/relationships/hyperlink" Target="https://bulbapedia.bulbagarden.net/wiki/Alolan_Raticate_(Burning_Shadows_82)" TargetMode="External"/><Relationship Id="rId79" Type="http://schemas.openxmlformats.org/officeDocument/2006/relationships/hyperlink" Target="https://bulbapedia.bulbagarden.net/wiki/Malamar_(Burning_Shadows_90)" TargetMode="External"/><Relationship Id="rId102" Type="http://schemas.openxmlformats.org/officeDocument/2006/relationships/hyperlink" Target="https://bulbapedia.bulbagarden.net/wiki/Acerola_(Burning_Shadows_112)" TargetMode="External"/><Relationship Id="rId123" Type="http://schemas.openxmlformats.org/officeDocument/2006/relationships/hyperlink" Target="https://bulbapedia.bulbagarden.net/wiki/Kiawe_(Burning_Shadows_144)" TargetMode="External"/><Relationship Id="rId128" Type="http://schemas.openxmlformats.org/officeDocument/2006/relationships/hyperlink" Target="https://bulbapedia.bulbagarden.net/wiki/Choice_Band_(Burning_Shadows_162)" TargetMode="External"/><Relationship Id="rId5" Type="http://schemas.openxmlformats.org/officeDocument/2006/relationships/hyperlink" Target="https://bulbapedia.bulbagarden.net/wiki/Gloom_(Burning_Shadows_5)" TargetMode="External"/><Relationship Id="rId90" Type="http://schemas.openxmlformats.org/officeDocument/2006/relationships/hyperlink" Target="https://bulbapedia.bulbagarden.net/wiki/Persian_(Burning_Shadows_102)" TargetMode="External"/><Relationship Id="rId95" Type="http://schemas.openxmlformats.org/officeDocument/2006/relationships/hyperlink" Target="https://bulbapedia.bulbagarden.net/wiki/Hoothoot_(Burning_Shadows_106)" TargetMode="External"/><Relationship Id="rId22" Type="http://schemas.openxmlformats.org/officeDocument/2006/relationships/hyperlink" Target="https://bulbapedia.bulbagarden.net/wiki/Turtonator_(Burning_Shadows_26)" TargetMode="External"/><Relationship Id="rId27" Type="http://schemas.openxmlformats.org/officeDocument/2006/relationships/hyperlink" Target="https://bulbapedia.bulbagarden.net/wiki/Kingdra_(Burning_Shadows_31)" TargetMode="External"/><Relationship Id="rId43" Type="http://schemas.openxmlformats.org/officeDocument/2006/relationships/hyperlink" Target="https://bulbapedia.bulbagarden.net/wiki/Slowking_(Burning_Shadows_48)" TargetMode="External"/><Relationship Id="rId48" Type="http://schemas.openxmlformats.org/officeDocument/2006/relationships/hyperlink" Target="https://bulbapedia.bulbagarden.net/wiki/Dusknoir_(Burning_Shadows_53)" TargetMode="External"/><Relationship Id="rId64" Type="http://schemas.openxmlformats.org/officeDocument/2006/relationships/hyperlink" Target="https://bulbapedia.bulbagarden.net/wiki/Lucario_(Burning_Shadows_71)" TargetMode="External"/><Relationship Id="rId69" Type="http://schemas.openxmlformats.org/officeDocument/2006/relationships/hyperlink" Target="https://bulbapedia.bulbagarden.net/wiki/Lycanroc_(Burning_Shadows_76)" TargetMode="External"/><Relationship Id="rId113" Type="http://schemas.openxmlformats.org/officeDocument/2006/relationships/hyperlink" Target="https://bulbapedia.bulbagarden.net/wiki/Po_Town_(Burning_Shadows_121)" TargetMode="External"/><Relationship Id="rId118" Type="http://schemas.openxmlformats.org/officeDocument/2006/relationships/hyperlink" Target="https://bulbapedia.bulbagarden.net/wiki/Weakness_Policy_(Burning_Shadows_126)" TargetMode="External"/><Relationship Id="rId134" Type="http://schemas.openxmlformats.org/officeDocument/2006/relationships/hyperlink" Target="https://bulbapedia.bulbagarden.net/wiki/Darkness_Energy_(Burning_Shadows_168)" TargetMode="External"/><Relationship Id="rId80" Type="http://schemas.openxmlformats.org/officeDocument/2006/relationships/hyperlink" Target="https://bulbapedia.bulbagarden.net/wiki/Ralts_(Burning_Shadows_91)" TargetMode="External"/><Relationship Id="rId85" Type="http://schemas.openxmlformats.org/officeDocument/2006/relationships/hyperlink" Target="https://bulbapedia.bulbagarden.net/wiki/Ribombee_(Burning_Shadows_96)" TargetMode="External"/><Relationship Id="rId12" Type="http://schemas.openxmlformats.org/officeDocument/2006/relationships/hyperlink" Target="https://bulbapedia.bulbagarden.net/wiki/Pansage_(Burning_Shadows_12)" TargetMode="External"/><Relationship Id="rId17" Type="http://schemas.openxmlformats.org/officeDocument/2006/relationships/hyperlink" Target="https://bulbapedia.bulbagarden.net/wiki/Charmander_(Burning_Shadows_18)" TargetMode="External"/><Relationship Id="rId33" Type="http://schemas.openxmlformats.org/officeDocument/2006/relationships/hyperlink" Target="https://bulbapedia.bulbagarden.net/wiki/Simipour_(Burning_Shadows_37)" TargetMode="External"/><Relationship Id="rId38" Type="http://schemas.openxmlformats.org/officeDocument/2006/relationships/hyperlink" Target="https://bulbapedia.bulbagarden.net/wiki/Electivire_(Burning_Shadows_43)" TargetMode="External"/><Relationship Id="rId59" Type="http://schemas.openxmlformats.org/officeDocument/2006/relationships/hyperlink" Target="https://bulbapedia.bulbagarden.net/wiki/Rhydon_(Burning_Shadows_66)" TargetMode="External"/><Relationship Id="rId103" Type="http://schemas.openxmlformats.org/officeDocument/2006/relationships/hyperlink" Target="https://bulbapedia.bulbagarden.net/wiki/Bodybuilding_Dumbbells_(Burning_Shadows_113)" TargetMode="External"/><Relationship Id="rId108" Type="http://schemas.openxmlformats.org/officeDocument/2006/relationships/hyperlink" Target="https://bulbapedia.bulbagarden.net/wiki/Kiawe_(Burning_Shadows_116)" TargetMode="External"/><Relationship Id="rId124" Type="http://schemas.openxmlformats.org/officeDocument/2006/relationships/hyperlink" Target="https://bulbapedia.bulbagarden.net/wiki/Plumeria_(Burning_Shadows_145)" TargetMode="External"/><Relationship Id="rId129" Type="http://schemas.openxmlformats.org/officeDocument/2006/relationships/hyperlink" Target="https://bulbapedia.bulbagarden.net/wiki/Escape_Rope_(Burning_Shadows_163)" TargetMode="External"/><Relationship Id="rId54" Type="http://schemas.openxmlformats.org/officeDocument/2006/relationships/hyperlink" Target="https://bulbapedia.bulbagarden.net/wiki/Espurr_(Burning_Shadows_59)" TargetMode="External"/><Relationship Id="rId70" Type="http://schemas.openxmlformats.org/officeDocument/2006/relationships/hyperlink" Target="https://bulbapedia.bulbagarden.net/wiki/Mudbray_(Burning_Shadows_77)" TargetMode="External"/><Relationship Id="rId75" Type="http://schemas.openxmlformats.org/officeDocument/2006/relationships/hyperlink" Target="https://bulbapedia.bulbagarden.net/wiki/Alolan_Grimer_(Burning_Shadows_83)" TargetMode="External"/><Relationship Id="rId91" Type="http://schemas.openxmlformats.org/officeDocument/2006/relationships/hyperlink" Target="https://bulbapedia.bulbagarden.net/wiki/Porygon_(Burning_Shadows_103)" TargetMode="External"/><Relationship Id="rId96" Type="http://schemas.openxmlformats.org/officeDocument/2006/relationships/hyperlink" Target="https://bulbapedia.bulbagarden.net/wiki/Noctowl_(Burning_Shadows_107)" TargetMode="External"/><Relationship Id="rId1" Type="http://schemas.openxmlformats.org/officeDocument/2006/relationships/hyperlink" Target="https://bulbapedia.bulbagarden.net/wiki/Caterpie_(Burning_Shadows_1)" TargetMode="External"/><Relationship Id="rId6" Type="http://schemas.openxmlformats.org/officeDocument/2006/relationships/hyperlink" Target="https://bulbapedia.bulbagarden.net/wiki/Vileplume_(Burning_Shadows_6)" TargetMode="External"/><Relationship Id="rId23" Type="http://schemas.openxmlformats.org/officeDocument/2006/relationships/hyperlink" Target="https://bulbapedia.bulbagarden.net/wiki/Alolan_Vulpix_(Burning_Shadows_27)" TargetMode="External"/><Relationship Id="rId28" Type="http://schemas.openxmlformats.org/officeDocument/2006/relationships/hyperlink" Target="https://bulbapedia.bulbagarden.net/wiki/Magikarp_(Burning_Shadows_32)" TargetMode="External"/><Relationship Id="rId49" Type="http://schemas.openxmlformats.org/officeDocument/2006/relationships/hyperlink" Target="https://bulbapedia.bulbagarden.net/wiki/Croagunk_(Burning_Shadows_54)" TargetMode="External"/><Relationship Id="rId114" Type="http://schemas.openxmlformats.org/officeDocument/2006/relationships/hyperlink" Target="https://bulbapedia.bulbagarden.net/wiki/Rotom_Dex_Pok%C3%A9_Finder_Mode_(Burning_Shadows_122)" TargetMode="External"/><Relationship Id="rId119" Type="http://schemas.openxmlformats.org/officeDocument/2006/relationships/hyperlink" Target="https://bulbapedia.bulbagarden.net/wiki/Wicke_(Burning_Shadows_127)" TargetMode="External"/><Relationship Id="rId44" Type="http://schemas.openxmlformats.org/officeDocument/2006/relationships/hyperlink" Target="https://bulbapedia.bulbagarden.net/wiki/Wobbuffet_(Burning_Shadows_49)" TargetMode="External"/><Relationship Id="rId60" Type="http://schemas.openxmlformats.org/officeDocument/2006/relationships/hyperlink" Target="https://bulbapedia.bulbagarden.net/wiki/Rhyperior_(Burning_Shadows_67)" TargetMode="External"/><Relationship Id="rId65" Type="http://schemas.openxmlformats.org/officeDocument/2006/relationships/hyperlink" Target="https://bulbapedia.bulbagarden.net/wiki/Sawk_(Burning_Shadows_72)" TargetMode="External"/><Relationship Id="rId81" Type="http://schemas.openxmlformats.org/officeDocument/2006/relationships/hyperlink" Target="https://bulbapedia.bulbagarden.net/wiki/Kirlia_(Burning_Shadows_92)" TargetMode="External"/><Relationship Id="rId86" Type="http://schemas.openxmlformats.org/officeDocument/2006/relationships/hyperlink" Target="https://bulbapedia.bulbagarden.net/wiki/Morelull_(Burning_Shadows_97)" TargetMode="External"/><Relationship Id="rId130" Type="http://schemas.openxmlformats.org/officeDocument/2006/relationships/hyperlink" Target="https://bulbapedia.bulbagarden.net/wiki/Multi_Switch_(Burning_Shadows_164)" TargetMode="External"/><Relationship Id="rId135" Type="http://schemas.openxmlformats.org/officeDocument/2006/relationships/hyperlink" Target="https://bulbapedia.bulbagarden.net/wiki/Fairy_Energy_(Burning_Shadows_169)" TargetMode="External"/><Relationship Id="rId13" Type="http://schemas.openxmlformats.org/officeDocument/2006/relationships/hyperlink" Target="https://bulbapedia.bulbagarden.net/wiki/Simisage_(Burning_Shadows_13)" TargetMode="External"/><Relationship Id="rId18" Type="http://schemas.openxmlformats.org/officeDocument/2006/relationships/hyperlink" Target="https://bulbapedia.bulbagarden.net/wiki/Charmeleon_(Burning_Shadows_19)" TargetMode="External"/><Relationship Id="rId39" Type="http://schemas.openxmlformats.org/officeDocument/2006/relationships/hyperlink" Target="https://bulbapedia.bulbagarden.net/wiki/Tynamo_(Burning_Shadows_44)" TargetMode="External"/><Relationship Id="rId109" Type="http://schemas.openxmlformats.org/officeDocument/2006/relationships/hyperlink" Target="https://bulbapedia.bulbagarden.net/wiki/Lana_(Burning_Shadows_117)" TargetMode="External"/><Relationship Id="rId34" Type="http://schemas.openxmlformats.org/officeDocument/2006/relationships/hyperlink" Target="https://bulbapedia.bulbagarden.net/wiki/Bruxish_(Burning_Shadows_38)" TargetMode="External"/><Relationship Id="rId50" Type="http://schemas.openxmlformats.org/officeDocument/2006/relationships/hyperlink" Target="https://bulbapedia.bulbagarden.net/wiki/Toxicroak_(Burning_Shadows_55)" TargetMode="External"/><Relationship Id="rId55" Type="http://schemas.openxmlformats.org/officeDocument/2006/relationships/hyperlink" Target="https://bulbapedia.bulbagarden.net/wiki/Meowstic_(Burning_Shadows_60)" TargetMode="External"/><Relationship Id="rId76" Type="http://schemas.openxmlformats.org/officeDocument/2006/relationships/hyperlink" Target="https://bulbapedia.bulbagarden.net/wiki/Sneasel_(Burning_Shadows_85)" TargetMode="External"/><Relationship Id="rId97" Type="http://schemas.openxmlformats.org/officeDocument/2006/relationships/hyperlink" Target="https://bulbapedia.bulbagarden.net/wiki/Bouffalant_(Burning_Shadows_108)" TargetMode="External"/><Relationship Id="rId104" Type="http://schemas.openxmlformats.org/officeDocument/2006/relationships/hyperlink" Target="https://bulbapedia.bulbagarden.net/wiki/Escape_Rope_(Burning_Shadows_114)" TargetMode="External"/><Relationship Id="rId120" Type="http://schemas.openxmlformats.org/officeDocument/2006/relationships/hyperlink" Target="https://bulbapedia.bulbagarden.net/wiki/Wishful_Baton_(Burning_Shadows_128)" TargetMode="External"/><Relationship Id="rId125" Type="http://schemas.openxmlformats.org/officeDocument/2006/relationships/hyperlink" Target="https://bulbapedia.bulbagarden.net/wiki/Sophocles_(Burning_Shadows_146)" TargetMode="External"/><Relationship Id="rId7" Type="http://schemas.openxmlformats.org/officeDocument/2006/relationships/hyperlink" Target="https://bulbapedia.bulbagarden.net/wiki/Tangela_(Burning_Shadows_7)" TargetMode="External"/><Relationship Id="rId71" Type="http://schemas.openxmlformats.org/officeDocument/2006/relationships/hyperlink" Target="https://bulbapedia.bulbagarden.net/wiki/Mudsdale_(Burning_Shadows_78)" TargetMode="External"/><Relationship Id="rId92" Type="http://schemas.openxmlformats.org/officeDocument/2006/relationships/hyperlink" Target="https://bulbapedia.bulbagarden.net/wiki/Porygon2_(Burning_Shadows_104)" TargetMode="External"/><Relationship Id="rId2" Type="http://schemas.openxmlformats.org/officeDocument/2006/relationships/hyperlink" Target="https://bulbapedia.bulbagarden.net/wiki/Metapod_(Burning_Shadows_2)" TargetMode="External"/><Relationship Id="rId29" Type="http://schemas.openxmlformats.org/officeDocument/2006/relationships/hyperlink" Target="https://bulbapedia.bulbagarden.net/wiki/Gyarados_(Burning_Shadows_33)" TargetMode="External"/><Relationship Id="rId24" Type="http://schemas.openxmlformats.org/officeDocument/2006/relationships/hyperlink" Target="https://bulbapedia.bulbagarden.net/wiki/Alolan_Ninetales_(Burning_Shadows_28)" TargetMode="External"/><Relationship Id="rId40" Type="http://schemas.openxmlformats.org/officeDocument/2006/relationships/hyperlink" Target="https://bulbapedia.bulbagarden.net/wiki/Eelektrik_(Burning_Shadows_45)" TargetMode="External"/><Relationship Id="rId45" Type="http://schemas.openxmlformats.org/officeDocument/2006/relationships/hyperlink" Target="https://bulbapedia.bulbagarden.net/wiki/Seviper_(Burning_Shadows_50)" TargetMode="External"/><Relationship Id="rId66" Type="http://schemas.openxmlformats.org/officeDocument/2006/relationships/hyperlink" Target="https://bulbapedia.bulbagarden.net/wiki/Crabrawler_(Burning_Shadows_73)" TargetMode="External"/><Relationship Id="rId87" Type="http://schemas.openxmlformats.org/officeDocument/2006/relationships/hyperlink" Target="https://bulbapedia.bulbagarden.net/wiki/Shiinotic_(Burning_Shadows_98)" TargetMode="External"/><Relationship Id="rId110" Type="http://schemas.openxmlformats.org/officeDocument/2006/relationships/hyperlink" Target="https://bulbapedia.bulbagarden.net/wiki/Mount_Lanakila_(Burning_Shadows_118)" TargetMode="External"/><Relationship Id="rId115" Type="http://schemas.openxmlformats.org/officeDocument/2006/relationships/hyperlink" Target="https://bulbapedia.bulbagarden.net/wiki/Sophocles_(Burning_Shadows_123)" TargetMode="External"/><Relationship Id="rId131" Type="http://schemas.openxmlformats.org/officeDocument/2006/relationships/hyperlink" Target="https://bulbapedia.bulbagarden.net/wiki/Rescue_Stretcher_(Burning_Shadows_165)" TargetMode="External"/><Relationship Id="rId61" Type="http://schemas.openxmlformats.org/officeDocument/2006/relationships/hyperlink" Target="https://bulbapedia.bulbagarden.net/wiki/Lunatone_(Burning_Shadows_68)" TargetMode="External"/><Relationship Id="rId82" Type="http://schemas.openxmlformats.org/officeDocument/2006/relationships/hyperlink" Target="https://bulbapedia.bulbagarden.net/wiki/Kirlia_(Burning_Shadows_92)" TargetMode="External"/><Relationship Id="rId19" Type="http://schemas.openxmlformats.org/officeDocument/2006/relationships/hyperlink" Target="https://bulbapedia.bulbagarden.net/wiki/Pansear_(Burning_Shadows_22)" TargetMode="External"/><Relationship Id="rId14" Type="http://schemas.openxmlformats.org/officeDocument/2006/relationships/hyperlink" Target="https://bulbapedia.bulbagarden.net/wiki/Dewpider_(Burning_Shadows_14)" TargetMode="External"/><Relationship Id="rId30" Type="http://schemas.openxmlformats.org/officeDocument/2006/relationships/hyperlink" Target="https://bulbapedia.bulbagarden.net/wiki/Marill_(Burning_Shadows_34)" TargetMode="External"/><Relationship Id="rId35" Type="http://schemas.openxmlformats.org/officeDocument/2006/relationships/hyperlink" Target="https://bulbapedia.bulbagarden.net/wiki/Pikachu_(Burning_Shadows_40)" TargetMode="External"/><Relationship Id="rId56" Type="http://schemas.openxmlformats.org/officeDocument/2006/relationships/hyperlink" Target="https://bulbapedia.bulbagarden.net/wiki/Sandygast_(Burning_Shadows_61)" TargetMode="External"/><Relationship Id="rId77" Type="http://schemas.openxmlformats.org/officeDocument/2006/relationships/hyperlink" Target="https://bulbapedia.bulbagarden.net/wiki/Darkrai_(Burning_Shadows_87)" TargetMode="External"/><Relationship Id="rId100" Type="http://schemas.openxmlformats.org/officeDocument/2006/relationships/hyperlink" Target="https://bulbapedia.bulbagarden.net/wiki/Bewear_(Burning_Shadows_111)" TargetMode="External"/><Relationship Id="rId105" Type="http://schemas.openxmlformats.org/officeDocument/2006/relationships/hyperlink" Target="https://bulbapedia.bulbagarden.net/wiki/Guzma_(Burning_Shadows_115)" TargetMode="External"/><Relationship Id="rId126" Type="http://schemas.openxmlformats.org/officeDocument/2006/relationships/hyperlink" Target="https://bulbapedia.bulbagarden.net/wiki/Wicke_(Burning_Shadows_147)" TargetMode="External"/><Relationship Id="rId8" Type="http://schemas.openxmlformats.org/officeDocument/2006/relationships/hyperlink" Target="https://bulbapedia.bulbagarden.net/wiki/Tangrowth_(Burning_Shadows_8)" TargetMode="External"/><Relationship Id="rId51" Type="http://schemas.openxmlformats.org/officeDocument/2006/relationships/hyperlink" Target="https://bulbapedia.bulbagarden.net/wiki/Venipede_(Burning_Shadows_56)" TargetMode="External"/><Relationship Id="rId72" Type="http://schemas.openxmlformats.org/officeDocument/2006/relationships/hyperlink" Target="https://bulbapedia.bulbagarden.net/wiki/Passimian_(Burning_Shadows_79)" TargetMode="External"/><Relationship Id="rId93" Type="http://schemas.openxmlformats.org/officeDocument/2006/relationships/hyperlink" Target="https://bulbapedia.bulbagarden.net/wiki/Porygon-Z_(Burning_Shadows_105)" TargetMode="External"/><Relationship Id="rId98" Type="http://schemas.openxmlformats.org/officeDocument/2006/relationships/hyperlink" Target="https://bulbapedia.bulbagarden.net/wiki/Noibat_(Burning_Shadows_109)" TargetMode="External"/><Relationship Id="rId121" Type="http://schemas.openxmlformats.org/officeDocument/2006/relationships/hyperlink" Target="https://bulbapedia.bulbagarden.net/wiki/Acerola_(Burning_Shadows_142)" TargetMode="External"/><Relationship Id="rId3" Type="http://schemas.openxmlformats.org/officeDocument/2006/relationships/hyperlink" Target="https://bulbapedia.bulbagarden.net/wiki/Butterfree_(Burning_Shadows_3)" TargetMode="External"/><Relationship Id="rId25" Type="http://schemas.openxmlformats.org/officeDocument/2006/relationships/hyperlink" Target="https://bulbapedia.bulbagarden.net/wiki/Horsea_(Burning_Shadows_29)" TargetMode="External"/><Relationship Id="rId46" Type="http://schemas.openxmlformats.org/officeDocument/2006/relationships/hyperlink" Target="https://bulbapedia.bulbagarden.net/wiki/Duskull_(Burning_Shadows_51)" TargetMode="External"/><Relationship Id="rId67" Type="http://schemas.openxmlformats.org/officeDocument/2006/relationships/hyperlink" Target="https://bulbapedia.bulbagarden.net/wiki/Crabominable_(Burning_Shadows_74)" TargetMode="External"/><Relationship Id="rId116" Type="http://schemas.openxmlformats.org/officeDocument/2006/relationships/hyperlink" Target="https://bulbapedia.bulbagarden.net/wiki/Super_Scoop_Up_(Burning_Shadows_124)" TargetMode="External"/><Relationship Id="rId20" Type="http://schemas.openxmlformats.org/officeDocument/2006/relationships/hyperlink" Target="https://bulbapedia.bulbagarden.net/wiki/Simisear_(Burning_Shadows_23)" TargetMode="External"/><Relationship Id="rId41" Type="http://schemas.openxmlformats.org/officeDocument/2006/relationships/hyperlink" Target="https://bulbapedia.bulbagarden.net/wiki/Eelektross_(Burning_Shadows_46)" TargetMode="External"/><Relationship Id="rId62" Type="http://schemas.openxmlformats.org/officeDocument/2006/relationships/hyperlink" Target="https://bulbapedia.bulbagarden.net/wiki/Solrock_(Burning_Shadows_69)" TargetMode="External"/><Relationship Id="rId83" Type="http://schemas.openxmlformats.org/officeDocument/2006/relationships/hyperlink" Target="https://bulbapedia.bulbagarden.net/wiki/Diancie_(Burning_Shadows_94)" TargetMode="External"/><Relationship Id="rId88" Type="http://schemas.openxmlformats.org/officeDocument/2006/relationships/hyperlink" Target="https://bulbapedia.bulbagarden.net/wiki/Zygarde_(Burning_Shadows_100)" TargetMode="External"/><Relationship Id="rId111" Type="http://schemas.openxmlformats.org/officeDocument/2006/relationships/hyperlink" Target="https://bulbapedia.bulbagarden.net/wiki/Olivia_(Burning_Shadows_119)" TargetMode="External"/><Relationship Id="rId132" Type="http://schemas.openxmlformats.org/officeDocument/2006/relationships/hyperlink" Target="https://bulbapedia.bulbagarden.net/wiki/Super_Scoop_Up_(Burning_Shadows_166)" TargetMode="External"/><Relationship Id="rId15" Type="http://schemas.openxmlformats.org/officeDocument/2006/relationships/hyperlink" Target="https://bulbapedia.bulbagarden.net/wiki/Araquanid_(Burning_Shadows_15)" TargetMode="External"/><Relationship Id="rId36" Type="http://schemas.openxmlformats.org/officeDocument/2006/relationships/hyperlink" Target="https://bulbapedia.bulbagarden.net/wiki/Raichu_(Burning_Shadows_41)" TargetMode="External"/><Relationship Id="rId57" Type="http://schemas.openxmlformats.org/officeDocument/2006/relationships/hyperlink" Target="https://bulbapedia.bulbagarden.net/wiki/Palossand_(Burning_Shadows_62)" TargetMode="External"/><Relationship Id="rId106" Type="http://schemas.openxmlformats.org/officeDocument/2006/relationships/hyperlink" Target="https://bulbapedia.bulbagarden.net/wiki/Guzma_(Burning_Shadows_115)" TargetMode="External"/><Relationship Id="rId127" Type="http://schemas.openxmlformats.org/officeDocument/2006/relationships/hyperlink" Target="https://bulbapedia.bulbagarden.net/wiki/Bodybuilding_Dumbbells_(Burning_Shadows_161)" TargetMode="External"/><Relationship Id="rId10" Type="http://schemas.openxmlformats.org/officeDocument/2006/relationships/hyperlink" Target="https://bulbapedia.bulbagarden.net/wiki/Ledian_(Burning_Shadows_10)" TargetMode="External"/><Relationship Id="rId31" Type="http://schemas.openxmlformats.org/officeDocument/2006/relationships/hyperlink" Target="https://bulbapedia.bulbagarden.net/wiki/Azumarill_(Burning_Shadows_35)" TargetMode="External"/><Relationship Id="rId52" Type="http://schemas.openxmlformats.org/officeDocument/2006/relationships/hyperlink" Target="https://bulbapedia.bulbagarden.net/wiki/Whirlipede_(Burning_Shadows_57)" TargetMode="External"/><Relationship Id="rId73" Type="http://schemas.openxmlformats.org/officeDocument/2006/relationships/hyperlink" Target="https://bulbapedia.bulbagarden.net/wiki/Alolan_Rattata_(Burning_Shadows_81)" TargetMode="External"/><Relationship Id="rId78" Type="http://schemas.openxmlformats.org/officeDocument/2006/relationships/hyperlink" Target="https://bulbapedia.bulbagarden.net/wiki/Inkay_(Burning_Shadows_89)" TargetMode="External"/><Relationship Id="rId94" Type="http://schemas.openxmlformats.org/officeDocument/2006/relationships/hyperlink" Target="https://bulbapedia.bulbagarden.net/wiki/Porygon-Z_(Burning_Shadows_105)" TargetMode="External"/><Relationship Id="rId99" Type="http://schemas.openxmlformats.org/officeDocument/2006/relationships/hyperlink" Target="https://bulbapedia.bulbagarden.net/wiki/Stufful_(Burning_Shadows_110)" TargetMode="External"/><Relationship Id="rId101" Type="http://schemas.openxmlformats.org/officeDocument/2006/relationships/hyperlink" Target="https://bulbapedia.bulbagarden.net/wiki/Acerola_(Burning_Shadows_112)" TargetMode="External"/><Relationship Id="rId122" Type="http://schemas.openxmlformats.org/officeDocument/2006/relationships/hyperlink" Target="https://bulbapedia.bulbagarden.net/wiki/Guzma_(Burning_Shadows_143)" TargetMode="External"/><Relationship Id="rId4" Type="http://schemas.openxmlformats.org/officeDocument/2006/relationships/hyperlink" Target="https://bulbapedia.bulbagarden.net/wiki/Oddish_(Burning_Shadows_4)" TargetMode="External"/><Relationship Id="rId9" Type="http://schemas.openxmlformats.org/officeDocument/2006/relationships/hyperlink" Target="https://bulbapedia.bulbagarden.net/wiki/Ledyba_(Burning_Shadows_9)" TargetMode="External"/><Relationship Id="rId26" Type="http://schemas.openxmlformats.org/officeDocument/2006/relationships/hyperlink" Target="https://bulbapedia.bulbagarden.net/wiki/Seadra_(Burning_Shadows_30)" TargetMode="External"/><Relationship Id="rId47" Type="http://schemas.openxmlformats.org/officeDocument/2006/relationships/hyperlink" Target="https://bulbapedia.bulbagarden.net/wiki/Dusclops_(Burning_Shadows_52)" TargetMode="External"/><Relationship Id="rId68" Type="http://schemas.openxmlformats.org/officeDocument/2006/relationships/hyperlink" Target="https://bulbapedia.bulbagarden.net/wiki/Lycanroc_(Burning_Shadows_75)" TargetMode="External"/><Relationship Id="rId89" Type="http://schemas.openxmlformats.org/officeDocument/2006/relationships/hyperlink" Target="https://bulbapedia.bulbagarden.net/wiki/Meowth_(Burning_Shadows_101)" TargetMode="External"/><Relationship Id="rId112" Type="http://schemas.openxmlformats.org/officeDocument/2006/relationships/hyperlink" Target="https://bulbapedia.bulbagarden.net/wiki/Plumeria_(Burning_Shadows_120)" TargetMode="External"/><Relationship Id="rId133" Type="http://schemas.openxmlformats.org/officeDocument/2006/relationships/hyperlink" Target="https://bulbapedia.bulbagarden.net/wiki/Fire_Energy_(Burning_Shadows_167)" TargetMode="External"/></Relationships>
</file>

<file path=xl/worksheets/_rels/sheet70.xml.rels><?xml version="1.0" encoding="UTF-8" standalone="yes"?>
<Relationships xmlns="http://schemas.openxmlformats.org/package/2006/relationships"><Relationship Id="rId26" Type="http://schemas.openxmlformats.org/officeDocument/2006/relationships/hyperlink" Target="https://bulbapedia.bulbagarden.net/wiki/Shining_Volcanion_(Shining_Legends_27)" TargetMode="External"/><Relationship Id="rId21" Type="http://schemas.openxmlformats.org/officeDocument/2006/relationships/hyperlink" Target="https://bulbapedia.bulbagarden.net/wiki/Buizel_(Shining_Legends_22)" TargetMode="External"/><Relationship Id="rId34" Type="http://schemas.openxmlformats.org/officeDocument/2006/relationships/hyperlink" Target="https://bulbapedia.bulbagarden.net/wiki/Ekans_(Shining_Legends_36)" TargetMode="External"/><Relationship Id="rId42" Type="http://schemas.openxmlformats.org/officeDocument/2006/relationships/hyperlink" Target="https://bulbapedia.bulbagarden.net/wiki/Marshadow_(Shining_Legends_45)" TargetMode="External"/><Relationship Id="rId47" Type="http://schemas.openxmlformats.org/officeDocument/2006/relationships/hyperlink" Target="https://bulbapedia.bulbagarden.net/wiki/Scraggy_(Shining_Legends_50)" TargetMode="External"/><Relationship Id="rId50" Type="http://schemas.openxmlformats.org/officeDocument/2006/relationships/hyperlink" Target="https://bulbapedia.bulbagarden.net/wiki/Yveltal_(Shining_Legends_54)" TargetMode="External"/><Relationship Id="rId55" Type="http://schemas.openxmlformats.org/officeDocument/2006/relationships/hyperlink" Target="https://bulbapedia.bulbagarden.net/wiki/Energy_Retrieval_(Shining_Legends_59)" TargetMode="External"/><Relationship Id="rId63" Type="http://schemas.openxmlformats.org/officeDocument/2006/relationships/hyperlink" Target="https://bulbapedia.bulbagarden.net/wiki/Switch_(Shining_Legends_67)" TargetMode="External"/><Relationship Id="rId68" Type="http://schemas.openxmlformats.org/officeDocument/2006/relationships/hyperlink" Target="https://bulbapedia.bulbagarden.net/wiki/Pok%C3%A9mon_Breeder_(Shining_Legends_73)" TargetMode="External"/><Relationship Id="rId7" Type="http://schemas.openxmlformats.org/officeDocument/2006/relationships/hyperlink" Target="https://bulbapedia.bulbagarden.net/wiki/Shaymin_(Shining_Legends_7)" TargetMode="External"/><Relationship Id="rId2" Type="http://schemas.openxmlformats.org/officeDocument/2006/relationships/hyperlink" Target="https://bulbapedia.bulbagarden.net/wiki/Ivysaur_(Shining_Legends_2)" TargetMode="External"/><Relationship Id="rId16" Type="http://schemas.openxmlformats.org/officeDocument/2006/relationships/hyperlink" Target="https://bulbapedia.bulbagarden.net/wiki/Incineroar_(Shining_Legends_17)" TargetMode="External"/><Relationship Id="rId29" Type="http://schemas.openxmlformats.org/officeDocument/2006/relationships/hyperlink" Target="https://bulbapedia.bulbagarden.net/wiki/Electrode_(Shining_Legends_31)" TargetMode="External"/><Relationship Id="rId11" Type="http://schemas.openxmlformats.org/officeDocument/2006/relationships/hyperlink" Target="https://bulbapedia.bulbagarden.net/wiki/Larvesta_(Shining_Legends_12)" TargetMode="External"/><Relationship Id="rId24" Type="http://schemas.openxmlformats.org/officeDocument/2006/relationships/hyperlink" Target="https://bulbapedia.bulbagarden.net/wiki/Manaphy_(Shining_Legends_25)" TargetMode="External"/><Relationship Id="rId32" Type="http://schemas.openxmlformats.org/officeDocument/2006/relationships/hyperlink" Target="https://bulbapedia.bulbagarden.net/wiki/Minun_(Shining_Legends_34)" TargetMode="External"/><Relationship Id="rId37" Type="http://schemas.openxmlformats.org/officeDocument/2006/relationships/hyperlink" Target="https://bulbapedia.bulbagarden.net/wiki/Shining_Mew_(Shining_Legends_40)" TargetMode="External"/><Relationship Id="rId40" Type="http://schemas.openxmlformats.org/officeDocument/2006/relationships/hyperlink" Target="https://bulbapedia.bulbagarden.net/wiki/Golett_(Shining_Legends_43)" TargetMode="External"/><Relationship Id="rId45" Type="http://schemas.openxmlformats.org/officeDocument/2006/relationships/hyperlink" Target="https://bulbapedia.bulbagarden.net/wiki/Purrloin_(Shining_Legends_48)" TargetMode="External"/><Relationship Id="rId53" Type="http://schemas.openxmlformats.org/officeDocument/2006/relationships/hyperlink" Target="https://bulbapedia.bulbagarden.net/wiki/Shining_Arceus_(Shining_Legends_57)" TargetMode="External"/><Relationship Id="rId58" Type="http://schemas.openxmlformats.org/officeDocument/2006/relationships/hyperlink" Target="https://bulbapedia.bulbagarden.net/wiki/Lillie_(Shining_Legends_62)" TargetMode="External"/><Relationship Id="rId66" Type="http://schemas.openxmlformats.org/officeDocument/2006/relationships/hyperlink" Target="https://bulbapedia.bulbagarden.net/wiki/Double_Colorless_Energy_(Shining_Legends_69)" TargetMode="External"/><Relationship Id="rId5" Type="http://schemas.openxmlformats.org/officeDocument/2006/relationships/hyperlink" Target="https://bulbapedia.bulbagarden.net/wiki/Breloom_(Shining_Legends_5)" TargetMode="External"/><Relationship Id="rId61" Type="http://schemas.openxmlformats.org/officeDocument/2006/relationships/hyperlink" Target="https://bulbapedia.bulbagarden.net/wiki/Sophocles_(Shining_Legends_65)" TargetMode="External"/><Relationship Id="rId19" Type="http://schemas.openxmlformats.org/officeDocument/2006/relationships/hyperlink" Target="https://bulbapedia.bulbagarden.net/wiki/Feraligatr_(Shining_Legends_20)" TargetMode="External"/><Relationship Id="rId14" Type="http://schemas.openxmlformats.org/officeDocument/2006/relationships/hyperlink" Target="https://bulbapedia.bulbagarden.net/wiki/Litten_(Shining_Legends_15)" TargetMode="External"/><Relationship Id="rId22" Type="http://schemas.openxmlformats.org/officeDocument/2006/relationships/hyperlink" Target="https://bulbapedia.bulbagarden.net/wiki/Floatzel_(Shining_Legends_23)" TargetMode="External"/><Relationship Id="rId27" Type="http://schemas.openxmlformats.org/officeDocument/2006/relationships/hyperlink" Target="https://bulbapedia.bulbagarden.net/wiki/Pikachu_(Shining_Legends_28)" TargetMode="External"/><Relationship Id="rId30" Type="http://schemas.openxmlformats.org/officeDocument/2006/relationships/hyperlink" Target="https://bulbapedia.bulbagarden.net/wiki/Raikou_(Shining_Legends_32)" TargetMode="External"/><Relationship Id="rId35" Type="http://schemas.openxmlformats.org/officeDocument/2006/relationships/hyperlink" Target="https://bulbapedia.bulbagarden.net/wiki/Arbok_(Shining_Legends_37)" TargetMode="External"/><Relationship Id="rId43" Type="http://schemas.openxmlformats.org/officeDocument/2006/relationships/hyperlink" Target="https://bulbapedia.bulbagarden.net/wiki/Stunfisk_(Shining_Legends_46)" TargetMode="External"/><Relationship Id="rId48" Type="http://schemas.openxmlformats.org/officeDocument/2006/relationships/hyperlink" Target="https://bulbapedia.bulbagarden.net/wiki/Scrafty_(Shining_Legends_51)" TargetMode="External"/><Relationship Id="rId56" Type="http://schemas.openxmlformats.org/officeDocument/2006/relationships/hyperlink" Target="https://bulbapedia.bulbagarden.net/wiki/Great_Ball_(Shining_Legends_60)" TargetMode="External"/><Relationship Id="rId64" Type="http://schemas.openxmlformats.org/officeDocument/2006/relationships/hyperlink" Target="https://bulbapedia.bulbagarden.net/wiki/Ultra_Ball_(Shining_Legends_68)" TargetMode="External"/><Relationship Id="rId8" Type="http://schemas.openxmlformats.org/officeDocument/2006/relationships/hyperlink" Target="https://bulbapedia.bulbagarden.net/wiki/Virizion_(Shining_Legends_8)" TargetMode="External"/><Relationship Id="rId51" Type="http://schemas.openxmlformats.org/officeDocument/2006/relationships/hyperlink" Target="https://bulbapedia.bulbagarden.net/wiki/Hoopa_(Shining_Legends_55)" TargetMode="External"/><Relationship Id="rId3" Type="http://schemas.openxmlformats.org/officeDocument/2006/relationships/hyperlink" Target="https://bulbapedia.bulbagarden.net/wiki/Venusaur_(Shining_Legends_3)" TargetMode="External"/><Relationship Id="rId12" Type="http://schemas.openxmlformats.org/officeDocument/2006/relationships/hyperlink" Target="https://bulbapedia.bulbagarden.net/wiki/Volcarona_(Shining_Legends_13)" TargetMode="External"/><Relationship Id="rId17" Type="http://schemas.openxmlformats.org/officeDocument/2006/relationships/hyperlink" Target="https://bulbapedia.bulbagarden.net/wiki/Totodile_(Shining_Legends_18)" TargetMode="External"/><Relationship Id="rId25" Type="http://schemas.openxmlformats.org/officeDocument/2006/relationships/hyperlink" Target="https://bulbapedia.bulbagarden.net/wiki/Keldeo_(Shining_Legends_26)" TargetMode="External"/><Relationship Id="rId33" Type="http://schemas.openxmlformats.org/officeDocument/2006/relationships/hyperlink" Target="https://bulbapedia.bulbagarden.net/wiki/Zekrom_(Shining_Legends_35)" TargetMode="External"/><Relationship Id="rId38" Type="http://schemas.openxmlformats.org/officeDocument/2006/relationships/hyperlink" Target="https://bulbapedia.bulbagarden.net/wiki/Latios_(Shining_Legends_41)" TargetMode="External"/><Relationship Id="rId46" Type="http://schemas.openxmlformats.org/officeDocument/2006/relationships/hyperlink" Target="https://bulbapedia.bulbagarden.net/wiki/Liepard_(Shining_Legends_49)" TargetMode="External"/><Relationship Id="rId59" Type="http://schemas.openxmlformats.org/officeDocument/2006/relationships/hyperlink" Target="https://bulbapedia.bulbagarden.net/wiki/Pok%C3%A9mon_Breeder_(Shining_Legends_63)" TargetMode="External"/><Relationship Id="rId67" Type="http://schemas.openxmlformats.org/officeDocument/2006/relationships/hyperlink" Target="https://bulbapedia.bulbagarden.net/wiki/Warp_Energy_(Shining_Legends_70)" TargetMode="External"/><Relationship Id="rId20" Type="http://schemas.openxmlformats.org/officeDocument/2006/relationships/hyperlink" Target="https://bulbapedia.bulbagarden.net/wiki/Qwilfish_(Shining_Legends_21)" TargetMode="External"/><Relationship Id="rId41" Type="http://schemas.openxmlformats.org/officeDocument/2006/relationships/hyperlink" Target="https://bulbapedia.bulbagarden.net/wiki/Golurk_(Shining_Legends_44)" TargetMode="External"/><Relationship Id="rId54" Type="http://schemas.openxmlformats.org/officeDocument/2006/relationships/hyperlink" Target="https://bulbapedia.bulbagarden.net/wiki/Damage_Mover_(Shining_Legends_58)" TargetMode="External"/><Relationship Id="rId62" Type="http://schemas.openxmlformats.org/officeDocument/2006/relationships/hyperlink" Target="https://bulbapedia.bulbagarden.net/wiki/Super_Scoop_Up_(Shining_Legends_66)" TargetMode="External"/><Relationship Id="rId1" Type="http://schemas.openxmlformats.org/officeDocument/2006/relationships/hyperlink" Target="https://bulbapedia.bulbagarden.net/wiki/Bulbasaur_(Shining_Legends_1)" TargetMode="External"/><Relationship Id="rId6" Type="http://schemas.openxmlformats.org/officeDocument/2006/relationships/hyperlink" Target="https://bulbapedia.bulbagarden.net/wiki/Carnivine_(Shining_Legends_6)" TargetMode="External"/><Relationship Id="rId15" Type="http://schemas.openxmlformats.org/officeDocument/2006/relationships/hyperlink" Target="https://bulbapedia.bulbagarden.net/wiki/Torracat_(Shining_Legends_16)" TargetMode="External"/><Relationship Id="rId23" Type="http://schemas.openxmlformats.org/officeDocument/2006/relationships/hyperlink" Target="https://bulbapedia.bulbagarden.net/wiki/Palkia_(Shining_Legends_24)" TargetMode="External"/><Relationship Id="rId28" Type="http://schemas.openxmlformats.org/officeDocument/2006/relationships/hyperlink" Target="https://bulbapedia.bulbagarden.net/wiki/Voltorb_(Shining_Legends_30)" TargetMode="External"/><Relationship Id="rId36" Type="http://schemas.openxmlformats.org/officeDocument/2006/relationships/hyperlink" Target="https://bulbapedia.bulbagarden.net/wiki/Jynx_(Shining_Legends_38)" TargetMode="External"/><Relationship Id="rId49" Type="http://schemas.openxmlformats.org/officeDocument/2006/relationships/hyperlink" Target="https://bulbapedia.bulbagarden.net/wiki/Zorua_(Shining_Legends_52)" TargetMode="External"/><Relationship Id="rId57" Type="http://schemas.openxmlformats.org/officeDocument/2006/relationships/hyperlink" Target="https://bulbapedia.bulbagarden.net/wiki/Hau_(Shining_Legends_61)" TargetMode="External"/><Relationship Id="rId10" Type="http://schemas.openxmlformats.org/officeDocument/2006/relationships/hyperlink" Target="https://bulbapedia.bulbagarden.net/wiki/Torkoal_(Shining_Legends_11)" TargetMode="External"/><Relationship Id="rId31" Type="http://schemas.openxmlformats.org/officeDocument/2006/relationships/hyperlink" Target="https://bulbapedia.bulbagarden.net/wiki/Plusle_(Shining_Legends_33)" TargetMode="External"/><Relationship Id="rId44" Type="http://schemas.openxmlformats.org/officeDocument/2006/relationships/hyperlink" Target="https://bulbapedia.bulbagarden.net/wiki/Spiritomb_(Shining_Legends_47)" TargetMode="External"/><Relationship Id="rId52" Type="http://schemas.openxmlformats.org/officeDocument/2006/relationships/hyperlink" Target="https://bulbapedia.bulbagarden.net/wiki/Shining_Rayquaza_(Shining_Legends_56)" TargetMode="External"/><Relationship Id="rId60" Type="http://schemas.openxmlformats.org/officeDocument/2006/relationships/hyperlink" Target="https://bulbapedia.bulbagarden.net/wiki/Pok%C3%A9mon_Catcher_(Shining_Legends_64)" TargetMode="External"/><Relationship Id="rId65" Type="http://schemas.openxmlformats.org/officeDocument/2006/relationships/hyperlink" Target="https://bulbapedia.bulbagarden.net/wiki/Ultra_Ball_(Shining_Legends_68)" TargetMode="External"/><Relationship Id="rId4" Type="http://schemas.openxmlformats.org/officeDocument/2006/relationships/hyperlink" Target="https://bulbapedia.bulbagarden.net/wiki/Shroomish_(Shining_Legends_4)" TargetMode="External"/><Relationship Id="rId9" Type="http://schemas.openxmlformats.org/officeDocument/2006/relationships/hyperlink" Target="https://bulbapedia.bulbagarden.net/wiki/Shining_Genesect_(Shining_Legends_9)" TargetMode="External"/><Relationship Id="rId13" Type="http://schemas.openxmlformats.org/officeDocument/2006/relationships/hyperlink" Target="https://bulbapedia.bulbagarden.net/wiki/Reshiram_(Shining_Legends_14)" TargetMode="External"/><Relationship Id="rId18" Type="http://schemas.openxmlformats.org/officeDocument/2006/relationships/hyperlink" Target="https://bulbapedia.bulbagarden.net/wiki/Croconaw_(Shining_Legends_19)" TargetMode="External"/><Relationship Id="rId39" Type="http://schemas.openxmlformats.org/officeDocument/2006/relationships/hyperlink" Target="https://bulbapedia.bulbagarden.net/wiki/Shining_Jirachi_(Shining_Legends_42)" TargetMode="External"/></Relationships>
</file>

<file path=xl/worksheets/_rels/sheet71.xml.rels><?xml version="1.0" encoding="UTF-8" standalone="yes"?>
<Relationships xmlns="http://schemas.openxmlformats.org/package/2006/relationships"><Relationship Id="rId26" Type="http://schemas.openxmlformats.org/officeDocument/2006/relationships/hyperlink" Target="https://bulbapedia.bulbagarden.net/wiki/Milotic_(Crimson_Invasion_27)" TargetMode="External"/><Relationship Id="rId21" Type="http://schemas.openxmlformats.org/officeDocument/2006/relationships/hyperlink" Target="https://bulbapedia.bulbagarden.net/wiki/Remoraid_(Crimson_Invasion_22)" TargetMode="External"/><Relationship Id="rId42" Type="http://schemas.openxmlformats.org/officeDocument/2006/relationships/hyperlink" Target="https://bulbapedia.bulbagarden.net/wiki/Pumpkaboo_(Crimson_Invasion_44)" TargetMode="External"/><Relationship Id="rId47" Type="http://schemas.openxmlformats.org/officeDocument/2006/relationships/hyperlink" Target="https://bulbapedia.bulbagarden.net/wiki/Mankey_(Crimson_Invasion_50)" TargetMode="External"/><Relationship Id="rId63" Type="http://schemas.openxmlformats.org/officeDocument/2006/relationships/hyperlink" Target="https://bulbapedia.bulbagarden.net/wiki/Registeel_(Crimson_Invasion_68)" TargetMode="External"/><Relationship Id="rId68" Type="http://schemas.openxmlformats.org/officeDocument/2006/relationships/hyperlink" Target="https://bulbapedia.bulbagarden.net/wiki/Jangmo-o_(Crimson_Invasion_75)" TargetMode="External"/><Relationship Id="rId84" Type="http://schemas.openxmlformats.org/officeDocument/2006/relationships/hyperlink" Target="https://bulbapedia.bulbagarden.net/wiki/Counter_Catcher_(Crimson_Invasion_91)" TargetMode="External"/><Relationship Id="rId89" Type="http://schemas.openxmlformats.org/officeDocument/2006/relationships/hyperlink" Target="https://bulbapedia.bulbagarden.net/wiki/Lusamine_(Crimson_Invasion_96)" TargetMode="External"/><Relationship Id="rId16" Type="http://schemas.openxmlformats.org/officeDocument/2006/relationships/hyperlink" Target="https://bulbapedia.bulbagarden.net/wiki/Starmie_(Crimson_Invasion_16)" TargetMode="External"/><Relationship Id="rId11" Type="http://schemas.openxmlformats.org/officeDocument/2006/relationships/hyperlink" Target="https://bulbapedia.bulbagarden.net/wiki/Gogoat_(Crimson_Invasion_11)" TargetMode="External"/><Relationship Id="rId32" Type="http://schemas.openxmlformats.org/officeDocument/2006/relationships/hyperlink" Target="https://bulbapedia.bulbagarden.net/wiki/Alolan_Graveler_(Crimson_Invasion_33)" TargetMode="External"/><Relationship Id="rId37" Type="http://schemas.openxmlformats.org/officeDocument/2006/relationships/hyperlink" Target="https://bulbapedia.bulbagarden.net/wiki/Misdreavus_(Crimson_Invasion_39)" TargetMode="External"/><Relationship Id="rId53" Type="http://schemas.openxmlformats.org/officeDocument/2006/relationships/hyperlink" Target="https://bulbapedia.bulbagarden.net/wiki/Bewear_(Crimson_Invasion_56)" TargetMode="External"/><Relationship Id="rId58" Type="http://schemas.openxmlformats.org/officeDocument/2006/relationships/hyperlink" Target="https://bulbapedia.bulbagarden.net/wiki/Hydreigon_(Crimson_Invasion_62)" TargetMode="External"/><Relationship Id="rId74" Type="http://schemas.openxmlformats.org/officeDocument/2006/relationships/hyperlink" Target="https://bulbapedia.bulbagarden.net/wiki/Starly_(Crimson_Invasion_81)" TargetMode="External"/><Relationship Id="rId79" Type="http://schemas.openxmlformats.org/officeDocument/2006/relationships/hyperlink" Target="https://bulbapedia.bulbagarden.net/wiki/Minccino_(Crimson_Invasion_85)" TargetMode="External"/><Relationship Id="rId5" Type="http://schemas.openxmlformats.org/officeDocument/2006/relationships/hyperlink" Target="https://bulbapedia.bulbagarden.net/wiki/Cacnea_(Crimson_Invasion_5)" TargetMode="External"/><Relationship Id="rId90" Type="http://schemas.openxmlformats.org/officeDocument/2006/relationships/hyperlink" Target="https://bulbapedia.bulbagarden.net/wiki/Peeking_Red_Card_(Crimson_Invasion_97)" TargetMode="External"/><Relationship Id="rId95" Type="http://schemas.openxmlformats.org/officeDocument/2006/relationships/hyperlink" Target="https://bulbapedia.bulbagarden.net/wiki/Lusamine_(Crimson_Invasion_110)" TargetMode="External"/><Relationship Id="rId22" Type="http://schemas.openxmlformats.org/officeDocument/2006/relationships/hyperlink" Target="https://bulbapedia.bulbagarden.net/wiki/Octillery_(Crimson_Invasion_23)" TargetMode="External"/><Relationship Id="rId27" Type="http://schemas.openxmlformats.org/officeDocument/2006/relationships/hyperlink" Target="https://bulbapedia.bulbagarden.net/wiki/Regice_(Crimson_Invasion_28)" TargetMode="External"/><Relationship Id="rId43" Type="http://schemas.openxmlformats.org/officeDocument/2006/relationships/hyperlink" Target="https://bulbapedia.bulbagarden.net/wiki/Gourgeist_(Crimson_Invasion_45)" TargetMode="External"/><Relationship Id="rId48" Type="http://schemas.openxmlformats.org/officeDocument/2006/relationships/hyperlink" Target="https://bulbapedia.bulbagarden.net/wiki/Primeape_(Crimson_Invasion_51)" TargetMode="External"/><Relationship Id="rId64" Type="http://schemas.openxmlformats.org/officeDocument/2006/relationships/hyperlink" Target="https://bulbapedia.bulbagarden.net/wiki/Escavalier_(Crimson_Invasion_69)" TargetMode="External"/><Relationship Id="rId69" Type="http://schemas.openxmlformats.org/officeDocument/2006/relationships/hyperlink" Target="https://bulbapedia.bulbagarden.net/wiki/Hakamo-o_(Crimson_Invasion_76)" TargetMode="External"/><Relationship Id="rId80" Type="http://schemas.openxmlformats.org/officeDocument/2006/relationships/hyperlink" Target="https://bulbapedia.bulbagarden.net/wiki/Cinccino_(Crimson_Invasion_86)" TargetMode="External"/><Relationship Id="rId85" Type="http://schemas.openxmlformats.org/officeDocument/2006/relationships/hyperlink" Target="https://bulbapedia.bulbagarden.net/wiki/Dashing_Pouch_(Crimson_Invasion_92)" TargetMode="External"/><Relationship Id="rId12" Type="http://schemas.openxmlformats.org/officeDocument/2006/relationships/hyperlink" Target="https://bulbapedia.bulbagarden.net/wiki/Alolan_Marowak_(Crimson_Invasion_12)" TargetMode="External"/><Relationship Id="rId17" Type="http://schemas.openxmlformats.org/officeDocument/2006/relationships/hyperlink" Target="https://bulbapedia.bulbagarden.net/wiki/Magikarp_(Crimson_Invasion_17)" TargetMode="External"/><Relationship Id="rId25" Type="http://schemas.openxmlformats.org/officeDocument/2006/relationships/hyperlink" Target="https://bulbapedia.bulbagarden.net/wiki/Feebas_(Crimson_Invasion_26)" TargetMode="External"/><Relationship Id="rId33" Type="http://schemas.openxmlformats.org/officeDocument/2006/relationships/hyperlink" Target="https://bulbapedia.bulbagarden.net/wiki/Emolga_(Crimson_Invasion_35)" TargetMode="External"/><Relationship Id="rId38" Type="http://schemas.openxmlformats.org/officeDocument/2006/relationships/hyperlink" Target="https://bulbapedia.bulbagarden.net/wiki/Mismagius_(Crimson_Invasion_40)" TargetMode="External"/><Relationship Id="rId46" Type="http://schemas.openxmlformats.org/officeDocument/2006/relationships/hyperlink" Target="https://bulbapedia.bulbagarden.net/wiki/Oranguru_(Crimson_Invasion_48)" TargetMode="External"/><Relationship Id="rId59" Type="http://schemas.openxmlformats.org/officeDocument/2006/relationships/hyperlink" Target="https://bulbapedia.bulbagarden.net/wiki/Mawile_(Crimson_Invasion_64)" TargetMode="External"/><Relationship Id="rId67" Type="http://schemas.openxmlformats.org/officeDocument/2006/relationships/hyperlink" Target="https://bulbapedia.bulbagarden.net/wiki/Xerneas_(Crimson_Invasion_73)" TargetMode="External"/><Relationship Id="rId20" Type="http://schemas.openxmlformats.org/officeDocument/2006/relationships/hyperlink" Target="https://bulbapedia.bulbagarden.net/wiki/Mamoswine_(Crimson_Invasion_21)" TargetMode="External"/><Relationship Id="rId41" Type="http://schemas.openxmlformats.org/officeDocument/2006/relationships/hyperlink" Target="https://bulbapedia.bulbagarden.net/wiki/Chimecho_(Crimson_Invasion_43)" TargetMode="External"/><Relationship Id="rId54" Type="http://schemas.openxmlformats.org/officeDocument/2006/relationships/hyperlink" Target="https://bulbapedia.bulbagarden.net/wiki/Houndour_(Crimson_Invasion_58)" TargetMode="External"/><Relationship Id="rId62" Type="http://schemas.openxmlformats.org/officeDocument/2006/relationships/hyperlink" Target="https://bulbapedia.bulbagarden.net/wiki/Aggron_(Crimson_Invasion_67)" TargetMode="External"/><Relationship Id="rId70" Type="http://schemas.openxmlformats.org/officeDocument/2006/relationships/hyperlink" Target="https://bulbapedia.bulbagarden.net/wiki/Kommo-o_(Crimson_Invasion_77)" TargetMode="External"/><Relationship Id="rId75" Type="http://schemas.openxmlformats.org/officeDocument/2006/relationships/hyperlink" Target="https://bulbapedia.bulbagarden.net/wiki/Staravia_(Crimson_Invasion_82)" TargetMode="External"/><Relationship Id="rId83" Type="http://schemas.openxmlformats.org/officeDocument/2006/relationships/hyperlink" Target="https://bulbapedia.bulbagarden.net/wiki/Type:_Null_(Crimson_Invasion_89)" TargetMode="External"/><Relationship Id="rId88" Type="http://schemas.openxmlformats.org/officeDocument/2006/relationships/hyperlink" Target="https://bulbapedia.bulbagarden.net/wiki/Gladion_(Crimson_Invasion_95)" TargetMode="External"/><Relationship Id="rId91" Type="http://schemas.openxmlformats.org/officeDocument/2006/relationships/hyperlink" Target="https://bulbapedia.bulbagarden.net/wiki/Psychic_Memory_(Crimson_Invasion_98)" TargetMode="External"/><Relationship Id="rId96" Type="http://schemas.openxmlformats.org/officeDocument/2006/relationships/hyperlink" Target="https://bulbapedia.bulbagarden.net/wiki/Olivia_(Crimson_Invasion_111)" TargetMode="External"/><Relationship Id="rId1" Type="http://schemas.openxmlformats.org/officeDocument/2006/relationships/hyperlink" Target="https://bulbapedia.bulbagarden.net/wiki/Weedle_(Crimson_Invasion_1)" TargetMode="External"/><Relationship Id="rId6" Type="http://schemas.openxmlformats.org/officeDocument/2006/relationships/hyperlink" Target="https://bulbapedia.bulbagarden.net/wiki/Cacturne_(Crimson_Invasion_6)" TargetMode="External"/><Relationship Id="rId15" Type="http://schemas.openxmlformats.org/officeDocument/2006/relationships/hyperlink" Target="https://bulbapedia.bulbagarden.net/wiki/Staryu_(Crimson_Invasion_15)" TargetMode="External"/><Relationship Id="rId23" Type="http://schemas.openxmlformats.org/officeDocument/2006/relationships/hyperlink" Target="https://bulbapedia.bulbagarden.net/wiki/Corphish_(Crimson_Invasion_24)" TargetMode="External"/><Relationship Id="rId28" Type="http://schemas.openxmlformats.org/officeDocument/2006/relationships/hyperlink" Target="https://bulbapedia.bulbagarden.net/wiki/Shellos_(Crimson_Invasion_29)" TargetMode="External"/><Relationship Id="rId36" Type="http://schemas.openxmlformats.org/officeDocument/2006/relationships/hyperlink" Target="https://bulbapedia.bulbagarden.net/wiki/Gengar_(Crimson_Invasion_38)" TargetMode="External"/><Relationship Id="rId49" Type="http://schemas.openxmlformats.org/officeDocument/2006/relationships/hyperlink" Target="https://bulbapedia.bulbagarden.net/wiki/Cubone_(Crimson_Invasion_52)" TargetMode="External"/><Relationship Id="rId57" Type="http://schemas.openxmlformats.org/officeDocument/2006/relationships/hyperlink" Target="https://bulbapedia.bulbagarden.net/wiki/Zweilous_(Crimson_Invasion_61)" TargetMode="External"/><Relationship Id="rId10" Type="http://schemas.openxmlformats.org/officeDocument/2006/relationships/hyperlink" Target="https://bulbapedia.bulbagarden.net/wiki/Skiddo_(Crimson_Invasion_10)" TargetMode="External"/><Relationship Id="rId31" Type="http://schemas.openxmlformats.org/officeDocument/2006/relationships/hyperlink" Target="https://bulbapedia.bulbagarden.net/wiki/Alolan_Geodude_(Crimson_Invasion_32)" TargetMode="External"/><Relationship Id="rId44" Type="http://schemas.openxmlformats.org/officeDocument/2006/relationships/hyperlink" Target="https://bulbapedia.bulbagarden.net/wiki/Salandit_(Crimson_Invasion_46)" TargetMode="External"/><Relationship Id="rId52" Type="http://schemas.openxmlformats.org/officeDocument/2006/relationships/hyperlink" Target="https://bulbapedia.bulbagarden.net/wiki/Stufful_(Crimson_Invasion_55)" TargetMode="External"/><Relationship Id="rId60" Type="http://schemas.openxmlformats.org/officeDocument/2006/relationships/hyperlink" Target="https://bulbapedia.bulbagarden.net/wiki/Aron_(Crimson_Invasion_65)" TargetMode="External"/><Relationship Id="rId65" Type="http://schemas.openxmlformats.org/officeDocument/2006/relationships/hyperlink" Target="https://bulbapedia.bulbagarden.net/wiki/Jigglypuff_(Crimson_Invasion_71)" TargetMode="External"/><Relationship Id="rId73" Type="http://schemas.openxmlformats.org/officeDocument/2006/relationships/hyperlink" Target="https://bulbapedia.bulbagarden.net/wiki/Altaria_(Crimson_Invasion_80)" TargetMode="External"/><Relationship Id="rId78" Type="http://schemas.openxmlformats.org/officeDocument/2006/relationships/hyperlink" Target="https://bulbapedia.bulbagarden.net/wiki/Regigigas_(Crimson_Invasion_84)" TargetMode="External"/><Relationship Id="rId81" Type="http://schemas.openxmlformats.org/officeDocument/2006/relationships/hyperlink" Target="https://bulbapedia.bulbagarden.net/wiki/Bunnelby_(Crimson_Invasion_87)" TargetMode="External"/><Relationship Id="rId86" Type="http://schemas.openxmlformats.org/officeDocument/2006/relationships/hyperlink" Target="https://bulbapedia.bulbagarden.net/wiki/Devoured_Field_(Crimson_Invasion_93)" TargetMode="External"/><Relationship Id="rId94" Type="http://schemas.openxmlformats.org/officeDocument/2006/relationships/hyperlink" Target="https://bulbapedia.bulbagarden.net/wiki/Gladion_(Crimson_Invasion_109)" TargetMode="External"/><Relationship Id="rId99" Type="http://schemas.openxmlformats.org/officeDocument/2006/relationships/hyperlink" Target="https://bulbapedia.bulbagarden.net/wiki/Counter_Energy_(Crimson_Invasion_122)" TargetMode="External"/><Relationship Id="rId101" Type="http://schemas.openxmlformats.org/officeDocument/2006/relationships/hyperlink" Target="https://bulbapedia.bulbagarden.net/wiki/Water_Energy_(Crimson_Invasion_124)" TargetMode="External"/><Relationship Id="rId4" Type="http://schemas.openxmlformats.org/officeDocument/2006/relationships/hyperlink" Target="https://bulbapedia.bulbagarden.net/wiki/Exeggcute_(Crimson_Invasion_4)" TargetMode="External"/><Relationship Id="rId9" Type="http://schemas.openxmlformats.org/officeDocument/2006/relationships/hyperlink" Target="https://bulbapedia.bulbagarden.net/wiki/Accelgor_(Crimson_Invasion_9)" TargetMode="External"/><Relationship Id="rId13" Type="http://schemas.openxmlformats.org/officeDocument/2006/relationships/hyperlink" Target="https://bulbapedia.bulbagarden.net/wiki/Numel_(Crimson_Invasion_13)" TargetMode="External"/><Relationship Id="rId18" Type="http://schemas.openxmlformats.org/officeDocument/2006/relationships/hyperlink" Target="https://bulbapedia.bulbagarden.net/wiki/Swinub_(Crimson_Invasion_19)" TargetMode="External"/><Relationship Id="rId39" Type="http://schemas.openxmlformats.org/officeDocument/2006/relationships/hyperlink" Target="https://bulbapedia.bulbagarden.net/wiki/Spoink_(Crimson_Invasion_41)" TargetMode="External"/><Relationship Id="rId34" Type="http://schemas.openxmlformats.org/officeDocument/2006/relationships/hyperlink" Target="https://bulbapedia.bulbagarden.net/wiki/Gastly_(Crimson_Invasion_36)" TargetMode="External"/><Relationship Id="rId50" Type="http://schemas.openxmlformats.org/officeDocument/2006/relationships/hyperlink" Target="https://bulbapedia.bulbagarden.net/wiki/Regirock_(Crimson_Invasion_53)" TargetMode="External"/><Relationship Id="rId55" Type="http://schemas.openxmlformats.org/officeDocument/2006/relationships/hyperlink" Target="https://bulbapedia.bulbagarden.net/wiki/Houndoom_(Crimson_Invasion_59)" TargetMode="External"/><Relationship Id="rId76" Type="http://schemas.openxmlformats.org/officeDocument/2006/relationships/hyperlink" Target="https://bulbapedia.bulbagarden.net/wiki/Staraptor_(Crimson_Invasion_83)" TargetMode="External"/><Relationship Id="rId97" Type="http://schemas.openxmlformats.org/officeDocument/2006/relationships/hyperlink" Target="https://bulbapedia.bulbagarden.net/wiki/Counter_Catcher_(Crimson_Invasion_120)" TargetMode="External"/><Relationship Id="rId7" Type="http://schemas.openxmlformats.org/officeDocument/2006/relationships/hyperlink" Target="https://bulbapedia.bulbagarden.net/wiki/Karrablast_(Crimson_Invasion_7)" TargetMode="External"/><Relationship Id="rId71" Type="http://schemas.openxmlformats.org/officeDocument/2006/relationships/hyperlink" Target="https://bulbapedia.bulbagarden.net/wiki/Miltank_(Crimson_Invasion_78)" TargetMode="External"/><Relationship Id="rId92" Type="http://schemas.openxmlformats.org/officeDocument/2006/relationships/hyperlink" Target="https://bulbapedia.bulbagarden.net/wiki/Sea_of_Nothingness_(Crimson_Invasion_99)" TargetMode="External"/><Relationship Id="rId2" Type="http://schemas.openxmlformats.org/officeDocument/2006/relationships/hyperlink" Target="https://bulbapedia.bulbagarden.net/wiki/Kakuna_(Crimson_Invasion_2)" TargetMode="External"/><Relationship Id="rId29" Type="http://schemas.openxmlformats.org/officeDocument/2006/relationships/hyperlink" Target="https://bulbapedia.bulbagarden.net/wiki/Pikachu_(Crimson_Invasion_30)" TargetMode="External"/><Relationship Id="rId24" Type="http://schemas.openxmlformats.org/officeDocument/2006/relationships/hyperlink" Target="https://bulbapedia.bulbagarden.net/wiki/Crawdaunt_(Crimson_Invasion_25)" TargetMode="External"/><Relationship Id="rId40" Type="http://schemas.openxmlformats.org/officeDocument/2006/relationships/hyperlink" Target="https://bulbapedia.bulbagarden.net/wiki/Grumpig_(Crimson_Invasion_42)" TargetMode="External"/><Relationship Id="rId45" Type="http://schemas.openxmlformats.org/officeDocument/2006/relationships/hyperlink" Target="https://bulbapedia.bulbagarden.net/wiki/Salazzle_(Crimson_Invasion_47)" TargetMode="External"/><Relationship Id="rId66" Type="http://schemas.openxmlformats.org/officeDocument/2006/relationships/hyperlink" Target="https://bulbapedia.bulbagarden.net/wiki/Wigglytuff_(Crimson_Invasion_72)" TargetMode="External"/><Relationship Id="rId87" Type="http://schemas.openxmlformats.org/officeDocument/2006/relationships/hyperlink" Target="https://bulbapedia.bulbagarden.net/wiki/Fighting_Memory_(Crimson_Invasion_94)" TargetMode="External"/><Relationship Id="rId61" Type="http://schemas.openxmlformats.org/officeDocument/2006/relationships/hyperlink" Target="https://bulbapedia.bulbagarden.net/wiki/Lairon_(Crimson_Invasion_66)" TargetMode="External"/><Relationship Id="rId82" Type="http://schemas.openxmlformats.org/officeDocument/2006/relationships/hyperlink" Target="https://bulbapedia.bulbagarden.net/wiki/Diggersby_(Crimson_Invasion_88)" TargetMode="External"/><Relationship Id="rId19" Type="http://schemas.openxmlformats.org/officeDocument/2006/relationships/hyperlink" Target="https://bulbapedia.bulbagarden.net/wiki/Piloswine_(Crimson_Invasion_20)" TargetMode="External"/><Relationship Id="rId14" Type="http://schemas.openxmlformats.org/officeDocument/2006/relationships/hyperlink" Target="https://bulbapedia.bulbagarden.net/wiki/Camerupt_(Crimson_Invasion_14)" TargetMode="External"/><Relationship Id="rId30" Type="http://schemas.openxmlformats.org/officeDocument/2006/relationships/hyperlink" Target="https://bulbapedia.bulbagarden.net/wiki/Alolan_Raichu_(Crimson_Invasion_31)" TargetMode="External"/><Relationship Id="rId35" Type="http://schemas.openxmlformats.org/officeDocument/2006/relationships/hyperlink" Target="https://bulbapedia.bulbagarden.net/wiki/Haunter_(Crimson_Invasion_37)" TargetMode="External"/><Relationship Id="rId56" Type="http://schemas.openxmlformats.org/officeDocument/2006/relationships/hyperlink" Target="https://bulbapedia.bulbagarden.net/wiki/Deino_(Crimson_Invasion_60)" TargetMode="External"/><Relationship Id="rId77" Type="http://schemas.openxmlformats.org/officeDocument/2006/relationships/hyperlink" Target="https://bulbapedia.bulbagarden.net/wiki/Regigigas_(Crimson_Invasion_84)" TargetMode="External"/><Relationship Id="rId100" Type="http://schemas.openxmlformats.org/officeDocument/2006/relationships/hyperlink" Target="https://bulbapedia.bulbagarden.net/wiki/Warp_Energy_(Crimson_Invasion_123)" TargetMode="External"/><Relationship Id="rId8" Type="http://schemas.openxmlformats.org/officeDocument/2006/relationships/hyperlink" Target="https://bulbapedia.bulbagarden.net/wiki/Shelmet_(Crimson_Invasion_8)" TargetMode="External"/><Relationship Id="rId51" Type="http://schemas.openxmlformats.org/officeDocument/2006/relationships/hyperlink" Target="https://bulbapedia.bulbagarden.net/wiki/Gastrodon_(Crimson_Invasion_54)" TargetMode="External"/><Relationship Id="rId72" Type="http://schemas.openxmlformats.org/officeDocument/2006/relationships/hyperlink" Target="https://bulbapedia.bulbagarden.net/wiki/Swablu_(Crimson_Invasion_79)" TargetMode="External"/><Relationship Id="rId93" Type="http://schemas.openxmlformats.org/officeDocument/2006/relationships/hyperlink" Target="https://bulbapedia.bulbagarden.net/wiki/Counter_Energy_(Crimson_Invasion_100)" TargetMode="External"/><Relationship Id="rId98" Type="http://schemas.openxmlformats.org/officeDocument/2006/relationships/hyperlink" Target="https://bulbapedia.bulbagarden.net/wiki/Wishful_Baton_(Crimson_Invasion_121)" TargetMode="External"/><Relationship Id="rId3" Type="http://schemas.openxmlformats.org/officeDocument/2006/relationships/hyperlink" Target="https://bulbapedia.bulbagarden.net/wiki/Beedrill_(Crimson_Invasion_3)" TargetMode="External"/></Relationships>
</file>

<file path=xl/worksheets/_rels/sheet72.xml.rels><?xml version="1.0" encoding="UTF-8" standalone="yes"?>
<Relationships xmlns="http://schemas.openxmlformats.org/package/2006/relationships"><Relationship Id="rId117" Type="http://schemas.openxmlformats.org/officeDocument/2006/relationships/hyperlink" Target="https://bulbapedia.bulbagarden.net/wiki/Missing_Clover_(Ultra_Prism_129)" TargetMode="External"/><Relationship Id="rId21" Type="http://schemas.openxmlformats.org/officeDocument/2006/relationships/hyperlink" Target="https://bulbapedia.bulbagarden.net/wiki/Monferno_(Ultra_Prism_22)" TargetMode="External"/><Relationship Id="rId42" Type="http://schemas.openxmlformats.org/officeDocument/2006/relationships/hyperlink" Target="https://bulbapedia.bulbagarden.net/wiki/Electivire_(Ultra_Prism_44)" TargetMode="External"/><Relationship Id="rId63" Type="http://schemas.openxmlformats.org/officeDocument/2006/relationships/hyperlink" Target="https://bulbapedia.bulbagarden.net/wiki/Hippopotas_(Ultra_Prism_68)" TargetMode="External"/><Relationship Id="rId84" Type="http://schemas.openxmlformats.org/officeDocument/2006/relationships/hyperlink" Target="https://bulbapedia.bulbagarden.net/wiki/Morelull_(Ultra_Prism_92)" TargetMode="External"/><Relationship Id="rId138" Type="http://schemas.openxmlformats.org/officeDocument/2006/relationships/hyperlink" Target="https://bulbapedia.bulbagarden.net/wiki/Peeking_Red_Card_(Ultra_Prism_169)" TargetMode="External"/><Relationship Id="rId16" Type="http://schemas.openxmlformats.org/officeDocument/2006/relationships/hyperlink" Target="https://bulbapedia.bulbagarden.net/wiki/Araquanid_(Ultra_Prism_17)" TargetMode="External"/><Relationship Id="rId107" Type="http://schemas.openxmlformats.org/officeDocument/2006/relationships/hyperlink" Target="https://bulbapedia.bulbagarden.net/wiki/Ancient_Crystal_(Ultra_Prism_118)" TargetMode="External"/><Relationship Id="rId11" Type="http://schemas.openxmlformats.org/officeDocument/2006/relationships/hyperlink" Target="https://bulbapedia.bulbagarden.net/wiki/Cherrim_(Ultra_Prism_11)" TargetMode="External"/><Relationship Id="rId32" Type="http://schemas.openxmlformats.org/officeDocument/2006/relationships/hyperlink" Target="https://bulbapedia.bulbagarden.net/wiki/Prinplup_(Ultra_Prism_33)" TargetMode="External"/><Relationship Id="rId37" Type="http://schemas.openxmlformats.org/officeDocument/2006/relationships/hyperlink" Target="https://bulbapedia.bulbagarden.net/wiki/Abomasnow_(Ultra_Prism_38)" TargetMode="External"/><Relationship Id="rId53" Type="http://schemas.openxmlformats.org/officeDocument/2006/relationships/hyperlink" Target="https://bulbapedia.bulbagarden.net/wiki/Drapion_(Ultra_Prism_55)" TargetMode="External"/><Relationship Id="rId58" Type="http://schemas.openxmlformats.org/officeDocument/2006/relationships/hyperlink" Target="https://bulbapedia.bulbagarden.net/wiki/Cosmoem_(Ultra_Prism_61)" TargetMode="External"/><Relationship Id="rId74" Type="http://schemas.openxmlformats.org/officeDocument/2006/relationships/hyperlink" Target="https://bulbapedia.bulbagarden.net/wiki/Magnemite_(Ultra_Prism_80)" TargetMode="External"/><Relationship Id="rId79" Type="http://schemas.openxmlformats.org/officeDocument/2006/relationships/hyperlink" Target="https://bulbapedia.bulbagarden.net/wiki/Bastiodon_(Ultra_Prism_85)" TargetMode="External"/><Relationship Id="rId102" Type="http://schemas.openxmlformats.org/officeDocument/2006/relationships/hyperlink" Target="https://bulbapedia.bulbagarden.net/wiki/Yungoos_(Ultra_Prism_112)" TargetMode="External"/><Relationship Id="rId123" Type="http://schemas.openxmlformats.org/officeDocument/2006/relationships/hyperlink" Target="https://bulbapedia.bulbagarden.net/wiki/Volkner_(Ultra_Prism_135)" TargetMode="External"/><Relationship Id="rId128" Type="http://schemas.openxmlformats.org/officeDocument/2006/relationships/hyperlink" Target="https://bulbapedia.bulbagarden.net/wiki/Lana_(Ultra_Prism_150)" TargetMode="External"/><Relationship Id="rId5" Type="http://schemas.openxmlformats.org/officeDocument/2006/relationships/hyperlink" Target="https://bulbapedia.bulbagarden.net/wiki/Roserade_(Ultra_Prism_5)" TargetMode="External"/><Relationship Id="rId90" Type="http://schemas.openxmlformats.org/officeDocument/2006/relationships/hyperlink" Target="https://bulbapedia.bulbagarden.net/wiki/Gabite_(Ultra_Prism_98)" TargetMode="External"/><Relationship Id="rId95" Type="http://schemas.openxmlformats.org/officeDocument/2006/relationships/hyperlink" Target="https://bulbapedia.bulbagarden.net/wiki/Eevee_(Ultra_Prism_105)" TargetMode="External"/><Relationship Id="rId22" Type="http://schemas.openxmlformats.org/officeDocument/2006/relationships/hyperlink" Target="https://bulbapedia.bulbagarden.net/wiki/Infernape_(Ultra_Prism_23)" TargetMode="External"/><Relationship Id="rId27" Type="http://schemas.openxmlformats.org/officeDocument/2006/relationships/hyperlink" Target="https://bulbapedia.bulbagarden.net/wiki/Alolan_Sandshrew_(Ultra_Prism_28)" TargetMode="External"/><Relationship Id="rId43" Type="http://schemas.openxmlformats.org/officeDocument/2006/relationships/hyperlink" Target="https://bulbapedia.bulbagarden.net/wiki/Shinx_(Ultra_Prism_45)" TargetMode="External"/><Relationship Id="rId48" Type="http://schemas.openxmlformats.org/officeDocument/2006/relationships/hyperlink" Target="https://bulbapedia.bulbagarden.net/wiki/Rotom_(Ultra_Prism_50)" TargetMode="External"/><Relationship Id="rId64" Type="http://schemas.openxmlformats.org/officeDocument/2006/relationships/hyperlink" Target="https://bulbapedia.bulbagarden.net/wiki/Hippowdon_(Ultra_Prism_69)" TargetMode="External"/><Relationship Id="rId69" Type="http://schemas.openxmlformats.org/officeDocument/2006/relationships/hyperlink" Target="https://bulbapedia.bulbagarden.net/wiki/Weavile_(Ultra_Prism_74)" TargetMode="External"/><Relationship Id="rId113" Type="http://schemas.openxmlformats.org/officeDocument/2006/relationships/hyperlink" Target="https://bulbapedia.bulbagarden.net/wiki/Lillie_(Ultra_Prism_125)" TargetMode="External"/><Relationship Id="rId118" Type="http://schemas.openxmlformats.org/officeDocument/2006/relationships/hyperlink" Target="https://bulbapedia.bulbagarden.net/wiki/Mt._Coronet_(Ultra_Prism_130)" TargetMode="External"/><Relationship Id="rId134" Type="http://schemas.openxmlformats.org/officeDocument/2006/relationships/hyperlink" Target="https://bulbapedia.bulbagarden.net/wiki/Volkner_(Ultra_Prism_156)" TargetMode="External"/><Relationship Id="rId139" Type="http://schemas.openxmlformats.org/officeDocument/2006/relationships/hyperlink" Target="https://bulbapedia.bulbagarden.net/wiki/Unit_Energy_GFW_(Ultra_Prism_170)" TargetMode="External"/><Relationship Id="rId80" Type="http://schemas.openxmlformats.org/officeDocument/2006/relationships/hyperlink" Target="https://bulbapedia.bulbagarden.net/wiki/Bronzor_(Ultra_Prism_86)" TargetMode="External"/><Relationship Id="rId85" Type="http://schemas.openxmlformats.org/officeDocument/2006/relationships/hyperlink" Target="https://bulbapedia.bulbagarden.net/wiki/Shiinotic_(Ultra_Prism_93)" TargetMode="External"/><Relationship Id="rId12" Type="http://schemas.openxmlformats.org/officeDocument/2006/relationships/hyperlink" Target="https://bulbapedia.bulbagarden.net/wiki/Carnivine_(Ultra_Prism_12)" TargetMode="External"/><Relationship Id="rId17" Type="http://schemas.openxmlformats.org/officeDocument/2006/relationships/hyperlink" Target="https://bulbapedia.bulbagarden.net/wiki/Magmar_(Ultra_Prism_18)" TargetMode="External"/><Relationship Id="rId33" Type="http://schemas.openxmlformats.org/officeDocument/2006/relationships/hyperlink" Target="https://bulbapedia.bulbagarden.net/wiki/Empoleon_(Ultra_Prism_34)" TargetMode="External"/><Relationship Id="rId38" Type="http://schemas.openxmlformats.org/officeDocument/2006/relationships/hyperlink" Target="https://bulbapedia.bulbagarden.net/wiki/Wash_Rotom_(Ultra_Prism_40)" TargetMode="External"/><Relationship Id="rId59" Type="http://schemas.openxmlformats.org/officeDocument/2006/relationships/hyperlink" Target="https://bulbapedia.bulbagarden.net/wiki/Cranidos_(Ultra_Prism_64)" TargetMode="External"/><Relationship Id="rId103" Type="http://schemas.openxmlformats.org/officeDocument/2006/relationships/hyperlink" Target="https://bulbapedia.bulbagarden.net/wiki/Gumshoos_(Ultra_Prism_113)" TargetMode="External"/><Relationship Id="rId108" Type="http://schemas.openxmlformats.org/officeDocument/2006/relationships/hyperlink" Target="https://bulbapedia.bulbagarden.net/wiki/Cynthia_(Ultra_Prism_119)" TargetMode="External"/><Relationship Id="rId124" Type="http://schemas.openxmlformats.org/officeDocument/2006/relationships/hyperlink" Target="https://bulbapedia.bulbagarden.net/wiki/Unit_Energy_GFW_(Ultra_Prism_137)" TargetMode="External"/><Relationship Id="rId129" Type="http://schemas.openxmlformats.org/officeDocument/2006/relationships/hyperlink" Target="https://bulbapedia.bulbagarden.net/wiki/Lillie_(Ultra_Prism_151)" TargetMode="External"/><Relationship Id="rId54" Type="http://schemas.openxmlformats.org/officeDocument/2006/relationships/hyperlink" Target="https://bulbapedia.bulbagarden.net/wiki/Croagunk_(Ultra_Prism_56)" TargetMode="External"/><Relationship Id="rId70" Type="http://schemas.openxmlformats.org/officeDocument/2006/relationships/hyperlink" Target="https://bulbapedia.bulbagarden.net/wiki/Stunky_(Ultra_Prism_75)" TargetMode="External"/><Relationship Id="rId75" Type="http://schemas.openxmlformats.org/officeDocument/2006/relationships/hyperlink" Target="https://bulbapedia.bulbagarden.net/wiki/Magnemite_(Ultra_Prism_81)" TargetMode="External"/><Relationship Id="rId91" Type="http://schemas.openxmlformats.org/officeDocument/2006/relationships/hyperlink" Target="https://bulbapedia.bulbagarden.net/wiki/Garchomp_(Ultra_Prism_99)" TargetMode="External"/><Relationship Id="rId96" Type="http://schemas.openxmlformats.org/officeDocument/2006/relationships/hyperlink" Target="https://bulbapedia.bulbagarden.net/wiki/Buneary_(Ultra_Prism_106)" TargetMode="External"/><Relationship Id="rId140" Type="http://schemas.openxmlformats.org/officeDocument/2006/relationships/hyperlink" Target="https://bulbapedia.bulbagarden.net/wiki/Unit_Energy_LPM_(Ultra_Prism_171)" TargetMode="External"/><Relationship Id="rId1" Type="http://schemas.openxmlformats.org/officeDocument/2006/relationships/hyperlink" Target="https://bulbapedia.bulbagarden.net/wiki/Exeggcute_(Ultra_Prism_1)" TargetMode="External"/><Relationship Id="rId6" Type="http://schemas.openxmlformats.org/officeDocument/2006/relationships/hyperlink" Target="https://bulbapedia.bulbagarden.net/wiki/Turtwig_(Ultra_Prism_6)" TargetMode="External"/><Relationship Id="rId23" Type="http://schemas.openxmlformats.org/officeDocument/2006/relationships/hyperlink" Target="https://bulbapedia.bulbagarden.net/wiki/Heat_Rotom_(Ultra_Prism_24)" TargetMode="External"/><Relationship Id="rId28" Type="http://schemas.openxmlformats.org/officeDocument/2006/relationships/hyperlink" Target="https://bulbapedia.bulbagarden.net/wiki/Alolan_Sandslash_(Ultra_Prism_29)" TargetMode="External"/><Relationship Id="rId49" Type="http://schemas.openxmlformats.org/officeDocument/2006/relationships/hyperlink" Target="https://bulbapedia.bulbagarden.net/wiki/Drifloon_(Ultra_Prism_51)" TargetMode="External"/><Relationship Id="rId114" Type="http://schemas.openxmlformats.org/officeDocument/2006/relationships/hyperlink" Target="https://bulbapedia.bulbagarden.net/wiki/Looker_(Ultra_Prism_126)" TargetMode="External"/><Relationship Id="rId119" Type="http://schemas.openxmlformats.org/officeDocument/2006/relationships/hyperlink" Target="https://bulbapedia.bulbagarden.net/wiki/Order_Pad_(Ultra_Prism_131)" TargetMode="External"/><Relationship Id="rId44" Type="http://schemas.openxmlformats.org/officeDocument/2006/relationships/hyperlink" Target="https://bulbapedia.bulbagarden.net/wiki/Shinx_(Ultra_Prism_46)" TargetMode="External"/><Relationship Id="rId60" Type="http://schemas.openxmlformats.org/officeDocument/2006/relationships/hyperlink" Target="https://bulbapedia.bulbagarden.net/wiki/Rampardos_(Ultra_Prism_65)" TargetMode="External"/><Relationship Id="rId65" Type="http://schemas.openxmlformats.org/officeDocument/2006/relationships/hyperlink" Target="https://bulbapedia.bulbagarden.net/wiki/Passimian_(Ultra_Prism_70)" TargetMode="External"/><Relationship Id="rId81" Type="http://schemas.openxmlformats.org/officeDocument/2006/relationships/hyperlink" Target="https://bulbapedia.bulbagarden.net/wiki/Bronzong_(Ultra_Prism_87)" TargetMode="External"/><Relationship Id="rId86" Type="http://schemas.openxmlformats.org/officeDocument/2006/relationships/hyperlink" Target="https://bulbapedia.bulbagarden.net/wiki/Tapu_Lele_(Ultra_Prism_94)" TargetMode="External"/><Relationship Id="rId130" Type="http://schemas.openxmlformats.org/officeDocument/2006/relationships/hyperlink" Target="https://bulbapedia.bulbagarden.net/wiki/Looker_(Ultra_Prism_152)" TargetMode="External"/><Relationship Id="rId135" Type="http://schemas.openxmlformats.org/officeDocument/2006/relationships/hyperlink" Target="https://bulbapedia.bulbagarden.net/wiki/Crushing_Hammer_(Ultra_Prism_166)" TargetMode="External"/><Relationship Id="rId13" Type="http://schemas.openxmlformats.org/officeDocument/2006/relationships/hyperlink" Target="https://bulbapedia.bulbagarden.net/wiki/Mow_Rotom_(Ultra_Prism_14)" TargetMode="External"/><Relationship Id="rId18" Type="http://schemas.openxmlformats.org/officeDocument/2006/relationships/hyperlink" Target="https://bulbapedia.bulbagarden.net/wiki/Magmortar_(Ultra_Prism_19)" TargetMode="External"/><Relationship Id="rId39" Type="http://schemas.openxmlformats.org/officeDocument/2006/relationships/hyperlink" Target="https://bulbapedia.bulbagarden.net/wiki/Frost_Rotom_(Ultra_Prism_41)" TargetMode="External"/><Relationship Id="rId109" Type="http://schemas.openxmlformats.org/officeDocument/2006/relationships/hyperlink" Target="https://bulbapedia.bulbagarden.net/wiki/Electric_Memory_(Ultra_Prism_121)" TargetMode="External"/><Relationship Id="rId34" Type="http://schemas.openxmlformats.org/officeDocument/2006/relationships/hyperlink" Target="https://bulbapedia.bulbagarden.net/wiki/Buizel_(Ultra_Prism_35)" TargetMode="External"/><Relationship Id="rId50" Type="http://schemas.openxmlformats.org/officeDocument/2006/relationships/hyperlink" Target="https://bulbapedia.bulbagarden.net/wiki/Drifblim_(Ultra_Prism_52)" TargetMode="External"/><Relationship Id="rId55" Type="http://schemas.openxmlformats.org/officeDocument/2006/relationships/hyperlink" Target="https://bulbapedia.bulbagarden.net/wiki/Toxicroak_(Ultra_Prism_57)" TargetMode="External"/><Relationship Id="rId76" Type="http://schemas.openxmlformats.org/officeDocument/2006/relationships/hyperlink" Target="https://bulbapedia.bulbagarden.net/wiki/Magneton_(Ultra_Prism_82)" TargetMode="External"/><Relationship Id="rId97" Type="http://schemas.openxmlformats.org/officeDocument/2006/relationships/hyperlink" Target="https://bulbapedia.bulbagarden.net/wiki/Lopunny_(Ultra_Prism_107)" TargetMode="External"/><Relationship Id="rId104" Type="http://schemas.openxmlformats.org/officeDocument/2006/relationships/hyperlink" Target="https://bulbapedia.bulbagarden.net/wiki/Oranguru_(Ultra_Prism_114)" TargetMode="External"/><Relationship Id="rId120" Type="http://schemas.openxmlformats.org/officeDocument/2006/relationships/hyperlink" Target="https://bulbapedia.bulbagarden.net/wiki/Pal_Pad_(Ultra_Prism_132)" TargetMode="External"/><Relationship Id="rId125" Type="http://schemas.openxmlformats.org/officeDocument/2006/relationships/hyperlink" Target="https://bulbapedia.bulbagarden.net/wiki/Unit_Energy_LPM_(Ultra_Prism_138)" TargetMode="External"/><Relationship Id="rId7" Type="http://schemas.openxmlformats.org/officeDocument/2006/relationships/hyperlink" Target="https://bulbapedia.bulbagarden.net/wiki/Turtwig_(Ultra_Prism_7)" TargetMode="External"/><Relationship Id="rId71" Type="http://schemas.openxmlformats.org/officeDocument/2006/relationships/hyperlink" Target="https://bulbapedia.bulbagarden.net/wiki/Skuntank_(Ultra_Prism_76)" TargetMode="External"/><Relationship Id="rId92" Type="http://schemas.openxmlformats.org/officeDocument/2006/relationships/hyperlink" Target="https://bulbapedia.bulbagarden.net/wiki/Lickitung_(Ultra_Prism_102)" TargetMode="External"/><Relationship Id="rId2" Type="http://schemas.openxmlformats.org/officeDocument/2006/relationships/hyperlink" Target="https://bulbapedia.bulbagarden.net/wiki/Yanma_(Ultra_Prism_2)" TargetMode="External"/><Relationship Id="rId29" Type="http://schemas.openxmlformats.org/officeDocument/2006/relationships/hyperlink" Target="https://bulbapedia.bulbagarden.net/wiki/Alolan_Vulpix_(Ultra_Prism_30)" TargetMode="External"/><Relationship Id="rId24" Type="http://schemas.openxmlformats.org/officeDocument/2006/relationships/hyperlink" Target="https://bulbapedia.bulbagarden.net/wiki/Salandit_(Ultra_Prism_25)" TargetMode="External"/><Relationship Id="rId40" Type="http://schemas.openxmlformats.org/officeDocument/2006/relationships/hyperlink" Target="https://bulbapedia.bulbagarden.net/wiki/Manaphy_(Ultra_Prism_42)" TargetMode="External"/><Relationship Id="rId45" Type="http://schemas.openxmlformats.org/officeDocument/2006/relationships/hyperlink" Target="https://bulbapedia.bulbagarden.net/wiki/Luxio_(Ultra_Prism_47)" TargetMode="External"/><Relationship Id="rId66" Type="http://schemas.openxmlformats.org/officeDocument/2006/relationships/hyperlink" Target="https://bulbapedia.bulbagarden.net/wiki/Murkrow_(Ultra_Prism_71)" TargetMode="External"/><Relationship Id="rId87" Type="http://schemas.openxmlformats.org/officeDocument/2006/relationships/hyperlink" Target="https://bulbapedia.bulbagarden.net/wiki/Alolan_Exeggutor_(Ultra_Prism_95)" TargetMode="External"/><Relationship Id="rId110" Type="http://schemas.openxmlformats.org/officeDocument/2006/relationships/hyperlink" Target="https://bulbapedia.bulbagarden.net/wiki/Escape_Board_(Ultra_Prism_122)" TargetMode="External"/><Relationship Id="rId115" Type="http://schemas.openxmlformats.org/officeDocument/2006/relationships/hyperlink" Target="https://bulbapedia.bulbagarden.net/wiki/Looker_Whistle_(Ultra_Prism_127)" TargetMode="External"/><Relationship Id="rId131" Type="http://schemas.openxmlformats.org/officeDocument/2006/relationships/hyperlink" Target="https://bulbapedia.bulbagarden.net/wiki/Lusamine_(Ultra_Prism_153)" TargetMode="External"/><Relationship Id="rId136" Type="http://schemas.openxmlformats.org/officeDocument/2006/relationships/hyperlink" Target="https://bulbapedia.bulbagarden.net/wiki/Escape_Board_(Ultra_Prism_167)" TargetMode="External"/><Relationship Id="rId61" Type="http://schemas.openxmlformats.org/officeDocument/2006/relationships/hyperlink" Target="https://bulbapedia.bulbagarden.net/wiki/Riolu_(Ultra_Prism_66)" TargetMode="External"/><Relationship Id="rId82" Type="http://schemas.openxmlformats.org/officeDocument/2006/relationships/hyperlink" Target="https://bulbapedia.bulbagarden.net/wiki/Heatran_(Ultra_Prism_88)" TargetMode="External"/><Relationship Id="rId19" Type="http://schemas.openxmlformats.org/officeDocument/2006/relationships/hyperlink" Target="https://bulbapedia.bulbagarden.net/wiki/Chimchar_(Ultra_Prism_20)" TargetMode="External"/><Relationship Id="rId14" Type="http://schemas.openxmlformats.org/officeDocument/2006/relationships/hyperlink" Target="https://bulbapedia.bulbagarden.net/wiki/Shaymin_(Ultra_Prism_15)" TargetMode="External"/><Relationship Id="rId30" Type="http://schemas.openxmlformats.org/officeDocument/2006/relationships/hyperlink" Target="https://bulbapedia.bulbagarden.net/wiki/Piplup_(Ultra_Prism_31)" TargetMode="External"/><Relationship Id="rId35" Type="http://schemas.openxmlformats.org/officeDocument/2006/relationships/hyperlink" Target="https://bulbapedia.bulbagarden.net/wiki/Floatzel_(Ultra_Prism_36)" TargetMode="External"/><Relationship Id="rId56" Type="http://schemas.openxmlformats.org/officeDocument/2006/relationships/hyperlink" Target="https://bulbapedia.bulbagarden.net/wiki/Cresselia_(Ultra_Prism_59)" TargetMode="External"/><Relationship Id="rId77" Type="http://schemas.openxmlformats.org/officeDocument/2006/relationships/hyperlink" Target="https://bulbapedia.bulbagarden.net/wiki/Magnezone_(Ultra_Prism_83)" TargetMode="External"/><Relationship Id="rId100" Type="http://schemas.openxmlformats.org/officeDocument/2006/relationships/hyperlink" Target="https://bulbapedia.bulbagarden.net/wiki/Fan_Rotom_(Ultra_Prism_110)" TargetMode="External"/><Relationship Id="rId105" Type="http://schemas.openxmlformats.org/officeDocument/2006/relationships/hyperlink" Target="https://bulbapedia.bulbagarden.net/wiki/Type:_Null_(Ultra_Prism_115)" TargetMode="External"/><Relationship Id="rId126" Type="http://schemas.openxmlformats.org/officeDocument/2006/relationships/hyperlink" Target="https://bulbapedia.bulbagarden.net/wiki/Cynthia_(Ultra_Prism_148)" TargetMode="External"/><Relationship Id="rId8" Type="http://schemas.openxmlformats.org/officeDocument/2006/relationships/hyperlink" Target="https://bulbapedia.bulbagarden.net/wiki/Grotle_(Ultra_Prism_8)" TargetMode="External"/><Relationship Id="rId51" Type="http://schemas.openxmlformats.org/officeDocument/2006/relationships/hyperlink" Target="https://bulbapedia.bulbagarden.net/wiki/Spiritomb_(Ultra_Prism_53)" TargetMode="External"/><Relationship Id="rId72" Type="http://schemas.openxmlformats.org/officeDocument/2006/relationships/hyperlink" Target="https://bulbapedia.bulbagarden.net/wiki/Alolan_Diglett_(Ultra_Prism_78)" TargetMode="External"/><Relationship Id="rId93" Type="http://schemas.openxmlformats.org/officeDocument/2006/relationships/hyperlink" Target="https://bulbapedia.bulbagarden.net/wiki/Lickilicky_(Ultra_Prism_103)" TargetMode="External"/><Relationship Id="rId98" Type="http://schemas.openxmlformats.org/officeDocument/2006/relationships/hyperlink" Target="https://bulbapedia.bulbagarden.net/wiki/Glameow_(Ultra_Prism_108)" TargetMode="External"/><Relationship Id="rId121" Type="http://schemas.openxmlformats.org/officeDocument/2006/relationships/hyperlink" Target="https://bulbapedia.bulbagarden.net/wiki/Pok%C3%A9mon_Fan_Club_(Ultra_Prism_133)" TargetMode="External"/><Relationship Id="rId3" Type="http://schemas.openxmlformats.org/officeDocument/2006/relationships/hyperlink" Target="https://bulbapedia.bulbagarden.net/wiki/Yanmega_(Ultra_Prism_3)" TargetMode="External"/><Relationship Id="rId25" Type="http://schemas.openxmlformats.org/officeDocument/2006/relationships/hyperlink" Target="https://bulbapedia.bulbagarden.net/wiki/Salazzle_(Ultra_Prism_26)" TargetMode="External"/><Relationship Id="rId46" Type="http://schemas.openxmlformats.org/officeDocument/2006/relationships/hyperlink" Target="https://bulbapedia.bulbagarden.net/wiki/Luxray_(Ultra_Prism_48)" TargetMode="External"/><Relationship Id="rId67" Type="http://schemas.openxmlformats.org/officeDocument/2006/relationships/hyperlink" Target="https://bulbapedia.bulbagarden.net/wiki/Honchkrow_(Ultra_Prism_72)" TargetMode="External"/><Relationship Id="rId116" Type="http://schemas.openxmlformats.org/officeDocument/2006/relationships/hyperlink" Target="https://bulbapedia.bulbagarden.net/wiki/Mars_(Ultra_Prism_128)" TargetMode="External"/><Relationship Id="rId137" Type="http://schemas.openxmlformats.org/officeDocument/2006/relationships/hyperlink" Target="https://bulbapedia.bulbagarden.net/wiki/Missing_Clover_(Ultra_Prism_168)" TargetMode="External"/><Relationship Id="rId20" Type="http://schemas.openxmlformats.org/officeDocument/2006/relationships/hyperlink" Target="https://bulbapedia.bulbagarden.net/wiki/Chimchar_(Ultra_Prism_21)" TargetMode="External"/><Relationship Id="rId41" Type="http://schemas.openxmlformats.org/officeDocument/2006/relationships/hyperlink" Target="https://bulbapedia.bulbagarden.net/wiki/Electabuzz_(Ultra_Prism_43)" TargetMode="External"/><Relationship Id="rId62" Type="http://schemas.openxmlformats.org/officeDocument/2006/relationships/hyperlink" Target="https://bulbapedia.bulbagarden.net/wiki/Lucario_(Ultra_Prism_67)" TargetMode="External"/><Relationship Id="rId83" Type="http://schemas.openxmlformats.org/officeDocument/2006/relationships/hyperlink" Target="https://bulbapedia.bulbagarden.net/wiki/Magearna_(Ultra_Prism_91)" TargetMode="External"/><Relationship Id="rId88" Type="http://schemas.openxmlformats.org/officeDocument/2006/relationships/hyperlink" Target="https://bulbapedia.bulbagarden.net/wiki/Gible_(Ultra_Prism_96)" TargetMode="External"/><Relationship Id="rId111" Type="http://schemas.openxmlformats.org/officeDocument/2006/relationships/hyperlink" Target="https://bulbapedia.bulbagarden.net/wiki/Fire_Memory_(Ultra_Prism_123)" TargetMode="External"/><Relationship Id="rId132" Type="http://schemas.openxmlformats.org/officeDocument/2006/relationships/hyperlink" Target="https://bulbapedia.bulbagarden.net/wiki/Mars_(Ultra_Prism_154)" TargetMode="External"/><Relationship Id="rId15" Type="http://schemas.openxmlformats.org/officeDocument/2006/relationships/hyperlink" Target="https://bulbapedia.bulbagarden.net/wiki/Dewpider_(Ultra_Prism_16)" TargetMode="External"/><Relationship Id="rId36" Type="http://schemas.openxmlformats.org/officeDocument/2006/relationships/hyperlink" Target="https://bulbapedia.bulbagarden.net/wiki/Snover_(Ultra_Prism_37)" TargetMode="External"/><Relationship Id="rId57" Type="http://schemas.openxmlformats.org/officeDocument/2006/relationships/hyperlink" Target="https://bulbapedia.bulbagarden.net/wiki/Cosmog_(Ultra_Prism_60)" TargetMode="External"/><Relationship Id="rId106" Type="http://schemas.openxmlformats.org/officeDocument/2006/relationships/hyperlink" Target="https://bulbapedia.bulbagarden.net/wiki/Drampa_(Ultra_Prism_117)" TargetMode="External"/><Relationship Id="rId127" Type="http://schemas.openxmlformats.org/officeDocument/2006/relationships/hyperlink" Target="https://bulbapedia.bulbagarden.net/wiki/Gardenia_(Ultra_Prism_149)" TargetMode="External"/><Relationship Id="rId10" Type="http://schemas.openxmlformats.org/officeDocument/2006/relationships/hyperlink" Target="https://bulbapedia.bulbagarden.net/wiki/Cherubi_(Ultra_Prism_10)" TargetMode="External"/><Relationship Id="rId31" Type="http://schemas.openxmlformats.org/officeDocument/2006/relationships/hyperlink" Target="https://bulbapedia.bulbagarden.net/wiki/Piplup_(Ultra_Prism_32)" TargetMode="External"/><Relationship Id="rId52" Type="http://schemas.openxmlformats.org/officeDocument/2006/relationships/hyperlink" Target="https://bulbapedia.bulbagarden.net/wiki/Skorupi_(Ultra_Prism_54)" TargetMode="External"/><Relationship Id="rId73" Type="http://schemas.openxmlformats.org/officeDocument/2006/relationships/hyperlink" Target="https://bulbapedia.bulbagarden.net/wiki/Alolan_Dugtrio_(Ultra_Prism_79)" TargetMode="External"/><Relationship Id="rId78" Type="http://schemas.openxmlformats.org/officeDocument/2006/relationships/hyperlink" Target="https://bulbapedia.bulbagarden.net/wiki/Shieldon_(Ultra_Prism_84)" TargetMode="External"/><Relationship Id="rId94" Type="http://schemas.openxmlformats.org/officeDocument/2006/relationships/hyperlink" Target="https://bulbapedia.bulbagarden.net/wiki/Eevee_(Ultra_Prism_104)" TargetMode="External"/><Relationship Id="rId99" Type="http://schemas.openxmlformats.org/officeDocument/2006/relationships/hyperlink" Target="https://bulbapedia.bulbagarden.net/wiki/Purugly_(Ultra_Prism_109)" TargetMode="External"/><Relationship Id="rId101" Type="http://schemas.openxmlformats.org/officeDocument/2006/relationships/hyperlink" Target="https://bulbapedia.bulbagarden.net/wiki/Shaymin_(Ultra_Prism_111)" TargetMode="External"/><Relationship Id="rId122" Type="http://schemas.openxmlformats.org/officeDocument/2006/relationships/hyperlink" Target="https://bulbapedia.bulbagarden.net/wiki/Unidentified_Fossil_(Ultra_Prism_134)" TargetMode="External"/><Relationship Id="rId4" Type="http://schemas.openxmlformats.org/officeDocument/2006/relationships/hyperlink" Target="https://bulbapedia.bulbagarden.net/wiki/Roselia_(Ultra_Prism_4)" TargetMode="External"/><Relationship Id="rId9" Type="http://schemas.openxmlformats.org/officeDocument/2006/relationships/hyperlink" Target="https://bulbapedia.bulbagarden.net/wiki/Torterra_(Ultra_Prism_9)" TargetMode="External"/><Relationship Id="rId26" Type="http://schemas.openxmlformats.org/officeDocument/2006/relationships/hyperlink" Target="https://bulbapedia.bulbagarden.net/wiki/Turtonator_(Ultra_Prism_27)" TargetMode="External"/><Relationship Id="rId47" Type="http://schemas.openxmlformats.org/officeDocument/2006/relationships/hyperlink" Target="https://bulbapedia.bulbagarden.net/wiki/Pachirisu_(Ultra_Prism_49)" TargetMode="External"/><Relationship Id="rId68" Type="http://schemas.openxmlformats.org/officeDocument/2006/relationships/hyperlink" Target="https://bulbapedia.bulbagarden.net/wiki/Sneasel_(Ultra_Prism_73)" TargetMode="External"/><Relationship Id="rId89" Type="http://schemas.openxmlformats.org/officeDocument/2006/relationships/hyperlink" Target="https://bulbapedia.bulbagarden.net/wiki/Gible_(Ultra_Prism_97)" TargetMode="External"/><Relationship Id="rId112" Type="http://schemas.openxmlformats.org/officeDocument/2006/relationships/hyperlink" Target="https://bulbapedia.bulbagarden.net/wiki/Gardenia_(Ultra_Prism_124)" TargetMode="External"/><Relationship Id="rId133" Type="http://schemas.openxmlformats.org/officeDocument/2006/relationships/hyperlink" Target="https://bulbapedia.bulbagarden.net/wiki/Pok%C3%A9mon_Fan_Club_(Ultra_Prism_155)" TargetMode="External"/></Relationships>
</file>

<file path=xl/worksheets/_rels/sheet73.xml.rels><?xml version="1.0" encoding="UTF-8" standalone="yes"?>
<Relationships xmlns="http://schemas.openxmlformats.org/package/2006/relationships"><Relationship Id="rId26" Type="http://schemas.openxmlformats.org/officeDocument/2006/relationships/hyperlink" Target="https://bulbapedia.bulbagarden.net/wiki/Amaura_(Forbidden_Light_27)" TargetMode="External"/><Relationship Id="rId117" Type="http://schemas.openxmlformats.org/officeDocument/2006/relationships/hyperlink" Target="https://bulbapedia.bulbagarden.net/wiki/Mysterious_Treasure_(Forbidden_Light_145)" TargetMode="External"/><Relationship Id="rId21" Type="http://schemas.openxmlformats.org/officeDocument/2006/relationships/hyperlink" Target="https://bulbapedia.bulbagarden.net/wiki/Froakie_(Forbidden_Light_21)" TargetMode="External"/><Relationship Id="rId42" Type="http://schemas.openxmlformats.org/officeDocument/2006/relationships/hyperlink" Target="https://bulbapedia.bulbagarden.net/wiki/Espurr_(Forbidden_Light_44)" TargetMode="External"/><Relationship Id="rId47" Type="http://schemas.openxmlformats.org/officeDocument/2006/relationships/hyperlink" Target="https://bulbapedia.bulbagarden.net/wiki/Aegislash_(Forbidden_Light_49)" TargetMode="External"/><Relationship Id="rId63" Type="http://schemas.openxmlformats.org/officeDocument/2006/relationships/hyperlink" Target="https://bulbapedia.bulbagarden.net/wiki/Binacle_(Forbidden_Light_66)" TargetMode="External"/><Relationship Id="rId68" Type="http://schemas.openxmlformats.org/officeDocument/2006/relationships/hyperlink" Target="https://bulbapedia.bulbagarden.net/wiki/Zygarde_(Forbidden_Light_71)" TargetMode="External"/><Relationship Id="rId84" Type="http://schemas.openxmlformats.org/officeDocument/2006/relationships/hyperlink" Target="https://bulbapedia.bulbagarden.net/wiki/Goomy_(Forbidden_Light_92)" TargetMode="External"/><Relationship Id="rId89" Type="http://schemas.openxmlformats.org/officeDocument/2006/relationships/hyperlink" Target="https://bulbapedia.bulbagarden.net/wiki/Furfrou_(Forbidden_Light_99)" TargetMode="External"/><Relationship Id="rId112" Type="http://schemas.openxmlformats.org/officeDocument/2006/relationships/hyperlink" Target="https://bulbapedia.bulbagarden.net/wiki/Ultra_Recon_Squad_(Forbidden_Light_131)" TargetMode="External"/><Relationship Id="rId16" Type="http://schemas.openxmlformats.org/officeDocument/2006/relationships/hyperlink" Target="https://bulbapedia.bulbagarden.net/wiki/Fennekin_(Forbidden_Light_15)" TargetMode="External"/><Relationship Id="rId107" Type="http://schemas.openxmlformats.org/officeDocument/2006/relationships/hyperlink" Target="https://bulbapedia.bulbagarden.net/wiki/Unidentified_Fossil_(Forbidden_Light_116)" TargetMode="External"/><Relationship Id="rId11" Type="http://schemas.openxmlformats.org/officeDocument/2006/relationships/hyperlink" Target="https://bulbapedia.bulbagarden.net/wiki/Gogoat_(Forbidden_Light_10)" TargetMode="External"/><Relationship Id="rId32" Type="http://schemas.openxmlformats.org/officeDocument/2006/relationships/hyperlink" Target="https://bulbapedia.bulbagarden.net/wiki/Magnemite_(Forbidden_Light_34)" TargetMode="External"/><Relationship Id="rId37" Type="http://schemas.openxmlformats.org/officeDocument/2006/relationships/hyperlink" Target="https://bulbapedia.bulbagarden.net/wiki/Xurkitree_(Forbidden_Light_39)" TargetMode="External"/><Relationship Id="rId53" Type="http://schemas.openxmlformats.org/officeDocument/2006/relationships/hyperlink" Target="https://bulbapedia.bulbagarden.net/wiki/Poipole_(Forbidden_Light_55)" TargetMode="External"/><Relationship Id="rId58" Type="http://schemas.openxmlformats.org/officeDocument/2006/relationships/hyperlink" Target="https://bulbapedia.bulbagarden.net/wiki/Gabite_(Forbidden_Light_61)" TargetMode="External"/><Relationship Id="rId74" Type="http://schemas.openxmlformats.org/officeDocument/2006/relationships/hyperlink" Target="https://bulbapedia.bulbagarden.net/wiki/Guzzlord_(Forbidden_Light_80)" TargetMode="External"/><Relationship Id="rId79" Type="http://schemas.openxmlformats.org/officeDocument/2006/relationships/hyperlink" Target="https://bulbapedia.bulbagarden.net/wiki/Florges_(Forbidden_Light_86)" TargetMode="External"/><Relationship Id="rId102" Type="http://schemas.openxmlformats.org/officeDocument/2006/relationships/hyperlink" Target="https://bulbapedia.bulbagarden.net/wiki/Metal_Frying_Pan_(Forbidden_Light_112)" TargetMode="External"/><Relationship Id="rId5" Type="http://schemas.openxmlformats.org/officeDocument/2006/relationships/hyperlink" Target="https://bulbapedia.bulbagarden.net/wiki/Abomasnow_(Forbidden_Light_4)" TargetMode="External"/><Relationship Id="rId90" Type="http://schemas.openxmlformats.org/officeDocument/2006/relationships/hyperlink" Target="https://bulbapedia.bulbagarden.net/wiki/Noibat_(Forbidden_Light_100)" TargetMode="External"/><Relationship Id="rId95" Type="http://schemas.openxmlformats.org/officeDocument/2006/relationships/hyperlink" Target="https://bulbapedia.bulbagarden.net/wiki/Diantha_(Forbidden_Light_105)" TargetMode="External"/><Relationship Id="rId22" Type="http://schemas.openxmlformats.org/officeDocument/2006/relationships/hyperlink" Target="https://bulbapedia.bulbagarden.net/wiki/Froakie_(Forbidden_Light_22)" TargetMode="External"/><Relationship Id="rId27" Type="http://schemas.openxmlformats.org/officeDocument/2006/relationships/hyperlink" Target="https://bulbapedia.bulbagarden.net/wiki/Aurorus_(Forbidden_Light_28)" TargetMode="External"/><Relationship Id="rId43" Type="http://schemas.openxmlformats.org/officeDocument/2006/relationships/hyperlink" Target="https://bulbapedia.bulbagarden.net/wiki/Meowstic_(Forbidden_Light_45)" TargetMode="External"/><Relationship Id="rId48" Type="http://schemas.openxmlformats.org/officeDocument/2006/relationships/hyperlink" Target="https://bulbapedia.bulbagarden.net/wiki/Inkay_(Forbidden_Light_50)" TargetMode="External"/><Relationship Id="rId64" Type="http://schemas.openxmlformats.org/officeDocument/2006/relationships/hyperlink" Target="https://bulbapedia.bulbagarden.net/wiki/Barbaracle_(Forbidden_Light_67)" TargetMode="External"/><Relationship Id="rId69" Type="http://schemas.openxmlformats.org/officeDocument/2006/relationships/hyperlink" Target="https://bulbapedia.bulbagarden.net/wiki/Zygarde_(Forbidden_Light_72)" TargetMode="External"/><Relationship Id="rId113" Type="http://schemas.openxmlformats.org/officeDocument/2006/relationships/hyperlink" Target="https://bulbapedia.bulbagarden.net/wiki/Beast_Ring_(Forbidden_Light_141)" TargetMode="External"/><Relationship Id="rId118" Type="http://schemas.openxmlformats.org/officeDocument/2006/relationships/hyperlink" Target="https://bulbapedia.bulbagarden.net/wiki/Unit_Energy_FDF_(Forbidden_Light_146)" TargetMode="External"/><Relationship Id="rId80" Type="http://schemas.openxmlformats.org/officeDocument/2006/relationships/hyperlink" Target="https://bulbapedia.bulbagarden.net/wiki/Sylveon_(Forbidden_Light_87)" TargetMode="External"/><Relationship Id="rId85" Type="http://schemas.openxmlformats.org/officeDocument/2006/relationships/hyperlink" Target="https://bulbapedia.bulbagarden.net/wiki/Sliggoo_(Forbidden_Light_93)" TargetMode="External"/><Relationship Id="rId12" Type="http://schemas.openxmlformats.org/officeDocument/2006/relationships/hyperlink" Target="https://bulbapedia.bulbagarden.net/wiki/Pheromosa_(Forbidden_Light_11)" TargetMode="External"/><Relationship Id="rId17" Type="http://schemas.openxmlformats.org/officeDocument/2006/relationships/hyperlink" Target="https://bulbapedia.bulbagarden.net/wiki/Braixen_(Forbidden_Light_16)" TargetMode="External"/><Relationship Id="rId33" Type="http://schemas.openxmlformats.org/officeDocument/2006/relationships/hyperlink" Target="https://bulbapedia.bulbagarden.net/wiki/Magneton_(Forbidden_Light_35)" TargetMode="External"/><Relationship Id="rId38" Type="http://schemas.openxmlformats.org/officeDocument/2006/relationships/hyperlink" Target="https://bulbapedia.bulbagarden.net/wiki/Rotom_(Forbidden_Light_40)" TargetMode="External"/><Relationship Id="rId59" Type="http://schemas.openxmlformats.org/officeDocument/2006/relationships/hyperlink" Target="https://bulbapedia.bulbagarden.net/wiki/Garchomp_(Forbidden_Light_62)" TargetMode="External"/><Relationship Id="rId103" Type="http://schemas.openxmlformats.org/officeDocument/2006/relationships/hyperlink" Target="https://bulbapedia.bulbagarden.net/wiki/Mysterious_Treasure_(Forbidden_Light_113)" TargetMode="External"/><Relationship Id="rId108" Type="http://schemas.openxmlformats.org/officeDocument/2006/relationships/hyperlink" Target="https://bulbapedia.bulbagarden.net/wiki/Unit_Energy_FDF_(Forbidden_Light_118)" TargetMode="External"/><Relationship Id="rId54" Type="http://schemas.openxmlformats.org/officeDocument/2006/relationships/hyperlink" Target="https://bulbapedia.bulbagarden.net/wiki/Cubone_(Forbidden_Light_57)" TargetMode="External"/><Relationship Id="rId70" Type="http://schemas.openxmlformats.org/officeDocument/2006/relationships/hyperlink" Target="https://bulbapedia.bulbagarden.net/wiki/Rockruff_(Forbidden_Light_75)" TargetMode="External"/><Relationship Id="rId75" Type="http://schemas.openxmlformats.org/officeDocument/2006/relationships/hyperlink" Target="https://bulbapedia.bulbagarden.net/wiki/Empoleon_(Forbidden_Light_81)" TargetMode="External"/><Relationship Id="rId91" Type="http://schemas.openxmlformats.org/officeDocument/2006/relationships/hyperlink" Target="https://bulbapedia.bulbagarden.net/wiki/Noivern_(Forbidden_Light_101)" TargetMode="External"/><Relationship Id="rId96" Type="http://schemas.openxmlformats.org/officeDocument/2006/relationships/hyperlink" Target="https://bulbapedia.bulbagarden.net/wiki/Eneporter_(Forbidden_Light_106)" TargetMode="External"/><Relationship Id="rId1" Type="http://schemas.openxmlformats.org/officeDocument/2006/relationships/hyperlink" Target="https://bulbapedia.bulbagarden.net/wiki/Exeggcute_(Forbidden_Light_1)" TargetMode="External"/><Relationship Id="rId6" Type="http://schemas.openxmlformats.org/officeDocument/2006/relationships/hyperlink" Target="https://bulbapedia.bulbagarden.net/wiki/Scatterbug_(Forbidden_Light_5)" TargetMode="External"/><Relationship Id="rId23" Type="http://schemas.openxmlformats.org/officeDocument/2006/relationships/hyperlink" Target="https://bulbapedia.bulbagarden.net/wiki/Frogadier_(Forbidden_Light_23)" TargetMode="External"/><Relationship Id="rId28" Type="http://schemas.openxmlformats.org/officeDocument/2006/relationships/hyperlink" Target="https://bulbapedia.bulbagarden.net/wiki/Bergmite_(Forbidden_Light_29)" TargetMode="External"/><Relationship Id="rId49" Type="http://schemas.openxmlformats.org/officeDocument/2006/relationships/hyperlink" Target="https://bulbapedia.bulbagarden.net/wiki/Malamar_(Forbidden_Light_51)" TargetMode="External"/><Relationship Id="rId114" Type="http://schemas.openxmlformats.org/officeDocument/2006/relationships/hyperlink" Target="https://bulbapedia.bulbagarden.net/wiki/Eneporter_(Forbidden_Light_142)" TargetMode="External"/><Relationship Id="rId10" Type="http://schemas.openxmlformats.org/officeDocument/2006/relationships/hyperlink" Target="https://bulbapedia.bulbagarden.net/wiki/Skiddo_(Forbidden_Light_9)" TargetMode="External"/><Relationship Id="rId31" Type="http://schemas.openxmlformats.org/officeDocument/2006/relationships/hyperlink" Target="https://bulbapedia.bulbagarden.net/wiki/Araquanid_(Forbidden_Light_33)" TargetMode="External"/><Relationship Id="rId44" Type="http://schemas.openxmlformats.org/officeDocument/2006/relationships/hyperlink" Target="https://bulbapedia.bulbagarden.net/wiki/Honedge_(Forbidden_Light_46)" TargetMode="External"/><Relationship Id="rId52" Type="http://schemas.openxmlformats.org/officeDocument/2006/relationships/hyperlink" Target="https://bulbapedia.bulbagarden.net/wiki/Hoopa_(Forbidden_Light_54)" TargetMode="External"/><Relationship Id="rId60" Type="http://schemas.openxmlformats.org/officeDocument/2006/relationships/hyperlink" Target="https://bulbapedia.bulbagarden.net/wiki/Croagunk_(Forbidden_Light_63)" TargetMode="External"/><Relationship Id="rId65" Type="http://schemas.openxmlformats.org/officeDocument/2006/relationships/hyperlink" Target="https://bulbapedia.bulbagarden.net/wiki/Tyrunt_(Forbidden_Light_68)" TargetMode="External"/><Relationship Id="rId73" Type="http://schemas.openxmlformats.org/officeDocument/2006/relationships/hyperlink" Target="https://bulbapedia.bulbagarden.net/wiki/Pangoro_(Forbidden_Light_78)" TargetMode="External"/><Relationship Id="rId78" Type="http://schemas.openxmlformats.org/officeDocument/2006/relationships/hyperlink" Target="https://bulbapedia.bulbagarden.net/wiki/Floette_(Forbidden_Light_85)" TargetMode="External"/><Relationship Id="rId81" Type="http://schemas.openxmlformats.org/officeDocument/2006/relationships/hyperlink" Target="https://bulbapedia.bulbagarden.net/wiki/Dedenne_(Forbidden_Light_88)" TargetMode="External"/><Relationship Id="rId86" Type="http://schemas.openxmlformats.org/officeDocument/2006/relationships/hyperlink" Target="https://bulbapedia.bulbagarden.net/wiki/Goodra_(Forbidden_Light_94)" TargetMode="External"/><Relationship Id="rId94" Type="http://schemas.openxmlformats.org/officeDocument/2006/relationships/hyperlink" Target="https://bulbapedia.bulbagarden.net/wiki/Crasher_Wake_(Forbidden_Light_104)" TargetMode="External"/><Relationship Id="rId99" Type="http://schemas.openxmlformats.org/officeDocument/2006/relationships/hyperlink" Target="https://bulbapedia.bulbagarden.net/wiki/Lady_(Forbidden_Light_109)" TargetMode="External"/><Relationship Id="rId101" Type="http://schemas.openxmlformats.org/officeDocument/2006/relationships/hyperlink" Target="https://bulbapedia.bulbagarden.net/wiki/Metal_Frying_Pan_(Forbidden_Light_112)" TargetMode="External"/><Relationship Id="rId4" Type="http://schemas.openxmlformats.org/officeDocument/2006/relationships/hyperlink" Target="https://bulbapedia.bulbagarden.net/wiki/Snover_(Forbidden_Light_3)" TargetMode="External"/><Relationship Id="rId9" Type="http://schemas.openxmlformats.org/officeDocument/2006/relationships/hyperlink" Target="https://bulbapedia.bulbagarden.net/wiki/Vivillon_(Forbidden_Light_8)" TargetMode="External"/><Relationship Id="rId13" Type="http://schemas.openxmlformats.org/officeDocument/2006/relationships/hyperlink" Target="https://bulbapedia.bulbagarden.net/wiki/Alolan_Marowak_(Forbidden_Light_12)" TargetMode="External"/><Relationship Id="rId18" Type="http://schemas.openxmlformats.org/officeDocument/2006/relationships/hyperlink" Target="https://bulbapedia.bulbagarden.net/wiki/Delphox_(Forbidden_Light_17)" TargetMode="External"/><Relationship Id="rId39" Type="http://schemas.openxmlformats.org/officeDocument/2006/relationships/hyperlink" Target="https://bulbapedia.bulbagarden.net/wiki/Uxie_(Forbidden_Light_41)" TargetMode="External"/><Relationship Id="rId109" Type="http://schemas.openxmlformats.org/officeDocument/2006/relationships/hyperlink" Target="https://bulbapedia.bulbagarden.net/wiki/Bonnie_(Forbidden_Light_128)" TargetMode="External"/><Relationship Id="rId34" Type="http://schemas.openxmlformats.org/officeDocument/2006/relationships/hyperlink" Target="https://bulbapedia.bulbagarden.net/wiki/Magnezone_(Forbidden_Light_36)" TargetMode="External"/><Relationship Id="rId50" Type="http://schemas.openxmlformats.org/officeDocument/2006/relationships/hyperlink" Target="https://bulbapedia.bulbagarden.net/wiki/Skrelp_(Forbidden_Light_52)" TargetMode="External"/><Relationship Id="rId55" Type="http://schemas.openxmlformats.org/officeDocument/2006/relationships/hyperlink" Target="https://bulbapedia.bulbagarden.net/wiki/Torterra_(Forbidden_Light_58)" TargetMode="External"/><Relationship Id="rId76" Type="http://schemas.openxmlformats.org/officeDocument/2006/relationships/hyperlink" Target="https://bulbapedia.bulbagarden.net/wiki/Flab%C3%A9b%C3%A9_(Forbidden_Light_83)" TargetMode="External"/><Relationship Id="rId97" Type="http://schemas.openxmlformats.org/officeDocument/2006/relationships/hyperlink" Target="https://bulbapedia.bulbagarden.net/wiki/Fossil_Excavation_Map_(Forbidden_Light_107)" TargetMode="External"/><Relationship Id="rId104" Type="http://schemas.openxmlformats.org/officeDocument/2006/relationships/hyperlink" Target="https://bulbapedia.bulbagarden.net/wiki/Mysterious_Treasure_(Forbidden_Light_113)" TargetMode="External"/><Relationship Id="rId7" Type="http://schemas.openxmlformats.org/officeDocument/2006/relationships/hyperlink" Target="https://bulbapedia.bulbagarden.net/wiki/Scatterbug_(Forbidden_Light_6)" TargetMode="External"/><Relationship Id="rId71" Type="http://schemas.openxmlformats.org/officeDocument/2006/relationships/hyperlink" Target="https://bulbapedia.bulbagarden.net/wiki/Lycanroc_(Forbidden_Light_76)" TargetMode="External"/><Relationship Id="rId92" Type="http://schemas.openxmlformats.org/officeDocument/2006/relationships/hyperlink" Target="https://bulbapedia.bulbagarden.net/wiki/Beast_Ring_(Forbidden_Light_102)" TargetMode="External"/><Relationship Id="rId2" Type="http://schemas.openxmlformats.org/officeDocument/2006/relationships/hyperlink" Target="https://bulbapedia.bulbagarden.net/wiki/Alolan_Exeggutor_(Forbidden_Light_2)" TargetMode="External"/><Relationship Id="rId29" Type="http://schemas.openxmlformats.org/officeDocument/2006/relationships/hyperlink" Target="https://bulbapedia.bulbagarden.net/wiki/Avalugg_(Forbidden_Light_30)" TargetMode="External"/><Relationship Id="rId24" Type="http://schemas.openxmlformats.org/officeDocument/2006/relationships/hyperlink" Target="https://bulbapedia.bulbagarden.net/wiki/Clauncher_(Forbidden_Light_25)" TargetMode="External"/><Relationship Id="rId40" Type="http://schemas.openxmlformats.org/officeDocument/2006/relationships/hyperlink" Target="https://bulbapedia.bulbagarden.net/wiki/Mesprit_(Forbidden_Light_42)" TargetMode="External"/><Relationship Id="rId45" Type="http://schemas.openxmlformats.org/officeDocument/2006/relationships/hyperlink" Target="https://bulbapedia.bulbagarden.net/wiki/Honedge_(Forbidden_Light_47)" TargetMode="External"/><Relationship Id="rId66" Type="http://schemas.openxmlformats.org/officeDocument/2006/relationships/hyperlink" Target="https://bulbapedia.bulbagarden.net/wiki/Tyrantrum_(Forbidden_Light_69)" TargetMode="External"/><Relationship Id="rId87" Type="http://schemas.openxmlformats.org/officeDocument/2006/relationships/hyperlink" Target="https://bulbapedia.bulbagarden.net/wiki/Bunnelby_(Forbidden_Light_97)" TargetMode="External"/><Relationship Id="rId110" Type="http://schemas.openxmlformats.org/officeDocument/2006/relationships/hyperlink" Target="https://bulbapedia.bulbagarden.net/wiki/Crasher_Wake_(Forbidden_Light_129)" TargetMode="External"/><Relationship Id="rId115" Type="http://schemas.openxmlformats.org/officeDocument/2006/relationships/hyperlink" Target="https://bulbapedia.bulbagarden.net/wiki/Energy_Recycler_(Forbidden_Light_143)" TargetMode="External"/><Relationship Id="rId61" Type="http://schemas.openxmlformats.org/officeDocument/2006/relationships/hyperlink" Target="https://bulbapedia.bulbagarden.net/wiki/Toxicroak_(Forbidden_Light_64)" TargetMode="External"/><Relationship Id="rId82" Type="http://schemas.openxmlformats.org/officeDocument/2006/relationships/hyperlink" Target="https://bulbapedia.bulbagarden.net/wiki/Klefki_(Forbidden_Light_89)" TargetMode="External"/><Relationship Id="rId19" Type="http://schemas.openxmlformats.org/officeDocument/2006/relationships/hyperlink" Target="https://bulbapedia.bulbagarden.net/wiki/Litleo_(Forbidden_Light_18)" TargetMode="External"/><Relationship Id="rId14" Type="http://schemas.openxmlformats.org/officeDocument/2006/relationships/hyperlink" Target="https://bulbapedia.bulbagarden.net/wiki/Heatran_(Forbidden_Light_13)" TargetMode="External"/><Relationship Id="rId30" Type="http://schemas.openxmlformats.org/officeDocument/2006/relationships/hyperlink" Target="https://bulbapedia.bulbagarden.net/wiki/Dewpider_(Forbidden_Light_32)" TargetMode="External"/><Relationship Id="rId35" Type="http://schemas.openxmlformats.org/officeDocument/2006/relationships/hyperlink" Target="https://bulbapedia.bulbagarden.net/wiki/Helioptile_(Forbidden_Light_37)" TargetMode="External"/><Relationship Id="rId56" Type="http://schemas.openxmlformats.org/officeDocument/2006/relationships/hyperlink" Target="https://bulbapedia.bulbagarden.net/wiki/Infernape_(Forbidden_Light_59)" TargetMode="External"/><Relationship Id="rId77" Type="http://schemas.openxmlformats.org/officeDocument/2006/relationships/hyperlink" Target="https://bulbapedia.bulbagarden.net/wiki/Flab%C3%A9b%C3%A9_(Forbidden_Light_84)" TargetMode="External"/><Relationship Id="rId100" Type="http://schemas.openxmlformats.org/officeDocument/2006/relationships/hyperlink" Target="https://bulbapedia.bulbagarden.net/wiki/Lysandre_Labs_(Forbidden_Light_111)" TargetMode="External"/><Relationship Id="rId105" Type="http://schemas.openxmlformats.org/officeDocument/2006/relationships/hyperlink" Target="https://bulbapedia.bulbagarden.net/wiki/Ultra_Recon_Squad_(Forbidden_Light_114)" TargetMode="External"/><Relationship Id="rId8" Type="http://schemas.openxmlformats.org/officeDocument/2006/relationships/hyperlink" Target="https://bulbapedia.bulbagarden.net/wiki/Spewpa_(Forbidden_Light_7)" TargetMode="External"/><Relationship Id="rId51" Type="http://schemas.openxmlformats.org/officeDocument/2006/relationships/hyperlink" Target="https://bulbapedia.bulbagarden.net/wiki/Dragalge_(Forbidden_Light_53)" TargetMode="External"/><Relationship Id="rId72" Type="http://schemas.openxmlformats.org/officeDocument/2006/relationships/hyperlink" Target="https://bulbapedia.bulbagarden.net/wiki/Buzzwole_(Forbidden_Light_77)" TargetMode="External"/><Relationship Id="rId93" Type="http://schemas.openxmlformats.org/officeDocument/2006/relationships/hyperlink" Target="https://bulbapedia.bulbagarden.net/wiki/Bonnie_(Forbidden_Light_103)" TargetMode="External"/><Relationship Id="rId98" Type="http://schemas.openxmlformats.org/officeDocument/2006/relationships/hyperlink" Target="https://bulbapedia.bulbagarden.net/wiki/Judge_(Forbidden_Light_108)" TargetMode="External"/><Relationship Id="rId3" Type="http://schemas.openxmlformats.org/officeDocument/2006/relationships/hyperlink" Target="https://bulbapedia.bulbagarden.net/wiki/Alolan_Exeggutor_(Forbidden_Light_2)" TargetMode="External"/><Relationship Id="rId25" Type="http://schemas.openxmlformats.org/officeDocument/2006/relationships/hyperlink" Target="https://bulbapedia.bulbagarden.net/wiki/Clawitzer_(Forbidden_Light_26)" TargetMode="External"/><Relationship Id="rId46" Type="http://schemas.openxmlformats.org/officeDocument/2006/relationships/hyperlink" Target="https://bulbapedia.bulbagarden.net/wiki/Doublade_(Forbidden_Light_48)" TargetMode="External"/><Relationship Id="rId67" Type="http://schemas.openxmlformats.org/officeDocument/2006/relationships/hyperlink" Target="https://bulbapedia.bulbagarden.net/wiki/Hawlucha_(Forbidden_Light_70)" TargetMode="External"/><Relationship Id="rId116" Type="http://schemas.openxmlformats.org/officeDocument/2006/relationships/hyperlink" Target="https://bulbapedia.bulbagarden.net/wiki/Metal_Frying_Pan_(Forbidden_Light_144)" TargetMode="External"/><Relationship Id="rId20" Type="http://schemas.openxmlformats.org/officeDocument/2006/relationships/hyperlink" Target="https://bulbapedia.bulbagarden.net/wiki/Pyroar_(Forbidden_Light_19)" TargetMode="External"/><Relationship Id="rId41" Type="http://schemas.openxmlformats.org/officeDocument/2006/relationships/hyperlink" Target="https://bulbapedia.bulbagarden.net/wiki/Azelf_(Forbidden_Light_43)" TargetMode="External"/><Relationship Id="rId62" Type="http://schemas.openxmlformats.org/officeDocument/2006/relationships/hyperlink" Target="https://bulbapedia.bulbagarden.net/wiki/Pancham_(Forbidden_Light_65)" TargetMode="External"/><Relationship Id="rId83" Type="http://schemas.openxmlformats.org/officeDocument/2006/relationships/hyperlink" Target="https://bulbapedia.bulbagarden.net/wiki/Goomy_(Forbidden_Light_91)" TargetMode="External"/><Relationship Id="rId88" Type="http://schemas.openxmlformats.org/officeDocument/2006/relationships/hyperlink" Target="https://bulbapedia.bulbagarden.net/wiki/Diggersby_(Forbidden_Light_98)" TargetMode="External"/><Relationship Id="rId111" Type="http://schemas.openxmlformats.org/officeDocument/2006/relationships/hyperlink" Target="https://bulbapedia.bulbagarden.net/wiki/Diantha_(Forbidden_Light_130)" TargetMode="External"/><Relationship Id="rId15" Type="http://schemas.openxmlformats.org/officeDocument/2006/relationships/hyperlink" Target="https://bulbapedia.bulbagarden.net/wiki/Fennekin_(Forbidden_Light_14)" TargetMode="External"/><Relationship Id="rId36" Type="http://schemas.openxmlformats.org/officeDocument/2006/relationships/hyperlink" Target="https://bulbapedia.bulbagarden.net/wiki/Heliolisk_(Forbidden_Light_38)" TargetMode="External"/><Relationship Id="rId57" Type="http://schemas.openxmlformats.org/officeDocument/2006/relationships/hyperlink" Target="https://bulbapedia.bulbagarden.net/wiki/Gible_(Forbidden_Light_60)" TargetMode="External"/><Relationship Id="rId106" Type="http://schemas.openxmlformats.org/officeDocument/2006/relationships/hyperlink" Target="https://bulbapedia.bulbagarden.net/wiki/Ultra_Space_(Forbidden_Light_115)" TargetMode="External"/></Relationships>
</file>

<file path=xl/worksheets/_rels/sheet74.xml.rels><?xml version="1.0" encoding="UTF-8" standalone="yes"?>
<Relationships xmlns="http://schemas.openxmlformats.org/package/2006/relationships"><Relationship Id="rId117" Type="http://schemas.openxmlformats.org/officeDocument/2006/relationships/hyperlink" Target="https://bulbapedia.bulbagarden.net/w/index.php?title=Fisherman_(Celestial_Storm_130)&amp;action=edit&amp;redlink=1" TargetMode="External"/><Relationship Id="rId21" Type="http://schemas.openxmlformats.org/officeDocument/2006/relationships/hyperlink" Target="https://bulbapedia.bulbagarden.net/w/index.php?title=Tropius_(Celestial_Storm_21)&amp;action=edit&amp;redlink=1" TargetMode="External"/><Relationship Id="rId42" Type="http://schemas.openxmlformats.org/officeDocument/2006/relationships/hyperlink" Target="https://bulbapedia.bulbagarden.net/w/index.php?title=Luvdisc_(Celestial_Storm_44)&amp;action=edit&amp;redlink=1" TargetMode="External"/><Relationship Id="rId63" Type="http://schemas.openxmlformats.org/officeDocument/2006/relationships/hyperlink" Target="https://bulbapedia.bulbagarden.net/w/index.php?title=Deoxys_(Celestial_Storm_68)&amp;action=edit&amp;redlink=1" TargetMode="External"/><Relationship Id="rId84" Type="http://schemas.openxmlformats.org/officeDocument/2006/relationships/hyperlink" Target="https://bulbapedia.bulbagarden.net/w/index.php?title=Beldum_(Celestial_Storm_92)&amp;action=edit&amp;redlink=1" TargetMode="External"/><Relationship Id="rId138" Type="http://schemas.openxmlformats.org/officeDocument/2006/relationships/hyperlink" Target="https://bulbapedia.bulbagarden.net/w/index.php?title=Rainbow_Energy_(Celestial_Storm_151)&amp;action=edit&amp;redlink=1" TargetMode="External"/><Relationship Id="rId107" Type="http://schemas.openxmlformats.org/officeDocument/2006/relationships/hyperlink" Target="https://bulbapedia.bulbagarden.net/w/index.php?title=Skitty_(Celestial_Storm_120)&amp;action=edit&amp;redlink=1" TargetMode="External"/><Relationship Id="rId11" Type="http://schemas.openxmlformats.org/officeDocument/2006/relationships/hyperlink" Target="https://bulbapedia.bulbagarden.net/w/index.php?title=Sceptile_(Celestial_Storm_10)&amp;action=edit&amp;redlink=1" TargetMode="External"/><Relationship Id="rId32" Type="http://schemas.openxmlformats.org/officeDocument/2006/relationships/hyperlink" Target="https://bulbapedia.bulbagarden.net/w/index.php?title=Marshtomp_(Celestial_Storm_34)&amp;action=edit&amp;redlink=1" TargetMode="External"/><Relationship Id="rId53" Type="http://schemas.openxmlformats.org/officeDocument/2006/relationships/hyperlink" Target="https://bulbapedia.bulbagarden.net/w/index.php?title=Gulpin_(Celestial_Storm_57)&amp;action=edit&amp;redlink=1" TargetMode="External"/><Relationship Id="rId74" Type="http://schemas.openxmlformats.org/officeDocument/2006/relationships/hyperlink" Target="https://bulbapedia.bulbagarden.net/w/index.php?title=Claydol_(Celestial_Storm_79)&amp;action=edit&amp;redlink=1" TargetMode="External"/><Relationship Id="rId128" Type="http://schemas.openxmlformats.org/officeDocument/2006/relationships/hyperlink" Target="https://bulbapedia.bulbagarden.net/w/index.php?title=Rainbow_Brush_(Celestial_Storm_141)&amp;action=edit&amp;redlink=1" TargetMode="External"/><Relationship Id="rId149" Type="http://schemas.openxmlformats.org/officeDocument/2006/relationships/hyperlink" Target="https://bulbapedia.bulbagarden.net/wiki/Life_Herb_(Celestial_Storm_180)" TargetMode="External"/><Relationship Id="rId5" Type="http://schemas.openxmlformats.org/officeDocument/2006/relationships/hyperlink" Target="https://bulbapedia.bulbagarden.net/w/index.php?title=Spinarak_(Celestial_Storm_5)&amp;action=edit&amp;redlink=1" TargetMode="External"/><Relationship Id="rId95" Type="http://schemas.openxmlformats.org/officeDocument/2006/relationships/hyperlink" Target="https://bulbapedia.bulbagarden.net/w/index.php?title=Shelgon_(Celestial_Storm_105)&amp;action=edit&amp;redlink=1" TargetMode="External"/><Relationship Id="rId22" Type="http://schemas.openxmlformats.org/officeDocument/2006/relationships/hyperlink" Target="https://bulbapedia.bulbagarden.net/w/index.php?title=Dhelmise_(Celestial_Storm_22)&amp;action=edit&amp;redlink=1" TargetMode="External"/><Relationship Id="rId27" Type="http://schemas.openxmlformats.org/officeDocument/2006/relationships/hyperlink" Target="https://bulbapedia.bulbagarden.net/w/index.php?title=Combusken_(Celestial_Storm_27)&amp;action=edit&amp;redlink=1" TargetMode="External"/><Relationship Id="rId43" Type="http://schemas.openxmlformats.org/officeDocument/2006/relationships/hyperlink" Target="https://bulbapedia.bulbagarden.net/w/index.php?title=Regice_(Celestial_Storm_45)&amp;action=edit&amp;redlink=1" TargetMode="External"/><Relationship Id="rId48" Type="http://schemas.openxmlformats.org/officeDocument/2006/relationships/hyperlink" Target="https://bulbapedia.bulbagarden.net/w/index.php?title=Electrike_(Celestial_Storm_51)&amp;action=edit&amp;redlink=1" TargetMode="External"/><Relationship Id="rId64" Type="http://schemas.openxmlformats.org/officeDocument/2006/relationships/hyperlink" Target="https://bulbapedia.bulbagarden.net/w/index.php?title=Deoxys_(Celestial_Storm_69)&amp;action=edit&amp;redlink=1" TargetMode="External"/><Relationship Id="rId69" Type="http://schemas.openxmlformats.org/officeDocument/2006/relationships/hyperlink" Target="https://bulbapedia.bulbagarden.net/w/index.php?title=Larvitar_(Celestial_Storm_74)&amp;action=edit&amp;redlink=1" TargetMode="External"/><Relationship Id="rId113" Type="http://schemas.openxmlformats.org/officeDocument/2006/relationships/hyperlink" Target="https://bulbapedia.bulbagarden.net/w/index.php?title=Bill%27s_Maintenance_(Celestial_Storm_126)&amp;action=edit&amp;redlink=1" TargetMode="External"/><Relationship Id="rId118" Type="http://schemas.openxmlformats.org/officeDocument/2006/relationships/hyperlink" Target="https://bulbapedia.bulbagarden.net/w/index.php?title=Friend_Ball_(Celestial_Storm_131)&amp;action=edit&amp;redlink=1" TargetMode="External"/><Relationship Id="rId134" Type="http://schemas.openxmlformats.org/officeDocument/2006/relationships/hyperlink" Target="https://bulbapedia.bulbagarden.net/w/index.php?title=Switch_(Celestial_Storm_147)&amp;action=edit&amp;redlink=1" TargetMode="External"/><Relationship Id="rId139" Type="http://schemas.openxmlformats.org/officeDocument/2006/relationships/hyperlink" Target="https://bulbapedia.bulbagarden.net/w/index.php?title=Apricorn_Maker_(Celestial_Storm_161)&amp;action=edit&amp;redlink=1" TargetMode="External"/><Relationship Id="rId80" Type="http://schemas.openxmlformats.org/officeDocument/2006/relationships/hyperlink" Target="https://bulbapedia.bulbagarden.net/w/index.php?title=Tyranitar_(Celestial_Storm_87)&amp;action=edit&amp;redlink=1" TargetMode="External"/><Relationship Id="rId85" Type="http://schemas.openxmlformats.org/officeDocument/2006/relationships/hyperlink" Target="https://bulbapedia.bulbagarden.net/w/index.php?title=Beldum_(Celestial_Storm_93)&amp;action=edit&amp;redlink=1" TargetMode="External"/><Relationship Id="rId150" Type="http://schemas.openxmlformats.org/officeDocument/2006/relationships/hyperlink" Target="https://bulbapedia.bulbagarden.net/wiki/Pok%C3%A9Nav_(Celestial_Storm_181)" TargetMode="External"/><Relationship Id="rId12" Type="http://schemas.openxmlformats.org/officeDocument/2006/relationships/hyperlink" Target="https://bulbapedia.bulbagarden.net/w/index.php?title=Seedot_(Celestial_Storm_11)&amp;action=edit&amp;redlink=1" TargetMode="External"/><Relationship Id="rId17" Type="http://schemas.openxmlformats.org/officeDocument/2006/relationships/hyperlink" Target="https://bulbapedia.bulbagarden.net/w/index.php?title=Volbeat_(Celestial_Storm_17)&amp;action=edit&amp;redlink=1" TargetMode="External"/><Relationship Id="rId33" Type="http://schemas.openxmlformats.org/officeDocument/2006/relationships/hyperlink" Target="https://bulbapedia.bulbagarden.net/w/index.php?title=Swampert_(Celestial_Storm_35)&amp;action=edit&amp;redlink=1" TargetMode="External"/><Relationship Id="rId38" Type="http://schemas.openxmlformats.org/officeDocument/2006/relationships/hyperlink" Target="https://bulbapedia.bulbagarden.net/w/index.php?title=Wailord_(Celestial_Storm_40)&amp;action=edit&amp;redlink=1" TargetMode="External"/><Relationship Id="rId59" Type="http://schemas.openxmlformats.org/officeDocument/2006/relationships/hyperlink" Target="https://bulbapedia.bulbagarden.net/w/index.php?title=Shuppet_(Celestial_Storm_63)&amp;action=edit&amp;redlink=1" TargetMode="External"/><Relationship Id="rId103" Type="http://schemas.openxmlformats.org/officeDocument/2006/relationships/hyperlink" Target="https://bulbapedia.bulbagarden.net/w/index.php?title=Whismur_(Celestial_Storm_116)&amp;action=edit&amp;redlink=1" TargetMode="External"/><Relationship Id="rId108" Type="http://schemas.openxmlformats.org/officeDocument/2006/relationships/hyperlink" Target="https://bulbapedia.bulbagarden.net/w/index.php?title=Delcatty_(Celestial_Storm_121)&amp;action=edit&amp;redlink=1" TargetMode="External"/><Relationship Id="rId124" Type="http://schemas.openxmlformats.org/officeDocument/2006/relationships/hyperlink" Target="https://bulbapedia.bulbagarden.net/w/index.php?title=Lisia_(Celestial_Storm_137)&amp;action=edit&amp;redlink=1" TargetMode="External"/><Relationship Id="rId129" Type="http://schemas.openxmlformats.org/officeDocument/2006/relationships/hyperlink" Target="https://bulbapedia.bulbagarden.net/w/index.php?title=Rare_Candy_(Celestial_Storm_142)&amp;action=edit&amp;redlink=1" TargetMode="External"/><Relationship Id="rId54" Type="http://schemas.openxmlformats.org/officeDocument/2006/relationships/hyperlink" Target="https://bulbapedia.bulbagarden.net/w/index.php?title=Swalot_(Celestial_Storm_58)&amp;action=edit&amp;redlink=1" TargetMode="External"/><Relationship Id="rId70" Type="http://schemas.openxmlformats.org/officeDocument/2006/relationships/hyperlink" Target="https://bulbapedia.bulbagarden.net/w/index.php?title=Pupitar_(Celestial_Storm_75)&amp;action=edit&amp;redlink=1" TargetMode="External"/><Relationship Id="rId75" Type="http://schemas.openxmlformats.org/officeDocument/2006/relationships/hyperlink" Target="https://bulbapedia.bulbagarden.net/w/index.php?title=Regirock_(Celestial_Storm_80)&amp;action=edit&amp;redlink=1" TargetMode="External"/><Relationship Id="rId91" Type="http://schemas.openxmlformats.org/officeDocument/2006/relationships/hyperlink" Target="https://bulbapedia.bulbagarden.net/w/index.php?title=Celesteela_(Celestial_Storm_100)&amp;action=edit&amp;redlink=1" TargetMode="External"/><Relationship Id="rId96" Type="http://schemas.openxmlformats.org/officeDocument/2006/relationships/hyperlink" Target="https://bulbapedia.bulbagarden.net/w/index.php?title=Salamence_(Celestial_Storm_106)&amp;action=edit&amp;redlink=1" TargetMode="External"/><Relationship Id="rId140" Type="http://schemas.openxmlformats.org/officeDocument/2006/relationships/hyperlink" Target="https://bulbapedia.bulbagarden.net/w/index.php?title=Bill%27s_Maintenance_(Celestial_Storm_162)&amp;action=edit&amp;redlink=1" TargetMode="External"/><Relationship Id="rId145" Type="http://schemas.openxmlformats.org/officeDocument/2006/relationships/hyperlink" Target="https://bulbapedia.bulbagarden.net/w/index.php?title=TV_Reporter_(Celestial_Storm_167)&amp;action=edit&amp;redlink=1" TargetMode="External"/><Relationship Id="rId1" Type="http://schemas.openxmlformats.org/officeDocument/2006/relationships/hyperlink" Target="https://bulbapedia.bulbagarden.net/w/index.php?title=Bellsprout_(Celestial_Storm_1)&amp;action=edit&amp;redlink=1" TargetMode="External"/><Relationship Id="rId6" Type="http://schemas.openxmlformats.org/officeDocument/2006/relationships/hyperlink" Target="https://bulbapedia.bulbagarden.net/w/index.php?title=Ariados_(Celestial_Storm_6)&amp;action=edit&amp;redlink=1" TargetMode="External"/><Relationship Id="rId23" Type="http://schemas.openxmlformats.org/officeDocument/2006/relationships/hyperlink" Target="https://bulbapedia.bulbagarden.net/w/index.php?title=Slugma_(Celestial_Storm_23)&amp;action=edit&amp;redlink=1" TargetMode="External"/><Relationship Id="rId28" Type="http://schemas.openxmlformats.org/officeDocument/2006/relationships/hyperlink" Target="https://bulbapedia.bulbagarden.net/w/index.php?title=Torkoal_(Celestial_Storm_29)&amp;action=edit&amp;redlink=1" TargetMode="External"/><Relationship Id="rId49" Type="http://schemas.openxmlformats.org/officeDocument/2006/relationships/hyperlink" Target="https://bulbapedia.bulbagarden.net/w/index.php?title=Manectric_(Celestial_Storm_52)&amp;action=edit&amp;redlink=1" TargetMode="External"/><Relationship Id="rId114" Type="http://schemas.openxmlformats.org/officeDocument/2006/relationships/hyperlink" Target="https://bulbapedia.bulbagarden.net/w/index.php?title=Copycat_(Celestial_Storm_127)&amp;action=edit&amp;redlink=1" TargetMode="External"/><Relationship Id="rId119" Type="http://schemas.openxmlformats.org/officeDocument/2006/relationships/hyperlink" Target="https://bulbapedia.bulbagarden.net/w/index.php?title=Hau_(Celestial_Storm_132)&amp;action=edit&amp;redlink=1" TargetMode="External"/><Relationship Id="rId44" Type="http://schemas.openxmlformats.org/officeDocument/2006/relationships/hyperlink" Target="https://bulbapedia.bulbagarden.net/w/index.php?title=Kyogre_(Celestial_Storm_46)&amp;action=edit&amp;redlink=1" TargetMode="External"/><Relationship Id="rId60" Type="http://schemas.openxmlformats.org/officeDocument/2006/relationships/hyperlink" Target="https://bulbapedia.bulbagarden.net/w/index.php?title=Shuppet_(Celestial_Storm_64)&amp;action=edit&amp;redlink=1" TargetMode="External"/><Relationship Id="rId65" Type="http://schemas.openxmlformats.org/officeDocument/2006/relationships/hyperlink" Target="https://bulbapedia.bulbagarden.net/w/index.php?title=Lunala_(Celestial_Storm_70)&amp;action=edit&amp;redlink=1" TargetMode="External"/><Relationship Id="rId81" Type="http://schemas.openxmlformats.org/officeDocument/2006/relationships/hyperlink" Target="https://bulbapedia.bulbagarden.net/w/index.php?title=Sableye_(Celestial_Storm_88)&amp;action=edit&amp;redlink=1" TargetMode="External"/><Relationship Id="rId86" Type="http://schemas.openxmlformats.org/officeDocument/2006/relationships/hyperlink" Target="https://bulbapedia.bulbagarden.net/w/index.php?title=Metang_(Celestial_Storm_94)&amp;action=edit&amp;redlink=1" TargetMode="External"/><Relationship Id="rId130" Type="http://schemas.openxmlformats.org/officeDocument/2006/relationships/hyperlink" Target="https://bulbapedia.bulbagarden.net/w/index.php?title=Shrine_of_Punishments_(Celestial_Storm_143)&amp;action=edit&amp;redlink=1" TargetMode="External"/><Relationship Id="rId135" Type="http://schemas.openxmlformats.org/officeDocument/2006/relationships/hyperlink" Target="https://bulbapedia.bulbagarden.net/w/index.php?title=Tate_%26_Liza_(Celestial_Storm_148)&amp;action=edit&amp;redlink=1" TargetMode="External"/><Relationship Id="rId151" Type="http://schemas.openxmlformats.org/officeDocument/2006/relationships/hyperlink" Target="https://bulbapedia.bulbagarden.net/wiki/Rainbow_Brush_(Celestial_Storm_182)" TargetMode="External"/><Relationship Id="rId13" Type="http://schemas.openxmlformats.org/officeDocument/2006/relationships/hyperlink" Target="https://bulbapedia.bulbagarden.net/w/index.php?title=Seedot_(Celestial_Storm_12)&amp;action=edit&amp;redlink=1" TargetMode="External"/><Relationship Id="rId18" Type="http://schemas.openxmlformats.org/officeDocument/2006/relationships/hyperlink" Target="https://bulbapedia.bulbagarden.net/w/index.php?title=Illumise_(Celestial_Storm_18)&amp;action=edit&amp;redlink=1" TargetMode="External"/><Relationship Id="rId39" Type="http://schemas.openxmlformats.org/officeDocument/2006/relationships/hyperlink" Target="https://bulbapedia.bulbagarden.net/w/index.php?title=Clamperl_(Celestial_Storm_41)&amp;action=edit&amp;redlink=1" TargetMode="External"/><Relationship Id="rId109" Type="http://schemas.openxmlformats.org/officeDocument/2006/relationships/hyperlink" Target="https://bulbapedia.bulbagarden.net/w/index.php?title=Kecleon_(Celestial_Storm_122)&amp;action=edit&amp;redlink=1" TargetMode="External"/><Relationship Id="rId34" Type="http://schemas.openxmlformats.org/officeDocument/2006/relationships/hyperlink" Target="https://bulbapedia.bulbagarden.net/w/index.php?title=Lotad_(Celestial_Storm_36)&amp;action=edit&amp;redlink=1" TargetMode="External"/><Relationship Id="rId50" Type="http://schemas.openxmlformats.org/officeDocument/2006/relationships/hyperlink" Target="https://bulbapedia.bulbagarden.net/w/index.php?title=Plusle_(Celestial_Storm_53)&amp;action=edit&amp;redlink=1" TargetMode="External"/><Relationship Id="rId55" Type="http://schemas.openxmlformats.org/officeDocument/2006/relationships/hyperlink" Target="https://bulbapedia.bulbagarden.net/w/index.php?title=Spoink_(Celestial_Storm_59)&amp;action=edit&amp;redlink=1" TargetMode="External"/><Relationship Id="rId76" Type="http://schemas.openxmlformats.org/officeDocument/2006/relationships/hyperlink" Target="https://bulbapedia.bulbagarden.net/w/index.php?title=Groudon_(Celestial_Storm_81)&amp;action=edit&amp;redlink=1" TargetMode="External"/><Relationship Id="rId97" Type="http://schemas.openxmlformats.org/officeDocument/2006/relationships/hyperlink" Target="https://bulbapedia.bulbagarden.net/w/index.php?title=Dunsparce_(Celestial_Storm_110)&amp;action=edit&amp;redlink=1" TargetMode="External"/><Relationship Id="rId104" Type="http://schemas.openxmlformats.org/officeDocument/2006/relationships/hyperlink" Target="https://bulbapedia.bulbagarden.net/w/index.php?title=Whismur_(Celestial_Storm_117)&amp;action=edit&amp;redlink=1" TargetMode="External"/><Relationship Id="rId120" Type="http://schemas.openxmlformats.org/officeDocument/2006/relationships/hyperlink" Target="https://bulbapedia.bulbagarden.net/w/index.php?title=Hiker_(Celestial_Storm_133)&amp;action=edit&amp;redlink=1" TargetMode="External"/><Relationship Id="rId125" Type="http://schemas.openxmlformats.org/officeDocument/2006/relationships/hyperlink" Target="https://bulbapedia.bulbagarden.net/w/index.php?title=Lure_Ball_(Celestial_Storm_138)&amp;action=edit&amp;redlink=1" TargetMode="External"/><Relationship Id="rId141" Type="http://schemas.openxmlformats.org/officeDocument/2006/relationships/hyperlink" Target="https://bulbapedia.bulbagarden.net/w/index.php?title=Copycat_(Celestial_Storm_163)&amp;action=edit&amp;redlink=1" TargetMode="External"/><Relationship Id="rId146" Type="http://schemas.openxmlformats.org/officeDocument/2006/relationships/hyperlink" Target="https://bulbapedia.bulbagarden.net/w/index.php?title=Underground_Expedition_(Celestial_Storm_168)&amp;action=edit&amp;redlink=1" TargetMode="External"/><Relationship Id="rId7" Type="http://schemas.openxmlformats.org/officeDocument/2006/relationships/hyperlink" Target="https://bulbapedia.bulbagarden.net/w/index.php?title=Treecko_(Celestial_Storm_7)&amp;action=edit&amp;redlink=1" TargetMode="External"/><Relationship Id="rId71" Type="http://schemas.openxmlformats.org/officeDocument/2006/relationships/hyperlink" Target="https://bulbapedia.bulbagarden.net/w/index.php?title=Meditite_(Celestial_Storm_76)&amp;action=edit&amp;redlink=1" TargetMode="External"/><Relationship Id="rId92" Type="http://schemas.openxmlformats.org/officeDocument/2006/relationships/hyperlink" Target="https://bulbapedia.bulbagarden.net/w/index.php?title=Kartana_(Celestial_Storm_101)&amp;action=edit&amp;redlink=1" TargetMode="External"/><Relationship Id="rId2" Type="http://schemas.openxmlformats.org/officeDocument/2006/relationships/hyperlink" Target="https://bulbapedia.bulbagarden.net/w/index.php?title=Weepinbell_(Celestial_Storm_2)&amp;action=edit&amp;redlink=1" TargetMode="External"/><Relationship Id="rId29" Type="http://schemas.openxmlformats.org/officeDocument/2006/relationships/hyperlink" Target="https://bulbapedia.bulbagarden.net/w/index.php?title=Oricorio_(Celestial_Storm_30)&amp;action=edit&amp;redlink=1" TargetMode="External"/><Relationship Id="rId24" Type="http://schemas.openxmlformats.org/officeDocument/2006/relationships/hyperlink" Target="https://bulbapedia.bulbagarden.net/w/index.php?title=Magcargo_(Celestial_Storm_24)&amp;action=edit&amp;redlink=1" TargetMode="External"/><Relationship Id="rId40" Type="http://schemas.openxmlformats.org/officeDocument/2006/relationships/hyperlink" Target="https://bulbapedia.bulbagarden.net/w/index.php?title=Huntail_(Celestial_Storm_42)&amp;action=edit&amp;redlink=1" TargetMode="External"/><Relationship Id="rId45" Type="http://schemas.openxmlformats.org/officeDocument/2006/relationships/hyperlink" Target="https://bulbapedia.bulbagarden.net/w/index.php?title=Voltorb_(Celestial_Storm_47)&amp;action=edit&amp;redlink=1" TargetMode="External"/><Relationship Id="rId66" Type="http://schemas.openxmlformats.org/officeDocument/2006/relationships/hyperlink" Target="https://bulbapedia.bulbagarden.net/w/index.php?title=Onix_(Celestial_Storm_71)&amp;action=edit&amp;redlink=1" TargetMode="External"/><Relationship Id="rId87" Type="http://schemas.openxmlformats.org/officeDocument/2006/relationships/hyperlink" Target="https://bulbapedia.bulbagarden.net/wiki/Metagross_(Celestial_Storm_95)" TargetMode="External"/><Relationship Id="rId110" Type="http://schemas.openxmlformats.org/officeDocument/2006/relationships/hyperlink" Target="https://bulbapedia.bulbagarden.net/w/index.php?title=Acro_Bike_(Celestial_Storm_123)&amp;action=edit&amp;redlink=1" TargetMode="External"/><Relationship Id="rId115" Type="http://schemas.openxmlformats.org/officeDocument/2006/relationships/hyperlink" Target="https://bulbapedia.bulbagarden.net/w/index.php?title=Energy_Recycle_System_(Celestial_Storm_128)&amp;action=edit&amp;redlink=1" TargetMode="External"/><Relationship Id="rId131" Type="http://schemas.openxmlformats.org/officeDocument/2006/relationships/hyperlink" Target="https://bulbapedia.bulbagarden.net/w/index.php?title=Sky_Pillar_(Celestial_Storm_144)&amp;action=edit&amp;redlink=1" TargetMode="External"/><Relationship Id="rId136" Type="http://schemas.openxmlformats.org/officeDocument/2006/relationships/hyperlink" Target="https://bulbapedia.bulbagarden.net/w/index.php?title=TV_Reporter_(Celestial_Storm_149)&amp;action=edit&amp;redlink=1" TargetMode="External"/><Relationship Id="rId61" Type="http://schemas.openxmlformats.org/officeDocument/2006/relationships/hyperlink" Target="https://bulbapedia.bulbagarden.net/w/index.php?title=Banette_(Celestial_Storm_65)&amp;action=edit&amp;redlink=1" TargetMode="External"/><Relationship Id="rId82" Type="http://schemas.openxmlformats.org/officeDocument/2006/relationships/hyperlink" Target="https://bulbapedia.bulbagarden.net/w/index.php?title=Steelix_(Celestial_Storm_89)&amp;action=edit&amp;redlink=1" TargetMode="External"/><Relationship Id="rId152" Type="http://schemas.openxmlformats.org/officeDocument/2006/relationships/hyperlink" Target="https://bulbapedia.bulbagarden.net/w/index.php?title=Rainbow_Energy_(Celestial_Storm_183)&amp;action=edit&amp;redlink=1" TargetMode="External"/><Relationship Id="rId19" Type="http://schemas.openxmlformats.org/officeDocument/2006/relationships/hyperlink" Target="https://bulbapedia.bulbagarden.net/w/index.php?title=Cacnea_(Celestial_Storm_19)&amp;action=edit&amp;redlink=1" TargetMode="External"/><Relationship Id="rId14" Type="http://schemas.openxmlformats.org/officeDocument/2006/relationships/hyperlink" Target="https://bulbapedia.bulbagarden.net/w/index.php?title=Nuzleaf_(Celestial_Storm_13)&amp;action=edit&amp;redlink=1" TargetMode="External"/><Relationship Id="rId30" Type="http://schemas.openxmlformats.org/officeDocument/2006/relationships/hyperlink" Target="https://bulbapedia.bulbagarden.net/w/index.php?title=Mudkip_(Celestial_Storm_32)&amp;action=edit&amp;redlink=1" TargetMode="External"/><Relationship Id="rId35" Type="http://schemas.openxmlformats.org/officeDocument/2006/relationships/hyperlink" Target="https://bulbapedia.bulbagarden.net/w/index.php?title=Lombre_(Celestial_Storm_37)&amp;action=edit&amp;redlink=1" TargetMode="External"/><Relationship Id="rId56" Type="http://schemas.openxmlformats.org/officeDocument/2006/relationships/hyperlink" Target="https://bulbapedia.bulbagarden.net/w/index.php?title=Grumpig_(Celestial_Storm_60)&amp;action=edit&amp;redlink=1" TargetMode="External"/><Relationship Id="rId77" Type="http://schemas.openxmlformats.org/officeDocument/2006/relationships/hyperlink" Target="https://bulbapedia.bulbagarden.net/w/index.php?title=Minior_(Celestial_Storm_83)&amp;action=edit&amp;redlink=1" TargetMode="External"/><Relationship Id="rId100" Type="http://schemas.openxmlformats.org/officeDocument/2006/relationships/hyperlink" Target="https://bulbapedia.bulbagarden.net/w/index.php?title=Slakoth_(Celestial_Storm_113)&amp;action=edit&amp;redlink=1" TargetMode="External"/><Relationship Id="rId105" Type="http://schemas.openxmlformats.org/officeDocument/2006/relationships/hyperlink" Target="https://bulbapedia.bulbagarden.net/w/index.php?title=Loudred_(Celestial_Storm_118)&amp;action=edit&amp;redlink=1" TargetMode="External"/><Relationship Id="rId126" Type="http://schemas.openxmlformats.org/officeDocument/2006/relationships/hyperlink" Target="https://bulbapedia.bulbagarden.net/w/index.php?title=Masked_Royal_(Celestial_Storm_139)&amp;action=edit&amp;redlink=1" TargetMode="External"/><Relationship Id="rId147" Type="http://schemas.openxmlformats.org/officeDocument/2006/relationships/hyperlink" Target="https://bulbapedia.bulbagarden.net/wiki/Acro_Bike_(Celestial_Storm_178)" TargetMode="External"/><Relationship Id="rId8" Type="http://schemas.openxmlformats.org/officeDocument/2006/relationships/hyperlink" Target="https://bulbapedia.bulbagarden.net/w/index.php?title=Treecko_(Celestial_Storm_8)&amp;action=edit&amp;redlink=1" TargetMode="External"/><Relationship Id="rId51" Type="http://schemas.openxmlformats.org/officeDocument/2006/relationships/hyperlink" Target="https://bulbapedia.bulbagarden.net/w/index.php?title=Minun_(Celestial_Storm_54)&amp;action=edit&amp;redlink=1" TargetMode="External"/><Relationship Id="rId72" Type="http://schemas.openxmlformats.org/officeDocument/2006/relationships/hyperlink" Target="https://bulbapedia.bulbagarden.net/w/index.php?title=Medicham_(Celestial_Storm_77)&amp;action=edit&amp;redlink=1" TargetMode="External"/><Relationship Id="rId93" Type="http://schemas.openxmlformats.org/officeDocument/2006/relationships/hyperlink" Target="https://bulbapedia.bulbagarden.net/w/index.php?title=Bagon_(Celestial_Storm_103)&amp;action=edit&amp;redlink=1" TargetMode="External"/><Relationship Id="rId98" Type="http://schemas.openxmlformats.org/officeDocument/2006/relationships/hyperlink" Target="https://bulbapedia.bulbagarden.net/w/index.php?title=Wingull_(Celestial_Storm_111)&amp;action=edit&amp;redlink=1" TargetMode="External"/><Relationship Id="rId121" Type="http://schemas.openxmlformats.org/officeDocument/2006/relationships/hyperlink" Target="https://bulbapedia.bulbagarden.net/w/index.php?title=Hustle_Belt_(Celestial_Storm_134)&amp;action=edit&amp;redlink=1" TargetMode="External"/><Relationship Id="rId142" Type="http://schemas.openxmlformats.org/officeDocument/2006/relationships/hyperlink" Target="https://bulbapedia.bulbagarden.net/w/index.php?title=Lisia_(Celestial_Storm_164)&amp;action=edit&amp;redlink=1" TargetMode="External"/><Relationship Id="rId3" Type="http://schemas.openxmlformats.org/officeDocument/2006/relationships/hyperlink" Target="https://bulbapedia.bulbagarden.net/w/index.php?title=Victreebel_(Celestial_Storm_3)&amp;action=edit&amp;redlink=1" TargetMode="External"/><Relationship Id="rId25" Type="http://schemas.openxmlformats.org/officeDocument/2006/relationships/hyperlink" Target="https://bulbapedia.bulbagarden.net/w/index.php?title=Torchic_(Celestial_Storm_25)&amp;action=edit&amp;redlink=1" TargetMode="External"/><Relationship Id="rId46" Type="http://schemas.openxmlformats.org/officeDocument/2006/relationships/hyperlink" Target="https://bulbapedia.bulbagarden.net/w/index.php?title=Chinchou_(Celestial_Storm_49)&amp;action=edit&amp;redlink=1" TargetMode="External"/><Relationship Id="rId67" Type="http://schemas.openxmlformats.org/officeDocument/2006/relationships/hyperlink" Target="https://bulbapedia.bulbagarden.net/w/index.php?title=Phanpy_(Celestial_Storm_72)&amp;action=edit&amp;redlink=1" TargetMode="External"/><Relationship Id="rId116" Type="http://schemas.openxmlformats.org/officeDocument/2006/relationships/hyperlink" Target="https://bulbapedia.bulbagarden.net/w/index.php?title=Energy_Switch_(Celestial_Storm_129)&amp;action=edit&amp;redlink=1" TargetMode="External"/><Relationship Id="rId137" Type="http://schemas.openxmlformats.org/officeDocument/2006/relationships/hyperlink" Target="https://bulbapedia.bulbagarden.net/w/index.php?title=Underground_Expedition_(Celestial_Storm_150)&amp;action=edit&amp;redlink=1" TargetMode="External"/><Relationship Id="rId20" Type="http://schemas.openxmlformats.org/officeDocument/2006/relationships/hyperlink" Target="https://bulbapedia.bulbagarden.net/w/index.php?title=Cacturne_(Celestial_Storm_20)&amp;action=edit&amp;redlink=1" TargetMode="External"/><Relationship Id="rId41" Type="http://schemas.openxmlformats.org/officeDocument/2006/relationships/hyperlink" Target="https://bulbapedia.bulbagarden.net/w/index.php?title=Gorebyss_(Celestial_Storm_43)&amp;action=edit&amp;redlink=1" TargetMode="External"/><Relationship Id="rId62" Type="http://schemas.openxmlformats.org/officeDocument/2006/relationships/hyperlink" Target="https://bulbapedia.bulbagarden.net/w/index.php?title=Deoxys_(Celestial_Storm_67)&amp;action=edit&amp;redlink=1" TargetMode="External"/><Relationship Id="rId83" Type="http://schemas.openxmlformats.org/officeDocument/2006/relationships/hyperlink" Target="https://bulbapedia.bulbagarden.net/w/index.php?title=Mawile_(Celestial_Storm_91)&amp;action=edit&amp;redlink=1" TargetMode="External"/><Relationship Id="rId88" Type="http://schemas.openxmlformats.org/officeDocument/2006/relationships/hyperlink" Target="https://bulbapedia.bulbagarden.net/w/index.php?title=Registeel_(Celestial_Storm_96)&amp;action=edit&amp;redlink=1" TargetMode="External"/><Relationship Id="rId111" Type="http://schemas.openxmlformats.org/officeDocument/2006/relationships/hyperlink" Target="https://bulbapedia.bulbagarden.net/w/index.php?title=Apricorn_Maker_(Celestial_Storm_124)&amp;action=edit&amp;redlink=1" TargetMode="External"/><Relationship Id="rId132" Type="http://schemas.openxmlformats.org/officeDocument/2006/relationships/hyperlink" Target="https://bulbapedia.bulbagarden.net/wiki/Steven%27s_Resolve_(Celestial_Storm_145)" TargetMode="External"/><Relationship Id="rId15" Type="http://schemas.openxmlformats.org/officeDocument/2006/relationships/hyperlink" Target="https://bulbapedia.bulbagarden.net/w/index.php?title=Surskit_(Celestial_Storm_15)&amp;action=edit&amp;redlink=1" TargetMode="External"/><Relationship Id="rId36" Type="http://schemas.openxmlformats.org/officeDocument/2006/relationships/hyperlink" Target="https://bulbapedia.bulbagarden.net/w/index.php?title=Ludicolo_(Celestial_Storm_38)&amp;action=edit&amp;redlink=1" TargetMode="External"/><Relationship Id="rId57" Type="http://schemas.openxmlformats.org/officeDocument/2006/relationships/hyperlink" Target="https://bulbapedia.bulbagarden.net/w/index.php?title=Lunatone_(Celestial_Storm_61)&amp;action=edit&amp;redlink=1" TargetMode="External"/><Relationship Id="rId106" Type="http://schemas.openxmlformats.org/officeDocument/2006/relationships/hyperlink" Target="https://bulbapedia.bulbagarden.net/w/index.php?title=Exploud_(Celestial_Storm_119)&amp;action=edit&amp;redlink=1" TargetMode="External"/><Relationship Id="rId127" Type="http://schemas.openxmlformats.org/officeDocument/2006/relationships/hyperlink" Target="https://bulbapedia.bulbagarden.net/w/index.php?title=Pok%C3%A9Nav_(Celestial_Storm_140)&amp;action=edit&amp;redlink=1" TargetMode="External"/><Relationship Id="rId10" Type="http://schemas.openxmlformats.org/officeDocument/2006/relationships/hyperlink" Target="https://bulbapedia.bulbagarden.net/w/index.php?title=Sceptile_(Celestial_Storm_10)&amp;action=edit&amp;redlink=1" TargetMode="External"/><Relationship Id="rId31" Type="http://schemas.openxmlformats.org/officeDocument/2006/relationships/hyperlink" Target="https://bulbapedia.bulbagarden.net/w/index.php?title=Mudkip_(Celestial_Storm_33)&amp;action=edit&amp;redlink=1" TargetMode="External"/><Relationship Id="rId52" Type="http://schemas.openxmlformats.org/officeDocument/2006/relationships/hyperlink" Target="https://bulbapedia.bulbagarden.net/w/index.php?title=Oricorio_(Celestial_Storm_55)&amp;action=edit&amp;redlink=1" TargetMode="External"/><Relationship Id="rId73" Type="http://schemas.openxmlformats.org/officeDocument/2006/relationships/hyperlink" Target="https://bulbapedia.bulbagarden.net/w/index.php?title=Baltoy_(Celestial_Storm_78)&amp;action=edit&amp;redlink=1" TargetMode="External"/><Relationship Id="rId78" Type="http://schemas.openxmlformats.org/officeDocument/2006/relationships/hyperlink" Target="https://bulbapedia.bulbagarden.net/w/index.php?title=Alolan_Rattata_(Celestial_Storm_84)&amp;action=edit&amp;redlink=1" TargetMode="External"/><Relationship Id="rId94" Type="http://schemas.openxmlformats.org/officeDocument/2006/relationships/hyperlink" Target="https://bulbapedia.bulbagarden.net/w/index.php?title=Bagon_(Celestial_Storm_104)&amp;action=edit&amp;redlink=1" TargetMode="External"/><Relationship Id="rId99" Type="http://schemas.openxmlformats.org/officeDocument/2006/relationships/hyperlink" Target="https://bulbapedia.bulbagarden.net/w/index.php?title=Pelipper_(Celestial_Storm_112)&amp;action=edit&amp;redlink=1" TargetMode="External"/><Relationship Id="rId101" Type="http://schemas.openxmlformats.org/officeDocument/2006/relationships/hyperlink" Target="https://bulbapedia.bulbagarden.net/w/index.php?title=Vigoroth_(Celestial_Storm_114)&amp;action=edit&amp;redlink=1" TargetMode="External"/><Relationship Id="rId122" Type="http://schemas.openxmlformats.org/officeDocument/2006/relationships/hyperlink" Target="https://bulbapedia.bulbagarden.net/w/index.php?title=Last_Chance_Potion_(Celestial_Storm_135)&amp;action=edit&amp;redlink=1" TargetMode="External"/><Relationship Id="rId143" Type="http://schemas.openxmlformats.org/officeDocument/2006/relationships/hyperlink" Target="https://bulbapedia.bulbagarden.net/w/index.php?title=Steven%27s_Resolve_(Celestial_Storm_165)&amp;action=edit&amp;redlink=1" TargetMode="External"/><Relationship Id="rId148" Type="http://schemas.openxmlformats.org/officeDocument/2006/relationships/hyperlink" Target="https://bulbapedia.bulbagarden.net/wiki/Hustle_Belt_(Celestial_Storm_179)" TargetMode="External"/><Relationship Id="rId4" Type="http://schemas.openxmlformats.org/officeDocument/2006/relationships/hyperlink" Target="https://bulbapedia.bulbagarden.net/w/index.php?title=Scyther_(Celestial_Storm_4)&amp;action=edit&amp;redlink=1" TargetMode="External"/><Relationship Id="rId9" Type="http://schemas.openxmlformats.org/officeDocument/2006/relationships/hyperlink" Target="https://bulbapedia.bulbagarden.net/w/index.php?title=Grovyle_(Celestial_Storm_9)&amp;action=edit&amp;redlink=1" TargetMode="External"/><Relationship Id="rId26" Type="http://schemas.openxmlformats.org/officeDocument/2006/relationships/hyperlink" Target="https://bulbapedia.bulbagarden.net/w/index.php?title=Torchic_(Celestial_Storm_26)&amp;action=edit&amp;redlink=1" TargetMode="External"/><Relationship Id="rId47" Type="http://schemas.openxmlformats.org/officeDocument/2006/relationships/hyperlink" Target="https://bulbapedia.bulbagarden.net/w/index.php?title=Lanturn_(Celestial_Storm_50)&amp;action=edit&amp;redlink=1" TargetMode="External"/><Relationship Id="rId68" Type="http://schemas.openxmlformats.org/officeDocument/2006/relationships/hyperlink" Target="https://bulbapedia.bulbagarden.net/w/index.php?title=Donphan_(Celestial_Storm_73)&amp;action=edit&amp;redlink=1" TargetMode="External"/><Relationship Id="rId89" Type="http://schemas.openxmlformats.org/officeDocument/2006/relationships/hyperlink" Target="https://bulbapedia.bulbagarden.net/w/index.php?title=Heatran_(Celestial_Storm_98)&amp;action=edit&amp;redlink=1" TargetMode="External"/><Relationship Id="rId112" Type="http://schemas.openxmlformats.org/officeDocument/2006/relationships/hyperlink" Target="https://bulbapedia.bulbagarden.net/wiki/Beast_Ball_(Celestial_Storm_125)" TargetMode="External"/><Relationship Id="rId133" Type="http://schemas.openxmlformats.org/officeDocument/2006/relationships/hyperlink" Target="https://bulbapedia.bulbagarden.net/w/index.php?title=Super_Scoop_Up_(Celestial_Storm_146)&amp;action=edit&amp;redlink=1" TargetMode="External"/><Relationship Id="rId16" Type="http://schemas.openxmlformats.org/officeDocument/2006/relationships/hyperlink" Target="https://bulbapedia.bulbagarden.net/w/index.php?title=Masquerain_(Celestial_Storm_16)&amp;action=edit&amp;redlink=1" TargetMode="External"/><Relationship Id="rId37" Type="http://schemas.openxmlformats.org/officeDocument/2006/relationships/hyperlink" Target="https://bulbapedia.bulbagarden.net/w/index.php?title=Wailmer_(Celestial_Storm_39)&amp;action=edit&amp;redlink=1" TargetMode="External"/><Relationship Id="rId58" Type="http://schemas.openxmlformats.org/officeDocument/2006/relationships/hyperlink" Target="https://bulbapedia.bulbagarden.net/w/index.php?title=Solrock_(Celestial_Storm_62)&amp;action=edit&amp;redlink=1" TargetMode="External"/><Relationship Id="rId79" Type="http://schemas.openxmlformats.org/officeDocument/2006/relationships/hyperlink" Target="https://bulbapedia.bulbagarden.net/w/index.php?title=Sneasel_(Celestial_Storm_86)&amp;action=edit&amp;redlink=1" TargetMode="External"/><Relationship Id="rId102" Type="http://schemas.openxmlformats.org/officeDocument/2006/relationships/hyperlink" Target="https://bulbapedia.bulbagarden.net/w/index.php?title=Slaking_(Celestial_Storm_115)&amp;action=edit&amp;redlink=1" TargetMode="External"/><Relationship Id="rId123" Type="http://schemas.openxmlformats.org/officeDocument/2006/relationships/hyperlink" Target="https://bulbapedia.bulbagarden.net/w/index.php?title=Life_Herb_(Celestial_Storm_136)&amp;action=edit&amp;redlink=1" TargetMode="External"/><Relationship Id="rId144" Type="http://schemas.openxmlformats.org/officeDocument/2006/relationships/hyperlink" Target="https://bulbapedia.bulbagarden.net/w/index.php?title=Tate_%26_Liza_(Celestial_Storm_166)&amp;action=edit&amp;redlink=1" TargetMode="External"/><Relationship Id="rId90" Type="http://schemas.openxmlformats.org/officeDocument/2006/relationships/hyperlink" Target="https://bulbapedia.bulbagarden.net/w/index.php?title=Solgaleo_(Celestial_Storm_99)&amp;action=edit&amp;redlink=1" TargetMode="External"/></Relationships>
</file>

<file path=xl/worksheets/_rels/sheet75.xml.rels><?xml version="1.0" encoding="UTF-8" standalone="yes"?>
<Relationships xmlns="http://schemas.openxmlformats.org/package/2006/relationships"><Relationship Id="rId13" Type="http://schemas.openxmlformats.org/officeDocument/2006/relationships/hyperlink" Target="https://bulbapedia.bulbagarden.net/wiki/Horsea_(Dragon_Majesty_15)" TargetMode="External"/><Relationship Id="rId18" Type="http://schemas.openxmlformats.org/officeDocument/2006/relationships/hyperlink" Target="https://bulbapedia.bulbagarden.net/wiki/Lapras_(Dragon_Majesty_21)" TargetMode="External"/><Relationship Id="rId26" Type="http://schemas.openxmlformats.org/officeDocument/2006/relationships/hyperlink" Target="https://bulbapedia.bulbagarden.net/wiki/Milotic_(Dragon_Majesty_29)" TargetMode="External"/><Relationship Id="rId39" Type="http://schemas.openxmlformats.org/officeDocument/2006/relationships/hyperlink" Target="https://bulbapedia.bulbagarden.net/wiki/Shelgon_(Dragon_Majesty_43)" TargetMode="External"/><Relationship Id="rId21" Type="http://schemas.openxmlformats.org/officeDocument/2006/relationships/hyperlink" Target="https://bulbapedia.bulbagarden.net/wiki/Feraligatr_(Dragon_Majesty_24)" TargetMode="External"/><Relationship Id="rId34" Type="http://schemas.openxmlformats.org/officeDocument/2006/relationships/hyperlink" Target="https://bulbapedia.bulbagarden.net/wiki/Vibrava_(Dragon_Majesty_38)" TargetMode="External"/><Relationship Id="rId42" Type="http://schemas.openxmlformats.org/officeDocument/2006/relationships/hyperlink" Target="https://bulbapedia.bulbagarden.net/wiki/Kyurem_(Dragon_Majesty_47)" TargetMode="External"/><Relationship Id="rId47" Type="http://schemas.openxmlformats.org/officeDocument/2006/relationships/hyperlink" Target="https://bulbapedia.bulbagarden.net/wiki/Hakamo-o_(Dragon_Majesty_53)" TargetMode="External"/><Relationship Id="rId50" Type="http://schemas.openxmlformats.org/officeDocument/2006/relationships/hyperlink" Target="https://bulbapedia.bulbagarden.net/wiki/Swablu_(Dragon_Majesty_56)" TargetMode="External"/><Relationship Id="rId55" Type="http://schemas.openxmlformats.org/officeDocument/2006/relationships/hyperlink" Target="https://bulbapedia.bulbagarden.net/wiki/Fiery_Flint_(Dragon_Majesty_60)" TargetMode="External"/><Relationship Id="rId63" Type="http://schemas.openxmlformats.org/officeDocument/2006/relationships/hyperlink" Target="https://bulbapedia.bulbagarden.net/wiki/Switch_Raft_(Dragon_Majesty_77)" TargetMode="External"/><Relationship Id="rId7" Type="http://schemas.openxmlformats.org/officeDocument/2006/relationships/hyperlink" Target="https://bulbapedia.bulbagarden.net/wiki/Darumaka_(Dragon_Majesty_8)" TargetMode="External"/><Relationship Id="rId2" Type="http://schemas.openxmlformats.org/officeDocument/2006/relationships/hyperlink" Target="https://bulbapedia.bulbagarden.net/wiki/Charmeleon_(Dragon_Majesty_2)" TargetMode="External"/><Relationship Id="rId16" Type="http://schemas.openxmlformats.org/officeDocument/2006/relationships/hyperlink" Target="https://bulbapedia.bulbagarden.net/wiki/Magikarp_(Dragon_Majesty_19)" TargetMode="External"/><Relationship Id="rId29" Type="http://schemas.openxmlformats.org/officeDocument/2006/relationships/hyperlink" Target="https://bulbapedia.bulbagarden.net/wiki/Trapinch_(Dragon_Majesty_32)" TargetMode="External"/><Relationship Id="rId11" Type="http://schemas.openxmlformats.org/officeDocument/2006/relationships/hyperlink" Target="https://bulbapedia.bulbagarden.net/wiki/Salandit_(Dragon_Majesty_13)" TargetMode="External"/><Relationship Id="rId24" Type="http://schemas.openxmlformats.org/officeDocument/2006/relationships/hyperlink" Target="https://bulbapedia.bulbagarden.net/wiki/Corsola_(Dragon_Majesty_27)" TargetMode="External"/><Relationship Id="rId32" Type="http://schemas.openxmlformats.org/officeDocument/2006/relationships/hyperlink" Target="https://bulbapedia.bulbagarden.net/wiki/Dratini_(Dragon_Majesty_35)" TargetMode="External"/><Relationship Id="rId37" Type="http://schemas.openxmlformats.org/officeDocument/2006/relationships/hyperlink" Target="https://bulbapedia.bulbagarden.net/wiki/Altaria_(Dragon_Majesty_40)" TargetMode="External"/><Relationship Id="rId40" Type="http://schemas.openxmlformats.org/officeDocument/2006/relationships/hyperlink" Target="https://bulbapedia.bulbagarden.net/wiki/Druddigon_(Dragon_Majesty_45)" TargetMode="External"/><Relationship Id="rId45" Type="http://schemas.openxmlformats.org/officeDocument/2006/relationships/hyperlink" Target="https://bulbapedia.bulbagarden.net/wiki/Drampa_(Dragon_Majesty_51)" TargetMode="External"/><Relationship Id="rId53" Type="http://schemas.openxmlformats.org/officeDocument/2006/relationships/hyperlink" Target="https://bulbapedia.bulbagarden.net/wiki/Dragon_Talon_(Dragon_Majesty_59)" TargetMode="External"/><Relationship Id="rId58" Type="http://schemas.openxmlformats.org/officeDocument/2006/relationships/hyperlink" Target="https://bulbapedia.bulbagarden.net/wiki/Zinnia_(Dragon_Majesty_64)" TargetMode="External"/><Relationship Id="rId5" Type="http://schemas.openxmlformats.org/officeDocument/2006/relationships/hyperlink" Target="https://bulbapedia.bulbagarden.net/wiki/Combusken_(Dragon_Majesty_5)" TargetMode="External"/><Relationship Id="rId61" Type="http://schemas.openxmlformats.org/officeDocument/2006/relationships/hyperlink" Target="https://bulbapedia.bulbagarden.net/wiki/Dragon_Talon_(Dragon_Majesty_75)" TargetMode="External"/><Relationship Id="rId19" Type="http://schemas.openxmlformats.org/officeDocument/2006/relationships/hyperlink" Target="https://bulbapedia.bulbagarden.net/wiki/Totodile_(Dragon_Majesty_22)" TargetMode="External"/><Relationship Id="rId14" Type="http://schemas.openxmlformats.org/officeDocument/2006/relationships/hyperlink" Target="https://bulbapedia.bulbagarden.net/wiki/Horsea_(Dragon_Majesty_16)" TargetMode="External"/><Relationship Id="rId22" Type="http://schemas.openxmlformats.org/officeDocument/2006/relationships/hyperlink" Target="https://bulbapedia.bulbagarden.net/wiki/Wooper_(Dragon_Majesty_25)" TargetMode="External"/><Relationship Id="rId27" Type="http://schemas.openxmlformats.org/officeDocument/2006/relationships/hyperlink" Target="https://bulbapedia.bulbagarden.net/wiki/Phione_(Dragon_Majesty_30)" TargetMode="External"/><Relationship Id="rId30" Type="http://schemas.openxmlformats.org/officeDocument/2006/relationships/hyperlink" Target="https://bulbapedia.bulbagarden.net/wiki/Hydreigon_(Dragon_Majesty_33)" TargetMode="External"/><Relationship Id="rId35" Type="http://schemas.openxmlformats.org/officeDocument/2006/relationships/hyperlink" Target="https://bulbapedia.bulbagarden.net/wiki/Flygon_(Dragon_Majesty_39)" TargetMode="External"/><Relationship Id="rId43" Type="http://schemas.openxmlformats.org/officeDocument/2006/relationships/hyperlink" Target="https://bulbapedia.bulbagarden.net/wiki/Zygarde_(Dragon_Majesty_49)" TargetMode="External"/><Relationship Id="rId48" Type="http://schemas.openxmlformats.org/officeDocument/2006/relationships/hyperlink" Target="https://bulbapedia.bulbagarden.net/wiki/Kommo-o_(Dragon_Majesty_54)" TargetMode="External"/><Relationship Id="rId56" Type="http://schemas.openxmlformats.org/officeDocument/2006/relationships/hyperlink" Target="https://bulbapedia.bulbagarden.net/wiki/Switch_Raft_(Dragon_Majesty_62)" TargetMode="External"/><Relationship Id="rId8" Type="http://schemas.openxmlformats.org/officeDocument/2006/relationships/hyperlink" Target="https://bulbapedia.bulbagarden.net/wiki/Darmanitan_(Dragon_Majesty_9)" TargetMode="External"/><Relationship Id="rId51" Type="http://schemas.openxmlformats.org/officeDocument/2006/relationships/hyperlink" Target="https://bulbapedia.bulbagarden.net/wiki/Swablu_(Dragon_Majesty_57)" TargetMode="External"/><Relationship Id="rId3" Type="http://schemas.openxmlformats.org/officeDocument/2006/relationships/hyperlink" Target="https://bulbapedia.bulbagarden.net/wiki/Charizard_(Dragon_Majesty_3)" TargetMode="External"/><Relationship Id="rId12" Type="http://schemas.openxmlformats.org/officeDocument/2006/relationships/hyperlink" Target="https://bulbapedia.bulbagarden.net/wiki/Salazzle_(Dragon_Majesty_14)" TargetMode="External"/><Relationship Id="rId17" Type="http://schemas.openxmlformats.org/officeDocument/2006/relationships/hyperlink" Target="https://bulbapedia.bulbagarden.net/wiki/Gyarados_(Dragon_Majesty_20)" TargetMode="External"/><Relationship Id="rId25" Type="http://schemas.openxmlformats.org/officeDocument/2006/relationships/hyperlink" Target="https://bulbapedia.bulbagarden.net/wiki/Feebas_(Dragon_Majesty_28)" TargetMode="External"/><Relationship Id="rId33" Type="http://schemas.openxmlformats.org/officeDocument/2006/relationships/hyperlink" Target="https://bulbapedia.bulbagarden.net/wiki/Dragonair_(Dragon_Majesty_36)" TargetMode="External"/><Relationship Id="rId38" Type="http://schemas.openxmlformats.org/officeDocument/2006/relationships/hyperlink" Target="https://bulbapedia.bulbagarden.net/wiki/Bagon_(Dragon_Majesty_42)" TargetMode="External"/><Relationship Id="rId46" Type="http://schemas.openxmlformats.org/officeDocument/2006/relationships/hyperlink" Target="https://bulbapedia.bulbagarden.net/wiki/Jangmo-o_(Dragon_Majesty_52)" TargetMode="External"/><Relationship Id="rId59" Type="http://schemas.openxmlformats.org/officeDocument/2006/relationships/hyperlink" Target="https://bulbapedia.bulbagarden.net/wiki/Blaine%27s_Last_Stand_(Dragon_Majesty_69)" TargetMode="External"/><Relationship Id="rId20" Type="http://schemas.openxmlformats.org/officeDocument/2006/relationships/hyperlink" Target="https://bulbapedia.bulbagarden.net/wiki/Croconaw_(Dragon_Majesty_23)" TargetMode="External"/><Relationship Id="rId41" Type="http://schemas.openxmlformats.org/officeDocument/2006/relationships/hyperlink" Target="https://bulbapedia.bulbagarden.net/wiki/Zekrom_(Dragon_Majesty_46)" TargetMode="External"/><Relationship Id="rId54" Type="http://schemas.openxmlformats.org/officeDocument/2006/relationships/hyperlink" Target="https://bulbapedia.bulbagarden.net/wiki/Fiery_Flint_(Dragon_Majesty_60)" TargetMode="External"/><Relationship Id="rId62" Type="http://schemas.openxmlformats.org/officeDocument/2006/relationships/hyperlink" Target="https://bulbapedia.bulbagarden.net/wiki/Fiery_Flint_(Dragon_Majesty_76)" TargetMode="External"/><Relationship Id="rId1" Type="http://schemas.openxmlformats.org/officeDocument/2006/relationships/hyperlink" Target="https://bulbapedia.bulbagarden.net/wiki/Charmander_(Dragon_Majesty_1)" TargetMode="External"/><Relationship Id="rId6" Type="http://schemas.openxmlformats.org/officeDocument/2006/relationships/hyperlink" Target="https://bulbapedia.bulbagarden.net/wiki/Blaziken_(Dragon_Majesty_6)" TargetMode="External"/><Relationship Id="rId15" Type="http://schemas.openxmlformats.org/officeDocument/2006/relationships/hyperlink" Target="https://bulbapedia.bulbagarden.net/wiki/Seadra_(Dragon_Majesty_17)" TargetMode="External"/><Relationship Id="rId23" Type="http://schemas.openxmlformats.org/officeDocument/2006/relationships/hyperlink" Target="https://bulbapedia.bulbagarden.net/wiki/Quagsire_(Dragon_Majesty_26)" TargetMode="External"/><Relationship Id="rId28" Type="http://schemas.openxmlformats.org/officeDocument/2006/relationships/hyperlink" Target="https://bulbapedia.bulbagarden.net/wiki/Wishiwashi_(Dragon_Majesty_31)" TargetMode="External"/><Relationship Id="rId36" Type="http://schemas.openxmlformats.org/officeDocument/2006/relationships/hyperlink" Target="https://bulbapedia.bulbagarden.net/wiki/Altaria_(Dragon_Majesty_40)" TargetMode="External"/><Relationship Id="rId49" Type="http://schemas.openxmlformats.org/officeDocument/2006/relationships/hyperlink" Target="https://bulbapedia.bulbagarden.net/wiki/Kangaskhan_(Dragon_Majesty_55)" TargetMode="External"/><Relationship Id="rId57" Type="http://schemas.openxmlformats.org/officeDocument/2006/relationships/hyperlink" Target="https://bulbapedia.bulbagarden.net/wiki/Wela_Volcano_Park_(Dragon_Majesty_63)" TargetMode="External"/><Relationship Id="rId10" Type="http://schemas.openxmlformats.org/officeDocument/2006/relationships/hyperlink" Target="https://bulbapedia.bulbagarden.net/wiki/Litten_(Dragon_Majesty_12)" TargetMode="External"/><Relationship Id="rId31" Type="http://schemas.openxmlformats.org/officeDocument/2006/relationships/hyperlink" Target="https://bulbapedia.bulbagarden.net/wiki/Dratini_(Dragon_Majesty_34)" TargetMode="External"/><Relationship Id="rId44" Type="http://schemas.openxmlformats.org/officeDocument/2006/relationships/hyperlink" Target="https://bulbapedia.bulbagarden.net/wiki/Turtonator_(Dragon_Majesty_50)" TargetMode="External"/><Relationship Id="rId52" Type="http://schemas.openxmlformats.org/officeDocument/2006/relationships/hyperlink" Target="https://bulbapedia.bulbagarden.net/wiki/Blaine%27s_Last_Stand_(Dragon_Majesty_58)" TargetMode="External"/><Relationship Id="rId60" Type="http://schemas.openxmlformats.org/officeDocument/2006/relationships/hyperlink" Target="https://bulbapedia.bulbagarden.net/wiki/Zinnia_(Dragon_Majesty_70)" TargetMode="External"/><Relationship Id="rId4" Type="http://schemas.openxmlformats.org/officeDocument/2006/relationships/hyperlink" Target="https://bulbapedia.bulbagarden.net/wiki/Torchic_(Dragon_Majesty_4)" TargetMode="External"/><Relationship Id="rId9" Type="http://schemas.openxmlformats.org/officeDocument/2006/relationships/hyperlink" Target="https://bulbapedia.bulbagarden.net/wiki/Heatmor_(Dragon_Majesty_10)" TargetMode="External"/></Relationships>
</file>

<file path=xl/worksheets/_rels/sheet76.xml.rels><?xml version="1.0" encoding="UTF-8" standalone="yes"?>
<Relationships xmlns="http://schemas.openxmlformats.org/package/2006/relationships"><Relationship Id="rId117" Type="http://schemas.openxmlformats.org/officeDocument/2006/relationships/hyperlink" Target="https://bulbapedia.bulbagarden.net/w/index.php?title=Dialga_(Lost_Thunder_127)&amp;action=edit&amp;redlink=1" TargetMode="External"/><Relationship Id="rId21" Type="http://schemas.openxmlformats.org/officeDocument/2006/relationships/hyperlink" Target="https://bulbapedia.bulbagarden.net/w/index.php?title=Wurmple_(Lost_Thunder_24)&amp;action=edit&amp;redlink=1" TargetMode="External"/><Relationship Id="rId42" Type="http://schemas.openxmlformats.org/officeDocument/2006/relationships/hyperlink" Target="https://bulbapedia.bulbagarden.net/w/index.php?title=Entei_(Lost_Thunder_47)&amp;action=edit&amp;redlink=1" TargetMode="External"/><Relationship Id="rId63" Type="http://schemas.openxmlformats.org/officeDocument/2006/relationships/hyperlink" Target="https://bulbapedia.bulbagarden.net/w/index.php?title=Bruxish_(Lost_Thunder_70)&amp;action=edit&amp;redlink=1" TargetMode="External"/><Relationship Id="rId84" Type="http://schemas.openxmlformats.org/officeDocument/2006/relationships/hyperlink" Target="https://bulbapedia.bulbagarden.net/w/index.php?title=Unown_(Lost_Thunder_92)&amp;action=edit&amp;redlink=1" TargetMode="External"/><Relationship Id="rId138" Type="http://schemas.openxmlformats.org/officeDocument/2006/relationships/hyperlink" Target="https://bulbapedia.bulbagarden.net/w/index.php?title=Chansey_(Lost_Thunder_152)&amp;action=edit&amp;redlink=1" TargetMode="External"/><Relationship Id="rId159" Type="http://schemas.openxmlformats.org/officeDocument/2006/relationships/hyperlink" Target="https://bulbapedia.bulbagarden.net/w/index.php?title=Fairy_Charm_G_(Lost_Thunder_174)&amp;action=edit&amp;redlink=1" TargetMode="External"/><Relationship Id="rId170" Type="http://schemas.openxmlformats.org/officeDocument/2006/relationships/hyperlink" Target="https://bulbapedia.bulbagarden.net/w/index.php?title=Net_Ball_(Lost_Thunder_187)&amp;action=edit&amp;redlink=1" TargetMode="External"/><Relationship Id="rId191" Type="http://schemas.openxmlformats.org/officeDocument/2006/relationships/hyperlink" Target="https://bulbapedia.bulbagarden.net/w/index.php?title=Spell_Tag_(Lost_Thunder_235)&amp;action=edit&amp;redlink=1" TargetMode="External"/><Relationship Id="rId107" Type="http://schemas.openxmlformats.org/officeDocument/2006/relationships/hyperlink" Target="https://bulbapedia.bulbagarden.net/w/index.php?title=Pupitar_(Lost_Thunder_116)&amp;action=edit&amp;redlink=1" TargetMode="External"/><Relationship Id="rId11" Type="http://schemas.openxmlformats.org/officeDocument/2006/relationships/hyperlink" Target="https://bulbapedia.bulbagarden.net/w/index.php?title=Hoppip_(Lost_Thunder_11)&amp;action=edit&amp;redlink=1" TargetMode="External"/><Relationship Id="rId32" Type="http://schemas.openxmlformats.org/officeDocument/2006/relationships/hyperlink" Target="https://bulbapedia.bulbagarden.net/w/index.php?title=Gogoat_(Lost_Thunder_36)&amp;action=edit&amp;redlink=1" TargetMode="External"/><Relationship Id="rId53" Type="http://schemas.openxmlformats.org/officeDocument/2006/relationships/hyperlink" Target="https://bulbapedia.bulbagarden.net/w/index.php?title=Suicune_(Lost_Thunder_59)&amp;action=edit&amp;redlink=1" TargetMode="External"/><Relationship Id="rId74" Type="http://schemas.openxmlformats.org/officeDocument/2006/relationships/hyperlink" Target="https://bulbapedia.bulbagarden.net/w/index.php?title=Blitzle_(Lost_Thunder_81)&amp;action=edit&amp;redlink=1" TargetMode="External"/><Relationship Id="rId128" Type="http://schemas.openxmlformats.org/officeDocument/2006/relationships/hyperlink" Target="https://bulbapedia.bulbagarden.net/w/index.php?title=Kirlia_(Lost_Thunder_140)&amp;action=edit&amp;redlink=1" TargetMode="External"/><Relationship Id="rId149" Type="http://schemas.openxmlformats.org/officeDocument/2006/relationships/hyperlink" Target="https://bulbapedia.bulbagarden.net/w/index.php?title=Trumbeak_(Lost_Thunder_165)&amp;action=edit&amp;redlink=1" TargetMode="External"/><Relationship Id="rId5" Type="http://schemas.openxmlformats.org/officeDocument/2006/relationships/hyperlink" Target="https://bulbapedia.bulbagarden.net/w/index.php?title=Chikorita_(Lost_Thunder_5)&amp;action=edit&amp;redlink=1" TargetMode="External"/><Relationship Id="rId95" Type="http://schemas.openxmlformats.org/officeDocument/2006/relationships/hyperlink" Target="https://bulbapedia.bulbagarden.net/w/index.php?title=Meloetta_(Lost_Thunder_104)&amp;action=edit&amp;redlink=1" TargetMode="External"/><Relationship Id="rId160" Type="http://schemas.openxmlformats.org/officeDocument/2006/relationships/hyperlink" Target="https://bulbapedia.bulbagarden.net/w/index.php?title=Fairy_Charm_P_(Lost_Thunder_175)&amp;action=edit&amp;redlink=1" TargetMode="External"/><Relationship Id="rId181" Type="http://schemas.openxmlformats.org/officeDocument/2006/relationships/hyperlink" Target="https://bulbapedia.bulbagarden.net/w/index.php?title=Morty_(Lost_Thunder_212)&amp;action=edit&amp;redlink=1" TargetMode="External"/><Relationship Id="rId22" Type="http://schemas.openxmlformats.org/officeDocument/2006/relationships/hyperlink" Target="https://bulbapedia.bulbagarden.net/w/index.php?title=Silcoon_(Lost_Thunder_25)&amp;action=edit&amp;redlink=1" TargetMode="External"/><Relationship Id="rId43" Type="http://schemas.openxmlformats.org/officeDocument/2006/relationships/hyperlink" Target="https://bulbapedia.bulbagarden.net/w/index.php?title=Heatran_(Lost_Thunder_48)&amp;action=edit&amp;redlink=1" TargetMode="External"/><Relationship Id="rId64" Type="http://schemas.openxmlformats.org/officeDocument/2006/relationships/hyperlink" Target="https://bulbapedia.bulbagarden.net/w/index.php?title=Electabuzz_(Lost_Thunder_71)&amp;action=edit&amp;redlink=1" TargetMode="External"/><Relationship Id="rId118" Type="http://schemas.openxmlformats.org/officeDocument/2006/relationships/hyperlink" Target="https://bulbapedia.bulbagarden.net/w/index.php?title=Durant_(Lost_Thunder_128)&amp;action=edit&amp;redlink=1" TargetMode="External"/><Relationship Id="rId139" Type="http://schemas.openxmlformats.org/officeDocument/2006/relationships/hyperlink" Target="https://bulbapedia.bulbagarden.net/w/index.php?title=Blissey_(Lost_Thunder_153)&amp;action=edit&amp;redlink=1" TargetMode="External"/><Relationship Id="rId85" Type="http://schemas.openxmlformats.org/officeDocument/2006/relationships/hyperlink" Target="https://bulbapedia.bulbagarden.net/w/index.php?title=Wobbuffet_(Lost_Thunder_93)&amp;action=edit&amp;redlink=1" TargetMode="External"/><Relationship Id="rId150" Type="http://schemas.openxmlformats.org/officeDocument/2006/relationships/hyperlink" Target="https://bulbapedia.bulbagarden.net/w/index.php?title=Toucannon_(Lost_Thunder_166)&amp;action=edit&amp;redlink=1" TargetMode="External"/><Relationship Id="rId171" Type="http://schemas.openxmlformats.org/officeDocument/2006/relationships/hyperlink" Target="https://bulbapedia.bulbagarden.net/w/index.php?title=Professor_Elm%27s_Lecture_(Lost_Thunder_188)&amp;action=edit&amp;redlink=1" TargetMode="External"/><Relationship Id="rId192" Type="http://schemas.openxmlformats.org/officeDocument/2006/relationships/hyperlink" Target="https://bulbapedia.bulbagarden.net/w/index.php?title=Wait_and_See_Hammer_(Lost_Thunder_236)&amp;action=edit&amp;redlink=1" TargetMode="External"/><Relationship Id="rId12" Type="http://schemas.openxmlformats.org/officeDocument/2006/relationships/hyperlink" Target="https://bulbapedia.bulbagarden.net/w/index.php?title=Hoppip_(Lost_Thunder_12)&amp;action=edit&amp;redlink=1" TargetMode="External"/><Relationship Id="rId33" Type="http://schemas.openxmlformats.org/officeDocument/2006/relationships/hyperlink" Target="https://bulbapedia.bulbagarden.net/w/index.php?title=Tapu_Bulu_(Lost_Thunder_37)&amp;action=edit&amp;redlink=1" TargetMode="External"/><Relationship Id="rId108" Type="http://schemas.openxmlformats.org/officeDocument/2006/relationships/hyperlink" Target="https://bulbapedia.bulbagarden.net/w/index.php?title=Carbink_(Lost_Thunder_117)&amp;action=edit&amp;redlink=1" TargetMode="External"/><Relationship Id="rId129" Type="http://schemas.openxmlformats.org/officeDocument/2006/relationships/hyperlink" Target="https://bulbapedia.bulbagarden.net/w/index.php?title=Gardevoir_(Lost_Thunder_141)&amp;action=edit&amp;redlink=1" TargetMode="External"/><Relationship Id="rId54" Type="http://schemas.openxmlformats.org/officeDocument/2006/relationships/hyperlink" Target="https://bulbapedia.bulbagarden.net/w/index.php?title=Cubchoo_(Lost_Thunder_61)&amp;action=edit&amp;redlink=1" TargetMode="External"/><Relationship Id="rId75" Type="http://schemas.openxmlformats.org/officeDocument/2006/relationships/hyperlink" Target="https://bulbapedia.bulbagarden.net/w/index.php?title=Zebstrika_(Lost_Thunder_82)&amp;action=edit&amp;redlink=1" TargetMode="External"/><Relationship Id="rId96" Type="http://schemas.openxmlformats.org/officeDocument/2006/relationships/hyperlink" Target="https://bulbapedia.bulbagarden.net/w/index.php?title=Mareanie_(Lost_Thunder_105)&amp;action=edit&amp;redlink=1" TargetMode="External"/><Relationship Id="rId140" Type="http://schemas.openxmlformats.org/officeDocument/2006/relationships/hyperlink" Target="https://bulbapedia.bulbagarden.net/w/index.php?title=Eevee_(Lost_Thunder_155)&amp;action=edit&amp;redlink=1" TargetMode="External"/><Relationship Id="rId161" Type="http://schemas.openxmlformats.org/officeDocument/2006/relationships/hyperlink" Target="https://bulbapedia.bulbagarden.net/w/index.php?title=Fairy_Charm_F_(Lost_Thunder_176)&amp;action=edit&amp;redlink=1" TargetMode="External"/><Relationship Id="rId182" Type="http://schemas.openxmlformats.org/officeDocument/2006/relationships/hyperlink" Target="https://bulbapedia.bulbagarden.net/w/index.php?title=Professor_Elm%27s_Lecture_(Lost_Thunder_213)&amp;action=edit&amp;redlink=1" TargetMode="External"/><Relationship Id="rId6" Type="http://schemas.openxmlformats.org/officeDocument/2006/relationships/hyperlink" Target="https://bulbapedia.bulbagarden.net/w/index.php?title=Chikorita_(Lost_Thunder_6)&amp;action=edit&amp;redlink=1" TargetMode="External"/><Relationship Id="rId23" Type="http://schemas.openxmlformats.org/officeDocument/2006/relationships/hyperlink" Target="https://bulbapedia.bulbagarden.net/w/index.php?title=Beautifly_(Lost_Thunder_26)&amp;action=edit&amp;redlink=1" TargetMode="External"/><Relationship Id="rId119" Type="http://schemas.openxmlformats.org/officeDocument/2006/relationships/hyperlink" Target="https://bulbapedia.bulbagarden.net/w/index.php?title=Cobalion_(Lost_Thunder_129)&amp;action=edit&amp;redlink=1" TargetMode="External"/><Relationship Id="rId44" Type="http://schemas.openxmlformats.org/officeDocument/2006/relationships/hyperlink" Target="https://bulbapedia.bulbagarden.net/w/index.php?title=Victini_(Lost_Thunder_49)&amp;action=edit&amp;redlink=1" TargetMode="External"/><Relationship Id="rId65" Type="http://schemas.openxmlformats.org/officeDocument/2006/relationships/hyperlink" Target="https://bulbapedia.bulbagarden.net/w/index.php?title=Electivire_(Lost_Thunder_72)&amp;action=edit&amp;redlink=1" TargetMode="External"/><Relationship Id="rId86" Type="http://schemas.openxmlformats.org/officeDocument/2006/relationships/hyperlink" Target="https://bulbapedia.bulbagarden.net/w/index.php?title=Girafarig_(Lost_Thunder_94)&amp;action=edit&amp;redlink=1" TargetMode="External"/><Relationship Id="rId130" Type="http://schemas.openxmlformats.org/officeDocument/2006/relationships/hyperlink" Target="https://bulbapedia.bulbagarden.net/w/index.php?title=Dedenne_(Lost_Thunder_142)&amp;action=edit&amp;redlink=1" TargetMode="External"/><Relationship Id="rId151" Type="http://schemas.openxmlformats.org/officeDocument/2006/relationships/hyperlink" Target="https://bulbapedia.bulbagarden.net/w/index.php?title=Adventure_Bag_(Lost_Thunder_167)&amp;action=edit&amp;redlink=1" TargetMode="External"/><Relationship Id="rId172" Type="http://schemas.openxmlformats.org/officeDocument/2006/relationships/hyperlink" Target="https://bulbapedia.bulbagarden.net/w/index.php?title=Sightseer_(Lost_Thunder_189)&amp;action=edit&amp;redlink=1" TargetMode="External"/><Relationship Id="rId13" Type="http://schemas.openxmlformats.org/officeDocument/2006/relationships/hyperlink" Target="https://bulbapedia.bulbagarden.net/w/index.php?title=Skiploom_(Lost_Thunder_13)&amp;action=edit&amp;redlink=1" TargetMode="External"/><Relationship Id="rId18" Type="http://schemas.openxmlformats.org/officeDocument/2006/relationships/hyperlink" Target="https://bulbapedia.bulbagarden.net/w/index.php?title=Treecko_(Lost_Thunder_20)&amp;action=edit&amp;redlink=1" TargetMode="External"/><Relationship Id="rId39" Type="http://schemas.openxmlformats.org/officeDocument/2006/relationships/hyperlink" Target="https://bulbapedia.bulbagarden.net/w/index.php?title=Slugma_(Lost_Thunder_43)&amp;action=edit&amp;redlink=1" TargetMode="External"/><Relationship Id="rId109" Type="http://schemas.openxmlformats.org/officeDocument/2006/relationships/hyperlink" Target="https://bulbapedia.bulbagarden.net/w/index.php?title=Alolan_Meowth_(Lost_Thunder_118)&amp;action=edit&amp;redlink=1" TargetMode="External"/><Relationship Id="rId34" Type="http://schemas.openxmlformats.org/officeDocument/2006/relationships/hyperlink" Target="https://bulbapedia.bulbagarden.net/w/index.php?title=Moltres_(Lost_Thunder_38)&amp;action=edit&amp;redlink=1" TargetMode="External"/><Relationship Id="rId50" Type="http://schemas.openxmlformats.org/officeDocument/2006/relationships/hyperlink" Target="https://bulbapedia.bulbagarden.net/w/index.php?title=Lapras_(Lost_Thunder_56)&amp;action=edit&amp;redlink=1" TargetMode="External"/><Relationship Id="rId55" Type="http://schemas.openxmlformats.org/officeDocument/2006/relationships/hyperlink" Target="https://bulbapedia.bulbagarden.net/w/index.php?title=Beartic_(Lost_Thunder_62)&amp;action=edit&amp;redlink=1" TargetMode="External"/><Relationship Id="rId76" Type="http://schemas.openxmlformats.org/officeDocument/2006/relationships/hyperlink" Target="https://bulbapedia.bulbagarden.net/w/index.php?title=Stunfisk_(Lost_Thunder_83)&amp;action=edit&amp;redlink=1" TargetMode="External"/><Relationship Id="rId97" Type="http://schemas.openxmlformats.org/officeDocument/2006/relationships/hyperlink" Target="https://bulbapedia.bulbagarden.net/w/index.php?title=Nihilego_(Lost_Thunder_106)&amp;action=edit&amp;redlink=1" TargetMode="External"/><Relationship Id="rId104" Type="http://schemas.openxmlformats.org/officeDocument/2006/relationships/hyperlink" Target="https://bulbapedia.bulbagarden.net/w/index.php?title=Hitmontop_(Lost_Thunder_113)&amp;action=edit&amp;redlink=1" TargetMode="External"/><Relationship Id="rId120" Type="http://schemas.openxmlformats.org/officeDocument/2006/relationships/hyperlink" Target="https://bulbapedia.bulbagarden.net/w/index.php?title=Magearna_(Lost_Thunder_131)&amp;action=edit&amp;redlink=1" TargetMode="External"/><Relationship Id="rId125" Type="http://schemas.openxmlformats.org/officeDocument/2006/relationships/hyperlink" Target="https://bulbapedia.bulbagarden.net/w/index.php?title=Snubbull_(Lost_Thunder_137)&amp;action=edit&amp;redlink=1" TargetMode="External"/><Relationship Id="rId141" Type="http://schemas.openxmlformats.org/officeDocument/2006/relationships/hyperlink" Target="https://bulbapedia.bulbagarden.net/w/index.php?title=Stantler_(Lost_Thunder_156)&amp;action=edit&amp;redlink=1" TargetMode="External"/><Relationship Id="rId146" Type="http://schemas.openxmlformats.org/officeDocument/2006/relationships/hyperlink" Target="https://bulbapedia.bulbagarden.net/w/index.php?title=Kecleon_(Lost_Thunder_162)&amp;action=edit&amp;redlink=1" TargetMode="External"/><Relationship Id="rId167" Type="http://schemas.openxmlformats.org/officeDocument/2006/relationships/hyperlink" Target="https://bulbapedia.bulbagarden.net/w/index.php?title=Moomoo_Milk_(Lost_Thunder_185)&amp;action=edit&amp;redlink=1" TargetMode="External"/><Relationship Id="rId188" Type="http://schemas.openxmlformats.org/officeDocument/2006/relationships/hyperlink" Target="https://bulbapedia.bulbagarden.net/w/index.php?title=Electropower_(Lost_Thunder_232)&amp;action=edit&amp;redlink=1" TargetMode="External"/><Relationship Id="rId7" Type="http://schemas.openxmlformats.org/officeDocument/2006/relationships/hyperlink" Target="https://bulbapedia.bulbagarden.net/w/index.php?title=Bayleef_(Lost_Thunder_7)&amp;action=edit&amp;redlink=1" TargetMode="External"/><Relationship Id="rId71" Type="http://schemas.openxmlformats.org/officeDocument/2006/relationships/hyperlink" Target="https://bulbapedia.bulbagarden.net/w/index.php?title=Ampharos_(Lost_Thunder_78)&amp;action=edit&amp;redlink=1" TargetMode="External"/><Relationship Id="rId92" Type="http://schemas.openxmlformats.org/officeDocument/2006/relationships/hyperlink" Target="https://bulbapedia.bulbagarden.net/w/index.php?title=Litwick_(Lost_Thunder_101)&amp;action=edit&amp;redlink=1" TargetMode="External"/><Relationship Id="rId162" Type="http://schemas.openxmlformats.org/officeDocument/2006/relationships/hyperlink" Target="https://bulbapedia.bulbagarden.net/w/index.php?title=Fairy_Charm_D_(Lost_Thunder_177)&amp;action=edit&amp;redlink=1" TargetMode="External"/><Relationship Id="rId183" Type="http://schemas.openxmlformats.org/officeDocument/2006/relationships/hyperlink" Target="https://bulbapedia.bulbagarden.net/w/index.php?title=Whitney_(Lost_Thunder_214)&amp;action=edit&amp;redlink=1" TargetMode="External"/><Relationship Id="rId2" Type="http://schemas.openxmlformats.org/officeDocument/2006/relationships/hyperlink" Target="https://bulbapedia.bulbagarden.net/w/index.php?title=Tangrowth_(Lost_Thunder_2)&amp;action=edit&amp;redlink=1" TargetMode="External"/><Relationship Id="rId29" Type="http://schemas.openxmlformats.org/officeDocument/2006/relationships/hyperlink" Target="https://bulbapedia.bulbagarden.net/w/index.php?title=Vespiquen_(Lost_Thunder_32)&amp;action=edit&amp;redlink=1" TargetMode="External"/><Relationship Id="rId24" Type="http://schemas.openxmlformats.org/officeDocument/2006/relationships/hyperlink" Target="https://bulbapedia.bulbagarden.net/w/index.php?title=Cascoon_(Lost_Thunder_27)&amp;action=edit&amp;redlink=1" TargetMode="External"/><Relationship Id="rId40" Type="http://schemas.openxmlformats.org/officeDocument/2006/relationships/hyperlink" Target="https://bulbapedia.bulbagarden.net/w/index.php?title=Houndour_(Lost_Thunder_45)&amp;action=edit&amp;redlink=1" TargetMode="External"/><Relationship Id="rId45" Type="http://schemas.openxmlformats.org/officeDocument/2006/relationships/hyperlink" Target="https://bulbapedia.bulbagarden.net/w/index.php?title=Litleo_(Lost_Thunder_50)&amp;action=edit&amp;redlink=1" TargetMode="External"/><Relationship Id="rId66" Type="http://schemas.openxmlformats.org/officeDocument/2006/relationships/hyperlink" Target="https://bulbapedia.bulbagarden.net/w/index.php?title=Chinchou_(Lost_Thunder_73)&amp;action=edit&amp;redlink=1" TargetMode="External"/><Relationship Id="rId87" Type="http://schemas.openxmlformats.org/officeDocument/2006/relationships/hyperlink" Target="https://bulbapedia.bulbagarden.net/w/index.php?title=Shedinja_(Lost_Thunder_95)&amp;action=edit&amp;redlink=1" TargetMode="External"/><Relationship Id="rId110" Type="http://schemas.openxmlformats.org/officeDocument/2006/relationships/hyperlink" Target="https://bulbapedia.bulbagarden.net/w/index.php?title=Alolan_Persian_(Lost_Thunder_119)&amp;action=edit&amp;redlink=1" TargetMode="External"/><Relationship Id="rId115" Type="http://schemas.openxmlformats.org/officeDocument/2006/relationships/hyperlink" Target="https://bulbapedia.bulbagarden.net/w/index.php?title=Steelix_(Lost_Thunder_125)&amp;action=edit&amp;redlink=1" TargetMode="External"/><Relationship Id="rId131" Type="http://schemas.openxmlformats.org/officeDocument/2006/relationships/hyperlink" Target="https://bulbapedia.bulbagarden.net/w/index.php?title=Carbink_(Lost_Thunder_143)&amp;action=edit&amp;redlink=1" TargetMode="External"/><Relationship Id="rId136" Type="http://schemas.openxmlformats.org/officeDocument/2006/relationships/hyperlink" Target="https://bulbapedia.bulbagarden.net/wiki/Tapu_Lele_(Lost_Thunder_150)" TargetMode="External"/><Relationship Id="rId157" Type="http://schemas.openxmlformats.org/officeDocument/2006/relationships/hyperlink" Target="https://bulbapedia.bulbagarden.net/w/index.php?title=Electropower_(Lost_Thunder_172)&amp;action=edit&amp;redlink=1" TargetMode="External"/><Relationship Id="rId178" Type="http://schemas.openxmlformats.org/officeDocument/2006/relationships/hyperlink" Target="https://bulbapedia.bulbagarden.net/w/index.php?title=Judge_(Lost_Thunder_209)&amp;action=edit&amp;redlink=1" TargetMode="External"/><Relationship Id="rId61" Type="http://schemas.openxmlformats.org/officeDocument/2006/relationships/hyperlink" Target="https://bulbapedia.bulbagarden.net/w/index.php?title=Mareanie_(Lost_Thunder_68)&amp;action=edit&amp;redlink=1" TargetMode="External"/><Relationship Id="rId82" Type="http://schemas.openxmlformats.org/officeDocument/2006/relationships/hyperlink" Target="https://bulbapedia.bulbagarden.net/w/index.php?title=Unown_(Lost_Thunder_90)&amp;action=edit&amp;redlink=1" TargetMode="External"/><Relationship Id="rId152" Type="http://schemas.openxmlformats.org/officeDocument/2006/relationships/hyperlink" Target="https://bulbapedia.bulbagarden.net/w/index.php?title=Aether_Foundation_Employee_(Lost_Thunder_168)&amp;action=edit&amp;redlink=1" TargetMode="External"/><Relationship Id="rId173" Type="http://schemas.openxmlformats.org/officeDocument/2006/relationships/hyperlink" Target="https://bulbapedia.bulbagarden.net/w/index.php?title=Spell_Tag_(Lost_Thunder_190)&amp;action=edit&amp;redlink=1" TargetMode="External"/><Relationship Id="rId19" Type="http://schemas.openxmlformats.org/officeDocument/2006/relationships/hyperlink" Target="https://bulbapedia.bulbagarden.net/w/index.php?title=Grovyle_(Lost_Thunder_21)&amp;action=edit&amp;redlink=1" TargetMode="External"/><Relationship Id="rId14" Type="http://schemas.openxmlformats.org/officeDocument/2006/relationships/hyperlink" Target="https://bulbapedia.bulbagarden.net/w/index.php?title=Jumpluff_(Lost_Thunder_14)&amp;action=edit&amp;redlink=1" TargetMode="External"/><Relationship Id="rId30" Type="http://schemas.openxmlformats.org/officeDocument/2006/relationships/hyperlink" Target="https://bulbapedia.bulbagarden.net/w/index.php?title=Shaymin_(Lost_Thunder_33)&amp;action=edit&amp;redlink=1" TargetMode="External"/><Relationship Id="rId35" Type="http://schemas.openxmlformats.org/officeDocument/2006/relationships/hyperlink" Target="https://bulbapedia.bulbagarden.net/w/index.php?title=Cyndaquil_(Lost_Thunder_39)&amp;action=edit&amp;redlink=1" TargetMode="External"/><Relationship Id="rId56" Type="http://schemas.openxmlformats.org/officeDocument/2006/relationships/hyperlink" Target="https://bulbapedia.bulbagarden.net/w/index.php?title=White_Kyurem_(Lost_Thunder_63)&amp;action=edit&amp;redlink=1" TargetMode="External"/><Relationship Id="rId77" Type="http://schemas.openxmlformats.org/officeDocument/2006/relationships/hyperlink" Target="https://bulbapedia.bulbagarden.net/w/index.php?title=Dedenne_(Lost_Thunder_84)&amp;action=edit&amp;redlink=1" TargetMode="External"/><Relationship Id="rId100" Type="http://schemas.openxmlformats.org/officeDocument/2006/relationships/hyperlink" Target="https://bulbapedia.bulbagarden.net/w/index.php?title=Onix_(Lost_Thunder_109)&amp;action=edit&amp;redlink=1" TargetMode="External"/><Relationship Id="rId105" Type="http://schemas.openxmlformats.org/officeDocument/2006/relationships/hyperlink" Target="https://bulbapedia.bulbagarden.net/w/index.php?title=Larvitar_(Lost_Thunder_114)&amp;action=edit&amp;redlink=1" TargetMode="External"/><Relationship Id="rId126" Type="http://schemas.openxmlformats.org/officeDocument/2006/relationships/hyperlink" Target="https://bulbapedia.bulbagarden.net/w/index.php?title=Granbull_(Lost_Thunder_138)&amp;action=edit&amp;redlink=1" TargetMode="External"/><Relationship Id="rId147" Type="http://schemas.openxmlformats.org/officeDocument/2006/relationships/hyperlink" Target="https://bulbapedia.bulbagarden.net/w/index.php?title=Pikipek_(Lost_Thunder_163)&amp;action=edit&amp;redlink=1" TargetMode="External"/><Relationship Id="rId168" Type="http://schemas.openxmlformats.org/officeDocument/2006/relationships/hyperlink" Target="https://bulbapedia.bulbagarden.net/w/index.php?title=Morty_(Lost_Thunder_186)&amp;action=edit&amp;redlink=1" TargetMode="External"/><Relationship Id="rId8" Type="http://schemas.openxmlformats.org/officeDocument/2006/relationships/hyperlink" Target="https://bulbapedia.bulbagarden.net/w/index.php?title=Meganium_(Lost_Thunder_8)&amp;action=edit&amp;redlink=1" TargetMode="External"/><Relationship Id="rId51" Type="http://schemas.openxmlformats.org/officeDocument/2006/relationships/hyperlink" Target="https://bulbapedia.bulbagarden.net/w/index.php?title=Delibird_(Lost_Thunder_57)&amp;action=edit&amp;redlink=1" TargetMode="External"/><Relationship Id="rId72" Type="http://schemas.openxmlformats.org/officeDocument/2006/relationships/hyperlink" Target="https://bulbapedia.bulbagarden.net/w/index.php?title=Raikou_(Lost_Thunder_79)&amp;action=edit&amp;redlink=1" TargetMode="External"/><Relationship Id="rId93" Type="http://schemas.openxmlformats.org/officeDocument/2006/relationships/hyperlink" Target="https://bulbapedia.bulbagarden.net/w/index.php?title=Lampent_(Lost_Thunder_102)&amp;action=edit&amp;redlink=1" TargetMode="External"/><Relationship Id="rId98" Type="http://schemas.openxmlformats.org/officeDocument/2006/relationships/hyperlink" Target="https://bulbapedia.bulbagarden.net/w/index.php?title=Poipole_(Lost_Thunder_107)&amp;action=edit&amp;redlink=1" TargetMode="External"/><Relationship Id="rId121" Type="http://schemas.openxmlformats.org/officeDocument/2006/relationships/hyperlink" Target="https://bulbapedia.bulbagarden.net/w/index.php?title=Jigglypuff_(Lost_Thunder_133)&amp;action=edit&amp;redlink=1" TargetMode="External"/><Relationship Id="rId142" Type="http://schemas.openxmlformats.org/officeDocument/2006/relationships/hyperlink" Target="https://bulbapedia.bulbagarden.net/w/index.php?title=Smeargle_(Lost_Thunder_157)&amp;action=edit&amp;redlink=1" TargetMode="External"/><Relationship Id="rId163" Type="http://schemas.openxmlformats.org/officeDocument/2006/relationships/hyperlink" Target="https://bulbapedia.bulbagarden.net/w/index.php?title=Kahili_(Lost_Thunder_179)&amp;action=edit&amp;redlink=1" TargetMode="External"/><Relationship Id="rId184" Type="http://schemas.openxmlformats.org/officeDocument/2006/relationships/hyperlink" Target="https://bulbapedia.bulbagarden.net/w/index.php?title=Adventure_Bag_(Lost_Thunder_228)&amp;action=edit&amp;redlink=1" TargetMode="External"/><Relationship Id="rId189" Type="http://schemas.openxmlformats.org/officeDocument/2006/relationships/hyperlink" Target="https://bulbapedia.bulbagarden.net/w/index.php?title=Lost_Blender_(Lost_Thunder_233)&amp;action=edit&amp;redlink=1" TargetMode="External"/><Relationship Id="rId3" Type="http://schemas.openxmlformats.org/officeDocument/2006/relationships/hyperlink" Target="https://bulbapedia.bulbagarden.net/w/index.php?title=Scyther_(Lost_Thunder_3)&amp;action=edit&amp;redlink=1" TargetMode="External"/><Relationship Id="rId25" Type="http://schemas.openxmlformats.org/officeDocument/2006/relationships/hyperlink" Target="https://bulbapedia.bulbagarden.net/w/index.php?title=Dustox_(Lost_Thunder_28)&amp;action=edit&amp;redlink=1" TargetMode="External"/><Relationship Id="rId46" Type="http://schemas.openxmlformats.org/officeDocument/2006/relationships/hyperlink" Target="https://bulbapedia.bulbagarden.net/w/index.php?title=Pyroar_(Lost_Thunder_51)&amp;action=edit&amp;redlink=1" TargetMode="External"/><Relationship Id="rId67" Type="http://schemas.openxmlformats.org/officeDocument/2006/relationships/hyperlink" Target="https://bulbapedia.bulbagarden.net/w/index.php?title=Lanturn_(Lost_Thunder_74)&amp;action=edit&amp;redlink=1" TargetMode="External"/><Relationship Id="rId116" Type="http://schemas.openxmlformats.org/officeDocument/2006/relationships/hyperlink" Target="https://bulbapedia.bulbagarden.net/w/index.php?title=Scizor_(Lost_Thunder_126)&amp;action=edit&amp;redlink=1" TargetMode="External"/><Relationship Id="rId137" Type="http://schemas.openxmlformats.org/officeDocument/2006/relationships/hyperlink" Target="https://bulbapedia.bulbagarden.net/w/index.php?title=Tapu_Fini_(Lost_Thunder_151)&amp;action=edit&amp;redlink=1" TargetMode="External"/><Relationship Id="rId158" Type="http://schemas.openxmlformats.org/officeDocument/2006/relationships/hyperlink" Target="https://bulbapedia.bulbagarden.net/w/index.php?title=Faba_(Lost_Thunder_173)&amp;action=edit&amp;redlink=1" TargetMode="External"/><Relationship Id="rId20" Type="http://schemas.openxmlformats.org/officeDocument/2006/relationships/hyperlink" Target="https://bulbapedia.bulbagarden.net/w/index.php?title=Wurmple_(Lost_Thunder_23)&amp;action=edit&amp;redlink=1" TargetMode="External"/><Relationship Id="rId41" Type="http://schemas.openxmlformats.org/officeDocument/2006/relationships/hyperlink" Target="https://bulbapedia.bulbagarden.net/w/index.php?title=Houndoom_(Lost_Thunder_46)&amp;action=edit&amp;redlink=1" TargetMode="External"/><Relationship Id="rId62" Type="http://schemas.openxmlformats.org/officeDocument/2006/relationships/hyperlink" Target="https://bulbapedia.bulbagarden.net/w/index.php?title=Toxapex_(Lost_Thunder_69)&amp;action=edit&amp;redlink=1" TargetMode="External"/><Relationship Id="rId83" Type="http://schemas.openxmlformats.org/officeDocument/2006/relationships/hyperlink" Target="https://bulbapedia.bulbagarden.net/w/index.php?title=Unown_(Lost_Thunder_91)&amp;action=edit&amp;redlink=1" TargetMode="External"/><Relationship Id="rId88" Type="http://schemas.openxmlformats.org/officeDocument/2006/relationships/hyperlink" Target="https://bulbapedia.bulbagarden.net/w/index.php?title=Sableye_(Lost_Thunder_96)&amp;action=edit&amp;redlink=1" TargetMode="External"/><Relationship Id="rId111" Type="http://schemas.openxmlformats.org/officeDocument/2006/relationships/hyperlink" Target="https://bulbapedia.bulbagarden.net/w/index.php?title=Umbreon_(Lost_Thunder_120)&amp;action=edit&amp;redlink=1" TargetMode="External"/><Relationship Id="rId132" Type="http://schemas.openxmlformats.org/officeDocument/2006/relationships/hyperlink" Target="https://bulbapedia.bulbagarden.net/w/index.php?title=Cutiefly_(Lost_Thunder_145)&amp;action=edit&amp;redlink=1" TargetMode="External"/><Relationship Id="rId153" Type="http://schemas.openxmlformats.org/officeDocument/2006/relationships/hyperlink" Target="https://bulbapedia.bulbagarden.net/w/index.php?title=Choice_Helmet_(Lost_Thunder_169)&amp;action=edit&amp;redlink=1" TargetMode="External"/><Relationship Id="rId174" Type="http://schemas.openxmlformats.org/officeDocument/2006/relationships/hyperlink" Target="https://bulbapedia.bulbagarden.net/w/index.php?title=Wait_and_See_Hammer_(Lost_Thunder_192)&amp;action=edit&amp;redlink=1" TargetMode="External"/><Relationship Id="rId179" Type="http://schemas.openxmlformats.org/officeDocument/2006/relationships/hyperlink" Target="https://bulbapedia.bulbagarden.net/w/index.php?title=Kahili_(Lost_Thunder_210)&amp;action=edit&amp;redlink=1" TargetMode="External"/><Relationship Id="rId190" Type="http://schemas.openxmlformats.org/officeDocument/2006/relationships/hyperlink" Target="https://bulbapedia.bulbagarden.net/w/index.php?title=Net_Ball_(Lost_Thunder_234)&amp;action=edit&amp;redlink=1" TargetMode="External"/><Relationship Id="rId15" Type="http://schemas.openxmlformats.org/officeDocument/2006/relationships/hyperlink" Target="https://bulbapedia.bulbagarden.net/w/index.php?title=Pineco_(Lost_Thunder_15)&amp;action=edit&amp;redlink=1" TargetMode="External"/><Relationship Id="rId36" Type="http://schemas.openxmlformats.org/officeDocument/2006/relationships/hyperlink" Target="https://bulbapedia.bulbagarden.net/w/index.php?title=Cyndaquil_(Lost_Thunder_40)&amp;action=edit&amp;redlink=1" TargetMode="External"/><Relationship Id="rId57" Type="http://schemas.openxmlformats.org/officeDocument/2006/relationships/hyperlink" Target="https://bulbapedia.bulbagarden.net/w/index.php?title=Popplio_(Lost_Thunder_64)&amp;action=edit&amp;redlink=1" TargetMode="External"/><Relationship Id="rId106" Type="http://schemas.openxmlformats.org/officeDocument/2006/relationships/hyperlink" Target="https://bulbapedia.bulbagarden.net/w/index.php?title=Larvitar_(Lost_Thunder_115)&amp;action=edit&amp;redlink=1" TargetMode="External"/><Relationship Id="rId127" Type="http://schemas.openxmlformats.org/officeDocument/2006/relationships/hyperlink" Target="https://bulbapedia.bulbagarden.net/w/index.php?title=Ralts_(Lost_Thunder_139)&amp;action=edit&amp;redlink=1" TargetMode="External"/><Relationship Id="rId10" Type="http://schemas.openxmlformats.org/officeDocument/2006/relationships/hyperlink" Target="https://bulbapedia.bulbagarden.net/w/index.php?title=Ariados_(Lost_Thunder_10)&amp;action=edit&amp;redlink=1" TargetMode="External"/><Relationship Id="rId31" Type="http://schemas.openxmlformats.org/officeDocument/2006/relationships/hyperlink" Target="https://bulbapedia.bulbagarden.net/w/index.php?title=Skiddo_(Lost_Thunder_35)&amp;action=edit&amp;redlink=1" TargetMode="External"/><Relationship Id="rId52" Type="http://schemas.openxmlformats.org/officeDocument/2006/relationships/hyperlink" Target="https://bulbapedia.bulbagarden.net/w/index.php?title=Mantine_(Lost_Thunder_58)&amp;action=edit&amp;redlink=1" TargetMode="External"/><Relationship Id="rId73" Type="http://schemas.openxmlformats.org/officeDocument/2006/relationships/hyperlink" Target="https://bulbapedia.bulbagarden.net/w/index.php?title=Pachirisu_(Lost_Thunder_80)&amp;action=edit&amp;redlink=1" TargetMode="External"/><Relationship Id="rId78" Type="http://schemas.openxmlformats.org/officeDocument/2006/relationships/hyperlink" Target="https://bulbapedia.bulbagarden.net/w/index.php?title=Tapu_Koko_(Lost_Thunder_85)&amp;action=edit&amp;redlink=1" TargetMode="External"/><Relationship Id="rId94" Type="http://schemas.openxmlformats.org/officeDocument/2006/relationships/hyperlink" Target="https://bulbapedia.bulbagarden.net/w/index.php?title=Chandelure_(Lost_Thunder_103)&amp;action=edit&amp;redlink=1" TargetMode="External"/><Relationship Id="rId99" Type="http://schemas.openxmlformats.org/officeDocument/2006/relationships/hyperlink" Target="https://bulbapedia.bulbagarden.net/w/index.php?title=Naganadel_(Lost_Thunder_108)&amp;action=edit&amp;redlink=1" TargetMode="External"/><Relationship Id="rId101" Type="http://schemas.openxmlformats.org/officeDocument/2006/relationships/hyperlink" Target="https://bulbapedia.bulbagarden.net/w/index.php?title=Sudowoodo_(Lost_Thunder_110)&amp;action=edit&amp;redlink=1" TargetMode="External"/><Relationship Id="rId122" Type="http://schemas.openxmlformats.org/officeDocument/2006/relationships/hyperlink" Target="https://bulbapedia.bulbagarden.net/w/index.php?title=Wigglytuff_(Lost_Thunder_134)&amp;action=edit&amp;redlink=1" TargetMode="External"/><Relationship Id="rId143" Type="http://schemas.openxmlformats.org/officeDocument/2006/relationships/hyperlink" Target="https://bulbapedia.bulbagarden.net/w/index.php?title=Miltank_(Lost_Thunder_158)&amp;action=edit&amp;redlink=1" TargetMode="External"/><Relationship Id="rId148" Type="http://schemas.openxmlformats.org/officeDocument/2006/relationships/hyperlink" Target="https://bulbapedia.bulbagarden.net/w/index.php?title=Pikipek_(Lost_Thunder_164)&amp;action=edit&amp;redlink=1" TargetMode="External"/><Relationship Id="rId164" Type="http://schemas.openxmlformats.org/officeDocument/2006/relationships/hyperlink" Target="https://bulbapedia.bulbagarden.net/w/index.php?title=Lost_Blender_(Lost_Thunder_181)&amp;action=edit&amp;redlink=1" TargetMode="External"/><Relationship Id="rId169" Type="http://schemas.openxmlformats.org/officeDocument/2006/relationships/hyperlink" Target="https://bulbapedia.bulbagarden.net/w/index.php?title=Net_Ball_(Lost_Thunder_187)&amp;action=edit&amp;redlink=1" TargetMode="External"/><Relationship Id="rId185" Type="http://schemas.openxmlformats.org/officeDocument/2006/relationships/hyperlink" Target="https://bulbapedia.bulbagarden.net/w/index.php?title=Choice_Helmet_(Lost_Thunder_229)&amp;action=edit&amp;redlink=1" TargetMode="External"/><Relationship Id="rId4" Type="http://schemas.openxmlformats.org/officeDocument/2006/relationships/hyperlink" Target="https://bulbapedia.bulbagarden.net/w/index.php?title=Pinsir_(Lost_Thunder_4)&amp;action=edit&amp;redlink=1" TargetMode="External"/><Relationship Id="rId9" Type="http://schemas.openxmlformats.org/officeDocument/2006/relationships/hyperlink" Target="https://bulbapedia.bulbagarden.net/w/index.php?title=Spinarak_(Lost_Thunder_9)&amp;action=edit&amp;redlink=1" TargetMode="External"/><Relationship Id="rId180" Type="http://schemas.openxmlformats.org/officeDocument/2006/relationships/hyperlink" Target="https://bulbapedia.bulbagarden.net/w/index.php?title=Mina_(Lost_Thunder_211)&amp;action=edit&amp;redlink=1" TargetMode="External"/><Relationship Id="rId26" Type="http://schemas.openxmlformats.org/officeDocument/2006/relationships/hyperlink" Target="https://bulbapedia.bulbagarden.net/w/index.php?title=Nincada_(Lost_Thunder_29)&amp;action=edit&amp;redlink=1" TargetMode="External"/><Relationship Id="rId47" Type="http://schemas.openxmlformats.org/officeDocument/2006/relationships/hyperlink" Target="https://bulbapedia.bulbagarden.net/w/index.php?title=Alolan_Vulpix_(Lost_Thunder_53)&amp;action=edit&amp;redlink=1" TargetMode="External"/><Relationship Id="rId68" Type="http://schemas.openxmlformats.org/officeDocument/2006/relationships/hyperlink" Target="https://bulbapedia.bulbagarden.net/w/index.php?title=Mareep_(Lost_Thunder_75)&amp;action=edit&amp;redlink=1" TargetMode="External"/><Relationship Id="rId89" Type="http://schemas.openxmlformats.org/officeDocument/2006/relationships/hyperlink" Target="https://bulbapedia.bulbagarden.net/w/index.php?title=Giratina_(Lost_Thunder_97)&amp;action=edit&amp;redlink=1" TargetMode="External"/><Relationship Id="rId112" Type="http://schemas.openxmlformats.org/officeDocument/2006/relationships/hyperlink" Target="https://bulbapedia.bulbagarden.net/w/index.php?title=Alolan_Diglett_(Lost_Thunder_122)&amp;action=edit&amp;redlink=1" TargetMode="External"/><Relationship Id="rId133" Type="http://schemas.openxmlformats.org/officeDocument/2006/relationships/hyperlink" Target="https://bulbapedia.bulbagarden.net/w/index.php?title=Ribombee_(Lost_Thunder_146)&amp;action=edit&amp;redlink=1" TargetMode="External"/><Relationship Id="rId154" Type="http://schemas.openxmlformats.org/officeDocument/2006/relationships/hyperlink" Target="https://bulbapedia.bulbagarden.net/w/index.php?title=Counter_Gain_(Lost_Thunder_170)&amp;action=edit&amp;redlink=1" TargetMode="External"/><Relationship Id="rId175" Type="http://schemas.openxmlformats.org/officeDocument/2006/relationships/hyperlink" Target="https://bulbapedia.bulbagarden.net/w/index.php?title=Whitney_(Lost_Thunder_193)&amp;action=edit&amp;redlink=1" TargetMode="External"/><Relationship Id="rId16" Type="http://schemas.openxmlformats.org/officeDocument/2006/relationships/hyperlink" Target="https://bulbapedia.bulbagarden.net/w/index.php?title=Shuckle_(Lost_Thunder_16)&amp;action=edit&amp;redlink=1" TargetMode="External"/><Relationship Id="rId37" Type="http://schemas.openxmlformats.org/officeDocument/2006/relationships/hyperlink" Target="https://bulbapedia.bulbagarden.net/w/index.php?title=Quilava_(Lost_Thunder_41)&amp;action=edit&amp;redlink=1" TargetMode="External"/><Relationship Id="rId58" Type="http://schemas.openxmlformats.org/officeDocument/2006/relationships/hyperlink" Target="https://bulbapedia.bulbagarden.net/w/index.php?title=Popplio_(Lost_Thunder_65)&amp;action=edit&amp;redlink=1" TargetMode="External"/><Relationship Id="rId79" Type="http://schemas.openxmlformats.org/officeDocument/2006/relationships/hyperlink" Target="https://bulbapedia.bulbagarden.net/w/index.php?title=Natu_(Lost_Thunder_87)&amp;action=edit&amp;redlink=1" TargetMode="External"/><Relationship Id="rId102" Type="http://schemas.openxmlformats.org/officeDocument/2006/relationships/hyperlink" Target="https://bulbapedia.bulbagarden.net/w/index.php?title=Phanpy_(Lost_Thunder_111)&amp;action=edit&amp;redlink=1" TargetMode="External"/><Relationship Id="rId123" Type="http://schemas.openxmlformats.org/officeDocument/2006/relationships/hyperlink" Target="https://bulbapedia.bulbagarden.net/w/index.php?title=Marill_(Lost_Thunder_135)&amp;action=edit&amp;redlink=1" TargetMode="External"/><Relationship Id="rId144" Type="http://schemas.openxmlformats.org/officeDocument/2006/relationships/hyperlink" Target="https://bulbapedia.bulbagarden.net/w/index.php?title=Ho-Oh_(Lost_Thunder_160)&amp;action=edit&amp;redlink=1" TargetMode="External"/><Relationship Id="rId90" Type="http://schemas.openxmlformats.org/officeDocument/2006/relationships/hyperlink" Target="https://bulbapedia.bulbagarden.net/w/index.php?title=Yamask_(Lost_Thunder_99)&amp;action=edit&amp;redlink=1" TargetMode="External"/><Relationship Id="rId165" Type="http://schemas.openxmlformats.org/officeDocument/2006/relationships/hyperlink" Target="https://bulbapedia.bulbagarden.net/w/index.php?title=Mina_(Lost_Thunder_183)&amp;action=edit&amp;redlink=1" TargetMode="External"/><Relationship Id="rId186" Type="http://schemas.openxmlformats.org/officeDocument/2006/relationships/hyperlink" Target="https://bulbapedia.bulbagarden.net/w/index.php?title=Counter_Gain_(Lost_Thunder_230)&amp;action=edit&amp;redlink=1" TargetMode="External"/><Relationship Id="rId27" Type="http://schemas.openxmlformats.org/officeDocument/2006/relationships/hyperlink" Target="https://bulbapedia.bulbagarden.net/w/index.php?title=Ninjask_(Lost_Thunder_30)&amp;action=edit&amp;redlink=1" TargetMode="External"/><Relationship Id="rId48" Type="http://schemas.openxmlformats.org/officeDocument/2006/relationships/hyperlink" Target="https://bulbapedia.bulbagarden.net/w/index.php?title=Slowpoke_(Lost_Thunder_54)&amp;action=edit&amp;redlink=1" TargetMode="External"/><Relationship Id="rId69" Type="http://schemas.openxmlformats.org/officeDocument/2006/relationships/hyperlink" Target="https://bulbapedia.bulbagarden.net/w/index.php?title=Mareep_(Lost_Thunder_76)&amp;action=edit&amp;redlink=1" TargetMode="External"/><Relationship Id="rId113" Type="http://schemas.openxmlformats.org/officeDocument/2006/relationships/hyperlink" Target="https://bulbapedia.bulbagarden.net/w/index.php?title=Alolan_Dugtrio_(Lost_Thunder_123)&amp;action=edit&amp;redlink=1" TargetMode="External"/><Relationship Id="rId134" Type="http://schemas.openxmlformats.org/officeDocument/2006/relationships/hyperlink" Target="https://bulbapedia.bulbagarden.net/w/index.php?title=Morelull_(Lost_Thunder_147)&amp;action=edit&amp;redlink=1" TargetMode="External"/><Relationship Id="rId80" Type="http://schemas.openxmlformats.org/officeDocument/2006/relationships/hyperlink" Target="https://bulbapedia.bulbagarden.net/w/index.php?title=Xatu_(Lost_Thunder_88)&amp;action=edit&amp;redlink=1" TargetMode="External"/><Relationship Id="rId155" Type="http://schemas.openxmlformats.org/officeDocument/2006/relationships/hyperlink" Target="https://bulbapedia.bulbagarden.net/w/index.php?title=Custom_Catcher_(Lost_Thunder_171)&amp;action=edit&amp;redlink=1" TargetMode="External"/><Relationship Id="rId176" Type="http://schemas.openxmlformats.org/officeDocument/2006/relationships/hyperlink" Target="https://bulbapedia.bulbagarden.net/w/index.php?title=Memory_Energy_(Lost_Thunder_194)&amp;action=edit&amp;redlink=1" TargetMode="External"/><Relationship Id="rId17" Type="http://schemas.openxmlformats.org/officeDocument/2006/relationships/hyperlink" Target="https://bulbapedia.bulbagarden.net/w/index.php?title=Heracross_(Lost_Thunder_18)&amp;action=edit&amp;redlink=1" TargetMode="External"/><Relationship Id="rId38" Type="http://schemas.openxmlformats.org/officeDocument/2006/relationships/hyperlink" Target="https://bulbapedia.bulbagarden.net/w/index.php?title=Typhlosion_(Lost_Thunder_42)&amp;action=edit&amp;redlink=1" TargetMode="External"/><Relationship Id="rId59" Type="http://schemas.openxmlformats.org/officeDocument/2006/relationships/hyperlink" Target="https://bulbapedia.bulbagarden.net/w/index.php?title=Brionne_(Lost_Thunder_66)&amp;action=edit&amp;redlink=1" TargetMode="External"/><Relationship Id="rId103" Type="http://schemas.openxmlformats.org/officeDocument/2006/relationships/hyperlink" Target="https://bulbapedia.bulbagarden.net/w/index.php?title=Donphan_(Lost_Thunder_112)&amp;action=edit&amp;redlink=1" TargetMode="External"/><Relationship Id="rId124" Type="http://schemas.openxmlformats.org/officeDocument/2006/relationships/hyperlink" Target="https://bulbapedia.bulbagarden.net/w/index.php?title=Azumarill_(Lost_Thunder_136)&amp;action=edit&amp;redlink=1" TargetMode="External"/><Relationship Id="rId70" Type="http://schemas.openxmlformats.org/officeDocument/2006/relationships/hyperlink" Target="https://bulbapedia.bulbagarden.net/w/index.php?title=Flaaffy_(Lost_Thunder_77)&amp;action=edit&amp;redlink=1" TargetMode="External"/><Relationship Id="rId91" Type="http://schemas.openxmlformats.org/officeDocument/2006/relationships/hyperlink" Target="https://bulbapedia.bulbagarden.net/w/index.php?title=Cofagrigus_(Lost_Thunder_100)&amp;action=edit&amp;redlink=1" TargetMode="External"/><Relationship Id="rId145" Type="http://schemas.openxmlformats.org/officeDocument/2006/relationships/hyperlink" Target="https://bulbapedia.bulbagarden.net/w/index.php?title=Kecleon_(Lost_Thunder_161)&amp;action=edit&amp;redlink=1" TargetMode="External"/><Relationship Id="rId166" Type="http://schemas.openxmlformats.org/officeDocument/2006/relationships/hyperlink" Target="https://bulbapedia.bulbagarden.net/w/index.php?title=Mixed_Herbs_(Lost_Thunder_184)&amp;action=edit&amp;redlink=1" TargetMode="External"/><Relationship Id="rId187" Type="http://schemas.openxmlformats.org/officeDocument/2006/relationships/hyperlink" Target="https://bulbapedia.bulbagarden.net/w/index.php?title=Custom_Catcher_(Lost_Thunder_231)&amp;action=edit&amp;redlink=1" TargetMode="External"/><Relationship Id="rId1" Type="http://schemas.openxmlformats.org/officeDocument/2006/relationships/hyperlink" Target="https://bulbapedia.bulbagarden.net/w/index.php?title=Tangela_(Lost_Thunder_1)&amp;action=edit&amp;redlink=1" TargetMode="External"/><Relationship Id="rId28" Type="http://schemas.openxmlformats.org/officeDocument/2006/relationships/hyperlink" Target="https://bulbapedia.bulbagarden.net/w/index.php?title=Combee_(Lost_Thunder_31)&amp;action=edit&amp;redlink=1" TargetMode="External"/><Relationship Id="rId49" Type="http://schemas.openxmlformats.org/officeDocument/2006/relationships/hyperlink" Target="https://bulbapedia.bulbagarden.net/w/index.php?title=Slowking_(Lost_Thunder_55)&amp;action=edit&amp;redlink=1" TargetMode="External"/><Relationship Id="rId114" Type="http://schemas.openxmlformats.org/officeDocument/2006/relationships/hyperlink" Target="https://bulbapedia.bulbagarden.net/w/index.php?title=Forretress_(Lost_Thunder_124)&amp;action=edit&amp;redlink=1" TargetMode="External"/><Relationship Id="rId60" Type="http://schemas.openxmlformats.org/officeDocument/2006/relationships/hyperlink" Target="https://bulbapedia.bulbagarden.net/w/index.php?title=Primarina_(Lost_Thunder_67)&amp;action=edit&amp;redlink=1" TargetMode="External"/><Relationship Id="rId81" Type="http://schemas.openxmlformats.org/officeDocument/2006/relationships/hyperlink" Target="https://bulbapedia.bulbagarden.net/w/index.php?title=Espeon_(Lost_Thunder_89)&amp;action=edit&amp;redlink=1" TargetMode="External"/><Relationship Id="rId135" Type="http://schemas.openxmlformats.org/officeDocument/2006/relationships/hyperlink" Target="https://bulbapedia.bulbagarden.net/w/index.php?title=Shiinotic_(Lost_Thunder_148)&amp;action=edit&amp;redlink=1" TargetMode="External"/><Relationship Id="rId156" Type="http://schemas.openxmlformats.org/officeDocument/2006/relationships/hyperlink" Target="https://bulbapedia.bulbagarden.net/w/index.php?title=Electropower_(Lost_Thunder_172)&amp;action=edit&amp;redlink=1" TargetMode="External"/><Relationship Id="rId177" Type="http://schemas.openxmlformats.org/officeDocument/2006/relationships/hyperlink" Target="https://bulbapedia.bulbagarden.net/w/index.php?title=Faba_(Lost_Thunder_208)&amp;action=edit&amp;redlink=1" TargetMode="External"/></Relationships>
</file>

<file path=xl/worksheets/_rels/sheet77.xml.rels><?xml version="1.0" encoding="UTF-8" standalone="yes"?>
<Relationships xmlns="http://schemas.openxmlformats.org/package/2006/relationships"><Relationship Id="rId117" Type="http://schemas.openxmlformats.org/officeDocument/2006/relationships/hyperlink" Target="https://bulbapedia.bulbagarden.net/wiki/Aerodactyl_(Team_Up_130)" TargetMode="External"/><Relationship Id="rId21" Type="http://schemas.openxmlformats.org/officeDocument/2006/relationships/hyperlink" Target="https://bulbapedia.bulbagarden.net/wiki/Squirtle_(Team_Up_23)" TargetMode="External"/><Relationship Id="rId42" Type="http://schemas.openxmlformats.org/officeDocument/2006/relationships/hyperlink" Target="https://bulbapedia.bulbagarden.net/wiki/Emolga_(Team_Up_46)" TargetMode="External"/><Relationship Id="rId63" Type="http://schemas.openxmlformats.org/officeDocument/2006/relationships/hyperlink" Target="https://bulbapedia.bulbagarden.net/wiki/Cosmoem_(Team_Up_70)" TargetMode="External"/><Relationship Id="rId84" Type="http://schemas.openxmlformats.org/officeDocument/2006/relationships/hyperlink" Target="https://bulbapedia.bulbagarden.net/wiki/Vullaby_(Team_Up_92)" TargetMode="External"/><Relationship Id="rId138" Type="http://schemas.openxmlformats.org/officeDocument/2006/relationships/hyperlink" Target="https://bulbapedia.bulbagarden.net/wiki/Pok%C3%A9mon_Communication_(Team_Up_152)" TargetMode="External"/><Relationship Id="rId159" Type="http://schemas.openxmlformats.org/officeDocument/2006/relationships/hyperlink" Target="https://bulbapedia.bulbagarden.net/w/index.php?title=Pok%C3%A9mon_Communication_(Team_Up_196)&amp;action=edit&amp;redlink=1" TargetMode="External"/><Relationship Id="rId107" Type="http://schemas.openxmlformats.org/officeDocument/2006/relationships/hyperlink" Target="https://bulbapedia.bulbagarden.net/wiki/Dragonite_(Team_Up_119)" TargetMode="External"/><Relationship Id="rId11" Type="http://schemas.openxmlformats.org/officeDocument/2006/relationships/hyperlink" Target="https://bulbapedia.bulbagarden.net/wiki/Charmeleon_(Team_Up_13)" TargetMode="External"/><Relationship Id="rId32" Type="http://schemas.openxmlformats.org/officeDocument/2006/relationships/hyperlink" Target="https://bulbapedia.bulbagarden.net/wiki/Alolan_Geodude_(Team_Up_35)" TargetMode="External"/><Relationship Id="rId53" Type="http://schemas.openxmlformats.org/officeDocument/2006/relationships/hyperlink" Target="https://bulbapedia.bulbagarden.net/wiki/Nidoking_(Team_Up_59)" TargetMode="External"/><Relationship Id="rId74" Type="http://schemas.openxmlformats.org/officeDocument/2006/relationships/hyperlink" Target="https://bulbapedia.bulbagarden.net/wiki/Pancham_(Team_Up_81)" TargetMode="External"/><Relationship Id="rId128" Type="http://schemas.openxmlformats.org/officeDocument/2006/relationships/hyperlink" Target="https://bulbapedia.bulbagarden.net/wiki/Fairy_Charm_UB_(Team_Up_142)" TargetMode="External"/><Relationship Id="rId149" Type="http://schemas.openxmlformats.org/officeDocument/2006/relationships/hyperlink" Target="https://bulbapedia.bulbagarden.net/w/index.php?title=Ingo_%26_Emmet_(Team_Up_176)&amp;action=edit&amp;redlink=1" TargetMode="External"/><Relationship Id="rId5" Type="http://schemas.openxmlformats.org/officeDocument/2006/relationships/hyperlink" Target="https://bulbapedia.bulbagarden.net/wiki/Paras_(Team_Up_6)" TargetMode="External"/><Relationship Id="rId95" Type="http://schemas.openxmlformats.org/officeDocument/2006/relationships/hyperlink" Target="https://bulbapedia.bulbagarden.net/wiki/Bisharp_(Team_Up_105)" TargetMode="External"/><Relationship Id="rId22" Type="http://schemas.openxmlformats.org/officeDocument/2006/relationships/hyperlink" Target="https://bulbapedia.bulbagarden.net/wiki/Wartortle_(Team_Up_24)" TargetMode="External"/><Relationship Id="rId43" Type="http://schemas.openxmlformats.org/officeDocument/2006/relationships/hyperlink" Target="https://bulbapedia.bulbagarden.net/wiki/Joltik_(Team_Up_47)" TargetMode="External"/><Relationship Id="rId64" Type="http://schemas.openxmlformats.org/officeDocument/2006/relationships/hyperlink" Target="https://bulbapedia.bulbagarden.net/wiki/Mankey_(Team_Up_71)" TargetMode="External"/><Relationship Id="rId118" Type="http://schemas.openxmlformats.org/officeDocument/2006/relationships/hyperlink" Target="https://bulbapedia.bulbagarden.net/wiki/Lugia_(Team_Up_131)" TargetMode="External"/><Relationship Id="rId139" Type="http://schemas.openxmlformats.org/officeDocument/2006/relationships/hyperlink" Target="https://bulbapedia.bulbagarden.net/wiki/Pok%C3%A9mon_Communication_(Team_Up_152)" TargetMode="External"/><Relationship Id="rId80" Type="http://schemas.openxmlformats.org/officeDocument/2006/relationships/hyperlink" Target="https://bulbapedia.bulbagarden.net/wiki/Absol_(Team_Up_88)" TargetMode="External"/><Relationship Id="rId85" Type="http://schemas.openxmlformats.org/officeDocument/2006/relationships/hyperlink" Target="https://bulbapedia.bulbagarden.net/wiki/Mandibuzz_(Team_Up_93)" TargetMode="External"/><Relationship Id="rId150" Type="http://schemas.openxmlformats.org/officeDocument/2006/relationships/hyperlink" Target="https://bulbapedia.bulbagarden.net/w/index.php?title=Jasmine_(Team_Up_177)&amp;action=edit&amp;redlink=1" TargetMode="External"/><Relationship Id="rId155" Type="http://schemas.openxmlformats.org/officeDocument/2006/relationships/hyperlink" Target="https://bulbapedia.bulbagarden.net/w/index.php?title=Dangerous_Drill_(Team_Up_192)&amp;action=edit&amp;redlink=1" TargetMode="External"/><Relationship Id="rId12" Type="http://schemas.openxmlformats.org/officeDocument/2006/relationships/hyperlink" Target="https://bulbapedia.bulbagarden.net/wiki/Charizard_(Team_Up_14)" TargetMode="External"/><Relationship Id="rId17" Type="http://schemas.openxmlformats.org/officeDocument/2006/relationships/hyperlink" Target="https://bulbapedia.bulbagarden.net/wiki/Moltres_(Team_Up_19)" TargetMode="External"/><Relationship Id="rId33" Type="http://schemas.openxmlformats.org/officeDocument/2006/relationships/hyperlink" Target="https://bulbapedia.bulbagarden.net/wiki/Alolan_Graveler_(Team_Up_36)" TargetMode="External"/><Relationship Id="rId38" Type="http://schemas.openxmlformats.org/officeDocument/2006/relationships/hyperlink" Target="https://bulbapedia.bulbagarden.net/wiki/Mareep_(Team_Up_41)" TargetMode="External"/><Relationship Id="rId59" Type="http://schemas.openxmlformats.org/officeDocument/2006/relationships/hyperlink" Target="https://bulbapedia.bulbagarden.net/wiki/Starmie_(Team_Up_65)" TargetMode="External"/><Relationship Id="rId103" Type="http://schemas.openxmlformats.org/officeDocument/2006/relationships/hyperlink" Target="https://bulbapedia.bulbagarden.net/wiki/Alolan_Exeggutor_(Team_Up_115)" TargetMode="External"/><Relationship Id="rId108" Type="http://schemas.openxmlformats.org/officeDocument/2006/relationships/hyperlink" Target="https://bulbapedia.bulbagarden.net/wiki/Pidgey_(Team_Up_121)" TargetMode="External"/><Relationship Id="rId124" Type="http://schemas.openxmlformats.org/officeDocument/2006/relationships/hyperlink" Target="https://bulbapedia.bulbagarden.net/wiki/Dangerous_Drill_(Team_Up_138)" TargetMode="External"/><Relationship Id="rId129" Type="http://schemas.openxmlformats.org/officeDocument/2006/relationships/hyperlink" Target="https://bulbapedia.bulbagarden.net/wiki/Grass_Memory_(Team_Up_143)" TargetMode="External"/><Relationship Id="rId54" Type="http://schemas.openxmlformats.org/officeDocument/2006/relationships/hyperlink" Target="https://bulbapedia.bulbagarden.net/wiki/Tentacool_(Team_Up_60)" TargetMode="External"/><Relationship Id="rId70" Type="http://schemas.openxmlformats.org/officeDocument/2006/relationships/hyperlink" Target="https://bulbapedia.bulbagarden.net/wiki/Kabuto_(Team_Up_77)" TargetMode="External"/><Relationship Id="rId75" Type="http://schemas.openxmlformats.org/officeDocument/2006/relationships/hyperlink" Target="https://bulbapedia.bulbagarden.net/wiki/Alolan_Grimer_(Team_Up_83)" TargetMode="External"/><Relationship Id="rId91" Type="http://schemas.openxmlformats.org/officeDocument/2006/relationships/hyperlink" Target="https://bulbapedia.bulbagarden.net/wiki/Bronzong_(Team_Up_101)" TargetMode="External"/><Relationship Id="rId96" Type="http://schemas.openxmlformats.org/officeDocument/2006/relationships/hyperlink" Target="https://bulbapedia.bulbagarden.net/wiki/Honedge_(Team_Up_107)" TargetMode="External"/><Relationship Id="rId140" Type="http://schemas.openxmlformats.org/officeDocument/2006/relationships/hyperlink" Target="https://bulbapedia.bulbagarden.net/wiki/Return_Label_(Team_Up_153)" TargetMode="External"/><Relationship Id="rId145" Type="http://schemas.openxmlformats.org/officeDocument/2006/relationships/hyperlink" Target="https://bulbapedia.bulbagarden.net/w/index.php?title=Brock%27s_Grit_(Team_Up_172)&amp;action=edit&amp;redlink=1" TargetMode="External"/><Relationship Id="rId1" Type="http://schemas.openxmlformats.org/officeDocument/2006/relationships/hyperlink" Target="https://bulbapedia.bulbagarden.net/wiki/Weedle_(Team_Up_2)" TargetMode="External"/><Relationship Id="rId6" Type="http://schemas.openxmlformats.org/officeDocument/2006/relationships/hyperlink" Target="https://bulbapedia.bulbagarden.net/wiki/Parasect_(Team_Up_7)" TargetMode="External"/><Relationship Id="rId23" Type="http://schemas.openxmlformats.org/officeDocument/2006/relationships/hyperlink" Target="https://bulbapedia.bulbagarden.net/wiki/Blastoise_(Team_Up_25)" TargetMode="External"/><Relationship Id="rId28" Type="http://schemas.openxmlformats.org/officeDocument/2006/relationships/hyperlink" Target="https://bulbapedia.bulbagarden.net/wiki/Gyarados_(Team_Up_30)" TargetMode="External"/><Relationship Id="rId49" Type="http://schemas.openxmlformats.org/officeDocument/2006/relationships/hyperlink" Target="https://bulbapedia.bulbagarden.net/wiki/Nidorina_(Team_Up_55)" TargetMode="External"/><Relationship Id="rId114" Type="http://schemas.openxmlformats.org/officeDocument/2006/relationships/hyperlink" Target="https://bulbapedia.bulbagarden.net/wiki/Farfetch%27d_(Team_Up_127)" TargetMode="External"/><Relationship Id="rId119" Type="http://schemas.openxmlformats.org/officeDocument/2006/relationships/hyperlink" Target="https://bulbapedia.bulbagarden.net/wiki/Zangoose_(Team_Up_132)" TargetMode="External"/><Relationship Id="rId44" Type="http://schemas.openxmlformats.org/officeDocument/2006/relationships/hyperlink" Target="https://bulbapedia.bulbagarden.net/wiki/Galvantula_(Team_Up_48)" TargetMode="External"/><Relationship Id="rId60" Type="http://schemas.openxmlformats.org/officeDocument/2006/relationships/hyperlink" Target="https://bulbapedia.bulbagarden.net/wiki/Mr._Mime_(Team_Up_66)" TargetMode="External"/><Relationship Id="rId65" Type="http://schemas.openxmlformats.org/officeDocument/2006/relationships/hyperlink" Target="https://bulbapedia.bulbagarden.net/wiki/Primeape_(Team_Up_72)" TargetMode="External"/><Relationship Id="rId81" Type="http://schemas.openxmlformats.org/officeDocument/2006/relationships/hyperlink" Target="https://bulbapedia.bulbagarden.net/wiki/Spiritomb_(Team_Up_89)" TargetMode="External"/><Relationship Id="rId86" Type="http://schemas.openxmlformats.org/officeDocument/2006/relationships/hyperlink" Target="https://bulbapedia.bulbagarden.net/wiki/Pangoro_(Team_Up_94)" TargetMode="External"/><Relationship Id="rId130" Type="http://schemas.openxmlformats.org/officeDocument/2006/relationships/hyperlink" Target="https://bulbapedia.bulbagarden.net/wiki/Ingo_%26_Emmet_(Team_Up_144)" TargetMode="External"/><Relationship Id="rId135" Type="http://schemas.openxmlformats.org/officeDocument/2006/relationships/hyperlink" Target="https://bulbapedia.bulbagarden.net/wiki/Morgan_(Team_Up_149)" TargetMode="External"/><Relationship Id="rId151" Type="http://schemas.openxmlformats.org/officeDocument/2006/relationships/hyperlink" Target="https://bulbapedia.bulbagarden.net/w/index.php?title=Morgan_(Team_Up_178)&amp;action=edit&amp;redlink=1" TargetMode="External"/><Relationship Id="rId156" Type="http://schemas.openxmlformats.org/officeDocument/2006/relationships/hyperlink" Target="https://bulbapedia.bulbagarden.net/w/index.php?title=Electrocharger_(Team_Up_193)&amp;action=edit&amp;redlink=1" TargetMode="External"/><Relationship Id="rId13" Type="http://schemas.openxmlformats.org/officeDocument/2006/relationships/hyperlink" Target="https://bulbapedia.bulbagarden.net/wiki/Vulpix_(Team_Up_15)" TargetMode="External"/><Relationship Id="rId18" Type="http://schemas.openxmlformats.org/officeDocument/2006/relationships/hyperlink" Target="https://bulbapedia.bulbagarden.net/wiki/Litten_(Team_Up_20)" TargetMode="External"/><Relationship Id="rId39" Type="http://schemas.openxmlformats.org/officeDocument/2006/relationships/hyperlink" Target="https://bulbapedia.bulbagarden.net/wiki/Flaaffy_(Team_Up_42)" TargetMode="External"/><Relationship Id="rId109" Type="http://schemas.openxmlformats.org/officeDocument/2006/relationships/hyperlink" Target="https://bulbapedia.bulbagarden.net/wiki/Pidgey_(Team_Up_122)" TargetMode="External"/><Relationship Id="rId34" Type="http://schemas.openxmlformats.org/officeDocument/2006/relationships/hyperlink" Target="https://bulbapedia.bulbagarden.net/wiki/Alolan_Golem_(Team_Up_37)" TargetMode="External"/><Relationship Id="rId50" Type="http://schemas.openxmlformats.org/officeDocument/2006/relationships/hyperlink" Target="https://bulbapedia.bulbagarden.net/wiki/Nidoqueen_(Team_Up_56)" TargetMode="External"/><Relationship Id="rId55" Type="http://schemas.openxmlformats.org/officeDocument/2006/relationships/hyperlink" Target="https://bulbapedia.bulbagarden.net/wiki/Tentacruel_(Team_Up_61)" TargetMode="External"/><Relationship Id="rId76" Type="http://schemas.openxmlformats.org/officeDocument/2006/relationships/hyperlink" Target="https://bulbapedia.bulbagarden.net/wiki/Alolan_Muk_(Team_Up_84)" TargetMode="External"/><Relationship Id="rId97" Type="http://schemas.openxmlformats.org/officeDocument/2006/relationships/hyperlink" Target="https://bulbapedia.bulbagarden.net/wiki/Doublade_(Team_Up_108)" TargetMode="External"/><Relationship Id="rId104" Type="http://schemas.openxmlformats.org/officeDocument/2006/relationships/hyperlink" Target="https://bulbapedia.bulbagarden.net/wiki/Dratini_(Team_Up_116)" TargetMode="External"/><Relationship Id="rId120" Type="http://schemas.openxmlformats.org/officeDocument/2006/relationships/hyperlink" Target="https://bulbapedia.bulbagarden.net/wiki/Bill%27s_Analysis_(Team_Up_133)" TargetMode="External"/><Relationship Id="rId125" Type="http://schemas.openxmlformats.org/officeDocument/2006/relationships/hyperlink" Target="https://bulbapedia.bulbagarden.net/wiki/Electrocharger_(Team_Up_139)" TargetMode="External"/><Relationship Id="rId141" Type="http://schemas.openxmlformats.org/officeDocument/2006/relationships/hyperlink" Target="https://bulbapedia.bulbagarden.net/wiki/Sabrina%27s_Suggestion_(Team_Up_154)" TargetMode="External"/><Relationship Id="rId146" Type="http://schemas.openxmlformats.org/officeDocument/2006/relationships/hyperlink" Target="https://bulbapedia.bulbagarden.net/w/index.php?title=Dana_(Team_Up_173)&amp;action=edit&amp;redlink=1" TargetMode="External"/><Relationship Id="rId7" Type="http://schemas.openxmlformats.org/officeDocument/2006/relationships/hyperlink" Target="https://bulbapedia.bulbagarden.net/wiki/Exeggcute_(Team_Up_8)" TargetMode="External"/><Relationship Id="rId71" Type="http://schemas.openxmlformats.org/officeDocument/2006/relationships/hyperlink" Target="https://bulbapedia.bulbagarden.net/wiki/Kabutops_(Team_Up_78)" TargetMode="External"/><Relationship Id="rId92" Type="http://schemas.openxmlformats.org/officeDocument/2006/relationships/hyperlink" Target="https://bulbapedia.bulbagarden.net/wiki/Ferroseed_(Team_Up_102)" TargetMode="External"/><Relationship Id="rId2" Type="http://schemas.openxmlformats.org/officeDocument/2006/relationships/hyperlink" Target="https://bulbapedia.bulbagarden.net/wiki/Weedle_(Team_Up_3)" TargetMode="External"/><Relationship Id="rId29" Type="http://schemas.openxmlformats.org/officeDocument/2006/relationships/hyperlink" Target="https://bulbapedia.bulbagarden.net/wiki/Lapras_(Team_Up_31)" TargetMode="External"/><Relationship Id="rId24" Type="http://schemas.openxmlformats.org/officeDocument/2006/relationships/hyperlink" Target="https://bulbapedia.bulbagarden.net/wiki/Psyduck_(Team_Up_26)" TargetMode="External"/><Relationship Id="rId40" Type="http://schemas.openxmlformats.org/officeDocument/2006/relationships/hyperlink" Target="https://bulbapedia.bulbagarden.net/wiki/Blitzle_(Team_Up_44)" TargetMode="External"/><Relationship Id="rId45" Type="http://schemas.openxmlformats.org/officeDocument/2006/relationships/hyperlink" Target="https://bulbapedia.bulbagarden.net/wiki/Helioptile_(Team_Up_49)" TargetMode="External"/><Relationship Id="rId66" Type="http://schemas.openxmlformats.org/officeDocument/2006/relationships/hyperlink" Target="https://bulbapedia.bulbagarden.net/wiki/Hitmonlee_(Team_Up_73)" TargetMode="External"/><Relationship Id="rId87" Type="http://schemas.openxmlformats.org/officeDocument/2006/relationships/hyperlink" Target="https://bulbapedia.bulbagarden.net/wiki/Yveltal_(Team_Up_95)" TargetMode="External"/><Relationship Id="rId110" Type="http://schemas.openxmlformats.org/officeDocument/2006/relationships/hyperlink" Target="https://bulbapedia.bulbagarden.net/wiki/Pidgeotto_(Team_Up_123)" TargetMode="External"/><Relationship Id="rId115" Type="http://schemas.openxmlformats.org/officeDocument/2006/relationships/hyperlink" Target="https://bulbapedia.bulbagarden.net/wiki/Kangaskhan_(Team_Up_128)" TargetMode="External"/><Relationship Id="rId131" Type="http://schemas.openxmlformats.org/officeDocument/2006/relationships/hyperlink" Target="https://bulbapedia.bulbagarden.net/wiki/Jasmine_(Team_Up_145)" TargetMode="External"/><Relationship Id="rId136" Type="http://schemas.openxmlformats.org/officeDocument/2006/relationships/hyperlink" Target="https://bulbapedia.bulbagarden.net/wiki/Nanu_(Team_Up_150)" TargetMode="External"/><Relationship Id="rId157" Type="http://schemas.openxmlformats.org/officeDocument/2006/relationships/hyperlink" Target="https://bulbapedia.bulbagarden.net/w/index.php?title=Judge_Whistle_(Team_Up_194)&amp;action=edit&amp;redlink=1" TargetMode="External"/><Relationship Id="rId61" Type="http://schemas.openxmlformats.org/officeDocument/2006/relationships/hyperlink" Target="https://bulbapedia.bulbagarden.net/wiki/Jynx_(Team_Up_68)" TargetMode="External"/><Relationship Id="rId82" Type="http://schemas.openxmlformats.org/officeDocument/2006/relationships/hyperlink" Target="https://bulbapedia.bulbagarden.net/wiki/Zorua_(Team_Up_90)" TargetMode="External"/><Relationship Id="rId152" Type="http://schemas.openxmlformats.org/officeDocument/2006/relationships/hyperlink" Target="https://bulbapedia.bulbagarden.net/w/index.php?title=Nanu_(Team_Up_179)&amp;action=edit&amp;redlink=1" TargetMode="External"/><Relationship Id="rId19" Type="http://schemas.openxmlformats.org/officeDocument/2006/relationships/hyperlink" Target="https://bulbapedia.bulbagarden.net/wiki/Torracat_(Team_Up_21)" TargetMode="External"/><Relationship Id="rId14" Type="http://schemas.openxmlformats.org/officeDocument/2006/relationships/hyperlink" Target="https://bulbapedia.bulbagarden.net/wiki/Ninetales_(Team_Up_16)" TargetMode="External"/><Relationship Id="rId30" Type="http://schemas.openxmlformats.org/officeDocument/2006/relationships/hyperlink" Target="https://bulbapedia.bulbagarden.net/wiki/Articuno_(Team_Up_32)" TargetMode="External"/><Relationship Id="rId35" Type="http://schemas.openxmlformats.org/officeDocument/2006/relationships/hyperlink" Target="https://bulbapedia.bulbagarden.net/wiki/Voltorb_(Team_Up_38)" TargetMode="External"/><Relationship Id="rId56" Type="http://schemas.openxmlformats.org/officeDocument/2006/relationships/hyperlink" Target="https://bulbapedia.bulbagarden.net/wiki/Grimer_(Team_Up_62)" TargetMode="External"/><Relationship Id="rId77" Type="http://schemas.openxmlformats.org/officeDocument/2006/relationships/hyperlink" Target="https://bulbapedia.bulbagarden.net/wiki/Tyranitar_(Team_Up_85)" TargetMode="External"/><Relationship Id="rId100" Type="http://schemas.openxmlformats.org/officeDocument/2006/relationships/hyperlink" Target="https://bulbapedia.bulbagarden.net/wiki/Alolan_Ninetales_(Team_Up_111)" TargetMode="External"/><Relationship Id="rId105" Type="http://schemas.openxmlformats.org/officeDocument/2006/relationships/hyperlink" Target="https://bulbapedia.bulbagarden.net/wiki/Dratini_(Team_Up_117)" TargetMode="External"/><Relationship Id="rId126" Type="http://schemas.openxmlformats.org/officeDocument/2006/relationships/hyperlink" Target="https://bulbapedia.bulbagarden.net/wiki/Erika%27s_Hospitality_(Team_Up_140)" TargetMode="External"/><Relationship Id="rId147" Type="http://schemas.openxmlformats.org/officeDocument/2006/relationships/hyperlink" Target="https://bulbapedia.bulbagarden.net/w/index.php?title=Erika%27s_Hospitality_(Team_Up_174)&amp;action=edit&amp;redlink=1" TargetMode="External"/><Relationship Id="rId8" Type="http://schemas.openxmlformats.org/officeDocument/2006/relationships/hyperlink" Target="https://bulbapedia.bulbagarden.net/wiki/Pinsir_(Team_Up_9)" TargetMode="External"/><Relationship Id="rId51" Type="http://schemas.openxmlformats.org/officeDocument/2006/relationships/hyperlink" Target="https://bulbapedia.bulbagarden.net/wiki/Nidoran%E2%99%82_(Team_Up_57)" TargetMode="External"/><Relationship Id="rId72" Type="http://schemas.openxmlformats.org/officeDocument/2006/relationships/hyperlink" Target="https://bulbapedia.bulbagarden.net/wiki/Larvitar_(Team_Up_79)" TargetMode="External"/><Relationship Id="rId93" Type="http://schemas.openxmlformats.org/officeDocument/2006/relationships/hyperlink" Target="https://bulbapedia.bulbagarden.net/wiki/Ferrothorn_(Team_Up_103)" TargetMode="External"/><Relationship Id="rId98" Type="http://schemas.openxmlformats.org/officeDocument/2006/relationships/hyperlink" Target="https://bulbapedia.bulbagarden.net/wiki/Aegislash_(Team_Up_109)" TargetMode="External"/><Relationship Id="rId121" Type="http://schemas.openxmlformats.org/officeDocument/2006/relationships/hyperlink" Target="https://bulbapedia.bulbagarden.net/wiki/Brock%27s_Grit_(Team_Up_135)" TargetMode="External"/><Relationship Id="rId142" Type="http://schemas.openxmlformats.org/officeDocument/2006/relationships/hyperlink" Target="https://bulbapedia.bulbagarden.net/wiki/Unidentified_Fossil_(Team_Up_155)" TargetMode="External"/><Relationship Id="rId3" Type="http://schemas.openxmlformats.org/officeDocument/2006/relationships/hyperlink" Target="https://bulbapedia.bulbagarden.net/wiki/Kakuna_(Team_Up_4)" TargetMode="External"/><Relationship Id="rId25" Type="http://schemas.openxmlformats.org/officeDocument/2006/relationships/hyperlink" Target="https://bulbapedia.bulbagarden.net/wiki/Golduck_(Team_Up_27)" TargetMode="External"/><Relationship Id="rId46" Type="http://schemas.openxmlformats.org/officeDocument/2006/relationships/hyperlink" Target="https://bulbapedia.bulbagarden.net/wiki/Heliolisk_(Team_Up_50)" TargetMode="External"/><Relationship Id="rId67" Type="http://schemas.openxmlformats.org/officeDocument/2006/relationships/hyperlink" Target="https://bulbapedia.bulbagarden.net/wiki/Hitmonchan_(Team_Up_74)" TargetMode="External"/><Relationship Id="rId116" Type="http://schemas.openxmlformats.org/officeDocument/2006/relationships/hyperlink" Target="https://bulbapedia.bulbagarden.net/wiki/Tauros_(Team_Up_129)" TargetMode="External"/><Relationship Id="rId137" Type="http://schemas.openxmlformats.org/officeDocument/2006/relationships/hyperlink" Target="https://bulbapedia.bulbagarden.net/wiki/Nita_(Team_Up_151)" TargetMode="External"/><Relationship Id="rId158" Type="http://schemas.openxmlformats.org/officeDocument/2006/relationships/hyperlink" Target="https://bulbapedia.bulbagarden.net/w/index.php?title=Metal_Goggles_(Team_Up_195)&amp;action=edit&amp;redlink=1" TargetMode="External"/><Relationship Id="rId20" Type="http://schemas.openxmlformats.org/officeDocument/2006/relationships/hyperlink" Target="https://bulbapedia.bulbagarden.net/wiki/Squirtle_(Team_Up_22)" TargetMode="External"/><Relationship Id="rId41" Type="http://schemas.openxmlformats.org/officeDocument/2006/relationships/hyperlink" Target="https://bulbapedia.bulbagarden.net/wiki/Zebstrika_(Team_Up_45)" TargetMode="External"/><Relationship Id="rId62" Type="http://schemas.openxmlformats.org/officeDocument/2006/relationships/hyperlink" Target="https://bulbapedia.bulbagarden.net/wiki/Cosmog_(Team_Up_69)" TargetMode="External"/><Relationship Id="rId83" Type="http://schemas.openxmlformats.org/officeDocument/2006/relationships/hyperlink" Target="https://bulbapedia.bulbagarden.net/wiki/Zoroark_(Team_Up_91)" TargetMode="External"/><Relationship Id="rId88" Type="http://schemas.openxmlformats.org/officeDocument/2006/relationships/hyperlink" Target="https://bulbapedia.bulbagarden.net/wiki/Skarmory_(Team_Up_98)" TargetMode="External"/><Relationship Id="rId111" Type="http://schemas.openxmlformats.org/officeDocument/2006/relationships/hyperlink" Target="https://bulbapedia.bulbagarden.net/wiki/Pidgeot_(Team_Up_124)" TargetMode="External"/><Relationship Id="rId132" Type="http://schemas.openxmlformats.org/officeDocument/2006/relationships/hyperlink" Target="https://bulbapedia.bulbagarden.net/wiki/Judge_Whistle_(Team_Up_146)" TargetMode="External"/><Relationship Id="rId153" Type="http://schemas.openxmlformats.org/officeDocument/2006/relationships/hyperlink" Target="https://bulbapedia.bulbagarden.net/w/index.php?title=Nita_(Team_Up_180)&amp;action=edit&amp;redlink=1" TargetMode="External"/><Relationship Id="rId15" Type="http://schemas.openxmlformats.org/officeDocument/2006/relationships/hyperlink" Target="https://bulbapedia.bulbagarden.net/wiki/Ponyta_(Team_Up_17)" TargetMode="External"/><Relationship Id="rId36" Type="http://schemas.openxmlformats.org/officeDocument/2006/relationships/hyperlink" Target="https://bulbapedia.bulbagarden.net/wiki/Electrode_(Team_Up_39)" TargetMode="External"/><Relationship Id="rId57" Type="http://schemas.openxmlformats.org/officeDocument/2006/relationships/hyperlink" Target="https://bulbapedia.bulbagarden.net/wiki/Muk_(Team_Up_63)" TargetMode="External"/><Relationship Id="rId106" Type="http://schemas.openxmlformats.org/officeDocument/2006/relationships/hyperlink" Target="https://bulbapedia.bulbagarden.net/wiki/Dragonair_(Team_Up_118)" TargetMode="External"/><Relationship Id="rId127" Type="http://schemas.openxmlformats.org/officeDocument/2006/relationships/hyperlink" Target="https://bulbapedia.bulbagarden.net/wiki/Evelyn_(Team_Up_141)" TargetMode="External"/><Relationship Id="rId10" Type="http://schemas.openxmlformats.org/officeDocument/2006/relationships/hyperlink" Target="https://bulbapedia.bulbagarden.net/wiki/Charmander_(Team_Up_12)" TargetMode="External"/><Relationship Id="rId31" Type="http://schemas.openxmlformats.org/officeDocument/2006/relationships/hyperlink" Target="https://bulbapedia.bulbagarden.net/wiki/Alolan_Geodude_(Team_Up_34)" TargetMode="External"/><Relationship Id="rId52" Type="http://schemas.openxmlformats.org/officeDocument/2006/relationships/hyperlink" Target="https://bulbapedia.bulbagarden.net/wiki/Nidorino_(Team_Up_58)" TargetMode="External"/><Relationship Id="rId73" Type="http://schemas.openxmlformats.org/officeDocument/2006/relationships/hyperlink" Target="https://bulbapedia.bulbagarden.net/wiki/Pupitar_(Team_Up_80)" TargetMode="External"/><Relationship Id="rId78" Type="http://schemas.openxmlformats.org/officeDocument/2006/relationships/hyperlink" Target="https://bulbapedia.bulbagarden.net/wiki/Poochyena_(Team_Up_86)" TargetMode="External"/><Relationship Id="rId94" Type="http://schemas.openxmlformats.org/officeDocument/2006/relationships/hyperlink" Target="https://bulbapedia.bulbagarden.net/wiki/Pawniard_(Team_Up_104)" TargetMode="External"/><Relationship Id="rId99" Type="http://schemas.openxmlformats.org/officeDocument/2006/relationships/hyperlink" Target="https://bulbapedia.bulbagarden.net/wiki/Klefki_(Team_Up_110)" TargetMode="External"/><Relationship Id="rId101" Type="http://schemas.openxmlformats.org/officeDocument/2006/relationships/hyperlink" Target="https://bulbapedia.bulbagarden.net/wiki/Mimikyu_(Team_Up_112)" TargetMode="External"/><Relationship Id="rId122" Type="http://schemas.openxmlformats.org/officeDocument/2006/relationships/hyperlink" Target="https://bulbapedia.bulbagarden.net/wiki/Buff_Padding_(Team_Up_136)" TargetMode="External"/><Relationship Id="rId143" Type="http://schemas.openxmlformats.org/officeDocument/2006/relationships/hyperlink" Target="https://bulbapedia.bulbagarden.net/wiki/Viridian_Forest_(Team_Up_156)" TargetMode="External"/><Relationship Id="rId148" Type="http://schemas.openxmlformats.org/officeDocument/2006/relationships/hyperlink" Target="https://bulbapedia.bulbagarden.net/w/index.php?title=Evelyn_(Team_Up_175)&amp;action=edit&amp;redlink=1" TargetMode="External"/><Relationship Id="rId4" Type="http://schemas.openxmlformats.org/officeDocument/2006/relationships/hyperlink" Target="https://bulbapedia.bulbagarden.net/wiki/Beedrill_(Team_Up_5)" TargetMode="External"/><Relationship Id="rId9" Type="http://schemas.openxmlformats.org/officeDocument/2006/relationships/hyperlink" Target="https://bulbapedia.bulbagarden.net/wiki/Charmander_(Team_Up_11)" TargetMode="External"/><Relationship Id="rId26" Type="http://schemas.openxmlformats.org/officeDocument/2006/relationships/hyperlink" Target="https://bulbapedia.bulbagarden.net/wiki/Staryu_(Team_Up_28)" TargetMode="External"/><Relationship Id="rId47" Type="http://schemas.openxmlformats.org/officeDocument/2006/relationships/hyperlink" Target="https://bulbapedia.bulbagarden.net/wiki/Zeraora_(Team_Up_52)" TargetMode="External"/><Relationship Id="rId68" Type="http://schemas.openxmlformats.org/officeDocument/2006/relationships/hyperlink" Target="https://bulbapedia.bulbagarden.net/wiki/Omanyte_(Team_Up_75)" TargetMode="External"/><Relationship Id="rId89" Type="http://schemas.openxmlformats.org/officeDocument/2006/relationships/hyperlink" Target="https://bulbapedia.bulbagarden.net/wiki/Jirachi_(Team_Up_99)" TargetMode="External"/><Relationship Id="rId112" Type="http://schemas.openxmlformats.org/officeDocument/2006/relationships/hyperlink" Target="https://bulbapedia.bulbagarden.net/wiki/Meowth_(Team_Up_125)" TargetMode="External"/><Relationship Id="rId133" Type="http://schemas.openxmlformats.org/officeDocument/2006/relationships/hyperlink" Target="https://bulbapedia.bulbagarden.net/wiki/Lavender_Town_(Team_Up_147)" TargetMode="External"/><Relationship Id="rId154" Type="http://schemas.openxmlformats.org/officeDocument/2006/relationships/hyperlink" Target="https://bulbapedia.bulbagarden.net/w/index.php?title=Sabrina%27s_Suggestion_(Team_Up_181)&amp;action=edit&amp;redlink=1" TargetMode="External"/><Relationship Id="rId16" Type="http://schemas.openxmlformats.org/officeDocument/2006/relationships/hyperlink" Target="https://bulbapedia.bulbagarden.net/wiki/Rapidash_(Team_Up_18)" TargetMode="External"/><Relationship Id="rId37" Type="http://schemas.openxmlformats.org/officeDocument/2006/relationships/hyperlink" Target="https://bulbapedia.bulbagarden.net/wiki/Zapdos_(Team_Up_40)" TargetMode="External"/><Relationship Id="rId58" Type="http://schemas.openxmlformats.org/officeDocument/2006/relationships/hyperlink" Target="https://bulbapedia.bulbagarden.net/wiki/Alolan_Marowak_(Team_Up_64)" TargetMode="External"/><Relationship Id="rId79" Type="http://schemas.openxmlformats.org/officeDocument/2006/relationships/hyperlink" Target="https://bulbapedia.bulbagarden.net/wiki/Mightyena_(Team_Up_87)" TargetMode="External"/><Relationship Id="rId102" Type="http://schemas.openxmlformats.org/officeDocument/2006/relationships/hyperlink" Target="https://bulbapedia.bulbagarden.net/wiki/Alolan_Exeggutor_(Team_Up_114)" TargetMode="External"/><Relationship Id="rId123" Type="http://schemas.openxmlformats.org/officeDocument/2006/relationships/hyperlink" Target="https://bulbapedia.bulbagarden.net/wiki/Dana_(Team_Up_137)" TargetMode="External"/><Relationship Id="rId144" Type="http://schemas.openxmlformats.org/officeDocument/2006/relationships/hyperlink" Target="https://bulbapedia.bulbagarden.net/wiki/Water_Memory_(Team_Up_157)" TargetMode="External"/><Relationship Id="rId90" Type="http://schemas.openxmlformats.org/officeDocument/2006/relationships/hyperlink" Target="https://bulbapedia.bulbagarden.net/wiki/Bronzor_(Team_Up_100)" TargetMode="External"/><Relationship Id="rId27" Type="http://schemas.openxmlformats.org/officeDocument/2006/relationships/hyperlink" Target="https://bulbapedia.bulbagarden.net/wiki/Magikarp_(Team_Up_29)" TargetMode="External"/><Relationship Id="rId48" Type="http://schemas.openxmlformats.org/officeDocument/2006/relationships/hyperlink" Target="https://bulbapedia.bulbagarden.net/wiki/Nidoran%E2%99%80_(Team_Up_54)" TargetMode="External"/><Relationship Id="rId69" Type="http://schemas.openxmlformats.org/officeDocument/2006/relationships/hyperlink" Target="https://bulbapedia.bulbagarden.net/wiki/Omastar_(Team_Up_76)" TargetMode="External"/><Relationship Id="rId113" Type="http://schemas.openxmlformats.org/officeDocument/2006/relationships/hyperlink" Target="https://bulbapedia.bulbagarden.net/wiki/Persian_(Team_Up_126)" TargetMode="External"/><Relationship Id="rId134" Type="http://schemas.openxmlformats.org/officeDocument/2006/relationships/hyperlink" Target="https://bulbapedia.bulbagarden.net/wiki/Metal_Goggles_(Team_Up_148)"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https://bulbapedia.bulbagarden.net/wiki/Magikarp_(Detective_Pikachu_8)" TargetMode="External"/><Relationship Id="rId13" Type="http://schemas.openxmlformats.org/officeDocument/2006/relationships/hyperlink" Target="https://bulbapedia.bulbagarden.net/wiki/Machamp_(Detective_Pikachu_13)" TargetMode="External"/><Relationship Id="rId18" Type="http://schemas.openxmlformats.org/officeDocument/2006/relationships/hyperlink" Target="https://bulbapedia.bulbagarden.net/wiki/Slaking_(Detective_Pikachu_18)" TargetMode="External"/><Relationship Id="rId3" Type="http://schemas.openxmlformats.org/officeDocument/2006/relationships/hyperlink" Target="https://bulbapedia.bulbagarden.net/wiki/Morelull_(Detective_Pikachu_3)" TargetMode="External"/><Relationship Id="rId7" Type="http://schemas.openxmlformats.org/officeDocument/2006/relationships/hyperlink" Target="https://bulbapedia.bulbagarden.net/wiki/Psyduck_(Detective_Pikachu_7)" TargetMode="External"/><Relationship Id="rId12" Type="http://schemas.openxmlformats.org/officeDocument/2006/relationships/hyperlink" Target="https://bulbapedia.bulbagarden.net/wiki/Mewtwo_(Detective_Pikachu_12)" TargetMode="External"/><Relationship Id="rId17" Type="http://schemas.openxmlformats.org/officeDocument/2006/relationships/hyperlink" Target="https://bulbapedia.bulbagarden.net/wiki/Ditto_(Detective_Pikachu_17)" TargetMode="External"/><Relationship Id="rId2" Type="http://schemas.openxmlformats.org/officeDocument/2006/relationships/hyperlink" Target="https://bulbapedia.bulbagarden.net/wiki/Ludicolo_(Detective_Pikachu_2)" TargetMode="External"/><Relationship Id="rId16" Type="http://schemas.openxmlformats.org/officeDocument/2006/relationships/hyperlink" Target="https://bulbapedia.bulbagarden.net/wiki/Lickitung_(Detective_Pikachu_16)" TargetMode="External"/><Relationship Id="rId1" Type="http://schemas.openxmlformats.org/officeDocument/2006/relationships/hyperlink" Target="https://bulbapedia.bulbagarden.net/wiki/Bulbasaur_(Detective_Pikachu_1)" TargetMode="External"/><Relationship Id="rId6" Type="http://schemas.openxmlformats.org/officeDocument/2006/relationships/hyperlink" Target="https://bulbapedia.bulbagarden.net/wiki/Arcanine_(Detective_Pikachu_6)" TargetMode="External"/><Relationship Id="rId11" Type="http://schemas.openxmlformats.org/officeDocument/2006/relationships/hyperlink" Target="https://bulbapedia.bulbagarden.net/wiki/Mr._Mime_(Detective_Pikachu_11)" TargetMode="External"/><Relationship Id="rId5" Type="http://schemas.openxmlformats.org/officeDocument/2006/relationships/hyperlink" Target="https://bulbapedia.bulbagarden.net/wiki/Charizard_(Detective_Pikachu_5)" TargetMode="External"/><Relationship Id="rId15" Type="http://schemas.openxmlformats.org/officeDocument/2006/relationships/hyperlink" Target="https://bulbapedia.bulbagarden.net/wiki/Snubbull_(Detective_Pikachu_15)" TargetMode="External"/><Relationship Id="rId10" Type="http://schemas.openxmlformats.org/officeDocument/2006/relationships/hyperlink" Target="https://bulbapedia.bulbagarden.net/wiki/Detective_Pikachu_(Detective_Pikachu_10)" TargetMode="External"/><Relationship Id="rId4" Type="http://schemas.openxmlformats.org/officeDocument/2006/relationships/hyperlink" Target="https://bulbapedia.bulbagarden.net/wiki/Charmander_(Detective_Pikachu_4)" TargetMode="External"/><Relationship Id="rId9" Type="http://schemas.openxmlformats.org/officeDocument/2006/relationships/hyperlink" Target="https://bulbapedia.bulbagarden.net/wiki/Greninja_(Detective_Pikachu_9)" TargetMode="External"/><Relationship Id="rId14" Type="http://schemas.openxmlformats.org/officeDocument/2006/relationships/hyperlink" Target="https://bulbapedia.bulbagarden.net/wiki/Jigglypuff_(Detective_Pikachu_14)" TargetMode="External"/></Relationships>
</file>

<file path=xl/worksheets/_rels/sheet79.xml.rels><?xml version="1.0" encoding="UTF-8" standalone="yes"?>
<Relationships xmlns="http://schemas.openxmlformats.org/package/2006/relationships"><Relationship Id="rId117" Type="http://schemas.openxmlformats.org/officeDocument/2006/relationships/hyperlink" Target="https://bulbapedia.bulbagarden.net/w/index.php?title=Genesect_(Unbroken_Bonds_127)&amp;action=edit&amp;redlink=1" TargetMode="External"/><Relationship Id="rId21" Type="http://schemas.openxmlformats.org/officeDocument/2006/relationships/hyperlink" Target="https://bulbapedia.bulbagarden.net/wiki/Darmanitan_(Unbroken_Bonds_24)" TargetMode="External"/><Relationship Id="rId42" Type="http://schemas.openxmlformats.org/officeDocument/2006/relationships/hyperlink" Target="https://bulbapedia.bulbagarden.net/wiki/Krabby_(Unbroken_Bonds_46)" TargetMode="External"/><Relationship Id="rId63" Type="http://schemas.openxmlformats.org/officeDocument/2006/relationships/hyperlink" Target="https://bulbapedia.bulbagarden.net/wiki/Haunter_(Unbroken_Bonds_69)" TargetMode="External"/><Relationship Id="rId84" Type="http://schemas.openxmlformats.org/officeDocument/2006/relationships/hyperlink" Target="https://bulbapedia.bulbagarden.net/wiki/Marowak_(Unbroken_Bonds_91)" TargetMode="External"/><Relationship Id="rId138" Type="http://schemas.openxmlformats.org/officeDocument/2006/relationships/hyperlink" Target="https://bulbapedia.bulbagarden.net/wiki/Dodrio_(Unbroken_Bonds_151)" TargetMode="External"/><Relationship Id="rId159" Type="http://schemas.openxmlformats.org/officeDocument/2006/relationships/hyperlink" Target="https://bulbapedia.bulbagarden.net/wiki/Fire_Crystal_(Unbroken_Bonds_173)" TargetMode="External"/><Relationship Id="rId170" Type="http://schemas.openxmlformats.org/officeDocument/2006/relationships/hyperlink" Target="https://bulbapedia.bulbagarden.net/wiki/Power_Plant_(Unbroken_Bonds_183)" TargetMode="External"/><Relationship Id="rId107" Type="http://schemas.openxmlformats.org/officeDocument/2006/relationships/hyperlink" Target="https://bulbapedia.bulbagarden.net/w/index.php?title=Krookodile_(Unbroken_Bonds_116)&amp;action=edit&amp;redlink=1" TargetMode="External"/><Relationship Id="rId11" Type="http://schemas.openxmlformats.org/officeDocument/2006/relationships/hyperlink" Target="https://bulbapedia.bulbagarden.net/wiki/Bellsprout_(Unbroken_Bonds_13)" TargetMode="External"/><Relationship Id="rId32" Type="http://schemas.openxmlformats.org/officeDocument/2006/relationships/hyperlink" Target="https://bulbapedia.bulbagarden.net/wiki/Poliwag_(Unbroken_Bonds_36)" TargetMode="External"/><Relationship Id="rId53" Type="http://schemas.openxmlformats.org/officeDocument/2006/relationships/hyperlink" Target="https://bulbapedia.bulbagarden.net/wiki/Charjabug_(Unbroken_Bonds_58)" TargetMode="External"/><Relationship Id="rId74" Type="http://schemas.openxmlformats.org/officeDocument/2006/relationships/hyperlink" Target="https://bulbapedia.bulbagarden.net/wiki/Meowstic_(Unbroken_Bonds_80)" TargetMode="External"/><Relationship Id="rId128" Type="http://schemas.openxmlformats.org/officeDocument/2006/relationships/hyperlink" Target="https://bulbapedia.bulbagarden.net/wiki/Cottonee_(Unbroken_Bonds_139)" TargetMode="External"/><Relationship Id="rId149" Type="http://schemas.openxmlformats.org/officeDocument/2006/relationships/hyperlink" Target="https://bulbapedia.bulbagarden.net/wiki/Chatot_(Unbroken_Bonds_162)" TargetMode="External"/><Relationship Id="rId5" Type="http://schemas.openxmlformats.org/officeDocument/2006/relationships/hyperlink" Target="https://bulbapedia.bulbagarden.net/wiki/Oddish_(Unbroken_Bonds_6)" TargetMode="External"/><Relationship Id="rId95" Type="http://schemas.openxmlformats.org/officeDocument/2006/relationships/hyperlink" Target="https://bulbapedia.bulbagarden.net/wiki/Riolu_(Unbroken_Bonds_102)" TargetMode="External"/><Relationship Id="rId160" Type="http://schemas.openxmlformats.org/officeDocument/2006/relationships/hyperlink" Target="https://bulbapedia.bulbagarden.net/wiki/Giovanni%27s_Exile_(Unbroken_Bonds_174)" TargetMode="External"/><Relationship Id="rId181" Type="http://schemas.openxmlformats.org/officeDocument/2006/relationships/hyperlink" Target="https://bulbapedia.bulbagarden.net/wiki/Molayne_(Unbroken_Bonds_212)" TargetMode="External"/><Relationship Id="rId22" Type="http://schemas.openxmlformats.org/officeDocument/2006/relationships/hyperlink" Target="https://bulbapedia.bulbagarden.net/wiki/Volcanion_(Unbroken_Bonds_25)" TargetMode="External"/><Relationship Id="rId43" Type="http://schemas.openxmlformats.org/officeDocument/2006/relationships/hyperlink" Target="https://bulbapedia.bulbagarden.net/wiki/Kingler_(Unbroken_Bonds_47)" TargetMode="External"/><Relationship Id="rId64" Type="http://schemas.openxmlformats.org/officeDocument/2006/relationships/hyperlink" Target="https://bulbapedia.bulbagarden.net/wiki/Gengar_(Unbroken_Bonds_70)" TargetMode="External"/><Relationship Id="rId118" Type="http://schemas.openxmlformats.org/officeDocument/2006/relationships/hyperlink" Target="https://bulbapedia.bulbagarden.net/wiki/Meltan_(Unbroken_Bonds_128)" TargetMode="External"/><Relationship Id="rId139" Type="http://schemas.openxmlformats.org/officeDocument/2006/relationships/hyperlink" Target="https://bulbapedia.bulbagarden.net/wiki/Lickitung_(Unbroken_Bonds_152)" TargetMode="External"/><Relationship Id="rId85" Type="http://schemas.openxmlformats.org/officeDocument/2006/relationships/hyperlink" Target="https://bulbapedia.bulbagarden.net/wiki/Rhyhorn_(Unbroken_Bonds_92)" TargetMode="External"/><Relationship Id="rId150" Type="http://schemas.openxmlformats.org/officeDocument/2006/relationships/hyperlink" Target="https://bulbapedia.bulbagarden.net/wiki/Beast_Bringer_(Unbroken_Bonds_164)" TargetMode="External"/><Relationship Id="rId171" Type="http://schemas.openxmlformats.org/officeDocument/2006/relationships/hyperlink" Target="https://bulbapedia.bulbagarden.net/wiki/Red%27s_Challenge_(Unbroken_Bonds_184)" TargetMode="External"/><Relationship Id="rId12" Type="http://schemas.openxmlformats.org/officeDocument/2006/relationships/hyperlink" Target="https://bulbapedia.bulbagarden.net/wiki/Weepinbell_(Unbroken_Bonds_14)" TargetMode="External"/><Relationship Id="rId33" Type="http://schemas.openxmlformats.org/officeDocument/2006/relationships/hyperlink" Target="https://bulbapedia.bulbagarden.net/wiki/Poliwag_(Unbroken_Bonds_37)" TargetMode="External"/><Relationship Id="rId108" Type="http://schemas.openxmlformats.org/officeDocument/2006/relationships/hyperlink" Target="https://bulbapedia.bulbagarden.net/w/index.php?title=Greninja_(Unbroken_Bonds_117)&amp;action=edit&amp;redlink=1" TargetMode="External"/><Relationship Id="rId129" Type="http://schemas.openxmlformats.org/officeDocument/2006/relationships/hyperlink" Target="https://bulbapedia.bulbagarden.net/wiki/Spritzee_(Unbroken_Bonds_141)" TargetMode="External"/><Relationship Id="rId54" Type="http://schemas.openxmlformats.org/officeDocument/2006/relationships/hyperlink" Target="https://bulbapedia.bulbagarden.net/wiki/Vikavolt_(Unbroken_Bonds_59)" TargetMode="External"/><Relationship Id="rId75" Type="http://schemas.openxmlformats.org/officeDocument/2006/relationships/hyperlink" Target="https://bulbapedia.bulbagarden.net/wiki/Marshadow_(Unbroken_Bonds_81)" TargetMode="External"/><Relationship Id="rId96" Type="http://schemas.openxmlformats.org/officeDocument/2006/relationships/hyperlink" Target="https://bulbapedia.bulbagarden.net/w/index.php?title=Landorus_(Unbroken_Bonds_103)&amp;action=edit&amp;redlink=1" TargetMode="External"/><Relationship Id="rId140" Type="http://schemas.openxmlformats.org/officeDocument/2006/relationships/hyperlink" Target="https://bulbapedia.bulbagarden.net/wiki/Lickilicky_(Unbroken_Bonds_153)" TargetMode="External"/><Relationship Id="rId161" Type="http://schemas.openxmlformats.org/officeDocument/2006/relationships/hyperlink" Target="https://bulbapedia.bulbagarden.net/wiki/Green%27s_Exploration_(Unbroken_Bonds_175)" TargetMode="External"/><Relationship Id="rId182" Type="http://schemas.openxmlformats.org/officeDocument/2006/relationships/hyperlink" Target="https://bulbapedia.bulbagarden.net/wiki/Red%27s_Challenge_(Unbroken_Bonds_213)" TargetMode="External"/><Relationship Id="rId6" Type="http://schemas.openxmlformats.org/officeDocument/2006/relationships/hyperlink" Target="https://bulbapedia.bulbagarden.net/wiki/Gloom_(Unbroken_Bonds_7)" TargetMode="External"/><Relationship Id="rId23" Type="http://schemas.openxmlformats.org/officeDocument/2006/relationships/hyperlink" Target="https://bulbapedia.bulbagarden.net/wiki/Litten_(Unbroken_Bonds_26)" TargetMode="External"/><Relationship Id="rId119" Type="http://schemas.openxmlformats.org/officeDocument/2006/relationships/hyperlink" Target="https://bulbapedia.bulbagarden.net/wiki/Melmetal_(Unbroken_Bonds_129)" TargetMode="External"/><Relationship Id="rId44" Type="http://schemas.openxmlformats.org/officeDocument/2006/relationships/hyperlink" Target="https://bulbapedia.bulbagarden.net/wiki/Goldeen_(Unbroken_Bonds_48)" TargetMode="External"/><Relationship Id="rId65" Type="http://schemas.openxmlformats.org/officeDocument/2006/relationships/hyperlink" Target="https://bulbapedia.bulbagarden.net/wiki/Drowzee_(Unbroken_Bonds_71)" TargetMode="External"/><Relationship Id="rId86" Type="http://schemas.openxmlformats.org/officeDocument/2006/relationships/hyperlink" Target="https://bulbapedia.bulbagarden.net/wiki/Rhyhorn_(Unbroken_Bonds_93)" TargetMode="External"/><Relationship Id="rId130" Type="http://schemas.openxmlformats.org/officeDocument/2006/relationships/hyperlink" Target="https://bulbapedia.bulbagarden.net/wiki/Aromatisse_(Unbroken_Bonds_142)" TargetMode="External"/><Relationship Id="rId151" Type="http://schemas.openxmlformats.org/officeDocument/2006/relationships/hyperlink" Target="https://bulbapedia.bulbagarden.net/wiki/Chip-Chip_Ice_Axe_(Unbroken_Bonds_165)" TargetMode="External"/><Relationship Id="rId172" Type="http://schemas.openxmlformats.org/officeDocument/2006/relationships/hyperlink" Target="https://bulbapedia.bulbagarden.net/wiki/Samson_Oak_(Unbroken_Bonds_185)" TargetMode="External"/><Relationship Id="rId13" Type="http://schemas.openxmlformats.org/officeDocument/2006/relationships/hyperlink" Target="https://bulbapedia.bulbagarden.net/wiki/Victreebel_(Unbroken_Bonds_15)" TargetMode="External"/><Relationship Id="rId18" Type="http://schemas.openxmlformats.org/officeDocument/2006/relationships/hyperlink" Target="https://bulbapedia.bulbagarden.net/wiki/Growlithe_(Unbroken_Bonds_21)" TargetMode="External"/><Relationship Id="rId39" Type="http://schemas.openxmlformats.org/officeDocument/2006/relationships/hyperlink" Target="https://bulbapedia.bulbagarden.net/wiki/Slowbro_(Unbroken_Bonds_43)" TargetMode="External"/><Relationship Id="rId109" Type="http://schemas.openxmlformats.org/officeDocument/2006/relationships/hyperlink" Target="https://bulbapedia.bulbagarden.net/w/index.php?title=Inkay_(Unbroken_Bonds_118)&amp;action=edit&amp;redlink=1" TargetMode="External"/><Relationship Id="rId34" Type="http://schemas.openxmlformats.org/officeDocument/2006/relationships/hyperlink" Target="https://bulbapedia.bulbagarden.net/wiki/Poliwhirl_(Unbroken_Bonds_38)" TargetMode="External"/><Relationship Id="rId50" Type="http://schemas.openxmlformats.org/officeDocument/2006/relationships/hyperlink" Target="https://bulbapedia.bulbagarden.net/wiki/Pikachu_(Unbroken_Bonds_54)" TargetMode="External"/><Relationship Id="rId55" Type="http://schemas.openxmlformats.org/officeDocument/2006/relationships/hyperlink" Target="https://bulbapedia.bulbagarden.net/wiki/Zeraora_(Unbroken_Bonds_60)" TargetMode="External"/><Relationship Id="rId76" Type="http://schemas.openxmlformats.org/officeDocument/2006/relationships/hyperlink" Target="https://bulbapedia.bulbagarden.net/wiki/Sandshrew_(Unbroken_Bonds_83)" TargetMode="External"/><Relationship Id="rId97" Type="http://schemas.openxmlformats.org/officeDocument/2006/relationships/hyperlink" Target="https://bulbapedia.bulbagarden.net/w/index.php?title=Crabrawler_(Unbroken_Bonds_104)&amp;action=edit&amp;redlink=1" TargetMode="External"/><Relationship Id="rId104" Type="http://schemas.openxmlformats.org/officeDocument/2006/relationships/hyperlink" Target="https://bulbapedia.bulbagarden.net/w/index.php?title=Sandile_(Unbroken_Bonds_113)&amp;action=edit&amp;redlink=1" TargetMode="External"/><Relationship Id="rId120" Type="http://schemas.openxmlformats.org/officeDocument/2006/relationships/hyperlink" Target="https://bulbapedia.bulbagarden.net/wiki/Cleffa_(Unbroken_Bonds_131)" TargetMode="External"/><Relationship Id="rId125" Type="http://schemas.openxmlformats.org/officeDocument/2006/relationships/hyperlink" Target="https://bulbapedia.bulbagarden.net/wiki/Togepi_(Unbroken_Bonds_136)" TargetMode="External"/><Relationship Id="rId141" Type="http://schemas.openxmlformats.org/officeDocument/2006/relationships/hyperlink" Target="https://bulbapedia.bulbagarden.net/wiki/Porygon_(Unbroken_Bonds_154)" TargetMode="External"/><Relationship Id="rId146" Type="http://schemas.openxmlformats.org/officeDocument/2006/relationships/hyperlink" Target="https://bulbapedia.bulbagarden.net/wiki/Glameow_(Unbroken_Bonds_159)" TargetMode="External"/><Relationship Id="rId167" Type="http://schemas.openxmlformats.org/officeDocument/2006/relationships/hyperlink" Target="https://bulbapedia.bulbagarden.net/wiki/Molayne_(Unbroken_Bonds_181)" TargetMode="External"/><Relationship Id="rId188" Type="http://schemas.openxmlformats.org/officeDocument/2006/relationships/hyperlink" Target="https://bulbapedia.bulbagarden.net/wiki/Pok%C3%A9gear_3.0_(Unbroken_Bonds_233)" TargetMode="External"/><Relationship Id="rId7" Type="http://schemas.openxmlformats.org/officeDocument/2006/relationships/hyperlink" Target="https://bulbapedia.bulbagarden.net/wiki/Vileplume_(Unbroken_Bonds_8)" TargetMode="External"/><Relationship Id="rId71" Type="http://schemas.openxmlformats.org/officeDocument/2006/relationships/hyperlink" Target="https://bulbapedia.bulbagarden.net/wiki/Misdreavus_(Unbroken_Bonds_77)" TargetMode="External"/><Relationship Id="rId92" Type="http://schemas.openxmlformats.org/officeDocument/2006/relationships/hyperlink" Target="https://bulbapedia.bulbagarden.net/w/index.php?title=Gliscor_(Unbroken_Bonds_99)&amp;action=edit&amp;redlink=1" TargetMode="External"/><Relationship Id="rId162" Type="http://schemas.openxmlformats.org/officeDocument/2006/relationships/hyperlink" Target="https://bulbapedia.bulbagarden.net/wiki/Janine_(Unbroken_Bonds_176)" TargetMode="External"/><Relationship Id="rId183" Type="http://schemas.openxmlformats.org/officeDocument/2006/relationships/hyperlink" Target="https://bulbapedia.bulbagarden.net/wiki/Welder_(Unbroken_Bonds_214)" TargetMode="External"/><Relationship Id="rId2" Type="http://schemas.openxmlformats.org/officeDocument/2006/relationships/hyperlink" Target="https://bulbapedia.bulbagarden.net/wiki/Metapod_(Unbroken_Bonds_3)" TargetMode="External"/><Relationship Id="rId29" Type="http://schemas.openxmlformats.org/officeDocument/2006/relationships/hyperlink" Target="https://bulbapedia.bulbagarden.net/wiki/Blacephalon_(Unbroken_Bonds_32)" TargetMode="External"/><Relationship Id="rId24" Type="http://schemas.openxmlformats.org/officeDocument/2006/relationships/hyperlink" Target="https://bulbapedia.bulbagarden.net/wiki/Litten_(Unbroken_Bonds_27)" TargetMode="External"/><Relationship Id="rId40" Type="http://schemas.openxmlformats.org/officeDocument/2006/relationships/hyperlink" Target="https://bulbapedia.bulbagarden.net/wiki/Seel_(Unbroken_Bonds_44)" TargetMode="External"/><Relationship Id="rId45" Type="http://schemas.openxmlformats.org/officeDocument/2006/relationships/hyperlink" Target="https://bulbapedia.bulbagarden.net/wiki/Seaking_(Unbroken_Bonds_49)" TargetMode="External"/><Relationship Id="rId66" Type="http://schemas.openxmlformats.org/officeDocument/2006/relationships/hyperlink" Target="https://bulbapedia.bulbagarden.net/wiki/Hypno_(Unbroken_Bonds_72)" TargetMode="External"/><Relationship Id="rId87" Type="http://schemas.openxmlformats.org/officeDocument/2006/relationships/hyperlink" Target="https://bulbapedia.bulbagarden.net/wiki/Rhydon_(Unbroken_Bonds_94)" TargetMode="External"/><Relationship Id="rId110" Type="http://schemas.openxmlformats.org/officeDocument/2006/relationships/hyperlink" Target="https://bulbapedia.bulbagarden.net/w/index.php?title=Malamar_(Unbroken_Bonds_119)&amp;action=edit&amp;redlink=1" TargetMode="External"/><Relationship Id="rId115" Type="http://schemas.openxmlformats.org/officeDocument/2006/relationships/hyperlink" Target="https://bulbapedia.bulbagarden.net/w/index.php?title=Aggron_(Unbroken_Bonds_125)&amp;action=edit&amp;redlink=1" TargetMode="External"/><Relationship Id="rId131" Type="http://schemas.openxmlformats.org/officeDocument/2006/relationships/hyperlink" Target="https://bulbapedia.bulbagarden.net/wiki/Rattata_(Unbroken_Bonds_143)" TargetMode="External"/><Relationship Id="rId136" Type="http://schemas.openxmlformats.org/officeDocument/2006/relationships/hyperlink" Target="https://bulbapedia.bulbagarden.net/wiki/Persian_(Unbroken_Bonds_148)" TargetMode="External"/><Relationship Id="rId157" Type="http://schemas.openxmlformats.org/officeDocument/2006/relationships/hyperlink" Target="https://bulbapedia.bulbagarden.net/wiki/Fairy_Charm_Ability_(Unbroken_Bonds_171)" TargetMode="External"/><Relationship Id="rId178" Type="http://schemas.openxmlformats.org/officeDocument/2006/relationships/hyperlink" Target="https://bulbapedia.bulbagarden.net/wiki/Green%27s_Exploration_(Unbroken_Bonds_209)" TargetMode="External"/><Relationship Id="rId61" Type="http://schemas.openxmlformats.org/officeDocument/2006/relationships/hyperlink" Target="https://bulbapedia.bulbagarden.net/wiki/Gastly_(Unbroken_Bonds_67)" TargetMode="External"/><Relationship Id="rId82" Type="http://schemas.openxmlformats.org/officeDocument/2006/relationships/hyperlink" Target="https://bulbapedia.bulbagarden.net/wiki/Golem_(Unbroken_Bonds_89)" TargetMode="External"/><Relationship Id="rId152" Type="http://schemas.openxmlformats.org/officeDocument/2006/relationships/hyperlink" Target="https://bulbapedia.bulbagarden.net/wiki/Devolution_Spray_Z_(Unbroken_Bonds_166)" TargetMode="External"/><Relationship Id="rId173" Type="http://schemas.openxmlformats.org/officeDocument/2006/relationships/hyperlink" Target="https://bulbapedia.bulbagarden.net/wiki/Stealthy_Hood_(Unbroken_Bonds_186)" TargetMode="External"/><Relationship Id="rId19" Type="http://schemas.openxmlformats.org/officeDocument/2006/relationships/hyperlink" Target="https://bulbapedia.bulbagarden.net/wiki/Arcanine_(Unbroken_Bonds_22)" TargetMode="External"/><Relationship Id="rId14" Type="http://schemas.openxmlformats.org/officeDocument/2006/relationships/hyperlink" Target="https://bulbapedia.bulbagarden.net/wiki/Tangela_(Unbroken_Bonds_16)" TargetMode="External"/><Relationship Id="rId30" Type="http://schemas.openxmlformats.org/officeDocument/2006/relationships/hyperlink" Target="https://bulbapedia.bulbagarden.net/wiki/Squirtle_(Unbroken_Bonds_33)" TargetMode="External"/><Relationship Id="rId35" Type="http://schemas.openxmlformats.org/officeDocument/2006/relationships/hyperlink" Target="https://bulbapedia.bulbagarden.net/wiki/Poliwrath_(Unbroken_Bonds_39)" TargetMode="External"/><Relationship Id="rId56" Type="http://schemas.openxmlformats.org/officeDocument/2006/relationships/hyperlink" Target="https://bulbapedia.bulbagarden.net/wiki/Ekans_(Unbroken_Bonds_62)" TargetMode="External"/><Relationship Id="rId77" Type="http://schemas.openxmlformats.org/officeDocument/2006/relationships/hyperlink" Target="https://bulbapedia.bulbagarden.net/wiki/Sandslash_(Unbroken_Bonds_84)" TargetMode="External"/><Relationship Id="rId100" Type="http://schemas.openxmlformats.org/officeDocument/2006/relationships/hyperlink" Target="https://bulbapedia.bulbagarden.net/wiki/Murkrow_(Unbroken_Bonds_108)" TargetMode="External"/><Relationship Id="rId105" Type="http://schemas.openxmlformats.org/officeDocument/2006/relationships/hyperlink" Target="https://bulbapedia.bulbagarden.net/w/index.php?title=Sandile_(Unbroken_Bonds_114)&amp;action=edit&amp;redlink=1" TargetMode="External"/><Relationship Id="rId126" Type="http://schemas.openxmlformats.org/officeDocument/2006/relationships/hyperlink" Target="https://bulbapedia.bulbagarden.net/wiki/Togetic_(Unbroken_Bonds_137)" TargetMode="External"/><Relationship Id="rId147" Type="http://schemas.openxmlformats.org/officeDocument/2006/relationships/hyperlink" Target="https://bulbapedia.bulbagarden.net/wiki/Purugly_(Unbroken_Bonds_160)" TargetMode="External"/><Relationship Id="rId168" Type="http://schemas.openxmlformats.org/officeDocument/2006/relationships/hyperlink" Target="https://bulbapedia.bulbagarden.net/wiki/Pok%C3%A9gear_3.0_(Unbroken_Bonds_182)" TargetMode="External"/><Relationship Id="rId8" Type="http://schemas.openxmlformats.org/officeDocument/2006/relationships/hyperlink" Target="https://bulbapedia.bulbagarden.net/wiki/Venonat_(Unbroken_Bonds_9)" TargetMode="External"/><Relationship Id="rId51" Type="http://schemas.openxmlformats.org/officeDocument/2006/relationships/hyperlink" Target="https://bulbapedia.bulbagarden.net/wiki/Raichu_(Unbroken_Bonds_55)" TargetMode="External"/><Relationship Id="rId72" Type="http://schemas.openxmlformats.org/officeDocument/2006/relationships/hyperlink" Target="https://bulbapedia.bulbagarden.net/wiki/Mismagius_(Unbroken_Bonds_78)" TargetMode="External"/><Relationship Id="rId93" Type="http://schemas.openxmlformats.org/officeDocument/2006/relationships/hyperlink" Target="https://bulbapedia.bulbagarden.net/w/index.php?title=Tyrogue_(Unbroken_Bonds_100)&amp;action=edit&amp;redlink=1" TargetMode="External"/><Relationship Id="rId98" Type="http://schemas.openxmlformats.org/officeDocument/2006/relationships/hyperlink" Target="https://bulbapedia.bulbagarden.net/w/index.php?title=Crabominable_(Unbroken_Bonds_105)&amp;action=edit&amp;redlink=1" TargetMode="External"/><Relationship Id="rId121" Type="http://schemas.openxmlformats.org/officeDocument/2006/relationships/hyperlink" Target="https://bulbapedia.bulbagarden.net/wiki/Clefairy_(Unbroken_Bonds_132)" TargetMode="External"/><Relationship Id="rId142" Type="http://schemas.openxmlformats.org/officeDocument/2006/relationships/hyperlink" Target="https://bulbapedia.bulbagarden.net/wiki/Porygon_(Unbroken_Bonds_155)" TargetMode="External"/><Relationship Id="rId163" Type="http://schemas.openxmlformats.org/officeDocument/2006/relationships/hyperlink" Target="https://bulbapedia.bulbagarden.net/wiki/Koga%27s_Trap_(Unbroken_Bonds_177)" TargetMode="External"/><Relationship Id="rId184" Type="http://schemas.openxmlformats.org/officeDocument/2006/relationships/hyperlink" Target="https://bulbapedia.bulbagarden.net/wiki/Beast_Bringer_(Unbroken_Bonds_229)" TargetMode="External"/><Relationship Id="rId189" Type="http://schemas.openxmlformats.org/officeDocument/2006/relationships/hyperlink" Target="https://bulbapedia.bulbagarden.net/wiki/Triple_Acceleration_Energy_(Unbroken_Bonds_234)" TargetMode="External"/><Relationship Id="rId3" Type="http://schemas.openxmlformats.org/officeDocument/2006/relationships/hyperlink" Target="https://bulbapedia.bulbagarden.net/wiki/Butterfree_(Unbroken_Bonds_4)" TargetMode="External"/><Relationship Id="rId25" Type="http://schemas.openxmlformats.org/officeDocument/2006/relationships/hyperlink" Target="https://bulbapedia.bulbagarden.net/wiki/Torracat_(Unbroken_Bonds_28)" TargetMode="External"/><Relationship Id="rId46" Type="http://schemas.openxmlformats.org/officeDocument/2006/relationships/hyperlink" Target="https://bulbapedia.bulbagarden.net/wiki/Kyurem_(Unbroken_Bonds_50)" TargetMode="External"/><Relationship Id="rId67" Type="http://schemas.openxmlformats.org/officeDocument/2006/relationships/hyperlink" Target="https://bulbapedia.bulbagarden.net/wiki/Koffing_(Unbroken_Bonds_73)" TargetMode="External"/><Relationship Id="rId116" Type="http://schemas.openxmlformats.org/officeDocument/2006/relationships/hyperlink" Target="https://bulbapedia.bulbagarden.net/wiki/Lucario_(Unbroken_Bonds_126)" TargetMode="External"/><Relationship Id="rId137" Type="http://schemas.openxmlformats.org/officeDocument/2006/relationships/hyperlink" Target="https://bulbapedia.bulbagarden.net/wiki/Doduo_(Unbroken_Bonds_150)" TargetMode="External"/><Relationship Id="rId158" Type="http://schemas.openxmlformats.org/officeDocument/2006/relationships/hyperlink" Target="https://bulbapedia.bulbagarden.net/wiki/Fairy_Charm_L_(Unbroken_Bonds_172)" TargetMode="External"/><Relationship Id="rId20" Type="http://schemas.openxmlformats.org/officeDocument/2006/relationships/hyperlink" Target="https://bulbapedia.bulbagarden.net/wiki/Darumaka_(Unbroken_Bonds_23)" TargetMode="External"/><Relationship Id="rId41" Type="http://schemas.openxmlformats.org/officeDocument/2006/relationships/hyperlink" Target="https://bulbapedia.bulbagarden.net/wiki/Dewgong_(Unbroken_Bonds_45)" TargetMode="External"/><Relationship Id="rId62" Type="http://schemas.openxmlformats.org/officeDocument/2006/relationships/hyperlink" Target="https://bulbapedia.bulbagarden.net/wiki/Gastly_(Unbroken_Bonds_68)" TargetMode="External"/><Relationship Id="rId83" Type="http://schemas.openxmlformats.org/officeDocument/2006/relationships/hyperlink" Target="https://bulbapedia.bulbagarden.net/wiki/Cubone_(Unbroken_Bonds_90)" TargetMode="External"/><Relationship Id="rId88" Type="http://schemas.openxmlformats.org/officeDocument/2006/relationships/hyperlink" Target="https://bulbapedia.bulbagarden.net/wiki/Rhyperior_(Unbroken_Bonds_95)" TargetMode="External"/><Relationship Id="rId111" Type="http://schemas.openxmlformats.org/officeDocument/2006/relationships/hyperlink" Target="https://bulbapedia.bulbagarden.net/w/index.php?title=Alolan_Diglett_(Unbroken_Bonds_121)&amp;action=edit&amp;redlink=1" TargetMode="External"/><Relationship Id="rId132" Type="http://schemas.openxmlformats.org/officeDocument/2006/relationships/hyperlink" Target="https://bulbapedia.bulbagarden.net/wiki/Raticate_(Unbroken_Bonds_144)" TargetMode="External"/><Relationship Id="rId153" Type="http://schemas.openxmlformats.org/officeDocument/2006/relationships/hyperlink" Target="https://bulbapedia.bulbagarden.net/wiki/Dusk_Stone_(Unbroken_Bonds_167)" TargetMode="External"/><Relationship Id="rId174" Type="http://schemas.openxmlformats.org/officeDocument/2006/relationships/hyperlink" Target="https://bulbapedia.bulbagarden.net/wiki/Surprise_Box_(Unbroken_Bonds_187)" TargetMode="External"/><Relationship Id="rId179" Type="http://schemas.openxmlformats.org/officeDocument/2006/relationships/hyperlink" Target="https://bulbapedia.bulbagarden.net/wiki/Janine_(Unbroken_Bonds_210)" TargetMode="External"/><Relationship Id="rId15" Type="http://schemas.openxmlformats.org/officeDocument/2006/relationships/hyperlink" Target="https://bulbapedia.bulbagarden.net/wiki/Tangrowth_(Unbroken_Bonds_17)" TargetMode="External"/><Relationship Id="rId36" Type="http://schemas.openxmlformats.org/officeDocument/2006/relationships/hyperlink" Target="https://bulbapedia.bulbagarden.net/wiki/Tentacool_(Unbroken_Bonds_40)" TargetMode="External"/><Relationship Id="rId57" Type="http://schemas.openxmlformats.org/officeDocument/2006/relationships/hyperlink" Target="https://bulbapedia.bulbagarden.net/wiki/Arbok_(Unbroken_Bonds_63)" TargetMode="External"/><Relationship Id="rId106" Type="http://schemas.openxmlformats.org/officeDocument/2006/relationships/hyperlink" Target="https://bulbapedia.bulbagarden.net/w/index.php?title=Krokorok_(Unbroken_Bonds_115)&amp;action=edit&amp;redlink=1" TargetMode="External"/><Relationship Id="rId127" Type="http://schemas.openxmlformats.org/officeDocument/2006/relationships/hyperlink" Target="https://bulbapedia.bulbagarden.net/wiki/Togekiss_(Unbroken_Bonds_138)" TargetMode="External"/><Relationship Id="rId10" Type="http://schemas.openxmlformats.org/officeDocument/2006/relationships/hyperlink" Target="https://bulbapedia.bulbagarden.net/wiki/Venomoth_(Unbroken_Bonds_11)" TargetMode="External"/><Relationship Id="rId31" Type="http://schemas.openxmlformats.org/officeDocument/2006/relationships/hyperlink" Target="https://bulbapedia.bulbagarden.net/wiki/Wartortle_(Unbroken_Bonds_34)" TargetMode="External"/><Relationship Id="rId52" Type="http://schemas.openxmlformats.org/officeDocument/2006/relationships/hyperlink" Target="https://bulbapedia.bulbagarden.net/wiki/Stunfisk_(Unbroken_Bonds_56)" TargetMode="External"/><Relationship Id="rId73" Type="http://schemas.openxmlformats.org/officeDocument/2006/relationships/hyperlink" Target="https://bulbapedia.bulbagarden.net/wiki/Espurr_(Unbroken_Bonds_79)" TargetMode="External"/><Relationship Id="rId78" Type="http://schemas.openxmlformats.org/officeDocument/2006/relationships/hyperlink" Target="https://bulbapedia.bulbagarden.net/wiki/Diglett_(Unbroken_Bonds_85)" TargetMode="External"/><Relationship Id="rId94" Type="http://schemas.openxmlformats.org/officeDocument/2006/relationships/hyperlink" Target="https://bulbapedia.bulbagarden.net/w/index.php?title=Hitmontop_(Unbroken_Bonds_101)&amp;action=edit&amp;redlink=1" TargetMode="External"/><Relationship Id="rId99" Type="http://schemas.openxmlformats.org/officeDocument/2006/relationships/hyperlink" Target="https://bulbapedia.bulbagarden.net/wiki/Stakataka_(Unbroken_Bonds_106)" TargetMode="External"/><Relationship Id="rId101" Type="http://schemas.openxmlformats.org/officeDocument/2006/relationships/hyperlink" Target="https://bulbapedia.bulbagarden.net/w/index.php?title=Carvanha_(Unbroken_Bonds_110)&amp;action=edit&amp;redlink=1" TargetMode="External"/><Relationship Id="rId122" Type="http://schemas.openxmlformats.org/officeDocument/2006/relationships/hyperlink" Target="https://bulbapedia.bulbagarden.net/wiki/Clefable_(Unbroken_Bonds_133)" TargetMode="External"/><Relationship Id="rId143" Type="http://schemas.openxmlformats.org/officeDocument/2006/relationships/hyperlink" Target="https://bulbapedia.bulbagarden.net/wiki/Porygon2_(Unbroken_Bonds_156)" TargetMode="External"/><Relationship Id="rId148" Type="http://schemas.openxmlformats.org/officeDocument/2006/relationships/hyperlink" Target="https://bulbapedia.bulbagarden.net/wiki/Happiny_(Unbroken_Bonds_161)" TargetMode="External"/><Relationship Id="rId164" Type="http://schemas.openxmlformats.org/officeDocument/2006/relationships/hyperlink" Target="https://bulbapedia.bulbagarden.net/wiki/Lt._Surge%27s_Strategy_(Unbroken_Bonds_178)" TargetMode="External"/><Relationship Id="rId169" Type="http://schemas.openxmlformats.org/officeDocument/2006/relationships/hyperlink" Target="https://bulbapedia.bulbagarden.net/wiki/Pok%C3%A9gear_3.0_(Unbroken_Bonds_182)" TargetMode="External"/><Relationship Id="rId185" Type="http://schemas.openxmlformats.org/officeDocument/2006/relationships/hyperlink" Target="https://bulbapedia.bulbagarden.net/wiki/Electromagnetic_Radar_(Unbroken_Bonds_230)" TargetMode="External"/><Relationship Id="rId4" Type="http://schemas.openxmlformats.org/officeDocument/2006/relationships/hyperlink" Target="https://bulbapedia.bulbagarden.net/wiki/Oddish_(Unbroken_Bonds_5)" TargetMode="External"/><Relationship Id="rId9" Type="http://schemas.openxmlformats.org/officeDocument/2006/relationships/hyperlink" Target="https://bulbapedia.bulbagarden.net/wiki/Venonat_(Unbroken_Bonds_10)" TargetMode="External"/><Relationship Id="rId180" Type="http://schemas.openxmlformats.org/officeDocument/2006/relationships/hyperlink" Target="https://bulbapedia.bulbagarden.net/wiki/Koga%27s_Trap_(Unbroken_Bonds_211)" TargetMode="External"/><Relationship Id="rId26" Type="http://schemas.openxmlformats.org/officeDocument/2006/relationships/hyperlink" Target="https://bulbapedia.bulbagarden.net/wiki/Incineroar_(Unbroken_Bonds_29)" TargetMode="External"/><Relationship Id="rId47" Type="http://schemas.openxmlformats.org/officeDocument/2006/relationships/hyperlink" Target="https://bulbapedia.bulbagarden.net/wiki/Froakie_(Unbroken_Bonds_51)" TargetMode="External"/><Relationship Id="rId68" Type="http://schemas.openxmlformats.org/officeDocument/2006/relationships/hyperlink" Target="https://bulbapedia.bulbagarden.net/wiki/Weezing_(Unbroken_Bonds_74)" TargetMode="External"/><Relationship Id="rId89" Type="http://schemas.openxmlformats.org/officeDocument/2006/relationships/hyperlink" Target="https://bulbapedia.bulbagarden.net/w/index.php?title=Wooper_(Unbroken_Bonds_96)&amp;action=edit&amp;redlink=1" TargetMode="External"/><Relationship Id="rId112" Type="http://schemas.openxmlformats.org/officeDocument/2006/relationships/hyperlink" Target="https://bulbapedia.bulbagarden.net/w/index.php?title=Alolan_Dugtrio_(Unbroken_Bonds_122)&amp;action=edit&amp;redlink=1" TargetMode="External"/><Relationship Id="rId133" Type="http://schemas.openxmlformats.org/officeDocument/2006/relationships/hyperlink" Target="https://bulbapedia.bulbagarden.net/wiki/Spearow_(Unbroken_Bonds_145)" TargetMode="External"/><Relationship Id="rId154" Type="http://schemas.openxmlformats.org/officeDocument/2006/relationships/hyperlink" Target="https://bulbapedia.bulbagarden.net/wiki/Dust_Island_(Unbroken_Bonds_168)" TargetMode="External"/><Relationship Id="rId175" Type="http://schemas.openxmlformats.org/officeDocument/2006/relationships/hyperlink" Target="https://bulbapedia.bulbagarden.net/wiki/Ultra_Forest_Kartenvoy_(Unbroken_Bonds_188)" TargetMode="External"/><Relationship Id="rId16" Type="http://schemas.openxmlformats.org/officeDocument/2006/relationships/hyperlink" Target="https://bulbapedia.bulbagarden.net/wiki/Grubbin_(Unbroken_Bonds_18)" TargetMode="External"/><Relationship Id="rId37" Type="http://schemas.openxmlformats.org/officeDocument/2006/relationships/hyperlink" Target="https://bulbapedia.bulbagarden.net/wiki/Tentacruel_(Unbroken_Bonds_41)" TargetMode="External"/><Relationship Id="rId58" Type="http://schemas.openxmlformats.org/officeDocument/2006/relationships/hyperlink" Target="https://bulbapedia.bulbagarden.net/wiki/Zubat_(Unbroken_Bonds_64)" TargetMode="External"/><Relationship Id="rId79" Type="http://schemas.openxmlformats.org/officeDocument/2006/relationships/hyperlink" Target="https://bulbapedia.bulbagarden.net/wiki/Dugtrio_(Unbroken_Bonds_86)" TargetMode="External"/><Relationship Id="rId102" Type="http://schemas.openxmlformats.org/officeDocument/2006/relationships/hyperlink" Target="https://bulbapedia.bulbagarden.net/w/index.php?title=Sharpedo_(Unbroken_Bonds_111)&amp;action=edit&amp;redlink=1" TargetMode="External"/><Relationship Id="rId123" Type="http://schemas.openxmlformats.org/officeDocument/2006/relationships/hyperlink" Target="https://bulbapedia.bulbagarden.net/wiki/Jigglypuff_(Unbroken_Bonds_134)" TargetMode="External"/><Relationship Id="rId144" Type="http://schemas.openxmlformats.org/officeDocument/2006/relationships/hyperlink" Target="https://bulbapedia.bulbagarden.net/wiki/Porygon-Z_(Unbroken_Bonds_157)" TargetMode="External"/><Relationship Id="rId90" Type="http://schemas.openxmlformats.org/officeDocument/2006/relationships/hyperlink" Target="https://bulbapedia.bulbagarden.net/w/index.php?title=Quagsire_(Unbroken_Bonds_97)&amp;action=edit&amp;redlink=1" TargetMode="External"/><Relationship Id="rId165" Type="http://schemas.openxmlformats.org/officeDocument/2006/relationships/hyperlink" Target="https://bulbapedia.bulbagarden.net/wiki/Martial_Arts_Dojo_(Unbroken_Bonds_179)" TargetMode="External"/><Relationship Id="rId186" Type="http://schemas.openxmlformats.org/officeDocument/2006/relationships/hyperlink" Target="https://bulbapedia.bulbagarden.net/wiki/Fire_Crystal_(Unbroken_Bonds_231)" TargetMode="External"/><Relationship Id="rId27" Type="http://schemas.openxmlformats.org/officeDocument/2006/relationships/hyperlink" Target="https://bulbapedia.bulbagarden.net/wiki/Salandit_(Unbroken_Bonds_30)" TargetMode="External"/><Relationship Id="rId48" Type="http://schemas.openxmlformats.org/officeDocument/2006/relationships/hyperlink" Target="https://bulbapedia.bulbagarden.net/wiki/Frogadier_(Unbroken_Bonds_52)" TargetMode="External"/><Relationship Id="rId69" Type="http://schemas.openxmlformats.org/officeDocument/2006/relationships/hyperlink" Target="https://bulbapedia.bulbagarden.net/wiki/Mewtwo_(Unbroken_Bonds_75)" TargetMode="External"/><Relationship Id="rId113" Type="http://schemas.openxmlformats.org/officeDocument/2006/relationships/hyperlink" Target="https://bulbapedia.bulbagarden.net/w/index.php?title=Aron_(Unbroken_Bonds_123)&amp;action=edit&amp;redlink=1" TargetMode="External"/><Relationship Id="rId134" Type="http://schemas.openxmlformats.org/officeDocument/2006/relationships/hyperlink" Target="https://bulbapedia.bulbagarden.net/wiki/Fearow_(Unbroken_Bonds_146)" TargetMode="External"/><Relationship Id="rId80" Type="http://schemas.openxmlformats.org/officeDocument/2006/relationships/hyperlink" Target="https://bulbapedia.bulbagarden.net/wiki/Geodude_(Unbroken_Bonds_87)" TargetMode="External"/><Relationship Id="rId155" Type="http://schemas.openxmlformats.org/officeDocument/2006/relationships/hyperlink" Target="https://bulbapedia.bulbagarden.net/wiki/Electromagnetic_Radar_(Unbroken_Bonds_169)" TargetMode="External"/><Relationship Id="rId176" Type="http://schemas.openxmlformats.org/officeDocument/2006/relationships/hyperlink" Target="https://bulbapedia.bulbagarden.net/wiki/Welder_(Unbroken_Bonds_189)" TargetMode="External"/><Relationship Id="rId17" Type="http://schemas.openxmlformats.org/officeDocument/2006/relationships/hyperlink" Target="https://bulbapedia.bulbagarden.net/wiki/Kartana_(Unbroken_Bonds_19)" TargetMode="External"/><Relationship Id="rId38" Type="http://schemas.openxmlformats.org/officeDocument/2006/relationships/hyperlink" Target="https://bulbapedia.bulbagarden.net/wiki/Slowpoke_(Unbroken_Bonds_42)" TargetMode="External"/><Relationship Id="rId59" Type="http://schemas.openxmlformats.org/officeDocument/2006/relationships/hyperlink" Target="https://bulbapedia.bulbagarden.net/wiki/Golbat_(Unbroken_Bonds_65)" TargetMode="External"/><Relationship Id="rId103" Type="http://schemas.openxmlformats.org/officeDocument/2006/relationships/hyperlink" Target="https://bulbapedia.bulbagarden.net/w/index.php?title=Spiritomb_(Unbroken_Bonds_112)&amp;action=edit&amp;redlink=1" TargetMode="External"/><Relationship Id="rId124" Type="http://schemas.openxmlformats.org/officeDocument/2006/relationships/hyperlink" Target="https://bulbapedia.bulbagarden.net/wiki/Wigglytuff_(Unbroken_Bonds_135)" TargetMode="External"/><Relationship Id="rId70" Type="http://schemas.openxmlformats.org/officeDocument/2006/relationships/hyperlink" Target="https://bulbapedia.bulbagarden.net/wiki/Mew_(Unbroken_Bonds_76)" TargetMode="External"/><Relationship Id="rId91" Type="http://schemas.openxmlformats.org/officeDocument/2006/relationships/hyperlink" Target="https://bulbapedia.bulbagarden.net/w/index.php?title=Gligar_(Unbroken_Bonds_98)&amp;action=edit&amp;redlink=1" TargetMode="External"/><Relationship Id="rId145" Type="http://schemas.openxmlformats.org/officeDocument/2006/relationships/hyperlink" Target="https://bulbapedia.bulbagarden.net/wiki/Snorlax_(Unbroken_Bonds_158)" TargetMode="External"/><Relationship Id="rId166" Type="http://schemas.openxmlformats.org/officeDocument/2006/relationships/hyperlink" Target="https://bulbapedia.bulbagarden.net/wiki/Metal_Core_Barrier_(Unbroken_Bonds_180)" TargetMode="External"/><Relationship Id="rId187" Type="http://schemas.openxmlformats.org/officeDocument/2006/relationships/hyperlink" Target="https://bulbapedia.bulbagarden.net/wiki/Metal_Core_Barrier_(Unbroken_Bonds_232)" TargetMode="External"/><Relationship Id="rId1" Type="http://schemas.openxmlformats.org/officeDocument/2006/relationships/hyperlink" Target="https://bulbapedia.bulbagarden.net/wiki/Caterpie_(Unbroken_Bonds_2)" TargetMode="External"/><Relationship Id="rId28" Type="http://schemas.openxmlformats.org/officeDocument/2006/relationships/hyperlink" Target="https://bulbapedia.bulbagarden.net/wiki/Salazzle_(Unbroken_Bonds_31)" TargetMode="External"/><Relationship Id="rId49" Type="http://schemas.openxmlformats.org/officeDocument/2006/relationships/hyperlink" Target="https://bulbapedia.bulbagarden.net/wiki/Pyukumuku_(Unbroken_Bonds_53)" TargetMode="External"/><Relationship Id="rId114" Type="http://schemas.openxmlformats.org/officeDocument/2006/relationships/hyperlink" Target="https://bulbapedia.bulbagarden.net/w/index.php?title=Lairon_(Unbroken_Bonds_124)&amp;action=edit&amp;redlink=1" TargetMode="External"/><Relationship Id="rId60" Type="http://schemas.openxmlformats.org/officeDocument/2006/relationships/hyperlink" Target="https://bulbapedia.bulbagarden.net/wiki/Crobat_(Unbroken_Bonds_66)" TargetMode="External"/><Relationship Id="rId81" Type="http://schemas.openxmlformats.org/officeDocument/2006/relationships/hyperlink" Target="https://bulbapedia.bulbagarden.net/wiki/Graveler_(Unbroken_Bonds_88)" TargetMode="External"/><Relationship Id="rId135" Type="http://schemas.openxmlformats.org/officeDocument/2006/relationships/hyperlink" Target="https://bulbapedia.bulbagarden.net/wiki/Meowth_(Unbroken_Bonds_147)" TargetMode="External"/><Relationship Id="rId156" Type="http://schemas.openxmlformats.org/officeDocument/2006/relationships/hyperlink" Target="https://bulbapedia.bulbagarden.net/wiki/Energy_Spinner_(Unbroken_Bonds_170)" TargetMode="External"/><Relationship Id="rId177" Type="http://schemas.openxmlformats.org/officeDocument/2006/relationships/hyperlink" Target="https://bulbapedia.bulbagarden.net/wiki/Triple_Acceleration_Energy_(Unbroken_Bonds_190)" TargetMode="External"/></Relationships>
</file>

<file path=xl/worksheets/_rels/sheet80.xml.rels><?xml version="1.0" encoding="UTF-8" standalone="yes"?>
<Relationships xmlns="http://schemas.openxmlformats.org/package/2006/relationships"><Relationship Id="rId117" Type="http://schemas.openxmlformats.org/officeDocument/2006/relationships/hyperlink" Target="https://bulbapedia.bulbagarden.net/w/index.php?title=Murkrow_(Unified_Minds_129)&amp;action=edit&amp;redlink=1" TargetMode="External"/><Relationship Id="rId21" Type="http://schemas.openxmlformats.org/officeDocument/2006/relationships/hyperlink" Target="https://bulbapedia.bulbagarden.net/wiki/Magmortar_(Unified_Minds_22)" TargetMode="External"/><Relationship Id="rId42" Type="http://schemas.openxmlformats.org/officeDocument/2006/relationships/hyperlink" Target="https://bulbapedia.bulbagarden.net/wiki/Carracosta_(Unified_Minds_45)" TargetMode="External"/><Relationship Id="rId63" Type="http://schemas.openxmlformats.org/officeDocument/2006/relationships/hyperlink" Target="https://bulbapedia.bulbagarden.net/wiki/Thundurus_(Unified_Minds_68)" TargetMode="External"/><Relationship Id="rId84" Type="http://schemas.openxmlformats.org/officeDocument/2006/relationships/hyperlink" Target="https://bulbapedia.bulbagarden.net/wiki/Honedge_(Unified_Minds_93)" TargetMode="External"/><Relationship Id="rId138" Type="http://schemas.openxmlformats.org/officeDocument/2006/relationships/hyperlink" Target="https://bulbapedia.bulbagarden.net/wiki/Axew_(Unified_Minds_154)" TargetMode="External"/><Relationship Id="rId159" Type="http://schemas.openxmlformats.org/officeDocument/2006/relationships/hyperlink" Target="https://bulbapedia.bulbagarden.net/wiki/Unfezant_(Unified_Minds_176)" TargetMode="External"/><Relationship Id="rId170" Type="http://schemas.openxmlformats.org/officeDocument/2006/relationships/hyperlink" Target="https://bulbapedia.bulbagarden.net/wiki/Blizzard_Town_(Unified_Minds_187)" TargetMode="External"/><Relationship Id="rId191" Type="http://schemas.openxmlformats.org/officeDocument/2006/relationships/hyperlink" Target="https://bulbapedia.bulbagarden.net/wiki/Slumbering_Forest_(Unified_Minds_207)" TargetMode="External"/><Relationship Id="rId205" Type="http://schemas.openxmlformats.org/officeDocument/2006/relationships/hyperlink" Target="https://bulbapedia.bulbagarden.net/wiki/Giant_Bomb_(Unified_Minds_251)" TargetMode="External"/><Relationship Id="rId107" Type="http://schemas.openxmlformats.org/officeDocument/2006/relationships/hyperlink" Target="https://bulbapedia.bulbagarden.net/wiki/Lucario_(Unified_Minds_117)" TargetMode="External"/><Relationship Id="rId11" Type="http://schemas.openxmlformats.org/officeDocument/2006/relationships/hyperlink" Target="https://bulbapedia.bulbagarden.net/wiki/Karrablast_(Unified_Minds_12)" TargetMode="External"/><Relationship Id="rId32" Type="http://schemas.openxmlformats.org/officeDocument/2006/relationships/hyperlink" Target="https://bulbapedia.bulbagarden.net/wiki/Salazzle_(Unified_Minds_34)" TargetMode="External"/><Relationship Id="rId53" Type="http://schemas.openxmlformats.org/officeDocument/2006/relationships/hyperlink" Target="https://bulbapedia.bulbagarden.net/wiki/Magnemite_(Unified_Minds_58)" TargetMode="External"/><Relationship Id="rId74" Type="http://schemas.openxmlformats.org/officeDocument/2006/relationships/hyperlink" Target="https://bulbapedia.bulbagarden.net/wiki/Uxie_(Unified_Minds_83)" TargetMode="External"/><Relationship Id="rId128" Type="http://schemas.openxmlformats.org/officeDocument/2006/relationships/hyperlink" Target="https://bulbapedia.bulbagarden.net/wiki/Escavalier_(Unified_Minds_142)" TargetMode="External"/><Relationship Id="rId149" Type="http://schemas.openxmlformats.org/officeDocument/2006/relationships/hyperlink" Target="https://bulbapedia.bulbagarden.net/wiki/Noctowl_(Unified_Minds_166)" TargetMode="External"/><Relationship Id="rId5" Type="http://schemas.openxmlformats.org/officeDocument/2006/relationships/hyperlink" Target="https://bulbapedia.bulbagarden.net/wiki/Sewaddle_(Unified_Minds_6)" TargetMode="External"/><Relationship Id="rId95" Type="http://schemas.openxmlformats.org/officeDocument/2006/relationships/hyperlink" Target="https://bulbapedia.bulbagarden.net/wiki/Steelix_(Unified_Minds_104)" TargetMode="External"/><Relationship Id="rId160" Type="http://schemas.openxmlformats.org/officeDocument/2006/relationships/hyperlink" Target="https://bulbapedia.bulbagarden.net/wiki/Audino_(Unified_Minds_177)" TargetMode="External"/><Relationship Id="rId181" Type="http://schemas.openxmlformats.org/officeDocument/2006/relationships/hyperlink" Target="https://bulbapedia.bulbagarden.net/wiki/Great_Potion_(Unified_Minds_198)" TargetMode="External"/><Relationship Id="rId22" Type="http://schemas.openxmlformats.org/officeDocument/2006/relationships/hyperlink" Target="https://bulbapedia.bulbagarden.net/wiki/Numel_(Unified_Minds_23)" TargetMode="External"/><Relationship Id="rId43" Type="http://schemas.openxmlformats.org/officeDocument/2006/relationships/hyperlink" Target="https://bulbapedia.bulbagarden.net/wiki/Cryogonal_(Unified_Minds_46)" TargetMode="External"/><Relationship Id="rId64" Type="http://schemas.openxmlformats.org/officeDocument/2006/relationships/hyperlink" Target="https://bulbapedia.bulbagarden.net/wiki/Tapu_Koko_(Unified_Minds_69)" TargetMode="External"/><Relationship Id="rId118" Type="http://schemas.openxmlformats.org/officeDocument/2006/relationships/hyperlink" Target="https://bulbapedia.bulbagarden.net/wiki/Honchkrow_(Unified_Minds_130)" TargetMode="External"/><Relationship Id="rId139" Type="http://schemas.openxmlformats.org/officeDocument/2006/relationships/hyperlink" Target="https://bulbapedia.bulbagarden.net/wiki/Fraxure_(Unified_Minds_155)" TargetMode="External"/><Relationship Id="rId85" Type="http://schemas.openxmlformats.org/officeDocument/2006/relationships/hyperlink" Target="https://bulbapedia.bulbagarden.net/wiki/Doublade_(Unified_Minds_94)" TargetMode="External"/><Relationship Id="rId150" Type="http://schemas.openxmlformats.org/officeDocument/2006/relationships/hyperlink" Target="https://bulbapedia.bulbagarden.net/wiki/Slakoth_(Unified_Minds_167)" TargetMode="External"/><Relationship Id="rId171" Type="http://schemas.openxmlformats.org/officeDocument/2006/relationships/hyperlink" Target="https://bulbapedia.bulbagarden.net/wiki/Blue%27s_Tactics_(Unified_Minds_188)" TargetMode="External"/><Relationship Id="rId192" Type="http://schemas.openxmlformats.org/officeDocument/2006/relationships/hyperlink" Target="https://bulbapedia.bulbagarden.net/wiki/Stadium_Nav_(Unified_Minds_208)" TargetMode="External"/><Relationship Id="rId206" Type="http://schemas.openxmlformats.org/officeDocument/2006/relationships/hyperlink" Target="https://bulbapedia.bulbagarden.net/wiki/Karate_Belt_(Unified_Minds_252)" TargetMode="External"/><Relationship Id="rId12" Type="http://schemas.openxmlformats.org/officeDocument/2006/relationships/hyperlink" Target="https://bulbapedia.bulbagarden.net/wiki/Foongus_(Unified_Minds_13)" TargetMode="External"/><Relationship Id="rId33" Type="http://schemas.openxmlformats.org/officeDocument/2006/relationships/hyperlink" Target="https://bulbapedia.bulbagarden.net/wiki/Lapras_(Unified_Minds_36)" TargetMode="External"/><Relationship Id="rId108" Type="http://schemas.openxmlformats.org/officeDocument/2006/relationships/hyperlink" Target="https://bulbapedia.bulbagarden.net/wiki/Drilbur_(Unified_Minds_118)" TargetMode="External"/><Relationship Id="rId129" Type="http://schemas.openxmlformats.org/officeDocument/2006/relationships/hyperlink" Target="https://bulbapedia.bulbagarden.net/wiki/Cottonee_(Unified_Minds_143)" TargetMode="External"/><Relationship Id="rId54" Type="http://schemas.openxmlformats.org/officeDocument/2006/relationships/hyperlink" Target="https://bulbapedia.bulbagarden.net/wiki/Magneton_(Unified_Minds_59)" TargetMode="External"/><Relationship Id="rId75" Type="http://schemas.openxmlformats.org/officeDocument/2006/relationships/hyperlink" Target="https://bulbapedia.bulbagarden.net/wiki/Mesprit_(Unified_Minds_84)" TargetMode="External"/><Relationship Id="rId96" Type="http://schemas.openxmlformats.org/officeDocument/2006/relationships/hyperlink" Target="https://bulbapedia.bulbagarden.net/wiki/Cubone_(Unified_Minds_105)" TargetMode="External"/><Relationship Id="rId140" Type="http://schemas.openxmlformats.org/officeDocument/2006/relationships/hyperlink" Target="https://bulbapedia.bulbagarden.net/wiki/Haxorus_(Unified_Minds_156)" TargetMode="External"/><Relationship Id="rId161" Type="http://schemas.openxmlformats.org/officeDocument/2006/relationships/hyperlink" Target="https://bulbapedia.bulbagarden.net/wiki/Tornadus_(Unified_Minds_178)" TargetMode="External"/><Relationship Id="rId182" Type="http://schemas.openxmlformats.org/officeDocument/2006/relationships/hyperlink" Target="https://bulbapedia.bulbagarden.net/wiki/Grimsley_(Unified_Minds_199)" TargetMode="External"/><Relationship Id="rId6" Type="http://schemas.openxmlformats.org/officeDocument/2006/relationships/hyperlink" Target="https://bulbapedia.bulbagarden.net/wiki/Sewaddle_(Unified_Minds_7)" TargetMode="External"/><Relationship Id="rId23" Type="http://schemas.openxmlformats.org/officeDocument/2006/relationships/hyperlink" Target="https://bulbapedia.bulbagarden.net/wiki/Camerupt_(Unified_Minds_24)" TargetMode="External"/><Relationship Id="rId119" Type="http://schemas.openxmlformats.org/officeDocument/2006/relationships/hyperlink" Target="https://bulbapedia.bulbagarden.net/wiki/Sneasel_(Unified_Minds_131)" TargetMode="External"/><Relationship Id="rId44" Type="http://schemas.openxmlformats.org/officeDocument/2006/relationships/hyperlink" Target="https://bulbapedia.bulbagarden.net/wiki/Dewpider_(Unified_Minds_48)" TargetMode="External"/><Relationship Id="rId65" Type="http://schemas.openxmlformats.org/officeDocument/2006/relationships/hyperlink" Target="https://bulbapedia.bulbagarden.net/wiki/Xurkitree_(Unified_Minds_70)" TargetMode="External"/><Relationship Id="rId86" Type="http://schemas.openxmlformats.org/officeDocument/2006/relationships/hyperlink" Target="https://bulbapedia.bulbagarden.net/wiki/Aegislash_(Unified_Minds_95)" TargetMode="External"/><Relationship Id="rId130" Type="http://schemas.openxmlformats.org/officeDocument/2006/relationships/hyperlink" Target="https://bulbapedia.bulbagarden.net/wiki/Whimsicott_(Unified_Minds_144)" TargetMode="External"/><Relationship Id="rId151" Type="http://schemas.openxmlformats.org/officeDocument/2006/relationships/hyperlink" Target="https://bulbapedia.bulbagarden.net/wiki/Slakoth_(Unified_Minds_168)" TargetMode="External"/><Relationship Id="rId172" Type="http://schemas.openxmlformats.org/officeDocument/2006/relationships/hyperlink" Target="https://bulbapedia.bulbagarden.net/wiki/Bug_Catcher_(Unified_Minds_189)" TargetMode="External"/><Relationship Id="rId193" Type="http://schemas.openxmlformats.org/officeDocument/2006/relationships/hyperlink" Target="https://bulbapedia.bulbagarden.net/wiki/Tag_Switch_(Unified_Minds_209)" TargetMode="External"/><Relationship Id="rId207" Type="http://schemas.openxmlformats.org/officeDocument/2006/relationships/hyperlink" Target="https://bulbapedia.bulbagarden.net/wiki/Reset_Stamp_(Unified_Minds_253)" TargetMode="External"/><Relationship Id="rId13" Type="http://schemas.openxmlformats.org/officeDocument/2006/relationships/hyperlink" Target="https://bulbapedia.bulbagarden.net/wiki/Amoonguss_(Unified_Minds_14)" TargetMode="External"/><Relationship Id="rId109" Type="http://schemas.openxmlformats.org/officeDocument/2006/relationships/hyperlink" Target="https://bulbapedia.bulbagarden.net/wiki/Excadrill_(Unified_Minds_119)" TargetMode="External"/><Relationship Id="rId34" Type="http://schemas.openxmlformats.org/officeDocument/2006/relationships/hyperlink" Target="https://bulbapedia.bulbagarden.net/wiki/Snorunt_(Unified_Minds_37)" TargetMode="External"/><Relationship Id="rId55" Type="http://schemas.openxmlformats.org/officeDocument/2006/relationships/hyperlink" Target="https://bulbapedia.bulbagarden.net/wiki/Magnezone_(Unified_Minds_60)" TargetMode="External"/><Relationship Id="rId76" Type="http://schemas.openxmlformats.org/officeDocument/2006/relationships/hyperlink" Target="https://bulbapedia.bulbagarden.net/wiki/Azelf_(Unified_Minds_85)" TargetMode="External"/><Relationship Id="rId97" Type="http://schemas.openxmlformats.org/officeDocument/2006/relationships/hyperlink" Target="https://bulbapedia.bulbagarden.net/wiki/Heracross_(Unified_Minds_107)" TargetMode="External"/><Relationship Id="rId120" Type="http://schemas.openxmlformats.org/officeDocument/2006/relationships/hyperlink" Target="https://bulbapedia.bulbagarden.net/wiki/Sableye_(Unified_Minds_133)" TargetMode="External"/><Relationship Id="rId141" Type="http://schemas.openxmlformats.org/officeDocument/2006/relationships/hyperlink" Target="https://bulbapedia.bulbagarden.net/wiki/Druddigon_(Unified_Minds_157)" TargetMode="External"/><Relationship Id="rId7" Type="http://schemas.openxmlformats.org/officeDocument/2006/relationships/hyperlink" Target="https://bulbapedia.bulbagarden.net/wiki/Swadloon_(Unified_Minds_8)" TargetMode="External"/><Relationship Id="rId162" Type="http://schemas.openxmlformats.org/officeDocument/2006/relationships/hyperlink" Target="https://bulbapedia.bulbagarden.net/wiki/Fletchling_(Unified_Minds_179)" TargetMode="External"/><Relationship Id="rId183" Type="http://schemas.openxmlformats.org/officeDocument/2006/relationships/hyperlink" Target="https://bulbapedia.bulbagarden.net/wiki/Hapu_(Unified_Minds_200)" TargetMode="External"/><Relationship Id="rId24" Type="http://schemas.openxmlformats.org/officeDocument/2006/relationships/hyperlink" Target="https://bulbapedia.bulbagarden.net/wiki/Victini_(Unified_Minds_26)" TargetMode="External"/><Relationship Id="rId45" Type="http://schemas.openxmlformats.org/officeDocument/2006/relationships/hyperlink" Target="https://bulbapedia.bulbagarden.net/wiki/Araquanid_(Unified_Minds_49)" TargetMode="External"/><Relationship Id="rId66" Type="http://schemas.openxmlformats.org/officeDocument/2006/relationships/hyperlink" Target="https://bulbapedia.bulbagarden.net/wiki/Exeggcute_(Unified_Minds_73)" TargetMode="External"/><Relationship Id="rId87" Type="http://schemas.openxmlformats.org/officeDocument/2006/relationships/hyperlink" Target="https://bulbapedia.bulbagarden.net/wiki/Mareanie_(Unified_Minds_96)" TargetMode="External"/><Relationship Id="rId110" Type="http://schemas.openxmlformats.org/officeDocument/2006/relationships/hyperlink" Target="https://bulbapedia.bulbagarden.net/wiki/Archen_(Unified_Minds_120)" TargetMode="External"/><Relationship Id="rId131" Type="http://schemas.openxmlformats.org/officeDocument/2006/relationships/hyperlink" Target="https://bulbapedia.bulbagarden.net/wiki/Dedenne_(Unified_Minds_145)" TargetMode="External"/><Relationship Id="rId61" Type="http://schemas.openxmlformats.org/officeDocument/2006/relationships/hyperlink" Target="https://bulbapedia.bulbagarden.net/wiki/Eelektross_(Unified_Minds_66)" TargetMode="External"/><Relationship Id="rId82" Type="http://schemas.openxmlformats.org/officeDocument/2006/relationships/hyperlink" Target="https://bulbapedia.bulbagarden.net/wiki/Beheeyem_(Unified_Minds_91)" TargetMode="External"/><Relationship Id="rId152" Type="http://schemas.openxmlformats.org/officeDocument/2006/relationships/hyperlink" Target="https://bulbapedia.bulbagarden.net/wiki/Vigoroth_(Unified_Minds_169)" TargetMode="External"/><Relationship Id="rId173" Type="http://schemas.openxmlformats.org/officeDocument/2006/relationships/hyperlink" Target="https://bulbapedia.bulbagarden.net/wiki/Channeler_(Unified_Minds_190)" TargetMode="External"/><Relationship Id="rId194" Type="http://schemas.openxmlformats.org/officeDocument/2006/relationships/hyperlink" Target="https://bulbapedia.bulbagarden.net/wiki/Unidentified_Fossil_(Unified_Minds_210)" TargetMode="External"/><Relationship Id="rId199" Type="http://schemas.openxmlformats.org/officeDocument/2006/relationships/hyperlink" Target="https://bulbapedia.bulbagarden.net/wiki/Channeler_(Unified_Minds_232)" TargetMode="External"/><Relationship Id="rId203" Type="http://schemas.openxmlformats.org/officeDocument/2006/relationships/hyperlink" Target="https://bulbapedia.bulbagarden.net/wiki/Pok%C3%A9_Maniac_(Unified_Minds_236)" TargetMode="External"/><Relationship Id="rId208" Type="http://schemas.openxmlformats.org/officeDocument/2006/relationships/hyperlink" Target="https://bulbapedia.bulbagarden.net/wiki/Tag_Switch_(Unified_Minds_254)" TargetMode="External"/><Relationship Id="rId19" Type="http://schemas.openxmlformats.org/officeDocument/2006/relationships/hyperlink" Target="https://bulbapedia.bulbagarden.net/wiki/Dhelmise_(Unified_Minds_20)" TargetMode="External"/><Relationship Id="rId14" Type="http://schemas.openxmlformats.org/officeDocument/2006/relationships/hyperlink" Target="https://bulbapedia.bulbagarden.net/wiki/Fomantis_(Unified_Minds_15)" TargetMode="External"/><Relationship Id="rId30" Type="http://schemas.openxmlformats.org/officeDocument/2006/relationships/hyperlink" Target="https://bulbapedia.bulbagarden.net/wiki/Talonflame_(Unified_Minds_32)" TargetMode="External"/><Relationship Id="rId35" Type="http://schemas.openxmlformats.org/officeDocument/2006/relationships/hyperlink" Target="https://bulbapedia.bulbagarden.net/wiki/Froslass_(Unified_Minds_38)" TargetMode="External"/><Relationship Id="rId56" Type="http://schemas.openxmlformats.org/officeDocument/2006/relationships/hyperlink" Target="https://bulbapedia.bulbagarden.net/wiki/Joltik_(Unified_Minds_61)" TargetMode="External"/><Relationship Id="rId77" Type="http://schemas.openxmlformats.org/officeDocument/2006/relationships/hyperlink" Target="https://bulbapedia.bulbagarden.net/wiki/Giratina_(Unified_Minds_86)" TargetMode="External"/><Relationship Id="rId100" Type="http://schemas.openxmlformats.org/officeDocument/2006/relationships/hyperlink" Target="https://bulbapedia.bulbagarden.net/wiki/Medicham_(Unified_Minds_110)" TargetMode="External"/><Relationship Id="rId105" Type="http://schemas.openxmlformats.org/officeDocument/2006/relationships/hyperlink" Target="https://bulbapedia.bulbagarden.net/wiki/Riolu_(Unified_Minds_115)" TargetMode="External"/><Relationship Id="rId126" Type="http://schemas.openxmlformats.org/officeDocument/2006/relationships/hyperlink" Target="https://bulbapedia.bulbagarden.net/wiki/Yveltal_(Unified_Minds_139)" TargetMode="External"/><Relationship Id="rId147" Type="http://schemas.openxmlformats.org/officeDocument/2006/relationships/hyperlink" Target="https://bulbapedia.bulbagarden.net/wiki/Tauros_(Unified_Minds_164)" TargetMode="External"/><Relationship Id="rId168" Type="http://schemas.openxmlformats.org/officeDocument/2006/relationships/hyperlink" Target="https://bulbapedia.bulbagarden.net/wiki/Komala_(Unified_Minds_185)" TargetMode="External"/><Relationship Id="rId8" Type="http://schemas.openxmlformats.org/officeDocument/2006/relationships/hyperlink" Target="https://bulbapedia.bulbagarden.net/wiki/Leavanny_(Unified_Minds_9)" TargetMode="External"/><Relationship Id="rId51" Type="http://schemas.openxmlformats.org/officeDocument/2006/relationships/hyperlink" Target="https://bulbapedia.bulbagarden.net/wiki/Pikachu_(Unified_Minds_56)" TargetMode="External"/><Relationship Id="rId72" Type="http://schemas.openxmlformats.org/officeDocument/2006/relationships/hyperlink" Target="https://bulbapedia.bulbagarden.net/wiki/Drifblim_(Unified_Minds_81)" TargetMode="External"/><Relationship Id="rId93" Type="http://schemas.openxmlformats.org/officeDocument/2006/relationships/hyperlink" Target="https://bulbapedia.bulbagarden.net/wiki/Poipole_(Unified_Minds_102)" TargetMode="External"/><Relationship Id="rId98" Type="http://schemas.openxmlformats.org/officeDocument/2006/relationships/hyperlink" Target="https://bulbapedia.bulbagarden.net/wiki/Breloom_(Unified_Minds_108)" TargetMode="External"/><Relationship Id="rId121" Type="http://schemas.openxmlformats.org/officeDocument/2006/relationships/hyperlink" Target="https://bulbapedia.bulbagarden.net/wiki/Drapion_(Unified_Minds_134)" TargetMode="External"/><Relationship Id="rId142" Type="http://schemas.openxmlformats.org/officeDocument/2006/relationships/hyperlink" Target="https://bulbapedia.bulbagarden.net/wiki/Noibat_(Unified_Minds_158)" TargetMode="External"/><Relationship Id="rId163" Type="http://schemas.openxmlformats.org/officeDocument/2006/relationships/hyperlink" Target="https://bulbapedia.bulbagarden.net/wiki/Yungoos_(Unified_Minds_180)" TargetMode="External"/><Relationship Id="rId184" Type="http://schemas.openxmlformats.org/officeDocument/2006/relationships/hyperlink" Target="https://bulbapedia.bulbagarden.net/wiki/Karate_Belt_(Unified_Minds_201)" TargetMode="External"/><Relationship Id="rId189" Type="http://schemas.openxmlformats.org/officeDocument/2006/relationships/hyperlink" Target="https://bulbapedia.bulbagarden.net/wiki/Reset_Stamp_(Unified_Minds_206)" TargetMode="External"/><Relationship Id="rId3" Type="http://schemas.openxmlformats.org/officeDocument/2006/relationships/hyperlink" Target="https://bulbapedia.bulbagarden.net/wiki/Celebi_(Unified_Minds_4)" TargetMode="External"/><Relationship Id="rId25" Type="http://schemas.openxmlformats.org/officeDocument/2006/relationships/hyperlink" Target="https://bulbapedia.bulbagarden.net/wiki/Litwick_(Unified_Minds_27)" TargetMode="External"/><Relationship Id="rId46" Type="http://schemas.openxmlformats.org/officeDocument/2006/relationships/hyperlink" Target="https://bulbapedia.bulbagarden.net/wiki/Wimpod_(Unified_Minds_50)" TargetMode="External"/><Relationship Id="rId67" Type="http://schemas.openxmlformats.org/officeDocument/2006/relationships/hyperlink" Target="https://bulbapedia.bulbagarden.net/wiki/Exeggutor_(Unified_Minds_74)" TargetMode="External"/><Relationship Id="rId116" Type="http://schemas.openxmlformats.org/officeDocument/2006/relationships/hyperlink" Target="https://bulbapedia.bulbagarden.net/w/index.php?title=Murkrow_(Unified_Minds_128)&amp;action=edit&amp;redlink=1" TargetMode="External"/><Relationship Id="rId137" Type="http://schemas.openxmlformats.org/officeDocument/2006/relationships/hyperlink" Target="https://bulbapedia.bulbagarden.net/wiki/Latias_(Unified_Minds_153)" TargetMode="External"/><Relationship Id="rId158" Type="http://schemas.openxmlformats.org/officeDocument/2006/relationships/hyperlink" Target="https://bulbapedia.bulbagarden.net/wiki/Tranquill_(Unified_Minds_175)" TargetMode="External"/><Relationship Id="rId20" Type="http://schemas.openxmlformats.org/officeDocument/2006/relationships/hyperlink" Target="https://bulbapedia.bulbagarden.net/wiki/Magmar_(Unified_Minds_21)" TargetMode="External"/><Relationship Id="rId41" Type="http://schemas.openxmlformats.org/officeDocument/2006/relationships/hyperlink" Target="https://bulbapedia.bulbagarden.net/wiki/Tirtouga_(Unified_Minds_44)" TargetMode="External"/><Relationship Id="rId62" Type="http://schemas.openxmlformats.org/officeDocument/2006/relationships/hyperlink" Target="https://bulbapedia.bulbagarden.net/wiki/Stunfisk_(Unified_Minds_67)" TargetMode="External"/><Relationship Id="rId83" Type="http://schemas.openxmlformats.org/officeDocument/2006/relationships/hyperlink" Target="https://bulbapedia.bulbagarden.net/wiki/Honedge_(Unified_Minds_92)" TargetMode="External"/><Relationship Id="rId88" Type="http://schemas.openxmlformats.org/officeDocument/2006/relationships/hyperlink" Target="https://bulbapedia.bulbagarden.net/wiki/Toxapex_(Unified_Minds_97)" TargetMode="External"/><Relationship Id="rId111" Type="http://schemas.openxmlformats.org/officeDocument/2006/relationships/hyperlink" Target="https://bulbapedia.bulbagarden.net/wiki/Archeops_(Unified_Minds_121)" TargetMode="External"/><Relationship Id="rId132" Type="http://schemas.openxmlformats.org/officeDocument/2006/relationships/hyperlink" Target="https://bulbapedia.bulbagarden.net/w/index.php?title=Dratini_(Unified_Minds_147)&amp;action=edit&amp;redlink=1" TargetMode="External"/><Relationship Id="rId153" Type="http://schemas.openxmlformats.org/officeDocument/2006/relationships/hyperlink" Target="https://bulbapedia.bulbagarden.net/wiki/Slaking_(Unified_Minds_170)" TargetMode="External"/><Relationship Id="rId174" Type="http://schemas.openxmlformats.org/officeDocument/2006/relationships/hyperlink" Target="https://bulbapedia.bulbagarden.net/wiki/Cherish_Ball_(Unified_Minds_191)" TargetMode="External"/><Relationship Id="rId179" Type="http://schemas.openxmlformats.org/officeDocument/2006/relationships/hyperlink" Target="https://bulbapedia.bulbagarden.net/wiki/Giant_Bomb_(Unified_Minds_196)" TargetMode="External"/><Relationship Id="rId195" Type="http://schemas.openxmlformats.org/officeDocument/2006/relationships/hyperlink" Target="https://bulbapedia.bulbagarden.net/wiki/U-Turn_Board_(Unified_Minds_211)" TargetMode="External"/><Relationship Id="rId209" Type="http://schemas.openxmlformats.org/officeDocument/2006/relationships/hyperlink" Target="https://bulbapedia.bulbagarden.net/wiki/U-Turn_Board_(Unified_Minds_255)" TargetMode="External"/><Relationship Id="rId190" Type="http://schemas.openxmlformats.org/officeDocument/2006/relationships/hyperlink" Target="https://bulbapedia.bulbagarden.net/wiki/Reset_Stamp_(Unified_Minds_206)" TargetMode="External"/><Relationship Id="rId204" Type="http://schemas.openxmlformats.org/officeDocument/2006/relationships/hyperlink" Target="https://bulbapedia.bulbagarden.net/wiki/Cherish_Ball_(Unified_Minds_250)" TargetMode="External"/><Relationship Id="rId15" Type="http://schemas.openxmlformats.org/officeDocument/2006/relationships/hyperlink" Target="https://bulbapedia.bulbagarden.net/wiki/Lurantis_(Unified_Minds_16)" TargetMode="External"/><Relationship Id="rId36" Type="http://schemas.openxmlformats.org/officeDocument/2006/relationships/hyperlink" Target="https://bulbapedia.bulbagarden.net/wiki/Finneon_(Unified_Minds_39)" TargetMode="External"/><Relationship Id="rId57" Type="http://schemas.openxmlformats.org/officeDocument/2006/relationships/hyperlink" Target="https://bulbapedia.bulbagarden.net/wiki/Galvantula_(Unified_Minds_62)" TargetMode="External"/><Relationship Id="rId106" Type="http://schemas.openxmlformats.org/officeDocument/2006/relationships/hyperlink" Target="https://bulbapedia.bulbagarden.net/wiki/Riolu_(Unified_Minds_116)" TargetMode="External"/><Relationship Id="rId127" Type="http://schemas.openxmlformats.org/officeDocument/2006/relationships/hyperlink" Target="https://bulbapedia.bulbagarden.net/wiki/Hoopa_(Unified_Minds_140)" TargetMode="External"/><Relationship Id="rId10" Type="http://schemas.openxmlformats.org/officeDocument/2006/relationships/hyperlink" Target="https://bulbapedia.bulbagarden.net/wiki/Crustle_(Unified_Minds_11)" TargetMode="External"/><Relationship Id="rId31" Type="http://schemas.openxmlformats.org/officeDocument/2006/relationships/hyperlink" Target="https://bulbapedia.bulbagarden.net/wiki/Salandit_(Unified_Minds_33)" TargetMode="External"/><Relationship Id="rId52" Type="http://schemas.openxmlformats.org/officeDocument/2006/relationships/hyperlink" Target="https://bulbapedia.bulbagarden.net/wiki/Alolan_Raichu_(Unified_Minds_57)" TargetMode="External"/><Relationship Id="rId73" Type="http://schemas.openxmlformats.org/officeDocument/2006/relationships/hyperlink" Target="https://bulbapedia.bulbagarden.net/wiki/Skorupi_(Unified_Minds_82)" TargetMode="External"/><Relationship Id="rId78" Type="http://schemas.openxmlformats.org/officeDocument/2006/relationships/hyperlink" Target="https://bulbapedia.bulbagarden.net/wiki/Cresselia_(Unified_Minds_87)" TargetMode="External"/><Relationship Id="rId94" Type="http://schemas.openxmlformats.org/officeDocument/2006/relationships/hyperlink" Target="https://bulbapedia.bulbagarden.net/wiki/Onix_(Unified_Minds_103)" TargetMode="External"/><Relationship Id="rId99" Type="http://schemas.openxmlformats.org/officeDocument/2006/relationships/hyperlink" Target="https://bulbapedia.bulbagarden.net/wiki/Meditite_(Unified_Minds_109)" TargetMode="External"/><Relationship Id="rId101" Type="http://schemas.openxmlformats.org/officeDocument/2006/relationships/hyperlink" Target="https://bulbapedia.bulbagarden.net/wiki/Relicanth_(Unified_Minds_111)" TargetMode="External"/><Relationship Id="rId122" Type="http://schemas.openxmlformats.org/officeDocument/2006/relationships/hyperlink" Target="https://bulbapedia.bulbagarden.net/wiki/Purrloin_(Unified_Minds_135)" TargetMode="External"/><Relationship Id="rId143" Type="http://schemas.openxmlformats.org/officeDocument/2006/relationships/hyperlink" Target="https://bulbapedia.bulbagarden.net/wiki/Noivern_(Unified_Minds_159)" TargetMode="External"/><Relationship Id="rId148" Type="http://schemas.openxmlformats.org/officeDocument/2006/relationships/hyperlink" Target="https://bulbapedia.bulbagarden.net/wiki/Hoothoot_(Unified_Minds_165)" TargetMode="External"/><Relationship Id="rId164" Type="http://schemas.openxmlformats.org/officeDocument/2006/relationships/hyperlink" Target="https://bulbapedia.bulbagarden.net/wiki/Gumshoos_(Unified_Minds_181)" TargetMode="External"/><Relationship Id="rId169" Type="http://schemas.openxmlformats.org/officeDocument/2006/relationships/hyperlink" Target="https://bulbapedia.bulbagarden.net/wiki/Blaine%27s_Quiz_Show_(Unified_Minds_186)" TargetMode="External"/><Relationship Id="rId185" Type="http://schemas.openxmlformats.org/officeDocument/2006/relationships/hyperlink" Target="https://bulbapedia.bulbagarden.net/wiki/Misty%27s_Favor_(Unified_Minds_202)" TargetMode="External"/><Relationship Id="rId4" Type="http://schemas.openxmlformats.org/officeDocument/2006/relationships/hyperlink" Target="https://bulbapedia.bulbagarden.net/wiki/Shroomish_(Unified_Minds_5)" TargetMode="External"/><Relationship Id="rId9" Type="http://schemas.openxmlformats.org/officeDocument/2006/relationships/hyperlink" Target="https://bulbapedia.bulbagarden.net/wiki/Dwebble_(Unified_Minds_10)" TargetMode="External"/><Relationship Id="rId180" Type="http://schemas.openxmlformats.org/officeDocument/2006/relationships/hyperlink" Target="https://bulbapedia.bulbagarden.net/wiki/Giant_Hearth_(Unified_Minds_197)" TargetMode="External"/><Relationship Id="rId210" Type="http://schemas.openxmlformats.org/officeDocument/2006/relationships/hyperlink" Target="https://bulbapedia.bulbagarden.net/wiki/Viridian_Forest_(Unified_Minds_256)" TargetMode="External"/><Relationship Id="rId26" Type="http://schemas.openxmlformats.org/officeDocument/2006/relationships/hyperlink" Target="https://bulbapedia.bulbagarden.net/wiki/Litwick_(Unified_Minds_28)" TargetMode="External"/><Relationship Id="rId47" Type="http://schemas.openxmlformats.org/officeDocument/2006/relationships/hyperlink" Target="https://bulbapedia.bulbagarden.net/wiki/Golisopod_(Unified_Minds_51)" TargetMode="External"/><Relationship Id="rId68" Type="http://schemas.openxmlformats.org/officeDocument/2006/relationships/hyperlink" Target="https://bulbapedia.bulbagarden.net/wiki/Alolan_Marowak_(Unified_Minds_75)" TargetMode="External"/><Relationship Id="rId89" Type="http://schemas.openxmlformats.org/officeDocument/2006/relationships/hyperlink" Target="https://bulbapedia.bulbagarden.net/wiki/Salandit_(Unified_Minds_98)" TargetMode="External"/><Relationship Id="rId112" Type="http://schemas.openxmlformats.org/officeDocument/2006/relationships/hyperlink" Target="https://bulbapedia.bulbagarden.net/wiki/Terrakion_(Unified_Minds_122)" TargetMode="External"/><Relationship Id="rId133" Type="http://schemas.openxmlformats.org/officeDocument/2006/relationships/hyperlink" Target="https://bulbapedia.bulbagarden.net/w/index.php?title=Dratini_(Unified_Minds_148)&amp;action=edit&amp;redlink=1" TargetMode="External"/><Relationship Id="rId154" Type="http://schemas.openxmlformats.org/officeDocument/2006/relationships/hyperlink" Target="https://bulbapedia.bulbagarden.net/wiki/Bidoof_(Unified_Minds_171)" TargetMode="External"/><Relationship Id="rId175" Type="http://schemas.openxmlformats.org/officeDocument/2006/relationships/hyperlink" Target="https://bulbapedia.bulbagarden.net/wiki/Coach_Trainer_(Unified_Minds_192)" TargetMode="External"/><Relationship Id="rId196" Type="http://schemas.openxmlformats.org/officeDocument/2006/relationships/hyperlink" Target="https://bulbapedia.bulbagarden.net/wiki/Recycle_Energy_(Unified_Minds_212)" TargetMode="External"/><Relationship Id="rId200" Type="http://schemas.openxmlformats.org/officeDocument/2006/relationships/hyperlink" Target="https://bulbapedia.bulbagarden.net/wiki/Coach_Trainer_(Unified_Minds_233)" TargetMode="External"/><Relationship Id="rId16" Type="http://schemas.openxmlformats.org/officeDocument/2006/relationships/hyperlink" Target="https://bulbapedia.bulbagarden.net/wiki/Bounsweet_(Unified_Minds_17)" TargetMode="External"/><Relationship Id="rId37" Type="http://schemas.openxmlformats.org/officeDocument/2006/relationships/hyperlink" Target="https://bulbapedia.bulbagarden.net/wiki/Lumineon_(Unified_Minds_40)" TargetMode="External"/><Relationship Id="rId58" Type="http://schemas.openxmlformats.org/officeDocument/2006/relationships/hyperlink" Target="https://bulbapedia.bulbagarden.net/wiki/Tynamo_(Unified_Minds_63)" TargetMode="External"/><Relationship Id="rId79" Type="http://schemas.openxmlformats.org/officeDocument/2006/relationships/hyperlink" Target="https://bulbapedia.bulbagarden.net/wiki/Munna_(Unified_Minds_88)" TargetMode="External"/><Relationship Id="rId102" Type="http://schemas.openxmlformats.org/officeDocument/2006/relationships/hyperlink" Target="https://bulbapedia.bulbagarden.net/wiki/Gible_(Unified_Minds_112)" TargetMode="External"/><Relationship Id="rId123" Type="http://schemas.openxmlformats.org/officeDocument/2006/relationships/hyperlink" Target="https://bulbapedia.bulbagarden.net/wiki/Liepard_(Unified_Minds_136)" TargetMode="External"/><Relationship Id="rId144" Type="http://schemas.openxmlformats.org/officeDocument/2006/relationships/hyperlink" Target="https://bulbapedia.bulbagarden.net/wiki/Lickitung_(Unified_Minds_161)" TargetMode="External"/><Relationship Id="rId90" Type="http://schemas.openxmlformats.org/officeDocument/2006/relationships/hyperlink" Target="https://bulbapedia.bulbagarden.net/wiki/Salazzle_(Unified_Minds_99)" TargetMode="External"/><Relationship Id="rId165" Type="http://schemas.openxmlformats.org/officeDocument/2006/relationships/hyperlink" Target="https://bulbapedia.bulbagarden.net/wiki/Oranguru_(Unified_Minds_182)" TargetMode="External"/><Relationship Id="rId186" Type="http://schemas.openxmlformats.org/officeDocument/2006/relationships/hyperlink" Target="https://bulbapedia.bulbagarden.net/wiki/Normalium_Z_(Unified_Minds_203)" TargetMode="External"/><Relationship Id="rId211" Type="http://schemas.openxmlformats.org/officeDocument/2006/relationships/hyperlink" Target="https://bulbapedia.bulbagarden.net/wiki/Recycle_Energy_(Unified_Minds_257)" TargetMode="External"/><Relationship Id="rId27" Type="http://schemas.openxmlformats.org/officeDocument/2006/relationships/hyperlink" Target="https://bulbapedia.bulbagarden.net/wiki/Lampent_(Unified_Minds_29)" TargetMode="External"/><Relationship Id="rId48" Type="http://schemas.openxmlformats.org/officeDocument/2006/relationships/hyperlink" Target="https://bulbapedia.bulbagarden.net/wiki/Pyukumuku_(Unified_Minds_52)" TargetMode="External"/><Relationship Id="rId69" Type="http://schemas.openxmlformats.org/officeDocument/2006/relationships/hyperlink" Target="https://bulbapedia.bulbagarden.net/wiki/Jynx_(Unified_Minds_76)" TargetMode="External"/><Relationship Id="rId113" Type="http://schemas.openxmlformats.org/officeDocument/2006/relationships/hyperlink" Target="https://bulbapedia.bulbagarden.net/wiki/Meloetta_(Unified_Minds_123)" TargetMode="External"/><Relationship Id="rId134" Type="http://schemas.openxmlformats.org/officeDocument/2006/relationships/hyperlink" Target="https://bulbapedia.bulbagarden.net/w/index.php?title=Dragonair_(Unified_Minds_149)&amp;action=edit&amp;redlink=1" TargetMode="External"/><Relationship Id="rId80" Type="http://schemas.openxmlformats.org/officeDocument/2006/relationships/hyperlink" Target="https://bulbapedia.bulbagarden.net/wiki/Musharna_(Unified_Minds_89)" TargetMode="External"/><Relationship Id="rId155" Type="http://schemas.openxmlformats.org/officeDocument/2006/relationships/hyperlink" Target="https://bulbapedia.bulbagarden.net/wiki/Bibarel_(Unified_Minds_172)" TargetMode="External"/><Relationship Id="rId176" Type="http://schemas.openxmlformats.org/officeDocument/2006/relationships/hyperlink" Target="https://bulbapedia.bulbagarden.net/wiki/Dark_City_(Unified_Minds_193)" TargetMode="External"/><Relationship Id="rId197" Type="http://schemas.openxmlformats.org/officeDocument/2006/relationships/hyperlink" Target="https://bulbapedia.bulbagarden.net/wiki/Weakness_Guard_Energy_(Unified_Minds_213)" TargetMode="External"/><Relationship Id="rId201" Type="http://schemas.openxmlformats.org/officeDocument/2006/relationships/hyperlink" Target="https://bulbapedia.bulbagarden.net/wiki/Grimsley_(Unified_Minds_234)" TargetMode="External"/><Relationship Id="rId17" Type="http://schemas.openxmlformats.org/officeDocument/2006/relationships/hyperlink" Target="https://bulbapedia.bulbagarden.net/wiki/Steenee_(Unified_Minds_18)" TargetMode="External"/><Relationship Id="rId38" Type="http://schemas.openxmlformats.org/officeDocument/2006/relationships/hyperlink" Target="https://bulbapedia.bulbagarden.net/wiki/Snover_(Unified_Minds_41)" TargetMode="External"/><Relationship Id="rId59" Type="http://schemas.openxmlformats.org/officeDocument/2006/relationships/hyperlink" Target="https://bulbapedia.bulbagarden.net/wiki/Tynamo_(Unified_Minds_64)" TargetMode="External"/><Relationship Id="rId103" Type="http://schemas.openxmlformats.org/officeDocument/2006/relationships/hyperlink" Target="https://bulbapedia.bulbagarden.net/wiki/Gabite_(Unified_Minds_113)" TargetMode="External"/><Relationship Id="rId124" Type="http://schemas.openxmlformats.org/officeDocument/2006/relationships/hyperlink" Target="https://bulbapedia.bulbagarden.net/wiki/Scraggy_(Unified_Minds_137)" TargetMode="External"/><Relationship Id="rId70" Type="http://schemas.openxmlformats.org/officeDocument/2006/relationships/hyperlink" Target="https://bulbapedia.bulbagarden.net/wiki/Wynaut_(Unified_Minds_77)" TargetMode="External"/><Relationship Id="rId91" Type="http://schemas.openxmlformats.org/officeDocument/2006/relationships/hyperlink" Target="https://bulbapedia.bulbagarden.net/wiki/Cosmog_(Unified_Minds_100)" TargetMode="External"/><Relationship Id="rId145" Type="http://schemas.openxmlformats.org/officeDocument/2006/relationships/hyperlink" Target="https://bulbapedia.bulbagarden.net/wiki/Lickilicky_(Unified_Minds_162)" TargetMode="External"/><Relationship Id="rId166" Type="http://schemas.openxmlformats.org/officeDocument/2006/relationships/hyperlink" Target="https://bulbapedia.bulbagarden.net/wiki/Type:_Null_(Unified_Minds_183)" TargetMode="External"/><Relationship Id="rId187" Type="http://schemas.openxmlformats.org/officeDocument/2006/relationships/hyperlink" Target="https://bulbapedia.bulbagarden.net/wiki/Pok%C3%A9_Maniac_(Unified_Minds_204)" TargetMode="External"/><Relationship Id="rId1" Type="http://schemas.openxmlformats.org/officeDocument/2006/relationships/hyperlink" Target="https://bulbapedia.bulbagarden.net/wiki/Yanma_(Unified_Minds_2)" TargetMode="External"/><Relationship Id="rId212" Type="http://schemas.openxmlformats.org/officeDocument/2006/relationships/hyperlink" Target="https://bulbapedia.bulbagarden.net/wiki/Weakness_Guard_Energy_(Unified_Minds_258)" TargetMode="External"/><Relationship Id="rId28" Type="http://schemas.openxmlformats.org/officeDocument/2006/relationships/hyperlink" Target="https://bulbapedia.bulbagarden.net/wiki/Chandelure_(Unified_Minds_30)" TargetMode="External"/><Relationship Id="rId49" Type="http://schemas.openxmlformats.org/officeDocument/2006/relationships/hyperlink" Target="https://bulbapedia.bulbagarden.net/wiki/Tapu_Fini_(Unified_Minds_53)" TargetMode="External"/><Relationship Id="rId114" Type="http://schemas.openxmlformats.org/officeDocument/2006/relationships/hyperlink" Target="https://bulbapedia.bulbagarden.net/wiki/Zygarde_(Unified_Minds_124)" TargetMode="External"/><Relationship Id="rId60" Type="http://schemas.openxmlformats.org/officeDocument/2006/relationships/hyperlink" Target="https://bulbapedia.bulbagarden.net/wiki/Eelektrik_(Unified_Minds_65)" TargetMode="External"/><Relationship Id="rId81" Type="http://schemas.openxmlformats.org/officeDocument/2006/relationships/hyperlink" Target="https://bulbapedia.bulbagarden.net/wiki/Elgyem_(Unified_Minds_90)" TargetMode="External"/><Relationship Id="rId135" Type="http://schemas.openxmlformats.org/officeDocument/2006/relationships/hyperlink" Target="https://bulbapedia.bulbagarden.net/w/index.php?title=Dragonair_(Unified_Minds_150)&amp;action=edit&amp;redlink=1" TargetMode="External"/><Relationship Id="rId156" Type="http://schemas.openxmlformats.org/officeDocument/2006/relationships/hyperlink" Target="https://bulbapedia.bulbagarden.net/wiki/Munchlax_(Unified_Minds_173)" TargetMode="External"/><Relationship Id="rId177" Type="http://schemas.openxmlformats.org/officeDocument/2006/relationships/hyperlink" Target="https://bulbapedia.bulbagarden.net/wiki/Ear-Ringing_Bell_(Unified_Minds_194)" TargetMode="External"/><Relationship Id="rId198" Type="http://schemas.openxmlformats.org/officeDocument/2006/relationships/hyperlink" Target="https://bulbapedia.bulbagarden.net/wiki/Blue%27s_Tactics_(Unified_Minds_231)" TargetMode="External"/><Relationship Id="rId202" Type="http://schemas.openxmlformats.org/officeDocument/2006/relationships/hyperlink" Target="https://bulbapedia.bulbagarden.net/wiki/Misty%27s_Favor_(Unified_Minds_235)" TargetMode="External"/><Relationship Id="rId18" Type="http://schemas.openxmlformats.org/officeDocument/2006/relationships/hyperlink" Target="https://bulbapedia.bulbagarden.net/wiki/Tsareena_(Unified_Minds_19)" TargetMode="External"/><Relationship Id="rId39" Type="http://schemas.openxmlformats.org/officeDocument/2006/relationships/hyperlink" Target="https://bulbapedia.bulbagarden.net/wiki/Abomasnow_(Unified_Minds_42)" TargetMode="External"/><Relationship Id="rId50" Type="http://schemas.openxmlformats.org/officeDocument/2006/relationships/hyperlink" Target="https://bulbapedia.bulbagarden.net/wiki/Pikachu_(Unified_Minds_55)" TargetMode="External"/><Relationship Id="rId104" Type="http://schemas.openxmlformats.org/officeDocument/2006/relationships/hyperlink" Target="https://bulbapedia.bulbagarden.net/wiki/Garchomp_(Unified_Minds_114)" TargetMode="External"/><Relationship Id="rId125" Type="http://schemas.openxmlformats.org/officeDocument/2006/relationships/hyperlink" Target="https://bulbapedia.bulbagarden.net/wiki/Scrafty_(Unified_Minds_138)" TargetMode="External"/><Relationship Id="rId146" Type="http://schemas.openxmlformats.org/officeDocument/2006/relationships/hyperlink" Target="https://bulbapedia.bulbagarden.net/wiki/Kangaskhan_(Unified_Minds_163)" TargetMode="External"/><Relationship Id="rId167" Type="http://schemas.openxmlformats.org/officeDocument/2006/relationships/hyperlink" Target="https://bulbapedia.bulbagarden.net/wiki/Silvally_(Unified_Minds_184)" TargetMode="External"/><Relationship Id="rId188" Type="http://schemas.openxmlformats.org/officeDocument/2006/relationships/hyperlink" Target="https://bulbapedia.bulbagarden.net/wiki/Pok%C3%A9mon_Research_Lab_(Unified_Minds_205)" TargetMode="External"/><Relationship Id="rId71" Type="http://schemas.openxmlformats.org/officeDocument/2006/relationships/hyperlink" Target="https://bulbapedia.bulbagarden.net/wiki/Drifloon_(Unified_Minds_80)" TargetMode="External"/><Relationship Id="rId92" Type="http://schemas.openxmlformats.org/officeDocument/2006/relationships/hyperlink" Target="https://bulbapedia.bulbagarden.net/wiki/Necrozma_(Unified_Minds_101)" TargetMode="External"/><Relationship Id="rId2" Type="http://schemas.openxmlformats.org/officeDocument/2006/relationships/hyperlink" Target="https://bulbapedia.bulbagarden.net/wiki/Yanmega_(Unified_Minds_3)" TargetMode="External"/><Relationship Id="rId29" Type="http://schemas.openxmlformats.org/officeDocument/2006/relationships/hyperlink" Target="https://bulbapedia.bulbagarden.net/wiki/Fletchinder_(Unified_Minds_31)" TargetMode="External"/><Relationship Id="rId40" Type="http://schemas.openxmlformats.org/officeDocument/2006/relationships/hyperlink" Target="https://bulbapedia.bulbagarden.net/wiki/Basculin_(Unified_Minds_43)" TargetMode="External"/><Relationship Id="rId115" Type="http://schemas.openxmlformats.org/officeDocument/2006/relationships/hyperlink" Target="https://bulbapedia.bulbagarden.net/wiki/Alolan_Grimer_(Unified_Minds_127)" TargetMode="External"/><Relationship Id="rId136" Type="http://schemas.openxmlformats.org/officeDocument/2006/relationships/hyperlink" Target="https://bulbapedia.bulbagarden.net/wiki/Dragonite_(Unified_Minds_151)" TargetMode="External"/><Relationship Id="rId157" Type="http://schemas.openxmlformats.org/officeDocument/2006/relationships/hyperlink" Target="https://bulbapedia.bulbagarden.net/wiki/Pidove_(Unified_Minds_174)" TargetMode="External"/><Relationship Id="rId178" Type="http://schemas.openxmlformats.org/officeDocument/2006/relationships/hyperlink" Target="https://bulbapedia.bulbagarden.net/wiki/Flyinium_Z_(Unified_Minds_195)" TargetMode="External"/></Relationships>
</file>

<file path=xl/worksheets/_rels/sheet81.xml.rels><?xml version="1.0" encoding="UTF-8" standalone="yes"?>
<Relationships xmlns="http://schemas.openxmlformats.org/package/2006/relationships"><Relationship Id="rId26" Type="http://schemas.openxmlformats.org/officeDocument/2006/relationships/hyperlink" Target="https://bulbapedia.bulbagarden.net/wiki/Mew_(Hidden_Fates_32)" TargetMode="External"/><Relationship Id="rId21" Type="http://schemas.openxmlformats.org/officeDocument/2006/relationships/hyperlink" Target="https://bulbapedia.bulbagarden.net/wiki/Ekans_(Hidden_Fates_26)" TargetMode="External"/><Relationship Id="rId42" Type="http://schemas.openxmlformats.org/officeDocument/2006/relationships/hyperlink" Target="https://bulbapedia.bulbagarden.net/wiki/Bill%27s_Analysis_(Hidden_Fates_51)" TargetMode="External"/><Relationship Id="rId47" Type="http://schemas.openxmlformats.org/officeDocument/2006/relationships/hyperlink" Target="https://bulbapedia.bulbagarden.net/wiki/Erika%27s_Hospitality_(Hidden_Fates_56)" TargetMode="External"/><Relationship Id="rId63" Type="http://schemas.openxmlformats.org/officeDocument/2006/relationships/hyperlink" Target="https://bulbapedia.bulbagarden.net/wiki/Pheromosa_(Hidden_Fates_SV5)" TargetMode="External"/><Relationship Id="rId68" Type="http://schemas.openxmlformats.org/officeDocument/2006/relationships/hyperlink" Target="https://bulbapedia.bulbagarden.net/wiki/Quagsire_(Hidden_Fates_SV10)" TargetMode="External"/><Relationship Id="rId84" Type="http://schemas.openxmlformats.org/officeDocument/2006/relationships/hyperlink" Target="https://bulbapedia.bulbagarden.net/wiki/Guzzlord_(Hidden_Fates_SV26)" TargetMode="External"/><Relationship Id="rId89" Type="http://schemas.openxmlformats.org/officeDocument/2006/relationships/hyperlink" Target="https://bulbapedia.bulbagarden.net/wiki/Metang_(Hidden_Fates_SV31)" TargetMode="External"/><Relationship Id="rId112" Type="http://schemas.openxmlformats.org/officeDocument/2006/relationships/hyperlink" Target="https://bulbapedia.bulbagarden.net/wiki/Mt._Coronet_(Hidden_Fates_SV89)" TargetMode="External"/><Relationship Id="rId16" Type="http://schemas.openxmlformats.org/officeDocument/2006/relationships/hyperlink" Target="https://bulbapedia.bulbagarden.net/wiki/Voltorb_(Hidden_Fates_21)" TargetMode="External"/><Relationship Id="rId107" Type="http://schemas.openxmlformats.org/officeDocument/2006/relationships/hyperlink" Target="https://bulbapedia.bulbagarden.net/wiki/Guzma_(Hidden_Fates_SV84)" TargetMode="External"/><Relationship Id="rId11" Type="http://schemas.openxmlformats.org/officeDocument/2006/relationships/hyperlink" Target="https://bulbapedia.bulbagarden.net/wiki/Staryu_(Hidden_Fates_13)" TargetMode="External"/><Relationship Id="rId32" Type="http://schemas.openxmlformats.org/officeDocument/2006/relationships/hyperlink" Target="https://bulbapedia.bulbagarden.net/wiki/Clefairy_(Hidden_Fates_39)" TargetMode="External"/><Relationship Id="rId37" Type="http://schemas.openxmlformats.org/officeDocument/2006/relationships/hyperlink" Target="https://bulbapedia.bulbagarden.net/wiki/Chansey_(Hidden_Fates_46)" TargetMode="External"/><Relationship Id="rId53" Type="http://schemas.openxmlformats.org/officeDocument/2006/relationships/hyperlink" Target="https://bulbapedia.bulbagarden.net/wiki/Misty%27s_Determination_(Hidden_Fates_62)" TargetMode="External"/><Relationship Id="rId58" Type="http://schemas.openxmlformats.org/officeDocument/2006/relationships/hyperlink" Target="https://bulbapedia.bulbagarden.net/wiki/Jessie_%26_James_(Hidden_Fates_68)" TargetMode="External"/><Relationship Id="rId74" Type="http://schemas.openxmlformats.org/officeDocument/2006/relationships/hyperlink" Target="https://bulbapedia.bulbagarden.net/wiki/Shuppet_(Hidden_Fates_SV16)" TargetMode="External"/><Relationship Id="rId79" Type="http://schemas.openxmlformats.org/officeDocument/2006/relationships/hyperlink" Target="https://bulbapedia.bulbagarden.net/wiki/Riolu_(Hidden_Fates_SV21)" TargetMode="External"/><Relationship Id="rId102" Type="http://schemas.openxmlformats.org/officeDocument/2006/relationships/hyperlink" Target="https://bulbapedia.bulbagarden.net/wiki/Oranguru_(Hidden_Fates_SV44)" TargetMode="External"/><Relationship Id="rId5" Type="http://schemas.openxmlformats.org/officeDocument/2006/relationships/hyperlink" Target="https://bulbapedia.bulbagarden.net/wiki/Scyther_(Hidden_Fates_5)" TargetMode="External"/><Relationship Id="rId90" Type="http://schemas.openxmlformats.org/officeDocument/2006/relationships/hyperlink" Target="https://bulbapedia.bulbagarden.net/wiki/Celesteela_(Hidden_Fates_SV32)" TargetMode="External"/><Relationship Id="rId95" Type="http://schemas.openxmlformats.org/officeDocument/2006/relationships/hyperlink" Target="https://bulbapedia.bulbagarden.net/wiki/Altaria_(Hidden_Fates_SV37)" TargetMode="External"/><Relationship Id="rId22" Type="http://schemas.openxmlformats.org/officeDocument/2006/relationships/hyperlink" Target="https://bulbapedia.bulbagarden.net/wiki/Arbok_(Hidden_Fates_27)" TargetMode="External"/><Relationship Id="rId27" Type="http://schemas.openxmlformats.org/officeDocument/2006/relationships/hyperlink" Target="https://bulbapedia.bulbagarden.net/wiki/Geodude_(Hidden_Fates_33)" TargetMode="External"/><Relationship Id="rId43" Type="http://schemas.openxmlformats.org/officeDocument/2006/relationships/hyperlink" Target="https://bulbapedia.bulbagarden.net/wiki/Blaine%27s_Last_Stand_(Hidden_Fates_52)" TargetMode="External"/><Relationship Id="rId48" Type="http://schemas.openxmlformats.org/officeDocument/2006/relationships/hyperlink" Target="https://bulbapedia.bulbagarden.net/wiki/Giovanni%27s_Exile_(Hidden_Fates_57)" TargetMode="External"/><Relationship Id="rId64" Type="http://schemas.openxmlformats.org/officeDocument/2006/relationships/hyperlink" Target="https://bulbapedia.bulbagarden.net/wiki/Charmander_(Hidden_Fates_SV6)" TargetMode="External"/><Relationship Id="rId69" Type="http://schemas.openxmlformats.org/officeDocument/2006/relationships/hyperlink" Target="https://bulbapedia.bulbagarden.net/wiki/Froakie_(Hidden_Fates_SV11)" TargetMode="External"/><Relationship Id="rId113" Type="http://schemas.openxmlformats.org/officeDocument/2006/relationships/hyperlink" Target="https://bulbapedia.bulbagarden.net/wiki/Shrine_of_Punishment_(Hidden_Fates_SV90)" TargetMode="External"/><Relationship Id="rId80" Type="http://schemas.openxmlformats.org/officeDocument/2006/relationships/hyperlink" Target="https://bulbapedia.bulbagarden.net/wiki/Lucario_(Hidden_Fates_SV22)" TargetMode="External"/><Relationship Id="rId85" Type="http://schemas.openxmlformats.org/officeDocument/2006/relationships/hyperlink" Target="https://bulbapedia.bulbagarden.net/wiki/Magnemite_(Hidden_Fates_SV27)" TargetMode="External"/><Relationship Id="rId12" Type="http://schemas.openxmlformats.org/officeDocument/2006/relationships/hyperlink" Target="https://bulbapedia.bulbagarden.net/wiki/Magikarp_(Hidden_Fates_15)" TargetMode="External"/><Relationship Id="rId17" Type="http://schemas.openxmlformats.org/officeDocument/2006/relationships/hyperlink" Target="https://bulbapedia.bulbagarden.net/wiki/Electrode_(Hidden_Fates_22)" TargetMode="External"/><Relationship Id="rId33" Type="http://schemas.openxmlformats.org/officeDocument/2006/relationships/hyperlink" Target="https://bulbapedia.bulbagarden.net/wiki/Clefable_(Hidden_Fates_40)" TargetMode="External"/><Relationship Id="rId38" Type="http://schemas.openxmlformats.org/officeDocument/2006/relationships/hyperlink" Target="https://bulbapedia.bulbagarden.net/wiki/Kangaskhan_(Hidden_Fates_47)" TargetMode="External"/><Relationship Id="rId59" Type="http://schemas.openxmlformats.org/officeDocument/2006/relationships/hyperlink" Target="https://bulbapedia.bulbagarden.net/wiki/Scyther_(Hidden_Fates_SV1)" TargetMode="External"/><Relationship Id="rId103" Type="http://schemas.openxmlformats.org/officeDocument/2006/relationships/hyperlink" Target="https://bulbapedia.bulbagarden.net/wiki/Type:_Null_(Hidden_Fates_SV45)" TargetMode="External"/><Relationship Id="rId108" Type="http://schemas.openxmlformats.org/officeDocument/2006/relationships/hyperlink" Target="https://bulbapedia.bulbagarden.net/wiki/Hiker_(Hidden_Fates_SV85)" TargetMode="External"/><Relationship Id="rId54" Type="http://schemas.openxmlformats.org/officeDocument/2006/relationships/hyperlink" Target="https://bulbapedia.bulbagarden.net/wiki/Misty%27s_Water_Command_(Hidden_Fates_63)" TargetMode="External"/><Relationship Id="rId70" Type="http://schemas.openxmlformats.org/officeDocument/2006/relationships/hyperlink" Target="https://bulbapedia.bulbagarden.net/wiki/Frogadier_(Hidden_Fates_SV12)" TargetMode="External"/><Relationship Id="rId75" Type="http://schemas.openxmlformats.org/officeDocument/2006/relationships/hyperlink" Target="https://bulbapedia.bulbagarden.net/wiki/Inkay_(Hidden_Fates_SV17)" TargetMode="External"/><Relationship Id="rId91" Type="http://schemas.openxmlformats.org/officeDocument/2006/relationships/hyperlink" Target="https://bulbapedia.bulbagarden.net/wiki/Kartana_(Hidden_Fates_SV33)" TargetMode="External"/><Relationship Id="rId96" Type="http://schemas.openxmlformats.org/officeDocument/2006/relationships/hyperlink" Target="https://bulbapedia.bulbagarden.net/wiki/Gible_(Hidden_Fates_SV38)" TargetMode="External"/><Relationship Id="rId1" Type="http://schemas.openxmlformats.org/officeDocument/2006/relationships/hyperlink" Target="https://bulbapedia.bulbagarden.net/wiki/Caterpie_(Hidden_Fates_1)" TargetMode="External"/><Relationship Id="rId6" Type="http://schemas.openxmlformats.org/officeDocument/2006/relationships/hyperlink" Target="https://bulbapedia.bulbagarden.net/wiki/Charmander_(Hidden_Fates_7)" TargetMode="External"/><Relationship Id="rId15" Type="http://schemas.openxmlformats.org/officeDocument/2006/relationships/hyperlink" Target="https://bulbapedia.bulbagarden.net/wiki/Pikachu_(Hidden_Fates_19)" TargetMode="External"/><Relationship Id="rId23" Type="http://schemas.openxmlformats.org/officeDocument/2006/relationships/hyperlink" Target="https://bulbapedia.bulbagarden.net/wiki/Koffing_(Hidden_Fates_28)" TargetMode="External"/><Relationship Id="rId28" Type="http://schemas.openxmlformats.org/officeDocument/2006/relationships/hyperlink" Target="https://bulbapedia.bulbagarden.net/wiki/Graveler_(Hidden_Fates_34)" TargetMode="External"/><Relationship Id="rId36" Type="http://schemas.openxmlformats.org/officeDocument/2006/relationships/hyperlink" Target="https://bulbapedia.bulbagarden.net/wiki/Farfetch%27d_(Hidden_Fates_45)" TargetMode="External"/><Relationship Id="rId49" Type="http://schemas.openxmlformats.org/officeDocument/2006/relationships/hyperlink" Target="https://bulbapedia.bulbagarden.net/wiki/Jessie_%26_James_(Hidden_Fates_58)" TargetMode="External"/><Relationship Id="rId57" Type="http://schemas.openxmlformats.org/officeDocument/2006/relationships/hyperlink" Target="https://bulbapedia.bulbagarden.net/wiki/Giovanni%27s_Exile_(Hidden_Fates_67)" TargetMode="External"/><Relationship Id="rId106" Type="http://schemas.openxmlformats.org/officeDocument/2006/relationships/hyperlink" Target="https://bulbapedia.bulbagarden.net/wiki/Fisherman_(Hidden_Fates_SV83)" TargetMode="External"/><Relationship Id="rId10" Type="http://schemas.openxmlformats.org/officeDocument/2006/relationships/hyperlink" Target="https://bulbapedia.bulbagarden.net/wiki/Slowpoke_(Hidden_Fates_12)" TargetMode="External"/><Relationship Id="rId31" Type="http://schemas.openxmlformats.org/officeDocument/2006/relationships/hyperlink" Target="https://bulbapedia.bulbagarden.net/wiki/Clefairy_(Hidden_Fates_38)" TargetMode="External"/><Relationship Id="rId44" Type="http://schemas.openxmlformats.org/officeDocument/2006/relationships/hyperlink" Target="https://bulbapedia.bulbagarden.net/wiki/Brock%27s_Grit_(Hidden_Fates_53)" TargetMode="External"/><Relationship Id="rId52" Type="http://schemas.openxmlformats.org/officeDocument/2006/relationships/hyperlink" Target="https://bulbapedia.bulbagarden.net/wiki/Misty%27s_Cerulean_City_Gym_(Hidden_Fates_61)" TargetMode="External"/><Relationship Id="rId60" Type="http://schemas.openxmlformats.org/officeDocument/2006/relationships/hyperlink" Target="https://bulbapedia.bulbagarden.net/wiki/Rowlet_(Hidden_Fates_SV2)" TargetMode="External"/><Relationship Id="rId65" Type="http://schemas.openxmlformats.org/officeDocument/2006/relationships/hyperlink" Target="https://bulbapedia.bulbagarden.net/wiki/Charmeleon_(Hidden_Fates_SV7)" TargetMode="External"/><Relationship Id="rId73" Type="http://schemas.openxmlformats.org/officeDocument/2006/relationships/hyperlink" Target="https://bulbapedia.bulbagarden.net/wiki/Seviper_(Hidden_Fates_SV15)" TargetMode="External"/><Relationship Id="rId78" Type="http://schemas.openxmlformats.org/officeDocument/2006/relationships/hyperlink" Target="https://bulbapedia.bulbagarden.net/wiki/Sudowoodo_(Hidden_Fates_SV20)" TargetMode="External"/><Relationship Id="rId81" Type="http://schemas.openxmlformats.org/officeDocument/2006/relationships/hyperlink" Target="https://bulbapedia.bulbagarden.net/wiki/Rockruff_(Hidden_Fates_SV23)" TargetMode="External"/><Relationship Id="rId86" Type="http://schemas.openxmlformats.org/officeDocument/2006/relationships/hyperlink" Target="https://bulbapedia.bulbagarden.net/wiki/Magneton_(Hidden_Fates_SV28)" TargetMode="External"/><Relationship Id="rId94" Type="http://schemas.openxmlformats.org/officeDocument/2006/relationships/hyperlink" Target="https://bulbapedia.bulbagarden.net/wiki/Diancie_(Hidden_Fates_SV36)" TargetMode="External"/><Relationship Id="rId99" Type="http://schemas.openxmlformats.org/officeDocument/2006/relationships/hyperlink" Target="https://bulbapedia.bulbagarden.net/wiki/Eevee_(Hidden_Fates_SV41)" TargetMode="External"/><Relationship Id="rId101" Type="http://schemas.openxmlformats.org/officeDocument/2006/relationships/hyperlink" Target="https://bulbapedia.bulbagarden.net/wiki/Noibat_(Hidden_Fates_SV43)" TargetMode="External"/><Relationship Id="rId4" Type="http://schemas.openxmlformats.org/officeDocument/2006/relationships/hyperlink" Target="https://bulbapedia.bulbagarden.net/wiki/Paras_(Hidden_Fates_4)" TargetMode="External"/><Relationship Id="rId9" Type="http://schemas.openxmlformats.org/officeDocument/2006/relationships/hyperlink" Target="https://bulbapedia.bulbagarden.net/wiki/Psyduck_(Hidden_Fates_11)" TargetMode="External"/><Relationship Id="rId13" Type="http://schemas.openxmlformats.org/officeDocument/2006/relationships/hyperlink" Target="https://bulbapedia.bulbagarden.net/wiki/Lapras_(Hidden_Fates_17)" TargetMode="External"/><Relationship Id="rId18" Type="http://schemas.openxmlformats.org/officeDocument/2006/relationships/hyperlink" Target="https://bulbapedia.bulbagarden.net/wiki/Jolteon_(Hidden_Fates_23)" TargetMode="External"/><Relationship Id="rId39" Type="http://schemas.openxmlformats.org/officeDocument/2006/relationships/hyperlink" Target="https://bulbapedia.bulbagarden.net/wiki/Eevee_(Hidden_Fates_48)" TargetMode="External"/><Relationship Id="rId109" Type="http://schemas.openxmlformats.org/officeDocument/2006/relationships/hyperlink" Target="https://bulbapedia.bulbagarden.net/wiki/Lady_(Hidden_Fates_SV86)" TargetMode="External"/><Relationship Id="rId34" Type="http://schemas.openxmlformats.org/officeDocument/2006/relationships/hyperlink" Target="https://bulbapedia.bulbagarden.net/wiki/Jigglypuff_(Hidden_Fates_41)" TargetMode="External"/><Relationship Id="rId50" Type="http://schemas.openxmlformats.org/officeDocument/2006/relationships/hyperlink" Target="https://bulbapedia.bulbagarden.net/wiki/Koga%27s_Trap_(Hidden_Fates_59)" TargetMode="External"/><Relationship Id="rId55" Type="http://schemas.openxmlformats.org/officeDocument/2006/relationships/hyperlink" Target="https://bulbapedia.bulbagarden.net/wiki/Pok%C3%A9mon_Center_Lady_(Hidden_Fates_64)" TargetMode="External"/><Relationship Id="rId76" Type="http://schemas.openxmlformats.org/officeDocument/2006/relationships/hyperlink" Target="https://bulbapedia.bulbagarden.net/wiki/Malamar_(Hidden_Fates_SV18)" TargetMode="External"/><Relationship Id="rId97" Type="http://schemas.openxmlformats.org/officeDocument/2006/relationships/hyperlink" Target="https://bulbapedia.bulbagarden.net/wiki/Gabite_(Hidden_Fates_SV39)" TargetMode="External"/><Relationship Id="rId104" Type="http://schemas.openxmlformats.org/officeDocument/2006/relationships/hyperlink" Target="https://bulbapedia.bulbagarden.net/wiki/Aether_Foundation_Employee_(Hidden_Fates_SV81)" TargetMode="External"/><Relationship Id="rId7" Type="http://schemas.openxmlformats.org/officeDocument/2006/relationships/hyperlink" Target="https://bulbapedia.bulbagarden.net/wiki/Charmeleon_(Hidden_Fates_8)" TargetMode="External"/><Relationship Id="rId71" Type="http://schemas.openxmlformats.org/officeDocument/2006/relationships/hyperlink" Target="https://bulbapedia.bulbagarden.net/wiki/Voltorb_(Hidden_Fates_SV13)" TargetMode="External"/><Relationship Id="rId92" Type="http://schemas.openxmlformats.org/officeDocument/2006/relationships/hyperlink" Target="https://bulbapedia.bulbagarden.net/wiki/Ralts_(Hidden_Fates_SV34)" TargetMode="External"/><Relationship Id="rId2" Type="http://schemas.openxmlformats.org/officeDocument/2006/relationships/hyperlink" Target="https://bulbapedia.bulbagarden.net/wiki/Metapod_(Hidden_Fates_2)" TargetMode="External"/><Relationship Id="rId29" Type="http://schemas.openxmlformats.org/officeDocument/2006/relationships/hyperlink" Target="https://bulbapedia.bulbagarden.net/wiki/Golem_(Hidden_Fates_35)" TargetMode="External"/><Relationship Id="rId24" Type="http://schemas.openxmlformats.org/officeDocument/2006/relationships/hyperlink" Target="https://bulbapedia.bulbagarden.net/wiki/Weezing_(Hidden_Fates_29)" TargetMode="External"/><Relationship Id="rId40" Type="http://schemas.openxmlformats.org/officeDocument/2006/relationships/hyperlink" Target="https://bulbapedia.bulbagarden.net/wiki/Eevee_(Hidden_Fates_49)" TargetMode="External"/><Relationship Id="rId45" Type="http://schemas.openxmlformats.org/officeDocument/2006/relationships/hyperlink" Target="https://bulbapedia.bulbagarden.net/wiki/Brock%27s_Pewter_City_Gym_(Hidden_Fates_54)" TargetMode="External"/><Relationship Id="rId66" Type="http://schemas.openxmlformats.org/officeDocument/2006/relationships/hyperlink" Target="https://bulbapedia.bulbagarden.net/wiki/Alolan_Vulpix_(Hidden_Fates_SV8)" TargetMode="External"/><Relationship Id="rId87" Type="http://schemas.openxmlformats.org/officeDocument/2006/relationships/hyperlink" Target="https://bulbapedia.bulbagarden.net/wiki/Magnezone_(Hidden_Fates_SV29)" TargetMode="External"/><Relationship Id="rId110" Type="http://schemas.openxmlformats.org/officeDocument/2006/relationships/hyperlink" Target="https://bulbapedia.bulbagarden.net/wiki/Aether_Paradise_Conservation_Area_(Hidden_Fates_SV87)" TargetMode="External"/><Relationship Id="rId61" Type="http://schemas.openxmlformats.org/officeDocument/2006/relationships/hyperlink" Target="https://bulbapedia.bulbagarden.net/wiki/Dartrix_(Hidden_Fates_SV3)" TargetMode="External"/><Relationship Id="rId82" Type="http://schemas.openxmlformats.org/officeDocument/2006/relationships/hyperlink" Target="https://bulbapedia.bulbagarden.net/wiki/Buzzwole_(Hidden_Fates_SV24)" TargetMode="External"/><Relationship Id="rId19" Type="http://schemas.openxmlformats.org/officeDocument/2006/relationships/hyperlink" Target="https://bulbapedia.bulbagarden.net/wiki/Zapdos_(Hidden_Fates_24)" TargetMode="External"/><Relationship Id="rId14" Type="http://schemas.openxmlformats.org/officeDocument/2006/relationships/hyperlink" Target="https://bulbapedia.bulbagarden.net/wiki/Vaporeon_(Hidden_Fates_18)" TargetMode="External"/><Relationship Id="rId30" Type="http://schemas.openxmlformats.org/officeDocument/2006/relationships/hyperlink" Target="https://bulbapedia.bulbagarden.net/wiki/Cubone_(Hidden_Fates_37)" TargetMode="External"/><Relationship Id="rId35" Type="http://schemas.openxmlformats.org/officeDocument/2006/relationships/hyperlink" Target="https://bulbapedia.bulbagarden.net/wiki/Mr._Mime_(Hidden_Fates_43)" TargetMode="External"/><Relationship Id="rId56" Type="http://schemas.openxmlformats.org/officeDocument/2006/relationships/hyperlink" Target="https://bulbapedia.bulbagarden.net/wiki/Sabrina%27s_Suggestion_(Hidden_Fates_65)" TargetMode="External"/><Relationship Id="rId77" Type="http://schemas.openxmlformats.org/officeDocument/2006/relationships/hyperlink" Target="https://bulbapedia.bulbagarden.net/wiki/Poipole_(Hidden_Fates_SV19)" TargetMode="External"/><Relationship Id="rId100" Type="http://schemas.openxmlformats.org/officeDocument/2006/relationships/hyperlink" Target="https://bulbapedia.bulbagarden.net/wiki/Swablu_(Hidden_Fates_SV42)" TargetMode="External"/><Relationship Id="rId105" Type="http://schemas.openxmlformats.org/officeDocument/2006/relationships/hyperlink" Target="https://bulbapedia.bulbagarden.net/wiki/Cynthia_(Hidden_Fates_SV82)" TargetMode="External"/><Relationship Id="rId8" Type="http://schemas.openxmlformats.org/officeDocument/2006/relationships/hyperlink" Target="https://bulbapedia.bulbagarden.net/wiki/Magmar_(Hidden_Fates_10)" TargetMode="External"/><Relationship Id="rId51" Type="http://schemas.openxmlformats.org/officeDocument/2006/relationships/hyperlink" Target="https://bulbapedia.bulbagarden.net/wiki/Lt._Surge%27s_Strategy_(Hidden_Fates_60)" TargetMode="External"/><Relationship Id="rId72" Type="http://schemas.openxmlformats.org/officeDocument/2006/relationships/hyperlink" Target="https://bulbapedia.bulbagarden.net/wiki/Xurkitree_(Hidden_Fates_SV14)" TargetMode="External"/><Relationship Id="rId93" Type="http://schemas.openxmlformats.org/officeDocument/2006/relationships/hyperlink" Target="https://bulbapedia.bulbagarden.net/wiki/Kirlia_(Hidden_Fates_SV35)" TargetMode="External"/><Relationship Id="rId98" Type="http://schemas.openxmlformats.org/officeDocument/2006/relationships/hyperlink" Target="https://bulbapedia.bulbagarden.net/wiki/Garchomp_(Hidden_Fates_SV40)" TargetMode="External"/><Relationship Id="rId3" Type="http://schemas.openxmlformats.org/officeDocument/2006/relationships/hyperlink" Target="https://bulbapedia.bulbagarden.net/wiki/Butterfree_(Hidden_Fates_3)" TargetMode="External"/><Relationship Id="rId25" Type="http://schemas.openxmlformats.org/officeDocument/2006/relationships/hyperlink" Target="https://bulbapedia.bulbagarden.net/wiki/Jynx_(Hidden_Fates_30)" TargetMode="External"/><Relationship Id="rId46" Type="http://schemas.openxmlformats.org/officeDocument/2006/relationships/hyperlink" Target="https://bulbapedia.bulbagarden.net/wiki/Brock%27s_Training_(Hidden_Fates_55)" TargetMode="External"/><Relationship Id="rId67" Type="http://schemas.openxmlformats.org/officeDocument/2006/relationships/hyperlink" Target="https://bulbapedia.bulbagarden.net/wiki/Wooper_(Hidden_Fates_SV9)" TargetMode="External"/><Relationship Id="rId20" Type="http://schemas.openxmlformats.org/officeDocument/2006/relationships/hyperlink" Target="https://bulbapedia.bulbagarden.net/wiki/Ekans_(Hidden_Fates_25)" TargetMode="External"/><Relationship Id="rId41" Type="http://schemas.openxmlformats.org/officeDocument/2006/relationships/hyperlink" Target="https://bulbapedia.bulbagarden.net/wiki/Snorlax_(Hidden_Fates_50)" TargetMode="External"/><Relationship Id="rId62" Type="http://schemas.openxmlformats.org/officeDocument/2006/relationships/hyperlink" Target="https://bulbapedia.bulbagarden.net/wiki/Wimpod_(Hidden_Fates_SV4)" TargetMode="External"/><Relationship Id="rId83" Type="http://schemas.openxmlformats.org/officeDocument/2006/relationships/hyperlink" Target="https://bulbapedia.bulbagarden.net/wiki/Zorua_(Hidden_Fates_SV25)" TargetMode="External"/><Relationship Id="rId88" Type="http://schemas.openxmlformats.org/officeDocument/2006/relationships/hyperlink" Target="https://bulbapedia.bulbagarden.net/wiki/Beldum_(Hidden_Fates_SV30)" TargetMode="External"/><Relationship Id="rId111" Type="http://schemas.openxmlformats.org/officeDocument/2006/relationships/hyperlink" Target="https://bulbapedia.bulbagarden.net/wiki/Brooklet_Hill_(Hidden_Fates_SV88)" TargetMode="External"/></Relationships>
</file>

<file path=xl/worksheets/_rels/sheet82.xml.rels><?xml version="1.0" encoding="UTF-8" standalone="yes"?>
<Relationships xmlns="http://schemas.openxmlformats.org/package/2006/relationships"><Relationship Id="rId117" Type="http://schemas.openxmlformats.org/officeDocument/2006/relationships/hyperlink" Target="https://bulbapedia.bulbagarden.net/wiki/Sandygast_(Cosmic_Eclipse_126)" TargetMode="External"/><Relationship Id="rId21" Type="http://schemas.openxmlformats.org/officeDocument/2006/relationships/hyperlink" Target="https://bulbapedia.bulbagarden.net/wiki/Rapidash_(Cosmic_Eclipse_24)" TargetMode="External"/><Relationship Id="rId42" Type="http://schemas.openxmlformats.org/officeDocument/2006/relationships/hyperlink" Target="https://bulbapedia.bulbagarden.net/wiki/Snorunt_(Cosmic_Eclipse_47)" TargetMode="External"/><Relationship Id="rId63" Type="http://schemas.openxmlformats.org/officeDocument/2006/relationships/hyperlink" Target="https://bulbapedia.bulbagarden.net/wiki/Magneton_(Cosmic_Eclipse_69)" TargetMode="External"/><Relationship Id="rId84" Type="http://schemas.openxmlformats.org/officeDocument/2006/relationships/hyperlink" Target="https://bulbapedia.bulbagarden.net/wiki/Skrelp_(Cosmic_Eclipse_91)" TargetMode="External"/><Relationship Id="rId138" Type="http://schemas.openxmlformats.org/officeDocument/2006/relationships/hyperlink" Target="https://bulbapedia.bulbagarden.net/wiki/Flab%C3%A9b%C3%A9_(Cosmic_Eclipse_149)" TargetMode="External"/><Relationship Id="rId159" Type="http://schemas.openxmlformats.org/officeDocument/2006/relationships/hyperlink" Target="https://bulbapedia.bulbagarden.net/wiki/Lillipup_(Cosmic_Eclipse_174)" TargetMode="External"/><Relationship Id="rId170" Type="http://schemas.openxmlformats.org/officeDocument/2006/relationships/hyperlink" Target="https://bulbapedia.bulbagarden.net/wiki/Bellelba_%26_Brycen-Man_(Cosmic_Eclipse_186)" TargetMode="External"/><Relationship Id="rId191" Type="http://schemas.openxmlformats.org/officeDocument/2006/relationships/hyperlink" Target="https://bulbapedia.bulbagarden.net/wiki/Unidentified_Fossil_(Cosmic_Eclipse_207)" TargetMode="External"/><Relationship Id="rId205" Type="http://schemas.openxmlformats.org/officeDocument/2006/relationships/hyperlink" Target="https://bulbapedia.bulbagarden.net/wiki/Pikachu_(Cosmic_Eclipse_241)" TargetMode="External"/><Relationship Id="rId107" Type="http://schemas.openxmlformats.org/officeDocument/2006/relationships/hyperlink" Target="https://bulbapedia.bulbagarden.net/wiki/Palpitoad_(Cosmic_Eclipse_116)" TargetMode="External"/><Relationship Id="rId11" Type="http://schemas.openxmlformats.org/officeDocument/2006/relationships/hyperlink" Target="https://bulbapedia.bulbagarden.net/wiki/Kricketot_(Cosmic_Eclipse_13)" TargetMode="External"/><Relationship Id="rId32" Type="http://schemas.openxmlformats.org/officeDocument/2006/relationships/hyperlink" Target="https://bulbapedia.bulbagarden.net/wiki/Litleo_(Cosmic_Eclipse_36)" TargetMode="External"/><Relationship Id="rId53" Type="http://schemas.openxmlformats.org/officeDocument/2006/relationships/hyperlink" Target="https://bulbapedia.bulbagarden.net/wiki/Tympole_(Cosmic_Eclipse_58)" TargetMode="External"/><Relationship Id="rId74" Type="http://schemas.openxmlformats.org/officeDocument/2006/relationships/hyperlink" Target="https://bulbapedia.bulbagarden.net/wiki/Kirlia_(Cosmic_Eclipse_81)" TargetMode="External"/><Relationship Id="rId128" Type="http://schemas.openxmlformats.org/officeDocument/2006/relationships/hyperlink" Target="https://bulbapedia.bulbagarden.net/wiki/Alolan_Sandslash_(Cosmic_Eclipse_138)" TargetMode="External"/><Relationship Id="rId149" Type="http://schemas.openxmlformats.org/officeDocument/2006/relationships/hyperlink" Target="https://bulbapedia.bulbagarden.net/w/index.php?title=Kommo-o_(Cosmic_Eclipse_163)&amp;action=edit&amp;redlink=1" TargetMode="External"/><Relationship Id="rId5" Type="http://schemas.openxmlformats.org/officeDocument/2006/relationships/hyperlink" Target="https://bulbapedia.bulbagarden.net/wiki/Sunkern_(Cosmic_Eclipse_7)" TargetMode="External"/><Relationship Id="rId95" Type="http://schemas.openxmlformats.org/officeDocument/2006/relationships/hyperlink" Target="https://bulbapedia.bulbagarden.net/wiki/Marshadow_(Cosmic_Eclipse_103)" TargetMode="External"/><Relationship Id="rId160" Type="http://schemas.openxmlformats.org/officeDocument/2006/relationships/hyperlink" Target="https://bulbapedia.bulbagarden.net/wiki/Herdier_(Cosmic_Eclipse_175)" TargetMode="External"/><Relationship Id="rId181" Type="http://schemas.openxmlformats.org/officeDocument/2006/relationships/hyperlink" Target="https://bulbapedia.bulbagarden.net/wiki/Lillie%27s_Pok%C3%A9_Doll_(Cosmic_Eclipse_197)" TargetMode="External"/><Relationship Id="rId216" Type="http://schemas.openxmlformats.org/officeDocument/2006/relationships/hyperlink" Target="https://bulbapedia.bulbagarden.net/w/index.php?title=Lana%27s_Fishing_Rod_(Cosmic_Eclipse_266)&amp;action=edit&amp;redlink=1" TargetMode="External"/><Relationship Id="rId22" Type="http://schemas.openxmlformats.org/officeDocument/2006/relationships/hyperlink" Target="https://bulbapedia.bulbagarden.net/wiki/Flareon_(Cosmic_Eclipse_25)" TargetMode="External"/><Relationship Id="rId43" Type="http://schemas.openxmlformats.org/officeDocument/2006/relationships/hyperlink" Target="https://bulbapedia.bulbagarden.net/wiki/Glalie_(Cosmic_Eclipse_48)" TargetMode="External"/><Relationship Id="rId64" Type="http://schemas.openxmlformats.org/officeDocument/2006/relationships/hyperlink" Target="https://bulbapedia.bulbagarden.net/wiki/Jolteon_(Cosmic_Eclipse_70)" TargetMode="External"/><Relationship Id="rId118" Type="http://schemas.openxmlformats.org/officeDocument/2006/relationships/hyperlink" Target="https://bulbapedia.bulbagarden.net/wiki/Palossand_(Cosmic_Eclipse_127)" TargetMode="External"/><Relationship Id="rId139" Type="http://schemas.openxmlformats.org/officeDocument/2006/relationships/hyperlink" Target="https://bulbapedia.bulbagarden.net/wiki/Flab%C3%A9b%C3%A9_(Cosmic_Eclipse_150)" TargetMode="External"/><Relationship Id="rId85" Type="http://schemas.openxmlformats.org/officeDocument/2006/relationships/hyperlink" Target="https://bulbapedia.bulbagarden.net/wiki/Dragalge_(Cosmic_Eclipse_92)" TargetMode="External"/><Relationship Id="rId150" Type="http://schemas.openxmlformats.org/officeDocument/2006/relationships/hyperlink" Target="https://bulbapedia.bulbagarden.net/w/index.php?title=Ultra_Necrozma_(Cosmic_Eclipse_164)&amp;action=edit&amp;redlink=1" TargetMode="External"/><Relationship Id="rId171" Type="http://schemas.openxmlformats.org/officeDocument/2006/relationships/hyperlink" Target="https://bulbapedia.bulbagarden.net/wiki/Chaotic_Swell_(Cosmic_Eclipse_187)" TargetMode="External"/><Relationship Id="rId192" Type="http://schemas.openxmlformats.org/officeDocument/2006/relationships/hyperlink" Target="https://bulbapedia.bulbagarden.net/wiki/Will_(Cosmic_Eclipse_208)" TargetMode="External"/><Relationship Id="rId206" Type="http://schemas.openxmlformats.org/officeDocument/2006/relationships/hyperlink" Target="https://bulbapedia.bulbagarden.net/wiki/Magnemite_(Cosmic_Eclipse_242)" TargetMode="External"/><Relationship Id="rId12" Type="http://schemas.openxmlformats.org/officeDocument/2006/relationships/hyperlink" Target="https://bulbapedia.bulbagarden.net/wiki/Kricketune_(Cosmic_Eclipse_14)" TargetMode="External"/><Relationship Id="rId33" Type="http://schemas.openxmlformats.org/officeDocument/2006/relationships/hyperlink" Target="https://bulbapedia.bulbagarden.net/wiki/Pyroar_(Cosmic_Eclipse_37)" TargetMode="External"/><Relationship Id="rId108" Type="http://schemas.openxmlformats.org/officeDocument/2006/relationships/hyperlink" Target="https://bulbapedia.bulbagarden.net/wiki/Seismitoad_(Cosmic_Eclipse_117)" TargetMode="External"/><Relationship Id="rId129" Type="http://schemas.openxmlformats.org/officeDocument/2006/relationships/hyperlink" Target="https://bulbapedia.bulbagarden.net/wiki/Steelix_(Cosmic_Eclipse_139)" TargetMode="External"/><Relationship Id="rId54" Type="http://schemas.openxmlformats.org/officeDocument/2006/relationships/hyperlink" Target="https://bulbapedia.bulbagarden.net/wiki/Ducklett_(Cosmic_Eclipse_59)" TargetMode="External"/><Relationship Id="rId75" Type="http://schemas.openxmlformats.org/officeDocument/2006/relationships/hyperlink" Target="https://bulbapedia.bulbagarden.net/wiki/Gallade_(Cosmic_Eclipse_82)" TargetMode="External"/><Relationship Id="rId96" Type="http://schemas.openxmlformats.org/officeDocument/2006/relationships/hyperlink" Target="https://bulbapedia.bulbagarden.net/wiki/Blacephalon_(Cosmic_Eclipse_104)" TargetMode="External"/><Relationship Id="rId140" Type="http://schemas.openxmlformats.org/officeDocument/2006/relationships/hyperlink" Target="https://bulbapedia.bulbagarden.net/wiki/Floette_(Cosmic_Eclipse_151)" TargetMode="External"/><Relationship Id="rId161" Type="http://schemas.openxmlformats.org/officeDocument/2006/relationships/hyperlink" Target="https://bulbapedia.bulbagarden.net/wiki/Stoutland_(Cosmic_Eclipse_176)" TargetMode="External"/><Relationship Id="rId182" Type="http://schemas.openxmlformats.org/officeDocument/2006/relationships/hyperlink" Target="https://bulbapedia.bulbagarden.net/wiki/Mallow_%26_Lana_(Cosmic_Eclipse_198)" TargetMode="External"/><Relationship Id="rId217" Type="http://schemas.openxmlformats.org/officeDocument/2006/relationships/hyperlink" Target="https://bulbapedia.bulbagarden.net/w/index.php?title=Lillie%27s_Pok%C3%A9_Doll_(Cosmic_Eclipse_267)&amp;action=edit&amp;redlink=1" TargetMode="External"/><Relationship Id="rId6" Type="http://schemas.openxmlformats.org/officeDocument/2006/relationships/hyperlink" Target="https://bulbapedia.bulbagarden.net/wiki/Sunflora_(Cosmic_Eclipse_8)" TargetMode="External"/><Relationship Id="rId23" Type="http://schemas.openxmlformats.org/officeDocument/2006/relationships/hyperlink" Target="https://bulbapedia.bulbagarden.net/wiki/Slugma_(Cosmic_Eclipse_26)" TargetMode="External"/><Relationship Id="rId119" Type="http://schemas.openxmlformats.org/officeDocument/2006/relationships/hyperlink" Target="https://bulbapedia.bulbagarden.net/wiki/Alolan_Meowth_(Cosmic_Eclipse_128)" TargetMode="External"/><Relationship Id="rId44" Type="http://schemas.openxmlformats.org/officeDocument/2006/relationships/hyperlink" Target="https://bulbapedia.bulbagarden.net/wiki/Spheal_(Cosmic_Eclipse_49)" TargetMode="External"/><Relationship Id="rId65" Type="http://schemas.openxmlformats.org/officeDocument/2006/relationships/hyperlink" Target="https://bulbapedia.bulbagarden.net/wiki/Chinchou_(Cosmic_Eclipse_71)" TargetMode="External"/><Relationship Id="rId86" Type="http://schemas.openxmlformats.org/officeDocument/2006/relationships/hyperlink" Target="https://bulbapedia.bulbagarden.net/wiki/Phantump_(Cosmic_Eclipse_93)" TargetMode="External"/><Relationship Id="rId130" Type="http://schemas.openxmlformats.org/officeDocument/2006/relationships/hyperlink" Target="https://bulbapedia.bulbagarden.net/wiki/Mawile_(Cosmic_Eclipse_140)" TargetMode="External"/><Relationship Id="rId151" Type="http://schemas.openxmlformats.org/officeDocument/2006/relationships/hyperlink" Target="https://bulbapedia.bulbagarden.net/wiki/Eevee_(Cosmic_Eclipse_166)" TargetMode="External"/><Relationship Id="rId172" Type="http://schemas.openxmlformats.org/officeDocument/2006/relationships/hyperlink" Target="https://bulbapedia.bulbagarden.net/wiki/Clay_(Cosmic_Eclipse_188)" TargetMode="External"/><Relationship Id="rId193" Type="http://schemas.openxmlformats.org/officeDocument/2006/relationships/hyperlink" Target="https://bulbapedia.bulbagarden.net/wiki/Draw_Energy_(Cosmic_Eclipse_209)" TargetMode="External"/><Relationship Id="rId207" Type="http://schemas.openxmlformats.org/officeDocument/2006/relationships/hyperlink" Target="https://bulbapedia.bulbagarden.net/wiki/Koffing_(Cosmic_Eclipse_243)" TargetMode="External"/><Relationship Id="rId13" Type="http://schemas.openxmlformats.org/officeDocument/2006/relationships/hyperlink" Target="https://bulbapedia.bulbagarden.net/wiki/Deerling_(Cosmic_Eclipse_15)" TargetMode="External"/><Relationship Id="rId109" Type="http://schemas.openxmlformats.org/officeDocument/2006/relationships/hyperlink" Target="https://bulbapedia.bulbagarden.net/wiki/Throh_(Cosmic_Eclipse_118)" TargetMode="External"/><Relationship Id="rId34" Type="http://schemas.openxmlformats.org/officeDocument/2006/relationships/hyperlink" Target="https://bulbapedia.bulbagarden.net/wiki/Alolan_Vulpix_(Cosmic_Eclipse_39)" TargetMode="External"/><Relationship Id="rId55" Type="http://schemas.openxmlformats.org/officeDocument/2006/relationships/hyperlink" Target="https://bulbapedia.bulbagarden.net/wiki/Swanna_(Cosmic_Eclipse_60)" TargetMode="External"/><Relationship Id="rId76" Type="http://schemas.openxmlformats.org/officeDocument/2006/relationships/hyperlink" Target="https://bulbapedia.bulbagarden.net/wiki/Duskull_(Cosmic_Eclipse_83)" TargetMode="External"/><Relationship Id="rId97" Type="http://schemas.openxmlformats.org/officeDocument/2006/relationships/hyperlink" Target="https://bulbapedia.bulbagarden.net/wiki/Onix_(Cosmic_Eclipse_105)" TargetMode="External"/><Relationship Id="rId120" Type="http://schemas.openxmlformats.org/officeDocument/2006/relationships/hyperlink" Target="https://bulbapedia.bulbagarden.net/wiki/Alolan_Grimer_(Cosmic_Eclipse_130)" TargetMode="External"/><Relationship Id="rId141" Type="http://schemas.openxmlformats.org/officeDocument/2006/relationships/hyperlink" Target="https://bulbapedia.bulbagarden.net/w/index.php?title=Florges_(Cosmic_Eclipse_152)&amp;action=edit&amp;redlink=1" TargetMode="External"/><Relationship Id="rId7" Type="http://schemas.openxmlformats.org/officeDocument/2006/relationships/hyperlink" Target="https://bulbapedia.bulbagarden.net/wiki/Heracross_(Cosmic_Eclipse_9)" TargetMode="External"/><Relationship Id="rId162" Type="http://schemas.openxmlformats.org/officeDocument/2006/relationships/hyperlink" Target="https://bulbapedia.bulbagarden.net/wiki/Rufflet_(Cosmic_Eclipse_177)" TargetMode="External"/><Relationship Id="rId183" Type="http://schemas.openxmlformats.org/officeDocument/2006/relationships/hyperlink" Target="https://bulbapedia.bulbagarden.net/wiki/Misty_%26_Lorelei_(Cosmic_Eclipse_199)" TargetMode="External"/><Relationship Id="rId218" Type="http://schemas.openxmlformats.org/officeDocument/2006/relationships/hyperlink" Target="https://bulbapedia.bulbagarden.net/w/index.php?title=Martial_Arts_Dojo_(Cosmic_Eclipse_268)&amp;action=edit&amp;redlink=1" TargetMode="External"/><Relationship Id="rId24" Type="http://schemas.openxmlformats.org/officeDocument/2006/relationships/hyperlink" Target="https://bulbapedia.bulbagarden.net/wiki/Magcargo_(Cosmic_Eclipse_27)" TargetMode="External"/><Relationship Id="rId45" Type="http://schemas.openxmlformats.org/officeDocument/2006/relationships/hyperlink" Target="https://bulbapedia.bulbagarden.net/wiki/Spheal_(Cosmic_Eclipse_50)" TargetMode="External"/><Relationship Id="rId66" Type="http://schemas.openxmlformats.org/officeDocument/2006/relationships/hyperlink" Target="https://bulbapedia.bulbagarden.net/wiki/Lanturn_(Cosmic_Eclipse_72)" TargetMode="External"/><Relationship Id="rId87" Type="http://schemas.openxmlformats.org/officeDocument/2006/relationships/hyperlink" Target="https://bulbapedia.bulbagarden.net/wiki/Trevenant_(Cosmic_Eclipse_94)" TargetMode="External"/><Relationship Id="rId110" Type="http://schemas.openxmlformats.org/officeDocument/2006/relationships/hyperlink" Target="https://bulbapedia.bulbagarden.net/wiki/Pancham_(Cosmic_Eclipse_119)" TargetMode="External"/><Relationship Id="rId131" Type="http://schemas.openxmlformats.org/officeDocument/2006/relationships/hyperlink" Target="https://bulbapedia.bulbagarden.net/wiki/Probopass_(Cosmic_Eclipse_141)" TargetMode="External"/><Relationship Id="rId152" Type="http://schemas.openxmlformats.org/officeDocument/2006/relationships/hyperlink" Target="https://bulbapedia.bulbagarden.net/wiki/Eevee_(Cosmic_Eclipse_167)" TargetMode="External"/><Relationship Id="rId173" Type="http://schemas.openxmlformats.org/officeDocument/2006/relationships/hyperlink" Target="https://bulbapedia.bulbagarden.net/wiki/Cynthia_%26_Caitlin_(Cosmic_Eclipse_189)" TargetMode="External"/><Relationship Id="rId194" Type="http://schemas.openxmlformats.org/officeDocument/2006/relationships/hyperlink" Target="https://bulbapedia.bulbagarden.net/wiki/Cynthia_%26_Caitlin_(Cosmic_Eclipse_228)" TargetMode="External"/><Relationship Id="rId208" Type="http://schemas.openxmlformats.org/officeDocument/2006/relationships/hyperlink" Target="https://bulbapedia.bulbagarden.net/wiki/Gallade_(Cosmic_Eclipse_244)" TargetMode="External"/><Relationship Id="rId14" Type="http://schemas.openxmlformats.org/officeDocument/2006/relationships/hyperlink" Target="https://bulbapedia.bulbagarden.net/w/index.php?title=Sawsbuck_(Cosmic_Eclipse_16)&amp;action=edit&amp;redlink=1" TargetMode="External"/><Relationship Id="rId35" Type="http://schemas.openxmlformats.org/officeDocument/2006/relationships/hyperlink" Target="https://bulbapedia.bulbagarden.net/wiki/Psyduck_(Cosmic_Eclipse_40)" TargetMode="External"/><Relationship Id="rId56" Type="http://schemas.openxmlformats.org/officeDocument/2006/relationships/hyperlink" Target="https://bulbapedia.bulbagarden.net/wiki/Black_Kyurem_(Cosmic_Eclipse_61)" TargetMode="External"/><Relationship Id="rId77" Type="http://schemas.openxmlformats.org/officeDocument/2006/relationships/hyperlink" Target="https://bulbapedia.bulbagarden.net/wiki/Dusclops_(Cosmic_Eclipse_84)" TargetMode="External"/><Relationship Id="rId100" Type="http://schemas.openxmlformats.org/officeDocument/2006/relationships/hyperlink" Target="https://bulbapedia.bulbagarden.net/wiki/Trapinch_(Cosmic_Eclipse_108)" TargetMode="External"/><Relationship Id="rId8" Type="http://schemas.openxmlformats.org/officeDocument/2006/relationships/hyperlink" Target="https://bulbapedia.bulbagarden.net/wiki/Lileep_(Cosmic_Eclipse_10)" TargetMode="External"/><Relationship Id="rId51" Type="http://schemas.openxmlformats.org/officeDocument/2006/relationships/hyperlink" Target="https://bulbapedia.bulbagarden.net/wiki/Empoleon_(Cosmic_Eclipse_56)" TargetMode="External"/><Relationship Id="rId72" Type="http://schemas.openxmlformats.org/officeDocument/2006/relationships/hyperlink" Target="https://bulbapedia.bulbagarden.net/wiki/Xatu_(Cosmic_Eclipse_79)" TargetMode="External"/><Relationship Id="rId93" Type="http://schemas.openxmlformats.org/officeDocument/2006/relationships/hyperlink" Target="https://bulbapedia.bulbagarden.net/wiki/Cosmoem_(Cosmic_Eclipse_101)" TargetMode="External"/><Relationship Id="rId98" Type="http://schemas.openxmlformats.org/officeDocument/2006/relationships/hyperlink" Target="https://bulbapedia.bulbagarden.net/wiki/Nosepass_(Cosmic_Eclipse_106)" TargetMode="External"/><Relationship Id="rId121" Type="http://schemas.openxmlformats.org/officeDocument/2006/relationships/hyperlink" Target="https://bulbapedia.bulbagarden.net/wiki/Alolan_Muk_(Cosmic_Eclipse_131)" TargetMode="External"/><Relationship Id="rId142" Type="http://schemas.openxmlformats.org/officeDocument/2006/relationships/hyperlink" Target="https://bulbapedia.bulbagarden.net/wiki/Swirlix_(Cosmic_Eclipse_153)" TargetMode="External"/><Relationship Id="rId163" Type="http://schemas.openxmlformats.org/officeDocument/2006/relationships/hyperlink" Target="https://bulbapedia.bulbagarden.net/wiki/Braviary_(Cosmic_Eclipse_178)" TargetMode="External"/><Relationship Id="rId184" Type="http://schemas.openxmlformats.org/officeDocument/2006/relationships/hyperlink" Target="https://bulbapedia.bulbagarden.net/wiki/N%27s_Resolve_(Cosmic_Eclipse_200)" TargetMode="External"/><Relationship Id="rId189" Type="http://schemas.openxmlformats.org/officeDocument/2006/relationships/hyperlink" Target="https://bulbapedia.bulbagarden.net/wiki/Roxie_(Cosmic_Eclipse_205)" TargetMode="External"/><Relationship Id="rId219" Type="http://schemas.openxmlformats.org/officeDocument/2006/relationships/hyperlink" Target="https://bulbapedia.bulbagarden.net/wiki/Power_Plant_(Cosmic_Eclipse_269)" TargetMode="External"/><Relationship Id="rId3" Type="http://schemas.openxmlformats.org/officeDocument/2006/relationships/hyperlink" Target="https://bulbapedia.bulbagarden.net/wiki/Tangela_(Cosmic_Eclipse_5)" TargetMode="External"/><Relationship Id="rId214" Type="http://schemas.openxmlformats.org/officeDocument/2006/relationships/hyperlink" Target="https://bulbapedia.bulbagarden.net/w/index.php?title=Great_Catcher_(Cosmic_Eclipse_264)&amp;action=edit&amp;redlink=1" TargetMode="External"/><Relationship Id="rId25" Type="http://schemas.openxmlformats.org/officeDocument/2006/relationships/hyperlink" Target="https://bulbapedia.bulbagarden.net/wiki/Entei_(Cosmic_Eclipse_28)" TargetMode="External"/><Relationship Id="rId46" Type="http://schemas.openxmlformats.org/officeDocument/2006/relationships/hyperlink" Target="https://bulbapedia.bulbagarden.net/wiki/Sealeo_(Cosmic_Eclipse_51)" TargetMode="External"/><Relationship Id="rId67" Type="http://schemas.openxmlformats.org/officeDocument/2006/relationships/hyperlink" Target="https://bulbapedia.bulbagarden.net/wiki/Togedemaru_(Cosmic_Eclipse_73)" TargetMode="External"/><Relationship Id="rId116" Type="http://schemas.openxmlformats.org/officeDocument/2006/relationships/hyperlink" Target="https://bulbapedia.bulbagarden.net/wiki/Passimian_(Cosmic_Eclipse_125)" TargetMode="External"/><Relationship Id="rId137" Type="http://schemas.openxmlformats.org/officeDocument/2006/relationships/hyperlink" Target="https://bulbapedia.bulbagarden.net/wiki/Whimsicott_(Cosmic_Eclipse_148)" TargetMode="External"/><Relationship Id="rId158" Type="http://schemas.openxmlformats.org/officeDocument/2006/relationships/hyperlink" Target="https://bulbapedia.bulbagarden.net/wiki/Zangoose_(Cosmic_Eclipse_173)" TargetMode="External"/><Relationship Id="rId20" Type="http://schemas.openxmlformats.org/officeDocument/2006/relationships/hyperlink" Target="https://bulbapedia.bulbagarden.net/wiki/Ponyta_(Cosmic_Eclipse_23)" TargetMode="External"/><Relationship Id="rId41" Type="http://schemas.openxmlformats.org/officeDocument/2006/relationships/hyperlink" Target="https://bulbapedia.bulbagarden.net/wiki/Wailord_(Cosmic_Eclipse_46)" TargetMode="External"/><Relationship Id="rId62" Type="http://schemas.openxmlformats.org/officeDocument/2006/relationships/hyperlink" Target="https://bulbapedia.bulbagarden.net/wiki/Magnemite_(Cosmic_Eclipse_68)" TargetMode="External"/><Relationship Id="rId83" Type="http://schemas.openxmlformats.org/officeDocument/2006/relationships/hyperlink" Target="https://bulbapedia.bulbagarden.net/wiki/Golurk_(Cosmic_Eclipse_90)" TargetMode="External"/><Relationship Id="rId88" Type="http://schemas.openxmlformats.org/officeDocument/2006/relationships/hyperlink" Target="https://bulbapedia.bulbagarden.net/wiki/Mimikyu_(Cosmic_Eclipse_96)" TargetMode="External"/><Relationship Id="rId111" Type="http://schemas.openxmlformats.org/officeDocument/2006/relationships/hyperlink" Target="https://bulbapedia.bulbagarden.net/wiki/Pangoro_(Cosmic_Eclipse_120)" TargetMode="External"/><Relationship Id="rId132" Type="http://schemas.openxmlformats.org/officeDocument/2006/relationships/hyperlink" Target="https://bulbapedia.bulbagarden.net/wiki/Solgaleo_(Cosmic_Eclipse_142)" TargetMode="External"/><Relationship Id="rId153" Type="http://schemas.openxmlformats.org/officeDocument/2006/relationships/hyperlink" Target="https://bulbapedia.bulbagarden.net/wiki/Igglybuff_(Cosmic_Eclipse_168)" TargetMode="External"/><Relationship Id="rId174" Type="http://schemas.openxmlformats.org/officeDocument/2006/relationships/hyperlink" Target="https://bulbapedia.bulbagarden.net/w/index.php?title=Dragonium_Z:_Dragon_Claw_(Cosmic_Eclipse_190)&amp;action=edit&amp;redlink=1" TargetMode="External"/><Relationship Id="rId179" Type="http://schemas.openxmlformats.org/officeDocument/2006/relationships/hyperlink" Target="https://bulbapedia.bulbagarden.net/wiki/Lana%27s_Fishing_Rod_(Cosmic_Eclipse_195)" TargetMode="External"/><Relationship Id="rId195" Type="http://schemas.openxmlformats.org/officeDocument/2006/relationships/hyperlink" Target="https://bulbapedia.bulbagarden.net/wiki/Guzma_%26_Hala_(Cosmic_Eclipse_229)" TargetMode="External"/><Relationship Id="rId209" Type="http://schemas.openxmlformats.org/officeDocument/2006/relationships/hyperlink" Target="https://bulbapedia.bulbagarden.net/wiki/Mimikyu_(Cosmic_Eclipse_245)" TargetMode="External"/><Relationship Id="rId190" Type="http://schemas.openxmlformats.org/officeDocument/2006/relationships/hyperlink" Target="https://bulbapedia.bulbagarden.net/wiki/Tag_Call_(Cosmic_Eclipse_206)" TargetMode="External"/><Relationship Id="rId204" Type="http://schemas.openxmlformats.org/officeDocument/2006/relationships/hyperlink" Target="https://bulbapedia.bulbagarden.net/wiki/Wishiwashi_(Cosmic_Eclipse_240)" TargetMode="External"/><Relationship Id="rId220" Type="http://schemas.openxmlformats.org/officeDocument/2006/relationships/hyperlink" Target="https://bulbapedia.bulbagarden.net/w/index.php?title=Tag_Call_(Cosmic_Eclipse_270)&amp;action=edit&amp;redlink=1" TargetMode="External"/><Relationship Id="rId15" Type="http://schemas.openxmlformats.org/officeDocument/2006/relationships/hyperlink" Target="https://bulbapedia.bulbagarden.net/wiki/Rowlet_(Cosmic_Eclipse_17)" TargetMode="External"/><Relationship Id="rId36" Type="http://schemas.openxmlformats.org/officeDocument/2006/relationships/hyperlink" Target="https://bulbapedia.bulbagarden.net/wiki/Golduck_(Cosmic_Eclipse_41)" TargetMode="External"/><Relationship Id="rId57" Type="http://schemas.openxmlformats.org/officeDocument/2006/relationships/hyperlink" Target="https://bulbapedia.bulbagarden.net/wiki/Wishiwashi_(Cosmic_Eclipse_62)" TargetMode="External"/><Relationship Id="rId106" Type="http://schemas.openxmlformats.org/officeDocument/2006/relationships/hyperlink" Target="https://bulbapedia.bulbagarden.net/wiki/Excadrill_(Cosmic_Eclipse_115)" TargetMode="External"/><Relationship Id="rId127" Type="http://schemas.openxmlformats.org/officeDocument/2006/relationships/hyperlink" Target="https://bulbapedia.bulbagarden.net/wiki/Alolan_Sandshrew_(Cosmic_Eclipse_137)" TargetMode="External"/><Relationship Id="rId10" Type="http://schemas.openxmlformats.org/officeDocument/2006/relationships/hyperlink" Target="https://bulbapedia.bulbagarden.net/wiki/Tropius_(Cosmic_Eclipse_12)" TargetMode="External"/><Relationship Id="rId31" Type="http://schemas.openxmlformats.org/officeDocument/2006/relationships/hyperlink" Target="https://bulbapedia.bulbagarden.net/wiki/Larvesta_(Cosmic_Eclipse_34)" TargetMode="External"/><Relationship Id="rId52" Type="http://schemas.openxmlformats.org/officeDocument/2006/relationships/hyperlink" Target="https://bulbapedia.bulbagarden.net/wiki/Phione_(Cosmic_Eclipse_57)" TargetMode="External"/><Relationship Id="rId73" Type="http://schemas.openxmlformats.org/officeDocument/2006/relationships/hyperlink" Target="https://bulbapedia.bulbagarden.net/wiki/Ralts_(Cosmic_Eclipse_80)" TargetMode="External"/><Relationship Id="rId78" Type="http://schemas.openxmlformats.org/officeDocument/2006/relationships/hyperlink" Target="https://bulbapedia.bulbagarden.net/w/index.php?title=Dusknoir_(Cosmic_Eclipse_85)&amp;action=edit&amp;redlink=1" TargetMode="External"/><Relationship Id="rId94" Type="http://schemas.openxmlformats.org/officeDocument/2006/relationships/hyperlink" Target="https://bulbapedia.bulbagarden.net/wiki/Lunala_(Cosmic_Eclipse_102)" TargetMode="External"/><Relationship Id="rId99" Type="http://schemas.openxmlformats.org/officeDocument/2006/relationships/hyperlink" Target="https://bulbapedia.bulbagarden.net/wiki/Trapinch_(Cosmic_Eclipse_107)" TargetMode="External"/><Relationship Id="rId101" Type="http://schemas.openxmlformats.org/officeDocument/2006/relationships/hyperlink" Target="https://bulbapedia.bulbagarden.net/wiki/Vibrava_(Cosmic_Eclipse_109)" TargetMode="External"/><Relationship Id="rId122" Type="http://schemas.openxmlformats.org/officeDocument/2006/relationships/hyperlink" Target="https://bulbapedia.bulbagarden.net/wiki/Carvanha_(Cosmic_Eclipse_132)" TargetMode="External"/><Relationship Id="rId143" Type="http://schemas.openxmlformats.org/officeDocument/2006/relationships/hyperlink" Target="https://bulbapedia.bulbagarden.net/wiki/Slurpuff_(Cosmic_Eclipse_154)" TargetMode="External"/><Relationship Id="rId148" Type="http://schemas.openxmlformats.org/officeDocument/2006/relationships/hyperlink" Target="https://bulbapedia.bulbagarden.net/wiki/Hakamo-o_(Cosmic_Eclipse_162)" TargetMode="External"/><Relationship Id="rId164" Type="http://schemas.openxmlformats.org/officeDocument/2006/relationships/hyperlink" Target="https://bulbapedia.bulbagarden.net/wiki/Helioptile_(Cosmic_Eclipse_179)" TargetMode="External"/><Relationship Id="rId169" Type="http://schemas.openxmlformats.org/officeDocument/2006/relationships/hyperlink" Target="https://bulbapedia.bulbagarden.net/wiki/Beastite_(Cosmic_Eclipse_185)" TargetMode="External"/><Relationship Id="rId185" Type="http://schemas.openxmlformats.org/officeDocument/2006/relationships/hyperlink" Target="https://bulbapedia.bulbagarden.net/wiki/Professor_Oak%27s_Setup_(Cosmic_Eclipse_201)" TargetMode="External"/><Relationship Id="rId4" Type="http://schemas.openxmlformats.org/officeDocument/2006/relationships/hyperlink" Target="https://bulbapedia.bulbagarden.net/wiki/Tangrowth_(Cosmic_Eclipse_6)" TargetMode="External"/><Relationship Id="rId9" Type="http://schemas.openxmlformats.org/officeDocument/2006/relationships/hyperlink" Target="https://bulbapedia.bulbagarden.net/wiki/Cradily_(Cosmic_Eclipse_11)" TargetMode="External"/><Relationship Id="rId180" Type="http://schemas.openxmlformats.org/officeDocument/2006/relationships/hyperlink" Target="https://bulbapedia.bulbagarden.net/wiki/Lillie%27s_Full_Force_(Cosmic_Eclipse_196)" TargetMode="External"/><Relationship Id="rId210" Type="http://schemas.openxmlformats.org/officeDocument/2006/relationships/hyperlink" Target="https://bulbapedia.bulbagarden.net/wiki/Excadrill_(Cosmic_Eclipse_246)" TargetMode="External"/><Relationship Id="rId215" Type="http://schemas.openxmlformats.org/officeDocument/2006/relationships/hyperlink" Target="https://bulbapedia.bulbagarden.net/w/index.php?title=Island_Challenge_Amulet_(Cosmic_Eclipse_265)&amp;action=edit&amp;redlink=1" TargetMode="External"/><Relationship Id="rId26" Type="http://schemas.openxmlformats.org/officeDocument/2006/relationships/hyperlink" Target="https://bulbapedia.bulbagarden.net/wiki/Torkoal_(Cosmic_Eclipse_29)" TargetMode="External"/><Relationship Id="rId47" Type="http://schemas.openxmlformats.org/officeDocument/2006/relationships/hyperlink" Target="https://bulbapedia.bulbagarden.net/wiki/Walrein_(Cosmic_Eclipse_52)" TargetMode="External"/><Relationship Id="rId68" Type="http://schemas.openxmlformats.org/officeDocument/2006/relationships/hyperlink" Target="https://bulbapedia.bulbagarden.net/wiki/Togedemaru_(Cosmic_Eclipse_74)" TargetMode="External"/><Relationship Id="rId89" Type="http://schemas.openxmlformats.org/officeDocument/2006/relationships/hyperlink" Target="https://bulbapedia.bulbagarden.net/wiki/Mimikyu_(Cosmic_Eclipse_97)" TargetMode="External"/><Relationship Id="rId112" Type="http://schemas.openxmlformats.org/officeDocument/2006/relationships/hyperlink" Target="https://bulbapedia.bulbagarden.net/wiki/Crabrawler_(Cosmic_Eclipse_121)" TargetMode="External"/><Relationship Id="rId133" Type="http://schemas.openxmlformats.org/officeDocument/2006/relationships/hyperlink" Target="https://bulbapedia.bulbagarden.net/wiki/Clefairy_(Cosmic_Eclipse_144)" TargetMode="External"/><Relationship Id="rId154" Type="http://schemas.openxmlformats.org/officeDocument/2006/relationships/hyperlink" Target="https://bulbapedia.bulbagarden.net/wiki/Aipom_(Cosmic_Eclipse_169)" TargetMode="External"/><Relationship Id="rId175" Type="http://schemas.openxmlformats.org/officeDocument/2006/relationships/hyperlink" Target="https://bulbapedia.bulbagarden.net/w/index.php?title=Erika_(Cosmic_Eclipse_191)&amp;action=edit&amp;redlink=1" TargetMode="External"/><Relationship Id="rId196" Type="http://schemas.openxmlformats.org/officeDocument/2006/relationships/hyperlink" Target="https://bulbapedia.bulbagarden.net/wiki/Lillie%27s_Full_Force_(Cosmic_Eclipse_230)" TargetMode="External"/><Relationship Id="rId200" Type="http://schemas.openxmlformats.org/officeDocument/2006/relationships/hyperlink" Target="https://bulbapedia.bulbagarden.net/w/index.php?title=Rosa_(Cosmic_Eclipse_236)&amp;action=edit&amp;redlink=1" TargetMode="External"/><Relationship Id="rId16" Type="http://schemas.openxmlformats.org/officeDocument/2006/relationships/hyperlink" Target="https://bulbapedia.bulbagarden.net/wiki/Rowlet_(Cosmic_Eclipse_18)" TargetMode="External"/><Relationship Id="rId221" Type="http://schemas.openxmlformats.org/officeDocument/2006/relationships/hyperlink" Target="https://bulbapedia.bulbagarden.net/w/index.php?title=Draw_Energy_(Cosmic_Eclipse_270)&amp;action=edit&amp;redlink=1" TargetMode="External"/><Relationship Id="rId37" Type="http://schemas.openxmlformats.org/officeDocument/2006/relationships/hyperlink" Target="https://bulbapedia.bulbagarden.net/wiki/Vaporeon_(Cosmic_Eclipse_42)" TargetMode="External"/><Relationship Id="rId58" Type="http://schemas.openxmlformats.org/officeDocument/2006/relationships/hyperlink" Target="https://bulbapedia.bulbagarden.net/wiki/Dewpider_(Cosmic_Eclipse_64)" TargetMode="External"/><Relationship Id="rId79" Type="http://schemas.openxmlformats.org/officeDocument/2006/relationships/hyperlink" Target="https://bulbapedia.bulbagarden.net/wiki/Rotom_(Cosmic_Eclipse_86)" TargetMode="External"/><Relationship Id="rId102" Type="http://schemas.openxmlformats.org/officeDocument/2006/relationships/hyperlink" Target="https://bulbapedia.bulbagarden.net/wiki/Anorith_(Cosmic_Eclipse_111)" TargetMode="External"/><Relationship Id="rId123" Type="http://schemas.openxmlformats.org/officeDocument/2006/relationships/hyperlink" Target="https://bulbapedia.bulbagarden.net/wiki/Absol_(Cosmic_Eclipse_133)" TargetMode="External"/><Relationship Id="rId144" Type="http://schemas.openxmlformats.org/officeDocument/2006/relationships/hyperlink" Target="https://bulbapedia.bulbagarden.net/wiki/Sylveon_(Cosmic_Eclipse_155)" TargetMode="External"/><Relationship Id="rId90" Type="http://schemas.openxmlformats.org/officeDocument/2006/relationships/hyperlink" Target="https://bulbapedia.bulbagarden.net/wiki/Dhelmise_(Cosmic_Eclipse_98)" TargetMode="External"/><Relationship Id="rId165" Type="http://schemas.openxmlformats.org/officeDocument/2006/relationships/hyperlink" Target="https://bulbapedia.bulbagarden.net/wiki/Heliolisk_(Cosmic_Eclipse_180)" TargetMode="External"/><Relationship Id="rId186" Type="http://schemas.openxmlformats.org/officeDocument/2006/relationships/hyperlink" Target="https://bulbapedia.bulbagarden.net/wiki/Red_%26_Blue_(Cosmic_Eclipse_202)" TargetMode="External"/><Relationship Id="rId211" Type="http://schemas.openxmlformats.org/officeDocument/2006/relationships/hyperlink" Target="https://bulbapedia.bulbagarden.net/wiki/Steelix_(Cosmic_Eclipse_247)" TargetMode="External"/><Relationship Id="rId27" Type="http://schemas.openxmlformats.org/officeDocument/2006/relationships/hyperlink" Target="https://bulbapedia.bulbagarden.net/wiki/Victini_(Cosmic_Eclipse_30)" TargetMode="External"/><Relationship Id="rId48" Type="http://schemas.openxmlformats.org/officeDocument/2006/relationships/hyperlink" Target="https://bulbapedia.bulbagarden.net/wiki/Kyogre_(Cosmic_Eclipse_53)" TargetMode="External"/><Relationship Id="rId69" Type="http://schemas.openxmlformats.org/officeDocument/2006/relationships/hyperlink" Target="https://bulbapedia.bulbagarden.net/wiki/Koffing_(Cosmic_Eclipse_76)" TargetMode="External"/><Relationship Id="rId113" Type="http://schemas.openxmlformats.org/officeDocument/2006/relationships/hyperlink" Target="https://bulbapedia.bulbagarden.net/wiki/Crabominable_(Cosmic_Eclipse_122)" TargetMode="External"/><Relationship Id="rId134" Type="http://schemas.openxmlformats.org/officeDocument/2006/relationships/hyperlink" Target="https://bulbapedia.bulbagarden.net/w/index.php?title=Alolan_Ninetales_(Cosmic_Eclipse_145)&amp;action=edit&amp;redlink=1" TargetMode="External"/><Relationship Id="rId80" Type="http://schemas.openxmlformats.org/officeDocument/2006/relationships/hyperlink" Target="https://bulbapedia.bulbagarden.net/wiki/Woobat_(Cosmic_Eclipse_87)" TargetMode="External"/><Relationship Id="rId155" Type="http://schemas.openxmlformats.org/officeDocument/2006/relationships/hyperlink" Target="https://bulbapedia.bulbagarden.net/wiki/Ambipom_(Cosmic_Eclipse_170)" TargetMode="External"/><Relationship Id="rId176" Type="http://schemas.openxmlformats.org/officeDocument/2006/relationships/hyperlink" Target="https://bulbapedia.bulbagarden.net/wiki/Great_Catcher_(Cosmic_Eclipse_192)" TargetMode="External"/><Relationship Id="rId197" Type="http://schemas.openxmlformats.org/officeDocument/2006/relationships/hyperlink" Target="https://bulbapedia.bulbagarden.net/wiki/Mallow_%26_Lana_(Cosmic_Eclipse_231)" TargetMode="External"/><Relationship Id="rId201" Type="http://schemas.openxmlformats.org/officeDocument/2006/relationships/hyperlink" Target="https://bulbapedia.bulbagarden.net/wiki/Torkoal_(Cosmic_Eclipse_237)" TargetMode="External"/><Relationship Id="rId17" Type="http://schemas.openxmlformats.org/officeDocument/2006/relationships/hyperlink" Target="https://bulbapedia.bulbagarden.net/wiki/Dartrix_(Cosmic_Eclipse_19)" TargetMode="External"/><Relationship Id="rId38" Type="http://schemas.openxmlformats.org/officeDocument/2006/relationships/hyperlink" Target="https://bulbapedia.bulbagarden.net/wiki/Sneasel_(Cosmic_Eclipse_43)" TargetMode="External"/><Relationship Id="rId59" Type="http://schemas.openxmlformats.org/officeDocument/2006/relationships/hyperlink" Target="https://bulbapedia.bulbagarden.net/wiki/Araquanid_(Cosmic_Eclipse_65)" TargetMode="External"/><Relationship Id="rId103" Type="http://schemas.openxmlformats.org/officeDocument/2006/relationships/hyperlink" Target="https://bulbapedia.bulbagarden.net/wiki/Armaldo_(Cosmic_Eclipse_112)" TargetMode="External"/><Relationship Id="rId124" Type="http://schemas.openxmlformats.org/officeDocument/2006/relationships/hyperlink" Target="https://bulbapedia.bulbagarden.net/wiki/Pawniard_(Cosmic_Eclipse_134)" TargetMode="External"/><Relationship Id="rId70" Type="http://schemas.openxmlformats.org/officeDocument/2006/relationships/hyperlink" Target="https://bulbapedia.bulbagarden.net/wiki/Weezing_(Cosmic_Eclipse_77)" TargetMode="External"/><Relationship Id="rId91" Type="http://schemas.openxmlformats.org/officeDocument/2006/relationships/hyperlink" Target="https://bulbapedia.bulbagarden.net/wiki/Cosmog_(Cosmic_Eclipse_99)" TargetMode="External"/><Relationship Id="rId145" Type="http://schemas.openxmlformats.org/officeDocument/2006/relationships/hyperlink" Target="https://bulbapedia.bulbagarden.net/wiki/Drampa_(Cosmic_Eclipse_159)" TargetMode="External"/><Relationship Id="rId166" Type="http://schemas.openxmlformats.org/officeDocument/2006/relationships/hyperlink" Target="https://bulbapedia.bulbagarden.net/wiki/Stufful_(Cosmic_Eclipse_181)" TargetMode="External"/><Relationship Id="rId187" Type="http://schemas.openxmlformats.org/officeDocument/2006/relationships/hyperlink" Target="https://bulbapedia.bulbagarden.net/wiki/Roller_Skater_(Cosmic_Eclipse_203)" TargetMode="External"/><Relationship Id="rId1" Type="http://schemas.openxmlformats.org/officeDocument/2006/relationships/hyperlink" Target="https://bulbapedia.bulbagarden.net/wiki/Oddish_(Cosmic_Eclipse_2)" TargetMode="External"/><Relationship Id="rId212" Type="http://schemas.openxmlformats.org/officeDocument/2006/relationships/hyperlink" Target="https://bulbapedia.bulbagarden.net/wiki/Stoutland_(Cosmic_Eclipse_248)" TargetMode="External"/><Relationship Id="rId28" Type="http://schemas.openxmlformats.org/officeDocument/2006/relationships/hyperlink" Target="https://bulbapedia.bulbagarden.net/wiki/Tepig_(Cosmic_Eclipse_31)" TargetMode="External"/><Relationship Id="rId49" Type="http://schemas.openxmlformats.org/officeDocument/2006/relationships/hyperlink" Target="https://bulbapedia.bulbagarden.net/wiki/Piplup_(Cosmic_Eclipse_54)" TargetMode="External"/><Relationship Id="rId114" Type="http://schemas.openxmlformats.org/officeDocument/2006/relationships/hyperlink" Target="https://bulbapedia.bulbagarden.net/wiki/Rockruff_(Cosmic_Eclipse_123)" TargetMode="External"/><Relationship Id="rId60" Type="http://schemas.openxmlformats.org/officeDocument/2006/relationships/hyperlink" Target="https://bulbapedia.bulbagarden.net/wiki/Pikachu_(Cosmic_Eclipse_66)" TargetMode="External"/><Relationship Id="rId81" Type="http://schemas.openxmlformats.org/officeDocument/2006/relationships/hyperlink" Target="https://bulbapedia.bulbagarden.net/wiki/Swoobat_(Cosmic_Eclipse_88)" TargetMode="External"/><Relationship Id="rId135" Type="http://schemas.openxmlformats.org/officeDocument/2006/relationships/hyperlink" Target="https://bulbapedia.bulbagarden.net/wiki/Azurill_(Cosmic_Eclipse_146)" TargetMode="External"/><Relationship Id="rId156" Type="http://schemas.openxmlformats.org/officeDocument/2006/relationships/hyperlink" Target="https://bulbapedia.bulbagarden.net/wiki/Teddiursa_(Cosmic_Eclipse_171)" TargetMode="External"/><Relationship Id="rId177" Type="http://schemas.openxmlformats.org/officeDocument/2006/relationships/hyperlink" Target="https://bulbapedia.bulbagarden.net/wiki/Guzma_%26_Hala_(Cosmic_Eclipse_193)" TargetMode="External"/><Relationship Id="rId198" Type="http://schemas.openxmlformats.org/officeDocument/2006/relationships/hyperlink" Target="https://bulbapedia.bulbagarden.net/wiki/Red_%26_Blue_(Cosmic_Eclipse_234)" TargetMode="External"/><Relationship Id="rId202" Type="http://schemas.openxmlformats.org/officeDocument/2006/relationships/hyperlink" Target="https://bulbapedia.bulbagarden.net/wiki/Weavile_(Cosmic_Eclipse_238)" TargetMode="External"/><Relationship Id="rId18" Type="http://schemas.openxmlformats.org/officeDocument/2006/relationships/hyperlink" Target="https://bulbapedia.bulbagarden.net/w/index.php?title=Decidueye_(Cosmic_Eclipse_20)&amp;action=edit&amp;redlink=1" TargetMode="External"/><Relationship Id="rId39" Type="http://schemas.openxmlformats.org/officeDocument/2006/relationships/hyperlink" Target="https://bulbapedia.bulbagarden.net/wiki/Weavile_(Cosmic_Eclipse_44)" TargetMode="External"/><Relationship Id="rId50" Type="http://schemas.openxmlformats.org/officeDocument/2006/relationships/hyperlink" Target="https://bulbapedia.bulbagarden.net/wiki/Prinplup_(Cosmic_Eclipse_55)" TargetMode="External"/><Relationship Id="rId104" Type="http://schemas.openxmlformats.org/officeDocument/2006/relationships/hyperlink" Target="https://bulbapedia.bulbagarden.net/wiki/Groudon_(Cosmic_Eclipse_113)" TargetMode="External"/><Relationship Id="rId125" Type="http://schemas.openxmlformats.org/officeDocument/2006/relationships/hyperlink" Target="https://bulbapedia.bulbagarden.net/wiki/Bisharp_(Cosmic_Eclipse_135)" TargetMode="External"/><Relationship Id="rId146" Type="http://schemas.openxmlformats.org/officeDocument/2006/relationships/hyperlink" Target="https://bulbapedia.bulbagarden.net/wiki/Jangmo-o_(Cosmic_Eclipse_160)" TargetMode="External"/><Relationship Id="rId167" Type="http://schemas.openxmlformats.org/officeDocument/2006/relationships/hyperlink" Target="https://bulbapedia.bulbagarden.net/wiki/Bewear_(Cosmic_Eclipse_182)" TargetMode="External"/><Relationship Id="rId188" Type="http://schemas.openxmlformats.org/officeDocument/2006/relationships/hyperlink" Target="https://bulbapedia.bulbagarden.net/w/index.php?title=Rosa_(Cosmic_Eclipse_204)&amp;action=edit&amp;redlink=1" TargetMode="External"/><Relationship Id="rId71" Type="http://schemas.openxmlformats.org/officeDocument/2006/relationships/hyperlink" Target="https://bulbapedia.bulbagarden.net/wiki/Natu_(Cosmic_Eclipse_78)" TargetMode="External"/><Relationship Id="rId92" Type="http://schemas.openxmlformats.org/officeDocument/2006/relationships/hyperlink" Target="https://bulbapedia.bulbagarden.net/wiki/Cosmog_(Cosmic_Eclipse_100)" TargetMode="External"/><Relationship Id="rId213" Type="http://schemas.openxmlformats.org/officeDocument/2006/relationships/hyperlink" Target="https://bulbapedia.bulbagarden.net/w/index.php?title=Giant_Hearth_(Cosmic_Eclipse_263)&amp;action=edit&amp;redlink=1" TargetMode="External"/><Relationship Id="rId2" Type="http://schemas.openxmlformats.org/officeDocument/2006/relationships/hyperlink" Target="https://bulbapedia.bulbagarden.net/wiki/Gloom_(Cosmic_Eclipse_3)" TargetMode="External"/><Relationship Id="rId29" Type="http://schemas.openxmlformats.org/officeDocument/2006/relationships/hyperlink" Target="https://bulbapedia.bulbagarden.net/wiki/Pignite_(Cosmic_Eclipse_32)" TargetMode="External"/><Relationship Id="rId40" Type="http://schemas.openxmlformats.org/officeDocument/2006/relationships/hyperlink" Target="https://bulbapedia.bulbagarden.net/wiki/Wailmer_(Cosmic_Eclipse_45)" TargetMode="External"/><Relationship Id="rId115" Type="http://schemas.openxmlformats.org/officeDocument/2006/relationships/hyperlink" Target="https://bulbapedia.bulbagarden.net/wiki/Lycanroc_(Cosmic_Eclipse_124)" TargetMode="External"/><Relationship Id="rId136" Type="http://schemas.openxmlformats.org/officeDocument/2006/relationships/hyperlink" Target="https://bulbapedia.bulbagarden.net/wiki/Cottonee_(Cosmic_Eclipse_147)" TargetMode="External"/><Relationship Id="rId157" Type="http://schemas.openxmlformats.org/officeDocument/2006/relationships/hyperlink" Target="https://bulbapedia.bulbagarden.net/wiki/Ursaring_(Cosmic_Eclipse_172)" TargetMode="External"/><Relationship Id="rId178" Type="http://schemas.openxmlformats.org/officeDocument/2006/relationships/hyperlink" Target="https://bulbapedia.bulbagarden.net/wiki/Island_Challenge_Amulet_(Cosmic_Eclipse_194)" TargetMode="External"/><Relationship Id="rId61" Type="http://schemas.openxmlformats.org/officeDocument/2006/relationships/hyperlink" Target="https://bulbapedia.bulbagarden.net/w/index.php?title=Raichu_(Cosmic_Eclipse_67)&amp;action=edit&amp;redlink=1" TargetMode="External"/><Relationship Id="rId82" Type="http://schemas.openxmlformats.org/officeDocument/2006/relationships/hyperlink" Target="https://bulbapedia.bulbagarden.net/wiki/Golett_(Cosmic_Eclipse_89)" TargetMode="External"/><Relationship Id="rId199" Type="http://schemas.openxmlformats.org/officeDocument/2006/relationships/hyperlink" Target="https://bulbapedia.bulbagarden.net/wiki/Roller_Skater_(Cosmic_Eclipse_235)" TargetMode="External"/><Relationship Id="rId203" Type="http://schemas.openxmlformats.org/officeDocument/2006/relationships/hyperlink" Target="https://bulbapedia.bulbagarden.net/wiki/Piplup_(Cosmic_Eclipse_239)" TargetMode="External"/><Relationship Id="rId19" Type="http://schemas.openxmlformats.org/officeDocument/2006/relationships/hyperlink" Target="https://bulbapedia.bulbagarden.net/wiki/Buzzwole_(Cosmic_Eclipse_21)" TargetMode="External"/><Relationship Id="rId30" Type="http://schemas.openxmlformats.org/officeDocument/2006/relationships/hyperlink" Target="https://bulbapedia.bulbagarden.net/wiki/Emboar_(Cosmic_Eclipse_33)" TargetMode="External"/><Relationship Id="rId105" Type="http://schemas.openxmlformats.org/officeDocument/2006/relationships/hyperlink" Target="https://bulbapedia.bulbagarden.net/wiki/Drilbur_(Cosmic_Eclipse_114)" TargetMode="External"/><Relationship Id="rId126" Type="http://schemas.openxmlformats.org/officeDocument/2006/relationships/hyperlink" Target="https://bulbapedia.bulbagarden.net/wiki/Guzzlord_(Cosmic_Eclipse_136)" TargetMode="External"/><Relationship Id="rId147" Type="http://schemas.openxmlformats.org/officeDocument/2006/relationships/hyperlink" Target="https://bulbapedia.bulbagarden.net/wiki/Jangmo-o_(Cosmic_Eclipse_161)" TargetMode="External"/><Relationship Id="rId168" Type="http://schemas.openxmlformats.org/officeDocument/2006/relationships/hyperlink" Target="https://bulbapedia.bulbagarden.net/wiki/Type:_Null_(Cosmic_Eclipse_183)" TargetMode="External"/></Relationships>
</file>

<file path=xl/worksheets/_rels/sheet83.xml.rels><?xml version="1.0" encoding="UTF-8" standalone="yes"?>
<Relationships xmlns="http://schemas.openxmlformats.org/package/2006/relationships"><Relationship Id="rId117" Type="http://schemas.openxmlformats.org/officeDocument/2006/relationships/hyperlink" Target="https://bulbapedia.bulbagarden.net/wiki/Galarian_Moltres_(SWSH_Promo_125)" TargetMode="External"/><Relationship Id="rId21" Type="http://schemas.openxmlformats.org/officeDocument/2006/relationships/hyperlink" Target="https://bulbapedia.bulbagarden.net/w/index.php?title=Rayquaza_(SWSH_Promo_29)&amp;action=edit&amp;redlink=1" TargetMode="External"/><Relationship Id="rId42" Type="http://schemas.openxmlformats.org/officeDocument/2006/relationships/hyperlink" Target="https://bulbapedia.bulbagarden.net/wiki/Charizard_V_(SWSH_Promo_50)" TargetMode="External"/><Relationship Id="rId63" Type="http://schemas.openxmlformats.org/officeDocument/2006/relationships/hyperlink" Target="https://bulbapedia.bulbagarden.net/wiki/Scorbunny_(SWSH_Promo_71)" TargetMode="External"/><Relationship Id="rId84" Type="http://schemas.openxmlformats.org/officeDocument/2006/relationships/hyperlink" Target="https://bulbapedia.bulbagarden.net/w/index.php?title=Charmander_(SWSH_Promo_92)&amp;action=edit&amp;redlink=1" TargetMode="External"/><Relationship Id="rId138" Type="http://schemas.openxmlformats.org/officeDocument/2006/relationships/hyperlink" Target="https://bulbapedia.bulbagarden.net/w/index.php?title=Poke_Ball_(SWSH_Promo_146)&amp;action=edit&amp;redlink=1" TargetMode="External"/><Relationship Id="rId159" Type="http://schemas.openxmlformats.org/officeDocument/2006/relationships/hyperlink" Target="https://bulbapedia.bulbagarden.net/w/index.php?title=Oricorio_(SWSH_Promo_168)&amp;action=edit&amp;redlink=1" TargetMode="External"/><Relationship Id="rId170" Type="http://schemas.openxmlformats.org/officeDocument/2006/relationships/hyperlink" Target="https://bulbapedia.bulbagarden.net/w/index.php?title=Flareon_V_(SWSH_Promo_179)&amp;action=edit&amp;redlink=1" TargetMode="External"/><Relationship Id="rId191" Type="http://schemas.openxmlformats.org/officeDocument/2006/relationships/hyperlink" Target="https://bulbapedia.bulbagarden.net/w/index.php?title=Espeon_V_(SWSH_Promo_201)&amp;action=edit&amp;redlink=1" TargetMode="External"/><Relationship Id="rId107" Type="http://schemas.openxmlformats.org/officeDocument/2006/relationships/hyperlink" Target="https://bulbapedia.bulbagarden.net/w/index.php?title=Passimian_(SWSH_Promo_115)&amp;action=edit&amp;redlink=1" TargetMode="External"/><Relationship Id="rId11" Type="http://schemas.openxmlformats.org/officeDocument/2006/relationships/hyperlink" Target="https://bulbapedia.bulbagarden.net/wiki/Cinderace_V_(SWSH_Promo_15)" TargetMode="External"/><Relationship Id="rId32" Type="http://schemas.openxmlformats.org/officeDocument/2006/relationships/hyperlink" Target="https://bulbapedia.bulbagarden.net/wiki/Hatenna_(SWSH_Promo_40)" TargetMode="External"/><Relationship Id="rId53" Type="http://schemas.openxmlformats.org/officeDocument/2006/relationships/hyperlink" Target="https://bulbapedia.bulbagarden.net/w/index.php?title=Pikachu_V_(SWSH_Promo_61)&amp;action=edit&amp;redlink=1" TargetMode="External"/><Relationship Id="rId74" Type="http://schemas.openxmlformats.org/officeDocument/2006/relationships/hyperlink" Target="https://bulbapedia.bulbagarden.net/w/index.php?title=Bunnelby_(SWSH_Promo_82)&amp;action=edit&amp;redlink=1" TargetMode="External"/><Relationship Id="rId128" Type="http://schemas.openxmlformats.org/officeDocument/2006/relationships/hyperlink" Target="https://bulbapedia.bulbagarden.net/w/index.php?title=Mimikyu_%CE%B4_(SWSH_Promo_136)&amp;action=edit&amp;redlink=1" TargetMode="External"/><Relationship Id="rId149" Type="http://schemas.openxmlformats.org/officeDocument/2006/relationships/hyperlink" Target="https://bulbapedia.bulbagarden.net/wiki/Greninja_V-UNION_(SWSH_Promo_158)" TargetMode="External"/><Relationship Id="rId5" Type="http://schemas.openxmlformats.org/officeDocument/2006/relationships/hyperlink" Target="https://bulbapedia.bulbagarden.net/wiki/Meowth_VMAX_(SWSH_Promo_5)" TargetMode="External"/><Relationship Id="rId95" Type="http://schemas.openxmlformats.org/officeDocument/2006/relationships/hyperlink" Target="https://bulbapedia.bulbagarden.net/w/index.php?title=Blastoise_VMAX_(SWSH_Promo_103)&amp;action=edit&amp;redlink=1" TargetMode="External"/><Relationship Id="rId160" Type="http://schemas.openxmlformats.org/officeDocument/2006/relationships/hyperlink" Target="https://bulbapedia.bulbagarden.net/w/index.php?title=Pyukumuku_(SWSH_Promo_169)&amp;action=edit&amp;redlink=1" TargetMode="External"/><Relationship Id="rId181" Type="http://schemas.openxmlformats.org/officeDocument/2006/relationships/hyperlink" Target="https://bulbapedia.bulbagarden.net/w/index.php?title=Eevee_(SWSH_Promo_190)&amp;action=edit&amp;redlink=1" TargetMode="External"/><Relationship Id="rId22" Type="http://schemas.openxmlformats.org/officeDocument/2006/relationships/hyperlink" Target="https://bulbapedia.bulbagarden.net/w/index.php?title=Copperajah_V_(SWSH_Promo_30)&amp;action=edit&amp;redlink=1" TargetMode="External"/><Relationship Id="rId43" Type="http://schemas.openxmlformats.org/officeDocument/2006/relationships/hyperlink" Target="https://bulbapedia.bulbagarden.net/wiki/Lapras_(SWSH_Promo_51)" TargetMode="External"/><Relationship Id="rId64" Type="http://schemas.openxmlformats.org/officeDocument/2006/relationships/hyperlink" Target="https://bulbapedia.bulbagarden.net/wiki/Vaporeon_(SWSH_Promo_72)" TargetMode="External"/><Relationship Id="rId118" Type="http://schemas.openxmlformats.org/officeDocument/2006/relationships/hyperlink" Target="https://bulbapedia.bulbagarden.net/w/index.php?title=Galarian_Slowpoke_(SWSH_Promo_126)&amp;action=edit&amp;redlink=1" TargetMode="External"/><Relationship Id="rId139" Type="http://schemas.openxmlformats.org/officeDocument/2006/relationships/hyperlink" Target="https://bulbapedia.bulbagarden.net/wiki/Rayquaza_V_(SWSH_Promo_147)" TargetMode="External"/><Relationship Id="rId85" Type="http://schemas.openxmlformats.org/officeDocument/2006/relationships/hyperlink" Target="https://bulbapedia.bulbagarden.net/w/index.php?title=Arrokuda_(SWSH_Promo_93)&amp;action=edit&amp;redlink=1" TargetMode="External"/><Relationship Id="rId150" Type="http://schemas.openxmlformats.org/officeDocument/2006/relationships/hyperlink" Target="https://bulbapedia.bulbagarden.net/wiki/Mewtwo_V-UNION_(SWSH_Promo_159)" TargetMode="External"/><Relationship Id="rId171" Type="http://schemas.openxmlformats.org/officeDocument/2006/relationships/hyperlink" Target="https://bulbapedia.bulbagarden.net/w/index.php?title=Flareon_VMAX_(SWSH_Promo_180)&amp;action=edit&amp;redlink=1" TargetMode="External"/><Relationship Id="rId192" Type="http://schemas.openxmlformats.org/officeDocument/2006/relationships/hyperlink" Target="https://bulbapedia.bulbagarden.net/w/index.php?title=Sylveon_V_(SWSH_Promo_202)&amp;action=edit&amp;redlink=1" TargetMode="External"/><Relationship Id="rId12" Type="http://schemas.openxmlformats.org/officeDocument/2006/relationships/hyperlink" Target="https://bulbapedia.bulbagarden.net/wiki/Inteleon_V_(SWSH_Promo_16)" TargetMode="External"/><Relationship Id="rId33" Type="http://schemas.openxmlformats.org/officeDocument/2006/relationships/hyperlink" Target="https://bulbapedia.bulbagarden.net/wiki/Flareon_(SWSH_Promo_41)" TargetMode="External"/><Relationship Id="rId108" Type="http://schemas.openxmlformats.org/officeDocument/2006/relationships/hyperlink" Target="https://bulbapedia.bulbagarden.net/wiki/Morpeko_(SWSH_Promo_116)" TargetMode="External"/><Relationship Id="rId129" Type="http://schemas.openxmlformats.org/officeDocument/2006/relationships/hyperlink" Target="https://bulbapedia.bulbagarden.net/w/index.php?title=Light_Toxtricity_(SWSH_Promo_137)&amp;action=edit&amp;redlink=1" TargetMode="External"/><Relationship Id="rId54" Type="http://schemas.openxmlformats.org/officeDocument/2006/relationships/hyperlink" Target="https://bulbapedia.bulbagarden.net/wiki/Pikachu_VMAX_(SWSH_Promo_62)" TargetMode="External"/><Relationship Id="rId75" Type="http://schemas.openxmlformats.org/officeDocument/2006/relationships/hyperlink" Target="https://bulbapedia.bulbagarden.net/wiki/Alakazam_V_(SWSH_Promo_83)" TargetMode="External"/><Relationship Id="rId96" Type="http://schemas.openxmlformats.org/officeDocument/2006/relationships/hyperlink" Target="https://bulbapedia.bulbagarden.net/w/index.php?title=Victini_V_(SWSH_Promo_104)&amp;action=edit&amp;redlink=1" TargetMode="External"/><Relationship Id="rId140" Type="http://schemas.openxmlformats.org/officeDocument/2006/relationships/hyperlink" Target="https://bulbapedia.bulbagarden.net/wiki/Noivern_V_(SWSH_Promo_148)" TargetMode="External"/><Relationship Id="rId161" Type="http://schemas.openxmlformats.org/officeDocument/2006/relationships/hyperlink" Target="https://bulbapedia.bulbagarden.net/w/index.php?title=Deoxys_(SWSH_Promo_170)&amp;action=edit&amp;redlink=1" TargetMode="External"/><Relationship Id="rId182" Type="http://schemas.openxmlformats.org/officeDocument/2006/relationships/hyperlink" Target="https://bulbapedia.bulbagarden.net/w/index.php?title=Leafeon_(SWSH_Promo_191)&amp;action=edit&amp;redlink=1" TargetMode="External"/><Relationship Id="rId6" Type="http://schemas.openxmlformats.org/officeDocument/2006/relationships/hyperlink" Target="https://bulbapedia.bulbagarden.net/wiki/Gossifleur_(SWSH_Promo_10)" TargetMode="External"/><Relationship Id="rId23" Type="http://schemas.openxmlformats.org/officeDocument/2006/relationships/hyperlink" Target="https://bulbapedia.bulbagarden.net/wiki/Morpeko_(SWSH_Promo_31)" TargetMode="External"/><Relationship Id="rId119" Type="http://schemas.openxmlformats.org/officeDocument/2006/relationships/hyperlink" Target="https://bulbapedia.bulbagarden.net/w/index.php?title=Eevee_(SWSH_Promo_127)&amp;action=edit&amp;redlink=1" TargetMode="External"/><Relationship Id="rId44" Type="http://schemas.openxmlformats.org/officeDocument/2006/relationships/hyperlink" Target="https://bulbapedia.bulbagarden.net/wiki/Gengar_(SWSH_Promo_52)" TargetMode="External"/><Relationship Id="rId65" Type="http://schemas.openxmlformats.org/officeDocument/2006/relationships/hyperlink" Target="https://bulbapedia.bulbagarden.net/wiki/Sobble_(SWSH_Promo_73)" TargetMode="External"/><Relationship Id="rId86" Type="http://schemas.openxmlformats.org/officeDocument/2006/relationships/hyperlink" Target="https://bulbapedia.bulbagarden.net/w/index.php?title=Jolteon_(SWSH_Promo_94)&amp;action=edit&amp;redlink=1" TargetMode="External"/><Relationship Id="rId130" Type="http://schemas.openxmlformats.org/officeDocument/2006/relationships/hyperlink" Target="https://bulbapedia.bulbagarden.net/wiki/Hydreigon_C_(SWSH_Promo_138)" TargetMode="External"/><Relationship Id="rId151" Type="http://schemas.openxmlformats.org/officeDocument/2006/relationships/hyperlink" Target="https://bulbapedia.bulbagarden.net/wiki/Mewtwo_V-UNION_(SWSH_Promo_160)" TargetMode="External"/><Relationship Id="rId172" Type="http://schemas.openxmlformats.org/officeDocument/2006/relationships/hyperlink" Target="https://bulbapedia.bulbagarden.net/w/index.php?title=Vaporeon_V_(SWSH_Promo_181)&amp;action=edit&amp;redlink=1" TargetMode="External"/><Relationship Id="rId193" Type="http://schemas.openxmlformats.org/officeDocument/2006/relationships/hyperlink" Target="https://bulbapedia.bulbagarden.net/w/index.php?title=Umbreon_V_(SWSH_Promo_203)&amp;action=edit&amp;redlink=1" TargetMode="External"/><Relationship Id="rId13" Type="http://schemas.openxmlformats.org/officeDocument/2006/relationships/hyperlink" Target="https://bulbapedia.bulbagarden.net/wiki/Toxtricity_V_(SWSH_Promo_17)" TargetMode="External"/><Relationship Id="rId109" Type="http://schemas.openxmlformats.org/officeDocument/2006/relationships/hyperlink" Target="https://bulbapedia.bulbagarden.net/wiki/Phanpy_(SWSH_Promo_117)" TargetMode="External"/><Relationship Id="rId34" Type="http://schemas.openxmlformats.org/officeDocument/2006/relationships/hyperlink" Target="https://bulbapedia.bulbagarden.net/wiki/Eevee_(SWSH_Promo_42)" TargetMode="External"/><Relationship Id="rId55" Type="http://schemas.openxmlformats.org/officeDocument/2006/relationships/hyperlink" Target="https://bulbapedia.bulbagarden.net/wiki/Pikachu_V_(SWSH_Promo_63)" TargetMode="External"/><Relationship Id="rId76" Type="http://schemas.openxmlformats.org/officeDocument/2006/relationships/hyperlink" Target="https://bulbapedia.bulbagarden.net/w/index.php?title=Eldegoss_V_(SWSH_Promo_84)&amp;action=edit&amp;redlink=1" TargetMode="External"/><Relationship Id="rId97" Type="http://schemas.openxmlformats.org/officeDocument/2006/relationships/hyperlink" Target="https://bulbapedia.bulbagarden.net/w/index.php?title=Gardevoir_V_(SWSH_Promo_105)&amp;action=edit&amp;redlink=1" TargetMode="External"/><Relationship Id="rId120" Type="http://schemas.openxmlformats.org/officeDocument/2006/relationships/hyperlink" Target="https://bulbapedia.bulbagarden.net/w/index.php?title=Eiscue_(SWSH_Promo_128)&amp;action=edit&amp;redlink=1" TargetMode="External"/><Relationship Id="rId141" Type="http://schemas.openxmlformats.org/officeDocument/2006/relationships/hyperlink" Target="https://bulbapedia.bulbagarden.net/wiki/Flareon_V_(SWSH_Promo_149)" TargetMode="External"/><Relationship Id="rId7" Type="http://schemas.openxmlformats.org/officeDocument/2006/relationships/hyperlink" Target="https://bulbapedia.bulbagarden.net/wiki/Wooloo_(SWSH_Promo_11)" TargetMode="External"/><Relationship Id="rId162" Type="http://schemas.openxmlformats.org/officeDocument/2006/relationships/hyperlink" Target="https://bulbapedia.bulbagarden.net/w/index.php?title=Latias_(SWSH_Promo_171)&amp;action=edit&amp;redlink=1" TargetMode="External"/><Relationship Id="rId183" Type="http://schemas.openxmlformats.org/officeDocument/2006/relationships/hyperlink" Target="https://bulbapedia.bulbagarden.net/w/index.php?title=Glaceon_(SWSH_Promo_192)&amp;action=edit&amp;redlink=1" TargetMode="External"/><Relationship Id="rId2" Type="http://schemas.openxmlformats.org/officeDocument/2006/relationships/hyperlink" Target="https://bulbapedia.bulbagarden.net/wiki/Scorbunny_(SWSH_Promo_2)" TargetMode="External"/><Relationship Id="rId29" Type="http://schemas.openxmlformats.org/officeDocument/2006/relationships/hyperlink" Target="https://bulbapedia.bulbagarden.net/wiki/Hydreigon_(SWSH_Promo_37)" TargetMode="External"/><Relationship Id="rId24" Type="http://schemas.openxmlformats.org/officeDocument/2006/relationships/hyperlink" Target="https://bulbapedia.bulbagarden.net/wiki/Snorlax_(SWSH_Promo_32)" TargetMode="External"/><Relationship Id="rId40" Type="http://schemas.openxmlformats.org/officeDocument/2006/relationships/hyperlink" Target="https://bulbapedia.bulbagarden.net/wiki/Centiskorch_(SWSH_Promo_48)" TargetMode="External"/><Relationship Id="rId45" Type="http://schemas.openxmlformats.org/officeDocument/2006/relationships/hyperlink" Target="https://bulbapedia.bulbagarden.net/w/index.php?title=Machamp_(SWSH_Promo_53)&amp;action=edit&amp;redlink=1" TargetMode="External"/><Relationship Id="rId66" Type="http://schemas.openxmlformats.org/officeDocument/2006/relationships/hyperlink" Target="https://bulbapedia.bulbagarden.net/w/index.php?title=Special_Delivery_Pikachu_(SWSH_Promo_74)&amp;action=edit&amp;redlink=1" TargetMode="External"/><Relationship Id="rId87" Type="http://schemas.openxmlformats.org/officeDocument/2006/relationships/hyperlink" Target="https://bulbapedia.bulbagarden.net/w/index.php?title=Eevee_(SWSH_Promo_95)&amp;action=edit&amp;redlink=1" TargetMode="External"/><Relationship Id="rId110" Type="http://schemas.openxmlformats.org/officeDocument/2006/relationships/hyperlink" Target="https://bulbapedia.bulbagarden.net/wiki/Eevee_(SWSH_Promo_118)" TargetMode="External"/><Relationship Id="rId115" Type="http://schemas.openxmlformats.org/officeDocument/2006/relationships/hyperlink" Target="https://bulbapedia.bulbagarden.net/wiki/Galarian_Articuno_(SWSH_Promo_123)" TargetMode="External"/><Relationship Id="rId131" Type="http://schemas.openxmlformats.org/officeDocument/2006/relationships/hyperlink" Target="https://bulbapedia.bulbagarden.net/wiki/Pikachu_V-UNION_(SWSH_Promo_139)" TargetMode="External"/><Relationship Id="rId136" Type="http://schemas.openxmlformats.org/officeDocument/2006/relationships/hyperlink" Target="https://bulbapedia.bulbagarden.net/wiki/Greninja_%E2%98%86_(SWSH_Promo_144)" TargetMode="External"/><Relationship Id="rId157" Type="http://schemas.openxmlformats.org/officeDocument/2006/relationships/hyperlink" Target="https://bulbapedia.bulbagarden.net/wiki/Zacian_V-UNION_(SWSH_Promo_166)" TargetMode="External"/><Relationship Id="rId178" Type="http://schemas.openxmlformats.org/officeDocument/2006/relationships/hyperlink" Target="https://bulbapedia.bulbagarden.net/wiki/Liepard_(SWSH_Promo_187)" TargetMode="External"/><Relationship Id="rId61" Type="http://schemas.openxmlformats.org/officeDocument/2006/relationships/hyperlink" Target="https://bulbapedia.bulbagarden.net/wiki/Lugia_(SWSH_Promo_69)" TargetMode="External"/><Relationship Id="rId82" Type="http://schemas.openxmlformats.org/officeDocument/2006/relationships/hyperlink" Target="https://bulbapedia.bulbagarden.net/w/index.php?title=Houndoom_(SWSH_Promo_90)&amp;action=edit&amp;redlink=1" TargetMode="External"/><Relationship Id="rId152" Type="http://schemas.openxmlformats.org/officeDocument/2006/relationships/hyperlink" Target="https://bulbapedia.bulbagarden.net/wiki/Mewtwo_V-UNION_(SWSH_Promo_161)" TargetMode="External"/><Relationship Id="rId173" Type="http://schemas.openxmlformats.org/officeDocument/2006/relationships/hyperlink" Target="https://bulbapedia.bulbagarden.net/w/index.php?title=Vaporeon_VMAX_(SWSH_Promo_182)&amp;action=edit&amp;redlink=1" TargetMode="External"/><Relationship Id="rId194" Type="http://schemas.openxmlformats.org/officeDocument/2006/relationships/hyperlink" Target="https://bulbapedia.bulbagarden.net/w/index.php?title=Sylveon_(SWSH_Promo_211)&amp;action=edit&amp;redlink=1" TargetMode="External"/><Relationship Id="rId199" Type="http://schemas.openxmlformats.org/officeDocument/2006/relationships/hyperlink" Target="https://bulbapedia.bulbagarden.net/w/index.php?title=Morpeko_V-UNION_(SWSH_Promo_216)&amp;action=edit&amp;redlink=1" TargetMode="External"/><Relationship Id="rId19" Type="http://schemas.openxmlformats.org/officeDocument/2006/relationships/hyperlink" Target="https://bulbapedia.bulbagarden.net/w/index.php?title=Noctowl_(SWSH_Promo_27)&amp;action=edit&amp;redlink=1" TargetMode="External"/><Relationship Id="rId14" Type="http://schemas.openxmlformats.org/officeDocument/2006/relationships/hyperlink" Target="https://bulbapedia.bulbagarden.net/w/index.php?title=Zacian_V_(SWSH_Promo_18)&amp;action=edit&amp;redlink=1" TargetMode="External"/><Relationship Id="rId30" Type="http://schemas.openxmlformats.org/officeDocument/2006/relationships/hyperlink" Target="https://bulbapedia.bulbagarden.net/wiki/Kangaskhan_(SWSH_Promo_38)" TargetMode="External"/><Relationship Id="rId35" Type="http://schemas.openxmlformats.org/officeDocument/2006/relationships/hyperlink" Target="https://bulbapedia.bulbagarden.net/w/index.php?title=Galarian_Sirfetch%27d_V_(SWSH_Promo_43)&amp;action=edit&amp;redlink=1" TargetMode="External"/><Relationship Id="rId56" Type="http://schemas.openxmlformats.org/officeDocument/2006/relationships/hyperlink" Target="https://bulbapedia.bulbagarden.net/wiki/Eternatus_V_(SWSH_Promo_64)" TargetMode="External"/><Relationship Id="rId77" Type="http://schemas.openxmlformats.org/officeDocument/2006/relationships/hyperlink" Target="https://bulbapedia.bulbagarden.net/w/index.php?title=Boltund_V_(SWSH_Promo_85)&amp;action=edit&amp;redlink=1" TargetMode="External"/><Relationship Id="rId100" Type="http://schemas.openxmlformats.org/officeDocument/2006/relationships/hyperlink" Target="https://bulbapedia.bulbagarden.net/w/index.php?title=Empoleon_V_(SWSH_Promo_108)&amp;action=edit&amp;redlink=1" TargetMode="External"/><Relationship Id="rId105" Type="http://schemas.openxmlformats.org/officeDocument/2006/relationships/hyperlink" Target="https://bulbapedia.bulbagarden.net/w/index.php?title=Inteleon_(SWSH_Promo_113)&amp;action=edit&amp;redlink=1" TargetMode="External"/><Relationship Id="rId126" Type="http://schemas.openxmlformats.org/officeDocument/2006/relationships/hyperlink" Target="https://bulbapedia.bulbagarden.net/wiki/Dark_Sylveon_V_(SWSH_Promo_134)" TargetMode="External"/><Relationship Id="rId147" Type="http://schemas.openxmlformats.org/officeDocument/2006/relationships/hyperlink" Target="https://bulbapedia.bulbagarden.net/wiki/Greninja_V-UNION_(SWSH_Promo_156)" TargetMode="External"/><Relationship Id="rId168" Type="http://schemas.openxmlformats.org/officeDocument/2006/relationships/hyperlink" Target="https://bulbapedia.bulbagarden.net/wiki/Special_Delivery_Bidoof_(SWSH_Promo_177)" TargetMode="External"/><Relationship Id="rId8" Type="http://schemas.openxmlformats.org/officeDocument/2006/relationships/hyperlink" Target="https://bulbapedia.bulbagarden.net/w/index.php?title=Morpeko_(SWSH_Promo_12)&amp;action=edit&amp;redlink=1" TargetMode="External"/><Relationship Id="rId51" Type="http://schemas.openxmlformats.org/officeDocument/2006/relationships/hyperlink" Target="https://bulbapedia.bulbagarden.net/wiki/Galarian_Obstagoon_(SWSH_Promo_59)" TargetMode="External"/><Relationship Id="rId72" Type="http://schemas.openxmlformats.org/officeDocument/2006/relationships/hyperlink" Target="https://bulbapedia.bulbagarden.net/w/index.php?title=Dedenne_(SWSH_Promo_80)&amp;action=edit&amp;redlink=1" TargetMode="External"/><Relationship Id="rId93" Type="http://schemas.openxmlformats.org/officeDocument/2006/relationships/hyperlink" Target="https://bulbapedia.bulbagarden.net/wiki/Blastoise_V_(SWSH_Promo_101)" TargetMode="External"/><Relationship Id="rId98" Type="http://schemas.openxmlformats.org/officeDocument/2006/relationships/hyperlink" Target="https://bulbapedia.bulbagarden.net/wiki/Single_Strike_Urshifu_V_(SWSH_Promo_106)" TargetMode="External"/><Relationship Id="rId121" Type="http://schemas.openxmlformats.org/officeDocument/2006/relationships/hyperlink" Target="https://bulbapedia.bulbagarden.net/w/index.php?title=Umbreon_(SWSH_Promo_129)&amp;action=edit&amp;redlink=1" TargetMode="External"/><Relationship Id="rId142" Type="http://schemas.openxmlformats.org/officeDocument/2006/relationships/hyperlink" Target="https://bulbapedia.bulbagarden.net/wiki/Vaporeon_V_(SWSH_Promo_150)" TargetMode="External"/><Relationship Id="rId163" Type="http://schemas.openxmlformats.org/officeDocument/2006/relationships/hyperlink" Target="https://bulbapedia.bulbagarden.net/wiki/Tepig_(SWSH_Promo_172)" TargetMode="External"/><Relationship Id="rId184" Type="http://schemas.openxmlformats.org/officeDocument/2006/relationships/hyperlink" Target="https://bulbapedia.bulbagarden.net/w/index.php?title=Leafeon_V_(SWSH_Promo_194)&amp;action=edit&amp;redlink=1" TargetMode="External"/><Relationship Id="rId189" Type="http://schemas.openxmlformats.org/officeDocument/2006/relationships/hyperlink" Target="https://bulbapedia.bulbagarden.net/w/index.php?title=Lycanroc_V_(SWSH_Promo_199)&amp;action=edit&amp;redlink=1" TargetMode="External"/><Relationship Id="rId3" Type="http://schemas.openxmlformats.org/officeDocument/2006/relationships/hyperlink" Target="https://bulbapedia.bulbagarden.net/wiki/Sobble_(SWSH_Promo_3)" TargetMode="External"/><Relationship Id="rId25" Type="http://schemas.openxmlformats.org/officeDocument/2006/relationships/hyperlink" Target="https://bulbapedia.bulbagarden.net/wiki/Zacian_(SWSH_Promo_33)" TargetMode="External"/><Relationship Id="rId46" Type="http://schemas.openxmlformats.org/officeDocument/2006/relationships/hyperlink" Target="https://bulbapedia.bulbagarden.net/wiki/Coalossal_(SWSH_Promo_54)" TargetMode="External"/><Relationship Id="rId67" Type="http://schemas.openxmlformats.org/officeDocument/2006/relationships/hyperlink" Target="https://bulbapedia.bulbagarden.net/w/index.php?title=Special_Delivery_Charizard_(SWSH_Promo_75)&amp;action=edit&amp;redlink=1" TargetMode="External"/><Relationship Id="rId116" Type="http://schemas.openxmlformats.org/officeDocument/2006/relationships/hyperlink" Target="https://bulbapedia.bulbagarden.net/wiki/Galarian_Zapdos_(SWSH_Promo_124)" TargetMode="External"/><Relationship Id="rId137" Type="http://schemas.openxmlformats.org/officeDocument/2006/relationships/hyperlink" Target="https://bulbapedia.bulbagarden.net/w/index.php?title=Pikachu_V_(SWSH_Promo_145)&amp;action=edit&amp;redlink=1" TargetMode="External"/><Relationship Id="rId158" Type="http://schemas.openxmlformats.org/officeDocument/2006/relationships/hyperlink" Target="https://bulbapedia.bulbagarden.net/wiki/Professor_Burnet_(SWSH_Promo_167)" TargetMode="External"/><Relationship Id="rId20" Type="http://schemas.openxmlformats.org/officeDocument/2006/relationships/hyperlink" Target="https://bulbapedia.bulbagarden.net/w/index.php?title=Duraludon_(SWSH_Promo_28)&amp;action=edit&amp;redlink=1" TargetMode="External"/><Relationship Id="rId41" Type="http://schemas.openxmlformats.org/officeDocument/2006/relationships/hyperlink" Target="https://bulbapedia.bulbagarden.net/wiki/Dubwool_V_(SWSH_Promo_49)" TargetMode="External"/><Relationship Id="rId62" Type="http://schemas.openxmlformats.org/officeDocument/2006/relationships/hyperlink" Target="https://bulbapedia.bulbagarden.net/wiki/Grookey_(SWSH_Promo_70)" TargetMode="External"/><Relationship Id="rId83" Type="http://schemas.openxmlformats.org/officeDocument/2006/relationships/hyperlink" Target="https://bulbapedia.bulbagarden.net/w/index.php?title=Bronzong_(SWSH_Promo_91)&amp;action=edit&amp;redlink=1" TargetMode="External"/><Relationship Id="rId88" Type="http://schemas.openxmlformats.org/officeDocument/2006/relationships/hyperlink" Target="https://bulbapedia.bulbagarden.net/w/index.php?title=Dragapult_V_(SWSH_Promo_96)&amp;action=edit&amp;redlink=1" TargetMode="External"/><Relationship Id="rId111" Type="http://schemas.openxmlformats.org/officeDocument/2006/relationships/hyperlink" Target="https://bulbapedia.bulbagarden.net/wiki/Snorlax_(SWSH_Promo_119)" TargetMode="External"/><Relationship Id="rId132" Type="http://schemas.openxmlformats.org/officeDocument/2006/relationships/hyperlink" Target="https://bulbapedia.bulbagarden.net/wiki/Pikachu_V-UNION_(SWSH_Promo_140)" TargetMode="External"/><Relationship Id="rId153" Type="http://schemas.openxmlformats.org/officeDocument/2006/relationships/hyperlink" Target="https://bulbapedia.bulbagarden.net/wiki/Mewtwo_V-UNION_(SWSH_Promo_162)" TargetMode="External"/><Relationship Id="rId174" Type="http://schemas.openxmlformats.org/officeDocument/2006/relationships/hyperlink" Target="https://bulbapedia.bulbagarden.net/w/index.php?title=Jolteon_V_(SWSH_Promo_183)&amp;action=edit&amp;redlink=1" TargetMode="External"/><Relationship Id="rId179" Type="http://schemas.openxmlformats.org/officeDocument/2006/relationships/hyperlink" Target="https://bulbapedia.bulbagarden.net/wiki/Bibarel_(SWSH_Promo_188)" TargetMode="External"/><Relationship Id="rId195" Type="http://schemas.openxmlformats.org/officeDocument/2006/relationships/hyperlink" Target="https://bulbapedia.bulbagarden.net/w/index.php?title=Eevee_(SWSH_Promo_212)&amp;action=edit&amp;redlink=1" TargetMode="External"/><Relationship Id="rId190" Type="http://schemas.openxmlformats.org/officeDocument/2006/relationships/hyperlink" Target="https://bulbapedia.bulbagarden.net/w/index.php?title=Corviknight_V_(SWSH_Promo_200)&amp;action=edit&amp;redlink=1" TargetMode="External"/><Relationship Id="rId15" Type="http://schemas.openxmlformats.org/officeDocument/2006/relationships/hyperlink" Target="https://bulbapedia.bulbagarden.net/w/index.php?title=Zamazenta_V_(SWSH_Promo_19)&amp;action=edit&amp;redlink=1" TargetMode="External"/><Relationship Id="rId36" Type="http://schemas.openxmlformats.org/officeDocument/2006/relationships/hyperlink" Target="https://bulbapedia.bulbagarden.net/wiki/Eternatus_V_(SWSH_Promo_44)" TargetMode="External"/><Relationship Id="rId57" Type="http://schemas.openxmlformats.org/officeDocument/2006/relationships/hyperlink" Target="https://bulbapedia.bulbagarden.net/wiki/Eevee_V_(SWSH_Promo_65)" TargetMode="External"/><Relationship Id="rId106" Type="http://schemas.openxmlformats.org/officeDocument/2006/relationships/hyperlink" Target="https://bulbapedia.bulbagarden.net/w/index.php?title=Cresselia_(SWSH_Promo_114)&amp;action=edit&amp;redlink=1" TargetMode="External"/><Relationship Id="rId127" Type="http://schemas.openxmlformats.org/officeDocument/2006/relationships/hyperlink" Target="https://bulbapedia.bulbagarden.net/w/index.php?title=Zacian_LV.X_(SWSH_Promo_135)&amp;action=edit&amp;redlink=1" TargetMode="External"/><Relationship Id="rId10" Type="http://schemas.openxmlformats.org/officeDocument/2006/relationships/hyperlink" Target="https://bulbapedia.bulbagarden.net/wiki/Rillaboom_V_(SWSH_Promo_14)" TargetMode="External"/><Relationship Id="rId31" Type="http://schemas.openxmlformats.org/officeDocument/2006/relationships/hyperlink" Target="https://bulbapedia.bulbagarden.net/wiki/Pikachu_(SWSH_Promo_39)" TargetMode="External"/><Relationship Id="rId52" Type="http://schemas.openxmlformats.org/officeDocument/2006/relationships/hyperlink" Target="https://bulbapedia.bulbagarden.net/wiki/Duraludon_(SWSH_Promo_60)" TargetMode="External"/><Relationship Id="rId73" Type="http://schemas.openxmlformats.org/officeDocument/2006/relationships/hyperlink" Target="https://bulbapedia.bulbagarden.net/w/index.php?title=Polteageist_(SWSH_Promo_81)&amp;action=edit&amp;redlink=1" TargetMode="External"/><Relationship Id="rId78" Type="http://schemas.openxmlformats.org/officeDocument/2006/relationships/hyperlink" Target="https://bulbapedia.bulbagarden.net/w/index.php?title=Cramorant_V_(SWSH_Promo_86)&amp;action=edit&amp;redlink=1" TargetMode="External"/><Relationship Id="rId94" Type="http://schemas.openxmlformats.org/officeDocument/2006/relationships/hyperlink" Target="https://bulbapedia.bulbagarden.net/w/index.php?title=Venusaur_VMAX_(SWSH_Promo_102)&amp;action=edit&amp;redlink=1" TargetMode="External"/><Relationship Id="rId99" Type="http://schemas.openxmlformats.org/officeDocument/2006/relationships/hyperlink" Target="https://bulbapedia.bulbagarden.net/wiki/Rapid_Strike_Urshifu_V_(SWSH_Promo_107)" TargetMode="External"/><Relationship Id="rId101" Type="http://schemas.openxmlformats.org/officeDocument/2006/relationships/hyperlink" Target="https://bulbapedia.bulbagarden.net/w/index.php?title=Tyranitar_(SWSH_Promo_109)&amp;action=edit&amp;redlink=1" TargetMode="External"/><Relationship Id="rId122" Type="http://schemas.openxmlformats.org/officeDocument/2006/relationships/hyperlink" Target="https://bulbapedia.bulbagarden.net/wiki/Ice_Rider_Calyrex_V_(SWSH_Promo_130)" TargetMode="External"/><Relationship Id="rId143" Type="http://schemas.openxmlformats.org/officeDocument/2006/relationships/hyperlink" Target="https://bulbapedia.bulbagarden.net/wiki/Jolteon_V_(SWSH_Promo_151)" TargetMode="External"/><Relationship Id="rId148" Type="http://schemas.openxmlformats.org/officeDocument/2006/relationships/hyperlink" Target="https://bulbapedia.bulbagarden.net/wiki/Greninja_V-UNION_(SWSH_Promo_157)" TargetMode="External"/><Relationship Id="rId164" Type="http://schemas.openxmlformats.org/officeDocument/2006/relationships/hyperlink" Target="https://bulbapedia.bulbagarden.net/wiki/Blitzle_(SWSH_Promo_173)" TargetMode="External"/><Relationship Id="rId169" Type="http://schemas.openxmlformats.org/officeDocument/2006/relationships/hyperlink" Target="https://bulbapedia.bulbagarden.net/wiki/Professor%27s_Research_(SWSH_Promo_178)" TargetMode="External"/><Relationship Id="rId185" Type="http://schemas.openxmlformats.org/officeDocument/2006/relationships/hyperlink" Target="https://bulbapedia.bulbagarden.net/w/index.php?title=Leafeon_VSTAR_(SWSH_Promo_195)&amp;action=edit&amp;redlink=1" TargetMode="External"/><Relationship Id="rId4" Type="http://schemas.openxmlformats.org/officeDocument/2006/relationships/hyperlink" Target="https://bulbapedia.bulbagarden.net/wiki/Meowth_V_(SWSH_Promo_4)" TargetMode="External"/><Relationship Id="rId9" Type="http://schemas.openxmlformats.org/officeDocument/2006/relationships/hyperlink" Target="https://bulbapedia.bulbagarden.net/wiki/Galarian_Ponyta_(SWSH_Promo_13)" TargetMode="External"/><Relationship Id="rId180" Type="http://schemas.openxmlformats.org/officeDocument/2006/relationships/hyperlink" Target="https://bulbapedia.bulbagarden.net/w/index.php?title=Flapple_(SWSH_Promo_189)&amp;action=edit&amp;redlink=1" TargetMode="External"/><Relationship Id="rId26" Type="http://schemas.openxmlformats.org/officeDocument/2006/relationships/hyperlink" Target="https://bulbapedia.bulbagarden.net/wiki/Zamazenta_(SWSH_Promo_34)" TargetMode="External"/><Relationship Id="rId47" Type="http://schemas.openxmlformats.org/officeDocument/2006/relationships/hyperlink" Target="https://bulbapedia.bulbagarden.net/wiki/Hatterene_V_(SWSH_Promo_55)" TargetMode="External"/><Relationship Id="rId68" Type="http://schemas.openxmlformats.org/officeDocument/2006/relationships/hyperlink" Target="https://bulbapedia.bulbagarden.net/w/index.php?title=Zacian_V_(SWSH_Promo_76)&amp;action=edit&amp;redlink=1" TargetMode="External"/><Relationship Id="rId89" Type="http://schemas.openxmlformats.org/officeDocument/2006/relationships/hyperlink" Target="https://bulbapedia.bulbagarden.net/w/index.php?title=Dragapult_VMAX_(SWSH_Promo_97)&amp;action=edit&amp;redlink=1" TargetMode="External"/><Relationship Id="rId112" Type="http://schemas.openxmlformats.org/officeDocument/2006/relationships/hyperlink" Target="https://bulbapedia.bulbagarden.net/w/index.php?title=Marnie_(SWSH_Promo_120)&amp;action=edit&amp;redlink=1" TargetMode="External"/><Relationship Id="rId133" Type="http://schemas.openxmlformats.org/officeDocument/2006/relationships/hyperlink" Target="https://bulbapedia.bulbagarden.net/wiki/Pikachu_V-UNION_(SWSH_Promo_141)" TargetMode="External"/><Relationship Id="rId154" Type="http://schemas.openxmlformats.org/officeDocument/2006/relationships/hyperlink" Target="https://bulbapedia.bulbagarden.net/wiki/Zacian_V-UNION_(SWSH_Promo_163)" TargetMode="External"/><Relationship Id="rId175" Type="http://schemas.openxmlformats.org/officeDocument/2006/relationships/hyperlink" Target="https://bulbapedia.bulbagarden.net/w/index.php?title=Jolteon_VMAX_(SWSH_Promo_184)&amp;action=edit&amp;redlink=1" TargetMode="External"/><Relationship Id="rId196" Type="http://schemas.openxmlformats.org/officeDocument/2006/relationships/hyperlink" Target="https://bulbapedia.bulbagarden.net/w/index.php?title=Lucario_V_(SWSH_Promo_213)&amp;action=edit&amp;redlink=1" TargetMode="External"/><Relationship Id="rId200" Type="http://schemas.openxmlformats.org/officeDocument/2006/relationships/hyperlink" Target="https://bulbapedia.bulbagarden.net/w/index.php?title=Morpeko_V-UNION_(SWSH_Promo_217)&amp;action=edit&amp;redlink=1" TargetMode="External"/><Relationship Id="rId16" Type="http://schemas.openxmlformats.org/officeDocument/2006/relationships/hyperlink" Target="https://bulbapedia.bulbagarden.net/w/index.php?title=Pikachu_(SWSH_Promo_20)&amp;action=edit&amp;redlink=1" TargetMode="External"/><Relationship Id="rId37" Type="http://schemas.openxmlformats.org/officeDocument/2006/relationships/hyperlink" Target="https://bulbapedia.bulbagarden.net/wiki/Eternatus_VMAX_(SWSH_Promo_45)" TargetMode="External"/><Relationship Id="rId58" Type="http://schemas.openxmlformats.org/officeDocument/2006/relationships/hyperlink" Target="https://bulbapedia.bulbagarden.net/wiki/Charizard_(SWSH_Promo_66)" TargetMode="External"/><Relationship Id="rId79" Type="http://schemas.openxmlformats.org/officeDocument/2006/relationships/hyperlink" Target="https://bulbapedia.bulbagarden.net/w/index.php?title=Eevee_VMAX_(SWSH_Promo_87)&amp;action=edit&amp;redlink=1" TargetMode="External"/><Relationship Id="rId102" Type="http://schemas.openxmlformats.org/officeDocument/2006/relationships/hyperlink" Target="https://bulbapedia.bulbagarden.net/wiki/Crobat_V_(SWSH_Promo_110)" TargetMode="External"/><Relationship Id="rId123" Type="http://schemas.openxmlformats.org/officeDocument/2006/relationships/hyperlink" Target="https://bulbapedia.bulbagarden.net/wiki/Shadow_Rider_Calyrex_V_(SWSH_Promo_131)" TargetMode="External"/><Relationship Id="rId144" Type="http://schemas.openxmlformats.org/officeDocument/2006/relationships/hyperlink" Target="https://bulbapedia.bulbagarden.net/w/index.php?title=Professor%27s_Research_(SWSH_Promo_152)&amp;action=edit&amp;redlink=1" TargetMode="External"/><Relationship Id="rId90" Type="http://schemas.openxmlformats.org/officeDocument/2006/relationships/hyperlink" Target="https://bulbapedia.bulbagarden.net/w/index.php?title=Crobat_V_(SWSH_Promo_98)&amp;action=edit&amp;redlink=1" TargetMode="External"/><Relationship Id="rId165" Type="http://schemas.openxmlformats.org/officeDocument/2006/relationships/hyperlink" Target="https://bulbapedia.bulbagarden.net/wiki/Espeon_(SWSH_Promo_174)" TargetMode="External"/><Relationship Id="rId186" Type="http://schemas.openxmlformats.org/officeDocument/2006/relationships/hyperlink" Target="https://bulbapedia.bulbagarden.net/w/index.php?title=Glaceon_V_(SWSH_Promo_196)&amp;action=edit&amp;redlink=1" TargetMode="External"/><Relationship Id="rId27" Type="http://schemas.openxmlformats.org/officeDocument/2006/relationships/hyperlink" Target="https://bulbapedia.bulbagarden.net/wiki/Decidueye_(SWSH_Promo_35)" TargetMode="External"/><Relationship Id="rId48" Type="http://schemas.openxmlformats.org/officeDocument/2006/relationships/hyperlink" Target="https://bulbapedia.bulbagarden.net/wiki/Morpeko_V_(SWSH_Promo_56)" TargetMode="External"/><Relationship Id="rId69" Type="http://schemas.openxmlformats.org/officeDocument/2006/relationships/hyperlink" Target="https://bulbapedia.bulbagarden.net/w/index.php?title=Zamazenta_V_(SWSH_Promo_77)&amp;action=edit&amp;redlink=1" TargetMode="External"/><Relationship Id="rId113" Type="http://schemas.openxmlformats.org/officeDocument/2006/relationships/hyperlink" Target="https://bulbapedia.bulbagarden.net/w/index.php?title=Marnie_(SWSH_Promo_121)&amp;action=edit&amp;redlink=1" TargetMode="External"/><Relationship Id="rId134" Type="http://schemas.openxmlformats.org/officeDocument/2006/relationships/hyperlink" Target="https://bulbapedia.bulbagarden.net/wiki/Pikachu_V-UNION_(SWSH_Promo_142)" TargetMode="External"/><Relationship Id="rId80" Type="http://schemas.openxmlformats.org/officeDocument/2006/relationships/hyperlink" Target="https://bulbapedia.bulbagarden.net/w/index.php?title=Cherrim_(SWSH_Promo_88)&amp;action=edit&amp;redlink=1" TargetMode="External"/><Relationship Id="rId155" Type="http://schemas.openxmlformats.org/officeDocument/2006/relationships/hyperlink" Target="https://bulbapedia.bulbagarden.net/wiki/Zacian_V-UNION_(SWSH_Promo_164)" TargetMode="External"/><Relationship Id="rId176" Type="http://schemas.openxmlformats.org/officeDocument/2006/relationships/hyperlink" Target="https://bulbapedia.bulbagarden.net/wiki/Moltres_(SWSH_Promo_185)" TargetMode="External"/><Relationship Id="rId197" Type="http://schemas.openxmlformats.org/officeDocument/2006/relationships/hyperlink" Target="https://bulbapedia.bulbagarden.net/wiki/Lucario_VSTAR_(SWSH_Promo_214)" TargetMode="External"/><Relationship Id="rId201" Type="http://schemas.openxmlformats.org/officeDocument/2006/relationships/hyperlink" Target="https://bulbapedia.bulbagarden.net/w/index.php?title=Morpeko_V-UNION_(SWSH_Promo_218)&amp;action=edit&amp;redlink=1" TargetMode="External"/><Relationship Id="rId17" Type="http://schemas.openxmlformats.org/officeDocument/2006/relationships/hyperlink" Target="https://bulbapedia.bulbagarden.net/w/index.php?title=Polteageist_V_(SWSH_Promo_21)&amp;action=edit&amp;redlink=1" TargetMode="External"/><Relationship Id="rId38" Type="http://schemas.openxmlformats.org/officeDocument/2006/relationships/hyperlink" Target="https://bulbapedia.bulbagarden.net/wiki/Eldegoss_(SWSH_Promo_46)" TargetMode="External"/><Relationship Id="rId59" Type="http://schemas.openxmlformats.org/officeDocument/2006/relationships/hyperlink" Target="https://bulbapedia.bulbagarden.net/wiki/Donphan_(SWSH_Promo_67)" TargetMode="External"/><Relationship Id="rId103" Type="http://schemas.openxmlformats.org/officeDocument/2006/relationships/hyperlink" Target="https://bulbapedia.bulbagarden.net/w/index.php?title=Galarian_Rapidash_(SWSH_Promo_111)&amp;action=edit&amp;redlink=1" TargetMode="External"/><Relationship Id="rId124" Type="http://schemas.openxmlformats.org/officeDocument/2006/relationships/hyperlink" Target="https://bulbapedia.bulbagarden.net/w/index.php?title=Dragapult_(SWSH_Promo_132)&amp;action=edit&amp;redlink=1" TargetMode="External"/><Relationship Id="rId70" Type="http://schemas.openxmlformats.org/officeDocument/2006/relationships/hyperlink" Target="https://bulbapedia.bulbagarden.net/wiki/Orbeetle_V_(SWSH_Promo_78)" TargetMode="External"/><Relationship Id="rId91" Type="http://schemas.openxmlformats.org/officeDocument/2006/relationships/hyperlink" Target="https://bulbapedia.bulbagarden.net/w/index.php?title=Crobat_VMAX_(SWSH_Promo_99)&amp;action=edit&amp;redlink=1" TargetMode="External"/><Relationship Id="rId145" Type="http://schemas.openxmlformats.org/officeDocument/2006/relationships/hyperlink" Target="https://bulbapedia.bulbagarden.net/wiki/Dragonite_V_(SWSH_Promo_154)" TargetMode="External"/><Relationship Id="rId166" Type="http://schemas.openxmlformats.org/officeDocument/2006/relationships/hyperlink" Target="https://bulbapedia.bulbagarden.net/wiki/Eevee_(SWSH_Promo_175)" TargetMode="External"/><Relationship Id="rId187" Type="http://schemas.openxmlformats.org/officeDocument/2006/relationships/hyperlink" Target="https://bulbapedia.bulbagarden.net/w/index.php?title=Glaceon_VSTAR_(SWSH_Promo_197)&amp;action=edit&amp;redlink=1" TargetMode="External"/><Relationship Id="rId1" Type="http://schemas.openxmlformats.org/officeDocument/2006/relationships/hyperlink" Target="https://bulbapedia.bulbagarden.net/wiki/Grookey_(SWSH_Promo_1)" TargetMode="External"/><Relationship Id="rId28" Type="http://schemas.openxmlformats.org/officeDocument/2006/relationships/hyperlink" Target="https://bulbapedia.bulbagarden.net/wiki/Arctozolt_(SWSH_Promo_36)" TargetMode="External"/><Relationship Id="rId49" Type="http://schemas.openxmlformats.org/officeDocument/2006/relationships/hyperlink" Target="https://bulbapedia.bulbagarden.net/wiki/Grimmsnarl_V_(SWSH_Promo_57)" TargetMode="External"/><Relationship Id="rId114" Type="http://schemas.openxmlformats.org/officeDocument/2006/relationships/hyperlink" Target="https://bulbapedia.bulbagarden.net/wiki/Flaaffy_(SWSH_Promo_122)" TargetMode="External"/><Relationship Id="rId60" Type="http://schemas.openxmlformats.org/officeDocument/2006/relationships/hyperlink" Target="https://bulbapedia.bulbagarden.net/wiki/Snorlax_(SWSH_Promo_68)" TargetMode="External"/><Relationship Id="rId81" Type="http://schemas.openxmlformats.org/officeDocument/2006/relationships/hyperlink" Target="https://bulbapedia.bulbagarden.net/w/index.php?title=Octillery_(SWSH_Promo_89)&amp;action=edit&amp;redlink=1" TargetMode="External"/><Relationship Id="rId135" Type="http://schemas.openxmlformats.org/officeDocument/2006/relationships/hyperlink" Target="https://bulbapedia.bulbagarden.net/wiki/Pikachu_V_(SWSH_Promo_143)" TargetMode="External"/><Relationship Id="rId156" Type="http://schemas.openxmlformats.org/officeDocument/2006/relationships/hyperlink" Target="https://bulbapedia.bulbagarden.net/wiki/Zacian_V-UNION_(SWSH_Promo_165)" TargetMode="External"/><Relationship Id="rId177" Type="http://schemas.openxmlformats.org/officeDocument/2006/relationships/hyperlink" Target="https://bulbapedia.bulbagarden.net/wiki/Lucario_(SWSH_Promo_186)" TargetMode="External"/><Relationship Id="rId198" Type="http://schemas.openxmlformats.org/officeDocument/2006/relationships/hyperlink" Target="https://bulbapedia.bulbagarden.net/w/index.php?title=Morpeko_V-UNION_(SWSH_Promo_215)&amp;action=edit&amp;redlink=1" TargetMode="External"/><Relationship Id="rId202" Type="http://schemas.openxmlformats.org/officeDocument/2006/relationships/hyperlink" Target="https://bulbapedia.bulbagarden.net/w/index.php?title=Boltund_V_(SWSH_Promo_219)&amp;action=edit&amp;redlink=1" TargetMode="External"/><Relationship Id="rId18" Type="http://schemas.openxmlformats.org/officeDocument/2006/relationships/hyperlink" Target="https://bulbapedia.bulbagarden.net/w/index.php?title=Mantine_(SWSH_Promo_26)&amp;action=edit&amp;redlink=1" TargetMode="External"/><Relationship Id="rId39" Type="http://schemas.openxmlformats.org/officeDocument/2006/relationships/hyperlink" Target="https://bulbapedia.bulbagarden.net/wiki/Drednaw_(SWSH_Promo_47)" TargetMode="External"/><Relationship Id="rId50" Type="http://schemas.openxmlformats.org/officeDocument/2006/relationships/hyperlink" Target="https://bulbapedia.bulbagarden.net/wiki/Alcremie_(SWSH_Promo_58)" TargetMode="External"/><Relationship Id="rId104" Type="http://schemas.openxmlformats.org/officeDocument/2006/relationships/hyperlink" Target="https://bulbapedia.bulbagarden.net/w/index.php?title=Cinderace_(SWSH_Promo_112)&amp;action=edit&amp;redlink=1" TargetMode="External"/><Relationship Id="rId125" Type="http://schemas.openxmlformats.org/officeDocument/2006/relationships/hyperlink" Target="https://bulbapedia.bulbagarden.net/wiki/Lance%27s_Charizard_V_(SWSH_Promo_133)" TargetMode="External"/><Relationship Id="rId146" Type="http://schemas.openxmlformats.org/officeDocument/2006/relationships/hyperlink" Target="https://bulbapedia.bulbagarden.net/wiki/Greninja_V-UNION_(SWSH_Promo_155)" TargetMode="External"/><Relationship Id="rId167" Type="http://schemas.openxmlformats.org/officeDocument/2006/relationships/hyperlink" Target="https://bulbapedia.bulbagarden.net/wiki/Hoopa_V_(SWSH_Promo_176)" TargetMode="External"/><Relationship Id="rId188" Type="http://schemas.openxmlformats.org/officeDocument/2006/relationships/hyperlink" Target="https://bulbapedia.bulbagarden.net/wiki/Pikachu_V_(SWSH_Promo_198)" TargetMode="External"/><Relationship Id="rId71" Type="http://schemas.openxmlformats.org/officeDocument/2006/relationships/hyperlink" Target="https://bulbapedia.bulbagarden.net/w/index.php?title=Galarian_Mr._Rime_(SWSH_Promo_79)&amp;action=edit&amp;redlink=1" TargetMode="External"/><Relationship Id="rId92" Type="http://schemas.openxmlformats.org/officeDocument/2006/relationships/hyperlink" Target="https://bulbapedia.bulbagarden.net/wiki/Venusaur_V_(SWSH_Promo_100)" TargetMode="External"/></Relationships>
</file>

<file path=xl/worksheets/_rels/sheet84.xml.rels><?xml version="1.0" encoding="UTF-8" standalone="yes"?>
<Relationships xmlns="http://schemas.openxmlformats.org/package/2006/relationships"><Relationship Id="rId117" Type="http://schemas.openxmlformats.org/officeDocument/2006/relationships/hyperlink" Target="https://bulbapedia.bulbagarden.net/wiki/Bisharp_(Sword_%26_Shield_134)" TargetMode="External"/><Relationship Id="rId21" Type="http://schemas.openxmlformats.org/officeDocument/2006/relationships/hyperlink" Target="https://bulbapedia.bulbagarden.net/wiki/Ninetales_(Sword_%26_Shield_23)" TargetMode="External"/><Relationship Id="rId42" Type="http://schemas.openxmlformats.org/officeDocument/2006/relationships/hyperlink" Target="https://bulbapedia.bulbagarden.net/wiki/Goldeen_(Sword_%26_Shield_46)" TargetMode="External"/><Relationship Id="rId63" Type="http://schemas.openxmlformats.org/officeDocument/2006/relationships/hyperlink" Target="https://bulbapedia.bulbagarden.net/wiki/Galvantula_(Sword_%26_Shield_71)" TargetMode="External"/><Relationship Id="rId84" Type="http://schemas.openxmlformats.org/officeDocument/2006/relationships/hyperlink" Target="https://bulbapedia.bulbagarden.net/wiki/Rhyhorn_(Sword_%26_Shield_97)" TargetMode="External"/><Relationship Id="rId138" Type="http://schemas.openxmlformats.org/officeDocument/2006/relationships/hyperlink" Target="https://bulbapedia.bulbagarden.net/wiki/Energy_Retrieval_(Sword_%26_Shield_160)" TargetMode="External"/><Relationship Id="rId159" Type="http://schemas.openxmlformats.org/officeDocument/2006/relationships/hyperlink" Target="https://bulbapedia.bulbagarden.net/wiki/Rotom_Bike_(Sword_%26_Shield_181)" TargetMode="External"/><Relationship Id="rId170" Type="http://schemas.openxmlformats.org/officeDocument/2006/relationships/hyperlink" Target="https://bulbapedia.bulbagarden.net/wiki/Marnie_(Sword_%26_Shield_208)" TargetMode="External"/><Relationship Id="rId107" Type="http://schemas.openxmlformats.org/officeDocument/2006/relationships/hyperlink" Target="https://bulbapedia.bulbagarden.net/wiki/Toxicroak_(Sword_%26_Shield_124)" TargetMode="External"/><Relationship Id="rId11" Type="http://schemas.openxmlformats.org/officeDocument/2006/relationships/hyperlink" Target="https://bulbapedia.bulbagarden.net/wiki/Thwackey_(Sword_%26_Shield_13)" TargetMode="External"/><Relationship Id="rId32" Type="http://schemas.openxmlformats.org/officeDocument/2006/relationships/hyperlink" Target="https://bulbapedia.bulbagarden.net/wiki/Cinderace_(Sword_%26_Shield_36)" TargetMode="External"/><Relationship Id="rId53" Type="http://schemas.openxmlformats.org/officeDocument/2006/relationships/hyperlink" Target="https://bulbapedia.bulbagarden.net/wiki/Drednaw_(Sword_%26_Shield_61)" TargetMode="External"/><Relationship Id="rId74" Type="http://schemas.openxmlformats.org/officeDocument/2006/relationships/hyperlink" Target="https://bulbapedia.bulbagarden.net/wiki/Gengar_(Sword_%26_Shield_85)" TargetMode="External"/><Relationship Id="rId128" Type="http://schemas.openxmlformats.org/officeDocument/2006/relationships/hyperlink" Target="https://bulbapedia.bulbagarden.net/wiki/Drampa_(Sword_%26_Shield_149)" TargetMode="External"/><Relationship Id="rId149" Type="http://schemas.openxmlformats.org/officeDocument/2006/relationships/hyperlink" Target="https://bulbapedia.bulbagarden.net/wiki/Ordinary_Rod_(Sword_%26_Shield_171)" TargetMode="External"/><Relationship Id="rId5" Type="http://schemas.openxmlformats.org/officeDocument/2006/relationships/hyperlink" Target="https://bulbapedia.bulbagarden.net/wiki/Whimsicott_(Sword_%26_Shield_6)" TargetMode="External"/><Relationship Id="rId95" Type="http://schemas.openxmlformats.org/officeDocument/2006/relationships/hyperlink" Target="https://bulbapedia.bulbagarden.net/wiki/Sandaconda_(Sword_%26_Shield_109)" TargetMode="External"/><Relationship Id="rId160" Type="http://schemas.openxmlformats.org/officeDocument/2006/relationships/hyperlink" Target="https://bulbapedia.bulbagarden.net/wiki/Sitrus_Berry_(Sword_%26_Shield_182)" TargetMode="External"/><Relationship Id="rId22" Type="http://schemas.openxmlformats.org/officeDocument/2006/relationships/hyperlink" Target="https://bulbapedia.bulbagarden.net/wiki/Heatmor_(Sword_%26_Shield_26)" TargetMode="External"/><Relationship Id="rId43" Type="http://schemas.openxmlformats.org/officeDocument/2006/relationships/hyperlink" Target="https://bulbapedia.bulbagarden.net/wiki/Seaking_(Sword_%26_Shield_47)" TargetMode="External"/><Relationship Id="rId64" Type="http://schemas.openxmlformats.org/officeDocument/2006/relationships/hyperlink" Target="https://bulbapedia.bulbagarden.net/wiki/Yamper_(Sword_%26_Shield_73)" TargetMode="External"/><Relationship Id="rId118" Type="http://schemas.openxmlformats.org/officeDocument/2006/relationships/hyperlink" Target="https://bulbapedia.bulbagarden.net/wiki/Corviknight_(Sword_%26_Shield_135)" TargetMode="External"/><Relationship Id="rId139" Type="http://schemas.openxmlformats.org/officeDocument/2006/relationships/hyperlink" Target="https://bulbapedia.bulbagarden.net/wiki/Energy_Search_(Sword_%26_Shield_161)" TargetMode="External"/><Relationship Id="rId85" Type="http://schemas.openxmlformats.org/officeDocument/2006/relationships/hyperlink" Target="https://bulbapedia.bulbagarden.net/wiki/Rhydon_(Sword_%26_Shield_98)" TargetMode="External"/><Relationship Id="rId150" Type="http://schemas.openxmlformats.org/officeDocument/2006/relationships/hyperlink" Target="https://bulbapedia.bulbagarden.net/wiki/Pal_Pad_(Sword_%26_Shield_172)" TargetMode="External"/><Relationship Id="rId171" Type="http://schemas.openxmlformats.org/officeDocument/2006/relationships/hyperlink" Target="https://bulbapedia.bulbagarden.net/wiki/Professor%27s_Research_(Sword_%26_Shield_209)" TargetMode="External"/><Relationship Id="rId12" Type="http://schemas.openxmlformats.org/officeDocument/2006/relationships/hyperlink" Target="https://bulbapedia.bulbagarden.net/wiki/Rillaboom_(Sword_%26_Shield_14)" TargetMode="External"/><Relationship Id="rId33" Type="http://schemas.openxmlformats.org/officeDocument/2006/relationships/hyperlink" Target="https://bulbapedia.bulbagarden.net/wiki/Sizzlipede_(Sword_%26_Shield_37)" TargetMode="External"/><Relationship Id="rId108" Type="http://schemas.openxmlformats.org/officeDocument/2006/relationships/hyperlink" Target="https://bulbapedia.bulbagarden.net/wiki/Nickit_(Sword_%26_Shield_125)" TargetMode="External"/><Relationship Id="rId129" Type="http://schemas.openxmlformats.org/officeDocument/2006/relationships/hyperlink" Target="https://bulbapedia.bulbagarden.net/wiki/Rookidee_(Sword_%26_Shield_150)" TargetMode="External"/><Relationship Id="rId54" Type="http://schemas.openxmlformats.org/officeDocument/2006/relationships/hyperlink" Target="https://bulbapedia.bulbagarden.net/wiki/Cramorant_(Sword_%26_Shield_62)" TargetMode="External"/><Relationship Id="rId75" Type="http://schemas.openxmlformats.org/officeDocument/2006/relationships/hyperlink" Target="https://bulbapedia.bulbagarden.net/wiki/Munna_(Sword_%26_Shield_87)" TargetMode="External"/><Relationship Id="rId96" Type="http://schemas.openxmlformats.org/officeDocument/2006/relationships/hyperlink" Target="https://bulbapedia.bulbagarden.net/wiki/Sandaconda_(Sword_%26_Shield_110)" TargetMode="External"/><Relationship Id="rId140" Type="http://schemas.openxmlformats.org/officeDocument/2006/relationships/hyperlink" Target="https://bulbapedia.bulbagarden.net/wiki/Energy_Switch_(Sword_%26_Shield_162)" TargetMode="External"/><Relationship Id="rId161" Type="http://schemas.openxmlformats.org/officeDocument/2006/relationships/hyperlink" Target="https://bulbapedia.bulbagarden.net/wiki/Switch_(Sword_%26_Shield_183)" TargetMode="External"/><Relationship Id="rId1" Type="http://schemas.openxmlformats.org/officeDocument/2006/relationships/hyperlink" Target="https://bulbapedia.bulbagarden.net/wiki/Roselia_(Sword_%26_Shield_2)" TargetMode="External"/><Relationship Id="rId6" Type="http://schemas.openxmlformats.org/officeDocument/2006/relationships/hyperlink" Target="https://bulbapedia.bulbagarden.net/wiki/Maractus_(Sword_%26_Shield_7)" TargetMode="External"/><Relationship Id="rId23" Type="http://schemas.openxmlformats.org/officeDocument/2006/relationships/hyperlink" Target="https://bulbapedia.bulbagarden.net/wiki/Salandit_(Sword_%26_Shield_27)" TargetMode="External"/><Relationship Id="rId28" Type="http://schemas.openxmlformats.org/officeDocument/2006/relationships/hyperlink" Target="https://bulbapedia.bulbagarden.net/wiki/Raboot_(Sword_%26_Shield_32)" TargetMode="External"/><Relationship Id="rId49" Type="http://schemas.openxmlformats.org/officeDocument/2006/relationships/hyperlink" Target="https://bulbapedia.bulbagarden.net/wiki/Drizzile_(Sword_%26_Shield_57)" TargetMode="External"/><Relationship Id="rId114" Type="http://schemas.openxmlformats.org/officeDocument/2006/relationships/hyperlink" Target="https://bulbapedia.bulbagarden.net/wiki/Ferrothorn_(Sword_%26_Shield_131)" TargetMode="External"/><Relationship Id="rId119" Type="http://schemas.openxmlformats.org/officeDocument/2006/relationships/hyperlink" Target="https://bulbapedia.bulbagarden.net/wiki/Cufant_(Sword_%26_Shield_136)" TargetMode="External"/><Relationship Id="rId44" Type="http://schemas.openxmlformats.org/officeDocument/2006/relationships/hyperlink" Target="https://bulbapedia.bulbagarden.net/wiki/Qwilfish_(Sword_%26_Shield_51)" TargetMode="External"/><Relationship Id="rId60" Type="http://schemas.openxmlformats.org/officeDocument/2006/relationships/hyperlink" Target="https://bulbapedia.bulbagarden.net/wiki/Chinchou_(Sword_%26_Shield_68)" TargetMode="External"/><Relationship Id="rId65" Type="http://schemas.openxmlformats.org/officeDocument/2006/relationships/hyperlink" Target="https://bulbapedia.bulbagarden.net/wiki/Yamper_(Sword_%26_Shield_74)" TargetMode="External"/><Relationship Id="rId81" Type="http://schemas.openxmlformats.org/officeDocument/2006/relationships/hyperlink" Target="https://bulbapedia.bulbagarden.net/wiki/Hitmonlee_(Sword_%26_Shield_94)" TargetMode="External"/><Relationship Id="rId86" Type="http://schemas.openxmlformats.org/officeDocument/2006/relationships/hyperlink" Target="https://bulbapedia.bulbagarden.net/wiki/Rhyperior_(Sword_%26_Shield_99)" TargetMode="External"/><Relationship Id="rId130" Type="http://schemas.openxmlformats.org/officeDocument/2006/relationships/hyperlink" Target="https://bulbapedia.bulbagarden.net/wiki/Corvisquire_(Sword_%26_Shield_151)" TargetMode="External"/><Relationship Id="rId135" Type="http://schemas.openxmlformats.org/officeDocument/2006/relationships/hyperlink" Target="https://bulbapedia.bulbagarden.net/wiki/Bede_(Sword_%26_Shield_157)" TargetMode="External"/><Relationship Id="rId151" Type="http://schemas.openxmlformats.org/officeDocument/2006/relationships/hyperlink" Target="https://bulbapedia.bulbagarden.net/wiki/Pok%C3%A9_Kid_(Sword_%26_Shield_173)" TargetMode="External"/><Relationship Id="rId156" Type="http://schemas.openxmlformats.org/officeDocument/2006/relationships/hyperlink" Target="https://bulbapedia.bulbagarden.net/wiki/Professor%27s_Research_(Sword_%26_Shield_178)" TargetMode="External"/><Relationship Id="rId172" Type="http://schemas.openxmlformats.org/officeDocument/2006/relationships/hyperlink" Target="https://bulbapedia.bulbagarden.net/wiki/Team_Yell_Grunt_(Sword_%26_Shield_210)" TargetMode="External"/><Relationship Id="rId13" Type="http://schemas.openxmlformats.org/officeDocument/2006/relationships/hyperlink" Target="https://bulbapedia.bulbagarden.net/wiki/Rillaboom_(Sword_%26_Shield_15)" TargetMode="External"/><Relationship Id="rId18" Type="http://schemas.openxmlformats.org/officeDocument/2006/relationships/hyperlink" Target="https://bulbapedia.bulbagarden.net/wiki/Gossifleur_(Sword_%26_Shield_20)" TargetMode="External"/><Relationship Id="rId39" Type="http://schemas.openxmlformats.org/officeDocument/2006/relationships/hyperlink" Target="https://bulbapedia.bulbagarden.net/wiki/Krabby_(Sword_%26_Shield_43)" TargetMode="External"/><Relationship Id="rId109" Type="http://schemas.openxmlformats.org/officeDocument/2006/relationships/hyperlink" Target="https://bulbapedia.bulbagarden.net/wiki/Thievul_(Sword_%26_Shield_126)" TargetMode="External"/><Relationship Id="rId34" Type="http://schemas.openxmlformats.org/officeDocument/2006/relationships/hyperlink" Target="https://bulbapedia.bulbagarden.net/wiki/Sizzlipede_(Sword_%26_Shield_38)" TargetMode="External"/><Relationship Id="rId50" Type="http://schemas.openxmlformats.org/officeDocument/2006/relationships/hyperlink" Target="https://bulbapedia.bulbagarden.net/wiki/Inteleon_(Sword_%26_Shield_58)" TargetMode="External"/><Relationship Id="rId55" Type="http://schemas.openxmlformats.org/officeDocument/2006/relationships/hyperlink" Target="https://bulbapedia.bulbagarden.net/wiki/Snom_(Sword_%26_Shield_63)" TargetMode="External"/><Relationship Id="rId76" Type="http://schemas.openxmlformats.org/officeDocument/2006/relationships/hyperlink" Target="https://bulbapedia.bulbagarden.net/wiki/Musharna_(Sword_%26_Shield_88)" TargetMode="External"/><Relationship Id="rId97" Type="http://schemas.openxmlformats.org/officeDocument/2006/relationships/hyperlink" Target="https://bulbapedia.bulbagarden.net/wiki/Clobbopus_(Sword_%26_Shield_111)" TargetMode="External"/><Relationship Id="rId104" Type="http://schemas.openxmlformats.org/officeDocument/2006/relationships/hyperlink" Target="https://bulbapedia.bulbagarden.net/wiki/Skorupi_(Sword_%26_Shield_121)" TargetMode="External"/><Relationship Id="rId120" Type="http://schemas.openxmlformats.org/officeDocument/2006/relationships/hyperlink" Target="https://bulbapedia.bulbagarden.net/wiki/Copperajah_(Sword_%26_Shield_137)" TargetMode="External"/><Relationship Id="rId125" Type="http://schemas.openxmlformats.org/officeDocument/2006/relationships/hyperlink" Target="https://bulbapedia.bulbagarden.net/wiki/Minccino_(Sword_%26_Shield_146)" TargetMode="External"/><Relationship Id="rId141" Type="http://schemas.openxmlformats.org/officeDocument/2006/relationships/hyperlink" Target="https://bulbapedia.bulbagarden.net/wiki/Evolution_Incense_(Sword_%26_Shield_163)" TargetMode="External"/><Relationship Id="rId146" Type="http://schemas.openxmlformats.org/officeDocument/2006/relationships/hyperlink" Target="https://bulbapedia.bulbagarden.net/wiki/Lum_Berry_(Sword_%26_Shield_168)" TargetMode="External"/><Relationship Id="rId167" Type="http://schemas.openxmlformats.org/officeDocument/2006/relationships/hyperlink" Target="https://bulbapedia.bulbagarden.net/wiki/Professor%27s_Research_(Sword_%26_Shield_201)" TargetMode="External"/><Relationship Id="rId7" Type="http://schemas.openxmlformats.org/officeDocument/2006/relationships/hyperlink" Target="https://bulbapedia.bulbagarden.net/wiki/Durant_(Sword_%26_Shield_8)" TargetMode="External"/><Relationship Id="rId71" Type="http://schemas.openxmlformats.org/officeDocument/2006/relationships/hyperlink" Target="https://bulbapedia.bulbagarden.net/wiki/Galarian_Rapidash_(Sword_%26_Shield_82)" TargetMode="External"/><Relationship Id="rId92" Type="http://schemas.openxmlformats.org/officeDocument/2006/relationships/hyperlink" Target="https://bulbapedia.bulbagarden.net/wiki/Mudsdale_(Sword_%26_Shield_106)" TargetMode="External"/><Relationship Id="rId162" Type="http://schemas.openxmlformats.org/officeDocument/2006/relationships/hyperlink" Target="https://bulbapedia.bulbagarden.net/wiki/Team_Yell_Grunt_(Sword_%26_Shield_184)" TargetMode="External"/><Relationship Id="rId2" Type="http://schemas.openxmlformats.org/officeDocument/2006/relationships/hyperlink" Target="https://bulbapedia.bulbagarden.net/wiki/Roselia_(Sword_%26_Shield_3)" TargetMode="External"/><Relationship Id="rId29" Type="http://schemas.openxmlformats.org/officeDocument/2006/relationships/hyperlink" Target="https://bulbapedia.bulbagarden.net/wiki/Raboot_(Sword_%26_Shield_33)" TargetMode="External"/><Relationship Id="rId24" Type="http://schemas.openxmlformats.org/officeDocument/2006/relationships/hyperlink" Target="https://bulbapedia.bulbagarden.net/wiki/Salazzle_(Sword_%26_Shield_28)" TargetMode="External"/><Relationship Id="rId40" Type="http://schemas.openxmlformats.org/officeDocument/2006/relationships/hyperlink" Target="https://bulbapedia.bulbagarden.net/wiki/Kingler_(Sword_%26_Shield_44)" TargetMode="External"/><Relationship Id="rId45" Type="http://schemas.openxmlformats.org/officeDocument/2006/relationships/hyperlink" Target="https://bulbapedia.bulbagarden.net/wiki/Mantine_(Sword_%26_Shield_52)" TargetMode="External"/><Relationship Id="rId66" Type="http://schemas.openxmlformats.org/officeDocument/2006/relationships/hyperlink" Target="https://bulbapedia.bulbagarden.net/wiki/Boltund_(Sword_%26_Shield_75)" TargetMode="External"/><Relationship Id="rId87" Type="http://schemas.openxmlformats.org/officeDocument/2006/relationships/hyperlink" Target="https://bulbapedia.bulbagarden.net/wiki/Sudowoodo_(Sword_%26_Shield_100)" TargetMode="External"/><Relationship Id="rId110" Type="http://schemas.openxmlformats.org/officeDocument/2006/relationships/hyperlink" Target="https://bulbapedia.bulbagarden.net/wiki/Galarian_Meowth_(Sword_%26_Shield_127)" TargetMode="External"/><Relationship Id="rId115" Type="http://schemas.openxmlformats.org/officeDocument/2006/relationships/hyperlink" Target="https://bulbapedia.bulbagarden.net/wiki/Galarian_Stunfisk_(Sword_%26_Shield_132)" TargetMode="External"/><Relationship Id="rId131" Type="http://schemas.openxmlformats.org/officeDocument/2006/relationships/hyperlink" Target="https://bulbapedia.bulbagarden.net/wiki/Wooloo_(Sword_%26_Shield_152)" TargetMode="External"/><Relationship Id="rId136" Type="http://schemas.openxmlformats.org/officeDocument/2006/relationships/hyperlink" Target="https://bulbapedia.bulbagarden.net/wiki/Big_Charm_(Sword_%26_Shield_158)" TargetMode="External"/><Relationship Id="rId157" Type="http://schemas.openxmlformats.org/officeDocument/2006/relationships/hyperlink" Target="https://bulbapedia.bulbagarden.net/wiki/Quick_Ball_(Sword_%26_Shield_179)" TargetMode="External"/><Relationship Id="rId61" Type="http://schemas.openxmlformats.org/officeDocument/2006/relationships/hyperlink" Target="https://bulbapedia.bulbagarden.net/wiki/Lanturn_(Sword_%26_Shield_69)" TargetMode="External"/><Relationship Id="rId82" Type="http://schemas.openxmlformats.org/officeDocument/2006/relationships/hyperlink" Target="https://bulbapedia.bulbagarden.net/wiki/Hitmonchan_(Sword_%26_Shield_95)" TargetMode="External"/><Relationship Id="rId152" Type="http://schemas.openxmlformats.org/officeDocument/2006/relationships/hyperlink" Target="https://bulbapedia.bulbagarden.net/wiki/Pok%C3%A9gear_3.0_(Sword_%26_Shield_174)" TargetMode="External"/><Relationship Id="rId173" Type="http://schemas.openxmlformats.org/officeDocument/2006/relationships/hyperlink" Target="https://bulbapedia.bulbagarden.net/wiki/Air_Balloon_(Sword_%26_Shield_213)" TargetMode="External"/><Relationship Id="rId19" Type="http://schemas.openxmlformats.org/officeDocument/2006/relationships/hyperlink" Target="https://bulbapedia.bulbagarden.net/wiki/Eldegoss_(Sword_%26_Shield_21)" TargetMode="External"/><Relationship Id="rId14" Type="http://schemas.openxmlformats.org/officeDocument/2006/relationships/hyperlink" Target="https://bulbapedia.bulbagarden.net/wiki/Blipbug_(Sword_%26_Shield_16)" TargetMode="External"/><Relationship Id="rId30" Type="http://schemas.openxmlformats.org/officeDocument/2006/relationships/hyperlink" Target="https://bulbapedia.bulbagarden.net/wiki/Cinderace_(Sword_%26_Shield_34)" TargetMode="External"/><Relationship Id="rId35" Type="http://schemas.openxmlformats.org/officeDocument/2006/relationships/hyperlink" Target="https://bulbapedia.bulbagarden.net/wiki/Centiskorch_(Sword_%26_Shield_39)" TargetMode="External"/><Relationship Id="rId56" Type="http://schemas.openxmlformats.org/officeDocument/2006/relationships/hyperlink" Target="https://bulbapedia.bulbagarden.net/wiki/Frosmoth_(Sword_%26_Shield_64)" TargetMode="External"/><Relationship Id="rId77" Type="http://schemas.openxmlformats.org/officeDocument/2006/relationships/hyperlink" Target="https://bulbapedia.bulbagarden.net/wiki/Sinistea_(Sword_%26_Shield_89)" TargetMode="External"/><Relationship Id="rId100" Type="http://schemas.openxmlformats.org/officeDocument/2006/relationships/hyperlink" Target="https://bulbapedia.bulbagarden.net/wiki/Stonjourner_(Sword_%26_Shield_114)" TargetMode="External"/><Relationship Id="rId105" Type="http://schemas.openxmlformats.org/officeDocument/2006/relationships/hyperlink" Target="https://bulbapedia.bulbagarden.net/wiki/Drapion_(Sword_%26_Shield_122)" TargetMode="External"/><Relationship Id="rId126" Type="http://schemas.openxmlformats.org/officeDocument/2006/relationships/hyperlink" Target="https://bulbapedia.bulbagarden.net/wiki/Cinccino_(Sword_%26_Shield_147)" TargetMode="External"/><Relationship Id="rId147" Type="http://schemas.openxmlformats.org/officeDocument/2006/relationships/hyperlink" Target="https://bulbapedia.bulbagarden.net/wiki/Marnie_(Sword_%26_Shield_169)" TargetMode="External"/><Relationship Id="rId168" Type="http://schemas.openxmlformats.org/officeDocument/2006/relationships/hyperlink" Target="https://bulbapedia.bulbagarden.net/wiki/Team_Yell_Grunt_(Sword_%26_Shield_202)" TargetMode="External"/><Relationship Id="rId8" Type="http://schemas.openxmlformats.org/officeDocument/2006/relationships/hyperlink" Target="https://bulbapedia.bulbagarden.net/wiki/Grookey_(Sword_%26_Shield_10)" TargetMode="External"/><Relationship Id="rId51" Type="http://schemas.openxmlformats.org/officeDocument/2006/relationships/hyperlink" Target="https://bulbapedia.bulbagarden.net/wiki/Inteleon_(Sword_%26_Shield_59)" TargetMode="External"/><Relationship Id="rId72" Type="http://schemas.openxmlformats.org/officeDocument/2006/relationships/hyperlink" Target="https://bulbapedia.bulbagarden.net/wiki/Gastly_(Sword_%26_Shield_83)" TargetMode="External"/><Relationship Id="rId93" Type="http://schemas.openxmlformats.org/officeDocument/2006/relationships/hyperlink" Target="https://bulbapedia.bulbagarden.net/wiki/Silicobra_(Sword_%26_Shield_107)" TargetMode="External"/><Relationship Id="rId98" Type="http://schemas.openxmlformats.org/officeDocument/2006/relationships/hyperlink" Target="https://bulbapedia.bulbagarden.net/wiki/Clobbopus_(Sword_%26_Shield_112)" TargetMode="External"/><Relationship Id="rId121" Type="http://schemas.openxmlformats.org/officeDocument/2006/relationships/hyperlink" Target="https://bulbapedia.bulbagarden.net/wiki/Snorlax_(Sword_%26_Shield_140)" TargetMode="External"/><Relationship Id="rId142" Type="http://schemas.openxmlformats.org/officeDocument/2006/relationships/hyperlink" Target="https://bulbapedia.bulbagarden.net/wiki/Great_Ball_(Sword_%26_Shield_164)" TargetMode="External"/><Relationship Id="rId163" Type="http://schemas.openxmlformats.org/officeDocument/2006/relationships/hyperlink" Target="https://bulbapedia.bulbagarden.net/wiki/Vitality_Band_(Sword_%26_Shield_185)" TargetMode="External"/><Relationship Id="rId3" Type="http://schemas.openxmlformats.org/officeDocument/2006/relationships/hyperlink" Target="https://bulbapedia.bulbagarden.net/wiki/Roserade_(Sword_%26_Shield_4)" TargetMode="External"/><Relationship Id="rId25" Type="http://schemas.openxmlformats.org/officeDocument/2006/relationships/hyperlink" Target="https://bulbapedia.bulbagarden.net/wiki/Turtonator_(Sword_%26_Shield_29)" TargetMode="External"/><Relationship Id="rId46" Type="http://schemas.openxmlformats.org/officeDocument/2006/relationships/hyperlink" Target="https://bulbapedia.bulbagarden.net/wiki/Sobble_(Sword_%26_Shield_54)" TargetMode="External"/><Relationship Id="rId67" Type="http://schemas.openxmlformats.org/officeDocument/2006/relationships/hyperlink" Target="https://bulbapedia.bulbagarden.net/wiki/Boltund_(Sword_%26_Shield_76)" TargetMode="External"/><Relationship Id="rId116" Type="http://schemas.openxmlformats.org/officeDocument/2006/relationships/hyperlink" Target="https://bulbapedia.bulbagarden.net/wiki/Pawniard_(Sword_%26_Shield_133)" TargetMode="External"/><Relationship Id="rId137" Type="http://schemas.openxmlformats.org/officeDocument/2006/relationships/hyperlink" Target="https://bulbapedia.bulbagarden.net/wiki/Crushing_Hammer_(Sword_%26_Shield_159)" TargetMode="External"/><Relationship Id="rId158" Type="http://schemas.openxmlformats.org/officeDocument/2006/relationships/hyperlink" Target="https://bulbapedia.bulbagarden.net/wiki/Rare_Candy_(Sword_%26_Shield_180)" TargetMode="External"/><Relationship Id="rId20" Type="http://schemas.openxmlformats.org/officeDocument/2006/relationships/hyperlink" Target="https://bulbapedia.bulbagarden.net/wiki/Vulpix_(Sword_%26_Shield_22)" TargetMode="External"/><Relationship Id="rId41" Type="http://schemas.openxmlformats.org/officeDocument/2006/relationships/hyperlink" Target="https://bulbapedia.bulbagarden.net/wiki/Goldeen_(Sword_%26_Shield_45)" TargetMode="External"/><Relationship Id="rId62" Type="http://schemas.openxmlformats.org/officeDocument/2006/relationships/hyperlink" Target="https://bulbapedia.bulbagarden.net/wiki/Joltik_(Sword_%26_Shield_70)" TargetMode="External"/><Relationship Id="rId83" Type="http://schemas.openxmlformats.org/officeDocument/2006/relationships/hyperlink" Target="https://bulbapedia.bulbagarden.net/wiki/Rhyhorn_(Sword_%26_Shield_96)" TargetMode="External"/><Relationship Id="rId88" Type="http://schemas.openxmlformats.org/officeDocument/2006/relationships/hyperlink" Target="https://bulbapedia.bulbagarden.net/wiki/Baltoy_(Sword_%26_Shield_101)" TargetMode="External"/><Relationship Id="rId111" Type="http://schemas.openxmlformats.org/officeDocument/2006/relationships/hyperlink" Target="https://bulbapedia.bulbagarden.net/wiki/Galarian_Perrserker_(Sword_%26_Shield_128)" TargetMode="External"/><Relationship Id="rId132" Type="http://schemas.openxmlformats.org/officeDocument/2006/relationships/hyperlink" Target="https://bulbapedia.bulbagarden.net/wiki/Wooloo_(Sword_%26_Shield_153)" TargetMode="External"/><Relationship Id="rId153" Type="http://schemas.openxmlformats.org/officeDocument/2006/relationships/hyperlink" Target="https://bulbapedia.bulbagarden.net/wiki/Pok%C3%A9mon_Catcher_(Sword_%26_Shield_175)" TargetMode="External"/><Relationship Id="rId174" Type="http://schemas.openxmlformats.org/officeDocument/2006/relationships/hyperlink" Target="https://bulbapedia.bulbagarden.net/wiki/Metal_Saucer_(Sword_%26_Shield_214)" TargetMode="External"/><Relationship Id="rId15" Type="http://schemas.openxmlformats.org/officeDocument/2006/relationships/hyperlink" Target="https://bulbapedia.bulbagarden.net/wiki/Blipbug_(Sword_%26_Shield_17)" TargetMode="External"/><Relationship Id="rId36" Type="http://schemas.openxmlformats.org/officeDocument/2006/relationships/hyperlink" Target="https://bulbapedia.bulbagarden.net/wiki/Shellder_(Sword_%26_Shield_40)" TargetMode="External"/><Relationship Id="rId57" Type="http://schemas.openxmlformats.org/officeDocument/2006/relationships/hyperlink" Target="https://bulbapedia.bulbagarden.net/wiki/Pikachu_(Sword_%26_Shield_65)" TargetMode="External"/><Relationship Id="rId106" Type="http://schemas.openxmlformats.org/officeDocument/2006/relationships/hyperlink" Target="https://bulbapedia.bulbagarden.net/wiki/Croagunk_(Sword_%26_Shield_123)" TargetMode="External"/><Relationship Id="rId127" Type="http://schemas.openxmlformats.org/officeDocument/2006/relationships/hyperlink" Target="https://bulbapedia.bulbagarden.net/wiki/Oranguru_(Sword_%26_Shield_148)" TargetMode="External"/><Relationship Id="rId10" Type="http://schemas.openxmlformats.org/officeDocument/2006/relationships/hyperlink" Target="https://bulbapedia.bulbagarden.net/wiki/Thwackey_(Sword_%26_Shield_12)" TargetMode="External"/><Relationship Id="rId31" Type="http://schemas.openxmlformats.org/officeDocument/2006/relationships/hyperlink" Target="https://bulbapedia.bulbagarden.net/wiki/Cinderace_(Sword_%26_Shield_35)" TargetMode="External"/><Relationship Id="rId52" Type="http://schemas.openxmlformats.org/officeDocument/2006/relationships/hyperlink" Target="https://bulbapedia.bulbagarden.net/wiki/Chewtle_(Sword_%26_Shield_60)" TargetMode="External"/><Relationship Id="rId73" Type="http://schemas.openxmlformats.org/officeDocument/2006/relationships/hyperlink" Target="https://bulbapedia.bulbagarden.net/wiki/Haunter_(Sword_%26_Shield_84)" TargetMode="External"/><Relationship Id="rId78" Type="http://schemas.openxmlformats.org/officeDocument/2006/relationships/hyperlink" Target="https://bulbapedia.bulbagarden.net/wiki/Polteageist_(Sword_%26_Shield_90)" TargetMode="External"/><Relationship Id="rId94" Type="http://schemas.openxmlformats.org/officeDocument/2006/relationships/hyperlink" Target="https://bulbapedia.bulbagarden.net/wiki/Silicobra_(Sword_%26_Shield_108)" TargetMode="External"/><Relationship Id="rId99" Type="http://schemas.openxmlformats.org/officeDocument/2006/relationships/hyperlink" Target="https://bulbapedia.bulbagarden.net/wiki/Grapploct_(Sword_%26_Shield_113)" TargetMode="External"/><Relationship Id="rId101" Type="http://schemas.openxmlformats.org/officeDocument/2006/relationships/hyperlink" Target="https://bulbapedia.bulbagarden.net/wiki/Galarian_Zigzagoon_(Sword_%26_Shield_117)" TargetMode="External"/><Relationship Id="rId122" Type="http://schemas.openxmlformats.org/officeDocument/2006/relationships/hyperlink" Target="https://bulbapedia.bulbagarden.net/wiki/Hoothoot_(Sword_%26_Shield_143)" TargetMode="External"/><Relationship Id="rId143" Type="http://schemas.openxmlformats.org/officeDocument/2006/relationships/hyperlink" Target="https://bulbapedia.bulbagarden.net/wiki/Hop_(Sword_%26_Shield_165)" TargetMode="External"/><Relationship Id="rId148" Type="http://schemas.openxmlformats.org/officeDocument/2006/relationships/hyperlink" Target="https://bulbapedia.bulbagarden.net/wiki/Metal_Saucer_(Sword_%26_Shield_170)" TargetMode="External"/><Relationship Id="rId164" Type="http://schemas.openxmlformats.org/officeDocument/2006/relationships/hyperlink" Target="https://bulbapedia.bulbagarden.net/wiki/Aurora_Energy_(Sword_%26_Shield_186)" TargetMode="External"/><Relationship Id="rId169" Type="http://schemas.openxmlformats.org/officeDocument/2006/relationships/hyperlink" Target="https://bulbapedia.bulbagarden.net/wiki/Bede_(Sword_%26_Shield_207)" TargetMode="External"/><Relationship Id="rId4" Type="http://schemas.openxmlformats.org/officeDocument/2006/relationships/hyperlink" Target="https://bulbapedia.bulbagarden.net/wiki/Cottonee_(Sword_%26_Shield_5)" TargetMode="External"/><Relationship Id="rId9" Type="http://schemas.openxmlformats.org/officeDocument/2006/relationships/hyperlink" Target="https://bulbapedia.bulbagarden.net/wiki/Grookey_(Sword_%26_Shield_11)" TargetMode="External"/><Relationship Id="rId26" Type="http://schemas.openxmlformats.org/officeDocument/2006/relationships/hyperlink" Target="https://bulbapedia.bulbagarden.net/wiki/Scorbunny_(Sword_%26_Shield_30)" TargetMode="External"/><Relationship Id="rId47" Type="http://schemas.openxmlformats.org/officeDocument/2006/relationships/hyperlink" Target="https://bulbapedia.bulbagarden.net/wiki/Sobble_(Sword_%26_Shield_55)" TargetMode="External"/><Relationship Id="rId68" Type="http://schemas.openxmlformats.org/officeDocument/2006/relationships/hyperlink" Target="https://bulbapedia.bulbagarden.net/wiki/Pincurchin_(Sword_%26_Shield_77)" TargetMode="External"/><Relationship Id="rId89" Type="http://schemas.openxmlformats.org/officeDocument/2006/relationships/hyperlink" Target="https://bulbapedia.bulbagarden.net/wiki/Baltoy_(Sword_%26_Shield_102)" TargetMode="External"/><Relationship Id="rId112" Type="http://schemas.openxmlformats.org/officeDocument/2006/relationships/hyperlink" Target="https://bulbapedia.bulbagarden.net/wiki/Mawile_(Sword_%26_Shield_129)" TargetMode="External"/><Relationship Id="rId133" Type="http://schemas.openxmlformats.org/officeDocument/2006/relationships/hyperlink" Target="https://bulbapedia.bulbagarden.net/wiki/Dubwool_(Sword_%26_Shield_154)" TargetMode="External"/><Relationship Id="rId154" Type="http://schemas.openxmlformats.org/officeDocument/2006/relationships/hyperlink" Target="https://bulbapedia.bulbagarden.net/wiki/Pok%C3%A9mon_Center_Lady_(Sword_%26_Shield_176)" TargetMode="External"/><Relationship Id="rId175" Type="http://schemas.openxmlformats.org/officeDocument/2006/relationships/hyperlink" Target="https://bulbapedia.bulbagarden.net/wiki/Ordinary_Rod_(Sword_%26_Shield_215)" TargetMode="External"/><Relationship Id="rId16" Type="http://schemas.openxmlformats.org/officeDocument/2006/relationships/hyperlink" Target="https://bulbapedia.bulbagarden.net/wiki/Dottler_(Sword_%26_Shield_18)" TargetMode="External"/><Relationship Id="rId37" Type="http://schemas.openxmlformats.org/officeDocument/2006/relationships/hyperlink" Target="https://bulbapedia.bulbagarden.net/wiki/Cloyster_(Sword_%26_Shield_41)" TargetMode="External"/><Relationship Id="rId58" Type="http://schemas.openxmlformats.org/officeDocument/2006/relationships/hyperlink" Target="https://bulbapedia.bulbagarden.net/wiki/Raichu_(Sword_%26_Shield_66)" TargetMode="External"/><Relationship Id="rId79" Type="http://schemas.openxmlformats.org/officeDocument/2006/relationships/hyperlink" Target="https://bulbapedia.bulbagarden.net/wiki/Diglett_(Sword_%26_Shield_92)" TargetMode="External"/><Relationship Id="rId102" Type="http://schemas.openxmlformats.org/officeDocument/2006/relationships/hyperlink" Target="https://bulbapedia.bulbagarden.net/wiki/Galarian_Linoone_(Sword_%26_Shield_118)" TargetMode="External"/><Relationship Id="rId123" Type="http://schemas.openxmlformats.org/officeDocument/2006/relationships/hyperlink" Target="https://bulbapedia.bulbagarden.net/wiki/Noctowl_(Sword_%26_Shield_144)" TargetMode="External"/><Relationship Id="rId144" Type="http://schemas.openxmlformats.org/officeDocument/2006/relationships/hyperlink" Target="https://bulbapedia.bulbagarden.net/wiki/Hyper_Potion_(Sword_%26_Shield_166)" TargetMode="External"/><Relationship Id="rId90" Type="http://schemas.openxmlformats.org/officeDocument/2006/relationships/hyperlink" Target="https://bulbapedia.bulbagarden.net/wiki/Claydol_(Sword_%26_Shield_103)" TargetMode="External"/><Relationship Id="rId165" Type="http://schemas.openxmlformats.org/officeDocument/2006/relationships/hyperlink" Target="https://bulbapedia.bulbagarden.net/wiki/Bede_(Sword_%26_Shield_199)" TargetMode="External"/><Relationship Id="rId27" Type="http://schemas.openxmlformats.org/officeDocument/2006/relationships/hyperlink" Target="https://bulbapedia.bulbagarden.net/wiki/Scorbunny_(Sword_%26_Shield_31)" TargetMode="External"/><Relationship Id="rId48" Type="http://schemas.openxmlformats.org/officeDocument/2006/relationships/hyperlink" Target="https://bulbapedia.bulbagarden.net/wiki/Drizzile_(Sword_%26_Shield_56)" TargetMode="External"/><Relationship Id="rId69" Type="http://schemas.openxmlformats.org/officeDocument/2006/relationships/hyperlink" Target="https://bulbapedia.bulbagarden.net/wiki/Morpeko_(Sword_%26_Shield_78)" TargetMode="External"/><Relationship Id="rId113" Type="http://schemas.openxmlformats.org/officeDocument/2006/relationships/hyperlink" Target="https://bulbapedia.bulbagarden.net/wiki/Ferroseed_(Sword_%26_Shield_130)" TargetMode="External"/><Relationship Id="rId134" Type="http://schemas.openxmlformats.org/officeDocument/2006/relationships/hyperlink" Target="https://bulbapedia.bulbagarden.net/wiki/Air_Balloon_(Sword_%26_Shield_156)" TargetMode="External"/><Relationship Id="rId80" Type="http://schemas.openxmlformats.org/officeDocument/2006/relationships/hyperlink" Target="https://bulbapedia.bulbagarden.net/wiki/Dugtrio_(Sword_%26_Shield_93)" TargetMode="External"/><Relationship Id="rId155" Type="http://schemas.openxmlformats.org/officeDocument/2006/relationships/hyperlink" Target="https://bulbapedia.bulbagarden.net/wiki/Potion_(Sword_%26_Shield_177)" TargetMode="External"/><Relationship Id="rId176" Type="http://schemas.openxmlformats.org/officeDocument/2006/relationships/hyperlink" Target="https://bulbapedia.bulbagarden.net/wiki/Quick_Ball_(Sword_%26_Shield_216)" TargetMode="External"/><Relationship Id="rId17" Type="http://schemas.openxmlformats.org/officeDocument/2006/relationships/hyperlink" Target="https://bulbapedia.bulbagarden.net/wiki/Orbeetle_(Sword_%26_Shield_19)" TargetMode="External"/><Relationship Id="rId38" Type="http://schemas.openxmlformats.org/officeDocument/2006/relationships/hyperlink" Target="https://bulbapedia.bulbagarden.net/wiki/Krabby_(Sword_%26_Shield_42)" TargetMode="External"/><Relationship Id="rId59" Type="http://schemas.openxmlformats.org/officeDocument/2006/relationships/hyperlink" Target="https://bulbapedia.bulbagarden.net/wiki/Chinchou_(Sword_%26_Shield_67)" TargetMode="External"/><Relationship Id="rId103" Type="http://schemas.openxmlformats.org/officeDocument/2006/relationships/hyperlink" Target="https://bulbapedia.bulbagarden.net/wiki/Galarian_Obstagoon_(Sword_%26_Shield_119)" TargetMode="External"/><Relationship Id="rId124" Type="http://schemas.openxmlformats.org/officeDocument/2006/relationships/hyperlink" Target="https://bulbapedia.bulbagarden.net/wiki/Minccino_(Sword_%26_Shield_145)" TargetMode="External"/><Relationship Id="rId70" Type="http://schemas.openxmlformats.org/officeDocument/2006/relationships/hyperlink" Target="https://bulbapedia.bulbagarden.net/wiki/Galarian_Ponyta_(Sword_%26_Shield_81)" TargetMode="External"/><Relationship Id="rId91" Type="http://schemas.openxmlformats.org/officeDocument/2006/relationships/hyperlink" Target="https://bulbapedia.bulbagarden.net/wiki/Mudbray_(Sword_%26_Shield_105)" TargetMode="External"/><Relationship Id="rId145" Type="http://schemas.openxmlformats.org/officeDocument/2006/relationships/hyperlink" Target="https://bulbapedia.bulbagarden.net/wiki/Lucky_Egg_(Sword_%26_Shield_167)" TargetMode="External"/><Relationship Id="rId166" Type="http://schemas.openxmlformats.org/officeDocument/2006/relationships/hyperlink" Target="https://bulbapedia.bulbagarden.net/wiki/Marnie_(Sword_%26_Shield_200)" TargetMode="External"/></Relationships>
</file>

<file path=xl/worksheets/_rels/sheet85.xml.rels><?xml version="1.0" encoding="UTF-8" standalone="yes"?>
<Relationships xmlns="http://schemas.openxmlformats.org/package/2006/relationships"><Relationship Id="rId117" Type="http://schemas.openxmlformats.org/officeDocument/2006/relationships/hyperlink" Target="https://bulbapedia.bulbagarden.net/wiki/Zamazenta_(Rebel_Clash_140)" TargetMode="External"/><Relationship Id="rId21" Type="http://schemas.openxmlformats.org/officeDocument/2006/relationships/hyperlink" Target="https://bulbapedia.bulbagarden.net/wiki/Vulpix_(Rebel_Clash_24)" TargetMode="External"/><Relationship Id="rId42" Type="http://schemas.openxmlformats.org/officeDocument/2006/relationships/hyperlink" Target="https://bulbapedia.bulbagarden.net/wiki/Arrokuda_(Rebel_Clash_52)" TargetMode="External"/><Relationship Id="rId63" Type="http://schemas.openxmlformats.org/officeDocument/2006/relationships/hyperlink" Target="https://bulbapedia.bulbagarden.net/wiki/Galarian_Corsola_(Rebel_Clash_78)" TargetMode="External"/><Relationship Id="rId84" Type="http://schemas.openxmlformats.org/officeDocument/2006/relationships/hyperlink" Target="https://bulbapedia.bulbagarden.net/w/index.php?title=Galarian_Yamask_(Rebel_Clash_101)&amp;action=edit&amp;redlink=1" TargetMode="External"/><Relationship Id="rId138" Type="http://schemas.openxmlformats.org/officeDocument/2006/relationships/hyperlink" Target="https://bulbapedia.bulbagarden.net/w/index.php?title=Nugget_(Rebel_Clash_162)&amp;action=edit&amp;redlink=1" TargetMode="External"/><Relationship Id="rId159" Type="http://schemas.openxmlformats.org/officeDocument/2006/relationships/hyperlink" Target="https://bulbapedia.bulbagarden.net/w/index.php?title=Frosmoth_(Rebel_Clash_204)&amp;action=edit&amp;redlink=1" TargetMode="External"/><Relationship Id="rId107" Type="http://schemas.openxmlformats.org/officeDocument/2006/relationships/hyperlink" Target="https://bulbapedia.bulbagarden.net/w/index.php?title=Scizor_(Rebel_Clash_128)&amp;action=edit&amp;redlink=1" TargetMode="External"/><Relationship Id="rId11" Type="http://schemas.openxmlformats.org/officeDocument/2006/relationships/hyperlink" Target="https://bulbapedia.bulbagarden.net/wiki/Masquerain_(Rebel_Clash_11)" TargetMode="External"/><Relationship Id="rId32" Type="http://schemas.openxmlformats.org/officeDocument/2006/relationships/hyperlink" Target="https://bulbapedia.bulbagarden.net/wiki/Magikarp_(Rebel_Clash_39)" TargetMode="External"/><Relationship Id="rId53" Type="http://schemas.openxmlformats.org/officeDocument/2006/relationships/hyperlink" Target="https://bulbapedia.bulbagarden.net/wiki/Heliolisk_(Rebel_Clash_64)" TargetMode="External"/><Relationship Id="rId74" Type="http://schemas.openxmlformats.org/officeDocument/2006/relationships/hyperlink" Target="https://bulbapedia.bulbagarden.net/w/index.php?title=Dreepy_(Rebel_Clash_89)&amp;action=edit&amp;redlink=1" TargetMode="External"/><Relationship Id="rId128" Type="http://schemas.openxmlformats.org/officeDocument/2006/relationships/hyperlink" Target="https://bulbapedia.bulbagarden.net/w/index.php?title=Skwovet_(Rebel_Clash_151)&amp;action=edit&amp;redlink=1" TargetMode="External"/><Relationship Id="rId149" Type="http://schemas.openxmlformats.org/officeDocument/2006/relationships/hyperlink" Target="https://bulbapedia.bulbagarden.net/w/index.php?title=Speed_L_Energy_(Rebel_Clash_173)&amp;action=edit&amp;redlink=1" TargetMode="External"/><Relationship Id="rId5" Type="http://schemas.openxmlformats.org/officeDocument/2006/relationships/hyperlink" Target="https://bulbapedia.bulbagarden.net/wiki/Shuckle_(Rebel_Clash_5)" TargetMode="External"/><Relationship Id="rId95" Type="http://schemas.openxmlformats.org/officeDocument/2006/relationships/hyperlink" Target="https://bulbapedia.bulbagarden.net/w/index.php?title=Stunky_(Rebel_Clash_114)&amp;action=edit&amp;redlink=1" TargetMode="External"/><Relationship Id="rId160" Type="http://schemas.openxmlformats.org/officeDocument/2006/relationships/hyperlink" Target="https://bulbapedia.bulbagarden.net/w/index.php?title=Galarian_Perrserker_(Rebel_Clash_204)&amp;action=edit&amp;redlink=1" TargetMode="External"/><Relationship Id="rId22" Type="http://schemas.openxmlformats.org/officeDocument/2006/relationships/hyperlink" Target="https://bulbapedia.bulbagarden.net/wiki/Ninetales_(Rebel_Clash_25)" TargetMode="External"/><Relationship Id="rId43" Type="http://schemas.openxmlformats.org/officeDocument/2006/relationships/hyperlink" Target="https://bulbapedia.bulbagarden.net/wiki/Barraskewda_(Rebel_Clash_53)" TargetMode="External"/><Relationship Id="rId64" Type="http://schemas.openxmlformats.org/officeDocument/2006/relationships/hyperlink" Target="https://bulbapedia.bulbagarden.net/wiki/Galarian_Cursola_(Rebel_Clash_79)" TargetMode="External"/><Relationship Id="rId118" Type="http://schemas.openxmlformats.org/officeDocument/2006/relationships/hyperlink" Target="https://bulbapedia.bulbagarden.net/w/index.php?title=Snorlax_(Rebel_Clash_141)&amp;action=edit&amp;redlink=1" TargetMode="External"/><Relationship Id="rId139" Type="http://schemas.openxmlformats.org/officeDocument/2006/relationships/hyperlink" Target="https://bulbapedia.bulbagarden.net/w/index.php?title=Oleana_(Rebel_Clash_163)&amp;action=edit&amp;redlink=1" TargetMode="External"/><Relationship Id="rId85" Type="http://schemas.openxmlformats.org/officeDocument/2006/relationships/hyperlink" Target="https://bulbapedia.bulbagarden.net/w/index.php?title=Galarian_Runerigus_(Rebel_Clash_102)&amp;action=edit&amp;redlink=1" TargetMode="External"/><Relationship Id="rId150" Type="http://schemas.openxmlformats.org/officeDocument/2006/relationships/hyperlink" Target="https://bulbapedia.bulbagarden.net/w/index.php?title=Twin_Energy_(Rebel_Clash_174)&amp;action=edit&amp;redlink=1" TargetMode="External"/><Relationship Id="rId12" Type="http://schemas.openxmlformats.org/officeDocument/2006/relationships/hyperlink" Target="https://bulbapedia.bulbagarden.net/wiki/Snover_(Rebel_Clash_12)" TargetMode="External"/><Relationship Id="rId17" Type="http://schemas.openxmlformats.org/officeDocument/2006/relationships/hyperlink" Target="https://bulbapedia.bulbagarden.net/wiki/Applin_(Rebel_Clash_20)" TargetMode="External"/><Relationship Id="rId33" Type="http://schemas.openxmlformats.org/officeDocument/2006/relationships/hyperlink" Target="https://bulbapedia.bulbagarden.net/wiki/Gyarados_(Rebel_Clash_40)" TargetMode="External"/><Relationship Id="rId38" Type="http://schemas.openxmlformats.org/officeDocument/2006/relationships/hyperlink" Target="https://bulbapedia.bulbagarden.net/wiki/Seismitoad_(Rebel_Clash_46)" TargetMode="External"/><Relationship Id="rId59" Type="http://schemas.openxmlformats.org/officeDocument/2006/relationships/hyperlink" Target="https://bulbapedia.bulbagarden.net/wiki/Clefairy_(Rebel_Clash_74)" TargetMode="External"/><Relationship Id="rId103" Type="http://schemas.openxmlformats.org/officeDocument/2006/relationships/hyperlink" Target="https://bulbapedia.bulbagarden.net/w/index.php?title=Morgrem_(Rebel_Clash_124)&amp;action=edit&amp;redlink=1" TargetMode="External"/><Relationship Id="rId108" Type="http://schemas.openxmlformats.org/officeDocument/2006/relationships/hyperlink" Target="https://bulbapedia.bulbagarden.net/w/index.php?title=Bronzor_(Rebel_Clash_129)&amp;action=edit&amp;redlink=1" TargetMode="External"/><Relationship Id="rId124" Type="http://schemas.openxmlformats.org/officeDocument/2006/relationships/hyperlink" Target="https://bulbapedia.bulbagarden.net/w/index.php?title=Diggersby_(Rebel_Clash_147)&amp;action=edit&amp;redlink=1" TargetMode="External"/><Relationship Id="rId129" Type="http://schemas.openxmlformats.org/officeDocument/2006/relationships/hyperlink" Target="https://bulbapedia.bulbagarden.net/w/index.php?title=Greedent_(Rebel_Clash_152)&amp;action=edit&amp;redlink=1" TargetMode="External"/><Relationship Id="rId54" Type="http://schemas.openxmlformats.org/officeDocument/2006/relationships/hyperlink" Target="https://bulbapedia.bulbagarden.net/wiki/Charjabug_(Rebel_Clash_65)" TargetMode="External"/><Relationship Id="rId70" Type="http://schemas.openxmlformats.org/officeDocument/2006/relationships/hyperlink" Target="https://bulbapedia.bulbagarden.net/wiki/Hatterene_(Rebel_Clash_85)" TargetMode="External"/><Relationship Id="rId75" Type="http://schemas.openxmlformats.org/officeDocument/2006/relationships/hyperlink" Target="https://bulbapedia.bulbagarden.net/w/index.php?title=Drakloak_(Rebel_Clash_90)&amp;action=edit&amp;redlink=1" TargetMode="External"/><Relationship Id="rId91" Type="http://schemas.openxmlformats.org/officeDocument/2006/relationships/hyperlink" Target="https://bulbapedia.bulbagarden.net/w/index.php?title=Falinks_(Rebel_Clash_109)&amp;action=edit&amp;redlink=1" TargetMode="External"/><Relationship Id="rId96" Type="http://schemas.openxmlformats.org/officeDocument/2006/relationships/hyperlink" Target="https://bulbapedia.bulbagarden.net/w/index.php?title=Skuntank_(Rebel_Clash_115)&amp;action=edit&amp;redlink=1" TargetMode="External"/><Relationship Id="rId140" Type="http://schemas.openxmlformats.org/officeDocument/2006/relationships/hyperlink" Target="https://bulbapedia.bulbagarden.net/w/index.php?title=Pok%C3%A9_Ball_(Rebel_Clash_164)&amp;action=edit&amp;redlink=1" TargetMode="External"/><Relationship Id="rId145" Type="http://schemas.openxmlformats.org/officeDocument/2006/relationships/hyperlink" Target="https://bulbapedia.bulbagarden.net/w/index.php?title=Training_Court_(Rebel_Clash_169)&amp;action=edit&amp;redlink=1" TargetMode="External"/><Relationship Id="rId161" Type="http://schemas.openxmlformats.org/officeDocument/2006/relationships/hyperlink" Target="https://bulbapedia.bulbagarden.net/w/index.php?title=Scoop_Up_Net_(Rebel_Clash_207)&amp;action=edit&amp;redlink=1" TargetMode="External"/><Relationship Id="rId1" Type="http://schemas.openxmlformats.org/officeDocument/2006/relationships/hyperlink" Target="https://bulbapedia.bulbagarden.net/wiki/Caterpie_(Rebel_Clash_1)" TargetMode="External"/><Relationship Id="rId6" Type="http://schemas.openxmlformats.org/officeDocument/2006/relationships/hyperlink" Target="https://bulbapedia.bulbagarden.net/wiki/Heracross_(Rebel_Clash_6)" TargetMode="External"/><Relationship Id="rId23" Type="http://schemas.openxmlformats.org/officeDocument/2006/relationships/hyperlink" Target="https://bulbapedia.bulbagarden.net/wiki/Growlithe_(Rebel_Clash_27)" TargetMode="External"/><Relationship Id="rId28" Type="http://schemas.openxmlformats.org/officeDocument/2006/relationships/hyperlink" Target="https://bulbapedia.bulbagarden.net/wiki/Lampent_(Rebel_Clash_32)" TargetMode="External"/><Relationship Id="rId49" Type="http://schemas.openxmlformats.org/officeDocument/2006/relationships/hyperlink" Target="https://bulbapedia.bulbagarden.net/wiki/Shinx_(Rebel_Clash_60)" TargetMode="External"/><Relationship Id="rId114" Type="http://schemas.openxmlformats.org/officeDocument/2006/relationships/hyperlink" Target="https://bulbapedia.bulbagarden.net/w/index.php?title=Aegislash_(Rebel_Clash_135)&amp;action=edit&amp;redlink=1" TargetMode="External"/><Relationship Id="rId119" Type="http://schemas.openxmlformats.org/officeDocument/2006/relationships/hyperlink" Target="https://bulbapedia.bulbagarden.net/w/index.php?title=Chatot_(Rebel_Clash_142)&amp;action=edit&amp;redlink=1" TargetMode="External"/><Relationship Id="rId44" Type="http://schemas.openxmlformats.org/officeDocument/2006/relationships/hyperlink" Target="https://bulbapedia.bulbagarden.net/wiki/Eiscue_(Rebel_Clash_54)" TargetMode="External"/><Relationship Id="rId60" Type="http://schemas.openxmlformats.org/officeDocument/2006/relationships/hyperlink" Target="https://bulbapedia.bulbagarden.net/wiki/Clefable_(Rebel_Clash_75)" TargetMode="External"/><Relationship Id="rId65" Type="http://schemas.openxmlformats.org/officeDocument/2006/relationships/hyperlink" Target="https://bulbapedia.bulbagarden.net/wiki/Sigilyph_(Rebel_Clash_80)" TargetMode="External"/><Relationship Id="rId81" Type="http://schemas.openxmlformats.org/officeDocument/2006/relationships/hyperlink" Target="https://bulbapedia.bulbagarden.net/w/index.php?title=Medicham_(Rebel_Clash_98)&amp;action=edit&amp;redlink=1" TargetMode="External"/><Relationship Id="rId86" Type="http://schemas.openxmlformats.org/officeDocument/2006/relationships/hyperlink" Target="https://bulbapedia.bulbagarden.net/w/index.php?title=Binacle_(Rebel_Clash_103)&amp;action=edit&amp;redlink=1" TargetMode="External"/><Relationship Id="rId130" Type="http://schemas.openxmlformats.org/officeDocument/2006/relationships/hyperlink" Target="https://bulbapedia.bulbagarden.net/w/index.php?title=Boss%E2%80%99s_Orders_(Rebel_Clash_154)&amp;action=edit&amp;redlink=1" TargetMode="External"/><Relationship Id="rId135" Type="http://schemas.openxmlformats.org/officeDocument/2006/relationships/hyperlink" Target="https://bulbapedia.bulbagarden.net/w/index.php?title=Full_Heal_(Rebel_Clash_159)&amp;action=edit&amp;redlink=1" TargetMode="External"/><Relationship Id="rId151" Type="http://schemas.openxmlformats.org/officeDocument/2006/relationships/hyperlink" Target="https://bulbapedia.bulbagarden.net/w/index.php?title=Boss%27s_Order_(Rebel_Clash_189)&amp;action=edit&amp;redlink=1" TargetMode="External"/><Relationship Id="rId156" Type="http://schemas.openxmlformats.org/officeDocument/2006/relationships/hyperlink" Target="https://bulbapedia.bulbagarden.net/w/index.php?title=Milo_(Rebel_Clash_201)&amp;action=edit&amp;redlink=1" TargetMode="External"/><Relationship Id="rId13" Type="http://schemas.openxmlformats.org/officeDocument/2006/relationships/hyperlink" Target="https://bulbapedia.bulbagarden.net/wiki/Abomasnow_(Rebel_Clash_13)" TargetMode="External"/><Relationship Id="rId18" Type="http://schemas.openxmlformats.org/officeDocument/2006/relationships/hyperlink" Target="https://bulbapedia.bulbagarden.net/wiki/Applin_(Rebel_Clash_21)" TargetMode="External"/><Relationship Id="rId39" Type="http://schemas.openxmlformats.org/officeDocument/2006/relationships/hyperlink" Target="https://bulbapedia.bulbagarden.net/wiki/Galarian_Darumaka_(Rebel_Clash_47)" TargetMode="External"/><Relationship Id="rId109" Type="http://schemas.openxmlformats.org/officeDocument/2006/relationships/hyperlink" Target="https://bulbapedia.bulbagarden.net/w/index.php?title=Bronzong_(Rebel_Clash_130)&amp;action=edit&amp;redlink=1" TargetMode="External"/><Relationship Id="rId34" Type="http://schemas.openxmlformats.org/officeDocument/2006/relationships/hyperlink" Target="https://bulbapedia.bulbagarden.net/wiki/Wingull_(Rebel_Clash_41)" TargetMode="External"/><Relationship Id="rId50" Type="http://schemas.openxmlformats.org/officeDocument/2006/relationships/hyperlink" Target="https://bulbapedia.bulbagarden.net/wiki/Luxio_(Rebel_Clash_61)" TargetMode="External"/><Relationship Id="rId55" Type="http://schemas.openxmlformats.org/officeDocument/2006/relationships/hyperlink" Target="https://bulbapedia.bulbagarden.net/wiki/Vikavolt_(Rebel_Clash_66)" TargetMode="External"/><Relationship Id="rId76" Type="http://schemas.openxmlformats.org/officeDocument/2006/relationships/hyperlink" Target="https://bulbapedia.bulbagarden.net/w/index.php?title=Dragapult_(Rebel_Clash_91)&amp;action=edit&amp;redlink=1" TargetMode="External"/><Relationship Id="rId97" Type="http://schemas.openxmlformats.org/officeDocument/2006/relationships/hyperlink" Target="https://bulbapedia.bulbagarden.net/w/index.php?title=Spiritomb_(Rebel_Clash_116)&amp;action=edit&amp;redlink=1" TargetMode="External"/><Relationship Id="rId104" Type="http://schemas.openxmlformats.org/officeDocument/2006/relationships/hyperlink" Target="https://bulbapedia.bulbagarden.net/w/index.php?title=Grimmsnarl_(Rebel_Clash_125)&amp;action=edit&amp;redlink=1" TargetMode="External"/><Relationship Id="rId120" Type="http://schemas.openxmlformats.org/officeDocument/2006/relationships/hyperlink" Target="https://bulbapedia.bulbagarden.net/w/index.php?title=Pidove_(Rebel_Clash_143)&amp;action=edit&amp;redlink=1" TargetMode="External"/><Relationship Id="rId125" Type="http://schemas.openxmlformats.org/officeDocument/2006/relationships/hyperlink" Target="https://bulbapedia.bulbagarden.net/w/index.php?title=Hawlucha_(Rebel_Clash_148)&amp;action=edit&amp;redlink=1" TargetMode="External"/><Relationship Id="rId141" Type="http://schemas.openxmlformats.org/officeDocument/2006/relationships/hyperlink" Target="https://bulbapedia.bulbagarden.net/w/index.php?title=Scoop_Up_Net_(Rebel_Clash_165)&amp;action=edit&amp;redlink=1" TargetMode="External"/><Relationship Id="rId146" Type="http://schemas.openxmlformats.org/officeDocument/2006/relationships/hyperlink" Target="https://bulbapedia.bulbagarden.net/w/index.php?title=Turffield_Stadium_(Rebel_Clash_170)&amp;action=edit&amp;redlink=1" TargetMode="External"/><Relationship Id="rId7" Type="http://schemas.openxmlformats.org/officeDocument/2006/relationships/hyperlink" Target="https://bulbapedia.bulbagarden.net/wiki/Lotad_(Rebel_Clash_7)" TargetMode="External"/><Relationship Id="rId71" Type="http://schemas.openxmlformats.org/officeDocument/2006/relationships/hyperlink" Target="https://bulbapedia.bulbagarden.net/wiki/Milcery_(Rebel_Clash_86)" TargetMode="External"/><Relationship Id="rId92" Type="http://schemas.openxmlformats.org/officeDocument/2006/relationships/hyperlink" Target="https://bulbapedia.bulbagarden.net/w/index.php?title=Stonjourner_(Rebel_Clash_111)&amp;action=edit&amp;redlink=1" TargetMode="External"/><Relationship Id="rId162" Type="http://schemas.openxmlformats.org/officeDocument/2006/relationships/hyperlink" Target="https://bulbapedia.bulbagarden.net/w/index.php?title=Tool_Scrapper_(Rebel_Clash_208)&amp;action=edit&amp;redlink=1" TargetMode="External"/><Relationship Id="rId2" Type="http://schemas.openxmlformats.org/officeDocument/2006/relationships/hyperlink" Target="https://bulbapedia.bulbagarden.net/wiki/Metapod_(Rebel_Clash_2)" TargetMode="External"/><Relationship Id="rId29" Type="http://schemas.openxmlformats.org/officeDocument/2006/relationships/hyperlink" Target="https://bulbapedia.bulbagarden.net/wiki/Heatmor_(Rebel_Clash_34)" TargetMode="External"/><Relationship Id="rId24" Type="http://schemas.openxmlformats.org/officeDocument/2006/relationships/hyperlink" Target="https://bulbapedia.bulbagarden.net/wiki/Arcanine_(Rebel_Clash_28)" TargetMode="External"/><Relationship Id="rId40" Type="http://schemas.openxmlformats.org/officeDocument/2006/relationships/hyperlink" Target="https://bulbapedia.bulbagarden.net/wiki/Galarian_Darmanitan_(Rebel_Clash_48)" TargetMode="External"/><Relationship Id="rId45" Type="http://schemas.openxmlformats.org/officeDocument/2006/relationships/hyperlink" Target="https://bulbapedia.bulbagarden.net/wiki/Voltorb_(Rebel_Clash_56)" TargetMode="External"/><Relationship Id="rId66" Type="http://schemas.openxmlformats.org/officeDocument/2006/relationships/hyperlink" Target="https://bulbapedia.bulbagarden.net/wiki/Sandygast_(Rebel_Clash_81)" TargetMode="External"/><Relationship Id="rId87" Type="http://schemas.openxmlformats.org/officeDocument/2006/relationships/hyperlink" Target="https://bulbapedia.bulbagarden.net/w/index.php?title=Barbaracle_(Rebel_Clash_104)&amp;action=edit&amp;redlink=1" TargetMode="External"/><Relationship Id="rId110" Type="http://schemas.openxmlformats.org/officeDocument/2006/relationships/hyperlink" Target="https://bulbapedia.bulbagarden.net/w/index.php?title=Probopass_(Rebel_Clash_131)&amp;action=edit&amp;redlink=1" TargetMode="External"/><Relationship Id="rId115" Type="http://schemas.openxmlformats.org/officeDocument/2006/relationships/hyperlink" Target="https://bulbapedia.bulbagarden.net/w/index.php?title=Duraludon_(Rebel_Clash_138)&amp;action=edit&amp;redlink=1" TargetMode="External"/><Relationship Id="rId131" Type="http://schemas.openxmlformats.org/officeDocument/2006/relationships/hyperlink" Target="https://bulbapedia.bulbagarden.net/w/index.php?title=Burning_Scarf_(Rebel_Clash_155)&amp;action=edit&amp;redlink=1" TargetMode="External"/><Relationship Id="rId136" Type="http://schemas.openxmlformats.org/officeDocument/2006/relationships/hyperlink" Target="https://bulbapedia.bulbagarden.net/w/index.php?title=Galar_Mine_(Rebel_Clash_160)&amp;action=edit&amp;redlink=1" TargetMode="External"/><Relationship Id="rId157" Type="http://schemas.openxmlformats.org/officeDocument/2006/relationships/hyperlink" Target="https://bulbapedia.bulbagarden.net/w/index.php?title=Oleana_(Rebel_Clash_202)&amp;action=edit&amp;redlink=1" TargetMode="External"/><Relationship Id="rId61" Type="http://schemas.openxmlformats.org/officeDocument/2006/relationships/hyperlink" Target="https://bulbapedia.bulbagarden.net/wiki/Natu_(Rebel_Clash_76)" TargetMode="External"/><Relationship Id="rId82" Type="http://schemas.openxmlformats.org/officeDocument/2006/relationships/hyperlink" Target="https://bulbapedia.bulbagarden.net/w/index.php?title=Barboach_(Rebel_Clash_99)&amp;action=edit&amp;redlink=1" TargetMode="External"/><Relationship Id="rId152" Type="http://schemas.openxmlformats.org/officeDocument/2006/relationships/hyperlink" Target="https://bulbapedia.bulbagarden.net/w/index.php?title=Milo_(Rebel_Clash_190)&amp;action=edit&amp;redlink=1" TargetMode="External"/><Relationship Id="rId19" Type="http://schemas.openxmlformats.org/officeDocument/2006/relationships/hyperlink" Target="https://bulbapedia.bulbagarden.net/wiki/Flapple_(Rebel_Clash_22)" TargetMode="External"/><Relationship Id="rId14" Type="http://schemas.openxmlformats.org/officeDocument/2006/relationships/hyperlink" Target="https://bulbapedia.bulbagarden.net/wiki/Phantump_(Rebel_Clash_14)" TargetMode="External"/><Relationship Id="rId30" Type="http://schemas.openxmlformats.org/officeDocument/2006/relationships/hyperlink" Target="https://bulbapedia.bulbagarden.net/wiki/Galarian_Mr._Mime_(Rebel_Clash_37)" TargetMode="External"/><Relationship Id="rId35" Type="http://schemas.openxmlformats.org/officeDocument/2006/relationships/hyperlink" Target="https://bulbapedia.bulbagarden.net/wiki/Pelipper_(Rebel_Clash_42)" TargetMode="External"/><Relationship Id="rId56" Type="http://schemas.openxmlformats.org/officeDocument/2006/relationships/hyperlink" Target="https://bulbapedia.bulbagarden.net/wiki/Toxel_(Rebel_Clash_68)" TargetMode="External"/><Relationship Id="rId77" Type="http://schemas.openxmlformats.org/officeDocument/2006/relationships/hyperlink" Target="https://bulbapedia.bulbagarden.net/w/index.php?title=Galarian_Farfetch%27d_(Rebel_Clash_94)&amp;action=edit&amp;redlink=1" TargetMode="External"/><Relationship Id="rId100" Type="http://schemas.openxmlformats.org/officeDocument/2006/relationships/hyperlink" Target="https://bulbapedia.bulbagarden.net/w/index.php?title=Vullaby_(Rebel_Clash_119)&amp;action=edit&amp;redlink=1" TargetMode="External"/><Relationship Id="rId105" Type="http://schemas.openxmlformats.org/officeDocument/2006/relationships/hyperlink" Target="https://bulbapedia.bulbagarden.net/w/index.php?title=Galarian_Meowth_(Rebel_Clash_126)&amp;action=edit&amp;redlink=1" TargetMode="External"/><Relationship Id="rId126" Type="http://schemas.openxmlformats.org/officeDocument/2006/relationships/hyperlink" Target="https://bulbapedia.bulbagarden.net/w/index.php?title=Stufful_(Rebel_Clash_149)&amp;action=edit&amp;redlink=1" TargetMode="External"/><Relationship Id="rId147" Type="http://schemas.openxmlformats.org/officeDocument/2006/relationships/hyperlink" Target="https://bulbapedia.bulbagarden.net/w/index.php?title=Capture_Energy_(Rebel_Clash_171)&amp;action=edit&amp;redlink=1" TargetMode="External"/><Relationship Id="rId8" Type="http://schemas.openxmlformats.org/officeDocument/2006/relationships/hyperlink" Target="https://bulbapedia.bulbagarden.net/wiki/Lombre_(Rebel_Clash_8)" TargetMode="External"/><Relationship Id="rId51" Type="http://schemas.openxmlformats.org/officeDocument/2006/relationships/hyperlink" Target="https://bulbapedia.bulbagarden.net/wiki/Luxray_(Rebel_Clash_62)" TargetMode="External"/><Relationship Id="rId72" Type="http://schemas.openxmlformats.org/officeDocument/2006/relationships/hyperlink" Target="https://bulbapedia.bulbagarden.net/wiki/Alcremie_(Rebel_Clash_87)" TargetMode="External"/><Relationship Id="rId93" Type="http://schemas.openxmlformats.org/officeDocument/2006/relationships/hyperlink" Target="https://bulbapedia.bulbagarden.net/w/index.php?title=Koffing_(Rebel_Clash_112)&amp;action=edit&amp;redlink=1" TargetMode="External"/><Relationship Id="rId98" Type="http://schemas.openxmlformats.org/officeDocument/2006/relationships/hyperlink" Target="https://bulbapedia.bulbagarden.net/w/index.php?title=Trubbish_(Rebel_Clash_117)&amp;action=edit&amp;redlink=1" TargetMode="External"/><Relationship Id="rId121" Type="http://schemas.openxmlformats.org/officeDocument/2006/relationships/hyperlink" Target="https://bulbapedia.bulbagarden.net/w/index.php?title=Tranquill_(Rebel_Clash_144)&amp;action=edit&amp;redlink=1" TargetMode="External"/><Relationship Id="rId142" Type="http://schemas.openxmlformats.org/officeDocument/2006/relationships/hyperlink" Target="https://bulbapedia.bulbagarden.net/w/index.php?title=Skyla_(Rebel_Clash_166)&amp;action=edit&amp;redlink=1" TargetMode="External"/><Relationship Id="rId163" Type="http://schemas.openxmlformats.org/officeDocument/2006/relationships/hyperlink" Target="https://bulbapedia.bulbagarden.net/w/index.php?title=Twin_Energy_(Rebel_Clash_209)&amp;action=edit&amp;redlink=1" TargetMode="External"/><Relationship Id="rId3" Type="http://schemas.openxmlformats.org/officeDocument/2006/relationships/hyperlink" Target="https://bulbapedia.bulbagarden.net/wiki/Butterfree_(Rebel_Clash_3)" TargetMode="External"/><Relationship Id="rId25" Type="http://schemas.openxmlformats.org/officeDocument/2006/relationships/hyperlink" Target="https://bulbapedia.bulbagarden.net/wiki/Magmar_(Rebel_Clash_29)" TargetMode="External"/><Relationship Id="rId46" Type="http://schemas.openxmlformats.org/officeDocument/2006/relationships/hyperlink" Target="https://bulbapedia.bulbagarden.net/wiki/Electrode_(Rebel_Clash_57)" TargetMode="External"/><Relationship Id="rId67" Type="http://schemas.openxmlformats.org/officeDocument/2006/relationships/hyperlink" Target="https://bulbapedia.bulbagarden.net/wiki/Palossand_(Rebel_Clash_82)" TargetMode="External"/><Relationship Id="rId116" Type="http://schemas.openxmlformats.org/officeDocument/2006/relationships/hyperlink" Target="https://bulbapedia.bulbagarden.net/wiki/Zacian_(Rebel_Clash_139)" TargetMode="External"/><Relationship Id="rId137" Type="http://schemas.openxmlformats.org/officeDocument/2006/relationships/hyperlink" Target="https://bulbapedia.bulbagarden.net/w/index.php?title=Milo_(Rebel_Clash_161)&amp;action=edit&amp;redlink=1" TargetMode="External"/><Relationship Id="rId158" Type="http://schemas.openxmlformats.org/officeDocument/2006/relationships/hyperlink" Target="https://bulbapedia.bulbagarden.net/w/index.php?title=Sonia_(Rebel_Clash_203)&amp;action=edit&amp;redlink=1" TargetMode="External"/><Relationship Id="rId20" Type="http://schemas.openxmlformats.org/officeDocument/2006/relationships/hyperlink" Target="https://bulbapedia.bulbagarden.net/wiki/Appletun_(Rebel_Clash_23)" TargetMode="External"/><Relationship Id="rId41" Type="http://schemas.openxmlformats.org/officeDocument/2006/relationships/hyperlink" Target="https://bulbapedia.bulbagarden.net/wiki/Cramorant_(Rebel_Clash_51)" TargetMode="External"/><Relationship Id="rId62" Type="http://schemas.openxmlformats.org/officeDocument/2006/relationships/hyperlink" Target="https://bulbapedia.bulbagarden.net/wiki/Xatu_(Rebel_Clash_77)" TargetMode="External"/><Relationship Id="rId83" Type="http://schemas.openxmlformats.org/officeDocument/2006/relationships/hyperlink" Target="https://bulbapedia.bulbagarden.net/w/index.php?title=Whiscash_(Rebel_Clash_100)&amp;action=edit&amp;redlink=1" TargetMode="External"/><Relationship Id="rId88" Type="http://schemas.openxmlformats.org/officeDocument/2006/relationships/hyperlink" Target="https://bulbapedia.bulbagarden.net/w/index.php?title=Rolycoly_(Rebel_Clash_105)&amp;action=edit&amp;redlink=1" TargetMode="External"/><Relationship Id="rId111" Type="http://schemas.openxmlformats.org/officeDocument/2006/relationships/hyperlink" Target="https://bulbapedia.bulbagarden.net/w/index.php?title=Durant_(Rebel_Clash_132)&amp;action=edit&amp;redlink=1" TargetMode="External"/><Relationship Id="rId132" Type="http://schemas.openxmlformats.org/officeDocument/2006/relationships/hyperlink" Target="https://bulbapedia.bulbagarden.net/w/index.php?title=Capacious_Bucket_(Rebel_Clash_156)&amp;action=edit&amp;redlink=1" TargetMode="External"/><Relationship Id="rId153" Type="http://schemas.openxmlformats.org/officeDocument/2006/relationships/hyperlink" Target="https://bulbapedia.bulbagarden.net/w/index.php?title=Oleana_(Rebel_Clash_191)&amp;action=edit&amp;redlink=1" TargetMode="External"/><Relationship Id="rId15" Type="http://schemas.openxmlformats.org/officeDocument/2006/relationships/hyperlink" Target="https://bulbapedia.bulbagarden.net/wiki/Trevenant_(Rebel_Clash_15)" TargetMode="External"/><Relationship Id="rId36" Type="http://schemas.openxmlformats.org/officeDocument/2006/relationships/hyperlink" Target="https://bulbapedia.bulbagarden.net/wiki/Tympole_(Rebel_Clash_44)" TargetMode="External"/><Relationship Id="rId57" Type="http://schemas.openxmlformats.org/officeDocument/2006/relationships/hyperlink" Target="https://bulbapedia.bulbagarden.net/wiki/Toxtricity_(Rebel_Clash_69)" TargetMode="External"/><Relationship Id="rId106" Type="http://schemas.openxmlformats.org/officeDocument/2006/relationships/hyperlink" Target="https://bulbapedia.bulbagarden.net/w/index.php?title=Galarian_Perrserker_(Rebel_Clash_127)&amp;action=edit&amp;redlink=1" TargetMode="External"/><Relationship Id="rId127" Type="http://schemas.openxmlformats.org/officeDocument/2006/relationships/hyperlink" Target="https://bulbapedia.bulbagarden.net/w/index.php?title=Bewear_(Rebel_Clash_150)&amp;action=edit&amp;redlink=1" TargetMode="External"/><Relationship Id="rId10" Type="http://schemas.openxmlformats.org/officeDocument/2006/relationships/hyperlink" Target="https://bulbapedia.bulbagarden.net/wiki/Surskit_(Rebel_Clash_10)" TargetMode="External"/><Relationship Id="rId31" Type="http://schemas.openxmlformats.org/officeDocument/2006/relationships/hyperlink" Target="https://bulbapedia.bulbagarden.net/wiki/Galarian_Mr._Rime_(Rebel_Clash_38)" TargetMode="External"/><Relationship Id="rId52" Type="http://schemas.openxmlformats.org/officeDocument/2006/relationships/hyperlink" Target="https://bulbapedia.bulbagarden.net/wiki/Helioptile_(Rebel_Clash_63)" TargetMode="External"/><Relationship Id="rId73" Type="http://schemas.openxmlformats.org/officeDocument/2006/relationships/hyperlink" Target="https://bulbapedia.bulbagarden.net/w/index.php?title=Indeedee_(Rebel_Clash_88)&amp;action=edit&amp;redlink=1" TargetMode="External"/><Relationship Id="rId78" Type="http://schemas.openxmlformats.org/officeDocument/2006/relationships/hyperlink" Target="https://bulbapedia.bulbagarden.net/w/index.php?title=Galarian_Sirfetch%E2%80%99d_(Rebel_Clash_95)&amp;action=edit&amp;redlink=1" TargetMode="External"/><Relationship Id="rId94" Type="http://schemas.openxmlformats.org/officeDocument/2006/relationships/hyperlink" Target="https://bulbapedia.bulbagarden.net/w/index.php?title=Galarian_Weezing_(Rebel_Clash_113)&amp;action=edit&amp;redlink=1" TargetMode="External"/><Relationship Id="rId99" Type="http://schemas.openxmlformats.org/officeDocument/2006/relationships/hyperlink" Target="https://bulbapedia.bulbagarden.net/w/index.php?title=Garbodor_(Rebel_Clash_118)&amp;action=edit&amp;redlink=1" TargetMode="External"/><Relationship Id="rId101" Type="http://schemas.openxmlformats.org/officeDocument/2006/relationships/hyperlink" Target="https://bulbapedia.bulbagarden.net/w/index.php?title=Mandibuzz_(Rebel_Clash_120)&amp;action=edit&amp;redlink=1" TargetMode="External"/><Relationship Id="rId122" Type="http://schemas.openxmlformats.org/officeDocument/2006/relationships/hyperlink" Target="https://bulbapedia.bulbagarden.net/w/index.php?title=Unfezant_(Rebel_Clash_145)&amp;action=edit&amp;redlink=1" TargetMode="External"/><Relationship Id="rId143" Type="http://schemas.openxmlformats.org/officeDocument/2006/relationships/hyperlink" Target="https://bulbapedia.bulbagarden.net/w/index.php?title=Sonia_(Rebel_Clash_167)&amp;action=edit&amp;redlink=1" TargetMode="External"/><Relationship Id="rId148" Type="http://schemas.openxmlformats.org/officeDocument/2006/relationships/hyperlink" Target="https://bulbapedia.bulbagarden.net/w/index.php?title=Horror_P_Energy_(Rebel_Clash_172)&amp;action=edit&amp;redlink=1" TargetMode="External"/><Relationship Id="rId4" Type="http://schemas.openxmlformats.org/officeDocument/2006/relationships/hyperlink" Target="https://bulbapedia.bulbagarden.net/wiki/Scyther_(Rebel_Clash_4)" TargetMode="External"/><Relationship Id="rId9" Type="http://schemas.openxmlformats.org/officeDocument/2006/relationships/hyperlink" Target="https://bulbapedia.bulbagarden.net/wiki/Ludicolo_(Rebel_Clash_9)" TargetMode="External"/><Relationship Id="rId26" Type="http://schemas.openxmlformats.org/officeDocument/2006/relationships/hyperlink" Target="https://bulbapedia.bulbagarden.net/wiki/Magmortar_(Rebel_Clash_30)" TargetMode="External"/><Relationship Id="rId47" Type="http://schemas.openxmlformats.org/officeDocument/2006/relationships/hyperlink" Target="https://bulbapedia.bulbagarden.net/wiki/Electabuzz_(Rebel_Clash_58)" TargetMode="External"/><Relationship Id="rId68" Type="http://schemas.openxmlformats.org/officeDocument/2006/relationships/hyperlink" Target="https://bulbapedia.bulbagarden.net/wiki/Hatenna_(Rebel_Clash_83)" TargetMode="External"/><Relationship Id="rId89" Type="http://schemas.openxmlformats.org/officeDocument/2006/relationships/hyperlink" Target="https://bulbapedia.bulbagarden.net/w/index.php?title=Carkol_(Rebel_Clash_106)&amp;action=edit&amp;redlink=1" TargetMode="External"/><Relationship Id="rId112" Type="http://schemas.openxmlformats.org/officeDocument/2006/relationships/hyperlink" Target="https://bulbapedia.bulbagarden.net/w/index.php?title=Honedge_(VMAX_Rising_133)&amp;action=edit&amp;redlink=1" TargetMode="External"/><Relationship Id="rId133" Type="http://schemas.openxmlformats.org/officeDocument/2006/relationships/hyperlink" Target="https://bulbapedia.bulbagarden.net/w/index.php?title=Cursed_Shovel_(Rebel_Clash_157)&amp;action=edit&amp;redlink=1" TargetMode="External"/><Relationship Id="rId154" Type="http://schemas.openxmlformats.org/officeDocument/2006/relationships/hyperlink" Target="https://bulbapedia.bulbagarden.net/w/index.php?title=Sonia_(Rebel_Clash_192)&amp;action=edit&amp;redlink=1" TargetMode="External"/><Relationship Id="rId16" Type="http://schemas.openxmlformats.org/officeDocument/2006/relationships/hyperlink" Target="https://bulbapedia.bulbagarden.net/wiki/Grubbin_(Rebel_Clash_16)" TargetMode="External"/><Relationship Id="rId37" Type="http://schemas.openxmlformats.org/officeDocument/2006/relationships/hyperlink" Target="https://bulbapedia.bulbagarden.net/wiki/Palpitoad_(Rebel_Clash_45)" TargetMode="External"/><Relationship Id="rId58" Type="http://schemas.openxmlformats.org/officeDocument/2006/relationships/hyperlink" Target="https://bulbapedia.bulbagarden.net/wiki/Morpeko_(Rebel_Clash_73)" TargetMode="External"/><Relationship Id="rId79" Type="http://schemas.openxmlformats.org/officeDocument/2006/relationships/hyperlink" Target="https://bulbapedia.bulbagarden.net/w/index.php?title=Nosepass_(Rebel_Clash_96)&amp;action=edit&amp;redlink=1" TargetMode="External"/><Relationship Id="rId102" Type="http://schemas.openxmlformats.org/officeDocument/2006/relationships/hyperlink" Target="https://bulbapedia.bulbagarden.net/w/index.php?title=Impidimp_(Rebel_Clash_123)&amp;action=edit&amp;redlink=1" TargetMode="External"/><Relationship Id="rId123" Type="http://schemas.openxmlformats.org/officeDocument/2006/relationships/hyperlink" Target="https://bulbapedia.bulbagarden.net/w/index.php?title=Bunnelby_(Rebel_Clash_146)&amp;action=edit&amp;redlink=1" TargetMode="External"/><Relationship Id="rId144" Type="http://schemas.openxmlformats.org/officeDocument/2006/relationships/hyperlink" Target="https://bulbapedia.bulbagarden.net/w/index.php?title=Tool_Scrapper_(Rebel_Clash_168)&amp;action=edit&amp;redlink=1" TargetMode="External"/><Relationship Id="rId90" Type="http://schemas.openxmlformats.org/officeDocument/2006/relationships/hyperlink" Target="https://bulbapedia.bulbagarden.net/w/index.php?title=Coalossal_(Rebel_Clash_107)&amp;action=edit&amp;redlink=1" TargetMode="External"/><Relationship Id="rId27" Type="http://schemas.openxmlformats.org/officeDocument/2006/relationships/hyperlink" Target="https://bulbapedia.bulbagarden.net/wiki/Litwick_(Rebel_Clash_31)" TargetMode="External"/><Relationship Id="rId48" Type="http://schemas.openxmlformats.org/officeDocument/2006/relationships/hyperlink" Target="https://bulbapedia.bulbagarden.net/wiki/Electivire_(Rebel_Clash_59)" TargetMode="External"/><Relationship Id="rId69" Type="http://schemas.openxmlformats.org/officeDocument/2006/relationships/hyperlink" Target="https://bulbapedia.bulbagarden.net/wiki/Hattrem_(Rebel_Clash_84)" TargetMode="External"/><Relationship Id="rId113" Type="http://schemas.openxmlformats.org/officeDocument/2006/relationships/hyperlink" Target="https://bulbapedia.bulbagarden.net/w/index.php?title=Doublade_(Rebel_Clash_134)&amp;action=edit&amp;redlink=1" TargetMode="External"/><Relationship Id="rId134" Type="http://schemas.openxmlformats.org/officeDocument/2006/relationships/hyperlink" Target="https://bulbapedia.bulbagarden.net/w/index.php?title=Dan_(Rebel_Clash_158)&amp;action=edit&amp;redlink=1" TargetMode="External"/><Relationship Id="rId80" Type="http://schemas.openxmlformats.org/officeDocument/2006/relationships/hyperlink" Target="https://bulbapedia.bulbagarden.net/w/index.php?title=Meditite_(Rebel_Clash_97)&amp;action=edit&amp;redlink=1" TargetMode="External"/><Relationship Id="rId155" Type="http://schemas.openxmlformats.org/officeDocument/2006/relationships/hyperlink" Target="https://bulbapedia.bulbagarden.net/w/index.php?title=Boss%27_Orders_(Rebel_Clash_200)&amp;action=edit&amp;redlink=1" TargetMode="External"/></Relationships>
</file>

<file path=xl/worksheets/_rels/sheet86.xml.rels><?xml version="1.0" encoding="UTF-8" standalone="yes"?>
<Relationships xmlns="http://schemas.openxmlformats.org/package/2006/relationships"><Relationship Id="rId117" Type="http://schemas.openxmlformats.org/officeDocument/2006/relationships/hyperlink" Target="https://bulbapedia.bulbagarden.net/wiki/Eternatus_VMAX_(Darkness_Ablaze_117)" TargetMode="External"/><Relationship Id="rId21" Type="http://schemas.openxmlformats.org/officeDocument/2006/relationships/hyperlink" Target="https://bulbapedia.bulbagarden.net/wiki/Houndoom_V_(Darkness_Ablaze_21)" TargetMode="External"/><Relationship Id="rId42" Type="http://schemas.openxmlformats.org/officeDocument/2006/relationships/hyperlink" Target="https://bulbapedia.bulbagarden.net/wiki/Simipour_(Darkness_Ablaze_42)" TargetMode="External"/><Relationship Id="rId63" Type="http://schemas.openxmlformats.org/officeDocument/2006/relationships/hyperlink" Target="https://bulbapedia.bulbagarden.net/wiki/Toxtricity_(Darkness_Ablaze_63)" TargetMode="External"/><Relationship Id="rId84" Type="http://schemas.openxmlformats.org/officeDocument/2006/relationships/hyperlink" Target="https://bulbapedia.bulbagarden.net/wiki/Diglett_(Darkness_Ablaze_84)" TargetMode="External"/><Relationship Id="rId138" Type="http://schemas.openxmlformats.org/officeDocument/2006/relationships/hyperlink" Target="https://bulbapedia.bulbagarden.net/wiki/Teddiursa_(Darkness_Ablaze_138)" TargetMode="External"/><Relationship Id="rId159" Type="http://schemas.openxmlformats.org/officeDocument/2006/relationships/hyperlink" Target="https://bulbapedia.bulbagarden.net/wiki/Bird_Keeper_(Darkness_Ablaze_159)" TargetMode="External"/><Relationship Id="rId170" Type="http://schemas.openxmlformats.org/officeDocument/2006/relationships/hyperlink" Target="https://bulbapedia.bulbagarden.net/wiki/Spikemuth_(Darkness_Ablaze_170)" TargetMode="External"/><Relationship Id="rId191" Type="http://schemas.openxmlformats.org/officeDocument/2006/relationships/hyperlink" Target="https://bulbapedia.bulbagarden.net/wiki/Centiskorch_VMAX_(Darkness_Ablaze_191)" TargetMode="External"/><Relationship Id="rId107" Type="http://schemas.openxmlformats.org/officeDocument/2006/relationships/hyperlink" Target="https://bulbapedia.bulbagarden.net/wiki/Liepard_(Darkness_Ablaze_107)" TargetMode="External"/><Relationship Id="rId11" Type="http://schemas.openxmlformats.org/officeDocument/2006/relationships/hyperlink" Target="https://bulbapedia.bulbagarden.net/wiki/Rowlet_(Darkness_Ablaze_11)" TargetMode="External"/><Relationship Id="rId32" Type="http://schemas.openxmlformats.org/officeDocument/2006/relationships/hyperlink" Target="https://bulbapedia.bulbagarden.net/wiki/Talonflame_(Darkness_Ablaze_32)" TargetMode="External"/><Relationship Id="rId53" Type="http://schemas.openxmlformats.org/officeDocument/2006/relationships/hyperlink" Target="https://bulbapedia.bulbagarden.net/wiki/Dracovish_(Darkness_Ablaze_53)" TargetMode="External"/><Relationship Id="rId74" Type="http://schemas.openxmlformats.org/officeDocument/2006/relationships/hyperlink" Target="https://bulbapedia.bulbagarden.net/wiki/Gothorita_(Darkness_Ablaze_74)" TargetMode="External"/><Relationship Id="rId128" Type="http://schemas.openxmlformats.org/officeDocument/2006/relationships/hyperlink" Target="https://bulbapedia.bulbagarden.net/wiki/Galarian_Stunfisk_V_(Darkness_Ablaze_128)" TargetMode="External"/><Relationship Id="rId149" Type="http://schemas.openxmlformats.org/officeDocument/2006/relationships/hyperlink" Target="https://bulbapedia.bulbagarden.net/wiki/Swanna_(Darkness_Ablaze_149)" TargetMode="External"/><Relationship Id="rId5" Type="http://schemas.openxmlformats.org/officeDocument/2006/relationships/hyperlink" Target="https://bulbapedia.bulbagarden.net/wiki/Carnivine_(Darkness_Ablaze_5)" TargetMode="External"/><Relationship Id="rId95" Type="http://schemas.openxmlformats.org/officeDocument/2006/relationships/hyperlink" Target="https://bulbapedia.bulbagarden.net/wiki/Rhyperior_V_(Darkness_Ablaze_95)" TargetMode="External"/><Relationship Id="rId160" Type="http://schemas.openxmlformats.org/officeDocument/2006/relationships/hyperlink" Target="https://bulbapedia.bulbagarden.net/wiki/Cape_of_Toughness_(Darkness_Ablaze_160)" TargetMode="External"/><Relationship Id="rId181" Type="http://schemas.openxmlformats.org/officeDocument/2006/relationships/hyperlink" Target="https://bulbapedia.bulbagarden.net/wiki/Rhyperior_V_(Darkness_Ablaze_181)" TargetMode="External"/><Relationship Id="rId22" Type="http://schemas.openxmlformats.org/officeDocument/2006/relationships/hyperlink" Target="https://bulbapedia.bulbagarden.net/wiki/Torchic_(Darkness_Ablaze_22)" TargetMode="External"/><Relationship Id="rId43" Type="http://schemas.openxmlformats.org/officeDocument/2006/relationships/hyperlink" Target="https://bulbapedia.bulbagarden.net/wiki/Galarian_Darumaka_(Darkness_Ablaze_43)" TargetMode="External"/><Relationship Id="rId64" Type="http://schemas.openxmlformats.org/officeDocument/2006/relationships/hyperlink" Target="https://bulbapedia.bulbagarden.net/wiki/Pincurchin_(Darkness_Ablaze_64)" TargetMode="External"/><Relationship Id="rId118" Type="http://schemas.openxmlformats.org/officeDocument/2006/relationships/hyperlink" Target="https://bulbapedia.bulbagarden.net/wiki/Scizor_V_(Darkness_Ablaze_118)" TargetMode="External"/><Relationship Id="rId139" Type="http://schemas.openxmlformats.org/officeDocument/2006/relationships/hyperlink" Target="https://bulbapedia.bulbagarden.net/wiki/Ursaring_(Darkness_Ablaze_139)" TargetMode="External"/><Relationship Id="rId85" Type="http://schemas.openxmlformats.org/officeDocument/2006/relationships/hyperlink" Target="https://bulbapedia.bulbagarden.net/wiki/Dugtrio_(Darkness_Ablaze_85)" TargetMode="External"/><Relationship Id="rId150" Type="http://schemas.openxmlformats.org/officeDocument/2006/relationships/hyperlink" Target="https://bulbapedia.bulbagarden.net/wiki/Bunnelby_(Darkness_Ablaze_150)" TargetMode="External"/><Relationship Id="rId171" Type="http://schemas.openxmlformats.org/officeDocument/2006/relationships/hyperlink" Target="https://bulbapedia.bulbagarden.net/wiki/Struggle_Gloves_(Darkness_Ablaze_171)" TargetMode="External"/><Relationship Id="rId192" Type="http://schemas.openxmlformats.org/officeDocument/2006/relationships/hyperlink" Target="https://bulbapedia.bulbagarden.net/wiki/Eternatus_VMAX_(Darkness_Ablaze_192)" TargetMode="External"/><Relationship Id="rId12" Type="http://schemas.openxmlformats.org/officeDocument/2006/relationships/hyperlink" Target="https://bulbapedia.bulbagarden.net/wiki/Dartrix_(Darkness_Ablaze_12)" TargetMode="External"/><Relationship Id="rId33" Type="http://schemas.openxmlformats.org/officeDocument/2006/relationships/hyperlink" Target="https://bulbapedia.bulbagarden.net/wiki/Centiskorch_V_(Darkness_Ablaze_33)" TargetMode="External"/><Relationship Id="rId108" Type="http://schemas.openxmlformats.org/officeDocument/2006/relationships/hyperlink" Target="https://bulbapedia.bulbagarden.net/wiki/Deino_(Darkness_Ablaze_108)" TargetMode="External"/><Relationship Id="rId129" Type="http://schemas.openxmlformats.org/officeDocument/2006/relationships/hyperlink" Target="https://bulbapedia.bulbagarden.net/wiki/Meltan_(Darkness_Ablaze_129)" TargetMode="External"/><Relationship Id="rId54" Type="http://schemas.openxmlformats.org/officeDocument/2006/relationships/hyperlink" Target="https://bulbapedia.bulbagarden.net/wiki/Arctovish_(Darkness_Ablaze_54)" TargetMode="External"/><Relationship Id="rId75" Type="http://schemas.openxmlformats.org/officeDocument/2006/relationships/hyperlink" Target="https://bulbapedia.bulbagarden.net/wiki/Gothitelle_(Darkness_Ablaze_75)" TargetMode="External"/><Relationship Id="rId96" Type="http://schemas.openxmlformats.org/officeDocument/2006/relationships/hyperlink" Target="https://bulbapedia.bulbagarden.net/wiki/Diggersby_(Darkness_Ablaze_96)" TargetMode="External"/><Relationship Id="rId140" Type="http://schemas.openxmlformats.org/officeDocument/2006/relationships/hyperlink" Target="https://bulbapedia.bulbagarden.net/wiki/Lugia_(Darkness_Ablaze_140)" TargetMode="External"/><Relationship Id="rId161" Type="http://schemas.openxmlformats.org/officeDocument/2006/relationships/hyperlink" Target="https://bulbapedia.bulbagarden.net/wiki/Familiar_Bell_(Darkness_Ablaze_161)" TargetMode="External"/><Relationship Id="rId182" Type="http://schemas.openxmlformats.org/officeDocument/2006/relationships/hyperlink" Target="https://bulbapedia.bulbagarden.net/wiki/Crobat_V_(Darkness_Ablaze_182)" TargetMode="External"/><Relationship Id="rId6" Type="http://schemas.openxmlformats.org/officeDocument/2006/relationships/hyperlink" Target="https://bulbapedia.bulbagarden.net/wiki/Pansage_(Darkness_Ablaze_6)" TargetMode="External"/><Relationship Id="rId23" Type="http://schemas.openxmlformats.org/officeDocument/2006/relationships/hyperlink" Target="https://bulbapedia.bulbagarden.net/wiki/Combusken_(Darkness_Ablaze_23)" TargetMode="External"/><Relationship Id="rId119" Type="http://schemas.openxmlformats.org/officeDocument/2006/relationships/hyperlink" Target="https://bulbapedia.bulbagarden.net/wiki/Scizor_VMAX_(Darkness_Ablaze_119)" TargetMode="External"/><Relationship Id="rId44" Type="http://schemas.openxmlformats.org/officeDocument/2006/relationships/hyperlink" Target="https://bulbapedia.bulbagarden.net/wiki/Galarian_Darmanitan_(Darkness_Ablaze_44)" TargetMode="External"/><Relationship Id="rId65" Type="http://schemas.openxmlformats.org/officeDocument/2006/relationships/hyperlink" Target="https://bulbapedia.bulbagarden.net/wiki/Dracozolt_(Darkness_Ablaze_65)" TargetMode="External"/><Relationship Id="rId86" Type="http://schemas.openxmlformats.org/officeDocument/2006/relationships/hyperlink" Target="https://bulbapedia.bulbagarden.net/wiki/Larvitar_(Darkness_Ablaze_86)" TargetMode="External"/><Relationship Id="rId130" Type="http://schemas.openxmlformats.org/officeDocument/2006/relationships/hyperlink" Target="https://bulbapedia.bulbagarden.net/wiki/Melmetal_(Darkness_Ablaze_130)" TargetMode="External"/><Relationship Id="rId151" Type="http://schemas.openxmlformats.org/officeDocument/2006/relationships/hyperlink" Target="https://bulbapedia.bulbagarden.net/wiki/Fletchling_(Darkness_Ablaze_151)" TargetMode="External"/><Relationship Id="rId172" Type="http://schemas.openxmlformats.org/officeDocument/2006/relationships/hyperlink" Target="https://bulbapedia.bulbagarden.net/wiki/Turbo_Patch_(Darkness_Ablaze_172)" TargetMode="External"/><Relationship Id="rId193" Type="http://schemas.openxmlformats.org/officeDocument/2006/relationships/hyperlink" Target="https://bulbapedia.bulbagarden.net/wiki/Scizor_VMAX_(Darkness_Ablaze_193)" TargetMode="External"/><Relationship Id="rId13" Type="http://schemas.openxmlformats.org/officeDocument/2006/relationships/hyperlink" Target="https://bulbapedia.bulbagarden.net/wiki/Decidueye_(Darkness_Ablaze_13)" TargetMode="External"/><Relationship Id="rId109" Type="http://schemas.openxmlformats.org/officeDocument/2006/relationships/hyperlink" Target="https://bulbapedia.bulbagarden.net/wiki/Zweilous_(Darkness_Ablaze_109)" TargetMode="External"/><Relationship Id="rId34" Type="http://schemas.openxmlformats.org/officeDocument/2006/relationships/hyperlink" Target="https://bulbapedia.bulbagarden.net/wiki/Centiskorch_VMAX_(Darkness_Ablaze_34)" TargetMode="External"/><Relationship Id="rId55" Type="http://schemas.openxmlformats.org/officeDocument/2006/relationships/hyperlink" Target="https://bulbapedia.bulbagarden.net/wiki/Mareep_(Darkness_Ablaze_55)" TargetMode="External"/><Relationship Id="rId76" Type="http://schemas.openxmlformats.org/officeDocument/2006/relationships/hyperlink" Target="https://bulbapedia.bulbagarden.net/wiki/Golett_(Darkness_Ablaze_76)" TargetMode="External"/><Relationship Id="rId97" Type="http://schemas.openxmlformats.org/officeDocument/2006/relationships/hyperlink" Target="https://bulbapedia.bulbagarden.net/wiki/Passimian_(Darkness_Ablaze_97)" TargetMode="External"/><Relationship Id="rId120" Type="http://schemas.openxmlformats.org/officeDocument/2006/relationships/hyperlink" Target="https://bulbapedia.bulbagarden.net/wiki/Skarmory_(Darkness_Ablaze_120)" TargetMode="External"/><Relationship Id="rId141" Type="http://schemas.openxmlformats.org/officeDocument/2006/relationships/hyperlink" Target="https://bulbapedia.bulbagarden.net/wiki/Skitty_(Darkness_Ablaze_141)" TargetMode="External"/><Relationship Id="rId7" Type="http://schemas.openxmlformats.org/officeDocument/2006/relationships/hyperlink" Target="https://bulbapedia.bulbagarden.net/wiki/Simisage_(Darkness_Ablaze_7)" TargetMode="External"/><Relationship Id="rId162" Type="http://schemas.openxmlformats.org/officeDocument/2006/relationships/hyperlink" Target="https://bulbapedia.bulbagarden.net/wiki/Glimwood_Tangle_(Darkness_Ablaze_162)" TargetMode="External"/><Relationship Id="rId183" Type="http://schemas.openxmlformats.org/officeDocument/2006/relationships/hyperlink" Target="https://bulbapedia.bulbagarden.net/wiki/Scizor_V_(Darkness_Ablaze_183)" TargetMode="External"/><Relationship Id="rId2" Type="http://schemas.openxmlformats.org/officeDocument/2006/relationships/hyperlink" Target="https://bulbapedia.bulbagarden.net/wiki/Butterfree_VMAX_(Darkness_Ablaze_2)" TargetMode="External"/><Relationship Id="rId29" Type="http://schemas.openxmlformats.org/officeDocument/2006/relationships/hyperlink" Target="https://bulbapedia.bulbagarden.net/wiki/Larvesta_(Darkness_Ablaze_29)" TargetMode="External"/><Relationship Id="rId24" Type="http://schemas.openxmlformats.org/officeDocument/2006/relationships/hyperlink" Target="https://bulbapedia.bulbagarden.net/wiki/Blaziken_(Darkness_Ablaze_24)" TargetMode="External"/><Relationship Id="rId40" Type="http://schemas.openxmlformats.org/officeDocument/2006/relationships/hyperlink" Target="https://bulbapedia.bulbagarden.net/wiki/Relicanth_(Darkness_Ablaze_40)" TargetMode="External"/><Relationship Id="rId45" Type="http://schemas.openxmlformats.org/officeDocument/2006/relationships/hyperlink" Target="https://bulbapedia.bulbagarden.net/wiki/Vanillite_(Darkness_Ablaze_45)" TargetMode="External"/><Relationship Id="rId66" Type="http://schemas.openxmlformats.org/officeDocument/2006/relationships/hyperlink" Target="https://bulbapedia.bulbagarden.net/wiki/Arctozolt_(Darkness_Ablaze_66)" TargetMode="External"/><Relationship Id="rId87" Type="http://schemas.openxmlformats.org/officeDocument/2006/relationships/hyperlink" Target="https://bulbapedia.bulbagarden.net/wiki/Pupitar_(Darkness_Ablaze_87)" TargetMode="External"/><Relationship Id="rId110" Type="http://schemas.openxmlformats.org/officeDocument/2006/relationships/hyperlink" Target="https://bulbapedia.bulbagarden.net/wiki/Hydreigon_(Darkness_Ablaze_110)" TargetMode="External"/><Relationship Id="rId115" Type="http://schemas.openxmlformats.org/officeDocument/2006/relationships/hyperlink" Target="https://bulbapedia.bulbagarden.net/wiki/Grimmsnarl_VMAX_(Darkness_Ablaze_115)" TargetMode="External"/><Relationship Id="rId131" Type="http://schemas.openxmlformats.org/officeDocument/2006/relationships/hyperlink" Target="https://bulbapedia.bulbagarden.net/wiki/Cufant_(Darkness_Ablaze_131)" TargetMode="External"/><Relationship Id="rId136" Type="http://schemas.openxmlformats.org/officeDocument/2006/relationships/hyperlink" Target="https://bulbapedia.bulbagarden.net/wiki/Furret_(Darkness_Ablaze_136)" TargetMode="External"/><Relationship Id="rId157" Type="http://schemas.openxmlformats.org/officeDocument/2006/relationships/hyperlink" Target="https://bulbapedia.bulbagarden.net/wiki/Big_Parasol_(Darkness_Ablaze_157)" TargetMode="External"/><Relationship Id="rId178" Type="http://schemas.openxmlformats.org/officeDocument/2006/relationships/hyperlink" Target="https://bulbapedia.bulbagarden.net/wiki/Houndoom_V_(Darkness_Ablaze_178)" TargetMode="External"/><Relationship Id="rId61" Type="http://schemas.openxmlformats.org/officeDocument/2006/relationships/hyperlink" Target="https://bulbapedia.bulbagarden.net/wiki/Tapu_Koko_(Darkness_Ablaze_61)" TargetMode="External"/><Relationship Id="rId82" Type="http://schemas.openxmlformats.org/officeDocument/2006/relationships/hyperlink" Target="https://bulbapedia.bulbagarden.net/wiki/Sinistea_(Darkness_Ablaze_82)" TargetMode="External"/><Relationship Id="rId152" Type="http://schemas.openxmlformats.org/officeDocument/2006/relationships/hyperlink" Target="https://bulbapedia.bulbagarden.net/wiki/Skwovet_(Darkness_Ablaze_152)" TargetMode="External"/><Relationship Id="rId173" Type="http://schemas.openxmlformats.org/officeDocument/2006/relationships/hyperlink" Target="https://bulbapedia.bulbagarden.net/wiki/Yell_Horn_(Darkness_Ablaze_173)" TargetMode="External"/><Relationship Id="rId194" Type="http://schemas.openxmlformats.org/officeDocument/2006/relationships/hyperlink" Target="https://bulbapedia.bulbagarden.net/wiki/Salamence_VMAX_(Darkness_Ablaze_194)" TargetMode="External"/><Relationship Id="rId199" Type="http://schemas.openxmlformats.org/officeDocument/2006/relationships/hyperlink" Target="https://bulbapedia.bulbagarden.net/wiki/Big_Parasol_(Darkness_Ablaze_199)" TargetMode="External"/><Relationship Id="rId19" Type="http://schemas.openxmlformats.org/officeDocument/2006/relationships/hyperlink" Target="https://bulbapedia.bulbagarden.net/wiki/Charizard_V_(Darkness_Ablaze_19)" TargetMode="External"/><Relationship Id="rId14" Type="http://schemas.openxmlformats.org/officeDocument/2006/relationships/hyperlink" Target="https://bulbapedia.bulbagarden.net/wiki/Bounsweet_(Darkness_Ablaze_14)" TargetMode="External"/><Relationship Id="rId30" Type="http://schemas.openxmlformats.org/officeDocument/2006/relationships/hyperlink" Target="https://bulbapedia.bulbagarden.net/wiki/Volcarona_(Darkness_Ablaze_30)" TargetMode="External"/><Relationship Id="rId35" Type="http://schemas.openxmlformats.org/officeDocument/2006/relationships/hyperlink" Target="https://bulbapedia.bulbagarden.net/wiki/Galarian_Mr._Mime_(Darkness_Ablaze_35)" TargetMode="External"/><Relationship Id="rId56" Type="http://schemas.openxmlformats.org/officeDocument/2006/relationships/hyperlink" Target="https://bulbapedia.bulbagarden.net/wiki/Flaaffy_(Darkness_Ablaze_56)" TargetMode="External"/><Relationship Id="rId77" Type="http://schemas.openxmlformats.org/officeDocument/2006/relationships/hyperlink" Target="https://bulbapedia.bulbagarden.net/wiki/Golurk_(Darkness_Ablaze_77)" TargetMode="External"/><Relationship Id="rId100" Type="http://schemas.openxmlformats.org/officeDocument/2006/relationships/hyperlink" Target="https://bulbapedia.bulbagarden.net/wiki/Grimer_(Darkness_Ablaze_100)" TargetMode="External"/><Relationship Id="rId105" Type="http://schemas.openxmlformats.org/officeDocument/2006/relationships/hyperlink" Target="https://bulbapedia.bulbagarden.net/wiki/Darkrai_(Darkness_Ablaze_105)" TargetMode="External"/><Relationship Id="rId126" Type="http://schemas.openxmlformats.org/officeDocument/2006/relationships/hyperlink" Target="https://bulbapedia.bulbagarden.net/wiki/Klang_(Darkness_Ablaze_126)" TargetMode="External"/><Relationship Id="rId147" Type="http://schemas.openxmlformats.org/officeDocument/2006/relationships/hyperlink" Target="https://bulbapedia.bulbagarden.net/wiki/Staraptor_(Darkness_Ablaze_147)" TargetMode="External"/><Relationship Id="rId168" Type="http://schemas.openxmlformats.org/officeDocument/2006/relationships/hyperlink" Target="https://bulbapedia.bulbagarden.net/wiki/Rose_(Darkness_Ablaze_168)" TargetMode="External"/><Relationship Id="rId8" Type="http://schemas.openxmlformats.org/officeDocument/2006/relationships/hyperlink" Target="https://bulbapedia.bulbagarden.net/wiki/Karrablast_(Darkness_Ablaze_8)" TargetMode="External"/><Relationship Id="rId51" Type="http://schemas.openxmlformats.org/officeDocument/2006/relationships/hyperlink" Target="https://bulbapedia.bulbagarden.net/wiki/Mareanie_(Darkness_Ablaze_51)" TargetMode="External"/><Relationship Id="rId72" Type="http://schemas.openxmlformats.org/officeDocument/2006/relationships/hyperlink" Target="https://bulbapedia.bulbagarden.net/wiki/Lunatone_(Darkness_Ablaze_72)" TargetMode="External"/><Relationship Id="rId93" Type="http://schemas.openxmlformats.org/officeDocument/2006/relationships/hyperlink" Target="https://bulbapedia.bulbagarden.net/wiki/Hippopotas_(Darkness_Ablaze_93)" TargetMode="External"/><Relationship Id="rId98" Type="http://schemas.openxmlformats.org/officeDocument/2006/relationships/hyperlink" Target="https://bulbapedia.bulbagarden.net/wiki/Galarian_Sirfetch%27d_(Darkness_Ablaze_98)" TargetMode="External"/><Relationship Id="rId121" Type="http://schemas.openxmlformats.org/officeDocument/2006/relationships/hyperlink" Target="https://bulbapedia.bulbagarden.net/wiki/Aron_(Darkness_Ablaze_121)" TargetMode="External"/><Relationship Id="rId142" Type="http://schemas.openxmlformats.org/officeDocument/2006/relationships/hyperlink" Target="https://bulbapedia.bulbagarden.net/wiki/Delcatty_(Darkness_Ablaze_142)" TargetMode="External"/><Relationship Id="rId163" Type="http://schemas.openxmlformats.org/officeDocument/2006/relationships/hyperlink" Target="https://bulbapedia.bulbagarden.net/wiki/Kabu_(Darkness_Ablaze_163)" TargetMode="External"/><Relationship Id="rId184" Type="http://schemas.openxmlformats.org/officeDocument/2006/relationships/hyperlink" Target="https://bulbapedia.bulbagarden.net/wiki/Galarian_Stunfisk_V_(Darkness_Ablaze_184)" TargetMode="External"/><Relationship Id="rId189" Type="http://schemas.openxmlformats.org/officeDocument/2006/relationships/hyperlink" Target="https://bulbapedia.bulbagarden.net/wiki/Rose_(Darkness_Ablaze_189)" TargetMode="External"/><Relationship Id="rId3" Type="http://schemas.openxmlformats.org/officeDocument/2006/relationships/hyperlink" Target="https://bulbapedia.bulbagarden.net/wiki/Paras_(Darkness_Ablaze_3)" TargetMode="External"/><Relationship Id="rId25" Type="http://schemas.openxmlformats.org/officeDocument/2006/relationships/hyperlink" Target="https://bulbapedia.bulbagarden.net/wiki/Heatran_(Darkness_Ablaze_25)" TargetMode="External"/><Relationship Id="rId46" Type="http://schemas.openxmlformats.org/officeDocument/2006/relationships/hyperlink" Target="https://bulbapedia.bulbagarden.net/wiki/Vanillish_(Darkness_Ablaze_46)" TargetMode="External"/><Relationship Id="rId67" Type="http://schemas.openxmlformats.org/officeDocument/2006/relationships/hyperlink" Target="https://bulbapedia.bulbagarden.net/wiki/Jigglypuff_(Darkness_Ablaze_67)" TargetMode="External"/><Relationship Id="rId116" Type="http://schemas.openxmlformats.org/officeDocument/2006/relationships/hyperlink" Target="https://bulbapedia.bulbagarden.net/wiki/Eternatus_V_(Darkness_Ablaze_116)" TargetMode="External"/><Relationship Id="rId137" Type="http://schemas.openxmlformats.org/officeDocument/2006/relationships/hyperlink" Target="https://bulbapedia.bulbagarden.net/wiki/Dunsparce_(Darkness_Ablaze_137)" TargetMode="External"/><Relationship Id="rId158" Type="http://schemas.openxmlformats.org/officeDocument/2006/relationships/hyperlink" Target="https://bulbapedia.bulbagarden.net/wiki/Billowing_Smoke_(Darkness_Ablaze_158)" TargetMode="External"/><Relationship Id="rId20" Type="http://schemas.openxmlformats.org/officeDocument/2006/relationships/hyperlink" Target="https://bulbapedia.bulbagarden.net/wiki/Charizard_VMAX_(Darkness_Ablaze_20)" TargetMode="External"/><Relationship Id="rId41" Type="http://schemas.openxmlformats.org/officeDocument/2006/relationships/hyperlink" Target="https://bulbapedia.bulbagarden.net/wiki/Panpour_(Darkness_Ablaze_41)" TargetMode="External"/><Relationship Id="rId62" Type="http://schemas.openxmlformats.org/officeDocument/2006/relationships/hyperlink" Target="https://bulbapedia.bulbagarden.net/wiki/Toxel_(Darkness_Ablaze_62)" TargetMode="External"/><Relationship Id="rId83" Type="http://schemas.openxmlformats.org/officeDocument/2006/relationships/hyperlink" Target="https://bulbapedia.bulbagarden.net/wiki/Polteageist_(Darkness_Ablaze_83)" TargetMode="External"/><Relationship Id="rId88" Type="http://schemas.openxmlformats.org/officeDocument/2006/relationships/hyperlink" Target="https://bulbapedia.bulbagarden.net/wiki/Tyranitar_(Darkness_Ablaze_88)" TargetMode="External"/><Relationship Id="rId111" Type="http://schemas.openxmlformats.org/officeDocument/2006/relationships/hyperlink" Target="https://bulbapedia.bulbagarden.net/wiki/Hoopa_(Darkness_Ablaze_111)" TargetMode="External"/><Relationship Id="rId132" Type="http://schemas.openxmlformats.org/officeDocument/2006/relationships/hyperlink" Target="https://bulbapedia.bulbagarden.net/wiki/Copperajah_(Darkness_Ablaze_132)" TargetMode="External"/><Relationship Id="rId153" Type="http://schemas.openxmlformats.org/officeDocument/2006/relationships/hyperlink" Target="https://bulbapedia.bulbagarden.net/wiki/Greedent_(Darkness_Ablaze_153)" TargetMode="External"/><Relationship Id="rId174" Type="http://schemas.openxmlformats.org/officeDocument/2006/relationships/hyperlink" Target="https://bulbapedia.bulbagarden.net/wiki/Heat_F_Energy_(Darkness_Ablaze_174)" TargetMode="External"/><Relationship Id="rId179" Type="http://schemas.openxmlformats.org/officeDocument/2006/relationships/hyperlink" Target="https://bulbapedia.bulbagarden.net/wiki/Centiskorch_V_(Darkness_Ablaze_179)" TargetMode="External"/><Relationship Id="rId195" Type="http://schemas.openxmlformats.org/officeDocument/2006/relationships/hyperlink" Target="https://bulbapedia.bulbagarden.net/wiki/Pok%C3%A9mon_Breeder%27s_Nurturing_(Darkness_Ablaze_195)" TargetMode="External"/><Relationship Id="rId190" Type="http://schemas.openxmlformats.org/officeDocument/2006/relationships/hyperlink" Target="https://bulbapedia.bulbagarden.net/wiki/Butterfree_VMAX_(Darkness_Ablaze_190)" TargetMode="External"/><Relationship Id="rId15" Type="http://schemas.openxmlformats.org/officeDocument/2006/relationships/hyperlink" Target="https://bulbapedia.bulbagarden.net/wiki/Steenee_(Darkness_Ablaze_15)" TargetMode="External"/><Relationship Id="rId36" Type="http://schemas.openxmlformats.org/officeDocument/2006/relationships/hyperlink" Target="https://bulbapedia.bulbagarden.net/wiki/Galarian_Mr._Rime_(Darkness_Ablaze_36)" TargetMode="External"/><Relationship Id="rId57" Type="http://schemas.openxmlformats.org/officeDocument/2006/relationships/hyperlink" Target="https://bulbapedia.bulbagarden.net/wiki/Ampharos_(Darkness_Ablaze_57)" TargetMode="External"/><Relationship Id="rId106" Type="http://schemas.openxmlformats.org/officeDocument/2006/relationships/hyperlink" Target="https://bulbapedia.bulbagarden.net/wiki/Purrloin_(Darkness_Ablaze_106)" TargetMode="External"/><Relationship Id="rId127" Type="http://schemas.openxmlformats.org/officeDocument/2006/relationships/hyperlink" Target="https://bulbapedia.bulbagarden.net/wiki/Klinklang_(Darkness_Ablaze_127)" TargetMode="External"/><Relationship Id="rId10" Type="http://schemas.openxmlformats.org/officeDocument/2006/relationships/hyperlink" Target="https://bulbapedia.bulbagarden.net/wiki/Accelgor_(Darkness_Ablaze_10)" TargetMode="External"/><Relationship Id="rId31" Type="http://schemas.openxmlformats.org/officeDocument/2006/relationships/hyperlink" Target="https://bulbapedia.bulbagarden.net/wiki/Fletchinder_(Darkness_Ablaze_31)" TargetMode="External"/><Relationship Id="rId52" Type="http://schemas.openxmlformats.org/officeDocument/2006/relationships/hyperlink" Target="https://bulbapedia.bulbagarden.net/wiki/Toxapex_(Darkness_Ablaze_52)" TargetMode="External"/><Relationship Id="rId73" Type="http://schemas.openxmlformats.org/officeDocument/2006/relationships/hyperlink" Target="https://bulbapedia.bulbagarden.net/wiki/Gothita_(Darkness_Ablaze_73)" TargetMode="External"/><Relationship Id="rId78" Type="http://schemas.openxmlformats.org/officeDocument/2006/relationships/hyperlink" Target="https://bulbapedia.bulbagarden.net/wiki/Dedenne_(Darkness_Ablaze_78)" TargetMode="External"/><Relationship Id="rId94" Type="http://schemas.openxmlformats.org/officeDocument/2006/relationships/hyperlink" Target="https://bulbapedia.bulbagarden.net/wiki/Hippowdon_(Darkness_Ablaze_94)" TargetMode="External"/><Relationship Id="rId99" Type="http://schemas.openxmlformats.org/officeDocument/2006/relationships/hyperlink" Target="https://bulbapedia.bulbagarden.net/wiki/Galarian_Slowbro_V_(Darkness_Ablaze_99)" TargetMode="External"/><Relationship Id="rId101" Type="http://schemas.openxmlformats.org/officeDocument/2006/relationships/hyperlink" Target="https://bulbapedia.bulbagarden.net/wiki/Muk_(Darkness_Ablaze_101)" TargetMode="External"/><Relationship Id="rId122" Type="http://schemas.openxmlformats.org/officeDocument/2006/relationships/hyperlink" Target="https://bulbapedia.bulbagarden.net/wiki/Lairon_(Darkness_Ablaze_122)" TargetMode="External"/><Relationship Id="rId143" Type="http://schemas.openxmlformats.org/officeDocument/2006/relationships/hyperlink" Target="https://bulbapedia.bulbagarden.net/wiki/Salamence_V_(Darkness_Ablaze_143)" TargetMode="External"/><Relationship Id="rId148" Type="http://schemas.openxmlformats.org/officeDocument/2006/relationships/hyperlink" Target="https://bulbapedia.bulbagarden.net/wiki/Ducklett_(Darkness_Ablaze_148)" TargetMode="External"/><Relationship Id="rId164" Type="http://schemas.openxmlformats.org/officeDocument/2006/relationships/hyperlink" Target="https://bulbapedia.bulbagarden.net/wiki/Old_PC_(Darkness_Ablaze_164)" TargetMode="External"/><Relationship Id="rId169" Type="http://schemas.openxmlformats.org/officeDocument/2006/relationships/hyperlink" Target="https://bulbapedia.bulbagarden.net/wiki/Rose_Tower_(Darkness_Ablaze_169)" TargetMode="External"/><Relationship Id="rId185" Type="http://schemas.openxmlformats.org/officeDocument/2006/relationships/hyperlink" Target="https://bulbapedia.bulbagarden.net/wiki/Salamence_V_(Darkness_Ablaze_185)" TargetMode="External"/><Relationship Id="rId4" Type="http://schemas.openxmlformats.org/officeDocument/2006/relationships/hyperlink" Target="https://bulbapedia.bulbagarden.net/wiki/Parasect_(Darkness_Ablaze_4)" TargetMode="External"/><Relationship Id="rId9" Type="http://schemas.openxmlformats.org/officeDocument/2006/relationships/hyperlink" Target="https://bulbapedia.bulbagarden.net/wiki/Shelmet_(Darkness_Ablaze_9)" TargetMode="External"/><Relationship Id="rId180" Type="http://schemas.openxmlformats.org/officeDocument/2006/relationships/hyperlink" Target="https://bulbapedia.bulbagarden.net/wiki/Vikavolt_V_(Darkness_Ablaze_180)" TargetMode="External"/><Relationship Id="rId26" Type="http://schemas.openxmlformats.org/officeDocument/2006/relationships/hyperlink" Target="https://bulbapedia.bulbagarden.net/wiki/Pansear_(Darkness_Ablaze_26)" TargetMode="External"/><Relationship Id="rId47" Type="http://schemas.openxmlformats.org/officeDocument/2006/relationships/hyperlink" Target="https://bulbapedia.bulbagarden.net/wiki/Vanilluxe_(Darkness_Ablaze_47)" TargetMode="External"/><Relationship Id="rId68" Type="http://schemas.openxmlformats.org/officeDocument/2006/relationships/hyperlink" Target="https://bulbapedia.bulbagarden.net/wiki/Wigglytuff_(Darkness_Ablaze_68)" TargetMode="External"/><Relationship Id="rId89" Type="http://schemas.openxmlformats.org/officeDocument/2006/relationships/hyperlink" Target="https://bulbapedia.bulbagarden.net/wiki/Trapinch_(Darkness_Ablaze_89)" TargetMode="External"/><Relationship Id="rId112" Type="http://schemas.openxmlformats.org/officeDocument/2006/relationships/hyperlink" Target="https://bulbapedia.bulbagarden.net/wiki/Nickit_(Darkness_Ablaze_112)" TargetMode="External"/><Relationship Id="rId133" Type="http://schemas.openxmlformats.org/officeDocument/2006/relationships/hyperlink" Target="https://bulbapedia.bulbagarden.net/wiki/Kangaskhan_(Darkness_Ablaze_133)" TargetMode="External"/><Relationship Id="rId154" Type="http://schemas.openxmlformats.org/officeDocument/2006/relationships/hyperlink" Target="https://bulbapedia.bulbagarden.net/wiki/Rookidee_(Darkness_Ablaze_154)" TargetMode="External"/><Relationship Id="rId175" Type="http://schemas.openxmlformats.org/officeDocument/2006/relationships/hyperlink" Target="https://bulbapedia.bulbagarden.net/wiki/Hiding_D_Energy_(Darkness_Ablaze_175)" TargetMode="External"/><Relationship Id="rId196" Type="http://schemas.openxmlformats.org/officeDocument/2006/relationships/hyperlink" Target="https://bulbapedia.bulbagarden.net/wiki/Rose_(Darkness_Ablaze_196)" TargetMode="External"/><Relationship Id="rId200" Type="http://schemas.openxmlformats.org/officeDocument/2006/relationships/hyperlink" Target="https://bulbapedia.bulbagarden.net/wiki/Turbo_Patch_(Darkness_Ablaze_200)" TargetMode="External"/><Relationship Id="rId16" Type="http://schemas.openxmlformats.org/officeDocument/2006/relationships/hyperlink" Target="https://bulbapedia.bulbagarden.net/wiki/Tsareena_(Darkness_Ablaze_16)" TargetMode="External"/><Relationship Id="rId37" Type="http://schemas.openxmlformats.org/officeDocument/2006/relationships/hyperlink" Target="https://bulbapedia.bulbagarden.net/wiki/Suicune_(Darkness_Ablaze_37)" TargetMode="External"/><Relationship Id="rId58" Type="http://schemas.openxmlformats.org/officeDocument/2006/relationships/hyperlink" Target="https://bulbapedia.bulbagarden.net/wiki/Electrike_(Darkness_Ablaze_58)" TargetMode="External"/><Relationship Id="rId79" Type="http://schemas.openxmlformats.org/officeDocument/2006/relationships/hyperlink" Target="https://bulbapedia.bulbagarden.net/wiki/Morelull_(Darkness_Ablaze_79)" TargetMode="External"/><Relationship Id="rId102" Type="http://schemas.openxmlformats.org/officeDocument/2006/relationships/hyperlink" Target="https://bulbapedia.bulbagarden.net/wiki/Spinarak_(Darkness_Ablaze_102)" TargetMode="External"/><Relationship Id="rId123" Type="http://schemas.openxmlformats.org/officeDocument/2006/relationships/hyperlink" Target="https://bulbapedia.bulbagarden.net/wiki/Aggron_(Darkness_Ablaze_123)" TargetMode="External"/><Relationship Id="rId144" Type="http://schemas.openxmlformats.org/officeDocument/2006/relationships/hyperlink" Target="https://bulbapedia.bulbagarden.net/wiki/Salamence_VMAX_(Darkness_Ablaze_144)" TargetMode="External"/><Relationship Id="rId90" Type="http://schemas.openxmlformats.org/officeDocument/2006/relationships/hyperlink" Target="https://bulbapedia.bulbagarden.net/wiki/Vibrava_(Darkness_Ablaze_90)" TargetMode="External"/><Relationship Id="rId165" Type="http://schemas.openxmlformats.org/officeDocument/2006/relationships/hyperlink" Target="https://bulbapedia.bulbagarden.net/wiki/Piers_(Darkness_Ablaze_165)" TargetMode="External"/><Relationship Id="rId186" Type="http://schemas.openxmlformats.org/officeDocument/2006/relationships/hyperlink" Target="https://bulbapedia.bulbagarden.net/wiki/Kabu_(Darkness_Ablaze_186)" TargetMode="External"/><Relationship Id="rId27" Type="http://schemas.openxmlformats.org/officeDocument/2006/relationships/hyperlink" Target="https://bulbapedia.bulbagarden.net/wiki/Simisear_(Darkness_Ablaze_27)" TargetMode="External"/><Relationship Id="rId48" Type="http://schemas.openxmlformats.org/officeDocument/2006/relationships/hyperlink" Target="https://bulbapedia.bulbagarden.net/wiki/Cubchoo_(Darkness_Ablaze_48)" TargetMode="External"/><Relationship Id="rId69" Type="http://schemas.openxmlformats.org/officeDocument/2006/relationships/hyperlink" Target="https://bulbapedia.bulbagarden.net/wiki/Mew_V_(Darkness_Ablaze_69)" TargetMode="External"/><Relationship Id="rId113" Type="http://schemas.openxmlformats.org/officeDocument/2006/relationships/hyperlink" Target="https://bulbapedia.bulbagarden.net/wiki/Thievul_(Darkness_Ablaze_113)" TargetMode="External"/><Relationship Id="rId134" Type="http://schemas.openxmlformats.org/officeDocument/2006/relationships/hyperlink" Target="https://bulbapedia.bulbagarden.net/wiki/Tauros_(Darkness_Ablaze_134)" TargetMode="External"/><Relationship Id="rId80" Type="http://schemas.openxmlformats.org/officeDocument/2006/relationships/hyperlink" Target="https://bulbapedia.bulbagarden.net/wiki/Shiinotic_(Darkness_Ablaze_80)" TargetMode="External"/><Relationship Id="rId155" Type="http://schemas.openxmlformats.org/officeDocument/2006/relationships/hyperlink" Target="https://bulbapedia.bulbagarden.net/wiki/Corvisquire_(Darkness_Ablaze_155)" TargetMode="External"/><Relationship Id="rId176" Type="http://schemas.openxmlformats.org/officeDocument/2006/relationships/hyperlink" Target="https://bulbapedia.bulbagarden.net/wiki/Powerful_C_Energy_(Darkness_Ablaze_176)" TargetMode="External"/><Relationship Id="rId197" Type="http://schemas.openxmlformats.org/officeDocument/2006/relationships/hyperlink" Target="https://bulbapedia.bulbagarden.net/wiki/Rillaboom_(Darkness_Ablaze_197)" TargetMode="External"/><Relationship Id="rId201" Type="http://schemas.openxmlformats.org/officeDocument/2006/relationships/hyperlink" Target="https://bulbapedia.bulbagarden.net/wiki/Capture_Energy_(Darkness_Ablaze_201)" TargetMode="External"/><Relationship Id="rId17" Type="http://schemas.openxmlformats.org/officeDocument/2006/relationships/hyperlink" Target="https://bulbapedia.bulbagarden.net/wiki/Wimpod_(Darkness_Ablaze_17)" TargetMode="External"/><Relationship Id="rId38" Type="http://schemas.openxmlformats.org/officeDocument/2006/relationships/hyperlink" Target="https://bulbapedia.bulbagarden.net/wiki/Feebas_(Darkness_Ablaze_38)" TargetMode="External"/><Relationship Id="rId59" Type="http://schemas.openxmlformats.org/officeDocument/2006/relationships/hyperlink" Target="https://bulbapedia.bulbagarden.net/wiki/Manectric_(Darkness_Ablaze_59)" TargetMode="External"/><Relationship Id="rId103" Type="http://schemas.openxmlformats.org/officeDocument/2006/relationships/hyperlink" Target="https://bulbapedia.bulbagarden.net/wiki/Ariados_(Darkness_Ablaze_103)" TargetMode="External"/><Relationship Id="rId124" Type="http://schemas.openxmlformats.org/officeDocument/2006/relationships/hyperlink" Target="https://bulbapedia.bulbagarden.net/wiki/Escavalier_(Darkness_Ablaze_124)" TargetMode="External"/><Relationship Id="rId70" Type="http://schemas.openxmlformats.org/officeDocument/2006/relationships/hyperlink" Target="https://bulbapedia.bulbagarden.net/wiki/Snubbull_(Darkness_Ablaze_70)" TargetMode="External"/><Relationship Id="rId91" Type="http://schemas.openxmlformats.org/officeDocument/2006/relationships/hyperlink" Target="https://bulbapedia.bulbagarden.net/wiki/Flygon_(Darkness_Ablaze_91)" TargetMode="External"/><Relationship Id="rId145" Type="http://schemas.openxmlformats.org/officeDocument/2006/relationships/hyperlink" Target="https://bulbapedia.bulbagarden.net/wiki/Starly_(Darkness_Ablaze_145)" TargetMode="External"/><Relationship Id="rId166" Type="http://schemas.openxmlformats.org/officeDocument/2006/relationships/hyperlink" Target="https://bulbapedia.bulbagarden.net/wiki/Pok%C3%A9mon_Breeder%27s_Nurturing_(Darkness_Ablaze_166)" TargetMode="External"/><Relationship Id="rId187" Type="http://schemas.openxmlformats.org/officeDocument/2006/relationships/hyperlink" Target="https://bulbapedia.bulbagarden.net/wiki/Piers_(Darkness_Ablaze_187)" TargetMode="External"/><Relationship Id="rId1" Type="http://schemas.openxmlformats.org/officeDocument/2006/relationships/hyperlink" Target="https://bulbapedia.bulbagarden.net/wiki/Butterfree_V_(Darkness_Ablaze_1)" TargetMode="External"/><Relationship Id="rId28" Type="http://schemas.openxmlformats.org/officeDocument/2006/relationships/hyperlink" Target="https://bulbapedia.bulbagarden.net/wiki/Galarian_Darmanitan_(Darkness_Ablaze_28)" TargetMode="External"/><Relationship Id="rId49" Type="http://schemas.openxmlformats.org/officeDocument/2006/relationships/hyperlink" Target="https://bulbapedia.bulbagarden.net/wiki/Beartic_(Darkness_Ablaze_49)" TargetMode="External"/><Relationship Id="rId114" Type="http://schemas.openxmlformats.org/officeDocument/2006/relationships/hyperlink" Target="https://bulbapedia.bulbagarden.net/wiki/Grimmsnarl_V_(Darkness_Ablaze_114)" TargetMode="External"/><Relationship Id="rId60" Type="http://schemas.openxmlformats.org/officeDocument/2006/relationships/hyperlink" Target="https://bulbapedia.bulbagarden.net/wiki/Vikavolt_V_(Darkness_Ablaze_60)" TargetMode="External"/><Relationship Id="rId81" Type="http://schemas.openxmlformats.org/officeDocument/2006/relationships/hyperlink" Target="https://bulbapedia.bulbagarden.net/wiki/Mimikyu_(Darkness_Ablaze_81)" TargetMode="External"/><Relationship Id="rId135" Type="http://schemas.openxmlformats.org/officeDocument/2006/relationships/hyperlink" Target="https://bulbapedia.bulbagarden.net/wiki/Sentret_(Darkness_Ablaze_135)" TargetMode="External"/><Relationship Id="rId156" Type="http://schemas.openxmlformats.org/officeDocument/2006/relationships/hyperlink" Target="https://bulbapedia.bulbagarden.net/wiki/Corviknight_(Darkness_Ablaze_156)" TargetMode="External"/><Relationship Id="rId177" Type="http://schemas.openxmlformats.org/officeDocument/2006/relationships/hyperlink" Target="https://bulbapedia.bulbagarden.net/wiki/Butterfree_V_(Darkness_Ablaze_177)" TargetMode="External"/><Relationship Id="rId198" Type="http://schemas.openxmlformats.org/officeDocument/2006/relationships/hyperlink" Target="https://bulbapedia.bulbagarden.net/wiki/Coalossal_(Darkness_Ablaze_198)" TargetMode="External"/><Relationship Id="rId18" Type="http://schemas.openxmlformats.org/officeDocument/2006/relationships/hyperlink" Target="https://bulbapedia.bulbagarden.net/wiki/Golisopod_(Darkness_Ablaze_18)" TargetMode="External"/><Relationship Id="rId39" Type="http://schemas.openxmlformats.org/officeDocument/2006/relationships/hyperlink" Target="https://bulbapedia.bulbagarden.net/wiki/Milotic_(Darkness_Ablaze_39)" TargetMode="External"/><Relationship Id="rId50" Type="http://schemas.openxmlformats.org/officeDocument/2006/relationships/hyperlink" Target="https://bulbapedia.bulbagarden.net/wiki/Wishiwashi_(Darkness_Ablaze_50)" TargetMode="External"/><Relationship Id="rId104" Type="http://schemas.openxmlformats.org/officeDocument/2006/relationships/hyperlink" Target="https://bulbapedia.bulbagarden.net/wiki/Crobat_V_(Darkness_Ablaze_104)" TargetMode="External"/><Relationship Id="rId125" Type="http://schemas.openxmlformats.org/officeDocument/2006/relationships/hyperlink" Target="https://bulbapedia.bulbagarden.net/wiki/Klink_(Darkness_Ablaze_125)" TargetMode="External"/><Relationship Id="rId146" Type="http://schemas.openxmlformats.org/officeDocument/2006/relationships/hyperlink" Target="https://bulbapedia.bulbagarden.net/wiki/Staravia_(Darkness_Ablaze_146)" TargetMode="External"/><Relationship Id="rId167" Type="http://schemas.openxmlformats.org/officeDocument/2006/relationships/hyperlink" Target="https://bulbapedia.bulbagarden.net/wiki/Rare_Fossil_(Darkness_Ablaze_167)" TargetMode="External"/><Relationship Id="rId188" Type="http://schemas.openxmlformats.org/officeDocument/2006/relationships/hyperlink" Target="https://bulbapedia.bulbagarden.net/wiki/Pok%C3%A9mon_Breeder%27s_Nurturing_(Darkness_Ablaze_188)" TargetMode="External"/><Relationship Id="rId71" Type="http://schemas.openxmlformats.org/officeDocument/2006/relationships/hyperlink" Target="https://bulbapedia.bulbagarden.net/wiki/Granbull_(Darkness_Ablaze_71)" TargetMode="External"/><Relationship Id="rId92" Type="http://schemas.openxmlformats.org/officeDocument/2006/relationships/hyperlink" Target="https://bulbapedia.bulbagarden.net/wiki/Solrock_(Darkness_Ablaze_92)" TargetMode="External"/></Relationships>
</file>

<file path=xl/worksheets/_rels/sheet87.xml.rels><?xml version="1.0" encoding="UTF-8" standalone="yes"?>
<Relationships xmlns="http://schemas.openxmlformats.org/package/2006/relationships"><Relationship Id="rId26" Type="http://schemas.openxmlformats.org/officeDocument/2006/relationships/hyperlink" Target="https://bulbapedia.bulbagarden.net/wiki/Machamp_(Champion%27s_Path_26)" TargetMode="External"/><Relationship Id="rId21" Type="http://schemas.openxmlformats.org/officeDocument/2006/relationships/hyperlink" Target="https://bulbapedia.bulbagarden.net/wiki/Galarian_Cursola_V_(Champion%27s_Path_21)" TargetMode="External"/><Relationship Id="rId42" Type="http://schemas.openxmlformats.org/officeDocument/2006/relationships/hyperlink" Target="https://bulbapedia.bulbagarden.net/wiki/Scrafty_(Champion%27s_Path_42)" TargetMode="External"/><Relationship Id="rId47" Type="http://schemas.openxmlformats.org/officeDocument/2006/relationships/hyperlink" Target="https://bulbapedia.bulbagarden.net/wiki/Duraludon_V_(Champion%27s_Path_47)" TargetMode="External"/><Relationship Id="rId63" Type="http://schemas.openxmlformats.org/officeDocument/2006/relationships/hyperlink" Target="https://bulbapedia.bulbagarden.net/wiki/Rotom_Bike_(Champion%27s_Path_63)" TargetMode="External"/><Relationship Id="rId68" Type="http://schemas.openxmlformats.org/officeDocument/2006/relationships/hyperlink" Target="https://bulbapedia.bulbagarden.net/wiki/Turffield_Stadium_(Champion%27s_Path_68)" TargetMode="External"/><Relationship Id="rId16" Type="http://schemas.openxmlformats.org/officeDocument/2006/relationships/hyperlink" Target="https://bulbapedia.bulbagarden.net/wiki/Gardevoir_V_(Champion%27s_Path_16)" TargetMode="External"/><Relationship Id="rId11" Type="http://schemas.openxmlformats.org/officeDocument/2006/relationships/hyperlink" Target="https://bulbapedia.bulbagarden.net/wiki/Carvanha_(Champion%27s_Path_11)" TargetMode="External"/><Relationship Id="rId24" Type="http://schemas.openxmlformats.org/officeDocument/2006/relationships/hyperlink" Target="https://bulbapedia.bulbagarden.net/wiki/Machop_(Champion%27s_Path_24)" TargetMode="External"/><Relationship Id="rId32" Type="http://schemas.openxmlformats.org/officeDocument/2006/relationships/hyperlink" Target="https://bulbapedia.bulbagarden.net/wiki/Grapploct_V_(Champion%27s_Path_32)" TargetMode="External"/><Relationship Id="rId37" Type="http://schemas.openxmlformats.org/officeDocument/2006/relationships/hyperlink" Target="https://bulbapedia.bulbagarden.net/wiki/Galarian_Obstagoon_(Champion%27s_Path_37)" TargetMode="External"/><Relationship Id="rId40" Type="http://schemas.openxmlformats.org/officeDocument/2006/relationships/hyperlink" Target="https://bulbapedia.bulbagarden.net/wiki/Liepard_(Champion%27s_Path_40)" TargetMode="External"/><Relationship Id="rId45" Type="http://schemas.openxmlformats.org/officeDocument/2006/relationships/hyperlink" Target="https://bulbapedia.bulbagarden.net/wiki/Malamar_(Champion%27s_Path_45)" TargetMode="External"/><Relationship Id="rId53" Type="http://schemas.openxmlformats.org/officeDocument/2006/relationships/hyperlink" Target="https://bulbapedia.bulbagarden.net/wiki/Hop_(Champion%27s_Path_53)" TargetMode="External"/><Relationship Id="rId58" Type="http://schemas.openxmlformats.org/officeDocument/2006/relationships/hyperlink" Target="https://bulbapedia.bulbagarden.net/wiki/Piers_(Champion%27s_Path_58)" TargetMode="External"/><Relationship Id="rId66" Type="http://schemas.openxmlformats.org/officeDocument/2006/relationships/hyperlink" Target="https://bulbapedia.bulbagarden.net/wiki/Suspicious_Food_Tin_(Champion%27s_Path_66)" TargetMode="External"/><Relationship Id="rId74" Type="http://schemas.openxmlformats.org/officeDocument/2006/relationships/hyperlink" Target="https://bulbapedia.bulbagarden.net/wiki/Charizard_VMAX_(Champion%27s_Path_74)" TargetMode="External"/><Relationship Id="rId79" Type="http://schemas.openxmlformats.org/officeDocument/2006/relationships/hyperlink" Target="https://bulbapedia.bulbagarden.net/wiki/Charizard_V_(Champion%27s_Path_79)" TargetMode="External"/><Relationship Id="rId5" Type="http://schemas.openxmlformats.org/officeDocument/2006/relationships/hyperlink" Target="https://bulbapedia.bulbagarden.net/wiki/Eldegoss_V_(Champion%27s_Path_5)" TargetMode="External"/><Relationship Id="rId61" Type="http://schemas.openxmlformats.org/officeDocument/2006/relationships/hyperlink" Target="https://bulbapedia.bulbagarden.net/wiki/Potion_(Champion%27s_Path_61)" TargetMode="External"/><Relationship Id="rId19" Type="http://schemas.openxmlformats.org/officeDocument/2006/relationships/hyperlink" Target="https://bulbapedia.bulbagarden.net/wiki/Hattrem_(Champion%27s_Path_19)" TargetMode="External"/><Relationship Id="rId14" Type="http://schemas.openxmlformats.org/officeDocument/2006/relationships/hyperlink" Target="https://bulbapedia.bulbagarden.net/wiki/Drednaw_V_(Champion%27s_Path_14)" TargetMode="External"/><Relationship Id="rId22" Type="http://schemas.openxmlformats.org/officeDocument/2006/relationships/hyperlink" Target="https://bulbapedia.bulbagarden.net/wiki/Alcremie_V_(Champion%27s_Path_22)" TargetMode="External"/><Relationship Id="rId27" Type="http://schemas.openxmlformats.org/officeDocument/2006/relationships/hyperlink" Target="https://bulbapedia.bulbagarden.net/wiki/Lucario_V_(Champion%27s_Path_27)" TargetMode="External"/><Relationship Id="rId30" Type="http://schemas.openxmlformats.org/officeDocument/2006/relationships/hyperlink" Target="https://bulbapedia.bulbagarden.net/wiki/Lycanroc_(Champion%27s_Path_30)" TargetMode="External"/><Relationship Id="rId35" Type="http://schemas.openxmlformats.org/officeDocument/2006/relationships/hyperlink" Target="https://bulbapedia.bulbagarden.net/wiki/Galarian_Zigzagoon_(Champion%27s_Path_35)" TargetMode="External"/><Relationship Id="rId43" Type="http://schemas.openxmlformats.org/officeDocument/2006/relationships/hyperlink" Target="https://bulbapedia.bulbagarden.net/wiki/Trubbish_(Champion%27s_Path_43)" TargetMode="External"/><Relationship Id="rId48" Type="http://schemas.openxmlformats.org/officeDocument/2006/relationships/hyperlink" Target="https://bulbapedia.bulbagarden.net/wiki/Swablu_(Champion%27s_Path_48)" TargetMode="External"/><Relationship Id="rId56" Type="http://schemas.openxmlformats.org/officeDocument/2006/relationships/hyperlink" Target="https://bulbapedia.bulbagarden.net/wiki/Marnie_(Champion%27s_Path_56)" TargetMode="External"/><Relationship Id="rId64" Type="http://schemas.openxmlformats.org/officeDocument/2006/relationships/hyperlink" Target="https://bulbapedia.bulbagarden.net/wiki/Rotom_Phone_(Champion%27s_Path_64)" TargetMode="External"/><Relationship Id="rId69" Type="http://schemas.openxmlformats.org/officeDocument/2006/relationships/hyperlink" Target="https://bulbapedia.bulbagarden.net/wiki/Drednaw_V_(Champion%27s_Path_69)" TargetMode="External"/><Relationship Id="rId77" Type="http://schemas.openxmlformats.org/officeDocument/2006/relationships/hyperlink" Target="https://bulbapedia.bulbagarden.net/wiki/Kabu_(Champion%27s_Path_77)" TargetMode="External"/><Relationship Id="rId8" Type="http://schemas.openxmlformats.org/officeDocument/2006/relationships/hyperlink" Target="https://bulbapedia.bulbagarden.net/wiki/Incineroar_V_(Champion%27s_Path_8)" TargetMode="External"/><Relationship Id="rId51" Type="http://schemas.openxmlformats.org/officeDocument/2006/relationships/hyperlink" Target="https://bulbapedia.bulbagarden.net/wiki/Full_Heal_(Champion%27s_Path_51)" TargetMode="External"/><Relationship Id="rId72" Type="http://schemas.openxmlformats.org/officeDocument/2006/relationships/hyperlink" Target="https://bulbapedia.bulbagarden.net/wiki/Grapploct_V_(Champion%27s_Path_72)" TargetMode="External"/><Relationship Id="rId80" Type="http://schemas.openxmlformats.org/officeDocument/2006/relationships/hyperlink" Target="https://bulbapedia.bulbagarden.net/wiki/Suspicious_Food_Tin_(Champion%27s_Path_80)" TargetMode="External"/><Relationship Id="rId3" Type="http://schemas.openxmlformats.org/officeDocument/2006/relationships/hyperlink" Target="https://bulbapedia.bulbagarden.net/wiki/Kakuna_(Champion%27s_Path_3)" TargetMode="External"/><Relationship Id="rId12" Type="http://schemas.openxmlformats.org/officeDocument/2006/relationships/hyperlink" Target="https://bulbapedia.bulbagarden.net/wiki/Sharpedo_(Champion%27s_Path_12)" TargetMode="External"/><Relationship Id="rId17" Type="http://schemas.openxmlformats.org/officeDocument/2006/relationships/hyperlink" Target="https://bulbapedia.bulbagarden.net/wiki/Gardevoir_VMAX_(Champion%27s_Path_17)" TargetMode="External"/><Relationship Id="rId25" Type="http://schemas.openxmlformats.org/officeDocument/2006/relationships/hyperlink" Target="https://bulbapedia.bulbagarden.net/wiki/Machoke_(Champion%27s_Path_25)" TargetMode="External"/><Relationship Id="rId33" Type="http://schemas.openxmlformats.org/officeDocument/2006/relationships/hyperlink" Target="https://bulbapedia.bulbagarden.net/wiki/Ekans_(Champion%27s_Path_33)" TargetMode="External"/><Relationship Id="rId38" Type="http://schemas.openxmlformats.org/officeDocument/2006/relationships/hyperlink" Target="https://bulbapedia.bulbagarden.net/wiki/Absol_(Champion%27s_Path_38)" TargetMode="External"/><Relationship Id="rId46" Type="http://schemas.openxmlformats.org/officeDocument/2006/relationships/hyperlink" Target="https://bulbapedia.bulbagarden.net/wiki/Nickit_(Champion%27s_Path_46)" TargetMode="External"/><Relationship Id="rId59" Type="http://schemas.openxmlformats.org/officeDocument/2006/relationships/hyperlink" Target="https://bulbapedia.bulbagarden.net/wiki/Pok%C3%A9_Ball_(Champion%27s_Path_59)" TargetMode="External"/><Relationship Id="rId67" Type="http://schemas.openxmlformats.org/officeDocument/2006/relationships/hyperlink" Target="https://bulbapedia.bulbagarden.net/wiki/Team_Yell_Grunt_(Champion%27s_Path_67)" TargetMode="External"/><Relationship Id="rId20" Type="http://schemas.openxmlformats.org/officeDocument/2006/relationships/hyperlink" Target="https://bulbapedia.bulbagarden.net/wiki/Hatterene_(Champion%27s_Path_20)" TargetMode="External"/><Relationship Id="rId41" Type="http://schemas.openxmlformats.org/officeDocument/2006/relationships/hyperlink" Target="https://bulbapedia.bulbagarden.net/wiki/Scraggy_(Champion%27s_Path_41)" TargetMode="External"/><Relationship Id="rId54" Type="http://schemas.openxmlformats.org/officeDocument/2006/relationships/hyperlink" Target="https://bulbapedia.bulbagarden.net/wiki/Hyper_Potion_(Champion%27s_Path_54)" TargetMode="External"/><Relationship Id="rId62" Type="http://schemas.openxmlformats.org/officeDocument/2006/relationships/hyperlink" Target="https://bulbapedia.bulbagarden.net/wiki/Professor%27s_Research_(Champion%27s_Path_62)" TargetMode="External"/><Relationship Id="rId70" Type="http://schemas.openxmlformats.org/officeDocument/2006/relationships/hyperlink" Target="https://bulbapedia.bulbagarden.net/wiki/Gardevoir_V_(Champion%27s_Path_70)" TargetMode="External"/><Relationship Id="rId75" Type="http://schemas.openxmlformats.org/officeDocument/2006/relationships/hyperlink" Target="https://bulbapedia.bulbagarden.net/wiki/Drednaw_VMAX_(Champion%27s_Path_75)" TargetMode="External"/><Relationship Id="rId1" Type="http://schemas.openxmlformats.org/officeDocument/2006/relationships/hyperlink" Target="https://bulbapedia.bulbagarden.net/wiki/Venusaur_V_(Champion%27s_Path_1)" TargetMode="External"/><Relationship Id="rId6" Type="http://schemas.openxmlformats.org/officeDocument/2006/relationships/hyperlink" Target="https://bulbapedia.bulbagarden.net/wiki/Vulpix_(Champion%27s_Path_6)" TargetMode="External"/><Relationship Id="rId15" Type="http://schemas.openxmlformats.org/officeDocument/2006/relationships/hyperlink" Target="https://bulbapedia.bulbagarden.net/wiki/Drednaw_VMAX_(Champion%27s_Path_15)" TargetMode="External"/><Relationship Id="rId23" Type="http://schemas.openxmlformats.org/officeDocument/2006/relationships/hyperlink" Target="https://bulbapedia.bulbagarden.net/wiki/Alcremie_VMAX_(Champion%27s_Path_23)" TargetMode="External"/><Relationship Id="rId28" Type="http://schemas.openxmlformats.org/officeDocument/2006/relationships/hyperlink" Target="https://bulbapedia.bulbagarden.net/wiki/Zygarde_(Champion%27s_Path_28)" TargetMode="External"/><Relationship Id="rId36" Type="http://schemas.openxmlformats.org/officeDocument/2006/relationships/hyperlink" Target="https://bulbapedia.bulbagarden.net/wiki/Galarian_Linoone_(Champion%27s_Path_36)" TargetMode="External"/><Relationship Id="rId49" Type="http://schemas.openxmlformats.org/officeDocument/2006/relationships/hyperlink" Target="https://bulbapedia.bulbagarden.net/wiki/Altaria_(Champion%27s_Path_49)" TargetMode="External"/><Relationship Id="rId57" Type="http://schemas.openxmlformats.org/officeDocument/2006/relationships/hyperlink" Target="https://bulbapedia.bulbagarden.net/wiki/Milo_(Champion%27s_Path_57)" TargetMode="External"/><Relationship Id="rId10" Type="http://schemas.openxmlformats.org/officeDocument/2006/relationships/hyperlink" Target="https://bulbapedia.bulbagarden.net/wiki/Centiskorch_(Champion%27s_Path_10)" TargetMode="External"/><Relationship Id="rId31" Type="http://schemas.openxmlformats.org/officeDocument/2006/relationships/hyperlink" Target="https://bulbapedia.bulbagarden.net/wiki/Rolycoly_(Champion%27s_Path_31)" TargetMode="External"/><Relationship Id="rId44" Type="http://schemas.openxmlformats.org/officeDocument/2006/relationships/hyperlink" Target="https://bulbapedia.bulbagarden.net/wiki/Inkay_(Champion%27s_Path_44)" TargetMode="External"/><Relationship Id="rId52" Type="http://schemas.openxmlformats.org/officeDocument/2006/relationships/hyperlink" Target="https://bulbapedia.bulbagarden.net/wiki/Great_Ball_(Champion%27s_Path_52)" TargetMode="External"/><Relationship Id="rId60" Type="http://schemas.openxmlformats.org/officeDocument/2006/relationships/hyperlink" Target="https://bulbapedia.bulbagarden.net/wiki/Pok%C3%A9mon_Center_Lady_(Champion%27s_Path_60)" TargetMode="External"/><Relationship Id="rId65" Type="http://schemas.openxmlformats.org/officeDocument/2006/relationships/hyperlink" Target="https://bulbapedia.bulbagarden.net/wiki/Sonia_(Champion%27s_Path_65)" TargetMode="External"/><Relationship Id="rId73" Type="http://schemas.openxmlformats.org/officeDocument/2006/relationships/hyperlink" Target="https://bulbapedia.bulbagarden.net/wiki/Hop_(Champion%27s_Path_73)" TargetMode="External"/><Relationship Id="rId78" Type="http://schemas.openxmlformats.org/officeDocument/2006/relationships/hyperlink" Target="https://bulbapedia.bulbagarden.net/wiki/Piers_(Champion%27s_Path_78)" TargetMode="External"/><Relationship Id="rId4" Type="http://schemas.openxmlformats.org/officeDocument/2006/relationships/hyperlink" Target="https://bulbapedia.bulbagarden.net/wiki/Beedrill_(Champion%27s_Path_4)" TargetMode="External"/><Relationship Id="rId9" Type="http://schemas.openxmlformats.org/officeDocument/2006/relationships/hyperlink" Target="https://bulbapedia.bulbagarden.net/wiki/Sizzlipede_(Champion%27s_Path_9)" TargetMode="External"/><Relationship Id="rId13" Type="http://schemas.openxmlformats.org/officeDocument/2006/relationships/hyperlink" Target="https://bulbapedia.bulbagarden.net/wiki/Wailord_V_(Champion%27s_Path_13)" TargetMode="External"/><Relationship Id="rId18" Type="http://schemas.openxmlformats.org/officeDocument/2006/relationships/hyperlink" Target="https://bulbapedia.bulbagarden.net/wiki/Hatenna_(Champion%27s_Path_18)" TargetMode="External"/><Relationship Id="rId39" Type="http://schemas.openxmlformats.org/officeDocument/2006/relationships/hyperlink" Target="https://bulbapedia.bulbagarden.net/wiki/Purrloin_(Champion%27s_Path_39)" TargetMode="External"/><Relationship Id="rId34" Type="http://schemas.openxmlformats.org/officeDocument/2006/relationships/hyperlink" Target="https://bulbapedia.bulbagarden.net/wiki/Arbok_(Champion%27s_Path_34)" TargetMode="External"/><Relationship Id="rId50" Type="http://schemas.openxmlformats.org/officeDocument/2006/relationships/hyperlink" Target="https://bulbapedia.bulbagarden.net/wiki/Bede_(Champion%27s_Path_50)" TargetMode="External"/><Relationship Id="rId55" Type="http://schemas.openxmlformats.org/officeDocument/2006/relationships/hyperlink" Target="https://bulbapedia.bulbagarden.net/wiki/Kabu_(Champion%27s_Path_55)" TargetMode="External"/><Relationship Id="rId76" Type="http://schemas.openxmlformats.org/officeDocument/2006/relationships/hyperlink" Target="https://bulbapedia.bulbagarden.net/wiki/Gardevoir_VMAX_(Champion%27s_Path_76)" TargetMode="External"/><Relationship Id="rId7" Type="http://schemas.openxmlformats.org/officeDocument/2006/relationships/hyperlink" Target="https://bulbapedia.bulbagarden.net/wiki/Victini_(Champion%27s_Path_7)" TargetMode="External"/><Relationship Id="rId71" Type="http://schemas.openxmlformats.org/officeDocument/2006/relationships/hyperlink" Target="https://bulbapedia.bulbagarden.net/wiki/Galarian_Cursola_V_(Champion%27s_Path_71)" TargetMode="External"/><Relationship Id="rId2" Type="http://schemas.openxmlformats.org/officeDocument/2006/relationships/hyperlink" Target="https://bulbapedia.bulbagarden.net/wiki/Weedle_(Champion%27s_Path_2)" TargetMode="External"/><Relationship Id="rId29" Type="http://schemas.openxmlformats.org/officeDocument/2006/relationships/hyperlink" Target="https://bulbapedia.bulbagarden.net/wiki/Rockruff_(Champion%27s_Path_29)" TargetMode="External"/></Relationships>
</file>

<file path=xl/worksheets/_rels/sheet88.xml.rels><?xml version="1.0" encoding="UTF-8" standalone="yes"?>
<Relationships xmlns="http://schemas.openxmlformats.org/package/2006/relationships"><Relationship Id="rId117" Type="http://schemas.openxmlformats.org/officeDocument/2006/relationships/hyperlink" Target="https://bulbapedia.bulbagarden.net/wiki/Metang_(Vivid_Voltage_117)" TargetMode="External"/><Relationship Id="rId21" Type="http://schemas.openxmlformats.org/officeDocument/2006/relationships/hyperlink" Target="https://bulbapedia.bulbagarden.net/wiki/Orbeetle_VMAX_(Vivid_Voltage_21)" TargetMode="External"/><Relationship Id="rId42" Type="http://schemas.openxmlformats.org/officeDocument/2006/relationships/hyperlink" Target="https://bulbapedia.bulbagarden.net/wiki/Barraskewda_(Vivid_Voltage_42)" TargetMode="External"/><Relationship Id="rId63" Type="http://schemas.openxmlformats.org/officeDocument/2006/relationships/hyperlink" Target="https://bulbapedia.bulbagarden.net/wiki/Clefairy_(Vivid_Voltage_63)" TargetMode="External"/><Relationship Id="rId84" Type="http://schemas.openxmlformats.org/officeDocument/2006/relationships/hyperlink" Target="https://bulbapedia.bulbagarden.net/wiki/Quagsire_(Vivid_Voltage_84)" TargetMode="External"/><Relationship Id="rId138" Type="http://schemas.openxmlformats.org/officeDocument/2006/relationships/hyperlink" Target="https://bulbapedia.bulbagarden.net/wiki/Rayquaza_(Vivid_Voltage_138)" TargetMode="External"/><Relationship Id="rId159" Type="http://schemas.openxmlformats.org/officeDocument/2006/relationships/hyperlink" Target="https://bulbapedia.bulbagarden.net/wiki/Rocky_Helmet_(Vivid_Voltage_159)" TargetMode="External"/><Relationship Id="rId170" Type="http://schemas.openxmlformats.org/officeDocument/2006/relationships/hyperlink" Target="https://bulbapedia.bulbagarden.net/wiki/Pikachu_V_(Vivid_Voltage_170)" TargetMode="External"/><Relationship Id="rId191" Type="http://schemas.openxmlformats.org/officeDocument/2006/relationships/hyperlink" Target="https://bulbapedia.bulbagarden.net/wiki/Togekiss_VMAX_(Vivid_Voltage_191)" TargetMode="External"/><Relationship Id="rId107" Type="http://schemas.openxmlformats.org/officeDocument/2006/relationships/hyperlink" Target="https://bulbapedia.bulbagarden.net/wiki/Sandile_(Vivid_Voltage_107)" TargetMode="External"/><Relationship Id="rId11" Type="http://schemas.openxmlformats.org/officeDocument/2006/relationships/hyperlink" Target="https://bulbapedia.bulbagarden.net/wiki/Nuzleaf_(Vivid_Voltage_11)" TargetMode="External"/><Relationship Id="rId32" Type="http://schemas.openxmlformats.org/officeDocument/2006/relationships/hyperlink" Target="https://bulbapedia.bulbagarden.net/wiki/Wailord_(Vivid_Voltage_32)" TargetMode="External"/><Relationship Id="rId53" Type="http://schemas.openxmlformats.org/officeDocument/2006/relationships/hyperlink" Target="https://bulbapedia.bulbagarden.net/wiki/Blitzle_(Vivid_Voltage_53)" TargetMode="External"/><Relationship Id="rId74" Type="http://schemas.openxmlformats.org/officeDocument/2006/relationships/hyperlink" Target="https://bulbapedia.bulbagarden.net/wiki/Swoobat_(Vivid_Voltage_74)" TargetMode="External"/><Relationship Id="rId128" Type="http://schemas.openxmlformats.org/officeDocument/2006/relationships/hyperlink" Target="https://bulbapedia.bulbagarden.net/wiki/Magearna_(Vivid_Voltage_128)" TargetMode="External"/><Relationship Id="rId149" Type="http://schemas.openxmlformats.org/officeDocument/2006/relationships/hyperlink" Target="https://bulbapedia.bulbagarden.net/wiki/Cara_Liss_(Vivid_Voltage_149)" TargetMode="External"/><Relationship Id="rId5" Type="http://schemas.openxmlformats.org/officeDocument/2006/relationships/hyperlink" Target="https://bulbapedia.bulbagarden.net/wiki/Exeggutor_(Vivid_Voltage_5)" TargetMode="External"/><Relationship Id="rId95" Type="http://schemas.openxmlformats.org/officeDocument/2006/relationships/hyperlink" Target="https://bulbapedia.bulbagarden.net/wiki/Lycanroc_(Vivid_Voltage_95)" TargetMode="External"/><Relationship Id="rId160" Type="http://schemas.openxmlformats.org/officeDocument/2006/relationships/hyperlink" Target="https://bulbapedia.bulbagarden.net/wiki/Telescopic_Sight_(Vivid_Voltage_160)" TargetMode="External"/><Relationship Id="rId181" Type="http://schemas.openxmlformats.org/officeDocument/2006/relationships/hyperlink" Target="https://bulbapedia.bulbagarden.net/wiki/Beauty_(Vivid_Voltage_181)" TargetMode="External"/><Relationship Id="rId22" Type="http://schemas.openxmlformats.org/officeDocument/2006/relationships/hyperlink" Target="https://bulbapedia.bulbagarden.net/wiki/Zarude_V_(Vivid_Voltage_22)" TargetMode="External"/><Relationship Id="rId43" Type="http://schemas.openxmlformats.org/officeDocument/2006/relationships/hyperlink" Target="https://bulbapedia.bulbagarden.net/wiki/Pikachu_V_(Vivid_Voltage_43)" TargetMode="External"/><Relationship Id="rId64" Type="http://schemas.openxmlformats.org/officeDocument/2006/relationships/hyperlink" Target="https://bulbapedia.bulbagarden.net/wiki/Clefable_(Vivid_Voltage_64)" TargetMode="External"/><Relationship Id="rId118" Type="http://schemas.openxmlformats.org/officeDocument/2006/relationships/hyperlink" Target="https://bulbapedia.bulbagarden.net/wiki/Metagross_(Vivid_Voltage_118)" TargetMode="External"/><Relationship Id="rId139" Type="http://schemas.openxmlformats.org/officeDocument/2006/relationships/hyperlink" Target="https://bulbapedia.bulbagarden.net/wiki/Chatot_(Vivid_Voltage_139)" TargetMode="External"/><Relationship Id="rId85" Type="http://schemas.openxmlformats.org/officeDocument/2006/relationships/hyperlink" Target="https://bulbapedia.bulbagarden.net/wiki/Shuckle_(Vivid_Voltage_85)" TargetMode="External"/><Relationship Id="rId150" Type="http://schemas.openxmlformats.org/officeDocument/2006/relationships/hyperlink" Target="https://bulbapedia.bulbagarden.net/wiki/Circhester_Bath_(Vivid_Voltage_150)" TargetMode="External"/><Relationship Id="rId171" Type="http://schemas.openxmlformats.org/officeDocument/2006/relationships/hyperlink" Target="https://bulbapedia.bulbagarden.net/wiki/Ampharos_V_(Vivid_Voltage_171)" TargetMode="External"/><Relationship Id="rId192" Type="http://schemas.openxmlformats.org/officeDocument/2006/relationships/hyperlink" Target="https://bulbapedia.bulbagarden.net/wiki/Allister_(Vivid_Voltage_192)" TargetMode="External"/><Relationship Id="rId12" Type="http://schemas.openxmlformats.org/officeDocument/2006/relationships/hyperlink" Target="https://bulbapedia.bulbagarden.net/wiki/Shiftry_(Vivid_Voltage_12)" TargetMode="External"/><Relationship Id="rId33" Type="http://schemas.openxmlformats.org/officeDocument/2006/relationships/hyperlink" Target="https://bulbapedia.bulbagarden.net/wiki/Oshawott_(Vivid_Voltage_33)" TargetMode="External"/><Relationship Id="rId108" Type="http://schemas.openxmlformats.org/officeDocument/2006/relationships/hyperlink" Target="https://bulbapedia.bulbagarden.net/wiki/Krokorok_(Vivid_Voltage_108)" TargetMode="External"/><Relationship Id="rId129" Type="http://schemas.openxmlformats.org/officeDocument/2006/relationships/hyperlink" Target="https://bulbapedia.bulbagarden.net/wiki/Duraludon_(Vivid_Voltage_129)" TargetMode="External"/><Relationship Id="rId54" Type="http://schemas.openxmlformats.org/officeDocument/2006/relationships/hyperlink" Target="https://bulbapedia.bulbagarden.net/wiki/Zebstrika_(Vivid_Voltage_54)" TargetMode="External"/><Relationship Id="rId75" Type="http://schemas.openxmlformats.org/officeDocument/2006/relationships/hyperlink" Target="https://bulbapedia.bulbagarden.net/wiki/Cottonee_(Vivid_Voltage_75)" TargetMode="External"/><Relationship Id="rId96" Type="http://schemas.openxmlformats.org/officeDocument/2006/relationships/hyperlink" Target="https://bulbapedia.bulbagarden.net/wiki/Mudbray_(Vivid_Voltage_96)" TargetMode="External"/><Relationship Id="rId140" Type="http://schemas.openxmlformats.org/officeDocument/2006/relationships/hyperlink" Target="https://bulbapedia.bulbagarden.net/wiki/Togekiss_V_(Vivid_Voltage_140)" TargetMode="External"/><Relationship Id="rId161" Type="http://schemas.openxmlformats.org/officeDocument/2006/relationships/hyperlink" Target="https://bulbapedia.bulbagarden.net/wiki/Wyndon_Stadium_(Vivid_Voltage_161)" TargetMode="External"/><Relationship Id="rId182" Type="http://schemas.openxmlformats.org/officeDocument/2006/relationships/hyperlink" Target="https://bulbapedia.bulbagarden.net/wiki/Leon_(Vivid_Voltage_182)" TargetMode="External"/><Relationship Id="rId6" Type="http://schemas.openxmlformats.org/officeDocument/2006/relationships/hyperlink" Target="https://bulbapedia.bulbagarden.net/wiki/Yanma_(Vivid_Voltage_6)" TargetMode="External"/><Relationship Id="rId23" Type="http://schemas.openxmlformats.org/officeDocument/2006/relationships/hyperlink" Target="https://bulbapedia.bulbagarden.net/wiki/Charmander_(Vivid_Voltage_23)" TargetMode="External"/><Relationship Id="rId119" Type="http://schemas.openxmlformats.org/officeDocument/2006/relationships/hyperlink" Target="https://bulbapedia.bulbagarden.net/wiki/Jirachi_(Vivid_Voltage_119)" TargetMode="External"/><Relationship Id="rId44" Type="http://schemas.openxmlformats.org/officeDocument/2006/relationships/hyperlink" Target="https://bulbapedia.bulbagarden.net/wiki/Pikachu_VMAX_(Vivid_Voltage_44)" TargetMode="External"/><Relationship Id="rId65" Type="http://schemas.openxmlformats.org/officeDocument/2006/relationships/hyperlink" Target="https://bulbapedia.bulbagarden.net/wiki/Girafarig_(Vivid_Voltage_65)" TargetMode="External"/><Relationship Id="rId86" Type="http://schemas.openxmlformats.org/officeDocument/2006/relationships/hyperlink" Target="https://bulbapedia.bulbagarden.net/wiki/Phanpy_(Vivid_Voltage_86)" TargetMode="External"/><Relationship Id="rId130" Type="http://schemas.openxmlformats.org/officeDocument/2006/relationships/hyperlink" Target="https://bulbapedia.bulbagarden.net/wiki/Eevee_(Vivid_Voltage_130)" TargetMode="External"/><Relationship Id="rId151" Type="http://schemas.openxmlformats.org/officeDocument/2006/relationships/hyperlink" Target="https://bulbapedia.bulbagarden.net/wiki/Drone_Rotom_(Vivid_Voltage_151)" TargetMode="External"/><Relationship Id="rId172" Type="http://schemas.openxmlformats.org/officeDocument/2006/relationships/hyperlink" Target="https://bulbapedia.bulbagarden.net/w/index.php?title=Alakazam_V_(Vivid_Voltage_172)&amp;action=edit&amp;redlink=1" TargetMode="External"/><Relationship Id="rId193" Type="http://schemas.openxmlformats.org/officeDocument/2006/relationships/hyperlink" Target="https://bulbapedia.bulbagarden.net/wiki/Bea_(Vivid_Voltage_193)" TargetMode="External"/><Relationship Id="rId13" Type="http://schemas.openxmlformats.org/officeDocument/2006/relationships/hyperlink" Target="https://bulbapedia.bulbagarden.net/wiki/Nincada_(Vivid_Voltage_13)" TargetMode="External"/><Relationship Id="rId109" Type="http://schemas.openxmlformats.org/officeDocument/2006/relationships/hyperlink" Target="https://bulbapedia.bulbagarden.net/wiki/Krookodile_(Vivid_Voltage_109)" TargetMode="External"/><Relationship Id="rId34" Type="http://schemas.openxmlformats.org/officeDocument/2006/relationships/hyperlink" Target="https://bulbapedia.bulbagarden.net/wiki/Dewott_(Vivid_Voltage_34)" TargetMode="External"/><Relationship Id="rId55" Type="http://schemas.openxmlformats.org/officeDocument/2006/relationships/hyperlink" Target="https://bulbapedia.bulbagarden.net/wiki/Joltik_(Vivid_Voltage_55)" TargetMode="External"/><Relationship Id="rId76" Type="http://schemas.openxmlformats.org/officeDocument/2006/relationships/hyperlink" Target="https://bulbapedia.bulbagarden.net/wiki/Whimsicott_(Vivid_Voltage_76)" TargetMode="External"/><Relationship Id="rId97" Type="http://schemas.openxmlformats.org/officeDocument/2006/relationships/hyperlink" Target="https://bulbapedia.bulbagarden.net/wiki/Mudsdale_(Vivid_Voltage_97)" TargetMode="External"/><Relationship Id="rId120" Type="http://schemas.openxmlformats.org/officeDocument/2006/relationships/hyperlink" Target="https://bulbapedia.bulbagarden.net/wiki/Lucario_(Vivid_Voltage_120)" TargetMode="External"/><Relationship Id="rId141" Type="http://schemas.openxmlformats.org/officeDocument/2006/relationships/hyperlink" Target="https://bulbapedia.bulbagarden.net/wiki/Togekiss_VMAX_(Vivid_Voltage_141)" TargetMode="External"/><Relationship Id="rId7" Type="http://schemas.openxmlformats.org/officeDocument/2006/relationships/hyperlink" Target="https://bulbapedia.bulbagarden.net/wiki/Yanmega_(Vivid_Voltage_7)" TargetMode="External"/><Relationship Id="rId162" Type="http://schemas.openxmlformats.org/officeDocument/2006/relationships/hyperlink" Target="https://bulbapedia.bulbagarden.net/wiki/Aromatic_G_Energy_(Vivid_Voltage_162)" TargetMode="External"/><Relationship Id="rId183" Type="http://schemas.openxmlformats.org/officeDocument/2006/relationships/hyperlink" Target="https://bulbapedia.bulbagarden.net/wiki/Nessa_(Vivid_Voltage_183)" TargetMode="External"/><Relationship Id="rId2" Type="http://schemas.openxmlformats.org/officeDocument/2006/relationships/hyperlink" Target="https://bulbapedia.bulbagarden.net/wiki/Kakuna_(Vivid_Voltage_2)" TargetMode="External"/><Relationship Id="rId29" Type="http://schemas.openxmlformats.org/officeDocument/2006/relationships/hyperlink" Target="https://bulbapedia.bulbagarden.net/wiki/Talonflame_V_(Vivid_Voltage_29)" TargetMode="External"/><Relationship Id="rId24" Type="http://schemas.openxmlformats.org/officeDocument/2006/relationships/hyperlink" Target="https://bulbapedia.bulbagarden.net/wiki/Charmeleon_(Vivid_Voltage_24)" TargetMode="External"/><Relationship Id="rId40" Type="http://schemas.openxmlformats.org/officeDocument/2006/relationships/hyperlink" Target="https://bulbapedia.bulbagarden.net/wiki/Cramorant_(Vivid_Voltage_40)" TargetMode="External"/><Relationship Id="rId45" Type="http://schemas.openxmlformats.org/officeDocument/2006/relationships/hyperlink" Target="https://bulbapedia.bulbagarden.net/wiki/Voltorb_(Vivid_Voltage_45)" TargetMode="External"/><Relationship Id="rId66" Type="http://schemas.openxmlformats.org/officeDocument/2006/relationships/hyperlink" Target="https://bulbapedia.bulbagarden.net/wiki/Shedinja_(Vivid_Voltage_66)" TargetMode="External"/><Relationship Id="rId87" Type="http://schemas.openxmlformats.org/officeDocument/2006/relationships/hyperlink" Target="https://bulbapedia.bulbagarden.net/wiki/Donphan_(Vivid_Voltage_87)" TargetMode="External"/><Relationship Id="rId110" Type="http://schemas.openxmlformats.org/officeDocument/2006/relationships/hyperlink" Target="https://bulbapedia.bulbagarden.net/wiki/Trubbish_(Vivid_Voltage_110)" TargetMode="External"/><Relationship Id="rId115" Type="http://schemas.openxmlformats.org/officeDocument/2006/relationships/hyperlink" Target="https://bulbapedia.bulbagarden.net/wiki/Steelix_V_(Vivid_Voltage_115)" TargetMode="External"/><Relationship Id="rId131" Type="http://schemas.openxmlformats.org/officeDocument/2006/relationships/hyperlink" Target="https://bulbapedia.bulbagarden.net/wiki/Snorlax_(Vivid_Voltage_131)" TargetMode="External"/><Relationship Id="rId136" Type="http://schemas.openxmlformats.org/officeDocument/2006/relationships/hyperlink" Target="https://bulbapedia.bulbagarden.net/wiki/Loudred_(Vivid_Voltage_136)" TargetMode="External"/><Relationship Id="rId157" Type="http://schemas.openxmlformats.org/officeDocument/2006/relationships/hyperlink" Target="https://bulbapedia.bulbagarden.net/wiki/Nessa_(Vivid_Voltage_157)" TargetMode="External"/><Relationship Id="rId178" Type="http://schemas.openxmlformats.org/officeDocument/2006/relationships/hyperlink" Target="https://bulbapedia.bulbagarden.net/wiki/Togekiss_V_(Vivid_Voltage_178)" TargetMode="External"/><Relationship Id="rId61" Type="http://schemas.openxmlformats.org/officeDocument/2006/relationships/hyperlink" Target="https://bulbapedia.bulbagarden.net/wiki/Zeraora_(Vivid_Voltage_61)" TargetMode="External"/><Relationship Id="rId82" Type="http://schemas.openxmlformats.org/officeDocument/2006/relationships/hyperlink" Target="https://bulbapedia.bulbagarden.net/wiki/Zacian_(Vivid_Voltage_82)" TargetMode="External"/><Relationship Id="rId152" Type="http://schemas.openxmlformats.org/officeDocument/2006/relationships/hyperlink" Target="https://bulbapedia.bulbagarden.net/wiki/Hero%27s_Medal_(Vivid_Voltage_152)" TargetMode="External"/><Relationship Id="rId173" Type="http://schemas.openxmlformats.org/officeDocument/2006/relationships/hyperlink" Target="https://bulbapedia.bulbagarden.net/wiki/Coalossal_V_(Vivid_Voltage_173)" TargetMode="External"/><Relationship Id="rId194" Type="http://schemas.openxmlformats.org/officeDocument/2006/relationships/hyperlink" Target="https://bulbapedia.bulbagarden.net/wiki/Beauty_(Vivid_Voltage_194)" TargetMode="External"/><Relationship Id="rId199" Type="http://schemas.openxmlformats.org/officeDocument/2006/relationships/hyperlink" Target="https://bulbapedia.bulbagarden.net/wiki/Oranguru_(Vivid_Voltage_199)" TargetMode="External"/><Relationship Id="rId203" Type="http://schemas.openxmlformats.org/officeDocument/2006/relationships/hyperlink" Target="https://bulbapedia.bulbagarden.net/wiki/Telescopic_Sight_(Vivid_Voltage_203)" TargetMode="External"/><Relationship Id="rId19" Type="http://schemas.openxmlformats.org/officeDocument/2006/relationships/hyperlink" Target="https://bulbapedia.bulbagarden.net/wiki/Dhelmise_(Vivid_Voltage_19)" TargetMode="External"/><Relationship Id="rId14" Type="http://schemas.openxmlformats.org/officeDocument/2006/relationships/hyperlink" Target="https://bulbapedia.bulbagarden.net/wiki/Ninjask_(Vivid_Voltage_14)" TargetMode="External"/><Relationship Id="rId30" Type="http://schemas.openxmlformats.org/officeDocument/2006/relationships/hyperlink" Target="https://bulbapedia.bulbagarden.net/wiki/Vaporeon_(Vivid_Voltage_30)" TargetMode="External"/><Relationship Id="rId35" Type="http://schemas.openxmlformats.org/officeDocument/2006/relationships/hyperlink" Target="https://bulbapedia.bulbagarden.net/wiki/Samurott_(Vivid_Voltage_35)" TargetMode="External"/><Relationship Id="rId56" Type="http://schemas.openxmlformats.org/officeDocument/2006/relationships/hyperlink" Target="https://bulbapedia.bulbagarden.net/wiki/Galvantula_(Vivid_Voltage_56)" TargetMode="External"/><Relationship Id="rId77" Type="http://schemas.openxmlformats.org/officeDocument/2006/relationships/hyperlink" Target="https://bulbapedia.bulbagarden.net/wiki/Dedenne_(Vivid_Voltage_77)" TargetMode="External"/><Relationship Id="rId100" Type="http://schemas.openxmlformats.org/officeDocument/2006/relationships/hyperlink" Target="https://bulbapedia.bulbagarden.net/wiki/Clobbopus_(Vivid_Voltage_100)" TargetMode="External"/><Relationship Id="rId105" Type="http://schemas.openxmlformats.org/officeDocument/2006/relationships/hyperlink" Target="https://bulbapedia.bulbagarden.net/wiki/Sableye_(Vivid_Voltage_105)" TargetMode="External"/><Relationship Id="rId126" Type="http://schemas.openxmlformats.org/officeDocument/2006/relationships/hyperlink" Target="https://bulbapedia.bulbagarden.net/wiki/Aegislash_V_(Vivid_Voltage_126)" TargetMode="External"/><Relationship Id="rId147" Type="http://schemas.openxmlformats.org/officeDocument/2006/relationships/hyperlink" Target="https://bulbapedia.bulbagarden.net/wiki/Bea_(Vivid_Voltage_147)" TargetMode="External"/><Relationship Id="rId168" Type="http://schemas.openxmlformats.org/officeDocument/2006/relationships/hyperlink" Target="https://bulbapedia.bulbagarden.net/wiki/Talonflame_V_(Vivid_Voltage_168)" TargetMode="External"/><Relationship Id="rId8" Type="http://schemas.openxmlformats.org/officeDocument/2006/relationships/hyperlink" Target="https://bulbapedia.bulbagarden.net/wiki/Pineco_(Vivid_Voltage_8)" TargetMode="External"/><Relationship Id="rId51" Type="http://schemas.openxmlformats.org/officeDocument/2006/relationships/hyperlink" Target="https://bulbapedia.bulbagarden.net/wiki/Electrike_(Vivid_Voltage_51)" TargetMode="External"/><Relationship Id="rId72" Type="http://schemas.openxmlformats.org/officeDocument/2006/relationships/hyperlink" Target="https://bulbapedia.bulbagarden.net/wiki/Chimecho_(Vivid_Voltage_72)" TargetMode="External"/><Relationship Id="rId93" Type="http://schemas.openxmlformats.org/officeDocument/2006/relationships/hyperlink" Target="https://bulbapedia.bulbagarden.net/wiki/Zygarde_(Vivid_Voltage_93)" TargetMode="External"/><Relationship Id="rId98" Type="http://schemas.openxmlformats.org/officeDocument/2006/relationships/hyperlink" Target="https://bulbapedia.bulbagarden.net/wiki/Coalossal_V_(Vivid_Voltage_98)" TargetMode="External"/><Relationship Id="rId121" Type="http://schemas.openxmlformats.org/officeDocument/2006/relationships/hyperlink" Target="https://bulbapedia.bulbagarden.net/wiki/Dialga_(Vivid_Voltage_121)" TargetMode="External"/><Relationship Id="rId142" Type="http://schemas.openxmlformats.org/officeDocument/2006/relationships/hyperlink" Target="https://bulbapedia.bulbagarden.net/wiki/Tornadus_(Vivid_Voltage_142)" TargetMode="External"/><Relationship Id="rId163" Type="http://schemas.openxmlformats.org/officeDocument/2006/relationships/hyperlink" Target="https://bulbapedia.bulbagarden.net/wiki/Coating_M_Energy_(Vivid_Voltage_163)" TargetMode="External"/><Relationship Id="rId184" Type="http://schemas.openxmlformats.org/officeDocument/2006/relationships/hyperlink" Target="https://bulbapedia.bulbagarden.net/wiki/Opal_(Vivid_Voltage_184)" TargetMode="External"/><Relationship Id="rId189" Type="http://schemas.openxmlformats.org/officeDocument/2006/relationships/hyperlink" Target="https://bulbapedia.bulbagarden.net/wiki/Coalossal_VMAX_(Vivid_Voltage_189)" TargetMode="External"/><Relationship Id="rId3" Type="http://schemas.openxmlformats.org/officeDocument/2006/relationships/hyperlink" Target="https://bulbapedia.bulbagarden.net/wiki/Beedrill_(Vivid_Voltage_3)" TargetMode="External"/><Relationship Id="rId25" Type="http://schemas.openxmlformats.org/officeDocument/2006/relationships/hyperlink" Target="https://bulbapedia.bulbagarden.net/wiki/Charizard_(Vivid_Voltage_25)" TargetMode="External"/><Relationship Id="rId46" Type="http://schemas.openxmlformats.org/officeDocument/2006/relationships/hyperlink" Target="https://bulbapedia.bulbagarden.net/wiki/Electrode_(Vivid_Voltage_46)" TargetMode="External"/><Relationship Id="rId67" Type="http://schemas.openxmlformats.org/officeDocument/2006/relationships/hyperlink" Target="https://bulbapedia.bulbagarden.net/wiki/Shuppet_(Vivid_Voltage_67)" TargetMode="External"/><Relationship Id="rId116" Type="http://schemas.openxmlformats.org/officeDocument/2006/relationships/hyperlink" Target="https://bulbapedia.bulbagarden.net/wiki/Beldum_(Vivid_Voltage_116)" TargetMode="External"/><Relationship Id="rId137" Type="http://schemas.openxmlformats.org/officeDocument/2006/relationships/hyperlink" Target="https://bulbapedia.bulbagarden.net/wiki/Exploud_(Vivid_Voltage_137)" TargetMode="External"/><Relationship Id="rId158" Type="http://schemas.openxmlformats.org/officeDocument/2006/relationships/hyperlink" Target="https://bulbapedia.bulbagarden.net/wiki/Opal_(Vivid_Voltage_158)" TargetMode="External"/><Relationship Id="rId20" Type="http://schemas.openxmlformats.org/officeDocument/2006/relationships/hyperlink" Target="https://bulbapedia.bulbagarden.net/wiki/Orbeetle_V_(Vivid_Voltage_20)" TargetMode="External"/><Relationship Id="rId41" Type="http://schemas.openxmlformats.org/officeDocument/2006/relationships/hyperlink" Target="https://bulbapedia.bulbagarden.net/wiki/Arrokuda_(Vivid_Voltage_41)" TargetMode="External"/><Relationship Id="rId62" Type="http://schemas.openxmlformats.org/officeDocument/2006/relationships/hyperlink" Target="https://bulbapedia.bulbagarden.net/wiki/Pincurchin_(Vivid_Voltage_62)" TargetMode="External"/><Relationship Id="rId83" Type="http://schemas.openxmlformats.org/officeDocument/2006/relationships/hyperlink" Target="https://bulbapedia.bulbagarden.net/wiki/Wooper_(Vivid_Voltage_83)" TargetMode="External"/><Relationship Id="rId88" Type="http://schemas.openxmlformats.org/officeDocument/2006/relationships/hyperlink" Target="https://bulbapedia.bulbagarden.net/wiki/Hitmontop_(Vivid_Voltage_88)" TargetMode="External"/><Relationship Id="rId111" Type="http://schemas.openxmlformats.org/officeDocument/2006/relationships/hyperlink" Target="https://bulbapedia.bulbagarden.net/wiki/Garbodor_(Vivid_Voltage_111)" TargetMode="External"/><Relationship Id="rId132" Type="http://schemas.openxmlformats.org/officeDocument/2006/relationships/hyperlink" Target="https://bulbapedia.bulbagarden.net/wiki/Lugia_(Vivid_Voltage_132)" TargetMode="External"/><Relationship Id="rId153" Type="http://schemas.openxmlformats.org/officeDocument/2006/relationships/hyperlink" Target="https://bulbapedia.bulbagarden.net/wiki/League_Staff_(Vivid_Voltage_153)" TargetMode="External"/><Relationship Id="rId174" Type="http://schemas.openxmlformats.org/officeDocument/2006/relationships/hyperlink" Target="https://bulbapedia.bulbagarden.net/wiki/Galarian_Sirfetch%27d_V_(Vivid_Voltage_174)" TargetMode="External"/><Relationship Id="rId179" Type="http://schemas.openxmlformats.org/officeDocument/2006/relationships/hyperlink" Target="https://bulbapedia.bulbagarden.net/wiki/Allister_(Vivid_Voltage_179)" TargetMode="External"/><Relationship Id="rId195" Type="http://schemas.openxmlformats.org/officeDocument/2006/relationships/hyperlink" Target="https://bulbapedia.bulbagarden.net/wiki/Leon_(Vivid_Voltage_195)" TargetMode="External"/><Relationship Id="rId190" Type="http://schemas.openxmlformats.org/officeDocument/2006/relationships/hyperlink" Target="https://bulbapedia.bulbagarden.net/wiki/Aegislash_VMAX_(Vivid_Voltage_190)" TargetMode="External"/><Relationship Id="rId15" Type="http://schemas.openxmlformats.org/officeDocument/2006/relationships/hyperlink" Target="https://bulbapedia.bulbagarden.net/wiki/Shaymin_(Vivid_Voltage_15)" TargetMode="External"/><Relationship Id="rId36" Type="http://schemas.openxmlformats.org/officeDocument/2006/relationships/hyperlink" Target="https://bulbapedia.bulbagarden.net/wiki/Galarian_Darmanitan_V_(Vivid_Voltage_36)" TargetMode="External"/><Relationship Id="rId57" Type="http://schemas.openxmlformats.org/officeDocument/2006/relationships/hyperlink" Target="https://bulbapedia.bulbagarden.net/wiki/Tynamo_(Vivid_Voltage_57)" TargetMode="External"/><Relationship Id="rId106" Type="http://schemas.openxmlformats.org/officeDocument/2006/relationships/hyperlink" Target="https://bulbapedia.bulbagarden.net/wiki/Drapion_V_(Vivid_Voltage_106)" TargetMode="External"/><Relationship Id="rId127" Type="http://schemas.openxmlformats.org/officeDocument/2006/relationships/hyperlink" Target="https://bulbapedia.bulbagarden.net/wiki/Aegislash_VMAX_(Vivid_Voltage_127)" TargetMode="External"/><Relationship Id="rId10" Type="http://schemas.openxmlformats.org/officeDocument/2006/relationships/hyperlink" Target="https://bulbapedia.bulbagarden.net/wiki/Seedot_(Vivid_Voltage_10)" TargetMode="External"/><Relationship Id="rId31" Type="http://schemas.openxmlformats.org/officeDocument/2006/relationships/hyperlink" Target="https://bulbapedia.bulbagarden.net/wiki/Wailmer_(Vivid_Voltage_31)" TargetMode="External"/><Relationship Id="rId52" Type="http://schemas.openxmlformats.org/officeDocument/2006/relationships/hyperlink" Target="https://bulbapedia.bulbagarden.net/wiki/Manectric_(Vivid_Voltage_52)" TargetMode="External"/><Relationship Id="rId73" Type="http://schemas.openxmlformats.org/officeDocument/2006/relationships/hyperlink" Target="https://bulbapedia.bulbagarden.net/wiki/Woobat_(Vivid_Voltage_73)" TargetMode="External"/><Relationship Id="rId78" Type="http://schemas.openxmlformats.org/officeDocument/2006/relationships/hyperlink" Target="https://bulbapedia.bulbagarden.net/wiki/Xerneas_(Vivid_Voltage_78)" TargetMode="External"/><Relationship Id="rId94" Type="http://schemas.openxmlformats.org/officeDocument/2006/relationships/hyperlink" Target="https://bulbapedia.bulbagarden.net/wiki/Rockruff_(Vivid_Voltage_94)" TargetMode="External"/><Relationship Id="rId99" Type="http://schemas.openxmlformats.org/officeDocument/2006/relationships/hyperlink" Target="https://bulbapedia.bulbagarden.net/wiki/Coalossal_VMAX_(Vivid_Voltage_99)" TargetMode="External"/><Relationship Id="rId101" Type="http://schemas.openxmlformats.org/officeDocument/2006/relationships/hyperlink" Target="https://bulbapedia.bulbagarden.net/wiki/Grapploct_(Vivid_Voltage_101)" TargetMode="External"/><Relationship Id="rId122" Type="http://schemas.openxmlformats.org/officeDocument/2006/relationships/hyperlink" Target="https://bulbapedia.bulbagarden.net/wiki/Excadrill_(Vivid_Voltage_122)" TargetMode="External"/><Relationship Id="rId143" Type="http://schemas.openxmlformats.org/officeDocument/2006/relationships/hyperlink" Target="https://bulbapedia.bulbagarden.net/wiki/Pikipek_(Vivid_Voltage_143)" TargetMode="External"/><Relationship Id="rId148" Type="http://schemas.openxmlformats.org/officeDocument/2006/relationships/hyperlink" Target="https://bulbapedia.bulbagarden.net/wiki/Beauty_(Vivid_Voltage_148)" TargetMode="External"/><Relationship Id="rId164" Type="http://schemas.openxmlformats.org/officeDocument/2006/relationships/hyperlink" Target="https://bulbapedia.bulbagarden.net/wiki/Stone_F_Energy_(Vivid_Voltage_164)" TargetMode="External"/><Relationship Id="rId169" Type="http://schemas.openxmlformats.org/officeDocument/2006/relationships/hyperlink" Target="https://bulbapedia.bulbagarden.net/wiki/Galarian_Darmanitan_V_(Vivid_Voltage_169)" TargetMode="External"/><Relationship Id="rId185" Type="http://schemas.openxmlformats.org/officeDocument/2006/relationships/hyperlink" Target="https://bulbapedia.bulbagarden.net/wiki/Pok%C3%A9mon_Center_Lady_(Vivid_Voltage_185)" TargetMode="External"/><Relationship Id="rId4" Type="http://schemas.openxmlformats.org/officeDocument/2006/relationships/hyperlink" Target="https://bulbapedia.bulbagarden.net/wiki/Exeggcute_(Vivid_Voltage_4)" TargetMode="External"/><Relationship Id="rId9" Type="http://schemas.openxmlformats.org/officeDocument/2006/relationships/hyperlink" Target="https://bulbapedia.bulbagarden.net/wiki/Celebi_(Vivid_Voltage_9)" TargetMode="External"/><Relationship Id="rId180" Type="http://schemas.openxmlformats.org/officeDocument/2006/relationships/hyperlink" Target="https://bulbapedia.bulbagarden.net/wiki/Bea_(Vivid_Voltage_180)" TargetMode="External"/><Relationship Id="rId26" Type="http://schemas.openxmlformats.org/officeDocument/2006/relationships/hyperlink" Target="https://bulbapedia.bulbagarden.net/wiki/Flareon_(Vivid_Voltage_26)" TargetMode="External"/><Relationship Id="rId47" Type="http://schemas.openxmlformats.org/officeDocument/2006/relationships/hyperlink" Target="https://bulbapedia.bulbagarden.net/wiki/Jolteon_(Vivid_Voltage_47)" TargetMode="External"/><Relationship Id="rId68" Type="http://schemas.openxmlformats.org/officeDocument/2006/relationships/hyperlink" Target="https://bulbapedia.bulbagarden.net/wiki/Banette_(Vivid_Voltage_68)" TargetMode="External"/><Relationship Id="rId89" Type="http://schemas.openxmlformats.org/officeDocument/2006/relationships/hyperlink" Target="https://bulbapedia.bulbagarden.net/wiki/Regirock_(Vivid_Voltage_89)" TargetMode="External"/><Relationship Id="rId112" Type="http://schemas.openxmlformats.org/officeDocument/2006/relationships/hyperlink" Target="https://bulbapedia.bulbagarden.net/wiki/Galarian_Meowth_(Vivid_Voltage_112)" TargetMode="External"/><Relationship Id="rId133" Type="http://schemas.openxmlformats.org/officeDocument/2006/relationships/hyperlink" Target="https://bulbapedia.bulbagarden.net/wiki/Taillow_(Vivid_Voltage_133)" TargetMode="External"/><Relationship Id="rId154" Type="http://schemas.openxmlformats.org/officeDocument/2006/relationships/hyperlink" Target="https://bulbapedia.bulbagarden.net/wiki/Leon_(Vivid_Voltage_154)" TargetMode="External"/><Relationship Id="rId175" Type="http://schemas.openxmlformats.org/officeDocument/2006/relationships/hyperlink" Target="https://bulbapedia.bulbagarden.net/wiki/Drapion_V_(Vivid_Voltage_175)" TargetMode="External"/><Relationship Id="rId196" Type="http://schemas.openxmlformats.org/officeDocument/2006/relationships/hyperlink" Target="https://bulbapedia.bulbagarden.net/wiki/Nessa_(Vivid_Voltage_196)" TargetMode="External"/><Relationship Id="rId200" Type="http://schemas.openxmlformats.org/officeDocument/2006/relationships/hyperlink" Target="https://bulbapedia.bulbagarden.net/wiki/Cape_of_Toughness_(Vivid_Voltage_200)" TargetMode="External"/><Relationship Id="rId16" Type="http://schemas.openxmlformats.org/officeDocument/2006/relationships/hyperlink" Target="https://bulbapedia.bulbagarden.net/wiki/Genesect_(Vivid_Voltage_16)" TargetMode="External"/><Relationship Id="rId37" Type="http://schemas.openxmlformats.org/officeDocument/2006/relationships/hyperlink" Target="https://bulbapedia.bulbagarden.net/wiki/Galarian_Darmanitan_VMAX_(Vivid_Voltage_37)" TargetMode="External"/><Relationship Id="rId58" Type="http://schemas.openxmlformats.org/officeDocument/2006/relationships/hyperlink" Target="https://bulbapedia.bulbagarden.net/wiki/Eelektrik_(Vivid_Voltage_58)" TargetMode="External"/><Relationship Id="rId79" Type="http://schemas.openxmlformats.org/officeDocument/2006/relationships/hyperlink" Target="https://bulbapedia.bulbagarden.net/wiki/Diancie_(Vivid_Voltage_79)" TargetMode="External"/><Relationship Id="rId102" Type="http://schemas.openxmlformats.org/officeDocument/2006/relationships/hyperlink" Target="https://bulbapedia.bulbagarden.net/wiki/Zamazenta_(Vivid_Voltage_102)" TargetMode="External"/><Relationship Id="rId123" Type="http://schemas.openxmlformats.org/officeDocument/2006/relationships/hyperlink" Target="https://bulbapedia.bulbagarden.net/wiki/Ferroseed_(Vivid_Voltage_123)" TargetMode="External"/><Relationship Id="rId144" Type="http://schemas.openxmlformats.org/officeDocument/2006/relationships/hyperlink" Target="https://bulbapedia.bulbagarden.net/wiki/Trumbeak_(Vivid_Voltage_144)" TargetMode="External"/><Relationship Id="rId90" Type="http://schemas.openxmlformats.org/officeDocument/2006/relationships/hyperlink" Target="https://bulbapedia.bulbagarden.net/wiki/Riolu_(Vivid_Voltage_90)" TargetMode="External"/><Relationship Id="rId165" Type="http://schemas.openxmlformats.org/officeDocument/2006/relationships/hyperlink" Target="https://bulbapedia.bulbagarden.net/wiki/Wash_W_Energy_(Vivid_Voltage_165)" TargetMode="External"/><Relationship Id="rId186" Type="http://schemas.openxmlformats.org/officeDocument/2006/relationships/hyperlink" Target="https://bulbapedia.bulbagarden.net/wiki/Orbeetle_VMAX_(Vivid_Voltage_186)" TargetMode="External"/><Relationship Id="rId27" Type="http://schemas.openxmlformats.org/officeDocument/2006/relationships/hyperlink" Target="https://bulbapedia.bulbagarden.net/wiki/Slugma_(Vivid_Voltage_27)" TargetMode="External"/><Relationship Id="rId48" Type="http://schemas.openxmlformats.org/officeDocument/2006/relationships/hyperlink" Target="https://bulbapedia.bulbagarden.net/wiki/Zapdos_(Vivid_Voltage_48)" TargetMode="External"/><Relationship Id="rId69" Type="http://schemas.openxmlformats.org/officeDocument/2006/relationships/hyperlink" Target="https://bulbapedia.bulbagarden.net/wiki/Duskull_(Vivid_Voltage_69)" TargetMode="External"/><Relationship Id="rId113" Type="http://schemas.openxmlformats.org/officeDocument/2006/relationships/hyperlink" Target="https://bulbapedia.bulbagarden.net/wiki/Galarian_Perrserker_(Vivid_Voltage_113)" TargetMode="External"/><Relationship Id="rId134" Type="http://schemas.openxmlformats.org/officeDocument/2006/relationships/hyperlink" Target="https://bulbapedia.bulbagarden.net/wiki/Swellow_(Vivid_Voltage_134)" TargetMode="External"/><Relationship Id="rId80" Type="http://schemas.openxmlformats.org/officeDocument/2006/relationships/hyperlink" Target="https://bulbapedia.bulbagarden.net/wiki/Milcery_(Vivid_Voltage_80)" TargetMode="External"/><Relationship Id="rId155" Type="http://schemas.openxmlformats.org/officeDocument/2006/relationships/hyperlink" Target="https://bulbapedia.bulbagarden.net/wiki/Memory_Capsule_(Vivid_Voltage_155)" TargetMode="External"/><Relationship Id="rId176" Type="http://schemas.openxmlformats.org/officeDocument/2006/relationships/hyperlink" Target="https://bulbapedia.bulbagarden.net/wiki/Steelix_V_(Vivid_Voltage_176)" TargetMode="External"/><Relationship Id="rId197" Type="http://schemas.openxmlformats.org/officeDocument/2006/relationships/hyperlink" Target="https://bulbapedia.bulbagarden.net/wiki/Opal_(Vivid_Voltage_197)" TargetMode="External"/><Relationship Id="rId201" Type="http://schemas.openxmlformats.org/officeDocument/2006/relationships/hyperlink" Target="https://bulbapedia.bulbagarden.net/wiki/Hero%27s_Medal_(Vivid_Voltage_201)" TargetMode="External"/><Relationship Id="rId17" Type="http://schemas.openxmlformats.org/officeDocument/2006/relationships/hyperlink" Target="https://bulbapedia.bulbagarden.net/wiki/Skiddo_(Vivid_Voltage_17)" TargetMode="External"/><Relationship Id="rId38" Type="http://schemas.openxmlformats.org/officeDocument/2006/relationships/hyperlink" Target="https://bulbapedia.bulbagarden.net/wiki/Chewtle_(Vivid_Voltage_38)" TargetMode="External"/><Relationship Id="rId59" Type="http://schemas.openxmlformats.org/officeDocument/2006/relationships/hyperlink" Target="https://bulbapedia.bulbagarden.net/wiki/Eelektross_(Vivid_Voltage_59)" TargetMode="External"/><Relationship Id="rId103" Type="http://schemas.openxmlformats.org/officeDocument/2006/relationships/hyperlink" Target="https://bulbapedia.bulbagarden.net/wiki/Poochyena_(Vivid_Voltage_103)" TargetMode="External"/><Relationship Id="rId124" Type="http://schemas.openxmlformats.org/officeDocument/2006/relationships/hyperlink" Target="https://bulbapedia.bulbagarden.net/wiki/Ferrothorn_(Vivid_Voltage_124)" TargetMode="External"/><Relationship Id="rId70" Type="http://schemas.openxmlformats.org/officeDocument/2006/relationships/hyperlink" Target="https://bulbapedia.bulbagarden.net/wiki/Dusclops_(Vivid_Voltage_70)" TargetMode="External"/><Relationship Id="rId91" Type="http://schemas.openxmlformats.org/officeDocument/2006/relationships/hyperlink" Target="https://bulbapedia.bulbagarden.net/wiki/Drilbur_(Vivid_Voltage_91)" TargetMode="External"/><Relationship Id="rId145" Type="http://schemas.openxmlformats.org/officeDocument/2006/relationships/hyperlink" Target="https://bulbapedia.bulbagarden.net/wiki/Toucannon_(Vivid_Voltage_145)" TargetMode="External"/><Relationship Id="rId166" Type="http://schemas.openxmlformats.org/officeDocument/2006/relationships/hyperlink" Target="https://bulbapedia.bulbagarden.net/wiki/Orbeetle_V_(Vivid_Voltage_166)" TargetMode="External"/><Relationship Id="rId187" Type="http://schemas.openxmlformats.org/officeDocument/2006/relationships/hyperlink" Target="https://bulbapedia.bulbagarden.net/wiki/Galarian_Darmanitan_VMAX_(Vivid_Voltage_187)" TargetMode="External"/><Relationship Id="rId1" Type="http://schemas.openxmlformats.org/officeDocument/2006/relationships/hyperlink" Target="https://bulbapedia.bulbagarden.net/wiki/Weedle_(Vivid_Voltage_1)" TargetMode="External"/><Relationship Id="rId28" Type="http://schemas.openxmlformats.org/officeDocument/2006/relationships/hyperlink" Target="https://bulbapedia.bulbagarden.net/wiki/Magcargo_(Vivid_Voltage_28)" TargetMode="External"/><Relationship Id="rId49" Type="http://schemas.openxmlformats.org/officeDocument/2006/relationships/hyperlink" Target="https://bulbapedia.bulbagarden.net/wiki/Ampharos_V_(Vivid_Voltage_49)" TargetMode="External"/><Relationship Id="rId114" Type="http://schemas.openxmlformats.org/officeDocument/2006/relationships/hyperlink" Target="https://bulbapedia.bulbagarden.net/wiki/Forretress_(Vivid_Voltage_114)" TargetMode="External"/><Relationship Id="rId60" Type="http://schemas.openxmlformats.org/officeDocument/2006/relationships/hyperlink" Target="https://bulbapedia.bulbagarden.net/wiki/Zekrom_(Vivid_Voltage_60)" TargetMode="External"/><Relationship Id="rId81" Type="http://schemas.openxmlformats.org/officeDocument/2006/relationships/hyperlink" Target="https://bulbapedia.bulbagarden.net/wiki/Alcremie_(Vivid_Voltage_81)" TargetMode="External"/><Relationship Id="rId135" Type="http://schemas.openxmlformats.org/officeDocument/2006/relationships/hyperlink" Target="https://bulbapedia.bulbagarden.net/wiki/Whismur_(Vivid_Voltage_135)" TargetMode="External"/><Relationship Id="rId156" Type="http://schemas.openxmlformats.org/officeDocument/2006/relationships/hyperlink" Target="https://bulbapedia.bulbagarden.net/wiki/Moomoo_Cheese_(Vivid_Voltage_156)" TargetMode="External"/><Relationship Id="rId177" Type="http://schemas.openxmlformats.org/officeDocument/2006/relationships/hyperlink" Target="https://bulbapedia.bulbagarden.net/wiki/Aegislash_V_(Vivid_Voltage_177)" TargetMode="External"/><Relationship Id="rId198" Type="http://schemas.openxmlformats.org/officeDocument/2006/relationships/hyperlink" Target="https://bulbapedia.bulbagarden.net/wiki/Galarian_Obstagoon_(Vivid_Voltage_198)" TargetMode="External"/><Relationship Id="rId202" Type="http://schemas.openxmlformats.org/officeDocument/2006/relationships/hyperlink" Target="https://bulbapedia.bulbagarden.net/wiki/Memory_Capsule_(Vivid_Voltage_202)" TargetMode="External"/><Relationship Id="rId18" Type="http://schemas.openxmlformats.org/officeDocument/2006/relationships/hyperlink" Target="https://bulbapedia.bulbagarden.net/wiki/Gogoat_(Vivid_Voltage_18)" TargetMode="External"/><Relationship Id="rId39" Type="http://schemas.openxmlformats.org/officeDocument/2006/relationships/hyperlink" Target="https://bulbapedia.bulbagarden.net/wiki/Drednaw_(Vivid_Voltage_39)" TargetMode="External"/><Relationship Id="rId50" Type="http://schemas.openxmlformats.org/officeDocument/2006/relationships/hyperlink" Target="https://bulbapedia.bulbagarden.net/wiki/Raikou_(Vivid_Voltage_50)" TargetMode="External"/><Relationship Id="rId104" Type="http://schemas.openxmlformats.org/officeDocument/2006/relationships/hyperlink" Target="https://bulbapedia.bulbagarden.net/wiki/Mightyena_(Vivid_Voltage_104)" TargetMode="External"/><Relationship Id="rId125" Type="http://schemas.openxmlformats.org/officeDocument/2006/relationships/hyperlink" Target="https://bulbapedia.bulbagarden.net/wiki/Galarian_Stunfisk_(Vivid_Voltage_125)" TargetMode="External"/><Relationship Id="rId146" Type="http://schemas.openxmlformats.org/officeDocument/2006/relationships/hyperlink" Target="https://bulbapedia.bulbagarden.net/wiki/Allister_(Vivid_Voltage_146)" TargetMode="External"/><Relationship Id="rId167" Type="http://schemas.openxmlformats.org/officeDocument/2006/relationships/hyperlink" Target="https://bulbapedia.bulbagarden.net/wiki/Zarude_V_(Vivid_Voltage_167)" TargetMode="External"/><Relationship Id="rId188" Type="http://schemas.openxmlformats.org/officeDocument/2006/relationships/hyperlink" Target="https://bulbapedia.bulbagarden.net/wiki/Pikachu_VMAX_(Vivid_Voltage_188)" TargetMode="External"/><Relationship Id="rId71" Type="http://schemas.openxmlformats.org/officeDocument/2006/relationships/hyperlink" Target="https://bulbapedia.bulbagarden.net/wiki/Dusknoir_(Vivid_Voltage_71)" TargetMode="External"/><Relationship Id="rId92" Type="http://schemas.openxmlformats.org/officeDocument/2006/relationships/hyperlink" Target="https://bulbapedia.bulbagarden.net/wiki/Terrakion_(Vivid_Voltage_92)"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s://bulbapedia.bulbagarden.net/wiki/Grookey_(McDonald%27s_Collection_2021_8)" TargetMode="External"/><Relationship Id="rId13" Type="http://schemas.openxmlformats.org/officeDocument/2006/relationships/hyperlink" Target="https://bulbapedia.bulbagarden.net/wiki/Tepig_(McDonald%27s_Collection_2021_13)" TargetMode="External"/><Relationship Id="rId18" Type="http://schemas.openxmlformats.org/officeDocument/2006/relationships/hyperlink" Target="https://bulbapedia.bulbagarden.net/wiki/Totodile_(McDonald%27s_Collection_2021_18)" TargetMode="External"/><Relationship Id="rId3" Type="http://schemas.openxmlformats.org/officeDocument/2006/relationships/hyperlink" Target="https://bulbapedia.bulbagarden.net/wiki/Treecko_(McDonald%27s_Collection_2021_3)" TargetMode="External"/><Relationship Id="rId21" Type="http://schemas.openxmlformats.org/officeDocument/2006/relationships/hyperlink" Target="https://bulbapedia.bulbagarden.net/wiki/Oshawott_(McDonald%27s_Collection_2021_21)" TargetMode="External"/><Relationship Id="rId7" Type="http://schemas.openxmlformats.org/officeDocument/2006/relationships/hyperlink" Target="https://bulbapedia.bulbagarden.net/wiki/Rowlet_(McDonald%27s_Collection_2021_7)" TargetMode="External"/><Relationship Id="rId12" Type="http://schemas.openxmlformats.org/officeDocument/2006/relationships/hyperlink" Target="https://bulbapedia.bulbagarden.net/wiki/Chimchar_(McDonald%27s_Collection_2021_12)" TargetMode="External"/><Relationship Id="rId17" Type="http://schemas.openxmlformats.org/officeDocument/2006/relationships/hyperlink" Target="https://bulbapedia.bulbagarden.net/wiki/Squirtle_(McDonald%27s_Collection_2021_17)" TargetMode="External"/><Relationship Id="rId25" Type="http://schemas.openxmlformats.org/officeDocument/2006/relationships/hyperlink" Target="https://bulbapedia.bulbagarden.net/wiki/Pikachu_(McDonald%27s_Collection_2021_25)" TargetMode="External"/><Relationship Id="rId2" Type="http://schemas.openxmlformats.org/officeDocument/2006/relationships/hyperlink" Target="https://bulbapedia.bulbagarden.net/wiki/Chikorita_(McDonald%27s_Collection_2021_2)" TargetMode="External"/><Relationship Id="rId16" Type="http://schemas.openxmlformats.org/officeDocument/2006/relationships/hyperlink" Target="https://bulbapedia.bulbagarden.net/wiki/Scorbunny_(McDonald%27s_Collection_2021_16)" TargetMode="External"/><Relationship Id="rId20" Type="http://schemas.openxmlformats.org/officeDocument/2006/relationships/hyperlink" Target="https://bulbapedia.bulbagarden.net/wiki/Piplup_(McDonald%27s_Collection_2021_20)" TargetMode="External"/><Relationship Id="rId1" Type="http://schemas.openxmlformats.org/officeDocument/2006/relationships/hyperlink" Target="https://bulbapedia.bulbagarden.net/wiki/Bulbasaur_(McDonald%27s_Collection_2021_1)" TargetMode="External"/><Relationship Id="rId6" Type="http://schemas.openxmlformats.org/officeDocument/2006/relationships/hyperlink" Target="https://bulbapedia.bulbagarden.net/wiki/Chespin_(McDonald%27s_Collection_2021_6)" TargetMode="External"/><Relationship Id="rId11" Type="http://schemas.openxmlformats.org/officeDocument/2006/relationships/hyperlink" Target="https://bulbapedia.bulbagarden.net/wiki/Torchic_(McDonald%27s_Collection_2021_11)" TargetMode="External"/><Relationship Id="rId24" Type="http://schemas.openxmlformats.org/officeDocument/2006/relationships/hyperlink" Target="https://bulbapedia.bulbagarden.net/wiki/Sobble_(McDonald%27s_Collection_2021_24)" TargetMode="External"/><Relationship Id="rId5" Type="http://schemas.openxmlformats.org/officeDocument/2006/relationships/hyperlink" Target="https://bulbapedia.bulbagarden.net/wiki/Snivy_(McDonald%27s_Collection_2021_5)" TargetMode="External"/><Relationship Id="rId15" Type="http://schemas.openxmlformats.org/officeDocument/2006/relationships/hyperlink" Target="https://bulbapedia.bulbagarden.net/wiki/Litten_(McDonald%27s_Collection_2021_15)" TargetMode="External"/><Relationship Id="rId23" Type="http://schemas.openxmlformats.org/officeDocument/2006/relationships/hyperlink" Target="https://bulbapedia.bulbagarden.net/wiki/Popplio_(McDonald%27s_Collection_2021_23)" TargetMode="External"/><Relationship Id="rId10" Type="http://schemas.openxmlformats.org/officeDocument/2006/relationships/hyperlink" Target="https://bulbapedia.bulbagarden.net/wiki/Cyndaquil_(McDonald%27s_Collection_2021_10)" TargetMode="External"/><Relationship Id="rId19" Type="http://schemas.openxmlformats.org/officeDocument/2006/relationships/hyperlink" Target="https://bulbapedia.bulbagarden.net/wiki/Mudkip_(McDonald%27s_Collection_2021_19)" TargetMode="External"/><Relationship Id="rId4" Type="http://schemas.openxmlformats.org/officeDocument/2006/relationships/hyperlink" Target="https://bulbapedia.bulbagarden.net/wiki/Turtwig_(McDonald%27s_Collection_2021_4)" TargetMode="External"/><Relationship Id="rId9" Type="http://schemas.openxmlformats.org/officeDocument/2006/relationships/hyperlink" Target="https://bulbapedia.bulbagarden.net/wiki/Charmander_(McDonald%27s_Collection_2021_9)" TargetMode="External"/><Relationship Id="rId14" Type="http://schemas.openxmlformats.org/officeDocument/2006/relationships/hyperlink" Target="https://bulbapedia.bulbagarden.net/wiki/Fennekin_(McDonald%27s_Collection_2021_14)" TargetMode="External"/><Relationship Id="rId22" Type="http://schemas.openxmlformats.org/officeDocument/2006/relationships/hyperlink" Target="https://bulbapedia.bulbagarden.net/wiki/Froakie_(McDonald%27s_Collection_2021_22)" TargetMode="External"/></Relationships>
</file>

<file path=xl/worksheets/_rels/sheet90.xml.rels><?xml version="1.0" encoding="UTF-8" standalone="yes"?>
<Relationships xmlns="http://schemas.openxmlformats.org/package/2006/relationships"><Relationship Id="rId117" Type="http://schemas.openxmlformats.org/officeDocument/2006/relationships/hyperlink" Target="https://bulbapedia.bulbagarden.net/wiki/Morpeko_(Shining_Fates_SV44)" TargetMode="External"/><Relationship Id="rId21" Type="http://schemas.openxmlformats.org/officeDocument/2006/relationships/hyperlink" Target="https://bulbapedia.bulbagarden.net/wiki/Kyogre_(Shining_Fates_21)" TargetMode="External"/><Relationship Id="rId42" Type="http://schemas.openxmlformats.org/officeDocument/2006/relationships/hyperlink" Target="https://bulbapedia.bulbagarden.net/wiki/Galarian_Weezing_(Shining_Fates_42)" TargetMode="External"/><Relationship Id="rId63" Type="http://schemas.openxmlformats.org/officeDocument/2006/relationships/hyperlink" Target="https://bulbapedia.bulbagarden.net/wiki/Team_Yell_Towel_(Shining_Fates_63)" TargetMode="External"/><Relationship Id="rId84" Type="http://schemas.openxmlformats.org/officeDocument/2006/relationships/hyperlink" Target="https://bulbapedia.bulbagarden.net/wiki/Eldegoss_(Shining_Fates_SV11)" TargetMode="External"/><Relationship Id="rId138" Type="http://schemas.openxmlformats.org/officeDocument/2006/relationships/hyperlink" Target="https://bulbapedia.bulbagarden.net/wiki/Galarian_Yamask_(Shining_Fates_SV65)" TargetMode="External"/><Relationship Id="rId159" Type="http://schemas.openxmlformats.org/officeDocument/2006/relationships/hyperlink" Target="https://bulbapedia.bulbagarden.net/wiki/Galarian_Meowth_(Shining_Fates_SV86)" TargetMode="External"/><Relationship Id="rId170" Type="http://schemas.openxmlformats.org/officeDocument/2006/relationships/hyperlink" Target="https://bulbapedia.bulbagarden.net/wiki/Bunnelby_(Shining_Fates_SV97)" TargetMode="External"/><Relationship Id="rId191" Type="http://schemas.openxmlformats.org/officeDocument/2006/relationships/hyperlink" Target="https://bulbapedia.bulbagarden.net/wiki/Ditto_V_(Shining_Fates_SV118)" TargetMode="External"/><Relationship Id="rId107" Type="http://schemas.openxmlformats.org/officeDocument/2006/relationships/hyperlink" Target="https://bulbapedia.bulbagarden.net/wiki/Frosmoth_(Shining_Fates_SV34)" TargetMode="External"/><Relationship Id="rId11" Type="http://schemas.openxmlformats.org/officeDocument/2006/relationships/hyperlink" Target="https://bulbapedia.bulbagarden.net/wiki/Grookey_(Shining_Fates_11)" TargetMode="External"/><Relationship Id="rId32" Type="http://schemas.openxmlformats.org/officeDocument/2006/relationships/hyperlink" Target="https://bulbapedia.bulbagarden.net/wiki/Luxio_(Shining_Fates_32)" TargetMode="External"/><Relationship Id="rId53" Type="http://schemas.openxmlformats.org/officeDocument/2006/relationships/hyperlink" Target="https://bulbapedia.bulbagarden.net/wiki/Greedent_V_(Shining_Fates_53)" TargetMode="External"/><Relationship Id="rId74" Type="http://schemas.openxmlformats.org/officeDocument/2006/relationships/hyperlink" Target="https://bulbapedia.bulbagarden.net/wiki/Rowlet_(Shining_Fates_SV1)" TargetMode="External"/><Relationship Id="rId128" Type="http://schemas.openxmlformats.org/officeDocument/2006/relationships/hyperlink" Target="https://bulbapedia.bulbagarden.net/wiki/Hattrem_(Shining_Fates_SV55)" TargetMode="External"/><Relationship Id="rId149" Type="http://schemas.openxmlformats.org/officeDocument/2006/relationships/hyperlink" Target="https://bulbapedia.bulbagarden.net/wiki/Koffing_(Shining_Fates_SV76)" TargetMode="External"/><Relationship Id="rId5" Type="http://schemas.openxmlformats.org/officeDocument/2006/relationships/hyperlink" Target="https://bulbapedia.bulbagarden.net/wiki/Tropius_(Shining_Fates_5)" TargetMode="External"/><Relationship Id="rId95" Type="http://schemas.openxmlformats.org/officeDocument/2006/relationships/hyperlink" Target="https://bulbapedia.bulbagarden.net/wiki/Suicune_(Shining_Fates_SV22)" TargetMode="External"/><Relationship Id="rId160" Type="http://schemas.openxmlformats.org/officeDocument/2006/relationships/hyperlink" Target="https://bulbapedia.bulbagarden.net/wiki/Galarian_Perrserker_(Shining_Fates_SV87)" TargetMode="External"/><Relationship Id="rId181" Type="http://schemas.openxmlformats.org/officeDocument/2006/relationships/hyperlink" Target="https://bulbapedia.bulbagarden.net/wiki/Centiskorch_V_(Shining_Fates_SV108)" TargetMode="External"/><Relationship Id="rId22" Type="http://schemas.openxmlformats.org/officeDocument/2006/relationships/hyperlink" Target="https://bulbapedia.bulbagarden.net/wiki/Buizel_(Shining_Fates_22)" TargetMode="External"/><Relationship Id="rId43" Type="http://schemas.openxmlformats.org/officeDocument/2006/relationships/hyperlink" Target="https://bulbapedia.bulbagarden.net/wiki/Spinarak_(Shining_Fates_43)" TargetMode="External"/><Relationship Id="rId64" Type="http://schemas.openxmlformats.org/officeDocument/2006/relationships/hyperlink" Target="https://bulbapedia.bulbagarden.net/wiki/Alcremie_V_(Shining_Fates_64)" TargetMode="External"/><Relationship Id="rId118" Type="http://schemas.openxmlformats.org/officeDocument/2006/relationships/hyperlink" Target="https://bulbapedia.bulbagarden.net/wiki/Dracozolt_(Shining_Fates_SV45)" TargetMode="External"/><Relationship Id="rId139" Type="http://schemas.openxmlformats.org/officeDocument/2006/relationships/hyperlink" Target="https://bulbapedia.bulbagarden.net/wiki/Galarian_Runerigus_(Shining_Fates_SV66)" TargetMode="External"/><Relationship Id="rId85" Type="http://schemas.openxmlformats.org/officeDocument/2006/relationships/hyperlink" Target="https://bulbapedia.bulbagarden.net/wiki/Applin_(Shining_Fates_SV12)" TargetMode="External"/><Relationship Id="rId150" Type="http://schemas.openxmlformats.org/officeDocument/2006/relationships/hyperlink" Target="https://bulbapedia.bulbagarden.net/wiki/Galarian_Weezing_(Shining_Fates_SV77)" TargetMode="External"/><Relationship Id="rId171" Type="http://schemas.openxmlformats.org/officeDocument/2006/relationships/hyperlink" Target="https://bulbapedia.bulbagarden.net/wiki/Oranguru_(Shining_Fates_SV98)" TargetMode="External"/><Relationship Id="rId192" Type="http://schemas.openxmlformats.org/officeDocument/2006/relationships/hyperlink" Target="https://bulbapedia.bulbagarden.net/wiki/Ditto_VMAX_(Shining_Fates_SV119)" TargetMode="External"/><Relationship Id="rId12" Type="http://schemas.openxmlformats.org/officeDocument/2006/relationships/hyperlink" Target="https://bulbapedia.bulbagarden.net/wiki/Thwackey_(Shining_Fates_12)" TargetMode="External"/><Relationship Id="rId33" Type="http://schemas.openxmlformats.org/officeDocument/2006/relationships/hyperlink" Target="https://bulbapedia.bulbagarden.net/wiki/Luxray_(Shining_Fates_33)" TargetMode="External"/><Relationship Id="rId108" Type="http://schemas.openxmlformats.org/officeDocument/2006/relationships/hyperlink" Target="https://bulbapedia.bulbagarden.net/wiki/Eiscue_(Shining_Fates_SV35)" TargetMode="External"/><Relationship Id="rId129" Type="http://schemas.openxmlformats.org/officeDocument/2006/relationships/hyperlink" Target="https://bulbapedia.bulbagarden.net/wiki/Hatternee_(Shining_Fates_SV56)" TargetMode="External"/><Relationship Id="rId54" Type="http://schemas.openxmlformats.org/officeDocument/2006/relationships/hyperlink" Target="https://bulbapedia.bulbagarden.net/wiki/Cramorant_V_(Shining_Fates_54)" TargetMode="External"/><Relationship Id="rId75" Type="http://schemas.openxmlformats.org/officeDocument/2006/relationships/hyperlink" Target="https://bulbapedia.bulbagarden.net/wiki/Dartrix_(Shining_Fates_SV2)" TargetMode="External"/><Relationship Id="rId96" Type="http://schemas.openxmlformats.org/officeDocument/2006/relationships/hyperlink" Target="https://bulbapedia.bulbagarden.net/wiki/Galarian_Darumaka_(Shining_Fates_SV23)" TargetMode="External"/><Relationship Id="rId140" Type="http://schemas.openxmlformats.org/officeDocument/2006/relationships/hyperlink" Target="https://bulbapedia.bulbagarden.net/wiki/Rolycoly_(Shining_Fates_SV67)" TargetMode="External"/><Relationship Id="rId161" Type="http://schemas.openxmlformats.org/officeDocument/2006/relationships/hyperlink" Target="https://bulbapedia.bulbagarden.net/wiki/Galarian_Stunfisk_(Shining_Fates_SV88)" TargetMode="External"/><Relationship Id="rId182" Type="http://schemas.openxmlformats.org/officeDocument/2006/relationships/hyperlink" Target="https://bulbapedia.bulbagarden.net/wiki/Centiskorch_VMAX_(Shining_Fates_SV109)" TargetMode="External"/><Relationship Id="rId6" Type="http://schemas.openxmlformats.org/officeDocument/2006/relationships/hyperlink" Target="https://bulbapedia.bulbagarden.net/wiki/Rowlet_(Shining_Fates_6)" TargetMode="External"/><Relationship Id="rId23" Type="http://schemas.openxmlformats.org/officeDocument/2006/relationships/hyperlink" Target="https://bulbapedia.bulbagarden.net/wiki/Floatzel_(Shining_Fates_23)" TargetMode="External"/><Relationship Id="rId119" Type="http://schemas.openxmlformats.org/officeDocument/2006/relationships/hyperlink" Target="https://bulbapedia.bulbagarden.net/wiki/Arctozolt_(Shining_Fates_SV46)" TargetMode="External"/><Relationship Id="rId44" Type="http://schemas.openxmlformats.org/officeDocument/2006/relationships/hyperlink" Target="https://bulbapedia.bulbagarden.net/wiki/Crobat_V_(Shining_Fates_44)" TargetMode="External"/><Relationship Id="rId65" Type="http://schemas.openxmlformats.org/officeDocument/2006/relationships/hyperlink" Target="https://bulbapedia.bulbagarden.net/wiki/Ball_Guy_(Shining_Fates_65)" TargetMode="External"/><Relationship Id="rId86" Type="http://schemas.openxmlformats.org/officeDocument/2006/relationships/hyperlink" Target="https://bulbapedia.bulbagarden.net/wiki/Flapple_(Shining_Fates_SV13)" TargetMode="External"/><Relationship Id="rId130" Type="http://schemas.openxmlformats.org/officeDocument/2006/relationships/hyperlink" Target="https://bulbapedia.bulbagarden.net/wiki/Milcery_(Shining_Fates_SV57)" TargetMode="External"/><Relationship Id="rId151" Type="http://schemas.openxmlformats.org/officeDocument/2006/relationships/hyperlink" Target="https://bulbapedia.bulbagarden.net/wiki/Galarian_Zigzagoon_(Shining_Fates_SV78)" TargetMode="External"/><Relationship Id="rId172" Type="http://schemas.openxmlformats.org/officeDocument/2006/relationships/hyperlink" Target="https://bulbapedia.bulbagarden.net/wiki/Skwovet_(Shining_Fates_SV99)" TargetMode="External"/><Relationship Id="rId193" Type="http://schemas.openxmlformats.org/officeDocument/2006/relationships/hyperlink" Target="https://bulbapedia.bulbagarden.net/wiki/Dubwool_V_(Shining_Fates_SV120)" TargetMode="External"/><Relationship Id="rId13" Type="http://schemas.openxmlformats.org/officeDocument/2006/relationships/hyperlink" Target="https://bulbapedia.bulbagarden.net/wiki/Rillaboom_(Shining_Fates_13)" TargetMode="External"/><Relationship Id="rId109" Type="http://schemas.openxmlformats.org/officeDocument/2006/relationships/hyperlink" Target="https://bulbapedia.bulbagarden.net/wiki/Dracovish_(Shining_Fates_SV36)" TargetMode="External"/><Relationship Id="rId34" Type="http://schemas.openxmlformats.org/officeDocument/2006/relationships/hyperlink" Target="https://bulbapedia.bulbagarden.net/wiki/Rotom_(Shining_Fates_34)" TargetMode="External"/><Relationship Id="rId50" Type="http://schemas.openxmlformats.org/officeDocument/2006/relationships/hyperlink" Target="https://bulbapedia.bulbagarden.net/wiki/Ditto_V_(Shining_Fates_50)" TargetMode="External"/><Relationship Id="rId55" Type="http://schemas.openxmlformats.org/officeDocument/2006/relationships/hyperlink" Target="https://bulbapedia.bulbagarden.net/wiki/Cramorant_VMAX_(Shining_Fates_55)" TargetMode="External"/><Relationship Id="rId76" Type="http://schemas.openxmlformats.org/officeDocument/2006/relationships/hyperlink" Target="https://bulbapedia.bulbagarden.net/wiki/Decidueye_(Shining_Fates_SV3)" TargetMode="External"/><Relationship Id="rId97" Type="http://schemas.openxmlformats.org/officeDocument/2006/relationships/hyperlink" Target="https://bulbapedia.bulbagarden.net/wiki/Galarian_Darmanitan_(Shining_Fates_SV24)" TargetMode="External"/><Relationship Id="rId104" Type="http://schemas.openxmlformats.org/officeDocument/2006/relationships/hyperlink" Target="https://bulbapedia.bulbagarden.net/wiki/Arrokuda_(Shining_Fates_SV31)" TargetMode="External"/><Relationship Id="rId120" Type="http://schemas.openxmlformats.org/officeDocument/2006/relationships/hyperlink" Target="https://bulbapedia.bulbagarden.net/wiki/Galarian_Ponyta_(Shining_Fates_SV47)" TargetMode="External"/><Relationship Id="rId125" Type="http://schemas.openxmlformats.org/officeDocument/2006/relationships/hyperlink" Target="https://bulbapedia.bulbagarden.net/wiki/Sinistea_(Shining_Fates_SV52)" TargetMode="External"/><Relationship Id="rId141" Type="http://schemas.openxmlformats.org/officeDocument/2006/relationships/hyperlink" Target="https://bulbapedia.bulbagarden.net/wiki/Carkol_(Shining_Fates_SV68)" TargetMode="External"/><Relationship Id="rId146" Type="http://schemas.openxmlformats.org/officeDocument/2006/relationships/hyperlink" Target="https://bulbapedia.bulbagarden.net/wiki/Grapploct_(Shining_Fates_SV73)" TargetMode="External"/><Relationship Id="rId167" Type="http://schemas.openxmlformats.org/officeDocument/2006/relationships/hyperlink" Target="https://bulbapedia.bulbagarden.net/wiki/Cinccino_(Shining_Fates_SV94)" TargetMode="External"/><Relationship Id="rId188" Type="http://schemas.openxmlformats.org/officeDocument/2006/relationships/hyperlink" Target="https://bulbapedia.bulbagarden.net/wiki/Falinks_V_(Shining_Fates_SV115)" TargetMode="External"/><Relationship Id="rId7" Type="http://schemas.openxmlformats.org/officeDocument/2006/relationships/hyperlink" Target="https://bulbapedia.bulbagarden.net/wiki/Dartrix_(Shining_Fates_7)" TargetMode="External"/><Relationship Id="rId71" Type="http://schemas.openxmlformats.org/officeDocument/2006/relationships/hyperlink" Target="https://bulbapedia.bulbagarden.net/wiki/Rose_(Shining_Fates_71)" TargetMode="External"/><Relationship Id="rId92" Type="http://schemas.openxmlformats.org/officeDocument/2006/relationships/hyperlink" Target="https://bulbapedia.bulbagarden.net/wiki/Centiskorch_(Shining_Fates_SV19)" TargetMode="External"/><Relationship Id="rId162" Type="http://schemas.openxmlformats.org/officeDocument/2006/relationships/hyperlink" Target="https://bulbapedia.bulbagarden.net/wiki/Corviknight_(Shining_Fates_SV89)" TargetMode="External"/><Relationship Id="rId183" Type="http://schemas.openxmlformats.org/officeDocument/2006/relationships/hyperlink" Target="https://bulbapedia.bulbagarden.net/wiki/Lapras_V_(Shining_Fates_SV110)" TargetMode="External"/><Relationship Id="rId2" Type="http://schemas.openxmlformats.org/officeDocument/2006/relationships/hyperlink" Target="https://bulbapedia.bulbagarden.net/wiki/Yanmega_(Shining_Fates_2)" TargetMode="External"/><Relationship Id="rId29" Type="http://schemas.openxmlformats.org/officeDocument/2006/relationships/hyperlink" Target="https://bulbapedia.bulbagarden.net/wiki/Snom_(Shining_Fates_29)" TargetMode="External"/><Relationship Id="rId24" Type="http://schemas.openxmlformats.org/officeDocument/2006/relationships/hyperlink" Target="https://bulbapedia.bulbagarden.net/wiki/Manaphy_(Shining_Fates_24)" TargetMode="External"/><Relationship Id="rId40" Type="http://schemas.openxmlformats.org/officeDocument/2006/relationships/hyperlink" Target="https://bulbapedia.bulbagarden.net/wiki/Trapinch_(Shining_Fates_40)" TargetMode="External"/><Relationship Id="rId45" Type="http://schemas.openxmlformats.org/officeDocument/2006/relationships/hyperlink" Target="https://bulbapedia.bulbagarden.net/wiki/Crobat_VMAX_(Shining_Fates_45)" TargetMode="External"/><Relationship Id="rId66" Type="http://schemas.openxmlformats.org/officeDocument/2006/relationships/hyperlink" Target="https://bulbapedia.bulbagarden.net/wiki/Bird_Keeper_(Shining_Fates_66)" TargetMode="External"/><Relationship Id="rId87" Type="http://schemas.openxmlformats.org/officeDocument/2006/relationships/hyperlink" Target="https://bulbapedia.bulbagarden.net/wiki/Appletun_(Shining_Fates_SV14)" TargetMode="External"/><Relationship Id="rId110" Type="http://schemas.openxmlformats.org/officeDocument/2006/relationships/hyperlink" Target="https://bulbapedia.bulbagarden.net/wiki/Arctovish_(Shining_Fates_SV37)" TargetMode="External"/><Relationship Id="rId115" Type="http://schemas.openxmlformats.org/officeDocument/2006/relationships/hyperlink" Target="https://bulbapedia.bulbagarden.net/wiki/Toxtricity_(Shining_Fates_SV42)" TargetMode="External"/><Relationship Id="rId131" Type="http://schemas.openxmlformats.org/officeDocument/2006/relationships/hyperlink" Target="https://bulbapedia.bulbagarden.net/wiki/Alcremie_(Shining_Fates_SV58)" TargetMode="External"/><Relationship Id="rId136" Type="http://schemas.openxmlformats.org/officeDocument/2006/relationships/hyperlink" Target="https://bulbapedia.bulbagarden.net/wiki/Galarian_Farfetch%27d_(Shining_Fates_SV63)" TargetMode="External"/><Relationship Id="rId157" Type="http://schemas.openxmlformats.org/officeDocument/2006/relationships/hyperlink" Target="https://bulbapedia.bulbagarden.net/wiki/Morgrem_(Shining_Fates_SV84)" TargetMode="External"/><Relationship Id="rId178" Type="http://schemas.openxmlformats.org/officeDocument/2006/relationships/hyperlink" Target="https://bulbapedia.bulbagarden.net/wiki/Rillaboom_V_(Shining_Fates_SV105)" TargetMode="External"/><Relationship Id="rId61" Type="http://schemas.openxmlformats.org/officeDocument/2006/relationships/hyperlink" Target="https://bulbapedia.bulbagarden.net/wiki/Rusted_Shield_(Shining_Fates_61)" TargetMode="External"/><Relationship Id="rId82" Type="http://schemas.openxmlformats.org/officeDocument/2006/relationships/hyperlink" Target="https://bulbapedia.bulbagarden.net/wiki/Orbeetle_(Shining_Fates_SV9)" TargetMode="External"/><Relationship Id="rId152" Type="http://schemas.openxmlformats.org/officeDocument/2006/relationships/hyperlink" Target="https://bulbapedia.bulbagarden.net/wiki/Galarian_Linoone_(Shining_Fates_SV79)" TargetMode="External"/><Relationship Id="rId173" Type="http://schemas.openxmlformats.org/officeDocument/2006/relationships/hyperlink" Target="https://bulbapedia.bulbagarden.net/wiki/Greedent_(Shining_Fates_SV100)" TargetMode="External"/><Relationship Id="rId194" Type="http://schemas.openxmlformats.org/officeDocument/2006/relationships/hyperlink" Target="https://bulbapedia.bulbagarden.net/wiki/Eternatus_V_(Shining_Fates_SV121)" TargetMode="External"/><Relationship Id="rId19" Type="http://schemas.openxmlformats.org/officeDocument/2006/relationships/hyperlink" Target="https://bulbapedia.bulbagarden.net/wiki/Cinderace_VMAX_(Shining_Fates_19)" TargetMode="External"/><Relationship Id="rId14" Type="http://schemas.openxmlformats.org/officeDocument/2006/relationships/hyperlink" Target="https://bulbapedia.bulbagarden.net/wiki/Gossifleur_(Shining_Fates_14)" TargetMode="External"/><Relationship Id="rId30" Type="http://schemas.openxmlformats.org/officeDocument/2006/relationships/hyperlink" Target="https://bulbapedia.bulbagarden.net/wiki/Frosmoth_(Shining_Fates_30)" TargetMode="External"/><Relationship Id="rId35" Type="http://schemas.openxmlformats.org/officeDocument/2006/relationships/hyperlink" Target="https://bulbapedia.bulbagarden.net/wiki/Morpeko_(Shining_Fates_35)" TargetMode="External"/><Relationship Id="rId56" Type="http://schemas.openxmlformats.org/officeDocument/2006/relationships/hyperlink" Target="https://bulbapedia.bulbagarden.net/wiki/Indeedee_(Shining_Fates_56)" TargetMode="External"/><Relationship Id="rId77" Type="http://schemas.openxmlformats.org/officeDocument/2006/relationships/hyperlink" Target="https://bulbapedia.bulbagarden.net/wiki/Grookey_(Shining_Fates_SV4)" TargetMode="External"/><Relationship Id="rId100" Type="http://schemas.openxmlformats.org/officeDocument/2006/relationships/hyperlink" Target="https://bulbapedia.bulbagarden.net/wiki/Inteleon_(Shining_Fates_SV27)" TargetMode="External"/><Relationship Id="rId105" Type="http://schemas.openxmlformats.org/officeDocument/2006/relationships/hyperlink" Target="https://bulbapedia.bulbagarden.net/wiki/Barraskewda_(Shining_Fates_SV32)" TargetMode="External"/><Relationship Id="rId126" Type="http://schemas.openxmlformats.org/officeDocument/2006/relationships/hyperlink" Target="https://bulbapedia.bulbagarden.net/wiki/Polteageist_(Shining_Fates_SV53)" TargetMode="External"/><Relationship Id="rId147" Type="http://schemas.openxmlformats.org/officeDocument/2006/relationships/hyperlink" Target="https://bulbapedia.bulbagarden.net/wiki/Falinks_(Shining_Fates_SV74)" TargetMode="External"/><Relationship Id="rId168" Type="http://schemas.openxmlformats.org/officeDocument/2006/relationships/hyperlink" Target="https://bulbapedia.bulbagarden.net/wiki/Ducklett_(Shining_Fates_SV95)" TargetMode="External"/><Relationship Id="rId8" Type="http://schemas.openxmlformats.org/officeDocument/2006/relationships/hyperlink" Target="https://bulbapedia.bulbagarden.net/wiki/Decidueye_(Shining_Fates_8)" TargetMode="External"/><Relationship Id="rId51" Type="http://schemas.openxmlformats.org/officeDocument/2006/relationships/hyperlink" Target="https://bulbapedia.bulbagarden.net/wiki/Ditto_VMAX_(Shining_Fates_51)" TargetMode="External"/><Relationship Id="rId72" Type="http://schemas.openxmlformats.org/officeDocument/2006/relationships/hyperlink" Target="https://bulbapedia.bulbagarden.net/wiki/Skyla_(Shining_Fates_72)" TargetMode="External"/><Relationship Id="rId93" Type="http://schemas.openxmlformats.org/officeDocument/2006/relationships/hyperlink" Target="https://bulbapedia.bulbagarden.net/wiki/Galarian_Mr._Mime_(Shining_Fates_SV20)" TargetMode="External"/><Relationship Id="rId98" Type="http://schemas.openxmlformats.org/officeDocument/2006/relationships/hyperlink" Target="https://bulbapedia.bulbagarden.net/wiki/Sobble_(Shining_Fates_SV25)" TargetMode="External"/><Relationship Id="rId121" Type="http://schemas.openxmlformats.org/officeDocument/2006/relationships/hyperlink" Target="https://bulbapedia.bulbagarden.net/wiki/Galarian_Rapidash_(Shining_Fates_SV48)" TargetMode="External"/><Relationship Id="rId142" Type="http://schemas.openxmlformats.org/officeDocument/2006/relationships/hyperlink" Target="https://bulbapedia.bulbagarden.net/wiki/Coalossal_(Shining_Fates_SV69)" TargetMode="External"/><Relationship Id="rId163" Type="http://schemas.openxmlformats.org/officeDocument/2006/relationships/hyperlink" Target="https://bulbapedia.bulbagarden.net/wiki/Cufant_(Shining_Fates_SV90)" TargetMode="External"/><Relationship Id="rId184" Type="http://schemas.openxmlformats.org/officeDocument/2006/relationships/hyperlink" Target="https://bulbapedia.bulbagarden.net/wiki/Lapras_VMAX_(Shining_Fates_SV111)" TargetMode="External"/><Relationship Id="rId189" Type="http://schemas.openxmlformats.org/officeDocument/2006/relationships/hyperlink" Target="https://bulbapedia.bulbagarden.net/wiki/Grimmsnarl_V_(Shining_Fates_SV116)" TargetMode="External"/><Relationship Id="rId3" Type="http://schemas.openxmlformats.org/officeDocument/2006/relationships/hyperlink" Target="https://bulbapedia.bulbagarden.net/wiki/Celebi_(Shining_Fates_3)" TargetMode="External"/><Relationship Id="rId25" Type="http://schemas.openxmlformats.org/officeDocument/2006/relationships/hyperlink" Target="https://bulbapedia.bulbagarden.net/wiki/Volcanion_(Shining_Fates_25)" TargetMode="External"/><Relationship Id="rId46" Type="http://schemas.openxmlformats.org/officeDocument/2006/relationships/hyperlink" Target="https://bulbapedia.bulbagarden.net/wiki/Yveltal_(Shining_Fates_46)" TargetMode="External"/><Relationship Id="rId67" Type="http://schemas.openxmlformats.org/officeDocument/2006/relationships/hyperlink" Target="https://bulbapedia.bulbagarden.net/wiki/Cara_Liss_(Shining_Fates_67)" TargetMode="External"/><Relationship Id="rId116" Type="http://schemas.openxmlformats.org/officeDocument/2006/relationships/hyperlink" Target="https://bulbapedia.bulbagarden.net/wiki/Pincurchin_(Shining_Fates_SV43)" TargetMode="External"/><Relationship Id="rId137" Type="http://schemas.openxmlformats.org/officeDocument/2006/relationships/hyperlink" Target="https://bulbapedia.bulbagarden.net/wiki/Galarian_Sirfetch%27d_(Shining_Fates_SV64)" TargetMode="External"/><Relationship Id="rId158" Type="http://schemas.openxmlformats.org/officeDocument/2006/relationships/hyperlink" Target="https://bulbapedia.bulbagarden.net/wiki/Grimmsnarl_(Shining_Fates_SV85)" TargetMode="External"/><Relationship Id="rId20" Type="http://schemas.openxmlformats.org/officeDocument/2006/relationships/hyperlink" Target="https://bulbapedia.bulbagarden.net/wiki/Horsea_(Shining_Fates_20)" TargetMode="External"/><Relationship Id="rId41" Type="http://schemas.openxmlformats.org/officeDocument/2006/relationships/hyperlink" Target="https://bulbapedia.bulbagarden.net/wiki/Koffing_(Shining_Fates_41)" TargetMode="External"/><Relationship Id="rId62" Type="http://schemas.openxmlformats.org/officeDocument/2006/relationships/hyperlink" Target="https://bulbapedia.bulbagarden.net/wiki/Rusted_Sword_(Shining_Fates_62)" TargetMode="External"/><Relationship Id="rId83" Type="http://schemas.openxmlformats.org/officeDocument/2006/relationships/hyperlink" Target="https://bulbapedia.bulbagarden.net/wiki/Gossifleur_(Shining_Fates_SV10)" TargetMode="External"/><Relationship Id="rId88" Type="http://schemas.openxmlformats.org/officeDocument/2006/relationships/hyperlink" Target="https://bulbapedia.bulbagarden.net/wiki/Scorbunny_(Shining_Fates_SV15)" TargetMode="External"/><Relationship Id="rId111" Type="http://schemas.openxmlformats.org/officeDocument/2006/relationships/hyperlink" Target="https://bulbapedia.bulbagarden.net/wiki/Rotom_(Shining_Fates_SV38)" TargetMode="External"/><Relationship Id="rId132" Type="http://schemas.openxmlformats.org/officeDocument/2006/relationships/hyperlink" Target="https://bulbapedia.bulbagarden.net/wiki/Indeedee_(Shining_Fates_SV59)" TargetMode="External"/><Relationship Id="rId153" Type="http://schemas.openxmlformats.org/officeDocument/2006/relationships/hyperlink" Target="https://bulbapedia.bulbagarden.net/wiki/Galarian_Obstagoon_(Shining_Fates_SV80)" TargetMode="External"/><Relationship Id="rId174" Type="http://schemas.openxmlformats.org/officeDocument/2006/relationships/hyperlink" Target="https://bulbapedia.bulbagarden.net/wiki/Rookidee_(Shining_Fates_SV101)" TargetMode="External"/><Relationship Id="rId179" Type="http://schemas.openxmlformats.org/officeDocument/2006/relationships/hyperlink" Target="https://bulbapedia.bulbagarden.net/wiki/Rillaboom_VMAX_(Shining_Fates_SV106)" TargetMode="External"/><Relationship Id="rId195" Type="http://schemas.openxmlformats.org/officeDocument/2006/relationships/hyperlink" Target="https://bulbapedia.bulbagarden.net/wiki/Eternatus_VMAX_(Shining_Fates_SV122)" TargetMode="External"/><Relationship Id="rId190" Type="http://schemas.openxmlformats.org/officeDocument/2006/relationships/hyperlink" Target="https://bulbapedia.bulbagarden.net/wiki/Grimmsnarl_VMAX_(Shining_Fates_SV117)" TargetMode="External"/><Relationship Id="rId15" Type="http://schemas.openxmlformats.org/officeDocument/2006/relationships/hyperlink" Target="https://bulbapedia.bulbagarden.net/wiki/Eldegoss_(Shining_Fates_15)" TargetMode="External"/><Relationship Id="rId36" Type="http://schemas.openxmlformats.org/officeDocument/2006/relationships/hyperlink" Target="https://bulbapedia.bulbagarden.net/wiki/Morpeko_(Shining_Fates_36)" TargetMode="External"/><Relationship Id="rId57" Type="http://schemas.openxmlformats.org/officeDocument/2006/relationships/hyperlink" Target="https://bulbapedia.bulbagarden.net/wiki/Ball_Guy_(Shining_Fates_57)" TargetMode="External"/><Relationship Id="rId106" Type="http://schemas.openxmlformats.org/officeDocument/2006/relationships/hyperlink" Target="https://bulbapedia.bulbagarden.net/wiki/Snom_(Shining_Fates_SV33)" TargetMode="External"/><Relationship Id="rId127" Type="http://schemas.openxmlformats.org/officeDocument/2006/relationships/hyperlink" Target="https://bulbapedia.bulbagarden.net/wiki/Hatenna_(Shining_Fates_SV54)" TargetMode="External"/><Relationship Id="rId10" Type="http://schemas.openxmlformats.org/officeDocument/2006/relationships/hyperlink" Target="https://bulbapedia.bulbagarden.net/wiki/Dhelmise_VMAX_(Shining_Fates_10)" TargetMode="External"/><Relationship Id="rId31" Type="http://schemas.openxmlformats.org/officeDocument/2006/relationships/hyperlink" Target="https://bulbapedia.bulbagarden.net/wiki/Shinx_(Shining_Fates_31)" TargetMode="External"/><Relationship Id="rId52" Type="http://schemas.openxmlformats.org/officeDocument/2006/relationships/hyperlink" Target="https://bulbapedia.bulbagarden.net/wiki/Eevee_(Shining_Fates_52)" TargetMode="External"/><Relationship Id="rId73" Type="http://schemas.openxmlformats.org/officeDocument/2006/relationships/hyperlink" Target="https://bulbapedia.bulbagarden.net/wiki/Alcremie_VMAX_(Shining_Fates_73)" TargetMode="External"/><Relationship Id="rId78" Type="http://schemas.openxmlformats.org/officeDocument/2006/relationships/hyperlink" Target="https://bulbapedia.bulbagarden.net/wiki/Thwackey_(Shining_Fates_SV5)" TargetMode="External"/><Relationship Id="rId94" Type="http://schemas.openxmlformats.org/officeDocument/2006/relationships/hyperlink" Target="https://bulbapedia.bulbagarden.net/wiki/Galarian_Mr._Rime_(Shining_Fates_SV21)" TargetMode="External"/><Relationship Id="rId99" Type="http://schemas.openxmlformats.org/officeDocument/2006/relationships/hyperlink" Target="https://bulbapedia.bulbagarden.net/wiki/Drizzile_(Shining_Fates_SV26)" TargetMode="External"/><Relationship Id="rId101" Type="http://schemas.openxmlformats.org/officeDocument/2006/relationships/hyperlink" Target="https://bulbapedia.bulbagarden.net/wiki/Chewtle_(Shining_Fates_SV28)" TargetMode="External"/><Relationship Id="rId122" Type="http://schemas.openxmlformats.org/officeDocument/2006/relationships/hyperlink" Target="https://bulbapedia.bulbagarden.net/wiki/Galarian_Corsola_(Shining_Fates_SV49)" TargetMode="External"/><Relationship Id="rId143" Type="http://schemas.openxmlformats.org/officeDocument/2006/relationships/hyperlink" Target="https://bulbapedia.bulbagarden.net/wiki/Silicobra_(Shining_Fates_SV70)" TargetMode="External"/><Relationship Id="rId148" Type="http://schemas.openxmlformats.org/officeDocument/2006/relationships/hyperlink" Target="https://bulbapedia.bulbagarden.net/wiki/Stonjourner_(Shining_Fates_SV75)" TargetMode="External"/><Relationship Id="rId164" Type="http://schemas.openxmlformats.org/officeDocument/2006/relationships/hyperlink" Target="https://bulbapedia.bulbagarden.net/wiki/Copperajah_(Shining_Fates_SV91)" TargetMode="External"/><Relationship Id="rId169" Type="http://schemas.openxmlformats.org/officeDocument/2006/relationships/hyperlink" Target="https://bulbapedia.bulbagarden.net/wiki/Swanna_(Shining_Fates_SV96)" TargetMode="External"/><Relationship Id="rId185" Type="http://schemas.openxmlformats.org/officeDocument/2006/relationships/hyperlink" Target="https://bulbapedia.bulbagarden.net/wiki/Toxtricity_V_(Shining_Fates_SV112)" TargetMode="External"/><Relationship Id="rId4" Type="http://schemas.openxmlformats.org/officeDocument/2006/relationships/hyperlink" Target="https://bulbapedia.bulbagarden.net/wiki/Cacnea_(Shining_Fates_4)" TargetMode="External"/><Relationship Id="rId9" Type="http://schemas.openxmlformats.org/officeDocument/2006/relationships/hyperlink" Target="https://bulbapedia.bulbagarden.net/wiki/Dhelmise_V_(Shining_Fates_9)" TargetMode="External"/><Relationship Id="rId180" Type="http://schemas.openxmlformats.org/officeDocument/2006/relationships/hyperlink" Target="https://bulbapedia.bulbagarden.net/wiki/Charizard_VMAX_(Shining_Fates_SV107)" TargetMode="External"/><Relationship Id="rId26" Type="http://schemas.openxmlformats.org/officeDocument/2006/relationships/hyperlink" Target="https://bulbapedia.bulbagarden.net/wiki/Chewtle_(Shining_Fates_26)" TargetMode="External"/><Relationship Id="rId47" Type="http://schemas.openxmlformats.org/officeDocument/2006/relationships/hyperlink" Target="https://bulbapedia.bulbagarden.net/wiki/Nickit_(Shining_Fates_47)" TargetMode="External"/><Relationship Id="rId68" Type="http://schemas.openxmlformats.org/officeDocument/2006/relationships/hyperlink" Target="https://bulbapedia.bulbagarden.net/wiki/Gym_Trainer_(Shining_Fates_68)" TargetMode="External"/><Relationship Id="rId89" Type="http://schemas.openxmlformats.org/officeDocument/2006/relationships/hyperlink" Target="https://bulbapedia.bulbagarden.net/wiki/Raboot_(Shining_Fates_SV16)" TargetMode="External"/><Relationship Id="rId112" Type="http://schemas.openxmlformats.org/officeDocument/2006/relationships/hyperlink" Target="https://bulbapedia.bulbagarden.net/wiki/Yamper_(Shining_Fates_SV39)" TargetMode="External"/><Relationship Id="rId133" Type="http://schemas.openxmlformats.org/officeDocument/2006/relationships/hyperlink" Target="https://bulbapedia.bulbagarden.net/wiki/Dreepy_(Shining_Fates_SV60)" TargetMode="External"/><Relationship Id="rId154" Type="http://schemas.openxmlformats.org/officeDocument/2006/relationships/hyperlink" Target="https://bulbapedia.bulbagarden.net/wiki/Nickit_(Shining_Fates_SV81)" TargetMode="External"/><Relationship Id="rId175" Type="http://schemas.openxmlformats.org/officeDocument/2006/relationships/hyperlink" Target="https://bulbapedia.bulbagarden.net/wiki/Corvisquire_(Shining_Fates_SV102)" TargetMode="External"/><Relationship Id="rId16" Type="http://schemas.openxmlformats.org/officeDocument/2006/relationships/hyperlink" Target="https://bulbapedia.bulbagarden.net/wiki/Zarude_(Shining_Fates_16)" TargetMode="External"/><Relationship Id="rId37" Type="http://schemas.openxmlformats.org/officeDocument/2006/relationships/hyperlink" Target="https://bulbapedia.bulbagarden.net/wiki/Morpeko_V_(Shining_Fates_37)" TargetMode="External"/><Relationship Id="rId58" Type="http://schemas.openxmlformats.org/officeDocument/2006/relationships/hyperlink" Target="https://bulbapedia.bulbagarden.net/wiki/Boss%27s_Orders_(Shining_Fates_58)" TargetMode="External"/><Relationship Id="rId79" Type="http://schemas.openxmlformats.org/officeDocument/2006/relationships/hyperlink" Target="https://bulbapedia.bulbagarden.net/wiki/Rillaboom_(Shining_Fates_SV6)" TargetMode="External"/><Relationship Id="rId102" Type="http://schemas.openxmlformats.org/officeDocument/2006/relationships/hyperlink" Target="https://bulbapedia.bulbagarden.net/wiki/Drednaw_(Shining_Fates_SV29)" TargetMode="External"/><Relationship Id="rId123" Type="http://schemas.openxmlformats.org/officeDocument/2006/relationships/hyperlink" Target="https://bulbapedia.bulbagarden.net/wiki/Galarian_Cursola_(Shining_Fates_SV50)" TargetMode="External"/><Relationship Id="rId144" Type="http://schemas.openxmlformats.org/officeDocument/2006/relationships/hyperlink" Target="https://bulbapedia.bulbagarden.net/wiki/Sandaconda_(Shining_Fates_SV71)" TargetMode="External"/><Relationship Id="rId90" Type="http://schemas.openxmlformats.org/officeDocument/2006/relationships/hyperlink" Target="https://bulbapedia.bulbagarden.net/wiki/Cinderace_(Shining_Fates_SV17)" TargetMode="External"/><Relationship Id="rId165" Type="http://schemas.openxmlformats.org/officeDocument/2006/relationships/hyperlink" Target="https://bulbapedia.bulbagarden.net/wiki/Duraludon_(Shining_Fates_SV92)" TargetMode="External"/><Relationship Id="rId186" Type="http://schemas.openxmlformats.org/officeDocument/2006/relationships/hyperlink" Target="https://bulbapedia.bulbagarden.net/wiki/Toxtricity_VMAX_(Shining_Fates_SV113)" TargetMode="External"/><Relationship Id="rId27" Type="http://schemas.openxmlformats.org/officeDocument/2006/relationships/hyperlink" Target="https://bulbapedia.bulbagarden.net/wiki/Drednaw_(Shining_Fates_27)" TargetMode="External"/><Relationship Id="rId48" Type="http://schemas.openxmlformats.org/officeDocument/2006/relationships/hyperlink" Target="https://bulbapedia.bulbagarden.net/wiki/Thievul_(Shining_Fates_48)" TargetMode="External"/><Relationship Id="rId69" Type="http://schemas.openxmlformats.org/officeDocument/2006/relationships/hyperlink" Target="https://bulbapedia.bulbagarden.net/wiki/Piers_(Shining_Fates_69)" TargetMode="External"/><Relationship Id="rId113" Type="http://schemas.openxmlformats.org/officeDocument/2006/relationships/hyperlink" Target="https://bulbapedia.bulbagarden.net/wiki/Boltund_(Shining_Fates_SV40)" TargetMode="External"/><Relationship Id="rId134" Type="http://schemas.openxmlformats.org/officeDocument/2006/relationships/hyperlink" Target="https://bulbapedia.bulbagarden.net/wiki/Drakloak_(Shining_Fates_SV61)" TargetMode="External"/><Relationship Id="rId80" Type="http://schemas.openxmlformats.org/officeDocument/2006/relationships/hyperlink" Target="https://bulbapedia.bulbagarden.net/wiki/Blipbug_(Shining_Fates_SV7)" TargetMode="External"/><Relationship Id="rId155" Type="http://schemas.openxmlformats.org/officeDocument/2006/relationships/hyperlink" Target="https://bulbapedia.bulbagarden.net/wiki/Thievul_(Shining_Fates_SV82)" TargetMode="External"/><Relationship Id="rId176" Type="http://schemas.openxmlformats.org/officeDocument/2006/relationships/hyperlink" Target="https://bulbapedia.bulbagarden.net/wiki/Wooloo_(Shining_Fates_SV103)" TargetMode="External"/><Relationship Id="rId17" Type="http://schemas.openxmlformats.org/officeDocument/2006/relationships/hyperlink" Target="https://bulbapedia.bulbagarden.net/wiki/Reshiram_(Shining_Fates_17)" TargetMode="External"/><Relationship Id="rId38" Type="http://schemas.openxmlformats.org/officeDocument/2006/relationships/hyperlink" Target="https://bulbapedia.bulbagarden.net/wiki/Morpeko_VMAX_(Shining_Fates_38)" TargetMode="External"/><Relationship Id="rId59" Type="http://schemas.openxmlformats.org/officeDocument/2006/relationships/hyperlink" Target="https://bulbapedia.bulbagarden.net/wiki/Gym_Trainer_(Shining_Fates_59)" TargetMode="External"/><Relationship Id="rId103" Type="http://schemas.openxmlformats.org/officeDocument/2006/relationships/hyperlink" Target="https://bulbapedia.bulbagarden.net/wiki/Cramorant_(Shining_Fates_SV30)" TargetMode="External"/><Relationship Id="rId124" Type="http://schemas.openxmlformats.org/officeDocument/2006/relationships/hyperlink" Target="https://bulbapedia.bulbagarden.net/wiki/Dedenne_(Shining_Fates_SV51)" TargetMode="External"/><Relationship Id="rId70" Type="http://schemas.openxmlformats.org/officeDocument/2006/relationships/hyperlink" Target="https://bulbapedia.bulbagarden.net/wiki/Pok%C3%A9_Kid_(Shining_Fates_70)" TargetMode="External"/><Relationship Id="rId91" Type="http://schemas.openxmlformats.org/officeDocument/2006/relationships/hyperlink" Target="https://bulbapedia.bulbagarden.net/wiki/Sizzlipede_(Shining_Fates_SV18)" TargetMode="External"/><Relationship Id="rId145" Type="http://schemas.openxmlformats.org/officeDocument/2006/relationships/hyperlink" Target="https://bulbapedia.bulbagarden.net/wiki/Clobbopus_(Shining_Fates_SV72)" TargetMode="External"/><Relationship Id="rId166" Type="http://schemas.openxmlformats.org/officeDocument/2006/relationships/hyperlink" Target="https://bulbapedia.bulbagarden.net/wiki/Minccino_(Shining_Fates_SV93)" TargetMode="External"/><Relationship Id="rId187" Type="http://schemas.openxmlformats.org/officeDocument/2006/relationships/hyperlink" Target="https://bulbapedia.bulbagarden.net/wiki/Indeedee_V_(Shining_Fates_SV114)" TargetMode="External"/><Relationship Id="rId1" Type="http://schemas.openxmlformats.org/officeDocument/2006/relationships/hyperlink" Target="https://bulbapedia.bulbagarden.net/wiki/Yanma_(Shining_Fates_1)" TargetMode="External"/><Relationship Id="rId28" Type="http://schemas.openxmlformats.org/officeDocument/2006/relationships/hyperlink" Target="https://bulbapedia.bulbagarden.net/wiki/Cramorant_(Shining_Fates_28)" TargetMode="External"/><Relationship Id="rId49" Type="http://schemas.openxmlformats.org/officeDocument/2006/relationships/hyperlink" Target="https://bulbapedia.bulbagarden.net/wiki/Cufant_(Shining_Fates_49)" TargetMode="External"/><Relationship Id="rId114" Type="http://schemas.openxmlformats.org/officeDocument/2006/relationships/hyperlink" Target="https://bulbapedia.bulbagarden.net/wiki/Toxel_(Shining_Fates_SV41)" TargetMode="External"/><Relationship Id="rId60" Type="http://schemas.openxmlformats.org/officeDocument/2006/relationships/hyperlink" Target="https://bulbapedia.bulbagarden.net/wiki/Professor%27s_Research_(Shining_Fates_60)" TargetMode="External"/><Relationship Id="rId81" Type="http://schemas.openxmlformats.org/officeDocument/2006/relationships/hyperlink" Target="https://bulbapedia.bulbagarden.net/wiki/Dottler_(Shining_Fates_SV8)" TargetMode="External"/><Relationship Id="rId135" Type="http://schemas.openxmlformats.org/officeDocument/2006/relationships/hyperlink" Target="https://bulbapedia.bulbagarden.net/wiki/Dragapult_(Shining_Fates_SV62)" TargetMode="External"/><Relationship Id="rId156" Type="http://schemas.openxmlformats.org/officeDocument/2006/relationships/hyperlink" Target="https://bulbapedia.bulbagarden.net/wiki/Impidimp_(Shining_Fates_SV83)" TargetMode="External"/><Relationship Id="rId177" Type="http://schemas.openxmlformats.org/officeDocument/2006/relationships/hyperlink" Target="https://bulbapedia.bulbagarden.net/wiki/Dubwool_(Shining_Fates_SV104)" TargetMode="External"/><Relationship Id="rId18" Type="http://schemas.openxmlformats.org/officeDocument/2006/relationships/hyperlink" Target="https://bulbapedia.bulbagarden.net/wiki/Cinderace_V_(Shining_Fates_18)" TargetMode="External"/><Relationship Id="rId39" Type="http://schemas.openxmlformats.org/officeDocument/2006/relationships/hyperlink" Target="https://bulbapedia.bulbagarden.net/wiki/Indeedee_V_(Shining_Fates_39)" TargetMode="External"/></Relationships>
</file>

<file path=xl/worksheets/_rels/sheet91.xml.rels><?xml version="1.0" encoding="UTF-8" standalone="yes"?>
<Relationships xmlns="http://schemas.openxmlformats.org/package/2006/relationships"><Relationship Id="rId117" Type="http://schemas.openxmlformats.org/officeDocument/2006/relationships/hyperlink" Target="https://bulbapedia.bulbagarden.net/wiki/Stoutland_V_(Battle_Styles_117)" TargetMode="External"/><Relationship Id="rId21" Type="http://schemas.openxmlformats.org/officeDocument/2006/relationships/hyperlink" Target="https://bulbapedia.bulbagarden.net/wiki/Victini_V_(Battle_Styles_21)" TargetMode="External"/><Relationship Id="rId42" Type="http://schemas.openxmlformats.org/officeDocument/2006/relationships/hyperlink" Target="https://bulbapedia.bulbagarden.net/wiki/Jellicent_(Battle_Styles_42)" TargetMode="External"/><Relationship Id="rId63" Type="http://schemas.openxmlformats.org/officeDocument/2006/relationships/hyperlink" Target="https://bulbapedia.bulbagarden.net/wiki/Necrozma_V_(Battle_Styles_63)" TargetMode="External"/><Relationship Id="rId84" Type="http://schemas.openxmlformats.org/officeDocument/2006/relationships/hyperlink" Target="https://bulbapedia.bulbagarden.net/wiki/Stonjourner_(Battle_Styles_84)" TargetMode="External"/><Relationship Id="rId138" Type="http://schemas.openxmlformats.org/officeDocument/2006/relationships/hyperlink" Target="https://bulbapedia.bulbagarden.net/wiki/Tower_of_Waters_(Battle_Styles_138)" TargetMode="External"/><Relationship Id="rId159" Type="http://schemas.openxmlformats.org/officeDocument/2006/relationships/hyperlink" Target="https://bulbapedia.bulbagarden.net/wiki/Cheryl_(Battle_Styles_159)" TargetMode="External"/><Relationship Id="rId170" Type="http://schemas.openxmlformats.org/officeDocument/2006/relationships/hyperlink" Target="https://bulbapedia.bulbagarden.net/wiki/Rapid_Strike_Urshifu_VMAX_(Battle_Styles_170)" TargetMode="External"/><Relationship Id="rId107" Type="http://schemas.openxmlformats.org/officeDocument/2006/relationships/hyperlink" Target="https://bulbapedia.bulbagarden.net/wiki/Aegislash_(Battle_Styles_107)" TargetMode="External"/><Relationship Id="rId11" Type="http://schemas.openxmlformats.org/officeDocument/2006/relationships/hyperlink" Target="https://bulbapedia.bulbagarden.net/wiki/Scatterbug_(Battle_Styles_11)" TargetMode="External"/><Relationship Id="rId32" Type="http://schemas.openxmlformats.org/officeDocument/2006/relationships/hyperlink" Target="https://bulbapedia.bulbagarden.net/wiki/Seadra_(Battle_Styles_32)" TargetMode="External"/><Relationship Id="rId53" Type="http://schemas.openxmlformats.org/officeDocument/2006/relationships/hyperlink" Target="https://bulbapedia.bulbagarden.net/wiki/Boltund_(Battle_Styles_53)" TargetMode="External"/><Relationship Id="rId74" Type="http://schemas.openxmlformats.org/officeDocument/2006/relationships/hyperlink" Target="https://bulbapedia.bulbagarden.net/wiki/Gurdurr_(Battle_Styles_74)" TargetMode="External"/><Relationship Id="rId128" Type="http://schemas.openxmlformats.org/officeDocument/2006/relationships/hyperlink" Target="https://bulbapedia.bulbagarden.net/wiki/Korrina%27s_Focus_(Battle_Styles_128)" TargetMode="External"/><Relationship Id="rId149" Type="http://schemas.openxmlformats.org/officeDocument/2006/relationships/hyperlink" Target="https://bulbapedia.bulbagarden.net/wiki/Necrozma_V_(Battle_Styles_149)" TargetMode="External"/><Relationship Id="rId5" Type="http://schemas.openxmlformats.org/officeDocument/2006/relationships/hyperlink" Target="https://bulbapedia.bulbagarden.net/wiki/Cacturne_(Battle_Styles_5)" TargetMode="External"/><Relationship Id="rId95" Type="http://schemas.openxmlformats.org/officeDocument/2006/relationships/hyperlink" Target="https://bulbapedia.bulbagarden.net/wiki/Houndour_(Battle_Styles_95)" TargetMode="External"/><Relationship Id="rId160" Type="http://schemas.openxmlformats.org/officeDocument/2006/relationships/hyperlink" Target="https://bulbapedia.bulbagarden.net/wiki/Korrina%27s_Focus_(Battle_Styles_160)" TargetMode="External"/><Relationship Id="rId181" Type="http://schemas.openxmlformats.org/officeDocument/2006/relationships/hyperlink" Target="https://bulbapedia.bulbagarden.net/wiki/Level_Ball_(Battle_Styles_181)" TargetMode="External"/><Relationship Id="rId22" Type="http://schemas.openxmlformats.org/officeDocument/2006/relationships/hyperlink" Target="https://bulbapedia.bulbagarden.net/wiki/Victini_VMAX_(Battle_Styles_22)" TargetMode="External"/><Relationship Id="rId43" Type="http://schemas.openxmlformats.org/officeDocument/2006/relationships/hyperlink" Target="https://bulbapedia.bulbagarden.net/wiki/Bruxish_(Battle_Styles_43)" TargetMode="External"/><Relationship Id="rId64" Type="http://schemas.openxmlformats.org/officeDocument/2006/relationships/hyperlink" Target="https://bulbapedia.bulbagarden.net/wiki/Dottler_(Battle_Styles_64)" TargetMode="External"/><Relationship Id="rId118" Type="http://schemas.openxmlformats.org/officeDocument/2006/relationships/hyperlink" Target="https://bulbapedia.bulbagarden.net/wiki/Bouffalant_(Battle_Styles_118)" TargetMode="External"/><Relationship Id="rId139" Type="http://schemas.openxmlformats.org/officeDocument/2006/relationships/hyperlink" Target="https://bulbapedia.bulbagarden.net/wiki/Urn_of_Vitality_(Battle_Styles_139)" TargetMode="External"/><Relationship Id="rId85" Type="http://schemas.openxmlformats.org/officeDocument/2006/relationships/hyperlink" Target="https://bulbapedia.bulbagarden.net/wiki/Single_Strike_Urshifu_V_(Battle_Styles_85)" TargetMode="External"/><Relationship Id="rId150" Type="http://schemas.openxmlformats.org/officeDocument/2006/relationships/hyperlink" Target="https://bulbapedia.bulbagarden.net/wiki/Single_Strike_Urshifu_V_(Battle_Styles_150)" TargetMode="External"/><Relationship Id="rId171" Type="http://schemas.openxmlformats.org/officeDocument/2006/relationships/hyperlink" Target="https://bulbapedia.bulbagarden.net/wiki/Corviknight_VMAX_(Battle_Styles_171)" TargetMode="External"/><Relationship Id="rId12" Type="http://schemas.openxmlformats.org/officeDocument/2006/relationships/hyperlink" Target="https://bulbapedia.bulbagarden.net/wiki/Spewpa_(Battle_Styles_12)" TargetMode="External"/><Relationship Id="rId33" Type="http://schemas.openxmlformats.org/officeDocument/2006/relationships/hyperlink" Target="https://bulbapedia.bulbagarden.net/wiki/Kingdra_(Battle_Styles_33)" TargetMode="External"/><Relationship Id="rId108" Type="http://schemas.openxmlformats.org/officeDocument/2006/relationships/hyperlink" Target="https://bulbapedia.bulbagarden.net/wiki/Aegislash_(Battle_Styles_108)" TargetMode="External"/><Relationship Id="rId129" Type="http://schemas.openxmlformats.org/officeDocument/2006/relationships/hyperlink" Target="https://bulbapedia.bulbagarden.net/wiki/Level_Ball_(Battle_Styles_129)" TargetMode="External"/><Relationship Id="rId54" Type="http://schemas.openxmlformats.org/officeDocument/2006/relationships/hyperlink" Target="https://bulbapedia.bulbagarden.net/wiki/Galarian_Slowpoke_(Battle_Styles_54)" TargetMode="External"/><Relationship Id="rId75" Type="http://schemas.openxmlformats.org/officeDocument/2006/relationships/hyperlink" Target="https://bulbapedia.bulbagarden.net/wiki/Conkeldurr_(Battle_Styles_75)" TargetMode="External"/><Relationship Id="rId96" Type="http://schemas.openxmlformats.org/officeDocument/2006/relationships/hyperlink" Target="https://bulbapedia.bulbagarden.net/wiki/Houndoom_(Battle_Styles_96)" TargetMode="External"/><Relationship Id="rId140" Type="http://schemas.openxmlformats.org/officeDocument/2006/relationships/hyperlink" Target="https://bulbapedia.bulbagarden.net/wiki/Rapid_Strike_Energy_(Battle_Styles_140)" TargetMode="External"/><Relationship Id="rId161" Type="http://schemas.openxmlformats.org/officeDocument/2006/relationships/hyperlink" Target="https://bulbapedia.bulbagarden.net/wiki/Phoebe_(Battle_Styles_161)" TargetMode="External"/><Relationship Id="rId182" Type="http://schemas.openxmlformats.org/officeDocument/2006/relationships/hyperlink" Target="https://bulbapedia.bulbagarden.net/wiki/Rapid_Strike_Energy_(Battle_Styles_182)" TargetMode="External"/><Relationship Id="rId6" Type="http://schemas.openxmlformats.org/officeDocument/2006/relationships/hyperlink" Target="https://bulbapedia.bulbagarden.net/wiki/Kricketune_V_(Battle_Styles_6)" TargetMode="External"/><Relationship Id="rId23" Type="http://schemas.openxmlformats.org/officeDocument/2006/relationships/hyperlink" Target="https://bulbapedia.bulbagarden.net/wiki/Tepig_(Battle_Styles_23)" TargetMode="External"/><Relationship Id="rId119" Type="http://schemas.openxmlformats.org/officeDocument/2006/relationships/hyperlink" Target="https://bulbapedia.bulbagarden.net/wiki/Drampa_(Battle_Styles_119)" TargetMode="External"/><Relationship Id="rId44" Type="http://schemas.openxmlformats.org/officeDocument/2006/relationships/hyperlink" Target="https://bulbapedia.bulbagarden.net/wiki/Electabuzz_(Battle_Styles_44)" TargetMode="External"/><Relationship Id="rId60" Type="http://schemas.openxmlformats.org/officeDocument/2006/relationships/hyperlink" Target="https://bulbapedia.bulbagarden.net/wiki/Espurr_(Battle_Styles_60)" TargetMode="External"/><Relationship Id="rId65" Type="http://schemas.openxmlformats.org/officeDocument/2006/relationships/hyperlink" Target="https://bulbapedia.bulbagarden.net/wiki/Orbeetle_(Battle_Styles_65)" TargetMode="External"/><Relationship Id="rId81" Type="http://schemas.openxmlformats.org/officeDocument/2006/relationships/hyperlink" Target="https://bulbapedia.bulbagarden.net/wiki/Silicobra_(Battle_Styles_81)" TargetMode="External"/><Relationship Id="rId86" Type="http://schemas.openxmlformats.org/officeDocument/2006/relationships/hyperlink" Target="https://bulbapedia.bulbagarden.net/wiki/Single_Strike_Urshifu_VMAX_(Battle_Styles_86)" TargetMode="External"/><Relationship Id="rId130" Type="http://schemas.openxmlformats.org/officeDocument/2006/relationships/hyperlink" Target="https://bulbapedia.bulbagarden.net/wiki/Phoebe_(Battle_Styles_130)" TargetMode="External"/><Relationship Id="rId135" Type="http://schemas.openxmlformats.org/officeDocument/2006/relationships/hyperlink" Target="https://bulbapedia.bulbagarden.net/wiki/Sordward_and_Shielbert_(Battle_Styles_135)" TargetMode="External"/><Relationship Id="rId151" Type="http://schemas.openxmlformats.org/officeDocument/2006/relationships/hyperlink" Target="https://bulbapedia.bulbagarden.net/wiki/Single_Strike_Urshifu_V_(Battle_Styles_151)" TargetMode="External"/><Relationship Id="rId156" Type="http://schemas.openxmlformats.org/officeDocument/2006/relationships/hyperlink" Target="https://bulbapedia.bulbagarden.net/wiki/Corviknight_V_(Battle_Styles_156)" TargetMode="External"/><Relationship Id="rId177" Type="http://schemas.openxmlformats.org/officeDocument/2006/relationships/hyperlink" Target="https://bulbapedia.bulbagarden.net/wiki/Single_Strike_Style_Mustard_(Battle_Styles_177)" TargetMode="External"/><Relationship Id="rId172" Type="http://schemas.openxmlformats.org/officeDocument/2006/relationships/hyperlink" Target="https://bulbapedia.bulbagarden.net/wiki/Bruno_(Battle_Styles_172)" TargetMode="External"/><Relationship Id="rId13" Type="http://schemas.openxmlformats.org/officeDocument/2006/relationships/hyperlink" Target="https://bulbapedia.bulbagarden.net/wiki/Vivillon_(Battle_Styles_13)" TargetMode="External"/><Relationship Id="rId18" Type="http://schemas.openxmlformats.org/officeDocument/2006/relationships/hyperlink" Target="https://bulbapedia.bulbagarden.net/wiki/Flapple_V_(Battle_Styles_18)" TargetMode="External"/><Relationship Id="rId39" Type="http://schemas.openxmlformats.org/officeDocument/2006/relationships/hyperlink" Target="https://bulbapedia.bulbagarden.net/wiki/Crawdaunt_(Battle_Styles_39)" TargetMode="External"/><Relationship Id="rId109" Type="http://schemas.openxmlformats.org/officeDocument/2006/relationships/hyperlink" Target="https://bulbapedia.bulbagarden.net/wiki/Corviknight_V_(Battle_Styles_109)" TargetMode="External"/><Relationship Id="rId34" Type="http://schemas.openxmlformats.org/officeDocument/2006/relationships/hyperlink" Target="https://bulbapedia.bulbagarden.net/wiki/Galarian_Mr._Mime_(Battle_Styles_34)" TargetMode="External"/><Relationship Id="rId50" Type="http://schemas.openxmlformats.org/officeDocument/2006/relationships/hyperlink" Target="https://bulbapedia.bulbagarden.net/wiki/Tapu_Koko_V_(Battle_Styles_50)" TargetMode="External"/><Relationship Id="rId55" Type="http://schemas.openxmlformats.org/officeDocument/2006/relationships/hyperlink" Target="https://bulbapedia.bulbagarden.net/wiki/Spoink_(Battle_Styles_55)" TargetMode="External"/><Relationship Id="rId76" Type="http://schemas.openxmlformats.org/officeDocument/2006/relationships/hyperlink" Target="https://bulbapedia.bulbagarden.net/wiki/Mienfoo_(Battle_Styles_76)" TargetMode="External"/><Relationship Id="rId97" Type="http://schemas.openxmlformats.org/officeDocument/2006/relationships/hyperlink" Target="https://bulbapedia.bulbagarden.net/wiki/Tyranitar_V_(Battle_Styles_97)" TargetMode="External"/><Relationship Id="rId104" Type="http://schemas.openxmlformats.org/officeDocument/2006/relationships/hyperlink" Target="https://bulbapedia.bulbagarden.net/wiki/Bisharp_(Battle_Styles_104)" TargetMode="External"/><Relationship Id="rId120" Type="http://schemas.openxmlformats.org/officeDocument/2006/relationships/hyperlink" Target="https://bulbapedia.bulbagarden.net/wiki/Indeedee_(Battle_Styles_120)" TargetMode="External"/><Relationship Id="rId125" Type="http://schemas.openxmlformats.org/officeDocument/2006/relationships/hyperlink" Target="https://bulbapedia.bulbagarden.net/wiki/Escape_Rope_(Battle_Styles_125)" TargetMode="External"/><Relationship Id="rId141" Type="http://schemas.openxmlformats.org/officeDocument/2006/relationships/hyperlink" Target="https://bulbapedia.bulbagarden.net/wiki/Single_Strike_Energy_(Battle_Styles_141)" TargetMode="External"/><Relationship Id="rId146" Type="http://schemas.openxmlformats.org/officeDocument/2006/relationships/hyperlink" Target="https://bulbapedia.bulbagarden.net/wiki/Empoleon_V_(Battle_Styles_146)" TargetMode="External"/><Relationship Id="rId167" Type="http://schemas.openxmlformats.org/officeDocument/2006/relationships/hyperlink" Target="https://bulbapedia.bulbagarden.net/wiki/Single_Strike_Urshifu_VMAX_(Battle_Styles_167)" TargetMode="External"/><Relationship Id="rId7" Type="http://schemas.openxmlformats.org/officeDocument/2006/relationships/hyperlink" Target="https://bulbapedia.bulbagarden.net/wiki/Cherubi_(Battle_Styles_7)" TargetMode="External"/><Relationship Id="rId71" Type="http://schemas.openxmlformats.org/officeDocument/2006/relationships/hyperlink" Target="https://bulbapedia.bulbagarden.net/wiki/Gligar_(Battle_Styles_71)" TargetMode="External"/><Relationship Id="rId92" Type="http://schemas.openxmlformats.org/officeDocument/2006/relationships/hyperlink" Target="https://bulbapedia.bulbagarden.net/wiki/Galarian_Slowbro_(Battle_Styles_92)" TargetMode="External"/><Relationship Id="rId162" Type="http://schemas.openxmlformats.org/officeDocument/2006/relationships/hyperlink" Target="https://bulbapedia.bulbagarden.net/wiki/Rapid_Strike_Style_Mustard_(Battle_Styles_162)" TargetMode="External"/><Relationship Id="rId183" Type="http://schemas.openxmlformats.org/officeDocument/2006/relationships/hyperlink" Target="https://bulbapedia.bulbagarden.net/wiki/Single_Strike_Energy_(Battle_Styles_183)" TargetMode="External"/><Relationship Id="rId2" Type="http://schemas.openxmlformats.org/officeDocument/2006/relationships/hyperlink" Target="https://bulbapedia.bulbagarden.net/wiki/Weepinbell_(Battle_Styles_2)" TargetMode="External"/><Relationship Id="rId29" Type="http://schemas.openxmlformats.org/officeDocument/2006/relationships/hyperlink" Target="https://bulbapedia.bulbagarden.net/wiki/Sizzlipede_(Battle_Styles_29)" TargetMode="External"/><Relationship Id="rId24" Type="http://schemas.openxmlformats.org/officeDocument/2006/relationships/hyperlink" Target="https://bulbapedia.bulbagarden.net/wiki/Pignite_(Battle_Styles_24)" TargetMode="External"/><Relationship Id="rId40" Type="http://schemas.openxmlformats.org/officeDocument/2006/relationships/hyperlink" Target="https://bulbapedia.bulbagarden.net/wiki/Empoleon_V_(Battle_Styles_40)" TargetMode="External"/><Relationship Id="rId45" Type="http://schemas.openxmlformats.org/officeDocument/2006/relationships/hyperlink" Target="https://bulbapedia.bulbagarden.net/wiki/Electivire_(Battle_Styles_45)" TargetMode="External"/><Relationship Id="rId66" Type="http://schemas.openxmlformats.org/officeDocument/2006/relationships/hyperlink" Target="https://bulbapedia.bulbagarden.net/wiki/Mankey_(Battle_Styles_66)" TargetMode="External"/><Relationship Id="rId87" Type="http://schemas.openxmlformats.org/officeDocument/2006/relationships/hyperlink" Target="https://bulbapedia.bulbagarden.net/wiki/Rapid_Strike_Urshifu_V_(Battle_Styles_87)" TargetMode="External"/><Relationship Id="rId110" Type="http://schemas.openxmlformats.org/officeDocument/2006/relationships/hyperlink" Target="https://bulbapedia.bulbagarden.net/wiki/Corviknight_VMAX_(Battle_Styles_110)" TargetMode="External"/><Relationship Id="rId115" Type="http://schemas.openxmlformats.org/officeDocument/2006/relationships/hyperlink" Target="https://bulbapedia.bulbagarden.net/wiki/Glameow_(Battle_Styles_115)" TargetMode="External"/><Relationship Id="rId131" Type="http://schemas.openxmlformats.org/officeDocument/2006/relationships/hyperlink" Target="https://bulbapedia.bulbagarden.net/wiki/Rapid_Strike_Scroll_of_Swirls_(Battle_Styles_131)" TargetMode="External"/><Relationship Id="rId136" Type="http://schemas.openxmlformats.org/officeDocument/2006/relationships/hyperlink" Target="https://bulbapedia.bulbagarden.net/wiki/Tool_Jammer_(Battle_Styles_136)" TargetMode="External"/><Relationship Id="rId157" Type="http://schemas.openxmlformats.org/officeDocument/2006/relationships/hyperlink" Target="https://bulbapedia.bulbagarden.net/wiki/Stoutland_V_(Battle_Styles_157)" TargetMode="External"/><Relationship Id="rId178" Type="http://schemas.openxmlformats.org/officeDocument/2006/relationships/hyperlink" Target="https://bulbapedia.bulbagarden.net/wiki/Octillery_(Battle_Styles_178)" TargetMode="External"/><Relationship Id="rId61" Type="http://schemas.openxmlformats.org/officeDocument/2006/relationships/hyperlink" Target="https://bulbapedia.bulbagarden.net/wiki/Meowstic_(Battle_Styles_61)" TargetMode="External"/><Relationship Id="rId82" Type="http://schemas.openxmlformats.org/officeDocument/2006/relationships/hyperlink" Target="https://bulbapedia.bulbagarden.net/wiki/Sandaconda_(Battle_Styles_82)" TargetMode="External"/><Relationship Id="rId152" Type="http://schemas.openxmlformats.org/officeDocument/2006/relationships/hyperlink" Target="https://bulbapedia.bulbagarden.net/wiki/Rapid_Strike_Urshifu_V_(Battle_Styles_152)" TargetMode="External"/><Relationship Id="rId173" Type="http://schemas.openxmlformats.org/officeDocument/2006/relationships/hyperlink" Target="https://bulbapedia.bulbagarden.net/wiki/Cheryl_(Battle_Styles_173)" TargetMode="External"/><Relationship Id="rId19" Type="http://schemas.openxmlformats.org/officeDocument/2006/relationships/hyperlink" Target="https://bulbapedia.bulbagarden.net/wiki/Flapple_VMAX_(Battle_Styles_19)" TargetMode="External"/><Relationship Id="rId14" Type="http://schemas.openxmlformats.org/officeDocument/2006/relationships/hyperlink" Target="https://bulbapedia.bulbagarden.net/wiki/Fomantis_(Battle_Styles_14)" TargetMode="External"/><Relationship Id="rId30" Type="http://schemas.openxmlformats.org/officeDocument/2006/relationships/hyperlink" Target="https://bulbapedia.bulbagarden.net/wiki/Centiskorch_(Battle_Styles_30)" TargetMode="External"/><Relationship Id="rId35" Type="http://schemas.openxmlformats.org/officeDocument/2006/relationships/hyperlink" Target="https://bulbapedia.bulbagarden.net/wiki/Galarian_Mr._Rime_(Battle_Styles_35)" TargetMode="External"/><Relationship Id="rId56" Type="http://schemas.openxmlformats.org/officeDocument/2006/relationships/hyperlink" Target="https://bulbapedia.bulbagarden.net/wiki/Grumpig_(Battle_Styles_56)" TargetMode="External"/><Relationship Id="rId77" Type="http://schemas.openxmlformats.org/officeDocument/2006/relationships/hyperlink" Target="https://bulbapedia.bulbagarden.net/wiki/Mienshao_(Battle_Styles_77)" TargetMode="External"/><Relationship Id="rId100" Type="http://schemas.openxmlformats.org/officeDocument/2006/relationships/hyperlink" Target="https://bulbapedia.bulbagarden.net/wiki/Mawile_(Battle_Styles_100)" TargetMode="External"/><Relationship Id="rId105" Type="http://schemas.openxmlformats.org/officeDocument/2006/relationships/hyperlink" Target="https://bulbapedia.bulbagarden.net/wiki/Honedge_(Battle_Styles_105)" TargetMode="External"/><Relationship Id="rId126" Type="http://schemas.openxmlformats.org/officeDocument/2006/relationships/hyperlink" Target="https://bulbapedia.bulbagarden.net/wiki/Exp._Share_(Battle_Styles_126)" TargetMode="External"/><Relationship Id="rId147" Type="http://schemas.openxmlformats.org/officeDocument/2006/relationships/hyperlink" Target="https://bulbapedia.bulbagarden.net/wiki/Tapu_Koko_V_(Battle_Styles_147)" TargetMode="External"/><Relationship Id="rId168" Type="http://schemas.openxmlformats.org/officeDocument/2006/relationships/hyperlink" Target="https://bulbapedia.bulbagarden.net/wiki/Single_Strike_Urshifu_VMAX_(Battle_Styles_168)" TargetMode="External"/><Relationship Id="rId8" Type="http://schemas.openxmlformats.org/officeDocument/2006/relationships/hyperlink" Target="https://bulbapedia.bulbagarden.net/wiki/Cherrim_(Battle_Styles_8)" TargetMode="External"/><Relationship Id="rId51" Type="http://schemas.openxmlformats.org/officeDocument/2006/relationships/hyperlink" Target="https://bulbapedia.bulbagarden.net/wiki/Tapu_Koko_VMAX_(Battle_Styles_51)" TargetMode="External"/><Relationship Id="rId72" Type="http://schemas.openxmlformats.org/officeDocument/2006/relationships/hyperlink" Target="https://bulbapedia.bulbagarden.net/wiki/Gliscor_(Battle_Styles_72)" TargetMode="External"/><Relationship Id="rId93" Type="http://schemas.openxmlformats.org/officeDocument/2006/relationships/hyperlink" Target="https://bulbapedia.bulbagarden.net/wiki/Murkrow_(Battle_Styles_93)" TargetMode="External"/><Relationship Id="rId98" Type="http://schemas.openxmlformats.org/officeDocument/2006/relationships/hyperlink" Target="https://bulbapedia.bulbagarden.net/wiki/Morpeko_(Battle_Styles_98)" TargetMode="External"/><Relationship Id="rId121" Type="http://schemas.openxmlformats.org/officeDocument/2006/relationships/hyperlink" Target="https://bulbapedia.bulbagarden.net/wiki/Bruno_(Battle_Styles_121)" TargetMode="External"/><Relationship Id="rId142" Type="http://schemas.openxmlformats.org/officeDocument/2006/relationships/hyperlink" Target="https://bulbapedia.bulbagarden.net/wiki/Kricketune_V_(Battle_Styles_142)" TargetMode="External"/><Relationship Id="rId163" Type="http://schemas.openxmlformats.org/officeDocument/2006/relationships/hyperlink" Target="https://bulbapedia.bulbagarden.net/wiki/Single_Strike_Style_Mustard_(Battle_Styles_163)" TargetMode="External"/><Relationship Id="rId3" Type="http://schemas.openxmlformats.org/officeDocument/2006/relationships/hyperlink" Target="https://bulbapedia.bulbagarden.net/wiki/Victreebel_(Battle_Styles_3)" TargetMode="External"/><Relationship Id="rId25" Type="http://schemas.openxmlformats.org/officeDocument/2006/relationships/hyperlink" Target="https://bulbapedia.bulbagarden.net/wiki/Emboar_(Battle_Styles_25)" TargetMode="External"/><Relationship Id="rId46" Type="http://schemas.openxmlformats.org/officeDocument/2006/relationships/hyperlink" Target="https://bulbapedia.bulbagarden.net/wiki/Shinx_(Battle_Styles_46)" TargetMode="External"/><Relationship Id="rId67" Type="http://schemas.openxmlformats.org/officeDocument/2006/relationships/hyperlink" Target="https://bulbapedia.bulbagarden.net/wiki/Primeape_(Battle_Styles_67)" TargetMode="External"/><Relationship Id="rId116" Type="http://schemas.openxmlformats.org/officeDocument/2006/relationships/hyperlink" Target="https://bulbapedia.bulbagarden.net/wiki/Purugly_(Battle_Styles_116)" TargetMode="External"/><Relationship Id="rId137" Type="http://schemas.openxmlformats.org/officeDocument/2006/relationships/hyperlink" Target="https://bulbapedia.bulbagarden.net/wiki/Tower_of_Darkness_(Battle_Styles_137)" TargetMode="External"/><Relationship Id="rId158" Type="http://schemas.openxmlformats.org/officeDocument/2006/relationships/hyperlink" Target="https://bulbapedia.bulbagarden.net/wiki/Bruno_(Battle_Styles_158)" TargetMode="External"/><Relationship Id="rId20" Type="http://schemas.openxmlformats.org/officeDocument/2006/relationships/hyperlink" Target="https://bulbapedia.bulbagarden.net/wiki/Entei_(Battle_Styles_20)" TargetMode="External"/><Relationship Id="rId41" Type="http://schemas.openxmlformats.org/officeDocument/2006/relationships/hyperlink" Target="https://bulbapedia.bulbagarden.net/wiki/Frillish_(Battle_Styles_41)" TargetMode="External"/><Relationship Id="rId62" Type="http://schemas.openxmlformats.org/officeDocument/2006/relationships/hyperlink" Target="https://bulbapedia.bulbagarden.net/wiki/Mimikyu_V_(Battle_Styles_62)" TargetMode="External"/><Relationship Id="rId83" Type="http://schemas.openxmlformats.org/officeDocument/2006/relationships/hyperlink" Target="https://bulbapedia.bulbagarden.net/wiki/Falinks_(Battle_Styles_83)" TargetMode="External"/><Relationship Id="rId88" Type="http://schemas.openxmlformats.org/officeDocument/2006/relationships/hyperlink" Target="https://bulbapedia.bulbagarden.net/wiki/Rapid_Strike_Urshifu_VMAX_(Battle_Styles_88)" TargetMode="External"/><Relationship Id="rId111" Type="http://schemas.openxmlformats.org/officeDocument/2006/relationships/hyperlink" Target="https://bulbapedia.bulbagarden.net/wiki/Spearow_(Battle_Styles_111)" TargetMode="External"/><Relationship Id="rId132" Type="http://schemas.openxmlformats.org/officeDocument/2006/relationships/hyperlink" Target="https://bulbapedia.bulbagarden.net/wiki/Rapid_Strike_Style_Mustard_(Battle_Styles_132)" TargetMode="External"/><Relationship Id="rId153" Type="http://schemas.openxmlformats.org/officeDocument/2006/relationships/hyperlink" Target="https://bulbapedia.bulbagarden.net/wiki/Rapid_Strike_Urshifu_V_(Battle_Styles_153)" TargetMode="External"/><Relationship Id="rId174" Type="http://schemas.openxmlformats.org/officeDocument/2006/relationships/hyperlink" Target="https://bulbapedia.bulbagarden.net/wiki/Korrina%27s_Focus_(Battle_Styles_174)" TargetMode="External"/><Relationship Id="rId179" Type="http://schemas.openxmlformats.org/officeDocument/2006/relationships/hyperlink" Target="https://bulbapedia.bulbagarden.net/wiki/Houndoom_(Battle_Styles_179)" TargetMode="External"/><Relationship Id="rId15" Type="http://schemas.openxmlformats.org/officeDocument/2006/relationships/hyperlink" Target="https://bulbapedia.bulbagarden.net/wiki/Lurantis_(Battle_Styles_15)" TargetMode="External"/><Relationship Id="rId36" Type="http://schemas.openxmlformats.org/officeDocument/2006/relationships/hyperlink" Target="https://bulbapedia.bulbagarden.net/wiki/Remoraid_(Battle_Styles_36)" TargetMode="External"/><Relationship Id="rId57" Type="http://schemas.openxmlformats.org/officeDocument/2006/relationships/hyperlink" Target="https://bulbapedia.bulbagarden.net/wiki/Baltoy_(Battle_Styles_57)" TargetMode="External"/><Relationship Id="rId106" Type="http://schemas.openxmlformats.org/officeDocument/2006/relationships/hyperlink" Target="https://bulbapedia.bulbagarden.net/wiki/Doublade_(Battle_Styles_106)" TargetMode="External"/><Relationship Id="rId127" Type="http://schemas.openxmlformats.org/officeDocument/2006/relationships/hyperlink" Target="https://bulbapedia.bulbagarden.net/wiki/Fan_of_Waves_(Battle_Styles_127)" TargetMode="External"/><Relationship Id="rId10" Type="http://schemas.openxmlformats.org/officeDocument/2006/relationships/hyperlink" Target="https://bulbapedia.bulbagarden.net/wiki/Durant_(Battle_Styles_10)" TargetMode="External"/><Relationship Id="rId31" Type="http://schemas.openxmlformats.org/officeDocument/2006/relationships/hyperlink" Target="https://bulbapedia.bulbagarden.net/wiki/Horsea_(Battle_Styles_31)" TargetMode="External"/><Relationship Id="rId52" Type="http://schemas.openxmlformats.org/officeDocument/2006/relationships/hyperlink" Target="https://bulbapedia.bulbagarden.net/wiki/Yamper_(Battle_Styles_52)" TargetMode="External"/><Relationship Id="rId73" Type="http://schemas.openxmlformats.org/officeDocument/2006/relationships/hyperlink" Target="https://bulbapedia.bulbagarden.net/wiki/Timburr_(Battle_Styles_73)" TargetMode="External"/><Relationship Id="rId78" Type="http://schemas.openxmlformats.org/officeDocument/2006/relationships/hyperlink" Target="https://bulbapedia.bulbagarden.net/wiki/Rolycoly_(Battle_Styles_78)" TargetMode="External"/><Relationship Id="rId94" Type="http://schemas.openxmlformats.org/officeDocument/2006/relationships/hyperlink" Target="https://bulbapedia.bulbagarden.net/wiki/Honchkrow_(Battle_Styles_94)" TargetMode="External"/><Relationship Id="rId99" Type="http://schemas.openxmlformats.org/officeDocument/2006/relationships/hyperlink" Target="https://bulbapedia.bulbagarden.net/wiki/Steelix_(Battle_Styles_99)" TargetMode="External"/><Relationship Id="rId101" Type="http://schemas.openxmlformats.org/officeDocument/2006/relationships/hyperlink" Target="https://bulbapedia.bulbagarden.net/wiki/Bronzor_(Battle_Styles_101)" TargetMode="External"/><Relationship Id="rId122" Type="http://schemas.openxmlformats.org/officeDocument/2006/relationships/hyperlink" Target="https://bulbapedia.bulbagarden.net/wiki/Camping_Gear_(Battle_Styles_122)" TargetMode="External"/><Relationship Id="rId143" Type="http://schemas.openxmlformats.org/officeDocument/2006/relationships/hyperlink" Target="https://bulbapedia.bulbagarden.net/wiki/Flapple_V_(Battle_Styles_143)" TargetMode="External"/><Relationship Id="rId148" Type="http://schemas.openxmlformats.org/officeDocument/2006/relationships/hyperlink" Target="https://bulbapedia.bulbagarden.net/wiki/Mimikyu_V_(Battle_Styles_148)" TargetMode="External"/><Relationship Id="rId164" Type="http://schemas.openxmlformats.org/officeDocument/2006/relationships/hyperlink" Target="https://bulbapedia.bulbagarden.net/wiki/Flapple_VMAX_(Battle_Styles_164)" TargetMode="External"/><Relationship Id="rId169" Type="http://schemas.openxmlformats.org/officeDocument/2006/relationships/hyperlink" Target="https://bulbapedia.bulbagarden.net/wiki/Rapid_Strike_Urshifu_VMAX_(Battle_Styles_169)" TargetMode="External"/><Relationship Id="rId4" Type="http://schemas.openxmlformats.org/officeDocument/2006/relationships/hyperlink" Target="https://bulbapedia.bulbagarden.net/wiki/Cacnea_(Battle_Styles_4)" TargetMode="External"/><Relationship Id="rId9" Type="http://schemas.openxmlformats.org/officeDocument/2006/relationships/hyperlink" Target="https://bulbapedia.bulbagarden.net/wiki/Carnivine_(Battle_Styles_9)" TargetMode="External"/><Relationship Id="rId180" Type="http://schemas.openxmlformats.org/officeDocument/2006/relationships/hyperlink" Target="https://bulbapedia.bulbagarden.net/wiki/Exp._Share_(Battle_Styles_180)" TargetMode="External"/><Relationship Id="rId26" Type="http://schemas.openxmlformats.org/officeDocument/2006/relationships/hyperlink" Target="https://bulbapedia.bulbagarden.net/wiki/Heatmor_(Battle_Styles_26)" TargetMode="External"/><Relationship Id="rId47" Type="http://schemas.openxmlformats.org/officeDocument/2006/relationships/hyperlink" Target="https://bulbapedia.bulbagarden.net/wiki/Luxio_(Battle_Styles_47)" TargetMode="External"/><Relationship Id="rId68" Type="http://schemas.openxmlformats.org/officeDocument/2006/relationships/hyperlink" Target="https://bulbapedia.bulbagarden.net/wiki/Onix_(Battle_Styles_68)" TargetMode="External"/><Relationship Id="rId89" Type="http://schemas.openxmlformats.org/officeDocument/2006/relationships/hyperlink" Target="https://bulbapedia.bulbagarden.net/wiki/Zubat_(Battle_Styles_89)" TargetMode="External"/><Relationship Id="rId112" Type="http://schemas.openxmlformats.org/officeDocument/2006/relationships/hyperlink" Target="https://bulbapedia.bulbagarden.net/wiki/Fearow_(Battle_Styles_112)" TargetMode="External"/><Relationship Id="rId133" Type="http://schemas.openxmlformats.org/officeDocument/2006/relationships/hyperlink" Target="https://bulbapedia.bulbagarden.net/wiki/Single_Strike_Scroll_of_Scorn_(Battle_Styles_133)" TargetMode="External"/><Relationship Id="rId154" Type="http://schemas.openxmlformats.org/officeDocument/2006/relationships/hyperlink" Target="https://bulbapedia.bulbagarden.net/wiki/Tyranitar_V_(Battle_Styles_154)" TargetMode="External"/><Relationship Id="rId175" Type="http://schemas.openxmlformats.org/officeDocument/2006/relationships/hyperlink" Target="https://bulbapedia.bulbagarden.net/wiki/Phoebe_(Battle_Styles_175)" TargetMode="External"/><Relationship Id="rId16" Type="http://schemas.openxmlformats.org/officeDocument/2006/relationships/hyperlink" Target="https://bulbapedia.bulbagarden.net/wiki/Tapu_Bulu_(Battle_Styles_16)" TargetMode="External"/><Relationship Id="rId37" Type="http://schemas.openxmlformats.org/officeDocument/2006/relationships/hyperlink" Target="https://bulbapedia.bulbagarden.net/wiki/Octillery_(Battle_Styles_37)" TargetMode="External"/><Relationship Id="rId58" Type="http://schemas.openxmlformats.org/officeDocument/2006/relationships/hyperlink" Target="https://bulbapedia.bulbagarden.net/wiki/Claydol_(Battle_Styles_58)" TargetMode="External"/><Relationship Id="rId79" Type="http://schemas.openxmlformats.org/officeDocument/2006/relationships/hyperlink" Target="https://bulbapedia.bulbagarden.net/wiki/Carkol_(Battle_Styles_79)" TargetMode="External"/><Relationship Id="rId102" Type="http://schemas.openxmlformats.org/officeDocument/2006/relationships/hyperlink" Target="https://bulbapedia.bulbagarden.net/wiki/Bronzong_(Battle_Styles_102)" TargetMode="External"/><Relationship Id="rId123" Type="http://schemas.openxmlformats.org/officeDocument/2006/relationships/hyperlink" Target="https://bulbapedia.bulbagarden.net/wiki/Cheryl_(Battle_Styles_123)" TargetMode="External"/><Relationship Id="rId144" Type="http://schemas.openxmlformats.org/officeDocument/2006/relationships/hyperlink" Target="https://bulbapedia.bulbagarden.net/wiki/Victini_V_(Battle_Styles_144)" TargetMode="External"/><Relationship Id="rId90" Type="http://schemas.openxmlformats.org/officeDocument/2006/relationships/hyperlink" Target="https://bulbapedia.bulbagarden.net/wiki/Golbat_(Battle_Styles_90)" TargetMode="External"/><Relationship Id="rId165" Type="http://schemas.openxmlformats.org/officeDocument/2006/relationships/hyperlink" Target="https://bulbapedia.bulbagarden.net/wiki/Victini_VMAX_(Battle_Styles_165)" TargetMode="External"/><Relationship Id="rId27" Type="http://schemas.openxmlformats.org/officeDocument/2006/relationships/hyperlink" Target="https://bulbapedia.bulbagarden.net/wiki/Salandit_(Battle_Styles_27)" TargetMode="External"/><Relationship Id="rId48" Type="http://schemas.openxmlformats.org/officeDocument/2006/relationships/hyperlink" Target="https://bulbapedia.bulbagarden.net/wiki/Luxray_(Battle_Styles_48)" TargetMode="External"/><Relationship Id="rId69" Type="http://schemas.openxmlformats.org/officeDocument/2006/relationships/hyperlink" Target="https://bulbapedia.bulbagarden.net/wiki/Cubone_(Battle_Styles_69)" TargetMode="External"/><Relationship Id="rId113" Type="http://schemas.openxmlformats.org/officeDocument/2006/relationships/hyperlink" Target="https://bulbapedia.bulbagarden.net/wiki/Lickitung_(Battle_Styles_113)" TargetMode="External"/><Relationship Id="rId134" Type="http://schemas.openxmlformats.org/officeDocument/2006/relationships/hyperlink" Target="https://bulbapedia.bulbagarden.net/wiki/Single_Strike_Style_Mustard_(Battle_Styles_134)" TargetMode="External"/><Relationship Id="rId80" Type="http://schemas.openxmlformats.org/officeDocument/2006/relationships/hyperlink" Target="https://bulbapedia.bulbagarden.net/wiki/Coalossal_(Battle_Styles_80)" TargetMode="External"/><Relationship Id="rId155" Type="http://schemas.openxmlformats.org/officeDocument/2006/relationships/hyperlink" Target="https://bulbapedia.bulbagarden.net/wiki/Tyranitar_V_(Battle_Styles_155)" TargetMode="External"/><Relationship Id="rId176" Type="http://schemas.openxmlformats.org/officeDocument/2006/relationships/hyperlink" Target="https://bulbapedia.bulbagarden.net/wiki/Rapid_Strike_Style_Mustard_(Battle_Styles_176)" TargetMode="External"/><Relationship Id="rId17" Type="http://schemas.openxmlformats.org/officeDocument/2006/relationships/hyperlink" Target="https://bulbapedia.bulbagarden.net/wiki/Blipbug_(Battle_Styles_17)" TargetMode="External"/><Relationship Id="rId38" Type="http://schemas.openxmlformats.org/officeDocument/2006/relationships/hyperlink" Target="https://bulbapedia.bulbagarden.net/wiki/Corphish_(Battle_Styles_38)" TargetMode="External"/><Relationship Id="rId59" Type="http://schemas.openxmlformats.org/officeDocument/2006/relationships/hyperlink" Target="https://bulbapedia.bulbagarden.net/wiki/Chimecho_(Battle_Styles_59)" TargetMode="External"/><Relationship Id="rId103" Type="http://schemas.openxmlformats.org/officeDocument/2006/relationships/hyperlink" Target="https://bulbapedia.bulbagarden.net/wiki/Pawniard_(Battle_Styles_103)" TargetMode="External"/><Relationship Id="rId124" Type="http://schemas.openxmlformats.org/officeDocument/2006/relationships/hyperlink" Target="https://bulbapedia.bulbagarden.net/wiki/Energy_Recycler_(Battle_Styles_124)" TargetMode="External"/><Relationship Id="rId70" Type="http://schemas.openxmlformats.org/officeDocument/2006/relationships/hyperlink" Target="https://bulbapedia.bulbagarden.net/wiki/Marowak_(Battle_Styles_70)" TargetMode="External"/><Relationship Id="rId91" Type="http://schemas.openxmlformats.org/officeDocument/2006/relationships/hyperlink" Target="https://bulbapedia.bulbagarden.net/wiki/Crobat_(Battle_Styles_91)" TargetMode="External"/><Relationship Id="rId145" Type="http://schemas.openxmlformats.org/officeDocument/2006/relationships/hyperlink" Target="https://bulbapedia.bulbagarden.net/wiki/Empoleon_V_(Battle_Styles_145)" TargetMode="External"/><Relationship Id="rId166" Type="http://schemas.openxmlformats.org/officeDocument/2006/relationships/hyperlink" Target="https://bulbapedia.bulbagarden.net/wiki/Tapu_Koko_VMAX_(Battle_Styles_166)" TargetMode="External"/><Relationship Id="rId1" Type="http://schemas.openxmlformats.org/officeDocument/2006/relationships/hyperlink" Target="https://bulbapedia.bulbagarden.net/wiki/Bellsprout_(Battle_Styles_1)" TargetMode="External"/><Relationship Id="rId28" Type="http://schemas.openxmlformats.org/officeDocument/2006/relationships/hyperlink" Target="https://bulbapedia.bulbagarden.net/wiki/Salazzle_(Battle_Styles_28)" TargetMode="External"/><Relationship Id="rId49" Type="http://schemas.openxmlformats.org/officeDocument/2006/relationships/hyperlink" Target="https://bulbapedia.bulbagarden.net/wiki/Pachirisu_(Battle_Styles_49)" TargetMode="External"/><Relationship Id="rId114" Type="http://schemas.openxmlformats.org/officeDocument/2006/relationships/hyperlink" Target="https://bulbapedia.bulbagarden.net/wiki/Lickilicky_(Battle_Styles_114)" TargetMode="External"/></Relationships>
</file>

<file path=xl/worksheets/_rels/sheet92.xml.rels><?xml version="1.0" encoding="UTF-8" standalone="yes"?>
<Relationships xmlns="http://schemas.openxmlformats.org/package/2006/relationships"><Relationship Id="rId117" Type="http://schemas.openxmlformats.org/officeDocument/2006/relationships/hyperlink" Target="https://bulbapedia.bulbagarden.net/w/index.php?title=Porygon2_(Chilling_Reign_117)&amp;action=edit&amp;redlink=1" TargetMode="External"/><Relationship Id="rId21" Type="http://schemas.openxmlformats.org/officeDocument/2006/relationships/hyperlink" Target="https://bulbapedia.bulbagarden.net/w/index.php?title=Blaziken_VMAX_(Chilling_Reign_21)&amp;action=edit&amp;redlink=1" TargetMode="External"/><Relationship Id="rId42" Type="http://schemas.openxmlformats.org/officeDocument/2006/relationships/hyperlink" Target="https://bulbapedia.bulbagarden.net/w/index.php?title=Drizzile_(Chilling_Reign_42)&amp;action=edit&amp;redlink=1" TargetMode="External"/><Relationship Id="rId63" Type="http://schemas.openxmlformats.org/officeDocument/2006/relationships/hyperlink" Target="https://bulbapedia.bulbagarden.net/w/index.php?title=Banette_(Chilling_Reign_63)&amp;action=edit&amp;redlink=1" TargetMode="External"/><Relationship Id="rId84" Type="http://schemas.openxmlformats.org/officeDocument/2006/relationships/hyperlink" Target="https://bulbapedia.bulbagarden.net/w/index.php?title=Crabrawler_(Chilling_Reign_84)&amp;action=edit&amp;redlink=1" TargetMode="External"/><Relationship Id="rId138" Type="http://schemas.openxmlformats.org/officeDocument/2006/relationships/hyperlink" Target="https://bulbapedia.bulbagarden.net/w/index.php?title=Fire-Resistant_Gloves_(Chilling_Reign_138)&amp;action=edit&amp;redlink=1" TargetMode="External"/><Relationship Id="rId159" Type="http://schemas.openxmlformats.org/officeDocument/2006/relationships/hyperlink" Target="https://bulbapedia.bulbagarden.net/w/index.php?title=Spiral_Energy_(Chilling_Reign_159)&amp;action=edit&amp;redlink=1" TargetMode="External"/><Relationship Id="rId170" Type="http://schemas.openxmlformats.org/officeDocument/2006/relationships/hyperlink" Target="https://bulbapedia.bulbagarden.net/wiki/Galarian_Articuno_V_(Chilling_Reign_170)" TargetMode="External"/><Relationship Id="rId191" Type="http://schemas.openxmlformats.org/officeDocument/2006/relationships/hyperlink" Target="https://bulbapedia.bulbagarden.net/w/index.php?title=Flannery_(Chilling_Reign_191)&amp;action=edit&amp;redlink=1" TargetMode="External"/><Relationship Id="rId205" Type="http://schemas.openxmlformats.org/officeDocument/2006/relationships/hyperlink" Target="https://bulbapedia.bulbagarden.net/wiki/Shadow_Rider_Calyrex_VMAX_(Chilling_Reign_205)" TargetMode="External"/><Relationship Id="rId226" Type="http://schemas.openxmlformats.org/officeDocument/2006/relationships/hyperlink" Target="https://bulbapedia.bulbagarden.net/wiki/Fan_of_Waves_(Chilling_Reign_226)" TargetMode="External"/><Relationship Id="rId107" Type="http://schemas.openxmlformats.org/officeDocument/2006/relationships/hyperlink" Target="https://bulbapedia.bulbagarden.net/w/index.php?title=Scolipede_(Chilling_Reign_107)&amp;action=edit&amp;redlink=1" TargetMode="External"/><Relationship Id="rId11" Type="http://schemas.openxmlformats.org/officeDocument/2006/relationships/hyperlink" Target="https://bulbapedia.bulbagarden.net/w/index.php?title=Deerling_(Chilling_Reign_11)&amp;action=edit&amp;redlink=1" TargetMode="External"/><Relationship Id="rId32" Type="http://schemas.openxmlformats.org/officeDocument/2006/relationships/hyperlink" Target="https://bulbapedia.bulbagarden.net/w/index.php?title=Delibird_(Chilling_Reign_32)&amp;action=edit&amp;redlink=1" TargetMode="External"/><Relationship Id="rId53" Type="http://schemas.openxmlformats.org/officeDocument/2006/relationships/hyperlink" Target="https://bulbapedia.bulbagarden.net/wiki/Zeraora_V_(Chilling_Reign_53)" TargetMode="External"/><Relationship Id="rId74" Type="http://schemas.openxmlformats.org/officeDocument/2006/relationships/hyperlink" Target="https://bulbapedia.bulbagarden.net/w/index.php?title=Shadow_Rider_Calyrex_V_(Chilling_Reign_74)&amp;action=edit&amp;redlink=1" TargetMode="External"/><Relationship Id="rId128" Type="http://schemas.openxmlformats.org/officeDocument/2006/relationships/hyperlink" Target="https://bulbapedia.bulbagarden.net/w/index.php?title=Greedent_(Chilling_Reign_128)&amp;action=edit&amp;redlink=1" TargetMode="External"/><Relationship Id="rId149" Type="http://schemas.openxmlformats.org/officeDocument/2006/relationships/hyperlink" Target="https://bulbapedia.bulbagarden.net/w/index.php?title=Peonia_(Chilling_Reign_149)&amp;action=edit&amp;redlink=1" TargetMode="External"/><Relationship Id="rId5" Type="http://schemas.openxmlformats.org/officeDocument/2006/relationships/hyperlink" Target="https://bulbapedia.bulbagarden.net/w/index.php?title=Ledian_(Chilling_Reign_5)&amp;action=edit&amp;redlink=1" TargetMode="External"/><Relationship Id="rId95" Type="http://schemas.openxmlformats.org/officeDocument/2006/relationships/hyperlink" Target="https://bulbapedia.bulbagarden.net/w/index.php?title=Weezing_(Chilling_Reign_95)&amp;action=edit&amp;redlink=1" TargetMode="External"/><Relationship Id="rId160" Type="http://schemas.openxmlformats.org/officeDocument/2006/relationships/hyperlink" Target="https://bulbapedia.bulbagarden.net/w/index.php?title=Celebi_V_(Chilling_Reign_160)&amp;action=edit&amp;redlink=1" TargetMode="External"/><Relationship Id="rId181" Type="http://schemas.openxmlformats.org/officeDocument/2006/relationships/hyperlink" Target="https://bulbapedia.bulbagarden.net/w/index.php?title=Metagross_V_(Chilling_Reign_181)&amp;action=edit&amp;redlink=1" TargetMode="External"/><Relationship Id="rId216" Type="http://schemas.openxmlformats.org/officeDocument/2006/relationships/hyperlink" Target="https://bulbapedia.bulbagarden.net/wiki/Karen%27s_Conviction_(Chilling_Reign_216)" TargetMode="External"/><Relationship Id="rId22" Type="http://schemas.openxmlformats.org/officeDocument/2006/relationships/hyperlink" Target="https://bulbapedia.bulbagarden.net/wiki/Castform_Sunny_Form_(Chilling_Reign_22)" TargetMode="External"/><Relationship Id="rId43" Type="http://schemas.openxmlformats.org/officeDocument/2006/relationships/hyperlink" Target="https://bulbapedia.bulbagarden.net/w/index.php?title=Inteleon_(Chilling_Reign_43)&amp;action=edit&amp;redlink=1" TargetMode="External"/><Relationship Id="rId64" Type="http://schemas.openxmlformats.org/officeDocument/2006/relationships/hyperlink" Target="https://bulbapedia.bulbagarden.net/wiki/Cresselia_(Chilling_Reign_64)" TargetMode="External"/><Relationship Id="rId118" Type="http://schemas.openxmlformats.org/officeDocument/2006/relationships/hyperlink" Target="https://bulbapedia.bulbagarden.net/w/index.php?title=Porygon-Z_(Chilling_Reign_118)&amp;action=edit&amp;redlink=1" TargetMode="External"/><Relationship Id="rId139" Type="http://schemas.openxmlformats.org/officeDocument/2006/relationships/hyperlink" Target="https://bulbapedia.bulbagarden.net/w/index.php?title=Flannery_(Chilling_Reign_139)&amp;action=edit&amp;redlink=1" TargetMode="External"/><Relationship Id="rId85" Type="http://schemas.openxmlformats.org/officeDocument/2006/relationships/hyperlink" Target="https://bulbapedia.bulbagarden.net/w/index.php?title=Crabominable_(Chilling_Reign_85)&amp;action=edit&amp;redlink=1" TargetMode="External"/><Relationship Id="rId150" Type="http://schemas.openxmlformats.org/officeDocument/2006/relationships/hyperlink" Target="https://bulbapedia.bulbagarden.net/w/index.php?title=Peony_(Chilling_Reign_150)&amp;action=edit&amp;redlink=1" TargetMode="External"/><Relationship Id="rId171" Type="http://schemas.openxmlformats.org/officeDocument/2006/relationships/hyperlink" Target="https://bulbapedia.bulbagarden.net/w/index.php?title=Shadow_Rider_Calyrex_V_(Chilling_Reign_171)&amp;action=edit&amp;redlink=1" TargetMode="External"/><Relationship Id="rId192" Type="http://schemas.openxmlformats.org/officeDocument/2006/relationships/hyperlink" Target="https://bulbapedia.bulbagarden.net/w/index.php?title=Honey_(Chilling_Reign_192)&amp;action=edit&amp;redlink=1" TargetMode="External"/><Relationship Id="rId206" Type="http://schemas.openxmlformats.org/officeDocument/2006/relationships/hyperlink" Target="https://bulbapedia.bulbagarden.net/wiki/Sandaconda_VMAX_(Chilling_Reign_206)" TargetMode="External"/><Relationship Id="rId227" Type="http://schemas.openxmlformats.org/officeDocument/2006/relationships/hyperlink" Target="https://bulbapedia.bulbagarden.net/wiki/Fog_Crystal_(Chilling_Reign_227)" TargetMode="External"/><Relationship Id="rId12" Type="http://schemas.openxmlformats.org/officeDocument/2006/relationships/hyperlink" Target="https://bulbapedia.bulbagarden.net/w/index.php?title=Sawsbuck_(Chilling_Reign_12)&amp;action=edit&amp;redlink=1" TargetMode="External"/><Relationship Id="rId33" Type="http://schemas.openxmlformats.org/officeDocument/2006/relationships/hyperlink" Target="https://bulbapedia.bulbagarden.net/wiki/Castform_Rainy_Form_(Chilling_Reign_33)" TargetMode="External"/><Relationship Id="rId108" Type="http://schemas.openxmlformats.org/officeDocument/2006/relationships/hyperlink" Target="https://bulbapedia.bulbagarden.net/w/index.php?title=Single_Strike_Urshifu_(Chilling_Reign_108)&amp;action=edit&amp;redlink=1" TargetMode="External"/><Relationship Id="rId129" Type="http://schemas.openxmlformats.org/officeDocument/2006/relationships/hyperlink" Target="https://bulbapedia.bulbagarden.net/w/index.php?title=Agatha_(Chilling_Reign_129)&amp;action=edit&amp;redlink=1" TargetMode="External"/><Relationship Id="rId54" Type="http://schemas.openxmlformats.org/officeDocument/2006/relationships/hyperlink" Target="https://bulbapedia.bulbagarden.net/w/index.php?title=Galarian_Slowpoke_(Chilling_Reign_54)&amp;action=edit&amp;redlink=1" TargetMode="External"/><Relationship Id="rId75" Type="http://schemas.openxmlformats.org/officeDocument/2006/relationships/hyperlink" Target="https://bulbapedia.bulbagarden.net/wiki/Shadow_Rider_Calyrex_VMAX_(Chilling_Reign_75)" TargetMode="External"/><Relationship Id="rId96" Type="http://schemas.openxmlformats.org/officeDocument/2006/relationships/hyperlink" Target="https://bulbapedia.bulbagarden.net/w/index.php?title=Galarian_Weezing_(Chilling_Reign_96)&amp;action=edit&amp;redlink=1" TargetMode="External"/><Relationship Id="rId140" Type="http://schemas.openxmlformats.org/officeDocument/2006/relationships/hyperlink" Target="https://bulbapedia.bulbagarden.net/wiki/Fog_Crystal_(Chilling_Reign_140)" TargetMode="External"/><Relationship Id="rId161" Type="http://schemas.openxmlformats.org/officeDocument/2006/relationships/hyperlink" Target="https://bulbapedia.bulbagarden.net/w/index.php?title=Blaziken_V_(Chilling_Reign_161)&amp;action=edit&amp;redlink=1" TargetMode="External"/><Relationship Id="rId182" Type="http://schemas.openxmlformats.org/officeDocument/2006/relationships/hyperlink" Target="https://bulbapedia.bulbagarden.net/w/index.php?title=Blissey_V_(Chilling_Reign_182)&amp;action=edit&amp;redlink=1" TargetMode="External"/><Relationship Id="rId217" Type="http://schemas.openxmlformats.org/officeDocument/2006/relationships/hyperlink" Target="https://bulbapedia.bulbagarden.net/wiki/Klara_(Chilling_Reign_217)" TargetMode="External"/><Relationship Id="rId6" Type="http://schemas.openxmlformats.org/officeDocument/2006/relationships/hyperlink" Target="https://bulbapedia.bulbagarden.net/w/index.php?title=Heracross_(Chilling_Reign_6)&amp;action=edit&amp;redlink=1" TargetMode="External"/><Relationship Id="rId23" Type="http://schemas.openxmlformats.org/officeDocument/2006/relationships/hyperlink" Target="https://bulbapedia.bulbagarden.net/w/index.php?title=Larvesta_(Chilling_Reign_23)&amp;action=edit&amp;redlink=1" TargetMode="External"/><Relationship Id="rId119" Type="http://schemas.openxmlformats.org/officeDocument/2006/relationships/hyperlink" Target="https://bulbapedia.bulbagarden.net/w/index.php?title=Blissey_V_(Chilling_Reign_119)&amp;action=edit&amp;redlink=1" TargetMode="External"/><Relationship Id="rId44" Type="http://schemas.openxmlformats.org/officeDocument/2006/relationships/hyperlink" Target="https://bulbapedia.bulbagarden.net/w/index.php?title=Rapid_Strike_Urshifu_(Chilling_Reign_44)&amp;action=edit&amp;redlink=1" TargetMode="External"/><Relationship Id="rId65" Type="http://schemas.openxmlformats.org/officeDocument/2006/relationships/hyperlink" Target="https://bulbapedia.bulbagarden.net/w/index.php?title=Golett_(Chilling_Reign_65)&amp;action=edit&amp;redlink=1" TargetMode="External"/><Relationship Id="rId86" Type="http://schemas.openxmlformats.org/officeDocument/2006/relationships/hyperlink" Target="https://bulbapedia.bulbagarden.net/w/index.php?title=Rockruff_(Chilling_Reign_86)&amp;action=edit&amp;redlink=1" TargetMode="External"/><Relationship Id="rId130" Type="http://schemas.openxmlformats.org/officeDocument/2006/relationships/hyperlink" Target="https://bulbapedia.bulbagarden.net/w/index.php?title=Avery_(Chilling_Reign_130)&amp;action=edit&amp;redlink=1" TargetMode="External"/><Relationship Id="rId151" Type="http://schemas.openxmlformats.org/officeDocument/2006/relationships/hyperlink" Target="https://bulbapedia.bulbagarden.net/w/index.php?title=Rapid_Strike_Scroll_of_the_Skies_(Chilling_Reign_151)&amp;action=edit&amp;redlink=1" TargetMode="External"/><Relationship Id="rId172" Type="http://schemas.openxmlformats.org/officeDocument/2006/relationships/hyperlink" Target="https://bulbapedia.bulbagarden.net/w/index.php?title=Shadow_Rider_Calyrex_V_(Chilling_Reign_172)&amp;action=edit&amp;redlink=1" TargetMode="External"/><Relationship Id="rId193" Type="http://schemas.openxmlformats.org/officeDocument/2006/relationships/hyperlink" Target="https://bulbapedia.bulbagarden.net/w/index.php?title=Karen%27s_Conviction_(Chilling_Reign_193)&amp;action=edit&amp;redlink=1" TargetMode="External"/><Relationship Id="rId207" Type="http://schemas.openxmlformats.org/officeDocument/2006/relationships/hyperlink" Target="https://bulbapedia.bulbagarden.net/wiki/Galarian_Slowking_VMAX_(Chilling_Reign_207)" TargetMode="External"/><Relationship Id="rId228" Type="http://schemas.openxmlformats.org/officeDocument/2006/relationships/hyperlink" Target="https://bulbapedia.bulbagarden.net/wiki/Rugged_Helmet_(Chilling_Reign_228)" TargetMode="External"/><Relationship Id="rId13" Type="http://schemas.openxmlformats.org/officeDocument/2006/relationships/hyperlink" Target="https://bulbapedia.bulbagarden.net/w/index.php?title=Bounsweet_(Chilling_Reign_13)&amp;action=edit&amp;redlink=1" TargetMode="External"/><Relationship Id="rId109" Type="http://schemas.openxmlformats.org/officeDocument/2006/relationships/hyperlink" Target="https://bulbapedia.bulbagarden.net/w/index.php?title=Aron_(Chilling_Reign_109)&amp;action=edit&amp;redlink=1" TargetMode="External"/><Relationship Id="rId34" Type="http://schemas.openxmlformats.org/officeDocument/2006/relationships/hyperlink" Target="https://bulbapedia.bulbagarden.net/wiki/Castform_Snowy_Form_(Chilling_Reign_34)" TargetMode="External"/><Relationship Id="rId55" Type="http://schemas.openxmlformats.org/officeDocument/2006/relationships/hyperlink" Target="https://bulbapedia.bulbagarden.net/w/index.php?title=Gastly_(Chilling_Reign_55)&amp;action=edit&amp;redlink=1" TargetMode="External"/><Relationship Id="rId76" Type="http://schemas.openxmlformats.org/officeDocument/2006/relationships/hyperlink" Target="https://bulbapedia.bulbagarden.net/w/index.php?title=Diglett_(Chilling_Reign_76)&amp;action=edit&amp;redlink=1" TargetMode="External"/><Relationship Id="rId97" Type="http://schemas.openxmlformats.org/officeDocument/2006/relationships/hyperlink" Target="https://bulbapedia.bulbagarden.net/wiki/Galarian_Moltres_V_(Chilling_Reign_97)" TargetMode="External"/><Relationship Id="rId120" Type="http://schemas.openxmlformats.org/officeDocument/2006/relationships/hyperlink" Target="https://bulbapedia.bulbagarden.net/w/index.php?title=Zangoose_(Chilling_Reign_120)&amp;action=edit&amp;redlink=1" TargetMode="External"/><Relationship Id="rId141" Type="http://schemas.openxmlformats.org/officeDocument/2006/relationships/hyperlink" Target="https://bulbapedia.bulbagarden.net/w/index.php?title=Galarian_Chestplate_(Chilling_Reign_141)&amp;action=edit&amp;redlink=1" TargetMode="External"/><Relationship Id="rId7" Type="http://schemas.openxmlformats.org/officeDocument/2006/relationships/hyperlink" Target="https://bulbapedia.bulbagarden.net/w/index.php?title=Celebi_V_(Chilling_Reign_7)&amp;action=edit&amp;redlink=1" TargetMode="External"/><Relationship Id="rId162" Type="http://schemas.openxmlformats.org/officeDocument/2006/relationships/hyperlink" Target="https://bulbapedia.bulbagarden.net/w/index.php?title=Volcanion_V_(Chilling_Reign_162)&amp;action=edit&amp;redlink=1" TargetMode="External"/><Relationship Id="rId183" Type="http://schemas.openxmlformats.org/officeDocument/2006/relationships/hyperlink" Target="https://bulbapedia.bulbagarden.net/w/index.php?title=Blissey_V_(Chilling_Reign_183)&amp;action=edit&amp;redlink=1" TargetMode="External"/><Relationship Id="rId218" Type="http://schemas.openxmlformats.org/officeDocument/2006/relationships/hyperlink" Target="https://bulbapedia.bulbagarden.net/wiki/Melony_(Chilling_Reign_218)" TargetMode="External"/><Relationship Id="rId24" Type="http://schemas.openxmlformats.org/officeDocument/2006/relationships/hyperlink" Target="https://bulbapedia.bulbagarden.net/w/index.php?title=Volcarona_(Chilling_Reign_24)&amp;action=edit&amp;redlink=1" TargetMode="External"/><Relationship Id="rId45" Type="http://schemas.openxmlformats.org/officeDocument/2006/relationships/hyperlink" Target="https://bulbapedia.bulbagarden.net/w/index.php?title=Ice_Rider_Calyrex_V_(Chilling_Reign_45)&amp;action=edit&amp;redlink=1" TargetMode="External"/><Relationship Id="rId66" Type="http://schemas.openxmlformats.org/officeDocument/2006/relationships/hyperlink" Target="https://bulbapedia.bulbagarden.net/w/index.php?title=Golurk_(Chilling_Reign_66)&amp;action=edit&amp;redlink=1" TargetMode="External"/><Relationship Id="rId87" Type="http://schemas.openxmlformats.org/officeDocument/2006/relationships/hyperlink" Target="https://bulbapedia.bulbagarden.net/w/index.php?title=Lycanroc_(Chilling_Reign_87)&amp;action=edit&amp;redlink=1" TargetMode="External"/><Relationship Id="rId110" Type="http://schemas.openxmlformats.org/officeDocument/2006/relationships/hyperlink" Target="https://bulbapedia.bulbagarden.net/w/index.php?title=Lairon_(Chilling_Reign_110)&amp;action=edit&amp;redlink=1" TargetMode="External"/><Relationship Id="rId131" Type="http://schemas.openxmlformats.org/officeDocument/2006/relationships/hyperlink" Target="https://bulbapedia.bulbagarden.net/w/index.php?title=Brawly_(Chilling_Reign_131)&amp;action=edit&amp;redlink=1" TargetMode="External"/><Relationship Id="rId152" Type="http://schemas.openxmlformats.org/officeDocument/2006/relationships/hyperlink" Target="https://bulbapedia.bulbagarden.net/w/index.php?title=Rugged_Helmet_(Chilling_Reign_152)&amp;action=edit&amp;redlink=1" TargetMode="External"/><Relationship Id="rId173" Type="http://schemas.openxmlformats.org/officeDocument/2006/relationships/hyperlink" Target="https://bulbapedia.bulbagarden.net/wiki/Galarian_Zapdos_V_(Chilling_Reign_173)" TargetMode="External"/><Relationship Id="rId194" Type="http://schemas.openxmlformats.org/officeDocument/2006/relationships/hyperlink" Target="https://bulbapedia.bulbagarden.net/w/index.php?title=Klara_(Chilling_Reign_194)&amp;action=edit&amp;redlink=1" TargetMode="External"/><Relationship Id="rId208" Type="http://schemas.openxmlformats.org/officeDocument/2006/relationships/hyperlink" Target="https://bulbapedia.bulbagarden.net/wiki/Metagross_VMAX_(Chilling_Reign_208)" TargetMode="External"/><Relationship Id="rId229" Type="http://schemas.openxmlformats.org/officeDocument/2006/relationships/hyperlink" Target="https://bulbapedia.bulbagarden.net/wiki/Urn_of_Vitality_(Chilling_Reign_229)" TargetMode="External"/><Relationship Id="rId14" Type="http://schemas.openxmlformats.org/officeDocument/2006/relationships/hyperlink" Target="https://bulbapedia.bulbagarden.net/w/index.php?title=Steenee_(Chilling_Reign_14)&amp;action=edit&amp;redlink=1" TargetMode="External"/><Relationship Id="rId35" Type="http://schemas.openxmlformats.org/officeDocument/2006/relationships/hyperlink" Target="https://bulbapedia.bulbagarden.net/w/index.php?title=Snorunt_(Chilling_Reign_35)&amp;action=edit&amp;redlink=1" TargetMode="External"/><Relationship Id="rId56" Type="http://schemas.openxmlformats.org/officeDocument/2006/relationships/hyperlink" Target="https://bulbapedia.bulbagarden.net/w/index.php?title=Haunter_(Chilling_Reign_56)&amp;action=edit&amp;redlink=1" TargetMode="External"/><Relationship Id="rId77" Type="http://schemas.openxmlformats.org/officeDocument/2006/relationships/hyperlink" Target="https://bulbapedia.bulbagarden.net/w/index.php?title=Dugtrio_(Chilling_Reign_77)&amp;action=edit&amp;redlink=1" TargetMode="External"/><Relationship Id="rId100" Type="http://schemas.openxmlformats.org/officeDocument/2006/relationships/hyperlink" Target="https://bulbapedia.bulbagarden.net/w/index.php?title=Galarian_Slowking_VMAX_(Chilling_Reign_100)&amp;action=edit&amp;redlink=1" TargetMode="External"/><Relationship Id="rId8" Type="http://schemas.openxmlformats.org/officeDocument/2006/relationships/hyperlink" Target="https://bulbapedia.bulbagarden.net/w/index.php?title=Celebi_VMAX_(Chilling_Reign_8)&amp;action=edit&amp;redlink=1" TargetMode="External"/><Relationship Id="rId98" Type="http://schemas.openxmlformats.org/officeDocument/2006/relationships/hyperlink" Target="https://bulbapedia.bulbagarden.net/w/index.php?title=Galarian_Slowking_(Chilling_Reign_98)&amp;action=edit&amp;redlink=1" TargetMode="External"/><Relationship Id="rId121" Type="http://schemas.openxmlformats.org/officeDocument/2006/relationships/hyperlink" Target="https://bulbapedia.bulbagarden.net/wiki/Castform_(Chilling_Reign_121)" TargetMode="External"/><Relationship Id="rId142" Type="http://schemas.openxmlformats.org/officeDocument/2006/relationships/hyperlink" Target="https://bulbapedia.bulbagarden.net/w/index.php?title=Honey_(Chilling_Reign_142)&amp;action=edit&amp;redlink=1" TargetMode="External"/><Relationship Id="rId163" Type="http://schemas.openxmlformats.org/officeDocument/2006/relationships/hyperlink" Target="https://bulbapedia.bulbagarden.net/w/index.php?title=Ice_Rider_Calyrex_V_(Chilling_Reign_163)&amp;action=edit&amp;redlink=1" TargetMode="External"/><Relationship Id="rId184" Type="http://schemas.openxmlformats.org/officeDocument/2006/relationships/hyperlink" Target="https://bulbapedia.bulbagarden.net/w/index.php?title=Tornadus_V_(Chilling_Reign_184)&amp;action=edit&amp;redlink=1" TargetMode="External"/><Relationship Id="rId219" Type="http://schemas.openxmlformats.org/officeDocument/2006/relationships/hyperlink" Target="https://bulbapedia.bulbagarden.net/wiki/Peonia_(Chilling_Reign_219)" TargetMode="External"/><Relationship Id="rId230" Type="http://schemas.openxmlformats.org/officeDocument/2006/relationships/hyperlink" Target="https://bulbapedia.bulbagarden.net/wiki/Welcoming_Lantern_(Chilling_Reign_230)" TargetMode="External"/><Relationship Id="rId25" Type="http://schemas.openxmlformats.org/officeDocument/2006/relationships/hyperlink" Target="https://bulbapedia.bulbagarden.net/w/index.php?title=Volcanion_V_(Chilling_Reign_25)&amp;action=edit&amp;redlink=1" TargetMode="External"/><Relationship Id="rId46" Type="http://schemas.openxmlformats.org/officeDocument/2006/relationships/hyperlink" Target="https://bulbapedia.bulbagarden.net/wiki/Ice_Rider_Calyrex_VMAX_(Chilling_Reign_46)" TargetMode="External"/><Relationship Id="rId67" Type="http://schemas.openxmlformats.org/officeDocument/2006/relationships/hyperlink" Target="https://bulbapedia.bulbagarden.net/w/index.php?title=Swirlix_(Chilling_Reign_67)&amp;action=edit&amp;redlink=1" TargetMode="External"/><Relationship Id="rId20" Type="http://schemas.openxmlformats.org/officeDocument/2006/relationships/hyperlink" Target="https://bulbapedia.bulbagarden.net/w/index.php?title=Blaziken_V_(Chilling_Reign_20)&amp;action=edit&amp;redlink=1" TargetMode="External"/><Relationship Id="rId41" Type="http://schemas.openxmlformats.org/officeDocument/2006/relationships/hyperlink" Target="https://bulbapedia.bulbagarden.net/w/index.php?title=Sobble_(Chilling_Reign_41)&amp;action=edit&amp;redlink=1" TargetMode="External"/><Relationship Id="rId62" Type="http://schemas.openxmlformats.org/officeDocument/2006/relationships/hyperlink" Target="https://bulbapedia.bulbagarden.net/w/index.php?title=Shuppet_(Chilling_Reign_62)&amp;action=edit&amp;redlink=1" TargetMode="External"/><Relationship Id="rId83" Type="http://schemas.openxmlformats.org/officeDocument/2006/relationships/hyperlink" Target="https://bulbapedia.bulbagarden.net/w/index.php?title=Galarian_Runerigus_(Chilling_Reign_83)&amp;action=edit&amp;redlink=1" TargetMode="External"/><Relationship Id="rId88" Type="http://schemas.openxmlformats.org/officeDocument/2006/relationships/hyperlink" Target="https://bulbapedia.bulbagarden.net/w/index.php?title=Passimian_(Chilling_Reign_88)&amp;action=edit&amp;redlink=1" TargetMode="External"/><Relationship Id="rId111" Type="http://schemas.openxmlformats.org/officeDocument/2006/relationships/hyperlink" Target="https://bulbapedia.bulbagarden.net/w/index.php?title=Aggron_(Chilling_Reign_111)&amp;action=edit&amp;redlink=1" TargetMode="External"/><Relationship Id="rId132" Type="http://schemas.openxmlformats.org/officeDocument/2006/relationships/hyperlink" Target="https://bulbapedia.bulbagarden.net/w/index.php?title=Caitlin_(Chilling_Reign_132)&amp;action=edit&amp;redlink=1" TargetMode="External"/><Relationship Id="rId153" Type="http://schemas.openxmlformats.org/officeDocument/2006/relationships/hyperlink" Target="https://bulbapedia.bulbagarden.net/w/index.php?title=Siebold_(Chilling_Reign_153)&amp;action=edit&amp;redlink=1" TargetMode="External"/><Relationship Id="rId174" Type="http://schemas.openxmlformats.org/officeDocument/2006/relationships/hyperlink" Target="https://bulbapedia.bulbagarden.net/wiki/Galarian_Zapdos_V_(Chilling_Reign_174)" TargetMode="External"/><Relationship Id="rId179" Type="http://schemas.openxmlformats.org/officeDocument/2006/relationships/hyperlink" Target="https://bulbapedia.bulbagarden.net/w/index.php?title=Galarian_Slowking_V_(Chilling_Reign_179)&amp;action=edit&amp;redlink=1" TargetMode="External"/><Relationship Id="rId195" Type="http://schemas.openxmlformats.org/officeDocument/2006/relationships/hyperlink" Target="https://bulbapedia.bulbagarden.net/w/index.php?title=Melony_(Chilling_Reign_195)&amp;action=edit&amp;redlink=1" TargetMode="External"/><Relationship Id="rId209" Type="http://schemas.openxmlformats.org/officeDocument/2006/relationships/hyperlink" Target="https://bulbapedia.bulbagarden.net/wiki/Tornadus_VMAX_(Chilling_Reign_209)" TargetMode="External"/><Relationship Id="rId190" Type="http://schemas.openxmlformats.org/officeDocument/2006/relationships/hyperlink" Target="https://bulbapedia.bulbagarden.net/w/index.php?title=Doctor_(Chilling_Reign_190)&amp;action=edit&amp;redlink=1" TargetMode="External"/><Relationship Id="rId204" Type="http://schemas.openxmlformats.org/officeDocument/2006/relationships/hyperlink" Target="https://bulbapedia.bulbagarden.net/wiki/Shadow_Rider_Calyrex_VMAX_(Chilling_Reign_204)" TargetMode="External"/><Relationship Id="rId220" Type="http://schemas.openxmlformats.org/officeDocument/2006/relationships/hyperlink" Target="https://bulbapedia.bulbagarden.net/wiki/Peony_(Chilling_Reign_220)" TargetMode="External"/><Relationship Id="rId225" Type="http://schemas.openxmlformats.org/officeDocument/2006/relationships/hyperlink" Target="https://bulbapedia.bulbagarden.net/wiki/Echoing_Horn_(Chilling_Reign_225)" TargetMode="External"/><Relationship Id="rId15" Type="http://schemas.openxmlformats.org/officeDocument/2006/relationships/hyperlink" Target="https://bulbapedia.bulbagarden.net/w/index.php?title=Tsareena_(Chilling_Reign_15)&amp;action=edit&amp;redlink=1" TargetMode="External"/><Relationship Id="rId36" Type="http://schemas.openxmlformats.org/officeDocument/2006/relationships/hyperlink" Target="https://bulbapedia.bulbagarden.net/w/index.php?title=Froslass_(Chilling_Reign_36)&amp;action=edit&amp;redlink=1" TargetMode="External"/><Relationship Id="rId57" Type="http://schemas.openxmlformats.org/officeDocument/2006/relationships/hyperlink" Target="https://bulbapedia.bulbagarden.net/w/index.php?title=Gengar_(Chilling_Reign_57)&amp;action=edit&amp;redlink=1" TargetMode="External"/><Relationship Id="rId106" Type="http://schemas.openxmlformats.org/officeDocument/2006/relationships/hyperlink" Target="https://bulbapedia.bulbagarden.net/w/index.php?title=Whirlipede_(Chilling_Reign_106)&amp;action=edit&amp;redlink=1" TargetMode="External"/><Relationship Id="rId127" Type="http://schemas.openxmlformats.org/officeDocument/2006/relationships/hyperlink" Target="https://bulbapedia.bulbagarden.net/w/index.php?title=Skwovet_(Chilling_Reign_127)&amp;action=edit&amp;redlink=1" TargetMode="External"/><Relationship Id="rId10" Type="http://schemas.openxmlformats.org/officeDocument/2006/relationships/hyperlink" Target="https://bulbapedia.bulbagarden.net/w/index.php?title=Abomasnow_(Chilling_Reign_10)&amp;action=edit&amp;redlink=1" TargetMode="External"/><Relationship Id="rId31" Type="http://schemas.openxmlformats.org/officeDocument/2006/relationships/hyperlink" Target="https://bulbapedia.bulbagarden.net/w/index.php?title=Weavile_(Chilling_Reign_31)&amp;action=edit&amp;redlink=1" TargetMode="External"/><Relationship Id="rId52" Type="http://schemas.openxmlformats.org/officeDocument/2006/relationships/hyperlink" Target="https://bulbapedia.bulbagarden.net/w/index.php?title=Thundurus_(Chilling_Reign_52)&amp;action=edit&amp;redlink=1" TargetMode="External"/><Relationship Id="rId73" Type="http://schemas.openxmlformats.org/officeDocument/2006/relationships/hyperlink" Target="https://bulbapedia.bulbagarden.net/w/index.php?title=Hatterene_(Chilling_Reign_73)&amp;action=edit&amp;redlink=1" TargetMode="External"/><Relationship Id="rId78" Type="http://schemas.openxmlformats.org/officeDocument/2006/relationships/hyperlink" Target="https://bulbapedia.bulbagarden.net/w/index.php?title=Galarian_Farfetch%27d_(Chilling_Reign_78)&amp;action=edit&amp;redlink=1" TargetMode="External"/><Relationship Id="rId94" Type="http://schemas.openxmlformats.org/officeDocument/2006/relationships/hyperlink" Target="https://bulbapedia.bulbagarden.net/w/index.php?title=Koffing_(Chilling_Reign_94)&amp;action=edit&amp;redlink=1" TargetMode="External"/><Relationship Id="rId99" Type="http://schemas.openxmlformats.org/officeDocument/2006/relationships/hyperlink" Target="https://bulbapedia.bulbagarden.net/w/index.php?title=Galarian_Slowking_V_(Chilling_Reign_99)&amp;action=edit&amp;redlink=1" TargetMode="External"/><Relationship Id="rId101" Type="http://schemas.openxmlformats.org/officeDocument/2006/relationships/hyperlink" Target="https://bulbapedia.bulbagarden.net/w/index.php?title=Qwilfish_(Chilling_Reign_101)&amp;action=edit&amp;redlink=1" TargetMode="External"/><Relationship Id="rId122" Type="http://schemas.openxmlformats.org/officeDocument/2006/relationships/hyperlink" Target="https://bulbapedia.bulbagarden.net/w/index.php?title=Kecleon_(Chilling_Reign_122)&amp;action=edit&amp;redlink=1" TargetMode="External"/><Relationship Id="rId143" Type="http://schemas.openxmlformats.org/officeDocument/2006/relationships/hyperlink" Target="https://bulbapedia.bulbagarden.net/w/index.php?title=Justified_Gloves_(Chilling_Reign_143)&amp;action=edit&amp;redlink=1" TargetMode="External"/><Relationship Id="rId148" Type="http://schemas.openxmlformats.org/officeDocument/2006/relationships/hyperlink" Target="https://bulbapedia.bulbagarden.net/w/index.php?title=Path_to_the_Peak_(Chilling_Reign_148)&amp;action=edit&amp;redlink=1" TargetMode="External"/><Relationship Id="rId164" Type="http://schemas.openxmlformats.org/officeDocument/2006/relationships/hyperlink" Target="https://bulbapedia.bulbagarden.net/w/index.php?title=Ice_Rider_Calyrex_V_(Chilling_Reign_164)&amp;action=edit&amp;redlink=1" TargetMode="External"/><Relationship Id="rId169" Type="http://schemas.openxmlformats.org/officeDocument/2006/relationships/hyperlink" Target="https://bulbapedia.bulbagarden.net/wiki/Galarian_Articuno_V_(Chilling_Reign_169)" TargetMode="External"/><Relationship Id="rId185" Type="http://schemas.openxmlformats.org/officeDocument/2006/relationships/hyperlink" Target="https://bulbapedia.bulbagarden.net/w/index.php?title=Tornadus_V_(Chilling_Reign_185)&amp;action=edit&amp;redlink=1" TargetMode="External"/><Relationship Id="rId4" Type="http://schemas.openxmlformats.org/officeDocument/2006/relationships/hyperlink" Target="https://bulbapedia.bulbagarden.net/w/index.php?title=Ledyba_(Chilling_Reign_4)&amp;action=edit&amp;redlink=1" TargetMode="External"/><Relationship Id="rId9" Type="http://schemas.openxmlformats.org/officeDocument/2006/relationships/hyperlink" Target="https://bulbapedia.bulbagarden.net/w/index.php?title=Snover_(Chilling_Reign_9)&amp;action=edit&amp;redlink=1" TargetMode="External"/><Relationship Id="rId180" Type="http://schemas.openxmlformats.org/officeDocument/2006/relationships/hyperlink" Target="https://bulbapedia.bulbagarden.net/w/index.php?title=Liepard_V_(Chilling_Reign_180)&amp;action=edit&amp;redlink=1" TargetMode="External"/><Relationship Id="rId210" Type="http://schemas.openxmlformats.org/officeDocument/2006/relationships/hyperlink" Target="https://bulbapedia.bulbagarden.net/wiki/Agatha_(Chilling_Reign_210)" TargetMode="External"/><Relationship Id="rId215" Type="http://schemas.openxmlformats.org/officeDocument/2006/relationships/hyperlink" Target="https://bulbapedia.bulbagarden.net/wiki/Flannery_(Chilling_Reign_215)" TargetMode="External"/><Relationship Id="rId26" Type="http://schemas.openxmlformats.org/officeDocument/2006/relationships/hyperlink" Target="https://bulbapedia.bulbagarden.net/w/index.php?title=Scorbunny_(Chilling_Reign_26)&amp;action=edit&amp;redlink=1" TargetMode="External"/><Relationship Id="rId231" Type="http://schemas.openxmlformats.org/officeDocument/2006/relationships/hyperlink" Target="https://bulbapedia.bulbagarden.net/w/index.php?title=Water_Energy_(Chilling_Reign_231)&amp;action=edit&amp;redlink=1" TargetMode="External"/><Relationship Id="rId47" Type="http://schemas.openxmlformats.org/officeDocument/2006/relationships/hyperlink" Target="https://bulbapedia.bulbagarden.net/w/index.php?title=Mareep_(Chilling_Reign_47)&amp;action=edit&amp;redlink=1" TargetMode="External"/><Relationship Id="rId68" Type="http://schemas.openxmlformats.org/officeDocument/2006/relationships/hyperlink" Target="https://bulbapedia.bulbagarden.net/w/index.php?title=Slurpuff_(Chilling_Reign_68)&amp;action=edit&amp;redlink=1" TargetMode="External"/><Relationship Id="rId89" Type="http://schemas.openxmlformats.org/officeDocument/2006/relationships/hyperlink" Target="https://bulbapedia.bulbagarden.net/w/index.php?title=Sandaconda_V_(Chilling_Reign_89)&amp;action=edit&amp;redlink=1" TargetMode="External"/><Relationship Id="rId112" Type="http://schemas.openxmlformats.org/officeDocument/2006/relationships/hyperlink" Target="https://bulbapedia.bulbagarden.net/w/index.php?title=Metagross_V_(Chilling_Reign_112)&amp;action=edit&amp;redlink=1" TargetMode="External"/><Relationship Id="rId133" Type="http://schemas.openxmlformats.org/officeDocument/2006/relationships/hyperlink" Target="https://bulbapedia.bulbagarden.net/w/index.php?title=Crushing_Gloves_(Chilling_Reign_133)&amp;action=edit&amp;redlink=1" TargetMode="External"/><Relationship Id="rId154" Type="http://schemas.openxmlformats.org/officeDocument/2006/relationships/hyperlink" Target="https://bulbapedia.bulbagarden.net/w/index.php?title=Single_Strike_Scroll_of_Piercing_(Chilling_Reign_154)&amp;action=edit&amp;redlink=1" TargetMode="External"/><Relationship Id="rId175" Type="http://schemas.openxmlformats.org/officeDocument/2006/relationships/hyperlink" Target="https://bulbapedia.bulbagarden.net/w/index.php?title=Sandaconda_V_(Chilling_Reign_175)&amp;action=edit&amp;redlink=1" TargetMode="External"/><Relationship Id="rId196" Type="http://schemas.openxmlformats.org/officeDocument/2006/relationships/hyperlink" Target="https://bulbapedia.bulbagarden.net/w/index.php?title=Peonia_(Chilling_Reign_196)&amp;action=edit&amp;redlink=1" TargetMode="External"/><Relationship Id="rId200" Type="http://schemas.openxmlformats.org/officeDocument/2006/relationships/hyperlink" Target="https://bulbapedia.bulbagarden.net/wiki/Blaziken_VMAX_(Chilling_Reign_200)" TargetMode="External"/><Relationship Id="rId16" Type="http://schemas.openxmlformats.org/officeDocument/2006/relationships/hyperlink" Target="https://bulbapedia.bulbagarden.net/w/index.php?title=Grookey_(Chilling_Reign_16)&amp;action=edit&amp;redlink=1" TargetMode="External"/><Relationship Id="rId221" Type="http://schemas.openxmlformats.org/officeDocument/2006/relationships/hyperlink" Target="https://bulbapedia.bulbagarden.net/wiki/Siebold_(Chilling_Reign_221)" TargetMode="External"/><Relationship Id="rId37" Type="http://schemas.openxmlformats.org/officeDocument/2006/relationships/hyperlink" Target="https://bulbapedia.bulbagarden.net/w/index.php?title=Spheal_(Chilling_Reign_37)&amp;action=edit&amp;redlink=1" TargetMode="External"/><Relationship Id="rId58" Type="http://schemas.openxmlformats.org/officeDocument/2006/relationships/hyperlink" Target="https://bulbapedia.bulbagarden.net/wiki/Galarian_Articuno_V_(Chilling_Reign_58)" TargetMode="External"/><Relationship Id="rId79" Type="http://schemas.openxmlformats.org/officeDocument/2006/relationships/hyperlink" Target="https://bulbapedia.bulbagarden.net/w/index.php?title=Galarian_Sirfetch%27d_(Chilling_Reign_79)&amp;action=edit&amp;redlink=1" TargetMode="External"/><Relationship Id="rId102" Type="http://schemas.openxmlformats.org/officeDocument/2006/relationships/hyperlink" Target="https://bulbapedia.bulbagarden.net/w/index.php?title=Seviper_(Chilling_Reign_102)&amp;action=edit&amp;redlink=1" TargetMode="External"/><Relationship Id="rId123" Type="http://schemas.openxmlformats.org/officeDocument/2006/relationships/hyperlink" Target="https://bulbapedia.bulbagarden.net/w/index.php?title=Shaymin_(Chilling_Reign_123)&amp;action=edit&amp;redlink=1" TargetMode="External"/><Relationship Id="rId144" Type="http://schemas.openxmlformats.org/officeDocument/2006/relationships/hyperlink" Target="https://bulbapedia.bulbagarden.net/w/index.php?title=Karen%27s_Conviction_(Chilling_Reign_144)&amp;action=edit&amp;redlink=1" TargetMode="External"/><Relationship Id="rId90" Type="http://schemas.openxmlformats.org/officeDocument/2006/relationships/hyperlink" Target="https://bulbapedia.bulbagarden.net/w/index.php?title=Sandaconda_VMAX_(Chilling_Reign_90)&amp;action=edit&amp;redlink=1" TargetMode="External"/><Relationship Id="rId165" Type="http://schemas.openxmlformats.org/officeDocument/2006/relationships/hyperlink" Target="https://bulbapedia.bulbagarden.net/w/index.php?title=Zeraora_V_(Chilling_Reign_165)&amp;action=edit&amp;redlink=1" TargetMode="External"/><Relationship Id="rId186" Type="http://schemas.openxmlformats.org/officeDocument/2006/relationships/hyperlink" Target="https://bulbapedia.bulbagarden.net/w/index.php?title=Agatha_(Chilling_Reign_186)&amp;action=edit&amp;redlink=1" TargetMode="External"/><Relationship Id="rId211" Type="http://schemas.openxmlformats.org/officeDocument/2006/relationships/hyperlink" Target="https://bulbapedia.bulbagarden.net/wiki/Avery_(Chilling_Reign_211)" TargetMode="External"/><Relationship Id="rId232" Type="http://schemas.openxmlformats.org/officeDocument/2006/relationships/hyperlink" Target="https://bulbapedia.bulbagarden.net/w/index.php?title=Psychic_Energy_(Chilling_Reign_232)&amp;action=edit&amp;redlink=1" TargetMode="External"/><Relationship Id="rId27" Type="http://schemas.openxmlformats.org/officeDocument/2006/relationships/hyperlink" Target="https://bulbapedia.bulbagarden.net/w/index.php?title=Raboot_(Chilling_Reign_27)&amp;action=edit&amp;redlink=1" TargetMode="External"/><Relationship Id="rId48" Type="http://schemas.openxmlformats.org/officeDocument/2006/relationships/hyperlink" Target="https://bulbapedia.bulbagarden.net/w/index.php?title=Flaaffy_(Chilling_Reign_48)&amp;action=edit&amp;redlink=1" TargetMode="External"/><Relationship Id="rId69" Type="http://schemas.openxmlformats.org/officeDocument/2006/relationships/hyperlink" Target="https://bulbapedia.bulbagarden.net/w/index.php?title=Inkay_(Chilling_Reign_69)&amp;action=edit&amp;redlink=1" TargetMode="External"/><Relationship Id="rId113" Type="http://schemas.openxmlformats.org/officeDocument/2006/relationships/hyperlink" Target="https://bulbapedia.bulbagarden.net/w/index.php?title=Metagross_VMAX_(Chilling_Reign_113)&amp;action=edit&amp;redlink=1" TargetMode="External"/><Relationship Id="rId134" Type="http://schemas.openxmlformats.org/officeDocument/2006/relationships/hyperlink" Target="https://bulbapedia.bulbagarden.net/w/index.php?title=Doctor_(Chilling_Reign_134)&amp;action=edit&amp;redlink=1" TargetMode="External"/><Relationship Id="rId80" Type="http://schemas.openxmlformats.org/officeDocument/2006/relationships/hyperlink" Target="https://bulbapedia.bulbagarden.net/wiki/Galarian_Zapdos_V_(Chilling_Reign_80)" TargetMode="External"/><Relationship Id="rId155" Type="http://schemas.openxmlformats.org/officeDocument/2006/relationships/hyperlink" Target="https://bulbapedia.bulbagarden.net/w/index.php?title=Weeding_Gloves_(Chilling_Reign_155)&amp;action=edit&amp;redlink=1" TargetMode="External"/><Relationship Id="rId176" Type="http://schemas.openxmlformats.org/officeDocument/2006/relationships/hyperlink" Target="https://bulbapedia.bulbagarden.net/wiki/Galarian_Moltres_V_(Chilling_Reign_176)" TargetMode="External"/><Relationship Id="rId197" Type="http://schemas.openxmlformats.org/officeDocument/2006/relationships/hyperlink" Target="https://bulbapedia.bulbagarden.net/w/index.php?title=Peony_(Chilling_Reign_197)&amp;action=edit&amp;redlink=1" TargetMode="External"/><Relationship Id="rId201" Type="http://schemas.openxmlformats.org/officeDocument/2006/relationships/hyperlink" Target="https://bulbapedia.bulbagarden.net/wiki/Blaziken_VMAX_(Chilling_Reign_201)" TargetMode="External"/><Relationship Id="rId222" Type="http://schemas.openxmlformats.org/officeDocument/2006/relationships/hyperlink" Target="https://bulbapedia.bulbagarden.net/wiki/Electrode_(Chilling_Reign_222)" TargetMode="External"/><Relationship Id="rId17" Type="http://schemas.openxmlformats.org/officeDocument/2006/relationships/hyperlink" Target="https://bulbapedia.bulbagarden.net/w/index.php?title=Thwackey_(Chilling_Reign_17)&amp;action=edit&amp;redlink=1" TargetMode="External"/><Relationship Id="rId38" Type="http://schemas.openxmlformats.org/officeDocument/2006/relationships/hyperlink" Target="https://bulbapedia.bulbagarden.net/w/index.php?title=Sealeo_(Chilling_Reign_38)&amp;action=edit&amp;redlink=1" TargetMode="External"/><Relationship Id="rId59" Type="http://schemas.openxmlformats.org/officeDocument/2006/relationships/hyperlink" Target="https://bulbapedia.bulbagarden.net/w/index.php?title=Ralts_(Chilling_Reign_59)&amp;action=edit&amp;redlink=1" TargetMode="External"/><Relationship Id="rId103" Type="http://schemas.openxmlformats.org/officeDocument/2006/relationships/hyperlink" Target="https://bulbapedia.bulbagarden.net/w/index.php?title=Spiritomb_(Chilling_Reign_103)&amp;action=edit&amp;redlink=1" TargetMode="External"/><Relationship Id="rId124" Type="http://schemas.openxmlformats.org/officeDocument/2006/relationships/hyperlink" Target="https://bulbapedia.bulbagarden.net/w/index.php?title=Tornadus_V_(Chilling_Reign_124)&amp;action=edit&amp;redlink=1" TargetMode="External"/><Relationship Id="rId70" Type="http://schemas.openxmlformats.org/officeDocument/2006/relationships/hyperlink" Target="https://bulbapedia.bulbagarden.net/w/index.php?title=Malamar_(Chilling_Reign_70)&amp;action=edit&amp;redlink=1" TargetMode="External"/><Relationship Id="rId91" Type="http://schemas.openxmlformats.org/officeDocument/2006/relationships/hyperlink" Target="https://bulbapedia.bulbagarden.net/w/index.php?title=Clobbopus_(Chilling_Reign_91)&amp;action=edit&amp;redlink=1" TargetMode="External"/><Relationship Id="rId145" Type="http://schemas.openxmlformats.org/officeDocument/2006/relationships/hyperlink" Target="https://bulbapedia.bulbagarden.net/w/index.php?title=Klara_(Chilling_Reign_145)&amp;action=edit&amp;redlink=1" TargetMode="External"/><Relationship Id="rId166" Type="http://schemas.openxmlformats.org/officeDocument/2006/relationships/hyperlink" Target="https://bulbapedia.bulbagarden.net/w/index.php?title=Zeraora_V_(Chilling_Reign_166)&amp;action=edit&amp;redlink=1" TargetMode="External"/><Relationship Id="rId187" Type="http://schemas.openxmlformats.org/officeDocument/2006/relationships/hyperlink" Target="https://bulbapedia.bulbagarden.net/w/index.php?title=Avery_(Chilling_Reign_187)&amp;action=edit&amp;redlink=1" TargetMode="External"/><Relationship Id="rId1" Type="http://schemas.openxmlformats.org/officeDocument/2006/relationships/hyperlink" Target="https://bulbapedia.bulbagarden.net/w/index.php?title=Weedle_(Chilling_Reign_1)&amp;action=edit&amp;redlink=1" TargetMode="External"/><Relationship Id="rId212" Type="http://schemas.openxmlformats.org/officeDocument/2006/relationships/hyperlink" Target="https://bulbapedia.bulbagarden.net/wiki/Brawly_(Chilling_Reign_212)" TargetMode="External"/><Relationship Id="rId233" Type="http://schemas.openxmlformats.org/officeDocument/2006/relationships/hyperlink" Target="https://bulbapedia.bulbagarden.net/w/index.php?title=Fighting_Energy_(Chilling_Reign_233)&amp;action=edit&amp;redlink=1" TargetMode="External"/><Relationship Id="rId28" Type="http://schemas.openxmlformats.org/officeDocument/2006/relationships/hyperlink" Target="https://bulbapedia.bulbagarden.net/w/index.php?title=Cinderace_(Chilling_Reign_28)&amp;action=edit&amp;redlink=1" TargetMode="External"/><Relationship Id="rId49" Type="http://schemas.openxmlformats.org/officeDocument/2006/relationships/hyperlink" Target="https://bulbapedia.bulbagarden.net/w/index.php?title=Ampharos_(Chilling_Reign_49)&amp;action=edit&amp;redlink=1" TargetMode="External"/><Relationship Id="rId114" Type="http://schemas.openxmlformats.org/officeDocument/2006/relationships/hyperlink" Target="https://bulbapedia.bulbagarden.net/w/index.php?title=Cobalion_(Chilling_Reign_114)&amp;action=edit&amp;redlink=1" TargetMode="External"/><Relationship Id="rId60" Type="http://schemas.openxmlformats.org/officeDocument/2006/relationships/hyperlink" Target="https://bulbapedia.bulbagarden.net/w/index.php?title=Kirlia_(Chilling_Reign_60)&amp;action=edit&amp;redlink=1" TargetMode="External"/><Relationship Id="rId81" Type="http://schemas.openxmlformats.org/officeDocument/2006/relationships/hyperlink" Target="https://bulbapedia.bulbagarden.net/w/index.php?title=Gallade_(Chilling_Reign_81)&amp;action=edit&amp;redlink=1" TargetMode="External"/><Relationship Id="rId135" Type="http://schemas.openxmlformats.org/officeDocument/2006/relationships/hyperlink" Target="https://bulbapedia.bulbagarden.net/w/index.php?title=Dyna_Tree_Hill_(Chilling_Reign_135)&amp;action=edit&amp;redlink=1" TargetMode="External"/><Relationship Id="rId156" Type="http://schemas.openxmlformats.org/officeDocument/2006/relationships/hyperlink" Target="https://bulbapedia.bulbagarden.net/w/index.php?title=Welcoming_Lantern_(Chilling_Reign_156)&amp;action=edit&amp;redlink=1" TargetMode="External"/><Relationship Id="rId177" Type="http://schemas.openxmlformats.org/officeDocument/2006/relationships/hyperlink" Target="https://bulbapedia.bulbagarden.net/wiki/Galarian_Moltres_V_(Chilling_Reign_177)" TargetMode="External"/><Relationship Id="rId198" Type="http://schemas.openxmlformats.org/officeDocument/2006/relationships/hyperlink" Target="https://bulbapedia.bulbagarden.net/w/index.php?title=Siebold_(Chilling_Reign_198)&amp;action=edit&amp;redlink=1" TargetMode="External"/><Relationship Id="rId202" Type="http://schemas.openxmlformats.org/officeDocument/2006/relationships/hyperlink" Target="https://bulbapedia.bulbagarden.net/wiki/Ice_Rider_Calyrex_VMAX_(Chilling_Reign_202)" TargetMode="External"/><Relationship Id="rId223" Type="http://schemas.openxmlformats.org/officeDocument/2006/relationships/hyperlink" Target="https://bulbapedia.bulbagarden.net/wiki/Bronzong_(Chilling_Reign_223)" TargetMode="External"/><Relationship Id="rId18" Type="http://schemas.openxmlformats.org/officeDocument/2006/relationships/hyperlink" Target="https://bulbapedia.bulbagarden.net/w/index.php?title=Rillaboom_(Chilling_Reign_18)&amp;action=edit&amp;redlink=1" TargetMode="External"/><Relationship Id="rId39" Type="http://schemas.openxmlformats.org/officeDocument/2006/relationships/hyperlink" Target="https://bulbapedia.bulbagarden.net/w/index.php?title=Walrein_(Chilling_Reign_39)&amp;action=edit&amp;redlink=1" TargetMode="External"/><Relationship Id="rId50" Type="http://schemas.openxmlformats.org/officeDocument/2006/relationships/hyperlink" Target="https://bulbapedia.bulbagarden.net/w/index.php?title=Blitzle_(Chilling_Reign_50)&amp;action=edit&amp;redlink=1" TargetMode="External"/><Relationship Id="rId104" Type="http://schemas.openxmlformats.org/officeDocument/2006/relationships/hyperlink" Target="https://bulbapedia.bulbagarden.net/w/index.php?title=Liepard_V_(Chilling_Reign_104)&amp;action=edit&amp;redlink=1" TargetMode="External"/><Relationship Id="rId125" Type="http://schemas.openxmlformats.org/officeDocument/2006/relationships/hyperlink" Target="https://bulbapedia.bulbagarden.net/w/index.php?title=Tornadus_VMAX_(Chilling_Reign_125)&amp;action=edit&amp;redlink=1" TargetMode="External"/><Relationship Id="rId146" Type="http://schemas.openxmlformats.org/officeDocument/2006/relationships/hyperlink" Target="https://bulbapedia.bulbagarden.net/w/index.php?title=Melony_(Chilling_Reign_146)&amp;action=edit&amp;redlink=1" TargetMode="External"/><Relationship Id="rId167" Type="http://schemas.openxmlformats.org/officeDocument/2006/relationships/hyperlink" Target="https://bulbapedia.bulbagarden.net/w/index.php?title=Galarian_Rapidash_V_(Chilling_Reign_167)&amp;action=edit&amp;redlink=1" TargetMode="External"/><Relationship Id="rId188" Type="http://schemas.openxmlformats.org/officeDocument/2006/relationships/hyperlink" Target="https://bulbapedia.bulbagarden.net/w/index.php?title=Brawly_(Chilling_Reign_188)&amp;action=edit&amp;redlink=1" TargetMode="External"/><Relationship Id="rId71" Type="http://schemas.openxmlformats.org/officeDocument/2006/relationships/hyperlink" Target="https://bulbapedia.bulbagarden.net/w/index.php?title=Hatenna_(Chilling_Reign_71)&amp;action=edit&amp;redlink=1" TargetMode="External"/><Relationship Id="rId92" Type="http://schemas.openxmlformats.org/officeDocument/2006/relationships/hyperlink" Target="https://bulbapedia.bulbagarden.net/w/index.php?title=Grapploct_(Chilling_Reign_92)&amp;action=edit&amp;redlink=1" TargetMode="External"/><Relationship Id="rId213" Type="http://schemas.openxmlformats.org/officeDocument/2006/relationships/hyperlink" Target="https://bulbapedia.bulbagarden.net/wiki/Caitlin_(Chilling_Reign_213)" TargetMode="External"/><Relationship Id="rId2" Type="http://schemas.openxmlformats.org/officeDocument/2006/relationships/hyperlink" Target="https://bulbapedia.bulbagarden.net/w/index.php?title=Kakuna_(Chilling_Reign_2)&amp;action=edit&amp;redlink=1" TargetMode="External"/><Relationship Id="rId29" Type="http://schemas.openxmlformats.org/officeDocument/2006/relationships/hyperlink" Target="https://bulbapedia.bulbagarden.net/w/index.php?title=Lapras_(Chilling_Reign_29)&amp;action=edit&amp;redlink=1" TargetMode="External"/><Relationship Id="rId40" Type="http://schemas.openxmlformats.org/officeDocument/2006/relationships/hyperlink" Target="https://bulbapedia.bulbagarden.net/w/index.php?title=Tapu_Fini_(Chilling_Reign_40)&amp;action=edit&amp;redlink=1" TargetMode="External"/><Relationship Id="rId115" Type="http://schemas.openxmlformats.org/officeDocument/2006/relationships/hyperlink" Target="https://bulbapedia.bulbagarden.net/w/index.php?title=Tauros_(Chilling_Reign_115)&amp;action=edit&amp;redlink=1" TargetMode="External"/><Relationship Id="rId136" Type="http://schemas.openxmlformats.org/officeDocument/2006/relationships/hyperlink" Target="https://bulbapedia.bulbagarden.net/w/index.php?title=Echoing_Horn_(Chilling_Reign_136)&amp;action=edit&amp;redlink=1" TargetMode="External"/><Relationship Id="rId157" Type="http://schemas.openxmlformats.org/officeDocument/2006/relationships/hyperlink" Target="https://bulbapedia.bulbagarden.net/w/index.php?title=Impact_Energy_(Chilling_Reign_157)&amp;action=edit&amp;redlink=1" TargetMode="External"/><Relationship Id="rId178" Type="http://schemas.openxmlformats.org/officeDocument/2006/relationships/hyperlink" Target="https://bulbapedia.bulbagarden.net/w/index.php?title=Galarian_Slowking_V_(Chilling_Reign_178)&amp;action=edit&amp;redlink=1" TargetMode="External"/><Relationship Id="rId61" Type="http://schemas.openxmlformats.org/officeDocument/2006/relationships/hyperlink" Target="https://bulbapedia.bulbagarden.net/w/index.php?title=Gardevoir_(Chilling_Reign_61)&amp;action=edit&amp;redlink=1" TargetMode="External"/><Relationship Id="rId82" Type="http://schemas.openxmlformats.org/officeDocument/2006/relationships/hyperlink" Target="https://bulbapedia.bulbagarden.net/w/index.php?title=Galarian_Yamask_(Chilling_Reign_82)&amp;action=edit&amp;redlink=1" TargetMode="External"/><Relationship Id="rId199" Type="http://schemas.openxmlformats.org/officeDocument/2006/relationships/hyperlink" Target="https://bulbapedia.bulbagarden.net/wiki/Celebi_VMAX_(Chilling_Reign_199)" TargetMode="External"/><Relationship Id="rId203" Type="http://schemas.openxmlformats.org/officeDocument/2006/relationships/hyperlink" Target="https://bulbapedia.bulbagarden.net/wiki/Ice_Rider_Calyrex_VMAX_(Chilling_Reign_203)" TargetMode="External"/><Relationship Id="rId19" Type="http://schemas.openxmlformats.org/officeDocument/2006/relationships/hyperlink" Target="https://bulbapedia.bulbagarden.net/w/index.php?title=Zarude_(Chilling_Reign_19)&amp;action=edit&amp;redlink=1" TargetMode="External"/><Relationship Id="rId224" Type="http://schemas.openxmlformats.org/officeDocument/2006/relationships/hyperlink" Target="https://bulbapedia.bulbagarden.net/wiki/Snorlax_(Chilling_Reign_224)" TargetMode="External"/><Relationship Id="rId30" Type="http://schemas.openxmlformats.org/officeDocument/2006/relationships/hyperlink" Target="https://bulbapedia.bulbagarden.net/w/index.php?title=Sneasel_(Chilling_Reign_30)&amp;action=edit&amp;redlink=1" TargetMode="External"/><Relationship Id="rId105" Type="http://schemas.openxmlformats.org/officeDocument/2006/relationships/hyperlink" Target="https://bulbapedia.bulbagarden.net/w/index.php?title=Venipede_(Chilling_Reign_105)&amp;action=edit&amp;redlink=1" TargetMode="External"/><Relationship Id="rId126" Type="http://schemas.openxmlformats.org/officeDocument/2006/relationships/hyperlink" Target="https://bulbapedia.bulbagarden.net/w/index.php?title=Furfrou_(Chilling_Reign_126)&amp;action=edit&amp;redlink=1" TargetMode="External"/><Relationship Id="rId147" Type="http://schemas.openxmlformats.org/officeDocument/2006/relationships/hyperlink" Target="https://bulbapedia.bulbagarden.net/wiki/Old_Cemetery_(Chilling_Reign_147)" TargetMode="External"/><Relationship Id="rId168" Type="http://schemas.openxmlformats.org/officeDocument/2006/relationships/hyperlink" Target="https://bulbapedia.bulbagarden.net/w/index.php?title=Galarian_Rapidash_V_(Chilling_Reign_168)&amp;action=edit&amp;redlink=1" TargetMode="External"/><Relationship Id="rId51" Type="http://schemas.openxmlformats.org/officeDocument/2006/relationships/hyperlink" Target="https://bulbapedia.bulbagarden.net/w/index.php?title=Zebstrika_(Chilling_Reign_51)&amp;action=edit&amp;redlink=1" TargetMode="External"/><Relationship Id="rId72" Type="http://schemas.openxmlformats.org/officeDocument/2006/relationships/hyperlink" Target="https://bulbapedia.bulbagarden.net/w/index.php?title=Hattrem_(Chilling_Reign_72)&amp;action=edit&amp;redlink=1" TargetMode="External"/><Relationship Id="rId93" Type="http://schemas.openxmlformats.org/officeDocument/2006/relationships/hyperlink" Target="https://bulbapedia.bulbagarden.net/w/index.php?title=Kubfu_(Chilling_Reign_93)&amp;action=edit&amp;redlink=1" TargetMode="External"/><Relationship Id="rId189" Type="http://schemas.openxmlformats.org/officeDocument/2006/relationships/hyperlink" Target="https://bulbapedia.bulbagarden.net/w/index.php?title=Caitlin_(Chilling_Reign_189)&amp;action=edit&amp;redlink=1" TargetMode="External"/><Relationship Id="rId3" Type="http://schemas.openxmlformats.org/officeDocument/2006/relationships/hyperlink" Target="https://bulbapedia.bulbagarden.net/wiki/Beedrill_(Chilling_Reign_3)" TargetMode="External"/><Relationship Id="rId214" Type="http://schemas.openxmlformats.org/officeDocument/2006/relationships/hyperlink" Target="https://bulbapedia.bulbagarden.net/wiki/Doctor_(Chilling_Reign_214)" TargetMode="External"/><Relationship Id="rId116" Type="http://schemas.openxmlformats.org/officeDocument/2006/relationships/hyperlink" Target="https://bulbapedia.bulbagarden.net/w/index.php?title=Porygon_(Chilling_Reign_116)&amp;action=edit&amp;redlink=1" TargetMode="External"/><Relationship Id="rId137" Type="http://schemas.openxmlformats.org/officeDocument/2006/relationships/hyperlink" Target="https://bulbapedia.bulbagarden.net/w/index.php?title=Expedition_Uniform_(Chilling_Reign_137)&amp;action=edit&amp;redlink=1" TargetMode="External"/><Relationship Id="rId158" Type="http://schemas.openxmlformats.org/officeDocument/2006/relationships/hyperlink" Target="https://bulbapedia.bulbagarden.net/w/index.php?title=Lucky_Energy_(Chilling_Reign_158)&amp;action=edit&amp;redlink=1" TargetMode="External"/></Relationships>
</file>

<file path=xl/worksheets/_rels/sheet93.xml.rels><?xml version="1.0" encoding="UTF-8" standalone="yes"?>
<Relationships xmlns="http://schemas.openxmlformats.org/package/2006/relationships"><Relationship Id="rId117" Type="http://schemas.openxmlformats.org/officeDocument/2006/relationships/hyperlink" Target="https://bulbapedia.bulbagarden.net/wiki/Noivern_V_(Evolving_Skies_117)" TargetMode="External"/><Relationship Id="rId21" Type="http://schemas.openxmlformats.org/officeDocument/2006/relationships/hyperlink" Target="https://bulbapedia.bulbagarden.net/wiki/Volcarona_V_(Evolving_Skies_21)" TargetMode="External"/><Relationship Id="rId42" Type="http://schemas.openxmlformats.org/officeDocument/2006/relationships/hyperlink" Target="https://bulbapedia.bulbagarden.net/wiki/Tympole_(Evolving_Skies_42)" TargetMode="External"/><Relationship Id="rId63" Type="http://schemas.openxmlformats.org/officeDocument/2006/relationships/hyperlink" Target="https://bulbapedia.bulbagarden.net/wiki/Galarian_Articuno_(Evolving_Skies_63)" TargetMode="External"/><Relationship Id="rId84" Type="http://schemas.openxmlformats.org/officeDocument/2006/relationships/hyperlink" Target="https://bulbapedia.bulbagarden.net/wiki/Hippopotas_(Evolving_Skies_84)" TargetMode="External"/><Relationship Id="rId138" Type="http://schemas.openxmlformats.org/officeDocument/2006/relationships/hyperlink" Target="https://bulbapedia.bulbagarden.net/wiki/Fletchling_(Evolving_Skies_138)" TargetMode="External"/><Relationship Id="rId159" Type="http://schemas.openxmlformats.org/officeDocument/2006/relationships/hyperlink" Target="https://bulbapedia.bulbagarden.net/wiki/Snow_Leaf_Badge_(Evolving_Skies_159)" TargetMode="External"/><Relationship Id="rId170" Type="http://schemas.openxmlformats.org/officeDocument/2006/relationships/hyperlink" Target="https://bulbapedia.bulbagarden.net/wiki/Volcarona_V_(Evolving_Skies_170)" TargetMode="External"/><Relationship Id="rId191" Type="http://schemas.openxmlformats.org/officeDocument/2006/relationships/hyperlink" Target="https://bulbapedia.bulbagarden.net/wiki/Dragonite_V_(Evolving_Skies_191)" TargetMode="External"/><Relationship Id="rId205" Type="http://schemas.openxmlformats.org/officeDocument/2006/relationships/hyperlink" Target="https://bulbapedia.bulbagarden.net/wiki/Leafeon_VMAX_(Evolving_Skies_205)" TargetMode="External"/><Relationship Id="rId226" Type="http://schemas.openxmlformats.org/officeDocument/2006/relationships/hyperlink" Target="https://bulbapedia.bulbagarden.net/wiki/Froslass_(Evolving_Skies_226)" TargetMode="External"/><Relationship Id="rId107" Type="http://schemas.openxmlformats.org/officeDocument/2006/relationships/hyperlink" Target="https://bulbapedia.bulbagarden.net/wiki/Bagon_(Evolving_Skies_107)" TargetMode="External"/><Relationship Id="rId11" Type="http://schemas.openxmlformats.org/officeDocument/2006/relationships/hyperlink" Target="https://bulbapedia.bulbagarden.net/wiki/Dwebble_(Evolving_Skies_11)" TargetMode="External"/><Relationship Id="rId32" Type="http://schemas.openxmlformats.org/officeDocument/2006/relationships/hyperlink" Target="https://bulbapedia.bulbagarden.net/wiki/Lotad_(Evolving_Skies_32)" TargetMode="External"/><Relationship Id="rId53" Type="http://schemas.openxmlformats.org/officeDocument/2006/relationships/hyperlink" Target="https://bulbapedia.bulbagarden.net/wiki/Lanturn_(Evolving_Skies_53)" TargetMode="External"/><Relationship Id="rId74" Type="http://schemas.openxmlformats.org/officeDocument/2006/relationships/hyperlink" Target="https://bulbapedia.bulbagarden.net/wiki/Sylveon_V_(Evolving_Skies_74)" TargetMode="External"/><Relationship Id="rId128" Type="http://schemas.openxmlformats.org/officeDocument/2006/relationships/hyperlink" Target="https://bulbapedia.bulbagarden.net/wiki/Smeargle_(Evolving_Skies_128)" TargetMode="External"/><Relationship Id="rId149" Type="http://schemas.openxmlformats.org/officeDocument/2006/relationships/hyperlink" Target="https://bulbapedia.bulbagarden.net/wiki/Gordie_(Evolving_Skies_149)" TargetMode="External"/><Relationship Id="rId5" Type="http://schemas.openxmlformats.org/officeDocument/2006/relationships/hyperlink" Target="https://bulbapedia.bulbagarden.net/wiki/Seedot_(Evolving_Skies_5)" TargetMode="External"/><Relationship Id="rId95" Type="http://schemas.openxmlformats.org/officeDocument/2006/relationships/hyperlink" Target="https://bulbapedia.bulbagarden.net/wiki/Umbreon_VMAX_(Evolving_Skies_95)" TargetMode="External"/><Relationship Id="rId160" Type="http://schemas.openxmlformats.org/officeDocument/2006/relationships/hyperlink" Target="https://bulbapedia.bulbagarden.net/wiki/Spirit_Mask_(Evolving_Skies_160)" TargetMode="External"/><Relationship Id="rId181" Type="http://schemas.openxmlformats.org/officeDocument/2006/relationships/hyperlink" Target="https://bulbapedia.bulbagarden.net/wiki/Golurk_V_(Evolving_Skies_181)" TargetMode="External"/><Relationship Id="rId216" Type="http://schemas.openxmlformats.org/officeDocument/2006/relationships/hyperlink" Target="https://bulbapedia.bulbagarden.net/wiki/Garbodor_VMAX_(Evolving_Skies_216)" TargetMode="External"/><Relationship Id="rId237" Type="http://schemas.openxmlformats.org/officeDocument/2006/relationships/hyperlink" Target="https://bulbapedia.bulbagarden.net/wiki/Metal_Energy_(Evolving_Skies_237)" TargetMode="External"/><Relationship Id="rId22" Type="http://schemas.openxmlformats.org/officeDocument/2006/relationships/hyperlink" Target="https://bulbapedia.bulbagarden.net/wiki/Litleo_(Evolving_Skies_22)" TargetMode="External"/><Relationship Id="rId43" Type="http://schemas.openxmlformats.org/officeDocument/2006/relationships/hyperlink" Target="https://bulbapedia.bulbagarden.net/wiki/Cryogonal_(Evolving_Skies_43)" TargetMode="External"/><Relationship Id="rId64" Type="http://schemas.openxmlformats.org/officeDocument/2006/relationships/hyperlink" Target="https://bulbapedia.bulbagarden.net/wiki/Espeon_V_(Evolving_Skies_64)" TargetMode="External"/><Relationship Id="rId118" Type="http://schemas.openxmlformats.org/officeDocument/2006/relationships/hyperlink" Target="https://bulbapedia.bulbagarden.net/wiki/Zygarde_(Evolving_Skies_118)" TargetMode="External"/><Relationship Id="rId139" Type="http://schemas.openxmlformats.org/officeDocument/2006/relationships/hyperlink" Target="https://bulbapedia.bulbagarden.net/wiki/Fletchinder_(Evolving_Skies_139)" TargetMode="External"/><Relationship Id="rId85" Type="http://schemas.openxmlformats.org/officeDocument/2006/relationships/hyperlink" Target="https://bulbapedia.bulbagarden.net/wiki/Hippowdon_(Evolving_Skies_85)" TargetMode="External"/><Relationship Id="rId150" Type="http://schemas.openxmlformats.org/officeDocument/2006/relationships/hyperlink" Target="https://bulbapedia.bulbagarden.net/wiki/Lucky_Ice_Pop_(Evolving_Skies_150)" TargetMode="External"/><Relationship Id="rId171" Type="http://schemas.openxmlformats.org/officeDocument/2006/relationships/hyperlink" Target="https://bulbapedia.bulbagarden.net/wiki/Gyarados_V_(Evolving_Skies_171)" TargetMode="External"/><Relationship Id="rId192" Type="http://schemas.openxmlformats.org/officeDocument/2006/relationships/hyperlink" Target="https://bulbapedia.bulbagarden.net/wiki/Dragonite_V_(Evolving_Skies_192)" TargetMode="External"/><Relationship Id="rId206" Type="http://schemas.openxmlformats.org/officeDocument/2006/relationships/hyperlink" Target="https://bulbapedia.bulbagarden.net/wiki/Trevenant_VMAX_(Evolving_Skies_206)" TargetMode="External"/><Relationship Id="rId227" Type="http://schemas.openxmlformats.org/officeDocument/2006/relationships/hyperlink" Target="https://bulbapedia.bulbagarden.net/wiki/Inteleon_(Evolving_Skies_227)" TargetMode="External"/><Relationship Id="rId12" Type="http://schemas.openxmlformats.org/officeDocument/2006/relationships/hyperlink" Target="https://bulbapedia.bulbagarden.net/wiki/Crustle_(Evolving_Skies_12)" TargetMode="External"/><Relationship Id="rId33" Type="http://schemas.openxmlformats.org/officeDocument/2006/relationships/hyperlink" Target="https://bulbapedia.bulbagarden.net/wiki/Lombre_(Evolving_Skies_33)" TargetMode="External"/><Relationship Id="rId108" Type="http://schemas.openxmlformats.org/officeDocument/2006/relationships/hyperlink" Target="https://bulbapedia.bulbagarden.net/wiki/Shelgon_(Evolving_Skies_108)" TargetMode="External"/><Relationship Id="rId129" Type="http://schemas.openxmlformats.org/officeDocument/2006/relationships/hyperlink" Target="https://bulbapedia.bulbagarden.net/wiki/Slakoth_(Evolving_Skies_129)" TargetMode="External"/><Relationship Id="rId54" Type="http://schemas.openxmlformats.org/officeDocument/2006/relationships/hyperlink" Target="https://bulbapedia.bulbagarden.net/wiki/Mareep_(Evolving_Skies_54)" TargetMode="External"/><Relationship Id="rId75" Type="http://schemas.openxmlformats.org/officeDocument/2006/relationships/hyperlink" Target="https://bulbapedia.bulbagarden.net/wiki/Sylveon_VMAX_(Evolving_Skies_75)" TargetMode="External"/><Relationship Id="rId96" Type="http://schemas.openxmlformats.org/officeDocument/2006/relationships/hyperlink" Target="https://bulbapedia.bulbagarden.net/wiki/Nuzleaf_(Evolving_Skies_96)" TargetMode="External"/><Relationship Id="rId140" Type="http://schemas.openxmlformats.org/officeDocument/2006/relationships/hyperlink" Target="https://bulbapedia.bulbagarden.net/wiki/Talonflame_(Evolving_Skies_140)" TargetMode="External"/><Relationship Id="rId161" Type="http://schemas.openxmlformats.org/officeDocument/2006/relationships/hyperlink" Target="https://bulbapedia.bulbagarden.net/wiki/Stormy_Mountains_(Evolving_Skies_161)" TargetMode="External"/><Relationship Id="rId182" Type="http://schemas.openxmlformats.org/officeDocument/2006/relationships/hyperlink" Target="https://bulbapedia.bulbagarden.net/wiki/Golurk_V_(Evolving_Skies_182)" TargetMode="External"/><Relationship Id="rId217" Type="http://schemas.openxmlformats.org/officeDocument/2006/relationships/hyperlink" Target="https://bulbapedia.bulbagarden.net/wiki/Rayquaza_VMAX_(Evolving_Skies_217)" TargetMode="External"/><Relationship Id="rId6" Type="http://schemas.openxmlformats.org/officeDocument/2006/relationships/hyperlink" Target="https://bulbapedia.bulbagarden.net/wiki/Tropius_(Evolving_Skies_6)" TargetMode="External"/><Relationship Id="rId23" Type="http://schemas.openxmlformats.org/officeDocument/2006/relationships/hyperlink" Target="https://bulbapedia.bulbagarden.net/wiki/Pyroar_(Evolving_Skies_23)" TargetMode="External"/><Relationship Id="rId119" Type="http://schemas.openxmlformats.org/officeDocument/2006/relationships/hyperlink" Target="https://bulbapedia.bulbagarden.net/wiki/Drampa_(Evolving_Skies_119)" TargetMode="External"/><Relationship Id="rId44" Type="http://schemas.openxmlformats.org/officeDocument/2006/relationships/hyperlink" Target="https://bulbapedia.bulbagarden.net/wiki/Bergmite_(Evolving_Skies_44)" TargetMode="External"/><Relationship Id="rId65" Type="http://schemas.openxmlformats.org/officeDocument/2006/relationships/hyperlink" Target="https://bulbapedia.bulbagarden.net/wiki/Espeon_VMAX_(Evolving_Skies_65)" TargetMode="External"/><Relationship Id="rId86" Type="http://schemas.openxmlformats.org/officeDocument/2006/relationships/hyperlink" Target="https://bulbapedia.bulbagarden.net/wiki/Roggenrola_(Evolving_Skies_86)" TargetMode="External"/><Relationship Id="rId130" Type="http://schemas.openxmlformats.org/officeDocument/2006/relationships/hyperlink" Target="https://bulbapedia.bulbagarden.net/wiki/Vigoroth_(Evolving_Skies_130)" TargetMode="External"/><Relationship Id="rId151" Type="http://schemas.openxmlformats.org/officeDocument/2006/relationships/hyperlink" Target="https://bulbapedia.bulbagarden.net/wiki/Moon_%26_Sun_Badge_(Evolving_Skies_151)" TargetMode="External"/><Relationship Id="rId172" Type="http://schemas.openxmlformats.org/officeDocument/2006/relationships/hyperlink" Target="https://bulbapedia.bulbagarden.net/wiki/Vaporeon_V_(Evolving_Skies_172)" TargetMode="External"/><Relationship Id="rId193" Type="http://schemas.openxmlformats.org/officeDocument/2006/relationships/hyperlink" Target="https://bulbapedia.bulbagarden.net/wiki/Rayquaza_V_(Evolving_Skies_193)" TargetMode="External"/><Relationship Id="rId207" Type="http://schemas.openxmlformats.org/officeDocument/2006/relationships/hyperlink" Target="https://bulbapedia.bulbagarden.net/wiki/Gyarados_VMAX_(Evolving_Skies_207)" TargetMode="External"/><Relationship Id="rId228" Type="http://schemas.openxmlformats.org/officeDocument/2006/relationships/hyperlink" Target="https://bulbapedia.bulbagarden.net/wiki/Cresselia_(Evolving_Skies_228)" TargetMode="External"/><Relationship Id="rId13" Type="http://schemas.openxmlformats.org/officeDocument/2006/relationships/hyperlink" Target="https://bulbapedia.bulbagarden.net/wiki/Trevenant_V_(Evolving_Skies_13)" TargetMode="External"/><Relationship Id="rId109" Type="http://schemas.openxmlformats.org/officeDocument/2006/relationships/hyperlink" Target="https://bulbapedia.bulbagarden.net/wiki/Salamence_(Evolving_Skies_109)" TargetMode="External"/><Relationship Id="rId34" Type="http://schemas.openxmlformats.org/officeDocument/2006/relationships/hyperlink" Target="https://bulbapedia.bulbagarden.net/wiki/Ludicolo_(Evolving_Skies_34)" TargetMode="External"/><Relationship Id="rId55" Type="http://schemas.openxmlformats.org/officeDocument/2006/relationships/hyperlink" Target="https://bulbapedia.bulbagarden.net/wiki/Flaaffy_(Evolving_Skies_55)" TargetMode="External"/><Relationship Id="rId76" Type="http://schemas.openxmlformats.org/officeDocument/2006/relationships/hyperlink" Target="https://bulbapedia.bulbagarden.net/wiki/Pumpkaboo_(Evolving_Skies_76)" TargetMode="External"/><Relationship Id="rId97" Type="http://schemas.openxmlformats.org/officeDocument/2006/relationships/hyperlink" Target="https://bulbapedia.bulbagarden.net/wiki/Shiftry_(Evolving_Skies_97)" TargetMode="External"/><Relationship Id="rId120" Type="http://schemas.openxmlformats.org/officeDocument/2006/relationships/hyperlink" Target="https://bulbapedia.bulbagarden.net/wiki/Flapple_(Evolving_Skies_120)" TargetMode="External"/><Relationship Id="rId141" Type="http://schemas.openxmlformats.org/officeDocument/2006/relationships/hyperlink" Target="https://bulbapedia.bulbagarden.net/wiki/Aroma_Lady_(Evolving_Skies_141)" TargetMode="External"/><Relationship Id="rId7" Type="http://schemas.openxmlformats.org/officeDocument/2006/relationships/hyperlink" Target="https://bulbapedia.bulbagarden.net/wiki/Leafeon_V_(Evolving_Skies_7)" TargetMode="External"/><Relationship Id="rId162" Type="http://schemas.openxmlformats.org/officeDocument/2006/relationships/hyperlink" Target="https://bulbapedia.bulbagarden.net/wiki/Switching_Cups_(Evolving_Skies_162)" TargetMode="External"/><Relationship Id="rId183" Type="http://schemas.openxmlformats.org/officeDocument/2006/relationships/hyperlink" Target="https://bulbapedia.bulbagarden.net/wiki/Sylveon_V_(Evolving_Skies_183)" TargetMode="External"/><Relationship Id="rId218" Type="http://schemas.openxmlformats.org/officeDocument/2006/relationships/hyperlink" Target="https://bulbapedia.bulbagarden.net/wiki/Rayquaza_VMAX_(Evolving_Skies_218)" TargetMode="External"/><Relationship Id="rId24" Type="http://schemas.openxmlformats.org/officeDocument/2006/relationships/hyperlink" Target="https://bulbapedia.bulbagarden.net/wiki/Psyduck_(Evolving_Skies_24)" TargetMode="External"/><Relationship Id="rId45" Type="http://schemas.openxmlformats.org/officeDocument/2006/relationships/hyperlink" Target="https://bulbapedia.bulbagarden.net/wiki/Avalugg_(Evolving_Skies_45)" TargetMode="External"/><Relationship Id="rId66" Type="http://schemas.openxmlformats.org/officeDocument/2006/relationships/hyperlink" Target="https://bulbapedia.bulbagarden.net/wiki/Wobbuffet_(Evolving_Skies_66)" TargetMode="External"/><Relationship Id="rId87" Type="http://schemas.openxmlformats.org/officeDocument/2006/relationships/hyperlink" Target="https://bulbapedia.bulbagarden.net/wiki/Boldore_(Evolving_Skies_87)" TargetMode="External"/><Relationship Id="rId110" Type="http://schemas.openxmlformats.org/officeDocument/2006/relationships/hyperlink" Target="https://bulbapedia.bulbagarden.net/wiki/Rayquaza_V_(Evolving_Skies_110)" TargetMode="External"/><Relationship Id="rId131" Type="http://schemas.openxmlformats.org/officeDocument/2006/relationships/hyperlink" Target="https://bulbapedia.bulbagarden.net/wiki/Slaking_(Evolving_Skies_131)" TargetMode="External"/><Relationship Id="rId152" Type="http://schemas.openxmlformats.org/officeDocument/2006/relationships/hyperlink" Target="https://bulbapedia.bulbagarden.net/wiki/Raihan_(Evolving_Skies_152)" TargetMode="External"/><Relationship Id="rId173" Type="http://schemas.openxmlformats.org/officeDocument/2006/relationships/hyperlink" Target="https://bulbapedia.bulbagarden.net/wiki/Suicune_V_(Evolving_Skies_173)" TargetMode="External"/><Relationship Id="rId194" Type="http://schemas.openxmlformats.org/officeDocument/2006/relationships/hyperlink" Target="https://bulbapedia.bulbagarden.net/wiki/Rayquaza_V_(Evolving_Skies_194)" TargetMode="External"/><Relationship Id="rId208" Type="http://schemas.openxmlformats.org/officeDocument/2006/relationships/hyperlink" Target="https://bulbapedia.bulbagarden.net/wiki/Glaceon_VMAX_(Evolving_Skies_208)" TargetMode="External"/><Relationship Id="rId229" Type="http://schemas.openxmlformats.org/officeDocument/2006/relationships/hyperlink" Target="https://bulbapedia.bulbagarden.net/wiki/Boost_Shake_(Evolving_Skies_229)" TargetMode="External"/><Relationship Id="rId14" Type="http://schemas.openxmlformats.org/officeDocument/2006/relationships/hyperlink" Target="https://bulbapedia.bulbagarden.net/wiki/Trevenant_VMAX_(Evolving_Skies_14)" TargetMode="External"/><Relationship Id="rId35" Type="http://schemas.openxmlformats.org/officeDocument/2006/relationships/hyperlink" Target="https://bulbapedia.bulbagarden.net/wiki/Carvanha_(Evolving_Skies_35)" TargetMode="External"/><Relationship Id="rId56" Type="http://schemas.openxmlformats.org/officeDocument/2006/relationships/hyperlink" Target="https://bulbapedia.bulbagarden.net/wiki/Ampharos_(Evolving_Skies_56)" TargetMode="External"/><Relationship Id="rId77" Type="http://schemas.openxmlformats.org/officeDocument/2006/relationships/hyperlink" Target="https://bulbapedia.bulbagarden.net/wiki/Gourgeist_(Evolving_Skies_77)" TargetMode="External"/><Relationship Id="rId100" Type="http://schemas.openxmlformats.org/officeDocument/2006/relationships/hyperlink" Target="https://bulbapedia.bulbagarden.net/wiki/Garbodor_V_(Evolving_Skies_100)" TargetMode="External"/><Relationship Id="rId8" Type="http://schemas.openxmlformats.org/officeDocument/2006/relationships/hyperlink" Target="https://bulbapedia.bulbagarden.net/wiki/Leafeon_VMAX_(Evolving_Skies_8)" TargetMode="External"/><Relationship Id="rId98" Type="http://schemas.openxmlformats.org/officeDocument/2006/relationships/hyperlink" Target="https://bulbapedia.bulbagarden.net/wiki/Scraggy_(Evolving_Skies_98)" TargetMode="External"/><Relationship Id="rId121" Type="http://schemas.openxmlformats.org/officeDocument/2006/relationships/hyperlink" Target="https://bulbapedia.bulbagarden.net/wiki/Appletun_(Evolving_Skies_121)" TargetMode="External"/><Relationship Id="rId142" Type="http://schemas.openxmlformats.org/officeDocument/2006/relationships/hyperlink" Target="https://bulbapedia.bulbagarden.net/wiki/Boost_Shake_(Evolving_Skies_142)" TargetMode="External"/><Relationship Id="rId163" Type="http://schemas.openxmlformats.org/officeDocument/2006/relationships/hyperlink" Target="https://bulbapedia.bulbagarden.net/wiki/Toy_Catcher_(Evolving_Skies_163)" TargetMode="External"/><Relationship Id="rId184" Type="http://schemas.openxmlformats.org/officeDocument/2006/relationships/hyperlink" Target="https://bulbapedia.bulbagarden.net/wiki/Sylveon_V_(Evolving_Skies_184)" TargetMode="External"/><Relationship Id="rId219" Type="http://schemas.openxmlformats.org/officeDocument/2006/relationships/hyperlink" Target="https://bulbapedia.bulbagarden.net/wiki/Duraludon_VMAX_(Evolving_Skies_219)" TargetMode="External"/><Relationship Id="rId230" Type="http://schemas.openxmlformats.org/officeDocument/2006/relationships/hyperlink" Target="https://bulbapedia.bulbagarden.net/wiki/Crystal_Cave_(Evolving_Skies_230)" TargetMode="External"/><Relationship Id="rId25" Type="http://schemas.openxmlformats.org/officeDocument/2006/relationships/hyperlink" Target="https://bulbapedia.bulbagarden.net/wiki/Golduck_(Evolving_Skies_25)" TargetMode="External"/><Relationship Id="rId46" Type="http://schemas.openxmlformats.org/officeDocument/2006/relationships/hyperlink" Target="https://bulbapedia.bulbagarden.net/wiki/Wishiwashi_(Evolving_Skies_46)" TargetMode="External"/><Relationship Id="rId67" Type="http://schemas.openxmlformats.org/officeDocument/2006/relationships/hyperlink" Target="https://bulbapedia.bulbagarden.net/wiki/Sableye_(Evolving_Skies_67)" TargetMode="External"/><Relationship Id="rId88" Type="http://schemas.openxmlformats.org/officeDocument/2006/relationships/hyperlink" Target="https://bulbapedia.bulbagarden.net/wiki/Gigalith_(Evolving_Skies_88)" TargetMode="External"/><Relationship Id="rId111" Type="http://schemas.openxmlformats.org/officeDocument/2006/relationships/hyperlink" Target="https://bulbapedia.bulbagarden.net/wiki/Rayquaza_VMAX_(Evolving_Skies_111)" TargetMode="External"/><Relationship Id="rId132" Type="http://schemas.openxmlformats.org/officeDocument/2006/relationships/hyperlink" Target="https://bulbapedia.bulbagarden.net/wiki/Swablu_(Evolving_Skies_132)" TargetMode="External"/><Relationship Id="rId153" Type="http://schemas.openxmlformats.org/officeDocument/2006/relationships/hyperlink" Target="https://bulbapedia.bulbagarden.net/wiki/Rapid_Strike_Scroll_of_the_Flying_Dragon_(Evolving_Skies_153)" TargetMode="External"/><Relationship Id="rId174" Type="http://schemas.openxmlformats.org/officeDocument/2006/relationships/hyperlink" Target="https://bulbapedia.bulbagarden.net/wiki/Glaceon_V_(Evolving_Skies_174)" TargetMode="External"/><Relationship Id="rId195" Type="http://schemas.openxmlformats.org/officeDocument/2006/relationships/hyperlink" Target="https://bulbapedia.bulbagarden.net/wiki/Noivern_V_(Evolving_Skies_195)" TargetMode="External"/><Relationship Id="rId209" Type="http://schemas.openxmlformats.org/officeDocument/2006/relationships/hyperlink" Target="https://bulbapedia.bulbagarden.net/wiki/Glaceon_VMAX_(Evolving_Skies_209)" TargetMode="External"/><Relationship Id="rId190" Type="http://schemas.openxmlformats.org/officeDocument/2006/relationships/hyperlink" Target="https://bulbapedia.bulbagarden.net/wiki/Garbodor_V_(Evolving_Skies_190)" TargetMode="External"/><Relationship Id="rId204" Type="http://schemas.openxmlformats.org/officeDocument/2006/relationships/hyperlink" Target="https://bulbapedia.bulbagarden.net/wiki/Leafeon_VMAX_(Evolving_Skies_204)" TargetMode="External"/><Relationship Id="rId220" Type="http://schemas.openxmlformats.org/officeDocument/2006/relationships/hyperlink" Target="https://bulbapedia.bulbagarden.net/wiki/Duraludon_VMAX_(Evolving_Skies_220)" TargetMode="External"/><Relationship Id="rId225" Type="http://schemas.openxmlformats.org/officeDocument/2006/relationships/hyperlink" Target="https://bulbapedia.bulbagarden.net/wiki/Zinnia%27s_Resolve_(Evolving_Skies_225)" TargetMode="External"/><Relationship Id="rId15" Type="http://schemas.openxmlformats.org/officeDocument/2006/relationships/hyperlink" Target="https://bulbapedia.bulbagarden.net/wiki/Gossifleur_(Evolving_Skies_15)" TargetMode="External"/><Relationship Id="rId36" Type="http://schemas.openxmlformats.org/officeDocument/2006/relationships/hyperlink" Target="https://bulbapedia.bulbagarden.net/wiki/Sharpedo_(Evolving_Skies_36)" TargetMode="External"/><Relationship Id="rId57" Type="http://schemas.openxmlformats.org/officeDocument/2006/relationships/hyperlink" Target="https://bulbapedia.bulbagarden.net/wiki/Emolga_(Evolving_Skies_57)" TargetMode="External"/><Relationship Id="rId106" Type="http://schemas.openxmlformats.org/officeDocument/2006/relationships/hyperlink" Target="https://bulbapedia.bulbagarden.net/wiki/Altaria_(Evolving_Skies_106)" TargetMode="External"/><Relationship Id="rId127" Type="http://schemas.openxmlformats.org/officeDocument/2006/relationships/hyperlink" Target="https://bulbapedia.bulbagarden.net/wiki/Ursaring_(Evolving_Skies_127)" TargetMode="External"/><Relationship Id="rId10" Type="http://schemas.openxmlformats.org/officeDocument/2006/relationships/hyperlink" Target="https://bulbapedia.bulbagarden.net/wiki/Lilligant_(Evolving_Skies_10)" TargetMode="External"/><Relationship Id="rId31" Type="http://schemas.openxmlformats.org/officeDocument/2006/relationships/hyperlink" Target="https://bulbapedia.bulbagarden.net/wiki/Suicune_V_(Evolving_Skies_31)" TargetMode="External"/><Relationship Id="rId52" Type="http://schemas.openxmlformats.org/officeDocument/2006/relationships/hyperlink" Target="https://bulbapedia.bulbagarden.net/wiki/Chinchou_(Evolving_Skies_52)" TargetMode="External"/><Relationship Id="rId73" Type="http://schemas.openxmlformats.org/officeDocument/2006/relationships/hyperlink" Target="https://bulbapedia.bulbagarden.net/wiki/Florges_(Evolving_Skies_73)" TargetMode="External"/><Relationship Id="rId78" Type="http://schemas.openxmlformats.org/officeDocument/2006/relationships/hyperlink" Target="https://bulbapedia.bulbagarden.net/wiki/Cutiefly_(Evolving_Skies_78)" TargetMode="External"/><Relationship Id="rId94" Type="http://schemas.openxmlformats.org/officeDocument/2006/relationships/hyperlink" Target="https://bulbapedia.bulbagarden.net/wiki/Umbreon_V_(Evolving_Skies_94)" TargetMode="External"/><Relationship Id="rId99" Type="http://schemas.openxmlformats.org/officeDocument/2006/relationships/hyperlink" Target="https://bulbapedia.bulbagarden.net/wiki/Scrafty_(Evolving_Skies_99)" TargetMode="External"/><Relationship Id="rId101" Type="http://schemas.openxmlformats.org/officeDocument/2006/relationships/hyperlink" Target="https://bulbapedia.bulbagarden.net/wiki/Garbodor_VMAX_(Evolving_Skies_101)" TargetMode="External"/><Relationship Id="rId122" Type="http://schemas.openxmlformats.org/officeDocument/2006/relationships/hyperlink" Target="https://bulbapedia.bulbagarden.net/wiki/Duraludon_V_(Evolving_Skies_122)" TargetMode="External"/><Relationship Id="rId143" Type="http://schemas.openxmlformats.org/officeDocument/2006/relationships/hyperlink" Target="https://bulbapedia.bulbagarden.net/wiki/Copycat_(Evolving_Skies_143)" TargetMode="External"/><Relationship Id="rId148" Type="http://schemas.openxmlformats.org/officeDocument/2006/relationships/hyperlink" Target="https://bulbapedia.bulbagarden.net/wiki/Full_Face_Guard_(Evolving_Skies_148)" TargetMode="External"/><Relationship Id="rId164" Type="http://schemas.openxmlformats.org/officeDocument/2006/relationships/hyperlink" Target="https://bulbapedia.bulbagarden.net/wiki/Zinnia%27s_Resolve_(Evolving_Skies_164)" TargetMode="External"/><Relationship Id="rId169" Type="http://schemas.openxmlformats.org/officeDocument/2006/relationships/hyperlink" Target="https://bulbapedia.bulbagarden.net/wiki/Flareon_V_(Evolving_Skies_169)" TargetMode="External"/><Relationship Id="rId185" Type="http://schemas.openxmlformats.org/officeDocument/2006/relationships/hyperlink" Target="https://bulbapedia.bulbagarden.net/wiki/Medicham_V_(Evolving_Skies_185)" TargetMode="External"/><Relationship Id="rId4" Type="http://schemas.openxmlformats.org/officeDocument/2006/relationships/hyperlink" Target="https://bulbapedia.bulbagarden.net/wiki/Jumpluff_(Evolving_Skies_4)" TargetMode="External"/><Relationship Id="rId9" Type="http://schemas.openxmlformats.org/officeDocument/2006/relationships/hyperlink" Target="https://bulbapedia.bulbagarden.net/wiki/Petilil_(Evolving_Skies_9)" TargetMode="External"/><Relationship Id="rId180" Type="http://schemas.openxmlformats.org/officeDocument/2006/relationships/hyperlink" Target="https://bulbapedia.bulbagarden.net/wiki/Espeon_V_(Evolving_Skies_180)" TargetMode="External"/><Relationship Id="rId210" Type="http://schemas.openxmlformats.org/officeDocument/2006/relationships/hyperlink" Target="https://bulbapedia.bulbagarden.net/wiki/Dracozolt_VMAX_(Evolving_Skies_210)" TargetMode="External"/><Relationship Id="rId215" Type="http://schemas.openxmlformats.org/officeDocument/2006/relationships/hyperlink" Target="https://bulbapedia.bulbagarden.net/wiki/Umbreon_VMAX_(Evolving_Skies_215)" TargetMode="External"/><Relationship Id="rId236" Type="http://schemas.openxmlformats.org/officeDocument/2006/relationships/hyperlink" Target="https://bulbapedia.bulbagarden.net/wiki/Darkness_Energy_(Evolving_Skies_236)" TargetMode="External"/><Relationship Id="rId26" Type="http://schemas.openxmlformats.org/officeDocument/2006/relationships/hyperlink" Target="https://bulbapedia.bulbagarden.net/wiki/Tentacool_(Evolving_Skies_26)" TargetMode="External"/><Relationship Id="rId231" Type="http://schemas.openxmlformats.org/officeDocument/2006/relationships/hyperlink" Target="https://bulbapedia.bulbagarden.net/wiki/Full_Face_Guard_(Evolving_Skies_231)" TargetMode="External"/><Relationship Id="rId47" Type="http://schemas.openxmlformats.org/officeDocument/2006/relationships/hyperlink" Target="https://bulbapedia.bulbagarden.net/wiki/Eiscue_(Evolving_Skies_47)" TargetMode="External"/><Relationship Id="rId68" Type="http://schemas.openxmlformats.org/officeDocument/2006/relationships/hyperlink" Target="https://bulbapedia.bulbagarden.net/wiki/Woobat_(Evolving_Skies_68)" TargetMode="External"/><Relationship Id="rId89" Type="http://schemas.openxmlformats.org/officeDocument/2006/relationships/hyperlink" Target="https://bulbapedia.bulbagarden.net/wiki/Palpitoad_(Evolving_Skies_89)" TargetMode="External"/><Relationship Id="rId112" Type="http://schemas.openxmlformats.org/officeDocument/2006/relationships/hyperlink" Target="https://bulbapedia.bulbagarden.net/wiki/Dialga_(Evolving_Skies_112)" TargetMode="External"/><Relationship Id="rId133" Type="http://schemas.openxmlformats.org/officeDocument/2006/relationships/hyperlink" Target="https://bulbapedia.bulbagarden.net/wiki/Lillipup_(Evolving_Skies_133)" TargetMode="External"/><Relationship Id="rId154" Type="http://schemas.openxmlformats.org/officeDocument/2006/relationships/hyperlink" Target="https://bulbapedia.bulbagarden.net/wiki/Rescue_Carrier_(Evolving_Skies_154)" TargetMode="External"/><Relationship Id="rId175" Type="http://schemas.openxmlformats.org/officeDocument/2006/relationships/hyperlink" Target="https://bulbapedia.bulbagarden.net/wiki/Glaceon_V_(Evolving_Skies_175)" TargetMode="External"/><Relationship Id="rId196" Type="http://schemas.openxmlformats.org/officeDocument/2006/relationships/hyperlink" Target="https://bulbapedia.bulbagarden.net/wiki/Noivern_V_(Evolving_Skies_196)" TargetMode="External"/><Relationship Id="rId200" Type="http://schemas.openxmlformats.org/officeDocument/2006/relationships/hyperlink" Target="https://bulbapedia.bulbagarden.net/wiki/Copycat_(Evolving_Skies_200)" TargetMode="External"/><Relationship Id="rId16" Type="http://schemas.openxmlformats.org/officeDocument/2006/relationships/hyperlink" Target="https://bulbapedia.bulbagarden.net/wiki/Eldegoss_(Evolving_Skies_16)" TargetMode="External"/><Relationship Id="rId221" Type="http://schemas.openxmlformats.org/officeDocument/2006/relationships/hyperlink" Target="https://bulbapedia.bulbagarden.net/wiki/Aroma_Lady_(Evolving_Skies_221)" TargetMode="External"/><Relationship Id="rId37" Type="http://schemas.openxmlformats.org/officeDocument/2006/relationships/hyperlink" Target="https://bulbapedia.bulbagarden.net/wiki/Feebas_(Evolving_Skies_37)" TargetMode="External"/><Relationship Id="rId58" Type="http://schemas.openxmlformats.org/officeDocument/2006/relationships/hyperlink" Target="https://bulbapedia.bulbagarden.net/wiki/Dracozolt_V_(Evolving_Skies_58)" TargetMode="External"/><Relationship Id="rId79" Type="http://schemas.openxmlformats.org/officeDocument/2006/relationships/hyperlink" Target="https://bulbapedia.bulbagarden.net/wiki/Ribombee_(Evolving_Skies_79)" TargetMode="External"/><Relationship Id="rId102" Type="http://schemas.openxmlformats.org/officeDocument/2006/relationships/hyperlink" Target="https://bulbapedia.bulbagarden.net/wiki/Zorua_(Evolving_Skies_102)" TargetMode="External"/><Relationship Id="rId123" Type="http://schemas.openxmlformats.org/officeDocument/2006/relationships/hyperlink" Target="https://bulbapedia.bulbagarden.net/wiki/Duraludon_VMAX_(Evolving_Skies_123)" TargetMode="External"/><Relationship Id="rId144" Type="http://schemas.openxmlformats.org/officeDocument/2006/relationships/hyperlink" Target="https://bulbapedia.bulbagarden.net/wiki/Crystal_Cave_(Evolving_Skies_144)" TargetMode="External"/><Relationship Id="rId90" Type="http://schemas.openxmlformats.org/officeDocument/2006/relationships/hyperlink" Target="https://bulbapedia.bulbagarden.net/wiki/Seismitoad_(Evolving_Skies_90)" TargetMode="External"/><Relationship Id="rId165" Type="http://schemas.openxmlformats.org/officeDocument/2006/relationships/hyperlink" Target="https://bulbapedia.bulbagarden.net/wiki/Treasure_Energy_(Evolving_Skies_165)" TargetMode="External"/><Relationship Id="rId186" Type="http://schemas.openxmlformats.org/officeDocument/2006/relationships/hyperlink" Target="https://bulbapedia.bulbagarden.net/wiki/Medicham_V_(Evolving_Skies_186)" TargetMode="External"/><Relationship Id="rId211" Type="http://schemas.openxmlformats.org/officeDocument/2006/relationships/hyperlink" Target="https://bulbapedia.bulbagarden.net/wiki/Sylveon_VMAX_(Evolving_Skies_211)" TargetMode="External"/><Relationship Id="rId232" Type="http://schemas.openxmlformats.org/officeDocument/2006/relationships/hyperlink" Target="https://bulbapedia.bulbagarden.net/wiki/Stormy_Mountains_(Evolving_Skies_232)" TargetMode="External"/><Relationship Id="rId27" Type="http://schemas.openxmlformats.org/officeDocument/2006/relationships/hyperlink" Target="https://bulbapedia.bulbagarden.net/wiki/Tentacruel_(Evolving_Skies_27)" TargetMode="External"/><Relationship Id="rId48" Type="http://schemas.openxmlformats.org/officeDocument/2006/relationships/hyperlink" Target="https://bulbapedia.bulbagarden.net/wiki/Arctovish_V_(Evolving_Skies_48)" TargetMode="External"/><Relationship Id="rId69" Type="http://schemas.openxmlformats.org/officeDocument/2006/relationships/hyperlink" Target="https://bulbapedia.bulbagarden.net/wiki/Swoobat_(Evolving_Skies_69)" TargetMode="External"/><Relationship Id="rId113" Type="http://schemas.openxmlformats.org/officeDocument/2006/relationships/hyperlink" Target="https://bulbapedia.bulbagarden.net/wiki/Deino_(Evolving_Skies_113)" TargetMode="External"/><Relationship Id="rId134" Type="http://schemas.openxmlformats.org/officeDocument/2006/relationships/hyperlink" Target="https://bulbapedia.bulbagarden.net/wiki/Herdier_(Evolving_Skies_134)" TargetMode="External"/><Relationship Id="rId80" Type="http://schemas.openxmlformats.org/officeDocument/2006/relationships/hyperlink" Target="https://bulbapedia.bulbagarden.net/wiki/Marshadow_(Evolving_Skies_80)" TargetMode="External"/><Relationship Id="rId155" Type="http://schemas.openxmlformats.org/officeDocument/2006/relationships/hyperlink" Target="https://bulbapedia.bulbagarden.net/wiki/Ribbon_Badge_(Evolving_Skies_155)" TargetMode="External"/><Relationship Id="rId176" Type="http://schemas.openxmlformats.org/officeDocument/2006/relationships/hyperlink" Target="https://bulbapedia.bulbagarden.net/wiki/Arctovish_V_(Evolving_Skies_176)" TargetMode="External"/><Relationship Id="rId197" Type="http://schemas.openxmlformats.org/officeDocument/2006/relationships/hyperlink" Target="https://bulbapedia.bulbagarden.net/wiki/Duraludon_V_(Evolving_Skies_197)" TargetMode="External"/><Relationship Id="rId201" Type="http://schemas.openxmlformats.org/officeDocument/2006/relationships/hyperlink" Target="https://bulbapedia.bulbagarden.net/wiki/Gordie_(Evolving_Skies_201)" TargetMode="External"/><Relationship Id="rId222" Type="http://schemas.openxmlformats.org/officeDocument/2006/relationships/hyperlink" Target="https://bulbapedia.bulbagarden.net/wiki/Copycat_(Evolving_Skies_222)" TargetMode="External"/><Relationship Id="rId17" Type="http://schemas.openxmlformats.org/officeDocument/2006/relationships/hyperlink" Target="https://bulbapedia.bulbagarden.net/wiki/Applin_(Evolving_Skies_17)" TargetMode="External"/><Relationship Id="rId38" Type="http://schemas.openxmlformats.org/officeDocument/2006/relationships/hyperlink" Target="https://bulbapedia.bulbagarden.net/wiki/Milotic_(Evolving_Skies_38)" TargetMode="External"/><Relationship Id="rId59" Type="http://schemas.openxmlformats.org/officeDocument/2006/relationships/hyperlink" Target="https://bulbapedia.bulbagarden.net/wiki/Dracozolt_VMAX_(Evolving_Skies_59)" TargetMode="External"/><Relationship Id="rId103" Type="http://schemas.openxmlformats.org/officeDocument/2006/relationships/hyperlink" Target="https://bulbapedia.bulbagarden.net/wiki/Zoroark_(Evolving_Skies_103)" TargetMode="External"/><Relationship Id="rId124" Type="http://schemas.openxmlformats.org/officeDocument/2006/relationships/hyperlink" Target="https://bulbapedia.bulbagarden.net/wiki/Regidrago_(Evolving_Skies_124)" TargetMode="External"/><Relationship Id="rId70" Type="http://schemas.openxmlformats.org/officeDocument/2006/relationships/hyperlink" Target="https://bulbapedia.bulbagarden.net/wiki/Golurk_V_(Evolving_Skies_70)" TargetMode="External"/><Relationship Id="rId91" Type="http://schemas.openxmlformats.org/officeDocument/2006/relationships/hyperlink" Target="https://bulbapedia.bulbagarden.net/wiki/Lycanroc_V_(Evolving_Skies_91)" TargetMode="External"/><Relationship Id="rId145" Type="http://schemas.openxmlformats.org/officeDocument/2006/relationships/hyperlink" Target="https://bulbapedia.bulbagarden.net/wiki/Digging_Gloves_(Evolving_Skies_145)" TargetMode="External"/><Relationship Id="rId166" Type="http://schemas.openxmlformats.org/officeDocument/2006/relationships/hyperlink" Target="https://bulbapedia.bulbagarden.net/wiki/Leafeon_V_(Evolving_Skies_166)" TargetMode="External"/><Relationship Id="rId187" Type="http://schemas.openxmlformats.org/officeDocument/2006/relationships/hyperlink" Target="https://bulbapedia.bulbagarden.net/wiki/Lycanroc_V_(Evolving_Skies_187)" TargetMode="External"/><Relationship Id="rId1" Type="http://schemas.openxmlformats.org/officeDocument/2006/relationships/hyperlink" Target="https://bulbapedia.bulbagarden.net/wiki/Pinsir_(Evolving_Skies_1)" TargetMode="External"/><Relationship Id="rId212" Type="http://schemas.openxmlformats.org/officeDocument/2006/relationships/hyperlink" Target="https://bulbapedia.bulbagarden.net/wiki/Sylveon_VMAX_(Evolving_Skies_212)" TargetMode="External"/><Relationship Id="rId233" Type="http://schemas.openxmlformats.org/officeDocument/2006/relationships/hyperlink" Target="https://bulbapedia.bulbagarden.net/wiki/Toy_Catcher_(Evolving_Skies_233)" TargetMode="External"/><Relationship Id="rId28" Type="http://schemas.openxmlformats.org/officeDocument/2006/relationships/hyperlink" Target="https://bulbapedia.bulbagarden.net/wiki/Gyarados_V_(Evolving_Skies_28)" TargetMode="External"/><Relationship Id="rId49" Type="http://schemas.openxmlformats.org/officeDocument/2006/relationships/hyperlink" Target="https://bulbapedia.bulbagarden.net/wiki/Pikachu_(Evolving_Skies_49)" TargetMode="External"/><Relationship Id="rId114" Type="http://schemas.openxmlformats.org/officeDocument/2006/relationships/hyperlink" Target="https://bulbapedia.bulbagarden.net/wiki/Zweilous_(Evolving_Skies_114)" TargetMode="External"/><Relationship Id="rId60" Type="http://schemas.openxmlformats.org/officeDocument/2006/relationships/hyperlink" Target="https://bulbapedia.bulbagarden.net/wiki/Regieleki_(Evolving_Skies_60)" TargetMode="External"/><Relationship Id="rId81" Type="http://schemas.openxmlformats.org/officeDocument/2006/relationships/hyperlink" Target="https://bulbapedia.bulbagarden.net/wiki/Hitmonchan_(Evolving_Skies_81)" TargetMode="External"/><Relationship Id="rId135" Type="http://schemas.openxmlformats.org/officeDocument/2006/relationships/hyperlink" Target="https://bulbapedia.bulbagarden.net/wiki/Stoutland_(Evolving_Skies_135)" TargetMode="External"/><Relationship Id="rId156" Type="http://schemas.openxmlformats.org/officeDocument/2006/relationships/hyperlink" Target="https://bulbapedia.bulbagarden.net/wiki/Rubber_Gloves_(Evolving_Skies_156)" TargetMode="External"/><Relationship Id="rId177" Type="http://schemas.openxmlformats.org/officeDocument/2006/relationships/hyperlink" Target="https://bulbapedia.bulbagarden.net/wiki/Jolteon_V_(Evolving_Skies_177)" TargetMode="External"/><Relationship Id="rId198" Type="http://schemas.openxmlformats.org/officeDocument/2006/relationships/hyperlink" Target="https://bulbapedia.bulbagarden.net/wiki/Duraludon_V_(Evolving_Skies_198)" TargetMode="External"/><Relationship Id="rId202" Type="http://schemas.openxmlformats.org/officeDocument/2006/relationships/hyperlink" Target="https://bulbapedia.bulbagarden.net/wiki/Raihan_(Evolving_Skies_202)" TargetMode="External"/><Relationship Id="rId223" Type="http://schemas.openxmlformats.org/officeDocument/2006/relationships/hyperlink" Target="https://bulbapedia.bulbagarden.net/wiki/Gordie_(Evolving_Skies_223)" TargetMode="External"/><Relationship Id="rId18" Type="http://schemas.openxmlformats.org/officeDocument/2006/relationships/hyperlink" Target="https://bulbapedia.bulbagarden.net/wiki/Flareon_VMAX_(Evolving_Skies_18)" TargetMode="External"/><Relationship Id="rId39" Type="http://schemas.openxmlformats.org/officeDocument/2006/relationships/hyperlink" Target="https://bulbapedia.bulbagarden.net/wiki/Luvdisc_(Evolving_Skies_39)" TargetMode="External"/><Relationship Id="rId50" Type="http://schemas.openxmlformats.org/officeDocument/2006/relationships/hyperlink" Target="https://bulbapedia.bulbagarden.net/wiki/Raichu_(Evolving_Skies_50)" TargetMode="External"/><Relationship Id="rId104" Type="http://schemas.openxmlformats.org/officeDocument/2006/relationships/hyperlink" Target="https://bulbapedia.bulbagarden.net/wiki/Nickit_(Evolving_Skies_104)" TargetMode="External"/><Relationship Id="rId125" Type="http://schemas.openxmlformats.org/officeDocument/2006/relationships/hyperlink" Target="https://bulbapedia.bulbagarden.net/wiki/Eevee_(Evolving_Skies_125)" TargetMode="External"/><Relationship Id="rId146" Type="http://schemas.openxmlformats.org/officeDocument/2006/relationships/hyperlink" Target="https://bulbapedia.bulbagarden.net/wiki/Dream_Ball_(Evolving_Skies_146)" TargetMode="External"/><Relationship Id="rId167" Type="http://schemas.openxmlformats.org/officeDocument/2006/relationships/hyperlink" Target="https://bulbapedia.bulbagarden.net/wiki/Leafeon_V_(Evolving_Skies_167)" TargetMode="External"/><Relationship Id="rId188" Type="http://schemas.openxmlformats.org/officeDocument/2006/relationships/hyperlink" Target="https://bulbapedia.bulbagarden.net/wiki/Umbreon_V_(Evolving_Skies_188)" TargetMode="External"/><Relationship Id="rId71" Type="http://schemas.openxmlformats.org/officeDocument/2006/relationships/hyperlink" Target="https://bulbapedia.bulbagarden.net/wiki/Flab%C3%A9b%C3%A9_(Evolving_Skies_71)" TargetMode="External"/><Relationship Id="rId92" Type="http://schemas.openxmlformats.org/officeDocument/2006/relationships/hyperlink" Target="https://bulbapedia.bulbagarden.net/wiki/Lycanroc_VMAX_(Evolving_Skies_92)" TargetMode="External"/><Relationship Id="rId213" Type="http://schemas.openxmlformats.org/officeDocument/2006/relationships/hyperlink" Target="https://bulbapedia.bulbagarden.net/wiki/Lycanroc_VMAX_(Evolving_Skies_213)" TargetMode="External"/><Relationship Id="rId234" Type="http://schemas.openxmlformats.org/officeDocument/2006/relationships/hyperlink" Target="https://bulbapedia.bulbagarden.net/wiki/Turffield_Stadium_(Evolving_Skies_234)" TargetMode="External"/><Relationship Id="rId2" Type="http://schemas.openxmlformats.org/officeDocument/2006/relationships/hyperlink" Target="https://bulbapedia.bulbagarden.net/wiki/Hoppip_(Evolving_Skies_2)" TargetMode="External"/><Relationship Id="rId29" Type="http://schemas.openxmlformats.org/officeDocument/2006/relationships/hyperlink" Target="https://bulbapedia.bulbagarden.net/wiki/Gyarados_VMAX_(Evolving_Skies_29)" TargetMode="External"/><Relationship Id="rId40" Type="http://schemas.openxmlformats.org/officeDocument/2006/relationships/hyperlink" Target="https://bulbapedia.bulbagarden.net/wiki/Glaceon_V_(Evolving_Skies_40)" TargetMode="External"/><Relationship Id="rId115" Type="http://schemas.openxmlformats.org/officeDocument/2006/relationships/hyperlink" Target="https://bulbapedia.bulbagarden.net/wiki/Hydreigon_(Evolving_Skies_115)" TargetMode="External"/><Relationship Id="rId136" Type="http://schemas.openxmlformats.org/officeDocument/2006/relationships/hyperlink" Target="https://bulbapedia.bulbagarden.net/wiki/Rufflet_(Evolving_Skies_136)" TargetMode="External"/><Relationship Id="rId157" Type="http://schemas.openxmlformats.org/officeDocument/2006/relationships/hyperlink" Target="https://bulbapedia.bulbagarden.net/wiki/Shopping_Center_(Evolving_Skies_157)" TargetMode="External"/><Relationship Id="rId178" Type="http://schemas.openxmlformats.org/officeDocument/2006/relationships/hyperlink" Target="https://bulbapedia.bulbagarden.net/wiki/Dracozolt_V_(Evolving_Skies_178)" TargetMode="External"/><Relationship Id="rId61" Type="http://schemas.openxmlformats.org/officeDocument/2006/relationships/hyperlink" Target="https://bulbapedia.bulbagarden.net/wiki/Drowzee_(Evolving_Skies_61)" TargetMode="External"/><Relationship Id="rId82" Type="http://schemas.openxmlformats.org/officeDocument/2006/relationships/hyperlink" Target="https://bulbapedia.bulbagarden.net/wiki/Galarian_Zapdos_(Evolving_Skies_82)" TargetMode="External"/><Relationship Id="rId199" Type="http://schemas.openxmlformats.org/officeDocument/2006/relationships/hyperlink" Target="https://bulbapedia.bulbagarden.net/wiki/Aroma_Lady_(Evolving_Skies_199)" TargetMode="External"/><Relationship Id="rId203" Type="http://schemas.openxmlformats.org/officeDocument/2006/relationships/hyperlink" Target="https://bulbapedia.bulbagarden.net/wiki/Zinnia%27s_Resolve_(Evolving_Skies_203)" TargetMode="External"/><Relationship Id="rId19" Type="http://schemas.openxmlformats.org/officeDocument/2006/relationships/hyperlink" Target="https://bulbapedia.bulbagarden.net/wiki/Entei_(Evolving_Skies_19)" TargetMode="External"/><Relationship Id="rId224" Type="http://schemas.openxmlformats.org/officeDocument/2006/relationships/hyperlink" Target="https://bulbapedia.bulbagarden.net/wiki/Raihan_(Evolving_Skies_224)" TargetMode="External"/><Relationship Id="rId30" Type="http://schemas.openxmlformats.org/officeDocument/2006/relationships/hyperlink" Target="https://bulbapedia.bulbagarden.net/wiki/Vaporeon_VMAX_(Evolving_Skies_30)" TargetMode="External"/><Relationship Id="rId105" Type="http://schemas.openxmlformats.org/officeDocument/2006/relationships/hyperlink" Target="https://bulbapedia.bulbagarden.net/wiki/Thievul_(Evolving_Skies_105)" TargetMode="External"/><Relationship Id="rId126" Type="http://schemas.openxmlformats.org/officeDocument/2006/relationships/hyperlink" Target="https://bulbapedia.bulbagarden.net/wiki/Teddiursa_(Evolving_Skies_126)" TargetMode="External"/><Relationship Id="rId147" Type="http://schemas.openxmlformats.org/officeDocument/2006/relationships/hyperlink" Target="https://bulbapedia.bulbagarden.net/wiki/Elemental_Badge_(Evolving_Skies_147)" TargetMode="External"/><Relationship Id="rId168" Type="http://schemas.openxmlformats.org/officeDocument/2006/relationships/hyperlink" Target="https://bulbapedia.bulbagarden.net/wiki/Trevenant_V_(Evolving_Skies_168)" TargetMode="External"/><Relationship Id="rId51" Type="http://schemas.openxmlformats.org/officeDocument/2006/relationships/hyperlink" Target="https://bulbapedia.bulbagarden.net/wiki/Jolteon_VMAX_(Evolving_Skies_51)" TargetMode="External"/><Relationship Id="rId72" Type="http://schemas.openxmlformats.org/officeDocument/2006/relationships/hyperlink" Target="https://bulbapedia.bulbagarden.net/wiki/Floette_(Evolving_Skies_72)" TargetMode="External"/><Relationship Id="rId93" Type="http://schemas.openxmlformats.org/officeDocument/2006/relationships/hyperlink" Target="https://bulbapedia.bulbagarden.net/wiki/Galarian_Moltres_(Evolving_Skies_93)" TargetMode="External"/><Relationship Id="rId189" Type="http://schemas.openxmlformats.org/officeDocument/2006/relationships/hyperlink" Target="https://bulbapedia.bulbagarden.net/wiki/Umbreon_V_(Evolving_Skies_189)" TargetMode="External"/><Relationship Id="rId3" Type="http://schemas.openxmlformats.org/officeDocument/2006/relationships/hyperlink" Target="https://bulbapedia.bulbagarden.net/wiki/Skiploom_(Evolving_Skies_3)" TargetMode="External"/><Relationship Id="rId214" Type="http://schemas.openxmlformats.org/officeDocument/2006/relationships/hyperlink" Target="https://bulbapedia.bulbagarden.net/wiki/Umbreon_VMAX_(Evolving_Skies_214)" TargetMode="External"/><Relationship Id="rId235" Type="http://schemas.openxmlformats.org/officeDocument/2006/relationships/hyperlink" Target="https://bulbapedia.bulbagarden.net/wiki/Lightning_Energy_(Evolving_Skies_235)" TargetMode="External"/><Relationship Id="rId116" Type="http://schemas.openxmlformats.org/officeDocument/2006/relationships/hyperlink" Target="https://bulbapedia.bulbagarden.net/wiki/Kyurem_(Evolving_Skies_116)" TargetMode="External"/><Relationship Id="rId137" Type="http://schemas.openxmlformats.org/officeDocument/2006/relationships/hyperlink" Target="https://bulbapedia.bulbagarden.net/wiki/Braviary_(Evolving_Skies_137)" TargetMode="External"/><Relationship Id="rId158" Type="http://schemas.openxmlformats.org/officeDocument/2006/relationships/hyperlink" Target="https://bulbapedia.bulbagarden.net/wiki/Single_Strike_Scroll_of_the_Fanged_Dragon_(Evolving_Skies_158)" TargetMode="External"/><Relationship Id="rId20" Type="http://schemas.openxmlformats.org/officeDocument/2006/relationships/hyperlink" Target="https://bulbapedia.bulbagarden.net/wiki/Victini_(Evolving_Skies_20)" TargetMode="External"/><Relationship Id="rId41" Type="http://schemas.openxmlformats.org/officeDocument/2006/relationships/hyperlink" Target="https://bulbapedia.bulbagarden.net/wiki/Glaceon_VMAX_(Evolving_Skies_41)" TargetMode="External"/><Relationship Id="rId62" Type="http://schemas.openxmlformats.org/officeDocument/2006/relationships/hyperlink" Target="https://bulbapedia.bulbagarden.net/wiki/Hypno_(Evolving_Skies_62)" TargetMode="External"/><Relationship Id="rId83" Type="http://schemas.openxmlformats.org/officeDocument/2006/relationships/hyperlink" Target="https://bulbapedia.bulbagarden.net/wiki/Medicham_V_(Evolving_Skies_83)" TargetMode="External"/><Relationship Id="rId179" Type="http://schemas.openxmlformats.org/officeDocument/2006/relationships/hyperlink" Target="https://bulbapedia.bulbagarden.net/wiki/Espeon_V_(Evolving_Skies_179)" TargetMode="External"/></Relationships>
</file>

<file path=xl/worksheets/_rels/sheet94.xml.rels><?xml version="1.0" encoding="UTF-8" standalone="yes"?>
<Relationships xmlns="http://schemas.openxmlformats.org/package/2006/relationships"><Relationship Id="rId13" Type="http://schemas.openxmlformats.org/officeDocument/2006/relationships/hyperlink" Target="https://bulbapedia.bulbagarden.net/wiki/Cosmog_(Celebrations_13)" TargetMode="External"/><Relationship Id="rId18" Type="http://schemas.openxmlformats.org/officeDocument/2006/relationships/hyperlink" Target="https://bulbapedia.bulbagarden.net/wiki/Zamazenta_V_(Celebrations_18)" TargetMode="External"/><Relationship Id="rId26" Type="http://schemas.openxmlformats.org/officeDocument/2006/relationships/hyperlink" Target="https://bulbapedia.bulbagarden.net/wiki/Blastoise_(Classic_Collection)" TargetMode="External"/><Relationship Id="rId39" Type="http://schemas.openxmlformats.org/officeDocument/2006/relationships/hyperlink" Target="https://bulbapedia.bulbagarden.net/wiki/Gardevoir_ex_%CE%B4_(Classic_Collection)" TargetMode="External"/><Relationship Id="rId21" Type="http://schemas.openxmlformats.org/officeDocument/2006/relationships/hyperlink" Target="https://bulbapedia.bulbagarden.net/wiki/Solgaleo_(Celebrations_21)" TargetMode="External"/><Relationship Id="rId34" Type="http://schemas.openxmlformats.org/officeDocument/2006/relationships/hyperlink" Target="https://bulbapedia.bulbagarden.net/wiki/Cleffa_(Classic_Collection)" TargetMode="External"/><Relationship Id="rId42" Type="http://schemas.openxmlformats.org/officeDocument/2006/relationships/hyperlink" Target="https://bulbapedia.bulbagarden.net/wiki/Luxray_GL_LV.X_(Classic_Collection)" TargetMode="External"/><Relationship Id="rId47" Type="http://schemas.openxmlformats.org/officeDocument/2006/relationships/hyperlink" Target="https://bulbapedia.bulbagarden.net/wiki/Mewtwo-EX_(Classic_Collection)" TargetMode="External"/><Relationship Id="rId50" Type="http://schemas.openxmlformats.org/officeDocument/2006/relationships/hyperlink" Target="https://bulbapedia.bulbagarden.net/wiki/Tapu_Lele-GX_(Classic_Collection)" TargetMode="External"/><Relationship Id="rId7" Type="http://schemas.openxmlformats.org/officeDocument/2006/relationships/hyperlink" Target="https://bulbapedia.bulbagarden.net/wiki/Flying_Pikachu_VMAX_(Celebrations_7)" TargetMode="External"/><Relationship Id="rId2" Type="http://schemas.openxmlformats.org/officeDocument/2006/relationships/hyperlink" Target="https://bulbapedia.bulbagarden.net/wiki/Reshiram_(Celebrations_2)" TargetMode="External"/><Relationship Id="rId16" Type="http://schemas.openxmlformats.org/officeDocument/2006/relationships/hyperlink" Target="https://bulbapedia.bulbagarden.net/wiki/Zacian_V_(Celebrations_16)" TargetMode="External"/><Relationship Id="rId29" Type="http://schemas.openxmlformats.org/officeDocument/2006/relationships/hyperlink" Target="https://bulbapedia.bulbagarden.net/wiki/Imposter_Professor_Oak_(Classic_Collection)" TargetMode="External"/><Relationship Id="rId11" Type="http://schemas.openxmlformats.org/officeDocument/2006/relationships/hyperlink" Target="https://bulbapedia.bulbagarden.net/wiki/Mew_(Celebrations_11)" TargetMode="External"/><Relationship Id="rId24" Type="http://schemas.openxmlformats.org/officeDocument/2006/relationships/hyperlink" Target="https://bulbapedia.bulbagarden.net/wiki/Professor%27s_Research_(Celebrations_24)" TargetMode="External"/><Relationship Id="rId32" Type="http://schemas.openxmlformats.org/officeDocument/2006/relationships/hyperlink" Target="https://bulbapedia.bulbagarden.net/wiki/Rocket%27s_Zapdos_(Classic_Collection)" TargetMode="External"/><Relationship Id="rId37" Type="http://schemas.openxmlformats.org/officeDocument/2006/relationships/hyperlink" Target="https://bulbapedia.bulbagarden.net/wiki/Rocket%27s_Admin._(Classic_Collection)" TargetMode="External"/><Relationship Id="rId40" Type="http://schemas.openxmlformats.org/officeDocument/2006/relationships/hyperlink" Target="https://bulbapedia.bulbagarden.net/wiki/Umbreon_%E2%98%86_(Classic_Collection)" TargetMode="External"/><Relationship Id="rId45" Type="http://schemas.openxmlformats.org/officeDocument/2006/relationships/hyperlink" Target="https://bulbapedia.bulbagarden.net/wiki/Reshiram_(Classic_Collection)" TargetMode="External"/><Relationship Id="rId5" Type="http://schemas.openxmlformats.org/officeDocument/2006/relationships/hyperlink" Target="https://bulbapedia.bulbagarden.net/wiki/Pikachu_(Celebrations_5)" TargetMode="External"/><Relationship Id="rId15" Type="http://schemas.openxmlformats.org/officeDocument/2006/relationships/hyperlink" Target="https://bulbapedia.bulbagarden.net/wiki/Lunala_(Celebrations_15)" TargetMode="External"/><Relationship Id="rId23" Type="http://schemas.openxmlformats.org/officeDocument/2006/relationships/hyperlink" Target="https://bulbapedia.bulbagarden.net/wiki/Professor%27s_Research_(Celebrations_23)" TargetMode="External"/><Relationship Id="rId28" Type="http://schemas.openxmlformats.org/officeDocument/2006/relationships/hyperlink" Target="https://bulbapedia.bulbagarden.net/wiki/Venusaur_(Classic_Collection)" TargetMode="External"/><Relationship Id="rId36" Type="http://schemas.openxmlformats.org/officeDocument/2006/relationships/hyperlink" Target="https://bulbapedia.bulbagarden.net/wiki/Team_Magma%27s_Groudon_(Classic_Collection)" TargetMode="External"/><Relationship Id="rId49" Type="http://schemas.openxmlformats.org/officeDocument/2006/relationships/hyperlink" Target="https://bulbapedia.bulbagarden.net/wiki/M_Rayquaza-EX_(Classic_Collection)" TargetMode="External"/><Relationship Id="rId10" Type="http://schemas.openxmlformats.org/officeDocument/2006/relationships/hyperlink" Target="https://bulbapedia.bulbagarden.net/wiki/Zekrom_(Celebrations_10)" TargetMode="External"/><Relationship Id="rId19" Type="http://schemas.openxmlformats.org/officeDocument/2006/relationships/hyperlink" Target="https://bulbapedia.bulbagarden.net/wiki/Yveltal_(Celebrations_19)" TargetMode="External"/><Relationship Id="rId31" Type="http://schemas.openxmlformats.org/officeDocument/2006/relationships/hyperlink" Target="https://bulbapedia.bulbagarden.net/wiki/Here_Comes_Team_Rocket!_(Classic_Collection)" TargetMode="External"/><Relationship Id="rId44" Type="http://schemas.openxmlformats.org/officeDocument/2006/relationships/hyperlink" Target="https://bulbapedia.bulbagarden.net/wiki/Donphan_(Classic_Collection)" TargetMode="External"/><Relationship Id="rId4" Type="http://schemas.openxmlformats.org/officeDocument/2006/relationships/hyperlink" Target="https://bulbapedia.bulbagarden.net/wiki/Palkia_(Celebrations_4)" TargetMode="External"/><Relationship Id="rId9" Type="http://schemas.openxmlformats.org/officeDocument/2006/relationships/hyperlink" Target="https://bulbapedia.bulbagarden.net/wiki/Surfing_Pikachu_VMAX_(Celebrations_9)" TargetMode="External"/><Relationship Id="rId14" Type="http://schemas.openxmlformats.org/officeDocument/2006/relationships/hyperlink" Target="https://bulbapedia.bulbagarden.net/wiki/Cosmoem_(Celebrations_14)" TargetMode="External"/><Relationship Id="rId22" Type="http://schemas.openxmlformats.org/officeDocument/2006/relationships/hyperlink" Target="https://bulbapedia.bulbagarden.net/wiki/Lugia_(Celebrations_22)" TargetMode="External"/><Relationship Id="rId27" Type="http://schemas.openxmlformats.org/officeDocument/2006/relationships/hyperlink" Target="https://bulbapedia.bulbagarden.net/wiki/Charizard_(Classic_Collection)" TargetMode="External"/><Relationship Id="rId30" Type="http://schemas.openxmlformats.org/officeDocument/2006/relationships/hyperlink" Target="https://bulbapedia.bulbagarden.net/wiki/Dark_Gyarados_(Classic_Collection)" TargetMode="External"/><Relationship Id="rId35" Type="http://schemas.openxmlformats.org/officeDocument/2006/relationships/hyperlink" Target="https://bulbapedia.bulbagarden.net/wiki/Shining_Magikarp_(Classic_Collection)" TargetMode="External"/><Relationship Id="rId43" Type="http://schemas.openxmlformats.org/officeDocument/2006/relationships/hyperlink" Target="https://bulbapedia.bulbagarden.net/wiki/Garchomp_C_LV.X_(Classic_Collection)" TargetMode="External"/><Relationship Id="rId48" Type="http://schemas.openxmlformats.org/officeDocument/2006/relationships/hyperlink" Target="https://bulbapedia.bulbagarden.net/wiki/Xerneas-EX_(Classic_Collection)" TargetMode="External"/><Relationship Id="rId8" Type="http://schemas.openxmlformats.org/officeDocument/2006/relationships/hyperlink" Target="https://bulbapedia.bulbagarden.net/wiki/Surfing_Pikachu_V_(Celebrations_8)" TargetMode="External"/><Relationship Id="rId3" Type="http://schemas.openxmlformats.org/officeDocument/2006/relationships/hyperlink" Target="https://bulbapedia.bulbagarden.net/wiki/Kyogre_(Celebrations_3)" TargetMode="External"/><Relationship Id="rId12" Type="http://schemas.openxmlformats.org/officeDocument/2006/relationships/hyperlink" Target="https://bulbapedia.bulbagarden.net/wiki/Xerneas_(Celebrations_12)" TargetMode="External"/><Relationship Id="rId17" Type="http://schemas.openxmlformats.org/officeDocument/2006/relationships/hyperlink" Target="https://bulbapedia.bulbagarden.net/wiki/Groudon_(Celebrations_17)" TargetMode="External"/><Relationship Id="rId25" Type="http://schemas.openxmlformats.org/officeDocument/2006/relationships/hyperlink" Target="https://bulbapedia.bulbagarden.net/wiki/Mew_(Celebrations_25)" TargetMode="External"/><Relationship Id="rId33" Type="http://schemas.openxmlformats.org/officeDocument/2006/relationships/hyperlink" Target="https://bulbapedia.bulbagarden.net/wiki/%27s_Pikachu_(Classic_Collection)" TargetMode="External"/><Relationship Id="rId38" Type="http://schemas.openxmlformats.org/officeDocument/2006/relationships/hyperlink" Target="https://bulbapedia.bulbagarden.net/wiki/Mew_ex_(Classic_Collection)" TargetMode="External"/><Relationship Id="rId46" Type="http://schemas.openxmlformats.org/officeDocument/2006/relationships/hyperlink" Target="https://bulbapedia.bulbagarden.net/wiki/Zekrom_(Classic_Collection)" TargetMode="External"/><Relationship Id="rId20" Type="http://schemas.openxmlformats.org/officeDocument/2006/relationships/hyperlink" Target="https://bulbapedia.bulbagarden.net/wiki/Dialga_(Celebrations_20)" TargetMode="External"/><Relationship Id="rId41" Type="http://schemas.openxmlformats.org/officeDocument/2006/relationships/hyperlink" Target="https://bulbapedia.bulbagarden.net/wiki/Claydol_(Classic_Collection)" TargetMode="External"/><Relationship Id="rId1" Type="http://schemas.openxmlformats.org/officeDocument/2006/relationships/hyperlink" Target="https://bulbapedia.bulbagarden.net/wiki/Ho-Oh_(Celebrations_1)" TargetMode="External"/><Relationship Id="rId6" Type="http://schemas.openxmlformats.org/officeDocument/2006/relationships/hyperlink" Target="https://bulbapedia.bulbagarden.net/wiki/Flying_Pikachu_V_(Celebrations_6)" TargetMode="External"/></Relationships>
</file>

<file path=xl/worksheets/_rels/sheet95.xml.rels><?xml version="1.0" encoding="UTF-8" standalone="yes"?>
<Relationships xmlns="http://schemas.openxmlformats.org/package/2006/relationships"><Relationship Id="rId117" Type="http://schemas.openxmlformats.org/officeDocument/2006/relationships/hyperlink" Target="https://bulbapedia.bulbagarden.net/wiki/Galarian_Corsola_(Fusion_Strike_117)" TargetMode="External"/><Relationship Id="rId21" Type="http://schemas.openxmlformats.org/officeDocument/2006/relationships/hyperlink" Target="https://bulbapedia.bulbagarden.net/wiki/Tsareena_V_(Fusion_Strike_21)" TargetMode="External"/><Relationship Id="rId63" Type="http://schemas.openxmlformats.org/officeDocument/2006/relationships/hyperlink" Target="https://bulbapedia.bulbagarden.net/wiki/Marshtomp_(Fusion_Strike_63)" TargetMode="External"/><Relationship Id="rId159" Type="http://schemas.openxmlformats.org/officeDocument/2006/relationships/hyperlink" Target="https://bulbapedia.bulbagarden.net/wiki/Galarian_Zigzagoon_(Fusion_Strike_159)" TargetMode="External"/><Relationship Id="rId170" Type="http://schemas.openxmlformats.org/officeDocument/2006/relationships/hyperlink" Target="https://bulbapedia.bulbagarden.net/wiki/Zorua_(Fusion_Strike_170)" TargetMode="External"/><Relationship Id="rId226" Type="http://schemas.openxmlformats.org/officeDocument/2006/relationships/hyperlink" Target="https://bulbapedia.bulbagarden.net/wiki/Bug_Catcher_(Fusion_Strike_226)" TargetMode="External"/><Relationship Id="rId268" Type="http://schemas.openxmlformats.org/officeDocument/2006/relationships/hyperlink" Target="https://bulbapedia.bulbagarden.net/wiki/Mew_VMAX_(Fusion_Strike_268)" TargetMode="External"/><Relationship Id="rId32" Type="http://schemas.openxmlformats.org/officeDocument/2006/relationships/hyperlink" Target="https://bulbapedia.bulbagarden.net/wiki/Growlithe_(Fusion_Strike_32)" TargetMode="External"/><Relationship Id="rId74" Type="http://schemas.openxmlformats.org/officeDocument/2006/relationships/hyperlink" Target="https://bulbapedia.bulbagarden.net/wiki/Clauncher_(Fusion_Strike_74)" TargetMode="External"/><Relationship Id="rId128" Type="http://schemas.openxmlformats.org/officeDocument/2006/relationships/hyperlink" Target="https://bulbapedia.bulbagarden.net/wiki/Dreepy_(Fusion_Strike_128)" TargetMode="External"/><Relationship Id="rId5" Type="http://schemas.openxmlformats.org/officeDocument/2006/relationships/hyperlink" Target="https://bulbapedia.bulbagarden.net/wiki/Breloom_(Fusion_Strike_5)" TargetMode="External"/><Relationship Id="rId181" Type="http://schemas.openxmlformats.org/officeDocument/2006/relationships/hyperlink" Target="https://bulbapedia.bulbagarden.net/wiki/Galarian_Perrserker_(Fusion_Strike_181)" TargetMode="External"/><Relationship Id="rId237" Type="http://schemas.openxmlformats.org/officeDocument/2006/relationships/hyperlink" Target="https://bulbapedia.bulbagarden.net/wiki/Quick_Ball_(Fusion_Strike_237)" TargetMode="External"/><Relationship Id="rId279" Type="http://schemas.openxmlformats.org/officeDocument/2006/relationships/hyperlink" Target="https://bulbapedia.bulbagarden.net/wiki/Sidney_(Fusion_Strike_279)" TargetMode="External"/><Relationship Id="rId22" Type="http://schemas.openxmlformats.org/officeDocument/2006/relationships/hyperlink" Target="https://bulbapedia.bulbagarden.net/wiki/Rillaboom_V_(Fusion_Strike_22)" TargetMode="External"/><Relationship Id="rId43" Type="http://schemas.openxmlformats.org/officeDocument/2006/relationships/hyperlink" Target="https://bulbapedia.bulbagarden.net/wiki/Cinderace_V_(Fusion_Strike_43)" TargetMode="External"/><Relationship Id="rId64" Type="http://schemas.openxmlformats.org/officeDocument/2006/relationships/hyperlink" Target="https://bulbapedia.bulbagarden.net/wiki/Swampert_(Fusion_Strike_64)" TargetMode="External"/><Relationship Id="rId118" Type="http://schemas.openxmlformats.org/officeDocument/2006/relationships/hyperlink" Target="https://bulbapedia.bulbagarden.net/wiki/Galarian_Cursola_(Fusion_Strike_118)" TargetMode="External"/><Relationship Id="rId139" Type="http://schemas.openxmlformats.org/officeDocument/2006/relationships/hyperlink" Target="https://bulbapedia.bulbagarden.net/wiki/Steelix_(Fusion_Strike_139)" TargetMode="External"/><Relationship Id="rId85" Type="http://schemas.openxmlformats.org/officeDocument/2006/relationships/hyperlink" Target="https://bulbapedia.bulbagarden.net/wiki/Frosmoth_(Fusion_Strike_85)" TargetMode="External"/><Relationship Id="rId150" Type="http://schemas.openxmlformats.org/officeDocument/2006/relationships/hyperlink" Target="https://bulbapedia.bulbagarden.net/wiki/Stufful_(Fusion_Strike_150)" TargetMode="External"/><Relationship Id="rId171" Type="http://schemas.openxmlformats.org/officeDocument/2006/relationships/hyperlink" Target="https://bulbapedia.bulbagarden.net/wiki/Zoroark_(Fusion_Strike_171)" TargetMode="External"/><Relationship Id="rId192" Type="http://schemas.openxmlformats.org/officeDocument/2006/relationships/hyperlink" Target="https://bulbapedia.bulbagarden.net/wiki/Copperajah_(Fusion_Strike_192)" TargetMode="External"/><Relationship Id="rId206" Type="http://schemas.openxmlformats.org/officeDocument/2006/relationships/hyperlink" Target="https://bulbapedia.bulbagarden.net/wiki/Snorlax_(Fusion_Strike_206)" TargetMode="External"/><Relationship Id="rId227" Type="http://schemas.openxmlformats.org/officeDocument/2006/relationships/hyperlink" Target="https://bulbapedia.bulbagarden.net/wiki/Chili_%26_Cilan_%26_Cress_(Fusion_Strike_227)" TargetMode="External"/><Relationship Id="rId248" Type="http://schemas.openxmlformats.org/officeDocument/2006/relationships/hyperlink" Target="https://bulbapedia.bulbagarden.net/wiki/Crabominable_V_(Fusion_Strike_248)" TargetMode="External"/><Relationship Id="rId269" Type="http://schemas.openxmlformats.org/officeDocument/2006/relationships/hyperlink" Target="https://bulbapedia.bulbagarden.net/wiki/Mew_VMAX_(Fusion_Strike_269)" TargetMode="External"/><Relationship Id="rId12" Type="http://schemas.openxmlformats.org/officeDocument/2006/relationships/hyperlink" Target="https://bulbapedia.bulbagarden.net/wiki/Maractus_(Fusion_Strike_12)" TargetMode="External"/><Relationship Id="rId33" Type="http://schemas.openxmlformats.org/officeDocument/2006/relationships/hyperlink" Target="https://bulbapedia.bulbagarden.net/wiki/Arcanine_(Fusion_Strike_33)" TargetMode="External"/><Relationship Id="rId108" Type="http://schemas.openxmlformats.org/officeDocument/2006/relationships/hyperlink" Target="https://bulbapedia.bulbagarden.net/wiki/Toxtricity_(Fusion_Strike_108)" TargetMode="External"/><Relationship Id="rId129" Type="http://schemas.openxmlformats.org/officeDocument/2006/relationships/hyperlink" Target="https://bulbapedia.bulbagarden.net/wiki/Drakloak_(Fusion_Strike_129)" TargetMode="External"/><Relationship Id="rId280" Type="http://schemas.openxmlformats.org/officeDocument/2006/relationships/hyperlink" Target="https://bulbapedia.bulbagarden.net/wiki/Flaaffy_(Fusion_Strike_280)" TargetMode="External"/><Relationship Id="rId54" Type="http://schemas.openxmlformats.org/officeDocument/2006/relationships/hyperlink" Target="https://bulbapedia.bulbagarden.net/wiki/Lapras_(Fusion_Strike_54)" TargetMode="External"/><Relationship Id="rId75" Type="http://schemas.openxmlformats.org/officeDocument/2006/relationships/hyperlink" Target="https://bulbapedia.bulbagarden.net/wiki/Clawitzer_(Fusion_Strike_75)" TargetMode="External"/><Relationship Id="rId96" Type="http://schemas.openxmlformats.org/officeDocument/2006/relationships/hyperlink" Target="https://bulbapedia.bulbagarden.net/wiki/Eelektrik_(Fusion_Strike_96)" TargetMode="External"/><Relationship Id="rId140" Type="http://schemas.openxmlformats.org/officeDocument/2006/relationships/hyperlink" Target="https://bulbapedia.bulbagarden.net/wiki/Gligar_(Fusion_Strike_140)" TargetMode="External"/><Relationship Id="rId161" Type="http://schemas.openxmlformats.org/officeDocument/2006/relationships/hyperlink" Target="https://bulbapedia.bulbagarden.net/wiki/Galarian_Obstagoon_(Fusion_Strike_161)" TargetMode="External"/><Relationship Id="rId182" Type="http://schemas.openxmlformats.org/officeDocument/2006/relationships/hyperlink" Target="https://bulbapedia.bulbagarden.net/wiki/Skarmory_(Fusion_Strike_182)" TargetMode="External"/><Relationship Id="rId217" Type="http://schemas.openxmlformats.org/officeDocument/2006/relationships/hyperlink" Target="https://bulbapedia.bulbagarden.net/wiki/Greedent_V_(Fusion_Strike_217)" TargetMode="External"/><Relationship Id="rId6" Type="http://schemas.openxmlformats.org/officeDocument/2006/relationships/hyperlink" Target="https://bulbapedia.bulbagarden.net/wiki/Breloom_V_(Fusion_Strike_6)" TargetMode="External"/><Relationship Id="rId238" Type="http://schemas.openxmlformats.org/officeDocument/2006/relationships/hyperlink" Target="https://bulbapedia.bulbagarden.net/wiki/Schoolboy_(Fusion_Strike_238)" TargetMode="External"/><Relationship Id="rId259" Type="http://schemas.openxmlformats.org/officeDocument/2006/relationships/hyperlink" Target="https://bulbapedia.bulbagarden.net/wiki/Dancer_(Fusion_Strike_259)" TargetMode="External"/><Relationship Id="rId23" Type="http://schemas.openxmlformats.org/officeDocument/2006/relationships/hyperlink" Target="https://bulbapedia.bulbagarden.net/wiki/Rillaboom_VMAX_(Fusion_Strike_23)" TargetMode="External"/><Relationship Id="rId119" Type="http://schemas.openxmlformats.org/officeDocument/2006/relationships/hyperlink" Target="https://bulbapedia.bulbagarden.net/wiki/Mawile_(Fusion_Strike_119)" TargetMode="External"/><Relationship Id="rId270" Type="http://schemas.openxmlformats.org/officeDocument/2006/relationships/hyperlink" Target="https://bulbapedia.bulbagarden.net/wiki/Espeon_VMAX_(Fusion_Strike_270)" TargetMode="External"/><Relationship Id="rId44" Type="http://schemas.openxmlformats.org/officeDocument/2006/relationships/hyperlink" Target="https://bulbapedia.bulbagarden.net/wiki/Cinderace_V_(Fusion_Strike_44)" TargetMode="External"/><Relationship Id="rId65" Type="http://schemas.openxmlformats.org/officeDocument/2006/relationships/hyperlink" Target="https://bulbapedia.bulbagarden.net/wiki/Clamperl_(Fusion_Strike_65)" TargetMode="External"/><Relationship Id="rId86" Type="http://schemas.openxmlformats.org/officeDocument/2006/relationships/hyperlink" Target="https://bulbapedia.bulbagarden.net/wiki/Pikachu_V_(Fusion_Strike_86)" TargetMode="External"/><Relationship Id="rId130" Type="http://schemas.openxmlformats.org/officeDocument/2006/relationships/hyperlink" Target="https://bulbapedia.bulbagarden.net/wiki/Dragapult_(Fusion_Strike_130)" TargetMode="External"/><Relationship Id="rId151" Type="http://schemas.openxmlformats.org/officeDocument/2006/relationships/hyperlink" Target="https://bulbapedia.bulbagarden.net/wiki/Bewear_(Fusion_Strike_151)" TargetMode="External"/><Relationship Id="rId172" Type="http://schemas.openxmlformats.org/officeDocument/2006/relationships/hyperlink" Target="https://bulbapedia.bulbagarden.net/wiki/Vullaby_(Fusion_Strike_172)" TargetMode="External"/><Relationship Id="rId193" Type="http://schemas.openxmlformats.org/officeDocument/2006/relationships/hyperlink" Target="https://bulbapedia.bulbagarden.net/wiki/Latias_(Fusion_Strike_193)" TargetMode="External"/><Relationship Id="rId207" Type="http://schemas.openxmlformats.org/officeDocument/2006/relationships/hyperlink" Target="https://bulbapedia.bulbagarden.net/wiki/Dunsparce_(Fusion_Strike_207)" TargetMode="External"/><Relationship Id="rId228" Type="http://schemas.openxmlformats.org/officeDocument/2006/relationships/hyperlink" Target="https://bulbapedia.bulbagarden.net/wiki/Cook_(Fusion_Strike_228)" TargetMode="External"/><Relationship Id="rId249" Type="http://schemas.openxmlformats.org/officeDocument/2006/relationships/hyperlink" Target="https://bulbapedia.bulbagarden.net/wiki/Boltund_V_(Fusion_Strike_249)" TargetMode="External"/><Relationship Id="rId13" Type="http://schemas.openxmlformats.org/officeDocument/2006/relationships/hyperlink" Target="https://bulbapedia.bulbagarden.net/wiki/Shelmet_(Fusion_Strike_13)" TargetMode="External"/><Relationship Id="rId109" Type="http://schemas.openxmlformats.org/officeDocument/2006/relationships/hyperlink" Target="https://bulbapedia.bulbagarden.net/wiki/Morpeko_(Fusion_Strike_109)" TargetMode="External"/><Relationship Id="rId260" Type="http://schemas.openxmlformats.org/officeDocument/2006/relationships/hyperlink" Target="https://bulbapedia.bulbagarden.net/wiki/Elesa%27s_Sparkle_(Fusion_Strike_260)" TargetMode="External"/><Relationship Id="rId281" Type="http://schemas.openxmlformats.org/officeDocument/2006/relationships/hyperlink" Target="https://bulbapedia.bulbagarden.net/wiki/Power_Tablet_(Fusion_Strike_281)" TargetMode="External"/><Relationship Id="rId34" Type="http://schemas.openxmlformats.org/officeDocument/2006/relationships/hyperlink" Target="https://bulbapedia.bulbagarden.net/wiki/Slugma_(Fusion_Strike_34)" TargetMode="External"/><Relationship Id="rId55" Type="http://schemas.openxmlformats.org/officeDocument/2006/relationships/hyperlink" Target="https://bulbapedia.bulbagarden.net/wiki/Totodile_(Fusion_Strike_55)" TargetMode="External"/><Relationship Id="rId76" Type="http://schemas.openxmlformats.org/officeDocument/2006/relationships/hyperlink" Target="https://bulbapedia.bulbagarden.net/wiki/Crabominable_V_(Fusion_Strike_76)" TargetMode="External"/><Relationship Id="rId97" Type="http://schemas.openxmlformats.org/officeDocument/2006/relationships/hyperlink" Target="https://bulbapedia.bulbagarden.net/wiki/Eelektross_(Fusion_Strike_97)" TargetMode="External"/><Relationship Id="rId120" Type="http://schemas.openxmlformats.org/officeDocument/2006/relationships/hyperlink" Target="https://bulbapedia.bulbagarden.net/wiki/Deoxys_(Fusion_Strike_120)" TargetMode="External"/><Relationship Id="rId141" Type="http://schemas.openxmlformats.org/officeDocument/2006/relationships/hyperlink" Target="https://bulbapedia.bulbagarden.net/wiki/Gliscor_(Fusion_Strike_141)" TargetMode="External"/><Relationship Id="rId7" Type="http://schemas.openxmlformats.org/officeDocument/2006/relationships/hyperlink" Target="https://bulbapedia.bulbagarden.net/wiki/Pansage_(Fusion_Strike_7)" TargetMode="External"/><Relationship Id="rId162" Type="http://schemas.openxmlformats.org/officeDocument/2006/relationships/hyperlink" Target="https://bulbapedia.bulbagarden.net/wiki/Carvanha_(Fusion_Strike_162)" TargetMode="External"/><Relationship Id="rId183" Type="http://schemas.openxmlformats.org/officeDocument/2006/relationships/hyperlink" Target="https://bulbapedia.bulbagarden.net/wiki/Excadrill_(Fusion_Strike_183)" TargetMode="External"/><Relationship Id="rId218" Type="http://schemas.openxmlformats.org/officeDocument/2006/relationships/hyperlink" Target="https://bulbapedia.bulbagarden.net/wiki/Greedent_VMAX_(Fusion_Strike_218)" TargetMode="External"/><Relationship Id="rId239" Type="http://schemas.openxmlformats.org/officeDocument/2006/relationships/hyperlink" Target="https://bulbapedia.bulbagarden.net/wiki/Schoolgirl_(Fusion_Strike_239)" TargetMode="External"/><Relationship Id="rId250" Type="http://schemas.openxmlformats.org/officeDocument/2006/relationships/hyperlink" Target="https://bulbapedia.bulbagarden.net/wiki/Mew_V_(Fusion_Strike_250)" TargetMode="External"/><Relationship Id="rId271" Type="http://schemas.openxmlformats.org/officeDocument/2006/relationships/hyperlink" Target="https://bulbapedia.bulbagarden.net/wiki/Gengar_VMAX_(Fusion_Strike_271)" TargetMode="External"/><Relationship Id="rId24" Type="http://schemas.openxmlformats.org/officeDocument/2006/relationships/hyperlink" Target="https://bulbapedia.bulbagarden.net/wiki/Gossifleur_(Fusion_Strike_24)" TargetMode="External"/><Relationship Id="rId45" Type="http://schemas.openxmlformats.org/officeDocument/2006/relationships/hyperlink" Target="https://bulbapedia.bulbagarden.net/wiki/Cinderace_VMAX_(Fusion_Strike_45)" TargetMode="External"/><Relationship Id="rId66" Type="http://schemas.openxmlformats.org/officeDocument/2006/relationships/hyperlink" Target="https://bulbapedia.bulbagarden.net/wiki/Huntail_(Fusion_Strike_66)" TargetMode="External"/><Relationship Id="rId87" Type="http://schemas.openxmlformats.org/officeDocument/2006/relationships/hyperlink" Target="https://bulbapedia.bulbagarden.net/wiki/Voltorb_(Fusion_Strike_87)" TargetMode="External"/><Relationship Id="rId110" Type="http://schemas.openxmlformats.org/officeDocument/2006/relationships/hyperlink" Target="https://bulbapedia.bulbagarden.net/wiki/Jigglypuff_(Fusion_Strike_110)" TargetMode="External"/><Relationship Id="rId131" Type="http://schemas.openxmlformats.org/officeDocument/2006/relationships/hyperlink" Target="https://bulbapedia.bulbagarden.net/wiki/Sandshrew_(Fusion_Strike_131)" TargetMode="External"/><Relationship Id="rId152" Type="http://schemas.openxmlformats.org/officeDocument/2006/relationships/hyperlink" Target="https://bulbapedia.bulbagarden.net/wiki/Clobbopus_(Fusion_Strike_152)" TargetMode="External"/><Relationship Id="rId173" Type="http://schemas.openxmlformats.org/officeDocument/2006/relationships/hyperlink" Target="https://bulbapedia.bulbagarden.net/wiki/Mandibuzz_(Fusion_Strike_173)" TargetMode="External"/><Relationship Id="rId194" Type="http://schemas.openxmlformats.org/officeDocument/2006/relationships/hyperlink" Target="https://bulbapedia.bulbagarden.net/wiki/Latios_(Fusion_Strike_194)" TargetMode="External"/><Relationship Id="rId208" Type="http://schemas.openxmlformats.org/officeDocument/2006/relationships/hyperlink" Target="https://bulbapedia.bulbagarden.net/wiki/Stantler_(Fusion_Strike_208)" TargetMode="External"/><Relationship Id="rId229" Type="http://schemas.openxmlformats.org/officeDocument/2006/relationships/hyperlink" Target="https://bulbapedia.bulbagarden.net/wiki/Cram-o-matic_(Fusion_Strike_229)" TargetMode="External"/><Relationship Id="rId240" Type="http://schemas.openxmlformats.org/officeDocument/2006/relationships/hyperlink" Target="https://bulbapedia.bulbagarden.net/wiki/Shauna_(Fusion_Strike_240)" TargetMode="External"/><Relationship Id="rId261" Type="http://schemas.openxmlformats.org/officeDocument/2006/relationships/hyperlink" Target="https://bulbapedia.bulbagarden.net/wiki/Schoolboy_(Fusion_Strike_261)" TargetMode="External"/><Relationship Id="rId14" Type="http://schemas.openxmlformats.org/officeDocument/2006/relationships/hyperlink" Target="https://bulbapedia.bulbagarden.net/wiki/Accelgor_(Fusion_Strike_14)" TargetMode="External"/><Relationship Id="rId35" Type="http://schemas.openxmlformats.org/officeDocument/2006/relationships/hyperlink" Target="https://bulbapedia.bulbagarden.net/wiki/Magcargo_(Fusion_Strike_35)" TargetMode="External"/><Relationship Id="rId56" Type="http://schemas.openxmlformats.org/officeDocument/2006/relationships/hyperlink" Target="https://bulbapedia.bulbagarden.net/wiki/Croconaw_(Fusion_Strike_56)" TargetMode="External"/><Relationship Id="rId77" Type="http://schemas.openxmlformats.org/officeDocument/2006/relationships/hyperlink" Target="https://bulbapedia.bulbagarden.net/wiki/Pyukumuku_(Fusion_Strike_77)" TargetMode="External"/><Relationship Id="rId100" Type="http://schemas.openxmlformats.org/officeDocument/2006/relationships/hyperlink" Target="https://bulbapedia.bulbagarden.net/wiki/Charjabug_(Fusion_Strike_100)" TargetMode="External"/><Relationship Id="rId282" Type="http://schemas.openxmlformats.org/officeDocument/2006/relationships/hyperlink" Target="https://bulbapedia.bulbagarden.net/wiki/Training_Court_(Fusion_Strike_282)" TargetMode="External"/><Relationship Id="rId8" Type="http://schemas.openxmlformats.org/officeDocument/2006/relationships/hyperlink" Target="https://bulbapedia.bulbagarden.net/wiki/Simisage_(Fusion_Strike_8)" TargetMode="External"/><Relationship Id="rId98" Type="http://schemas.openxmlformats.org/officeDocument/2006/relationships/hyperlink" Target="https://bulbapedia.bulbagarden.net/wiki/Helioptile_(Fusion_Strike_98)" TargetMode="External"/><Relationship Id="rId121" Type="http://schemas.openxmlformats.org/officeDocument/2006/relationships/hyperlink" Target="https://bulbapedia.bulbagarden.net/wiki/Munna_(Fusion_Strike_121)" TargetMode="External"/><Relationship Id="rId142" Type="http://schemas.openxmlformats.org/officeDocument/2006/relationships/hyperlink" Target="https://bulbapedia.bulbagarden.net/wiki/Makuhita_(Fusion_Strike_142)" TargetMode="External"/><Relationship Id="rId163" Type="http://schemas.openxmlformats.org/officeDocument/2006/relationships/hyperlink" Target="https://bulbapedia.bulbagarden.net/wiki/Sharpedo_(Fusion_Strike_163)" TargetMode="External"/><Relationship Id="rId184" Type="http://schemas.openxmlformats.org/officeDocument/2006/relationships/hyperlink" Target="https://bulbapedia.bulbagarden.net/wiki/Durant_(Fusion_Strike_184)" TargetMode="External"/><Relationship Id="rId219" Type="http://schemas.openxmlformats.org/officeDocument/2006/relationships/hyperlink" Target="https://bulbapedia.bulbagarden.net/wiki/Rookidee_(Fusion_Strike_219)" TargetMode="External"/><Relationship Id="rId230" Type="http://schemas.openxmlformats.org/officeDocument/2006/relationships/hyperlink" Target="https://bulbapedia.bulbagarden.net/wiki/Cross_Switcher_(Fusion_Strike_230)" TargetMode="External"/><Relationship Id="rId251" Type="http://schemas.openxmlformats.org/officeDocument/2006/relationships/hyperlink" Target="https://bulbapedia.bulbagarden.net/wiki/Mew_V_(Fusion_Strike_251)" TargetMode="External"/><Relationship Id="rId25" Type="http://schemas.openxmlformats.org/officeDocument/2006/relationships/hyperlink" Target="https://bulbapedia.bulbagarden.net/wiki/Eldegoss_(Fusion_Strike_25)" TargetMode="External"/><Relationship Id="rId46" Type="http://schemas.openxmlformats.org/officeDocument/2006/relationships/hyperlink" Target="https://bulbapedia.bulbagarden.net/wiki/Sizzlipede_(Fusion_Strike_46)" TargetMode="External"/><Relationship Id="rId67" Type="http://schemas.openxmlformats.org/officeDocument/2006/relationships/hyperlink" Target="https://bulbapedia.bulbagarden.net/wiki/Gorebyss_(Fusion_Strike_67)" TargetMode="External"/><Relationship Id="rId272" Type="http://schemas.openxmlformats.org/officeDocument/2006/relationships/hyperlink" Target="https://bulbapedia.bulbagarden.net/wiki/Greedent_VMAX_(Fusion_Strike_272)" TargetMode="External"/><Relationship Id="rId88" Type="http://schemas.openxmlformats.org/officeDocument/2006/relationships/hyperlink" Target="https://bulbapedia.bulbagarden.net/wiki/Electrode_(Fusion_Strike_88)" TargetMode="External"/><Relationship Id="rId111" Type="http://schemas.openxmlformats.org/officeDocument/2006/relationships/hyperlink" Target="https://bulbapedia.bulbagarden.net/wiki/Wigglytuff_(Fusion_Strike_111)" TargetMode="External"/><Relationship Id="rId132" Type="http://schemas.openxmlformats.org/officeDocument/2006/relationships/hyperlink" Target="https://bulbapedia.bulbagarden.net/wiki/Sandslash_(Fusion_Strike_132)" TargetMode="External"/><Relationship Id="rId153" Type="http://schemas.openxmlformats.org/officeDocument/2006/relationships/hyperlink" Target="https://bulbapedia.bulbagarden.net/wiki/Grapploct_(Fusion_Strike_153)" TargetMode="External"/><Relationship Id="rId174" Type="http://schemas.openxmlformats.org/officeDocument/2006/relationships/hyperlink" Target="https://bulbapedia.bulbagarden.net/wiki/Pangoro_(Fusion_Strike_174)" TargetMode="External"/><Relationship Id="rId195" Type="http://schemas.openxmlformats.org/officeDocument/2006/relationships/hyperlink" Target="https://bulbapedia.bulbagarden.net/wiki/Goomy_(Fusion_Strike_195)" TargetMode="External"/><Relationship Id="rId209" Type="http://schemas.openxmlformats.org/officeDocument/2006/relationships/hyperlink" Target="https://bulbapedia.bulbagarden.net/wiki/Smeargle_(Fusion_Strike_209)" TargetMode="External"/><Relationship Id="rId220" Type="http://schemas.openxmlformats.org/officeDocument/2006/relationships/hyperlink" Target="https://bulbapedia.bulbagarden.net/wiki/Corvisquire_(Fusion_Strike_220)" TargetMode="External"/><Relationship Id="rId241" Type="http://schemas.openxmlformats.org/officeDocument/2006/relationships/hyperlink" Target="https://bulbapedia.bulbagarden.net/wiki/Sidney_(Fusion_Strike_241)" TargetMode="External"/><Relationship Id="rId15" Type="http://schemas.openxmlformats.org/officeDocument/2006/relationships/hyperlink" Target="https://bulbapedia.bulbagarden.net/wiki/Virizion_(Fusion_Strike_15)" TargetMode="External"/><Relationship Id="rId36" Type="http://schemas.openxmlformats.org/officeDocument/2006/relationships/hyperlink" Target="https://bulbapedia.bulbagarden.net/wiki/Victini_(Fusion_Strike_36)" TargetMode="External"/><Relationship Id="rId57" Type="http://schemas.openxmlformats.org/officeDocument/2006/relationships/hyperlink" Target="https://bulbapedia.bulbagarden.net/wiki/Feraligatr_(Fusion_Strike_57)" TargetMode="External"/><Relationship Id="rId262" Type="http://schemas.openxmlformats.org/officeDocument/2006/relationships/hyperlink" Target="https://bulbapedia.bulbagarden.net/wiki/Schoolgirl_(Fusion_Strike_262)" TargetMode="External"/><Relationship Id="rId283" Type="http://schemas.openxmlformats.org/officeDocument/2006/relationships/hyperlink" Target="https://bulbapedia.bulbagarden.net/wiki/Grass_Energy_(Fusion_Strike_283)" TargetMode="External"/><Relationship Id="rId78" Type="http://schemas.openxmlformats.org/officeDocument/2006/relationships/hyperlink" Target="https://bulbapedia.bulbagarden.net/wiki/Inteleon_V_(Fusion_Strike_78)" TargetMode="External"/><Relationship Id="rId99" Type="http://schemas.openxmlformats.org/officeDocument/2006/relationships/hyperlink" Target="https://bulbapedia.bulbagarden.net/wiki/Heliolisk_(Fusion_Strike_99)" TargetMode="External"/><Relationship Id="rId101" Type="http://schemas.openxmlformats.org/officeDocument/2006/relationships/hyperlink" Target="https://bulbapedia.bulbagarden.net/wiki/Vikavolt_(Fusion_Strike_101)" TargetMode="External"/><Relationship Id="rId122" Type="http://schemas.openxmlformats.org/officeDocument/2006/relationships/hyperlink" Target="https://bulbapedia.bulbagarden.net/wiki/Musharna_(Fusion_Strike_122)" TargetMode="External"/><Relationship Id="rId143" Type="http://schemas.openxmlformats.org/officeDocument/2006/relationships/hyperlink" Target="https://bulbapedia.bulbagarden.net/wiki/Hariyama_(Fusion_Strike_143)" TargetMode="External"/><Relationship Id="rId164" Type="http://schemas.openxmlformats.org/officeDocument/2006/relationships/hyperlink" Target="https://bulbapedia.bulbagarden.net/wiki/Absol_(Fusion_Strike_164)" TargetMode="External"/><Relationship Id="rId185" Type="http://schemas.openxmlformats.org/officeDocument/2006/relationships/hyperlink" Target="https://bulbapedia.bulbagarden.net/wiki/Genesect_V_(Fusion_Strike_185)" TargetMode="External"/><Relationship Id="rId9" Type="http://schemas.openxmlformats.org/officeDocument/2006/relationships/hyperlink" Target="https://bulbapedia.bulbagarden.net/wiki/Sewaddle_(Fusion_Strike_9)" TargetMode="External"/><Relationship Id="rId210" Type="http://schemas.openxmlformats.org/officeDocument/2006/relationships/hyperlink" Target="https://bulbapedia.bulbagarden.net/wiki/Skitty_(Fusion_Strike_210)" TargetMode="External"/><Relationship Id="rId26" Type="http://schemas.openxmlformats.org/officeDocument/2006/relationships/hyperlink" Target="https://bulbapedia.bulbagarden.net/wiki/Appletun_V_(Fusion_Strike_26)" TargetMode="External"/><Relationship Id="rId231" Type="http://schemas.openxmlformats.org/officeDocument/2006/relationships/hyperlink" Target="https://bulbapedia.bulbagarden.net/wiki/Crossceiver_(Fusion_Strike_231)" TargetMode="External"/><Relationship Id="rId252" Type="http://schemas.openxmlformats.org/officeDocument/2006/relationships/hyperlink" Target="https://bulbapedia.bulbagarden.net/wiki/Sandaconda_V_(Fusion_Strike_252)" TargetMode="External"/><Relationship Id="rId273" Type="http://schemas.openxmlformats.org/officeDocument/2006/relationships/hyperlink" Target="https://bulbapedia.bulbagarden.net/wiki/Chili_%26_Cilan_%26_Cress_(Fusion_Strike_273)" TargetMode="External"/><Relationship Id="rId47" Type="http://schemas.openxmlformats.org/officeDocument/2006/relationships/hyperlink" Target="https://bulbapedia.bulbagarden.net/wiki/Sizzlipede_(Fusion_Strike_47)" TargetMode="External"/><Relationship Id="rId68" Type="http://schemas.openxmlformats.org/officeDocument/2006/relationships/hyperlink" Target="https://bulbapedia.bulbagarden.net/wiki/Panpour_(Fusion_Strike_68)" TargetMode="External"/><Relationship Id="rId89" Type="http://schemas.openxmlformats.org/officeDocument/2006/relationships/hyperlink" Target="https://bulbapedia.bulbagarden.net/wiki/Plusle_(Fusion_Strike_89)" TargetMode="External"/><Relationship Id="rId112" Type="http://schemas.openxmlformats.org/officeDocument/2006/relationships/hyperlink" Target="https://bulbapedia.bulbagarden.net/wiki/Jynx_(Fusion_Strike_112)" TargetMode="External"/><Relationship Id="rId133" Type="http://schemas.openxmlformats.org/officeDocument/2006/relationships/hyperlink" Target="https://bulbapedia.bulbagarden.net/wiki/Mankey_(Fusion_Strike_133)" TargetMode="External"/><Relationship Id="rId154" Type="http://schemas.openxmlformats.org/officeDocument/2006/relationships/hyperlink" Target="https://bulbapedia.bulbagarden.net/wiki/Falinks_(Fusion_Strike_154)" TargetMode="External"/><Relationship Id="rId175" Type="http://schemas.openxmlformats.org/officeDocument/2006/relationships/hyperlink" Target="https://bulbapedia.bulbagarden.net/wiki/Yveltal_(Fusion_Strike_175)" TargetMode="External"/><Relationship Id="rId196" Type="http://schemas.openxmlformats.org/officeDocument/2006/relationships/hyperlink" Target="https://bulbapedia.bulbagarden.net/wiki/Sliggoo_(Fusion_Strike_196)" TargetMode="External"/><Relationship Id="rId200" Type="http://schemas.openxmlformats.org/officeDocument/2006/relationships/hyperlink" Target="https://bulbapedia.bulbagarden.net/wiki/Persian_(Fusion_Strike_200)" TargetMode="External"/><Relationship Id="rId16" Type="http://schemas.openxmlformats.org/officeDocument/2006/relationships/hyperlink" Target="https://bulbapedia.bulbagarden.net/wiki/Phantump_(Fusion_Strike_16)" TargetMode="External"/><Relationship Id="rId221" Type="http://schemas.openxmlformats.org/officeDocument/2006/relationships/hyperlink" Target="https://bulbapedia.bulbagarden.net/wiki/Wooloo_(Fusion_Strike_221)" TargetMode="External"/><Relationship Id="rId242" Type="http://schemas.openxmlformats.org/officeDocument/2006/relationships/hyperlink" Target="https://bulbapedia.bulbagarden.net/wiki/Skaters%27_Park_(Fusion_Strike_242)" TargetMode="External"/><Relationship Id="rId263" Type="http://schemas.openxmlformats.org/officeDocument/2006/relationships/hyperlink" Target="https://bulbapedia.bulbagarden.net/wiki/Shauna_(Fusion_Strike_263)" TargetMode="External"/><Relationship Id="rId284" Type="http://schemas.openxmlformats.org/officeDocument/2006/relationships/hyperlink" Target="https://bulbapedia.bulbagarden.net/wiki/Fire_Energy_(Fusion_Strike_284)" TargetMode="External"/><Relationship Id="rId37" Type="http://schemas.openxmlformats.org/officeDocument/2006/relationships/hyperlink" Target="https://bulbapedia.bulbagarden.net/wiki/Pansear_(Fusion_Strike_37)" TargetMode="External"/><Relationship Id="rId58" Type="http://schemas.openxmlformats.org/officeDocument/2006/relationships/hyperlink" Target="https://bulbapedia.bulbagarden.net/wiki/Marill_(Fusion_Strike_58)" TargetMode="External"/><Relationship Id="rId79" Type="http://schemas.openxmlformats.org/officeDocument/2006/relationships/hyperlink" Target="https://bulbapedia.bulbagarden.net/wiki/Inteleon_VMAX_(Fusion_Strike_79)" TargetMode="External"/><Relationship Id="rId102" Type="http://schemas.openxmlformats.org/officeDocument/2006/relationships/hyperlink" Target="https://bulbapedia.bulbagarden.net/wiki/Zeraora_(Fusion_Strike_102)" TargetMode="External"/><Relationship Id="rId123" Type="http://schemas.openxmlformats.org/officeDocument/2006/relationships/hyperlink" Target="https://bulbapedia.bulbagarden.net/wiki/Sigilyph_(Fusion_Strike_123)" TargetMode="External"/><Relationship Id="rId144" Type="http://schemas.openxmlformats.org/officeDocument/2006/relationships/hyperlink" Target="https://bulbapedia.bulbagarden.net/wiki/Baltoy_(Fusion_Strike_144)" TargetMode="External"/><Relationship Id="rId90" Type="http://schemas.openxmlformats.org/officeDocument/2006/relationships/hyperlink" Target="https://bulbapedia.bulbagarden.net/wiki/Minun_(Fusion_Strike_90)" TargetMode="External"/><Relationship Id="rId165" Type="http://schemas.openxmlformats.org/officeDocument/2006/relationships/hyperlink" Target="https://bulbapedia.bulbagarden.net/wiki/Croagunk_(Fusion_Strike_165)" TargetMode="External"/><Relationship Id="rId186" Type="http://schemas.openxmlformats.org/officeDocument/2006/relationships/hyperlink" Target="https://bulbapedia.bulbagarden.net/wiki/Klefki_(Fusion_Strike_186)" TargetMode="External"/><Relationship Id="rId211" Type="http://schemas.openxmlformats.org/officeDocument/2006/relationships/hyperlink" Target="https://bulbapedia.bulbagarden.net/wiki/Delcatty_(Fusion_Strike_211)" TargetMode="External"/><Relationship Id="rId232" Type="http://schemas.openxmlformats.org/officeDocument/2006/relationships/hyperlink" Target="https://bulbapedia.bulbagarden.net/wiki/Dancer_(Fusion_Strike_232)" TargetMode="External"/><Relationship Id="rId253" Type="http://schemas.openxmlformats.org/officeDocument/2006/relationships/hyperlink" Target="https://bulbapedia.bulbagarden.net/wiki/Hoopa_V_(Fusion_Strike_253)" TargetMode="External"/><Relationship Id="rId274" Type="http://schemas.openxmlformats.org/officeDocument/2006/relationships/hyperlink" Target="https://bulbapedia.bulbagarden.net/wiki/Dancer_(Fusion_Strike_274)" TargetMode="External"/><Relationship Id="rId27" Type="http://schemas.openxmlformats.org/officeDocument/2006/relationships/hyperlink" Target="https://bulbapedia.bulbagarden.net/wiki/Zarude_(Fusion_Strike_27)" TargetMode="External"/><Relationship Id="rId48" Type="http://schemas.openxmlformats.org/officeDocument/2006/relationships/hyperlink" Target="https://bulbapedia.bulbagarden.net/wiki/Centiskorch_(Fusion_Strike_48)" TargetMode="External"/><Relationship Id="rId69" Type="http://schemas.openxmlformats.org/officeDocument/2006/relationships/hyperlink" Target="https://bulbapedia.bulbagarden.net/wiki/Simipour_(Fusion_Strike_69)" TargetMode="External"/><Relationship Id="rId113" Type="http://schemas.openxmlformats.org/officeDocument/2006/relationships/hyperlink" Target="https://bulbapedia.bulbagarden.net/wiki/Mew_V_(Fusion_Strike_113)" TargetMode="External"/><Relationship Id="rId134" Type="http://schemas.openxmlformats.org/officeDocument/2006/relationships/hyperlink" Target="https://bulbapedia.bulbagarden.net/wiki/Primeape_(Fusion_Strike_134)" TargetMode="External"/><Relationship Id="rId80" Type="http://schemas.openxmlformats.org/officeDocument/2006/relationships/hyperlink" Target="https://bulbapedia.bulbagarden.net/wiki/Chewtle_(Fusion_Strike_80)" TargetMode="External"/><Relationship Id="rId155" Type="http://schemas.openxmlformats.org/officeDocument/2006/relationships/hyperlink" Target="https://bulbapedia.bulbagarden.net/wiki/Falinks_(Fusion_Strike_155)" TargetMode="External"/><Relationship Id="rId176" Type="http://schemas.openxmlformats.org/officeDocument/2006/relationships/hyperlink" Target="https://bulbapedia.bulbagarden.net/wiki/Impidimp_(Fusion_Strike_176)" TargetMode="External"/><Relationship Id="rId197" Type="http://schemas.openxmlformats.org/officeDocument/2006/relationships/hyperlink" Target="https://bulbapedia.bulbagarden.net/wiki/Goodra_(Fusion_Strike_197)" TargetMode="External"/><Relationship Id="rId201" Type="http://schemas.openxmlformats.org/officeDocument/2006/relationships/hyperlink" Target="https://bulbapedia.bulbagarden.net/wiki/Dodrio_V_(Fusion_Strike_201)" TargetMode="External"/><Relationship Id="rId222" Type="http://schemas.openxmlformats.org/officeDocument/2006/relationships/hyperlink" Target="https://bulbapedia.bulbagarden.net/wiki/Wooloo_(Fusion_Strike_222)" TargetMode="External"/><Relationship Id="rId243" Type="http://schemas.openxmlformats.org/officeDocument/2006/relationships/hyperlink" Target="https://bulbapedia.bulbagarden.net/wiki/Spongy_Gloves_(Fusion_Strike_243)" TargetMode="External"/><Relationship Id="rId264" Type="http://schemas.openxmlformats.org/officeDocument/2006/relationships/hyperlink" Target="https://bulbapedia.bulbagarden.net/wiki/Sidney_(Fusion_Strike_264)" TargetMode="External"/><Relationship Id="rId17" Type="http://schemas.openxmlformats.org/officeDocument/2006/relationships/hyperlink" Target="https://bulbapedia.bulbagarden.net/wiki/Trevenant_(Fusion_Strike_17)" TargetMode="External"/><Relationship Id="rId38" Type="http://schemas.openxmlformats.org/officeDocument/2006/relationships/hyperlink" Target="https://bulbapedia.bulbagarden.net/wiki/Simisear_(Fusion_Strike_38)" TargetMode="External"/><Relationship Id="rId59" Type="http://schemas.openxmlformats.org/officeDocument/2006/relationships/hyperlink" Target="https://bulbapedia.bulbagarden.net/wiki/Azumarill_(Fusion_Strike_59)" TargetMode="External"/><Relationship Id="rId103" Type="http://schemas.openxmlformats.org/officeDocument/2006/relationships/hyperlink" Target="https://bulbapedia.bulbagarden.net/wiki/Boltund_V_(Fusion_Strike_103)" TargetMode="External"/><Relationship Id="rId124" Type="http://schemas.openxmlformats.org/officeDocument/2006/relationships/hyperlink" Target="https://bulbapedia.bulbagarden.net/wiki/Meloetta_(Fusion_Strike_124)" TargetMode="External"/><Relationship Id="rId70" Type="http://schemas.openxmlformats.org/officeDocument/2006/relationships/hyperlink" Target="https://bulbapedia.bulbagarden.net/wiki/Basculin_(Fusion_Strike_70)" TargetMode="External"/><Relationship Id="rId91" Type="http://schemas.openxmlformats.org/officeDocument/2006/relationships/hyperlink" Target="https://bulbapedia.bulbagarden.net/wiki/Shinx_(Fusion_Strike_91)" TargetMode="External"/><Relationship Id="rId145" Type="http://schemas.openxmlformats.org/officeDocument/2006/relationships/hyperlink" Target="https://bulbapedia.bulbagarden.net/wiki/Claydol_(Fusion_Strike_145)" TargetMode="External"/><Relationship Id="rId166" Type="http://schemas.openxmlformats.org/officeDocument/2006/relationships/hyperlink" Target="https://bulbapedia.bulbagarden.net/wiki/Toxicroak_(Fusion_Strike_166)" TargetMode="External"/><Relationship Id="rId187" Type="http://schemas.openxmlformats.org/officeDocument/2006/relationships/hyperlink" Target="https://bulbapedia.bulbagarden.net/wiki/Togedemaru_(Fusion_Strike_187)" TargetMode="External"/><Relationship Id="rId1" Type="http://schemas.openxmlformats.org/officeDocument/2006/relationships/hyperlink" Target="https://bulbapedia.bulbagarden.net/wiki/Caterpie_(Fusion_Strike_1)" TargetMode="External"/><Relationship Id="rId212" Type="http://schemas.openxmlformats.org/officeDocument/2006/relationships/hyperlink" Target="https://bulbapedia.bulbagarden.net/wiki/Buneary_(Fusion_Strike_212)" TargetMode="External"/><Relationship Id="rId233" Type="http://schemas.openxmlformats.org/officeDocument/2006/relationships/hyperlink" Target="https://bulbapedia.bulbagarden.net/wiki/Elesa%27s_Sparkle_(Fusion_Strike_233)" TargetMode="External"/><Relationship Id="rId254" Type="http://schemas.openxmlformats.org/officeDocument/2006/relationships/hyperlink" Target="https://bulbapedia.bulbagarden.net/wiki/Genesect_V_(Fusion_Strike_254)" TargetMode="External"/><Relationship Id="rId28" Type="http://schemas.openxmlformats.org/officeDocument/2006/relationships/hyperlink" Target="https://bulbapedia.bulbagarden.net/wiki/Vulpix_(Fusion_Strike_28)" TargetMode="External"/><Relationship Id="rId49" Type="http://schemas.openxmlformats.org/officeDocument/2006/relationships/hyperlink" Target="https://bulbapedia.bulbagarden.net/wiki/Centiskorch_(Fusion_Strike_49)" TargetMode="External"/><Relationship Id="rId114" Type="http://schemas.openxmlformats.org/officeDocument/2006/relationships/hyperlink" Target="https://bulbapedia.bulbagarden.net/wiki/Mew_VMAX_(Fusion_Strike_114)" TargetMode="External"/><Relationship Id="rId275" Type="http://schemas.openxmlformats.org/officeDocument/2006/relationships/hyperlink" Target="https://bulbapedia.bulbagarden.net/wiki/Elesa%27s_Sparkle_(Fusion_Strike_275)" TargetMode="External"/><Relationship Id="rId60" Type="http://schemas.openxmlformats.org/officeDocument/2006/relationships/hyperlink" Target="https://bulbapedia.bulbagarden.net/wiki/Qwilfish_(Fusion_Strike_60)" TargetMode="External"/><Relationship Id="rId81" Type="http://schemas.openxmlformats.org/officeDocument/2006/relationships/hyperlink" Target="https://bulbapedia.bulbagarden.net/wiki/Drednaw_(Fusion_Strike_81)" TargetMode="External"/><Relationship Id="rId135" Type="http://schemas.openxmlformats.org/officeDocument/2006/relationships/hyperlink" Target="https://bulbapedia.bulbagarden.net/wiki/Geodude_(Fusion_Strike_135)" TargetMode="External"/><Relationship Id="rId156" Type="http://schemas.openxmlformats.org/officeDocument/2006/relationships/hyperlink" Target="https://bulbapedia.bulbagarden.net/wiki/Gengar_V_(Fusion_Strike_156)" TargetMode="External"/><Relationship Id="rId177" Type="http://schemas.openxmlformats.org/officeDocument/2006/relationships/hyperlink" Target="https://bulbapedia.bulbagarden.net/wiki/Morgrem_(Fusion_Strike_177)" TargetMode="External"/><Relationship Id="rId198" Type="http://schemas.openxmlformats.org/officeDocument/2006/relationships/hyperlink" Target="https://bulbapedia.bulbagarden.net/wiki/Turtonator_(Fusion_Strike_198)" TargetMode="External"/><Relationship Id="rId202" Type="http://schemas.openxmlformats.org/officeDocument/2006/relationships/hyperlink" Target="https://bulbapedia.bulbagarden.net/wiki/Chansey_(Fusion_Strike_202)" TargetMode="External"/><Relationship Id="rId223" Type="http://schemas.openxmlformats.org/officeDocument/2006/relationships/hyperlink" Target="https://bulbapedia.bulbagarden.net/wiki/Dubwool_(Fusion_Strike_223)" TargetMode="External"/><Relationship Id="rId244" Type="http://schemas.openxmlformats.org/officeDocument/2006/relationships/hyperlink" Target="https://bulbapedia.bulbagarden.net/wiki/Fusion_Strike_Energy_(Fusion_Strike_244)" TargetMode="External"/><Relationship Id="rId18" Type="http://schemas.openxmlformats.org/officeDocument/2006/relationships/hyperlink" Target="https://bulbapedia.bulbagarden.net/wiki/Grubbin_(Fusion_Strike_18)" TargetMode="External"/><Relationship Id="rId39" Type="http://schemas.openxmlformats.org/officeDocument/2006/relationships/hyperlink" Target="https://bulbapedia.bulbagarden.net/wiki/Chandelure_V_(Fusion_Strike_39)" TargetMode="External"/><Relationship Id="rId265" Type="http://schemas.openxmlformats.org/officeDocument/2006/relationships/hyperlink" Target="https://bulbapedia.bulbagarden.net/wiki/Chandelure_VMAX_(Fusion_Strike_265)" TargetMode="External"/><Relationship Id="rId50" Type="http://schemas.openxmlformats.org/officeDocument/2006/relationships/hyperlink" Target="https://bulbapedia.bulbagarden.net/wiki/Shellder_(Fusion_Strike_50)" TargetMode="External"/><Relationship Id="rId104" Type="http://schemas.openxmlformats.org/officeDocument/2006/relationships/hyperlink" Target="https://bulbapedia.bulbagarden.net/wiki/Boltund_VMAX_(Fusion_Strike_104)" TargetMode="External"/><Relationship Id="rId125" Type="http://schemas.openxmlformats.org/officeDocument/2006/relationships/hyperlink" Target="https://bulbapedia.bulbagarden.net/wiki/Sandygast_(Fusion_Strike_125)" TargetMode="External"/><Relationship Id="rId146" Type="http://schemas.openxmlformats.org/officeDocument/2006/relationships/hyperlink" Target="https://bulbapedia.bulbagarden.net/wiki/Lucario_V_(Fusion_Strike_146)" TargetMode="External"/><Relationship Id="rId167" Type="http://schemas.openxmlformats.org/officeDocument/2006/relationships/hyperlink" Target="https://bulbapedia.bulbagarden.net/wiki/Darkrai_(Fusion_Strike_167)" TargetMode="External"/><Relationship Id="rId188" Type="http://schemas.openxmlformats.org/officeDocument/2006/relationships/hyperlink" Target="https://bulbapedia.bulbagarden.net/wiki/Meltan_(Fusion_Strike_188)" TargetMode="External"/><Relationship Id="rId71" Type="http://schemas.openxmlformats.org/officeDocument/2006/relationships/hyperlink" Target="https://bulbapedia.bulbagarden.net/wiki/Galarian_Darumaka_(Fusion_Strike_71)" TargetMode="External"/><Relationship Id="rId92" Type="http://schemas.openxmlformats.org/officeDocument/2006/relationships/hyperlink" Target="https://bulbapedia.bulbagarden.net/wiki/Luxio_(Fusion_Strike_92)" TargetMode="External"/><Relationship Id="rId213" Type="http://schemas.openxmlformats.org/officeDocument/2006/relationships/hyperlink" Target="https://bulbapedia.bulbagarden.net/wiki/Lopunny_(Fusion_Strike_213)" TargetMode="External"/><Relationship Id="rId234" Type="http://schemas.openxmlformats.org/officeDocument/2006/relationships/hyperlink" Target="https://bulbapedia.bulbagarden.net/wiki/Farewell_Bell_(Fusion_Strike_234)" TargetMode="External"/><Relationship Id="rId2" Type="http://schemas.openxmlformats.org/officeDocument/2006/relationships/hyperlink" Target="https://bulbapedia.bulbagarden.net/wiki/Metapod_(Fusion_Strike_2)" TargetMode="External"/><Relationship Id="rId29" Type="http://schemas.openxmlformats.org/officeDocument/2006/relationships/hyperlink" Target="https://bulbapedia.bulbagarden.net/wiki/Vulpix_(Fusion_Strike_29)" TargetMode="External"/><Relationship Id="rId255" Type="http://schemas.openxmlformats.org/officeDocument/2006/relationships/hyperlink" Target="https://bulbapedia.bulbagarden.net/wiki/Genesect_V_(Fusion_Strike_255)" TargetMode="External"/><Relationship Id="rId276" Type="http://schemas.openxmlformats.org/officeDocument/2006/relationships/hyperlink" Target="https://bulbapedia.bulbagarden.net/wiki/Schoolboy_(Fusion_Strike_276)" TargetMode="External"/><Relationship Id="rId40" Type="http://schemas.openxmlformats.org/officeDocument/2006/relationships/hyperlink" Target="https://bulbapedia.bulbagarden.net/wiki/Chandelure_VMAX_(Fusion_Strike_40)" TargetMode="External"/><Relationship Id="rId115" Type="http://schemas.openxmlformats.org/officeDocument/2006/relationships/hyperlink" Target="https://bulbapedia.bulbagarden.net/wiki/Snubbull_(Fusion_Strike_115)" TargetMode="External"/><Relationship Id="rId136" Type="http://schemas.openxmlformats.org/officeDocument/2006/relationships/hyperlink" Target="https://bulbapedia.bulbagarden.net/wiki/Graveler_(Fusion_Strike_136)" TargetMode="External"/><Relationship Id="rId157" Type="http://schemas.openxmlformats.org/officeDocument/2006/relationships/hyperlink" Target="https://bulbapedia.bulbagarden.net/wiki/Gengar_VMAX_(Fusion_Strike_157)" TargetMode="External"/><Relationship Id="rId178" Type="http://schemas.openxmlformats.org/officeDocument/2006/relationships/hyperlink" Target="https://bulbapedia.bulbagarden.net/wiki/Grimmsnarl_(Fusion_Strike_178)" TargetMode="External"/><Relationship Id="rId61" Type="http://schemas.openxmlformats.org/officeDocument/2006/relationships/hyperlink" Target="https://bulbapedia.bulbagarden.net/wiki/Mantine_(Fusion_Strike_61)" TargetMode="External"/><Relationship Id="rId82" Type="http://schemas.openxmlformats.org/officeDocument/2006/relationships/hyperlink" Target="https://bulbapedia.bulbagarden.net/wiki/Arrokuda_(Fusion_Strike_82)" TargetMode="External"/><Relationship Id="rId199" Type="http://schemas.openxmlformats.org/officeDocument/2006/relationships/hyperlink" Target="https://bulbapedia.bulbagarden.net/wiki/Meowth_(Fusion_Strike_199)" TargetMode="External"/><Relationship Id="rId203" Type="http://schemas.openxmlformats.org/officeDocument/2006/relationships/hyperlink" Target="https://bulbapedia.bulbagarden.net/wiki/Blissey_(Fusion_Strike_203)" TargetMode="External"/><Relationship Id="rId19" Type="http://schemas.openxmlformats.org/officeDocument/2006/relationships/hyperlink" Target="https://bulbapedia.bulbagarden.net/wiki/Dewpider_(Fusion_Strike_19)" TargetMode="External"/><Relationship Id="rId224" Type="http://schemas.openxmlformats.org/officeDocument/2006/relationships/hyperlink" Target="https://bulbapedia.bulbagarden.net/wiki/Adventurer%27s_Discovery_(Fusion_Strike_224)" TargetMode="External"/><Relationship Id="rId245" Type="http://schemas.openxmlformats.org/officeDocument/2006/relationships/hyperlink" Target="https://bulbapedia.bulbagarden.net/wiki/Celebi_V_(Fusion_Strike_245)" TargetMode="External"/><Relationship Id="rId266" Type="http://schemas.openxmlformats.org/officeDocument/2006/relationships/hyperlink" Target="https://bulbapedia.bulbagarden.net/wiki/Inteleon_VMAX_(Fusion_Strike_266)" TargetMode="External"/><Relationship Id="rId30" Type="http://schemas.openxmlformats.org/officeDocument/2006/relationships/hyperlink" Target="https://bulbapedia.bulbagarden.net/wiki/Ninetales_(Fusion_Strike_30)" TargetMode="External"/><Relationship Id="rId105" Type="http://schemas.openxmlformats.org/officeDocument/2006/relationships/hyperlink" Target="https://bulbapedia.bulbagarden.net/wiki/Toxel_(Fusion_Strike_105)" TargetMode="External"/><Relationship Id="rId126" Type="http://schemas.openxmlformats.org/officeDocument/2006/relationships/hyperlink" Target="https://bulbapedia.bulbagarden.net/wiki/Palossand_(Fusion_Strike_126)" TargetMode="External"/><Relationship Id="rId147" Type="http://schemas.openxmlformats.org/officeDocument/2006/relationships/hyperlink" Target="https://bulbapedia.bulbagarden.net/wiki/Drilbur_(Fusion_Strike_147)" TargetMode="External"/><Relationship Id="rId168" Type="http://schemas.openxmlformats.org/officeDocument/2006/relationships/hyperlink" Target="https://bulbapedia.bulbagarden.net/wiki/Trubbish_(Fusion_Strike_168)" TargetMode="External"/><Relationship Id="rId51" Type="http://schemas.openxmlformats.org/officeDocument/2006/relationships/hyperlink" Target="https://bulbapedia.bulbagarden.net/wiki/Cloyster_(Fusion_Strike_51)" TargetMode="External"/><Relationship Id="rId72" Type="http://schemas.openxmlformats.org/officeDocument/2006/relationships/hyperlink" Target="https://bulbapedia.bulbagarden.net/wiki/Galarian_Darmanitan_(Fusion_Strike_72)" TargetMode="External"/><Relationship Id="rId93" Type="http://schemas.openxmlformats.org/officeDocument/2006/relationships/hyperlink" Target="https://bulbapedia.bulbagarden.net/wiki/Luxray_(Fusion_Strike_93)" TargetMode="External"/><Relationship Id="rId189" Type="http://schemas.openxmlformats.org/officeDocument/2006/relationships/hyperlink" Target="https://bulbapedia.bulbagarden.net/wiki/Melmetal_(Fusion_Strike_189)" TargetMode="External"/><Relationship Id="rId3" Type="http://schemas.openxmlformats.org/officeDocument/2006/relationships/hyperlink" Target="https://bulbapedia.bulbagarden.net/wiki/Butterfree_(Fusion_Strike_3)" TargetMode="External"/><Relationship Id="rId214" Type="http://schemas.openxmlformats.org/officeDocument/2006/relationships/hyperlink" Target="https://bulbapedia.bulbagarden.net/wiki/Bunnelby_(Fusion_Strike_214)" TargetMode="External"/><Relationship Id="rId235" Type="http://schemas.openxmlformats.org/officeDocument/2006/relationships/hyperlink" Target="https://bulbapedia.bulbagarden.net/wiki/Judge_(Fusion_Strike_235)" TargetMode="External"/><Relationship Id="rId256" Type="http://schemas.openxmlformats.org/officeDocument/2006/relationships/hyperlink" Target="https://bulbapedia.bulbagarden.net/wiki/Greedent_V_(Fusion_Strike_256)" TargetMode="External"/><Relationship Id="rId277" Type="http://schemas.openxmlformats.org/officeDocument/2006/relationships/hyperlink" Target="https://bulbapedia.bulbagarden.net/wiki/Schoolgirl_(Fusion_Strike_277)" TargetMode="External"/><Relationship Id="rId116" Type="http://schemas.openxmlformats.org/officeDocument/2006/relationships/hyperlink" Target="https://bulbapedia.bulbagarden.net/wiki/Granbull_(Fusion_Strike_116)" TargetMode="External"/><Relationship Id="rId137" Type="http://schemas.openxmlformats.org/officeDocument/2006/relationships/hyperlink" Target="https://bulbapedia.bulbagarden.net/wiki/Golem_(Fusion_Strike_137)" TargetMode="External"/><Relationship Id="rId158" Type="http://schemas.openxmlformats.org/officeDocument/2006/relationships/hyperlink" Target="https://bulbapedia.bulbagarden.net/wiki/Tyranitar_V_(Fusion_Strike_158)" TargetMode="External"/><Relationship Id="rId20" Type="http://schemas.openxmlformats.org/officeDocument/2006/relationships/hyperlink" Target="https://bulbapedia.bulbagarden.net/wiki/Araquanid_(Fusion_Strike_20)" TargetMode="External"/><Relationship Id="rId41" Type="http://schemas.openxmlformats.org/officeDocument/2006/relationships/hyperlink" Target="https://bulbapedia.bulbagarden.net/wiki/Heatmor_(Fusion_Strike_41)" TargetMode="External"/><Relationship Id="rId62" Type="http://schemas.openxmlformats.org/officeDocument/2006/relationships/hyperlink" Target="https://bulbapedia.bulbagarden.net/wiki/Mudkip_(Fusion_Strike_62)" TargetMode="External"/><Relationship Id="rId83" Type="http://schemas.openxmlformats.org/officeDocument/2006/relationships/hyperlink" Target="https://bulbapedia.bulbagarden.net/wiki/Barraskewda_(Fusion_Strike_83)" TargetMode="External"/><Relationship Id="rId179" Type="http://schemas.openxmlformats.org/officeDocument/2006/relationships/hyperlink" Target="https://bulbapedia.bulbagarden.net/wiki/Morpeko_(Fusion_Strike_179)" TargetMode="External"/><Relationship Id="rId190" Type="http://schemas.openxmlformats.org/officeDocument/2006/relationships/hyperlink" Target="https://bulbapedia.bulbagarden.net/wiki/Corviknight_(Fusion_Strike_190)" TargetMode="External"/><Relationship Id="rId204" Type="http://schemas.openxmlformats.org/officeDocument/2006/relationships/hyperlink" Target="https://bulbapedia.bulbagarden.net/wiki/Kangaskhan_(Fusion_Strike_204)" TargetMode="External"/><Relationship Id="rId225" Type="http://schemas.openxmlformats.org/officeDocument/2006/relationships/hyperlink" Target="https://bulbapedia.bulbagarden.net/wiki/Battle_VIP_Pass_(Fusion_Strike_225)" TargetMode="External"/><Relationship Id="rId246" Type="http://schemas.openxmlformats.org/officeDocument/2006/relationships/hyperlink" Target="https://bulbapedia.bulbagarden.net/wiki/Tsareena_V_(Fusion_Strike_246)" TargetMode="External"/><Relationship Id="rId267" Type="http://schemas.openxmlformats.org/officeDocument/2006/relationships/hyperlink" Target="https://bulbapedia.bulbagarden.net/wiki/Boltund_VMAX_(Fusion_Strike_268)" TargetMode="External"/><Relationship Id="rId106" Type="http://schemas.openxmlformats.org/officeDocument/2006/relationships/hyperlink" Target="https://bulbapedia.bulbagarden.net/wiki/Toxel_(Fusion_Strike_106)" TargetMode="External"/><Relationship Id="rId127" Type="http://schemas.openxmlformats.org/officeDocument/2006/relationships/hyperlink" Target="https://bulbapedia.bulbagarden.net/wiki/Indeedee_(Fusion_Strike_127)" TargetMode="External"/><Relationship Id="rId10" Type="http://schemas.openxmlformats.org/officeDocument/2006/relationships/hyperlink" Target="https://bulbapedia.bulbagarden.net/wiki/Swadloon_(Fusion_Strike_10)" TargetMode="External"/><Relationship Id="rId31" Type="http://schemas.openxmlformats.org/officeDocument/2006/relationships/hyperlink" Target="https://bulbapedia.bulbagarden.net/wiki/Ninetales_(Fusion_Strike_31)" TargetMode="External"/><Relationship Id="rId52" Type="http://schemas.openxmlformats.org/officeDocument/2006/relationships/hyperlink" Target="https://bulbapedia.bulbagarden.net/wiki/Staryu_(Fusion_Strike_52)" TargetMode="External"/><Relationship Id="rId73" Type="http://schemas.openxmlformats.org/officeDocument/2006/relationships/hyperlink" Target="https://bulbapedia.bulbagarden.net/wiki/Greninja_V_(Fusion_Strike_73)" TargetMode="External"/><Relationship Id="rId94" Type="http://schemas.openxmlformats.org/officeDocument/2006/relationships/hyperlink" Target="https://bulbapedia.bulbagarden.net/wiki/Rotom_(Fusion_Strike_94)" TargetMode="External"/><Relationship Id="rId148" Type="http://schemas.openxmlformats.org/officeDocument/2006/relationships/hyperlink" Target="https://bulbapedia.bulbagarden.net/wiki/Landorus_(Fusion_Strike_148)" TargetMode="External"/><Relationship Id="rId169" Type="http://schemas.openxmlformats.org/officeDocument/2006/relationships/hyperlink" Target="https://bulbapedia.bulbagarden.net/wiki/Garbodor_(Fusion_Strike_169)" TargetMode="External"/><Relationship Id="rId4" Type="http://schemas.openxmlformats.org/officeDocument/2006/relationships/hyperlink" Target="https://bulbapedia.bulbagarden.net/wiki/Shroomish_(Fusion_Strike_4)" TargetMode="External"/><Relationship Id="rId180" Type="http://schemas.openxmlformats.org/officeDocument/2006/relationships/hyperlink" Target="https://bulbapedia.bulbagarden.net/wiki/Galarian_Meowth_(Fusion_Strike_180)" TargetMode="External"/><Relationship Id="rId215" Type="http://schemas.openxmlformats.org/officeDocument/2006/relationships/hyperlink" Target="https://bulbapedia.bulbagarden.net/wiki/Diggersby_(Fusion_Strike_215)" TargetMode="External"/><Relationship Id="rId236" Type="http://schemas.openxmlformats.org/officeDocument/2006/relationships/hyperlink" Target="https://bulbapedia.bulbagarden.net/wiki/Power_Tablet_(Fusion_Strike_236)" TargetMode="External"/><Relationship Id="rId257" Type="http://schemas.openxmlformats.org/officeDocument/2006/relationships/hyperlink" Target="https://bulbapedia.bulbagarden.net/wiki/Greedent_V_(Fusion_Strike_257)" TargetMode="External"/><Relationship Id="rId278" Type="http://schemas.openxmlformats.org/officeDocument/2006/relationships/hyperlink" Target="https://bulbapedia.bulbagarden.net/wiki/Shauna_(Fusion_Strike_278)" TargetMode="External"/><Relationship Id="rId42" Type="http://schemas.openxmlformats.org/officeDocument/2006/relationships/hyperlink" Target="https://bulbapedia.bulbagarden.net/wiki/Oricorio_(Fusion_Strike_42)" TargetMode="External"/><Relationship Id="rId84" Type="http://schemas.openxmlformats.org/officeDocument/2006/relationships/hyperlink" Target="https://bulbapedia.bulbagarden.net/wiki/Snom_(Fusion_Strike_84)" TargetMode="External"/><Relationship Id="rId138" Type="http://schemas.openxmlformats.org/officeDocument/2006/relationships/hyperlink" Target="https://bulbapedia.bulbagarden.net/wiki/Onix_(Fusion_Strike_138)" TargetMode="External"/><Relationship Id="rId191" Type="http://schemas.openxmlformats.org/officeDocument/2006/relationships/hyperlink" Target="https://bulbapedia.bulbagarden.net/wiki/Cufant_(Fusion_Strike_191)" TargetMode="External"/><Relationship Id="rId205" Type="http://schemas.openxmlformats.org/officeDocument/2006/relationships/hyperlink" Target="https://bulbapedia.bulbagarden.net/wiki/Eevee_(Fusion_Strike_205)" TargetMode="External"/><Relationship Id="rId247" Type="http://schemas.openxmlformats.org/officeDocument/2006/relationships/hyperlink" Target="https://bulbapedia.bulbagarden.net/wiki/Chandelure_V_(Fusion_Strike_247)" TargetMode="External"/><Relationship Id="rId107" Type="http://schemas.openxmlformats.org/officeDocument/2006/relationships/hyperlink" Target="https://bulbapedia.bulbagarden.net/wiki/Toxtricity_(Fusion_Strike_107)" TargetMode="External"/><Relationship Id="rId11" Type="http://schemas.openxmlformats.org/officeDocument/2006/relationships/hyperlink" Target="https://bulbapedia.bulbagarden.net/wiki/Leavanny_(Fusion_Strike_11)" TargetMode="External"/><Relationship Id="rId53" Type="http://schemas.openxmlformats.org/officeDocument/2006/relationships/hyperlink" Target="https://bulbapedia.bulbagarden.net/wiki/Starmie_(Fusion_Strike_53)" TargetMode="External"/><Relationship Id="rId149" Type="http://schemas.openxmlformats.org/officeDocument/2006/relationships/hyperlink" Target="https://bulbapedia.bulbagarden.net/wiki/Pancham_(Fusion_Strike_149)" TargetMode="External"/><Relationship Id="rId95" Type="http://schemas.openxmlformats.org/officeDocument/2006/relationships/hyperlink" Target="https://bulbapedia.bulbagarden.net/wiki/Tynamo_(Fusion_Strike_95)" TargetMode="External"/><Relationship Id="rId160" Type="http://schemas.openxmlformats.org/officeDocument/2006/relationships/hyperlink" Target="https://bulbapedia.bulbagarden.net/wiki/Galarian_Linoone_(Fusion_Strike_160)" TargetMode="External"/><Relationship Id="rId216" Type="http://schemas.openxmlformats.org/officeDocument/2006/relationships/hyperlink" Target="https://bulbapedia.bulbagarden.net/wiki/Hawlucha_(Fusion_Strike_216)" TargetMode="External"/><Relationship Id="rId258" Type="http://schemas.openxmlformats.org/officeDocument/2006/relationships/hyperlink" Target="https://bulbapedia.bulbagarden.net/wiki/Chili_%26_Cilan_%26_Cress_(Fusion_Strike_258)" TargetMode="External"/></Relationships>
</file>

<file path=xl/worksheets/_rels/sheet96.xml.rels><?xml version="1.0" encoding="UTF-8" standalone="yes"?>
<Relationships xmlns="http://schemas.openxmlformats.org/package/2006/relationships"><Relationship Id="rId117" Type="http://schemas.openxmlformats.org/officeDocument/2006/relationships/hyperlink" Target="https://bulbapedia.bulbagarden.net/wiki/Starly_(Brilliant_Stars_117)" TargetMode="External"/><Relationship Id="rId21" Type="http://schemas.openxmlformats.org/officeDocument/2006/relationships/hyperlink" Target="https://bulbapedia.bulbagarden.net/wiki/Moltres_(Brilliant_Stars_21)" TargetMode="External"/><Relationship Id="rId42" Type="http://schemas.openxmlformats.org/officeDocument/2006/relationships/hyperlink" Target="https://bulbapedia.bulbagarden.net/wiki/Cubchoo_(Brilliant_Stars_42)" TargetMode="External"/><Relationship Id="rId63" Type="http://schemas.openxmlformats.org/officeDocument/2006/relationships/hyperlink" Target="https://bulbapedia.bulbagarden.net/wiki/Chimecho_(Brilliant_Stars_63)" TargetMode="External"/><Relationship Id="rId84" Type="http://schemas.openxmlformats.org/officeDocument/2006/relationships/hyperlink" Target="https://bulbapedia.bulbagarden.net/wiki/Grimer_(Brilliant_Stars_84)" TargetMode="External"/><Relationship Id="rId138" Type="http://schemas.openxmlformats.org/officeDocument/2006/relationships/hyperlink" Target="https://bulbapedia.bulbagarden.net/wiki/Cynthia%27s_Ambition_(Brilliant_Stars_138)" TargetMode="External"/><Relationship Id="rId159" Type="http://schemas.openxmlformats.org/officeDocument/2006/relationships/hyperlink" Target="https://bulbapedia.bulbagarden.net/wiki/Granbull_V_(Brilliant_Stars_159)" TargetMode="External"/><Relationship Id="rId170" Type="http://schemas.openxmlformats.org/officeDocument/2006/relationships/hyperlink" Target="https://bulbapedia.bulbagarden.net/wiki/Kindler_(Brilliant_Stars_170)" TargetMode="External"/><Relationship Id="rId191" Type="http://schemas.openxmlformats.org/officeDocument/2006/relationships/hyperlink" Target="https://bulbapedia.bulbagarden.net/wiki/Zekrom_(Brilliant_Stars_TG5)" TargetMode="External"/><Relationship Id="rId205" Type="http://schemas.openxmlformats.org/officeDocument/2006/relationships/hyperlink" Target="https://bulbapedia.bulbagarden.net/wiki/Single_Strike_Urshifu_VMAX_(Brilliant_Stars_TG19)" TargetMode="External"/><Relationship Id="rId107" Type="http://schemas.openxmlformats.org/officeDocument/2006/relationships/hyperlink" Target="https://bulbapedia.bulbagarden.net/wiki/Gible_(Brilliant_Stars_107)" TargetMode="External"/><Relationship Id="rId11" Type="http://schemas.openxmlformats.org/officeDocument/2006/relationships/hyperlink" Target="https://bulbapedia.bulbagarden.net/wiki/Mothim_(Brilliant_Stars_11)" TargetMode="External"/><Relationship Id="rId32" Type="http://schemas.openxmlformats.org/officeDocument/2006/relationships/hyperlink" Target="https://bulbapedia.bulbagarden.net/wiki/Corphish_(Brilliant_Stars_32)" TargetMode="External"/><Relationship Id="rId53" Type="http://schemas.openxmlformats.org/officeDocument/2006/relationships/hyperlink" Target="https://bulbapedia.bulbagarden.net/wiki/Clefairy_(Brilliant_Stars_53)" TargetMode="External"/><Relationship Id="rId74" Type="http://schemas.openxmlformats.org/officeDocument/2006/relationships/hyperlink" Target="https://bulbapedia.bulbagarden.net/wiki/Trapinch_(Brilliant_Stars_74)" TargetMode="External"/><Relationship Id="rId128" Type="http://schemas.openxmlformats.org/officeDocument/2006/relationships/hyperlink" Target="https://bulbapedia.bulbagarden.net/wiki/Drampa_V_(Brilliant_Stars_128)" TargetMode="External"/><Relationship Id="rId149" Type="http://schemas.openxmlformats.org/officeDocument/2006/relationships/hyperlink" Target="https://bulbapedia.bulbagarden.net/wiki/Team_Yell%27s_Cheer_(Brilliant_Stars_149)" TargetMode="External"/><Relationship Id="rId5" Type="http://schemas.openxmlformats.org/officeDocument/2006/relationships/hyperlink" Target="https://bulbapedia.bulbagarden.net/wiki/Tropius_(Brilliant_Stars_5)" TargetMode="External"/><Relationship Id="rId95" Type="http://schemas.openxmlformats.org/officeDocument/2006/relationships/hyperlink" Target="https://bulbapedia.bulbagarden.net/wiki/Morpeko_V_(Brilliant_Stars_95)" TargetMode="External"/><Relationship Id="rId160" Type="http://schemas.openxmlformats.org/officeDocument/2006/relationships/hyperlink" Target="https://bulbapedia.bulbagarden.net/wiki/Whimsicott_V_(Brilliant_Stars_160)" TargetMode="External"/><Relationship Id="rId181" Type="http://schemas.openxmlformats.org/officeDocument/2006/relationships/hyperlink" Target="https://bulbapedia.bulbagarden.net/wiki/Galarian_Articuno_V_(Brilliant_Stars_181)" TargetMode="External"/><Relationship Id="rId216" Type="http://schemas.openxmlformats.org/officeDocument/2006/relationships/hyperlink" Target="https://bulbapedia.bulbagarden.net/wiki/Rapid_Strike_Urshifu_VMAX_(Brilliant_Stars_TG30)" TargetMode="External"/><Relationship Id="rId22" Type="http://schemas.openxmlformats.org/officeDocument/2006/relationships/hyperlink" Target="https://bulbapedia.bulbagarden.net/wiki/Entei_V_(Brilliant_Stars_22)" TargetMode="External"/><Relationship Id="rId43" Type="http://schemas.openxmlformats.org/officeDocument/2006/relationships/hyperlink" Target="https://bulbapedia.bulbagarden.net/wiki/Beartic_(Brilliant_Stars_43)" TargetMode="External"/><Relationship Id="rId64" Type="http://schemas.openxmlformats.org/officeDocument/2006/relationships/hyperlink" Target="https://bulbapedia.bulbagarden.net/wiki/Whimsicott_V_(Brilliant_Stars_64)" TargetMode="External"/><Relationship Id="rId118" Type="http://schemas.openxmlformats.org/officeDocument/2006/relationships/hyperlink" Target="https://bulbapedia.bulbagarden.net/wiki/Staravia_(Brilliant_Stars_118)" TargetMode="External"/><Relationship Id="rId139" Type="http://schemas.openxmlformats.org/officeDocument/2006/relationships/hyperlink" Target="https://bulbapedia.bulbagarden.net/wiki/Fresh_Water_Set_(Brilliant_Stars_139)" TargetMode="External"/><Relationship Id="rId85" Type="http://schemas.openxmlformats.org/officeDocument/2006/relationships/hyperlink" Target="https://bulbapedia.bulbagarden.net/wiki/Muk_(Brilliant_Stars_85)" TargetMode="External"/><Relationship Id="rId150" Type="http://schemas.openxmlformats.org/officeDocument/2006/relationships/hyperlink" Target="https://bulbapedia.bulbagarden.net/wiki/Ultra_Ball_(Brilliant_Stars_150)" TargetMode="External"/><Relationship Id="rId171" Type="http://schemas.openxmlformats.org/officeDocument/2006/relationships/hyperlink" Target="https://bulbapedia.bulbagarden.net/wiki/Marnie%27s_Pride_(Brilliant_Stars_171)" TargetMode="External"/><Relationship Id="rId192" Type="http://schemas.openxmlformats.org/officeDocument/2006/relationships/hyperlink" Target="https://bulbapedia.bulbagarden.net/wiki/Dusknoir_(Brilliant_Stars_TG6)" TargetMode="External"/><Relationship Id="rId206" Type="http://schemas.openxmlformats.org/officeDocument/2006/relationships/hyperlink" Target="https://bulbapedia.bulbagarden.net/wiki/Rapid_Strike_Urshifu_V_(Brilliant_Stars_TG20)" TargetMode="External"/><Relationship Id="rId12" Type="http://schemas.openxmlformats.org/officeDocument/2006/relationships/hyperlink" Target="https://bulbapedia.bulbagarden.net/wiki/Cherubi_(Brilliant_Stars_12)" TargetMode="External"/><Relationship Id="rId33" Type="http://schemas.openxmlformats.org/officeDocument/2006/relationships/hyperlink" Target="https://bulbapedia.bulbagarden.net/wiki/Crawdaunt_(Brilliant_Stars_33)" TargetMode="External"/><Relationship Id="rId108" Type="http://schemas.openxmlformats.org/officeDocument/2006/relationships/hyperlink" Target="https://bulbapedia.bulbagarden.net/wiki/Gabite_(Brilliant_Stars_108)" TargetMode="External"/><Relationship Id="rId129" Type="http://schemas.openxmlformats.org/officeDocument/2006/relationships/hyperlink" Target="https://bulbapedia.bulbagarden.net/wiki/Acerola%27s_Premonition_(Brilliant_Stars_129)" TargetMode="External"/><Relationship Id="rId54" Type="http://schemas.openxmlformats.org/officeDocument/2006/relationships/hyperlink" Target="https://bulbapedia.bulbagarden.net/wiki/Clefable_(Brilliant_Stars_54)" TargetMode="External"/><Relationship Id="rId75" Type="http://schemas.openxmlformats.org/officeDocument/2006/relationships/hyperlink" Target="https://bulbapedia.bulbagarden.net/wiki/Vibrava_(Brilliant_Stars_75)" TargetMode="External"/><Relationship Id="rId96" Type="http://schemas.openxmlformats.org/officeDocument/2006/relationships/hyperlink" Target="https://bulbapedia.bulbagarden.net/wiki/Aggron_V_(Brilliant_Stars_96)" TargetMode="External"/><Relationship Id="rId140" Type="http://schemas.openxmlformats.org/officeDocument/2006/relationships/hyperlink" Target="https://bulbapedia.bulbagarden.net/wiki/Friends_in_Galar_(Brilliant_Stars_140)" TargetMode="External"/><Relationship Id="rId161" Type="http://schemas.openxmlformats.org/officeDocument/2006/relationships/hyperlink" Target="https://bulbapedia.bulbagarden.net/wiki/Honchkrow_V_(Brilliant_Stars_161)" TargetMode="External"/><Relationship Id="rId182" Type="http://schemas.openxmlformats.org/officeDocument/2006/relationships/hyperlink" Target="https://bulbapedia.bulbagarden.net/wiki/Galarian_Zapdos_V_(Brilliant_Stars_182)" TargetMode="External"/><Relationship Id="rId6" Type="http://schemas.openxmlformats.org/officeDocument/2006/relationships/hyperlink" Target="https://bulbapedia.bulbagarden.net/wiki/Turtwig_(Brilliant_Stars_6)" TargetMode="External"/><Relationship Id="rId23" Type="http://schemas.openxmlformats.org/officeDocument/2006/relationships/hyperlink" Target="https://bulbapedia.bulbagarden.net/wiki/Torkoal_(Brilliant_Stars_23)" TargetMode="External"/><Relationship Id="rId119" Type="http://schemas.openxmlformats.org/officeDocument/2006/relationships/hyperlink" Target="https://bulbapedia.bulbagarden.net/wiki/Staraptor_(Brilliant_Stars_119)" TargetMode="External"/><Relationship Id="rId44" Type="http://schemas.openxmlformats.org/officeDocument/2006/relationships/hyperlink" Target="https://bulbapedia.bulbagarden.net/wiki/Eiscue_(Brilliant_Stars_44)" TargetMode="External"/><Relationship Id="rId65" Type="http://schemas.openxmlformats.org/officeDocument/2006/relationships/hyperlink" Target="https://bulbapedia.bulbagarden.net/wiki/Whimsicott_VSTAR_(Brilliant_Stars_65)" TargetMode="External"/><Relationship Id="rId86" Type="http://schemas.openxmlformats.org/officeDocument/2006/relationships/hyperlink" Target="https://bulbapedia.bulbagarden.net/wiki/Sneasel_(Brilliant_Stars_86)" TargetMode="External"/><Relationship Id="rId130" Type="http://schemas.openxmlformats.org/officeDocument/2006/relationships/hyperlink" Target="https://bulbapedia.bulbagarden.net/wiki/Barry_(Brilliant_Stars_130)" TargetMode="External"/><Relationship Id="rId151" Type="http://schemas.openxmlformats.org/officeDocument/2006/relationships/hyperlink" Target="https://bulbapedia.bulbagarden.net/wiki/Double_Turbo_Energy_(Brilliant_Stars_151)" TargetMode="External"/><Relationship Id="rId172" Type="http://schemas.openxmlformats.org/officeDocument/2006/relationships/hyperlink" Target="https://bulbapedia.bulbagarden.net/wiki/Roseanne%27s_Backup_(Brilliant_Stars_172)" TargetMode="External"/><Relationship Id="rId193" Type="http://schemas.openxmlformats.org/officeDocument/2006/relationships/hyperlink" Target="https://bulbapedia.bulbagarden.net/wiki/Dedenne_(Brilliant_Stars_TG7)" TargetMode="External"/><Relationship Id="rId207" Type="http://schemas.openxmlformats.org/officeDocument/2006/relationships/hyperlink" Target="https://bulbapedia.bulbagarden.net/wiki/Rapid_Strike_Urshifu_VMAX_(Brilliant_Stars_TG21)" TargetMode="External"/><Relationship Id="rId13" Type="http://schemas.openxmlformats.org/officeDocument/2006/relationships/hyperlink" Target="https://bulbapedia.bulbagarden.net/wiki/Shaymin_V_(Brilliant_Stars_13)" TargetMode="External"/><Relationship Id="rId109" Type="http://schemas.openxmlformats.org/officeDocument/2006/relationships/hyperlink" Target="https://bulbapedia.bulbagarden.net/wiki/Garchomp_(Brilliant_Stars_109)" TargetMode="External"/><Relationship Id="rId34" Type="http://schemas.openxmlformats.org/officeDocument/2006/relationships/hyperlink" Target="https://bulbapedia.bulbagarden.net/wiki/Snorunt_(Brilliant_Stars_34)" TargetMode="External"/><Relationship Id="rId55" Type="http://schemas.openxmlformats.org/officeDocument/2006/relationships/hyperlink" Target="https://bulbapedia.bulbagarden.net/wiki/Starmie_(Brilliant_Stars_55)" TargetMode="External"/><Relationship Id="rId76" Type="http://schemas.openxmlformats.org/officeDocument/2006/relationships/hyperlink" Target="https://bulbapedia.bulbagarden.net/wiki/Flygon_(Brilliant_Stars_76)" TargetMode="External"/><Relationship Id="rId97" Type="http://schemas.openxmlformats.org/officeDocument/2006/relationships/hyperlink" Target="https://bulbapedia.bulbagarden.net/wiki/Aggron_VMAX_(Brilliant_Stars_97)" TargetMode="External"/><Relationship Id="rId120" Type="http://schemas.openxmlformats.org/officeDocument/2006/relationships/hyperlink" Target="https://bulbapedia.bulbagarden.net/wiki/Bidoof_(Brilliant_Stars_120)" TargetMode="External"/><Relationship Id="rId141" Type="http://schemas.openxmlformats.org/officeDocument/2006/relationships/hyperlink" Target="https://bulbapedia.bulbagarden.net/wiki/Gloria_(Brilliant_Stars_141)" TargetMode="External"/><Relationship Id="rId7" Type="http://schemas.openxmlformats.org/officeDocument/2006/relationships/hyperlink" Target="https://bulbapedia.bulbagarden.net/wiki/Grotle_(Brilliant_Stars_7)" TargetMode="External"/><Relationship Id="rId162" Type="http://schemas.openxmlformats.org/officeDocument/2006/relationships/hyperlink" Target="https://bulbapedia.bulbagarden.net/wiki/Honchkrow_V_(Brilliant_Stars_162)" TargetMode="External"/><Relationship Id="rId183" Type="http://schemas.openxmlformats.org/officeDocument/2006/relationships/hyperlink" Target="https://bulbapedia.bulbagarden.net/wiki/Galarian_Moltres_V_(Brilliant_Stars_183)" TargetMode="External"/><Relationship Id="rId24" Type="http://schemas.openxmlformats.org/officeDocument/2006/relationships/hyperlink" Target="https://bulbapedia.bulbagarden.net/wiki/Chimchar_(Brilliant_Stars_24)" TargetMode="External"/><Relationship Id="rId45" Type="http://schemas.openxmlformats.org/officeDocument/2006/relationships/hyperlink" Target="https://bulbapedia.bulbagarden.net/wiki/Raichu_V_(Brilliant_Stars_45)" TargetMode="External"/><Relationship Id="rId66" Type="http://schemas.openxmlformats.org/officeDocument/2006/relationships/hyperlink" Target="https://bulbapedia.bulbagarden.net/wiki/Sigilyph_(Brilliant_Stars_66)" TargetMode="External"/><Relationship Id="rId87" Type="http://schemas.openxmlformats.org/officeDocument/2006/relationships/hyperlink" Target="https://bulbapedia.bulbagarden.net/wiki/Weavile_(Brilliant_Stars_87)" TargetMode="External"/><Relationship Id="rId110" Type="http://schemas.openxmlformats.org/officeDocument/2006/relationships/hyperlink" Target="https://bulbapedia.bulbagarden.net/wiki/Axew_(Brilliant_Stars_110)" TargetMode="External"/><Relationship Id="rId131" Type="http://schemas.openxmlformats.org/officeDocument/2006/relationships/hyperlink" Target="https://bulbapedia.bulbagarden.net/wiki/Blunder_Policy_(Brilliant_Stars_131)" TargetMode="External"/><Relationship Id="rId152" Type="http://schemas.openxmlformats.org/officeDocument/2006/relationships/hyperlink" Target="https://bulbapedia.bulbagarden.net/wiki/Shaymin_V_(Brilliant_Stars_152)" TargetMode="External"/><Relationship Id="rId173" Type="http://schemas.openxmlformats.org/officeDocument/2006/relationships/hyperlink" Target="https://bulbapedia.bulbagarden.net/wiki/Shaymin_VSTAR_(Brilliant_Stars_173)" TargetMode="External"/><Relationship Id="rId194" Type="http://schemas.openxmlformats.org/officeDocument/2006/relationships/hyperlink" Target="https://bulbapedia.bulbagarden.net/wiki/Alcremie_(Brilliant_Stars_TG8)" TargetMode="External"/><Relationship Id="rId208" Type="http://schemas.openxmlformats.org/officeDocument/2006/relationships/hyperlink" Target="https://bulbapedia.bulbagarden.net/wiki/Umbreon_V_(Brilliant_Stars_TG22)" TargetMode="External"/><Relationship Id="rId19" Type="http://schemas.openxmlformats.org/officeDocument/2006/relationships/hyperlink" Target="https://bulbapedia.bulbagarden.net/wiki/Magmar_(Brilliant_Stars_19)" TargetMode="External"/><Relationship Id="rId14" Type="http://schemas.openxmlformats.org/officeDocument/2006/relationships/hyperlink" Target="https://bulbapedia.bulbagarden.net/wiki/Shaymin_VSTAR_(Brilliant_Stars_14)" TargetMode="External"/><Relationship Id="rId30" Type="http://schemas.openxmlformats.org/officeDocument/2006/relationships/hyperlink" Target="https://bulbapedia.bulbagarden.net/wiki/Staryu_(Brilliant_Stars_30)" TargetMode="External"/><Relationship Id="rId35" Type="http://schemas.openxmlformats.org/officeDocument/2006/relationships/hyperlink" Target="https://bulbapedia.bulbagarden.net/wiki/Piplup_(Brilliant_Stars_35)" TargetMode="External"/><Relationship Id="rId56" Type="http://schemas.openxmlformats.org/officeDocument/2006/relationships/hyperlink" Target="https://bulbapedia.bulbagarden.net/wiki/Mewtwo_(Brilliant_Stars_56)" TargetMode="External"/><Relationship Id="rId77" Type="http://schemas.openxmlformats.org/officeDocument/2006/relationships/hyperlink" Target="https://bulbapedia.bulbagarden.net/wiki/Wormadam_(Brilliant_Stars_77)" TargetMode="External"/><Relationship Id="rId100" Type="http://schemas.openxmlformats.org/officeDocument/2006/relationships/hyperlink" Target="https://bulbapedia.bulbagarden.net/wiki/Heatran_(Brilliant_Stars_100)" TargetMode="External"/><Relationship Id="rId105" Type="http://schemas.openxmlformats.org/officeDocument/2006/relationships/hyperlink" Target="https://bulbapedia.bulbagarden.net/wiki/Zamazenta_V_(Brilliant_Stars_105)" TargetMode="External"/><Relationship Id="rId126" Type="http://schemas.openxmlformats.org/officeDocument/2006/relationships/hyperlink" Target="https://bulbapedia.bulbagarden.net/wiki/Tornadus_(Brilliant_Stars_126)" TargetMode="External"/><Relationship Id="rId147" Type="http://schemas.openxmlformats.org/officeDocument/2006/relationships/hyperlink" Target="https://bulbapedia.bulbagarden.net/wiki/Professor%27s_Research_(Brilliant_Stars_147)" TargetMode="External"/><Relationship Id="rId168" Type="http://schemas.openxmlformats.org/officeDocument/2006/relationships/hyperlink" Target="https://bulbapedia.bulbagarden.net/wiki/Cheren%27s_Care_(Brilliant_Stars_168)" TargetMode="External"/><Relationship Id="rId8" Type="http://schemas.openxmlformats.org/officeDocument/2006/relationships/hyperlink" Target="https://bulbapedia.bulbagarden.net/wiki/Torterra_(Brilliant_Stars_8)" TargetMode="External"/><Relationship Id="rId51" Type="http://schemas.openxmlformats.org/officeDocument/2006/relationships/hyperlink" Target="https://bulbapedia.bulbagarden.net/wiki/Luxray_(Brilliant_Stars_51)" TargetMode="External"/><Relationship Id="rId72" Type="http://schemas.openxmlformats.org/officeDocument/2006/relationships/hyperlink" Target="https://bulbapedia.bulbagarden.net/wiki/Hitmontop_(Brilliant_Stars_72)" TargetMode="External"/><Relationship Id="rId93" Type="http://schemas.openxmlformats.org/officeDocument/2006/relationships/hyperlink" Target="https://bulbapedia.bulbagarden.net/wiki/Morgrem_(Brilliant_Stars_93)" TargetMode="External"/><Relationship Id="rId98" Type="http://schemas.openxmlformats.org/officeDocument/2006/relationships/hyperlink" Target="https://bulbapedia.bulbagarden.net/wiki/Wormadam_(Brilliant_Stars_98)" TargetMode="External"/><Relationship Id="rId121" Type="http://schemas.openxmlformats.org/officeDocument/2006/relationships/hyperlink" Target="https://bulbapedia.bulbagarden.net/wiki/Bibarel_(Brilliant_Stars_121)" TargetMode="External"/><Relationship Id="rId142" Type="http://schemas.openxmlformats.org/officeDocument/2006/relationships/hyperlink" Target="https://bulbapedia.bulbagarden.net/wiki/Hunting_Gloves_(Brilliant_Stars_142)" TargetMode="External"/><Relationship Id="rId163" Type="http://schemas.openxmlformats.org/officeDocument/2006/relationships/hyperlink" Target="https://bulbapedia.bulbagarden.net/wiki/Zamazenta_V_(Brilliant_Stars_163)" TargetMode="External"/><Relationship Id="rId184" Type="http://schemas.openxmlformats.org/officeDocument/2006/relationships/hyperlink" Target="https://bulbapedia.bulbagarden.net/wiki/Arceus_VSTAR_(Brilliant_Stars_184)" TargetMode="External"/><Relationship Id="rId189" Type="http://schemas.openxmlformats.org/officeDocument/2006/relationships/hyperlink" Target="https://bulbapedia.bulbagarden.net/wiki/Octillery_(Brilliant_Stars_TG3)" TargetMode="External"/><Relationship Id="rId3" Type="http://schemas.openxmlformats.org/officeDocument/2006/relationships/hyperlink" Target="https://bulbapedia.bulbagarden.net/wiki/Shroomish_(Brilliant_Stars_3)" TargetMode="External"/><Relationship Id="rId214" Type="http://schemas.openxmlformats.org/officeDocument/2006/relationships/hyperlink" Target="https://bulbapedia.bulbagarden.net/wiki/Single_Strike_Style_Mustard_(Brilliant_Stars_TG28)" TargetMode="External"/><Relationship Id="rId25" Type="http://schemas.openxmlformats.org/officeDocument/2006/relationships/hyperlink" Target="https://bulbapedia.bulbagarden.net/wiki/Monferno_(Brilliant_Stars_25)" TargetMode="External"/><Relationship Id="rId46" Type="http://schemas.openxmlformats.org/officeDocument/2006/relationships/hyperlink" Target="https://bulbapedia.bulbagarden.net/wiki/Electabuzz_(Brilliant_Stars_46)" TargetMode="External"/><Relationship Id="rId67" Type="http://schemas.openxmlformats.org/officeDocument/2006/relationships/hyperlink" Target="https://bulbapedia.bulbagarden.net/wiki/Dedenne_(Brilliant_Stars_67)" TargetMode="External"/><Relationship Id="rId116" Type="http://schemas.openxmlformats.org/officeDocument/2006/relationships/hyperlink" Target="https://bulbapedia.bulbagarden.net/wiki/Castform_(Brilliant_Stars_116)" TargetMode="External"/><Relationship Id="rId137" Type="http://schemas.openxmlformats.org/officeDocument/2006/relationships/hyperlink" Target="https://bulbapedia.bulbagarden.net/wiki/Collapsed_Stadium_(Brilliant_Stars_137)" TargetMode="External"/><Relationship Id="rId158" Type="http://schemas.openxmlformats.org/officeDocument/2006/relationships/hyperlink" Target="https://bulbapedia.bulbagarden.net/wiki/Raichu_V_(Brilliant_Stars_158)" TargetMode="External"/><Relationship Id="rId20" Type="http://schemas.openxmlformats.org/officeDocument/2006/relationships/hyperlink" Target="https://bulbapedia.bulbagarden.net/wiki/Magmortar_(Brilliant_Stars_20)" TargetMode="External"/><Relationship Id="rId41" Type="http://schemas.openxmlformats.org/officeDocument/2006/relationships/hyperlink" Target="https://bulbapedia.bulbagarden.net/wiki/Manaphy_(Brilliant_Stars_41)" TargetMode="External"/><Relationship Id="rId62" Type="http://schemas.openxmlformats.org/officeDocument/2006/relationships/hyperlink" Target="https://bulbapedia.bulbagarden.net/wiki/Dusknoir_(Brilliant_Stars_62)" TargetMode="External"/><Relationship Id="rId83" Type="http://schemas.openxmlformats.org/officeDocument/2006/relationships/hyperlink" Target="https://bulbapedia.bulbagarden.net/wiki/Golurk_(Brilliant_Stars_83)" TargetMode="External"/><Relationship Id="rId88" Type="http://schemas.openxmlformats.org/officeDocument/2006/relationships/hyperlink" Target="https://bulbapedia.bulbagarden.net/wiki/Honchkrow_V_(Brilliant_Stars_88)" TargetMode="External"/><Relationship Id="rId111" Type="http://schemas.openxmlformats.org/officeDocument/2006/relationships/hyperlink" Target="https://bulbapedia.bulbagarden.net/wiki/Fraxure_(Brilliant_Stars_111)" TargetMode="External"/><Relationship Id="rId132" Type="http://schemas.openxmlformats.org/officeDocument/2006/relationships/hyperlink" Target="https://bulbapedia.bulbagarden.net/wiki/Boss%27s_Orders_(Brilliant_Stars_132)" TargetMode="External"/><Relationship Id="rId153" Type="http://schemas.openxmlformats.org/officeDocument/2006/relationships/hyperlink" Target="https://bulbapedia.bulbagarden.net/wiki/Charizard_V_(Brilliant_Stars_153)" TargetMode="External"/><Relationship Id="rId174" Type="http://schemas.openxmlformats.org/officeDocument/2006/relationships/hyperlink" Target="https://bulbapedia.bulbagarden.net/wiki/Charizard_VSTAR_(Brilliant_Stars_174)" TargetMode="External"/><Relationship Id="rId179" Type="http://schemas.openxmlformats.org/officeDocument/2006/relationships/hyperlink" Target="https://bulbapedia.bulbagarden.net/wiki/Kindler_(Brilliant_Stars_179)" TargetMode="External"/><Relationship Id="rId195" Type="http://schemas.openxmlformats.org/officeDocument/2006/relationships/hyperlink" Target="https://bulbapedia.bulbagarden.net/wiki/Ariados_(Brilliant_Stars_TG9)" TargetMode="External"/><Relationship Id="rId209" Type="http://schemas.openxmlformats.org/officeDocument/2006/relationships/hyperlink" Target="https://bulbapedia.bulbagarden.net/wiki/Umbreon_VMAX_(Brilliant_Stars_TG23)" TargetMode="External"/><Relationship Id="rId190" Type="http://schemas.openxmlformats.org/officeDocument/2006/relationships/hyperlink" Target="https://bulbapedia.bulbagarden.net/wiki/Jolteon_(Brilliant_Stars_TG4)" TargetMode="External"/><Relationship Id="rId204" Type="http://schemas.openxmlformats.org/officeDocument/2006/relationships/hyperlink" Target="https://bulbapedia.bulbagarden.net/wiki/Single_Strike_Urshifu_V_(Brilliant_Stars_TG18)" TargetMode="External"/><Relationship Id="rId15" Type="http://schemas.openxmlformats.org/officeDocument/2006/relationships/hyperlink" Target="https://bulbapedia.bulbagarden.net/wiki/Karrablast_(Brilliant_Stars_15)" TargetMode="External"/><Relationship Id="rId36" Type="http://schemas.openxmlformats.org/officeDocument/2006/relationships/hyperlink" Target="https://bulbapedia.bulbagarden.net/wiki/Prinplup_(Brilliant_Stars_36)" TargetMode="External"/><Relationship Id="rId57" Type="http://schemas.openxmlformats.org/officeDocument/2006/relationships/hyperlink" Target="https://bulbapedia.bulbagarden.net/wiki/Granbull_V_(Brilliant_Stars_57)" TargetMode="External"/><Relationship Id="rId106" Type="http://schemas.openxmlformats.org/officeDocument/2006/relationships/hyperlink" Target="https://bulbapedia.bulbagarden.net/wiki/Flygon_V_(Brilliant_Stars_106)" TargetMode="External"/><Relationship Id="rId127" Type="http://schemas.openxmlformats.org/officeDocument/2006/relationships/hyperlink" Target="https://bulbapedia.bulbagarden.net/wiki/Hawlucha_(Brilliant_Stars_127)" TargetMode="External"/><Relationship Id="rId10" Type="http://schemas.openxmlformats.org/officeDocument/2006/relationships/hyperlink" Target="https://bulbapedia.bulbagarden.net/wiki/Wormadam_(Brilliant_Stars_10)" TargetMode="External"/><Relationship Id="rId31" Type="http://schemas.openxmlformats.org/officeDocument/2006/relationships/hyperlink" Target="https://bulbapedia.bulbagarden.net/wiki/Lapras_(Brilliant_Stars_31)" TargetMode="External"/><Relationship Id="rId52" Type="http://schemas.openxmlformats.org/officeDocument/2006/relationships/hyperlink" Target="https://bulbapedia.bulbagarden.net/wiki/Pachirisu_(Brilliant_Stars_52)" TargetMode="External"/><Relationship Id="rId73" Type="http://schemas.openxmlformats.org/officeDocument/2006/relationships/hyperlink" Target="https://bulbapedia.bulbagarden.net/wiki/Nosepass_(Brilliant_Stars_73)" TargetMode="External"/><Relationship Id="rId78" Type="http://schemas.openxmlformats.org/officeDocument/2006/relationships/hyperlink" Target="https://bulbapedia.bulbagarden.net/wiki/Riolu_(Brilliant_Stars_78)" TargetMode="External"/><Relationship Id="rId94" Type="http://schemas.openxmlformats.org/officeDocument/2006/relationships/hyperlink" Target="https://bulbapedia.bulbagarden.net/wiki/Grimmsnarl_(Brilliant_Stars_94)" TargetMode="External"/><Relationship Id="rId99" Type="http://schemas.openxmlformats.org/officeDocument/2006/relationships/hyperlink" Target="https://bulbapedia.bulbagarden.net/wiki/Probopass_(Brilliant_Stars_99)" TargetMode="External"/><Relationship Id="rId101" Type="http://schemas.openxmlformats.org/officeDocument/2006/relationships/hyperlink" Target="https://bulbapedia.bulbagarden.net/wiki/Escavalier_(Brilliant_Stars_101)" TargetMode="External"/><Relationship Id="rId122" Type="http://schemas.openxmlformats.org/officeDocument/2006/relationships/hyperlink" Target="https://bulbapedia.bulbagarden.net/wiki/Arceus_V_(Brilliant_Stars_122)" TargetMode="External"/><Relationship Id="rId143" Type="http://schemas.openxmlformats.org/officeDocument/2006/relationships/hyperlink" Target="https://bulbapedia.bulbagarden.net/wiki/Kindler_(Brilliant_Stars_143)" TargetMode="External"/><Relationship Id="rId148" Type="http://schemas.openxmlformats.org/officeDocument/2006/relationships/hyperlink" Target="https://bulbapedia.bulbagarden.net/wiki/Roseanne%27s_Backup_(Brilliant_Stars_148)" TargetMode="External"/><Relationship Id="rId164" Type="http://schemas.openxmlformats.org/officeDocument/2006/relationships/hyperlink" Target="https://bulbapedia.bulbagarden.net/wiki/Flygon_V_(Brilliant_Stars_164)" TargetMode="External"/><Relationship Id="rId169" Type="http://schemas.openxmlformats.org/officeDocument/2006/relationships/hyperlink" Target="https://bulbapedia.bulbagarden.net/wiki/Cynthia%27s_Ambition_(Brilliant_Stars_169)" TargetMode="External"/><Relationship Id="rId185" Type="http://schemas.openxmlformats.org/officeDocument/2006/relationships/hyperlink" Target="https://bulbapedia.bulbagarden.net/wiki/Magma_Basin_(Brilliant_Stars_185)" TargetMode="External"/><Relationship Id="rId4" Type="http://schemas.openxmlformats.org/officeDocument/2006/relationships/hyperlink" Target="https://bulbapedia.bulbagarden.net/wiki/Breloom_(Brilliant_Stars_4)" TargetMode="External"/><Relationship Id="rId9" Type="http://schemas.openxmlformats.org/officeDocument/2006/relationships/hyperlink" Target="https://bulbapedia.bulbagarden.net/wiki/Burmy_(Brilliant_Stars_9)" TargetMode="External"/><Relationship Id="rId180" Type="http://schemas.openxmlformats.org/officeDocument/2006/relationships/hyperlink" Target="https://bulbapedia.bulbagarden.net/wiki/Roseanne%27s_Backup_(Brilliant_Stars_180)" TargetMode="External"/><Relationship Id="rId210" Type="http://schemas.openxmlformats.org/officeDocument/2006/relationships/hyperlink" Target="https://bulbapedia.bulbagarden.net/wiki/Acerola%27s_Premonition_(Brilliant_Stars_TG24)" TargetMode="External"/><Relationship Id="rId215" Type="http://schemas.openxmlformats.org/officeDocument/2006/relationships/hyperlink" Target="https://bulbapedia.bulbagarden.net/wiki/Single_Strike_Urshifu_VMAX_(Brilliant_Stars_TG29)" TargetMode="External"/><Relationship Id="rId26" Type="http://schemas.openxmlformats.org/officeDocument/2006/relationships/hyperlink" Target="https://bulbapedia.bulbagarden.net/wiki/Infernape_(Brilliant_Stars_26)" TargetMode="External"/><Relationship Id="rId47" Type="http://schemas.openxmlformats.org/officeDocument/2006/relationships/hyperlink" Target="https://bulbapedia.bulbagarden.net/wiki/Electivire_(Brilliant_Stars_47)" TargetMode="External"/><Relationship Id="rId68" Type="http://schemas.openxmlformats.org/officeDocument/2006/relationships/hyperlink" Target="https://bulbapedia.bulbagarden.net/wiki/Mimikyu_V_(Brilliant_Stars_68)" TargetMode="External"/><Relationship Id="rId89" Type="http://schemas.openxmlformats.org/officeDocument/2006/relationships/hyperlink" Target="https://bulbapedia.bulbagarden.net/wiki/Spiritomb_(Brilliant_Stars_89)" TargetMode="External"/><Relationship Id="rId112" Type="http://schemas.openxmlformats.org/officeDocument/2006/relationships/hyperlink" Target="https://bulbapedia.bulbagarden.net/wiki/Haxorus_(Brilliant_Stars_112)" TargetMode="External"/><Relationship Id="rId133" Type="http://schemas.openxmlformats.org/officeDocument/2006/relationships/hyperlink" Target="https://bulbapedia.bulbagarden.net/wiki/Caf%C3%A9_Master_(Brilliant_Stars_133)" TargetMode="External"/><Relationship Id="rId154" Type="http://schemas.openxmlformats.org/officeDocument/2006/relationships/hyperlink" Target="https://bulbapedia.bulbagarden.net/wiki/Charizard_V_(Brilliant_Stars_154)" TargetMode="External"/><Relationship Id="rId175" Type="http://schemas.openxmlformats.org/officeDocument/2006/relationships/hyperlink" Target="https://bulbapedia.bulbagarden.net/wiki/Whimsicott_VSTAR_(Brilliant_Stars_175)" TargetMode="External"/><Relationship Id="rId196" Type="http://schemas.openxmlformats.org/officeDocument/2006/relationships/hyperlink" Target="https://bulbapedia.bulbagarden.net/wiki/Houndoom_(Brilliant_Stars_TG10)" TargetMode="External"/><Relationship Id="rId200" Type="http://schemas.openxmlformats.org/officeDocument/2006/relationships/hyperlink" Target="https://bulbapedia.bulbagarden.net/wiki/Sylveon_V_(Brilliant_Stars_TG14)" TargetMode="External"/><Relationship Id="rId16" Type="http://schemas.openxmlformats.org/officeDocument/2006/relationships/hyperlink" Target="https://bulbapedia.bulbagarden.net/wiki/Zarude_V_(Brilliant_Stars_16)" TargetMode="External"/><Relationship Id="rId37" Type="http://schemas.openxmlformats.org/officeDocument/2006/relationships/hyperlink" Target="https://bulbapedia.bulbagarden.net/wiki/Empoleon_(Brilliant_Stars_37)" TargetMode="External"/><Relationship Id="rId58" Type="http://schemas.openxmlformats.org/officeDocument/2006/relationships/hyperlink" Target="https://bulbapedia.bulbagarden.net/wiki/Baltoy_(Brilliant_Stars_58)" TargetMode="External"/><Relationship Id="rId79" Type="http://schemas.openxmlformats.org/officeDocument/2006/relationships/hyperlink" Target="https://bulbapedia.bulbagarden.net/wiki/Lucario_(Brilliant_Stars_79)" TargetMode="External"/><Relationship Id="rId102" Type="http://schemas.openxmlformats.org/officeDocument/2006/relationships/hyperlink" Target="https://bulbapedia.bulbagarden.net/wiki/Klink_(Brilliant_Stars_102)" TargetMode="External"/><Relationship Id="rId123" Type="http://schemas.openxmlformats.org/officeDocument/2006/relationships/hyperlink" Target="https://bulbapedia.bulbagarden.net/wiki/Arceus_VSTAR_(Brilliant_Stars_123)" TargetMode="External"/><Relationship Id="rId144" Type="http://schemas.openxmlformats.org/officeDocument/2006/relationships/hyperlink" Target="https://bulbapedia.bulbagarden.net/wiki/Magma_Basin_(Brilliant_Stars_144)" TargetMode="External"/><Relationship Id="rId90" Type="http://schemas.openxmlformats.org/officeDocument/2006/relationships/hyperlink" Target="https://bulbapedia.bulbagarden.net/wiki/Purrloin_(Brilliant_Stars_90)" TargetMode="External"/><Relationship Id="rId165" Type="http://schemas.openxmlformats.org/officeDocument/2006/relationships/hyperlink" Target="https://bulbapedia.bulbagarden.net/wiki/Arceus_V_(Brilliant_Stars_165)" TargetMode="External"/><Relationship Id="rId186" Type="http://schemas.openxmlformats.org/officeDocument/2006/relationships/hyperlink" Target="https://bulbapedia.bulbagarden.net/wiki/Ultra_Ball_(Brilliant_Stars_186)" TargetMode="External"/><Relationship Id="rId211" Type="http://schemas.openxmlformats.org/officeDocument/2006/relationships/hyperlink" Target="https://bulbapedia.bulbagarden.net/wiki/Caf%C3%A9_Master_(Brilliant_Stars_TG25)" TargetMode="External"/><Relationship Id="rId27" Type="http://schemas.openxmlformats.org/officeDocument/2006/relationships/hyperlink" Target="https://bulbapedia.bulbagarden.net/wiki/Simisear_V_(Brilliant_Stars_27)" TargetMode="External"/><Relationship Id="rId48" Type="http://schemas.openxmlformats.org/officeDocument/2006/relationships/hyperlink" Target="https://bulbapedia.bulbagarden.net/wiki/Raikou_V_(Brilliant_Stars_48)" TargetMode="External"/><Relationship Id="rId69" Type="http://schemas.openxmlformats.org/officeDocument/2006/relationships/hyperlink" Target="https://bulbapedia.bulbagarden.net/wiki/Mimikyu_VMAX_(Brilliant_Stars_69)" TargetMode="External"/><Relationship Id="rId113" Type="http://schemas.openxmlformats.org/officeDocument/2006/relationships/hyperlink" Target="https://bulbapedia.bulbagarden.net/wiki/Druddigon_(Brilliant_Stars_113)" TargetMode="External"/><Relationship Id="rId134" Type="http://schemas.openxmlformats.org/officeDocument/2006/relationships/hyperlink" Target="https://bulbapedia.bulbagarden.net/wiki/Cheren%27s_Care_(Brilliant_Stars_134)" TargetMode="External"/><Relationship Id="rId80" Type="http://schemas.openxmlformats.org/officeDocument/2006/relationships/hyperlink" Target="https://bulbapedia.bulbagarden.net/wiki/Throh_(Brilliant_Stars_80)" TargetMode="External"/><Relationship Id="rId155" Type="http://schemas.openxmlformats.org/officeDocument/2006/relationships/hyperlink" Target="https://bulbapedia.bulbagarden.net/wiki/Lumineon_V_(Brilliant_Stars_155)" TargetMode="External"/><Relationship Id="rId176" Type="http://schemas.openxmlformats.org/officeDocument/2006/relationships/hyperlink" Target="https://bulbapedia.bulbagarden.net/wiki/Arceus_VSTAR_(Brilliant_Stars_176)" TargetMode="External"/><Relationship Id="rId197" Type="http://schemas.openxmlformats.org/officeDocument/2006/relationships/hyperlink" Target="https://bulbapedia.bulbagarden.net/wiki/Eevee_(Brilliant_Stars_TG11)" TargetMode="External"/><Relationship Id="rId201" Type="http://schemas.openxmlformats.org/officeDocument/2006/relationships/hyperlink" Target="https://bulbapedia.bulbagarden.net/wiki/Sylveon_VMAX_(Brilliant_Stars_TG15)" TargetMode="External"/><Relationship Id="rId17" Type="http://schemas.openxmlformats.org/officeDocument/2006/relationships/hyperlink" Target="https://bulbapedia.bulbagarden.net/wiki/Charizard_V_(Brilliant_Stars_17)" TargetMode="External"/><Relationship Id="rId38" Type="http://schemas.openxmlformats.org/officeDocument/2006/relationships/hyperlink" Target="https://bulbapedia.bulbagarden.net/wiki/Buizel_(Brilliant_Stars_38)" TargetMode="External"/><Relationship Id="rId59" Type="http://schemas.openxmlformats.org/officeDocument/2006/relationships/hyperlink" Target="https://bulbapedia.bulbagarden.net/wiki/Claydol_(Brilliant_Stars_59)" TargetMode="External"/><Relationship Id="rId103" Type="http://schemas.openxmlformats.org/officeDocument/2006/relationships/hyperlink" Target="https://bulbapedia.bulbagarden.net/wiki/Klang_(Brilliant_Stars_103)" TargetMode="External"/><Relationship Id="rId124" Type="http://schemas.openxmlformats.org/officeDocument/2006/relationships/hyperlink" Target="https://bulbapedia.bulbagarden.net/wiki/Minccino_(Brilliant_Stars_124)" TargetMode="External"/><Relationship Id="rId70" Type="http://schemas.openxmlformats.org/officeDocument/2006/relationships/hyperlink" Target="https://bulbapedia.bulbagarden.net/wiki/Milcery_(Brilliant_Stars_70)" TargetMode="External"/><Relationship Id="rId91" Type="http://schemas.openxmlformats.org/officeDocument/2006/relationships/hyperlink" Target="https://bulbapedia.bulbagarden.net/wiki/Liepard_(Brilliant_Stars_91)" TargetMode="External"/><Relationship Id="rId145" Type="http://schemas.openxmlformats.org/officeDocument/2006/relationships/hyperlink" Target="https://bulbapedia.bulbagarden.net/wiki/Marnie%27s_Pride_(Brilliant_Stars_145)" TargetMode="External"/><Relationship Id="rId166" Type="http://schemas.openxmlformats.org/officeDocument/2006/relationships/hyperlink" Target="https://bulbapedia.bulbagarden.net/wiki/Arceus_V_(Brilliant_Stars_166)" TargetMode="External"/><Relationship Id="rId187" Type="http://schemas.openxmlformats.org/officeDocument/2006/relationships/hyperlink" Target="https://bulbapedia.bulbagarden.net/wiki/Flareon_(Brilliant_Stars_TG1)" TargetMode="External"/><Relationship Id="rId1" Type="http://schemas.openxmlformats.org/officeDocument/2006/relationships/hyperlink" Target="https://bulbapedia.bulbagarden.net/wiki/Exeggcute_(Brilliant_Stars_1)" TargetMode="External"/><Relationship Id="rId212" Type="http://schemas.openxmlformats.org/officeDocument/2006/relationships/hyperlink" Target="https://bulbapedia.bulbagarden.net/wiki/Gloria_(Brilliant_Stars_TG26)" TargetMode="External"/><Relationship Id="rId28" Type="http://schemas.openxmlformats.org/officeDocument/2006/relationships/hyperlink" Target="https://bulbapedia.bulbagarden.net/wiki/Kingler_V_(Brilliant_Stars_28)" TargetMode="External"/><Relationship Id="rId49" Type="http://schemas.openxmlformats.org/officeDocument/2006/relationships/hyperlink" Target="https://bulbapedia.bulbagarden.net/wiki/Shinx_(Brilliant_Stars_49)" TargetMode="External"/><Relationship Id="rId114" Type="http://schemas.openxmlformats.org/officeDocument/2006/relationships/hyperlink" Target="https://bulbapedia.bulbagarden.net/wiki/Dracovish_V_(Brilliant_Stars_114)" TargetMode="External"/><Relationship Id="rId60" Type="http://schemas.openxmlformats.org/officeDocument/2006/relationships/hyperlink" Target="https://bulbapedia.bulbagarden.net/wiki/Duskull_(Brilliant_Stars_60)" TargetMode="External"/><Relationship Id="rId81" Type="http://schemas.openxmlformats.org/officeDocument/2006/relationships/hyperlink" Target="https://bulbapedia.bulbagarden.net/wiki/Sawk_(Brilliant_Stars_81)" TargetMode="External"/><Relationship Id="rId135" Type="http://schemas.openxmlformats.org/officeDocument/2006/relationships/hyperlink" Target="https://bulbapedia.bulbagarden.net/wiki/Choice_Belt_(Brilliant_Stars_135)" TargetMode="External"/><Relationship Id="rId156" Type="http://schemas.openxmlformats.org/officeDocument/2006/relationships/hyperlink" Target="https://bulbapedia.bulbagarden.net/wiki/Lumineon_V_(Brilliant_Stars_156)" TargetMode="External"/><Relationship Id="rId177" Type="http://schemas.openxmlformats.org/officeDocument/2006/relationships/hyperlink" Target="https://bulbapedia.bulbagarden.net/wiki/Cheren%27s_Care_(Brilliant_Stars_177)" TargetMode="External"/><Relationship Id="rId198" Type="http://schemas.openxmlformats.org/officeDocument/2006/relationships/hyperlink" Target="https://bulbapedia.bulbagarden.net/wiki/Oranguru_(Brilliant_Stars_TG12)" TargetMode="External"/><Relationship Id="rId202" Type="http://schemas.openxmlformats.org/officeDocument/2006/relationships/hyperlink" Target="https://bulbapedia.bulbagarden.net/wiki/Mimikyu_V_(Brilliant_Stars_TG16)" TargetMode="External"/><Relationship Id="rId18" Type="http://schemas.openxmlformats.org/officeDocument/2006/relationships/hyperlink" Target="https://bulbapedia.bulbagarden.net/wiki/Charizard_VSTAR_(Brilliant_Stars_18)" TargetMode="External"/><Relationship Id="rId39" Type="http://schemas.openxmlformats.org/officeDocument/2006/relationships/hyperlink" Target="https://bulbapedia.bulbagarden.net/wiki/Floatzel_(Brilliant_Stars_39)" TargetMode="External"/><Relationship Id="rId50" Type="http://schemas.openxmlformats.org/officeDocument/2006/relationships/hyperlink" Target="https://bulbapedia.bulbagarden.net/wiki/Luxio_(Brilliant_Stars_50)" TargetMode="External"/><Relationship Id="rId104" Type="http://schemas.openxmlformats.org/officeDocument/2006/relationships/hyperlink" Target="https://bulbapedia.bulbagarden.net/wiki/Klinklang_(Brilliant_Stars_104)" TargetMode="External"/><Relationship Id="rId125" Type="http://schemas.openxmlformats.org/officeDocument/2006/relationships/hyperlink" Target="https://bulbapedia.bulbagarden.net/wiki/Cinccino_(Brilliant_Stars_125)" TargetMode="External"/><Relationship Id="rId146" Type="http://schemas.openxmlformats.org/officeDocument/2006/relationships/hyperlink" Target="https://bulbapedia.bulbagarden.net/wiki/Pot_Helmet_(Brilliant_Stars_146)" TargetMode="External"/><Relationship Id="rId167" Type="http://schemas.openxmlformats.org/officeDocument/2006/relationships/hyperlink" Target="https://bulbapedia.bulbagarden.net/wiki/Barry_(Brilliant_Stars_167)" TargetMode="External"/><Relationship Id="rId188" Type="http://schemas.openxmlformats.org/officeDocument/2006/relationships/hyperlink" Target="https://bulbapedia.bulbagarden.net/wiki/Vaporeon_(Brilliant_Stars_TG2)" TargetMode="External"/><Relationship Id="rId71" Type="http://schemas.openxmlformats.org/officeDocument/2006/relationships/hyperlink" Target="https://bulbapedia.bulbagarden.net/wiki/Alcremie_(Brilliant_Stars_71)" TargetMode="External"/><Relationship Id="rId92" Type="http://schemas.openxmlformats.org/officeDocument/2006/relationships/hyperlink" Target="https://bulbapedia.bulbagarden.net/wiki/Impidimp_(Brilliant_Stars_92)" TargetMode="External"/><Relationship Id="rId213" Type="http://schemas.openxmlformats.org/officeDocument/2006/relationships/hyperlink" Target="https://bulbapedia.bulbagarden.net/wiki/Rapid_Strike_Style_Mustard_(Brilliant_Stars_TG27)" TargetMode="External"/><Relationship Id="rId2" Type="http://schemas.openxmlformats.org/officeDocument/2006/relationships/hyperlink" Target="https://bulbapedia.bulbagarden.net/wiki/Exeggutor_(Brilliant_Stars_2)" TargetMode="External"/><Relationship Id="rId29" Type="http://schemas.openxmlformats.org/officeDocument/2006/relationships/hyperlink" Target="https://bulbapedia.bulbagarden.net/wiki/Kingler_VMAX_(Brilliant_Stars_29)" TargetMode="External"/><Relationship Id="rId40" Type="http://schemas.openxmlformats.org/officeDocument/2006/relationships/hyperlink" Target="https://bulbapedia.bulbagarden.net/wiki/Lumineon_V_(Brilliant_Stars_40)" TargetMode="External"/><Relationship Id="rId115" Type="http://schemas.openxmlformats.org/officeDocument/2006/relationships/hyperlink" Target="https://bulbapedia.bulbagarden.net/wiki/Farfetch%27d_(Brilliant_Stars_115)" TargetMode="External"/><Relationship Id="rId136" Type="http://schemas.openxmlformats.org/officeDocument/2006/relationships/hyperlink" Target="https://bulbapedia.bulbagarden.net/wiki/Cleansing_Gloves_(Brilliant_Stars_136)" TargetMode="External"/><Relationship Id="rId157" Type="http://schemas.openxmlformats.org/officeDocument/2006/relationships/hyperlink" Target="https://bulbapedia.bulbagarden.net/wiki/Pikachu_V_(Brilliant_Stars_157)" TargetMode="External"/><Relationship Id="rId178" Type="http://schemas.openxmlformats.org/officeDocument/2006/relationships/hyperlink" Target="https://bulbapedia.bulbagarden.net/wiki/Cynthia%27s_Ambition_(Brilliant_Stars_178)" TargetMode="External"/><Relationship Id="rId61" Type="http://schemas.openxmlformats.org/officeDocument/2006/relationships/hyperlink" Target="https://bulbapedia.bulbagarden.net/wiki/Dusclops_(Brilliant_Stars_61)" TargetMode="External"/><Relationship Id="rId82" Type="http://schemas.openxmlformats.org/officeDocument/2006/relationships/hyperlink" Target="https://bulbapedia.bulbagarden.net/wiki/Golett_(Brilliant_Stars_82)" TargetMode="External"/><Relationship Id="rId199" Type="http://schemas.openxmlformats.org/officeDocument/2006/relationships/hyperlink" Target="https://bulbapedia.bulbagarden.net/wiki/Boltund_V_(Brilliant_Stars_TG13)" TargetMode="External"/><Relationship Id="rId203" Type="http://schemas.openxmlformats.org/officeDocument/2006/relationships/hyperlink" Target="https://bulbapedia.bulbagarden.net/wiki/Mimikyu_VMAX_(Brilliant_Stars_TG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X1000"/>
  <sheetViews>
    <sheetView workbookViewId="0"/>
  </sheetViews>
  <sheetFormatPr baseColWidth="10" defaultColWidth="12.6640625" defaultRowHeight="15.75" customHeight="1"/>
  <cols>
    <col min="1" max="1" width="23" customWidth="1"/>
    <col min="2" max="2" width="18.1640625" customWidth="1"/>
    <col min="3" max="3" width="1.83203125" customWidth="1"/>
    <col min="4" max="4" width="21.1640625" customWidth="1"/>
    <col min="6" max="6" width="2.33203125" customWidth="1"/>
    <col min="7" max="7" width="22.83203125" customWidth="1"/>
    <col min="9" max="9" width="1.83203125" customWidth="1"/>
    <col min="10" max="10" width="24.1640625" customWidth="1"/>
    <col min="12" max="12" width="2.1640625" customWidth="1"/>
    <col min="13" max="13" width="23" customWidth="1"/>
    <col min="15" max="15" width="2.1640625" customWidth="1"/>
    <col min="16" max="16" width="8.5" customWidth="1"/>
    <col min="17" max="17" width="14.6640625" customWidth="1"/>
    <col min="18" max="18" width="11.1640625" customWidth="1"/>
    <col min="19" max="19" width="9.33203125" customWidth="1"/>
    <col min="20" max="20" width="2.6640625" customWidth="1"/>
    <col min="21" max="21" width="8.1640625" customWidth="1"/>
    <col min="22" max="22" width="16.83203125" customWidth="1"/>
    <col min="25" max="25" width="2.33203125" customWidth="1"/>
  </cols>
  <sheetData>
    <row r="1" spans="1:24" ht="15.75" customHeight="1">
      <c r="A1" s="1" t="s">
        <v>0</v>
      </c>
      <c r="B1" s="2"/>
      <c r="C1" s="3"/>
      <c r="D1" s="1" t="s">
        <v>1</v>
      </c>
      <c r="E1" s="4"/>
      <c r="F1" s="3"/>
      <c r="G1" s="1" t="s">
        <v>2</v>
      </c>
      <c r="H1" s="5"/>
      <c r="I1" s="6"/>
      <c r="J1" s="1" t="s">
        <v>3</v>
      </c>
      <c r="K1" s="5"/>
      <c r="L1" s="3"/>
      <c r="M1" s="1" t="s">
        <v>4</v>
      </c>
      <c r="N1" s="5"/>
      <c r="O1" s="3"/>
      <c r="P1" s="1"/>
      <c r="U1" s="1"/>
    </row>
    <row r="2" spans="1:24" ht="15.75" customHeight="1">
      <c r="B2" s="2"/>
      <c r="C2" s="3"/>
      <c r="E2" s="5"/>
      <c r="F2" s="3"/>
      <c r="H2" s="5"/>
      <c r="I2" s="3"/>
      <c r="K2" s="5"/>
      <c r="L2" s="3"/>
      <c r="N2" s="5"/>
      <c r="O2" s="3"/>
      <c r="P2" s="7"/>
      <c r="Q2" s="7"/>
      <c r="R2" s="7"/>
      <c r="S2" s="7"/>
      <c r="U2" s="7"/>
      <c r="V2" s="7"/>
      <c r="W2" s="7"/>
      <c r="X2" s="7"/>
    </row>
    <row r="3" spans="1:24" ht="15.75" customHeight="1">
      <c r="A3" s="7" t="s">
        <v>5</v>
      </c>
      <c r="B3" s="8" t="e">
        <f>SUM(E3, H3, K3, N3, E28, H28, K28, N28)</f>
        <v>#REF!</v>
      </c>
      <c r="C3" s="3"/>
      <c r="D3" s="7" t="s">
        <v>6</v>
      </c>
      <c r="E3" s="9" t="e">
        <f>SUM(E4:E24)</f>
        <v>#REF!</v>
      </c>
      <c r="F3" s="3"/>
      <c r="G3" s="7" t="s">
        <v>7</v>
      </c>
      <c r="H3" s="9" t="e">
        <f>SUM(H4:H24)</f>
        <v>#REF!</v>
      </c>
      <c r="I3" s="3"/>
      <c r="J3" s="7" t="s">
        <v>8</v>
      </c>
      <c r="K3" s="9" t="e">
        <f>SUM(K4:K24)</f>
        <v>#REF!</v>
      </c>
      <c r="L3" s="3"/>
      <c r="M3" s="7" t="s">
        <v>9</v>
      </c>
      <c r="N3" s="9">
        <f>SUM(N4:N24)</f>
        <v>0</v>
      </c>
      <c r="O3" s="3"/>
      <c r="P3" s="1"/>
      <c r="U3" s="1"/>
    </row>
    <row r="4" spans="1:24" ht="15.75" customHeight="1">
      <c r="A4" s="3"/>
      <c r="B4" s="3"/>
      <c r="C4" s="3"/>
      <c r="D4" s="10" t="s">
        <v>10</v>
      </c>
      <c r="E4" s="11" t="e">
        <f>(#REF!)</f>
        <v>#REF!</v>
      </c>
      <c r="F4" s="3"/>
      <c r="G4" s="10" t="s">
        <v>11</v>
      </c>
      <c r="H4" s="11" t="e">
        <f>(#REF!)</f>
        <v>#REF!</v>
      </c>
      <c r="I4" s="3"/>
      <c r="J4" s="10" t="s">
        <v>12</v>
      </c>
      <c r="K4" s="11">
        <f>('Nintendo Black Star Promos'!D2)</f>
        <v>0</v>
      </c>
      <c r="L4" s="3"/>
      <c r="M4" s="10" t="s">
        <v>13</v>
      </c>
      <c r="N4" s="11">
        <f>('DP Black Star Promos'!D2)</f>
        <v>0</v>
      </c>
      <c r="O4" s="3"/>
    </row>
    <row r="5" spans="1:24" ht="15.75" customHeight="1">
      <c r="A5" s="12"/>
      <c r="B5" s="7" t="s">
        <v>14</v>
      </c>
      <c r="C5" s="3"/>
      <c r="D5" s="10" t="s">
        <v>15</v>
      </c>
      <c r="E5" s="11" t="e">
        <f>(#REF!)</f>
        <v>#REF!</v>
      </c>
      <c r="F5" s="3"/>
      <c r="G5" s="10" t="s">
        <v>16</v>
      </c>
      <c r="H5" s="11" t="e">
        <f>(#REF!)</f>
        <v>#REF!</v>
      </c>
      <c r="I5" s="3"/>
      <c r="J5" s="10" t="s">
        <v>17</v>
      </c>
      <c r="K5" s="11" t="e">
        <f>(#REF!)</f>
        <v>#REF!</v>
      </c>
      <c r="L5" s="3"/>
      <c r="M5" s="10" t="s">
        <v>18</v>
      </c>
      <c r="N5" s="11">
        <f>('Diamond &amp; Pearl'!D2)</f>
        <v>0</v>
      </c>
      <c r="O5" s="3"/>
    </row>
    <row r="6" spans="1:24" ht="15.75" customHeight="1">
      <c r="A6" s="13"/>
      <c r="B6" s="7" t="s">
        <v>19</v>
      </c>
      <c r="C6" s="3"/>
      <c r="D6" s="10" t="s">
        <v>20</v>
      </c>
      <c r="E6" s="11" t="e">
        <f>(#REF!)</f>
        <v>#REF!</v>
      </c>
      <c r="F6" s="3"/>
      <c r="G6" s="10" t="s">
        <v>21</v>
      </c>
      <c r="H6" s="11">
        <f>('Southern Islands'!D2)</f>
        <v>0</v>
      </c>
      <c r="I6" s="3"/>
      <c r="J6" s="10" t="s">
        <v>22</v>
      </c>
      <c r="K6" s="11" t="e">
        <f>(#REF!)</f>
        <v>#REF!</v>
      </c>
      <c r="L6" s="3"/>
      <c r="M6" s="10" t="s">
        <v>23</v>
      </c>
      <c r="N6" s="11">
        <f>('Mysterious Treasures'!D2)</f>
        <v>0</v>
      </c>
      <c r="O6" s="3"/>
    </row>
    <row r="7" spans="1:24" ht="15.75" customHeight="1">
      <c r="A7" s="14"/>
      <c r="B7" s="7" t="s">
        <v>24</v>
      </c>
      <c r="C7" s="3"/>
      <c r="D7" s="10" t="s">
        <v>25</v>
      </c>
      <c r="E7" s="11" t="e">
        <f>(#REF!)</f>
        <v>#REF!</v>
      </c>
      <c r="F7" s="3"/>
      <c r="G7" s="10" t="s">
        <v>26</v>
      </c>
      <c r="H7" s="11" t="e">
        <f>(#REF!)</f>
        <v>#REF!</v>
      </c>
      <c r="I7" s="3"/>
      <c r="J7" s="10" t="s">
        <v>27</v>
      </c>
      <c r="K7" s="11">
        <f>('EX Dragon'!D2)</f>
        <v>0</v>
      </c>
      <c r="L7" s="3"/>
      <c r="M7" s="10" t="s">
        <v>28</v>
      </c>
      <c r="N7" s="11">
        <f>('POP Series 6'!D2)</f>
        <v>0</v>
      </c>
      <c r="O7" s="3"/>
    </row>
    <row r="8" spans="1:24" ht="15.75" customHeight="1">
      <c r="A8" s="15"/>
      <c r="B8" s="7" t="s">
        <v>29</v>
      </c>
      <c r="C8" s="3"/>
      <c r="D8" s="10" t="s">
        <v>30</v>
      </c>
      <c r="E8" s="11" t="e">
        <f>(#REF!)</f>
        <v>#REF!</v>
      </c>
      <c r="F8" s="3"/>
      <c r="G8" s="10" t="s">
        <v>31</v>
      </c>
      <c r="H8" s="11" t="e">
        <f>(#REF!)</f>
        <v>#REF!</v>
      </c>
      <c r="I8" s="3"/>
      <c r="J8" s="10" t="s">
        <v>32</v>
      </c>
      <c r="K8" s="11">
        <f>('EX Team Magma vs Team Aqua'!D2)</f>
        <v>0</v>
      </c>
      <c r="L8" s="3"/>
      <c r="M8" s="10" t="s">
        <v>33</v>
      </c>
      <c r="N8" s="11">
        <f>('Diamond &amp; Pearl Trainer Kit'!D2)</f>
        <v>0</v>
      </c>
      <c r="O8" s="3"/>
    </row>
    <row r="9" spans="1:24" ht="15.75" customHeight="1">
      <c r="C9" s="3"/>
      <c r="D9" s="10" t="s">
        <v>34</v>
      </c>
      <c r="E9" s="11" t="e">
        <f>(#REF!)</f>
        <v>#REF!</v>
      </c>
      <c r="F9" s="3"/>
      <c r="G9" s="10" t="s">
        <v>35</v>
      </c>
      <c r="H9" s="11" t="e">
        <f>(#REF!)</f>
        <v>#REF!</v>
      </c>
      <c r="I9" s="3"/>
      <c r="J9" s="10" t="s">
        <v>36</v>
      </c>
      <c r="K9" s="11">
        <f>('EX Trainer Kit'!D2)</f>
        <v>0</v>
      </c>
      <c r="L9" s="3"/>
      <c r="M9" s="10" t="s">
        <v>37</v>
      </c>
      <c r="N9" s="11">
        <f>('Secret Wonders'!D2)</f>
        <v>0</v>
      </c>
      <c r="O9" s="3"/>
    </row>
    <row r="10" spans="1:24" ht="15.75" customHeight="1">
      <c r="C10" s="3"/>
      <c r="D10" s="10" t="s">
        <v>38</v>
      </c>
      <c r="E10" s="11" t="e">
        <f>(#REF!)</f>
        <v>#REF!</v>
      </c>
      <c r="F10" s="3"/>
      <c r="G10" s="10" t="s">
        <v>39</v>
      </c>
      <c r="H10" s="11" t="e">
        <f>(#REF!)</f>
        <v>#REF!</v>
      </c>
      <c r="I10" s="3"/>
      <c r="J10" s="10" t="s">
        <v>40</v>
      </c>
      <c r="K10" s="11">
        <f>('EX Hidden Legends'!D2)</f>
        <v>0</v>
      </c>
      <c r="L10" s="3"/>
      <c r="M10" s="10" t="s">
        <v>41</v>
      </c>
      <c r="N10" s="11">
        <f>('Great Encounters'!D2)</f>
        <v>0</v>
      </c>
      <c r="O10" s="3"/>
    </row>
    <row r="11" spans="1:24" ht="15.75" customHeight="1">
      <c r="C11" s="3"/>
      <c r="D11" s="10" t="s">
        <v>42</v>
      </c>
      <c r="E11" s="11" t="e">
        <f>(#REF!)</f>
        <v>#REF!</v>
      </c>
      <c r="F11" s="3"/>
      <c r="G11" s="10" t="s">
        <v>43</v>
      </c>
      <c r="H11" s="11" t="e">
        <f>(#REF!)</f>
        <v>#REF!</v>
      </c>
      <c r="I11" s="3"/>
      <c r="J11" s="10" t="s">
        <v>44</v>
      </c>
      <c r="K11" s="11">
        <f>('EX FireRed &amp; LeafGreen'!D2)</f>
        <v>0</v>
      </c>
      <c r="L11" s="3"/>
      <c r="M11" s="10" t="s">
        <v>45</v>
      </c>
      <c r="N11" s="11">
        <f>('Majestic Dawn'!D2)</f>
        <v>0</v>
      </c>
      <c r="O11" s="3"/>
    </row>
    <row r="12" spans="1:24" ht="15.75" customHeight="1">
      <c r="C12" s="3"/>
      <c r="D12" s="10" t="s">
        <v>46</v>
      </c>
      <c r="E12" s="11" t="e">
        <f>(#REF!)</f>
        <v>#REF!</v>
      </c>
      <c r="F12" s="3"/>
      <c r="G12" s="12"/>
      <c r="H12" s="12"/>
      <c r="I12" s="3"/>
      <c r="J12" s="10" t="s">
        <v>47</v>
      </c>
      <c r="K12" s="11">
        <f>('EX Team Rocket Returns'!D2)</f>
        <v>0</v>
      </c>
      <c r="L12" s="3"/>
      <c r="M12" s="10" t="s">
        <v>48</v>
      </c>
      <c r="N12" s="11">
        <f>('Legends Awakened'!D2)</f>
        <v>0</v>
      </c>
      <c r="O12" s="3"/>
    </row>
    <row r="13" spans="1:24" ht="15.75" customHeight="1">
      <c r="C13" s="3"/>
      <c r="D13" s="12"/>
      <c r="E13" s="11"/>
      <c r="F13" s="3"/>
      <c r="G13" s="12"/>
      <c r="H13" s="12"/>
      <c r="I13" s="3"/>
      <c r="J13" s="10" t="s">
        <v>49</v>
      </c>
      <c r="K13" s="11">
        <f>('EX Deoxys'!D2)</f>
        <v>0</v>
      </c>
      <c r="L13" s="3"/>
      <c r="M13" s="10" t="s">
        <v>50</v>
      </c>
      <c r="N13" s="11">
        <f>(Stormfront!D2)</f>
        <v>0</v>
      </c>
      <c r="O13" s="3"/>
    </row>
    <row r="14" spans="1:24" ht="15.75" customHeight="1">
      <c r="C14" s="3"/>
      <c r="D14" s="12"/>
      <c r="E14" s="11"/>
      <c r="F14" s="3"/>
      <c r="G14" s="12"/>
      <c r="H14" s="11"/>
      <c r="I14" s="3"/>
      <c r="J14" s="10" t="s">
        <v>51</v>
      </c>
      <c r="K14" s="11">
        <f>('EX Emerald'!D2)</f>
        <v>0</v>
      </c>
      <c r="L14" s="3"/>
      <c r="M14" s="10" t="s">
        <v>52</v>
      </c>
      <c r="N14" s="11">
        <f>(Platinum!D2)</f>
        <v>0</v>
      </c>
      <c r="O14" s="3"/>
    </row>
    <row r="15" spans="1:24" ht="15.75" customHeight="1">
      <c r="C15" s="3"/>
      <c r="D15" s="12"/>
      <c r="E15" s="11"/>
      <c r="F15" s="3"/>
      <c r="G15" s="12"/>
      <c r="H15" s="11"/>
      <c r="I15" s="3"/>
      <c r="J15" s="10" t="s">
        <v>53</v>
      </c>
      <c r="K15" s="11">
        <f>('POP Series 2'!D2)</f>
        <v>0</v>
      </c>
      <c r="L15" s="3"/>
      <c r="M15" s="10" t="s">
        <v>54</v>
      </c>
      <c r="N15" s="11">
        <f>('Rising Rivals'!D2)</f>
        <v>0</v>
      </c>
      <c r="O15" s="3"/>
    </row>
    <row r="16" spans="1:24" ht="15.75" customHeight="1">
      <c r="C16" s="3"/>
      <c r="D16" s="12"/>
      <c r="E16" s="11"/>
      <c r="F16" s="3"/>
      <c r="G16" s="12"/>
      <c r="H16" s="11"/>
      <c r="I16" s="3"/>
      <c r="J16" s="10" t="s">
        <v>55</v>
      </c>
      <c r="K16" s="11">
        <f>('EX Unseen Forces'!D2)</f>
        <v>0</v>
      </c>
      <c r="L16" s="3"/>
      <c r="M16" s="10" t="s">
        <v>56</v>
      </c>
      <c r="N16" s="11">
        <f>(Arceus!D2)</f>
        <v>0</v>
      </c>
      <c r="O16" s="3"/>
    </row>
    <row r="17" spans="3:18" ht="15.75" customHeight="1">
      <c r="C17" s="3"/>
      <c r="D17" s="12"/>
      <c r="E17" s="11"/>
      <c r="F17" s="3"/>
      <c r="G17" s="12"/>
      <c r="H17" s="11"/>
      <c r="I17" s="3"/>
      <c r="J17" s="10" t="s">
        <v>57</v>
      </c>
      <c r="K17" s="11">
        <f>('EX Delta Species'!D2)</f>
        <v>0</v>
      </c>
      <c r="L17" s="3"/>
      <c r="M17" s="10" t="s">
        <v>58</v>
      </c>
      <c r="N17" s="11">
        <f>(Unleashed!D2)</f>
        <v>0</v>
      </c>
      <c r="O17" s="3"/>
    </row>
    <row r="18" spans="3:18" ht="15.75" customHeight="1">
      <c r="C18" s="3"/>
      <c r="D18" s="12"/>
      <c r="E18" s="11"/>
      <c r="F18" s="3"/>
      <c r="G18" s="12"/>
      <c r="H18" s="11"/>
      <c r="I18" s="3"/>
      <c r="J18" s="10" t="s">
        <v>59</v>
      </c>
      <c r="K18" s="11">
        <f>('EX Legend Maker'!D2)</f>
        <v>0</v>
      </c>
      <c r="L18" s="3"/>
      <c r="M18" s="10" t="s">
        <v>60</v>
      </c>
      <c r="N18" s="11">
        <f>(Undaunted!D2)</f>
        <v>0</v>
      </c>
      <c r="O18" s="3"/>
    </row>
    <row r="19" spans="3:18" ht="15.75" customHeight="1">
      <c r="C19" s="3"/>
      <c r="D19" s="12"/>
      <c r="E19" s="16"/>
      <c r="F19" s="3"/>
      <c r="G19" s="12"/>
      <c r="H19" s="11"/>
      <c r="I19" s="3"/>
      <c r="J19" s="10" t="s">
        <v>61</v>
      </c>
      <c r="K19" s="11">
        <f>('EX Trainer Kit 2'!D2)</f>
        <v>0</v>
      </c>
      <c r="L19" s="3"/>
      <c r="M19" s="12"/>
      <c r="N19" s="11"/>
      <c r="O19" s="3"/>
    </row>
    <row r="20" spans="3:18" ht="15.75" customHeight="1">
      <c r="C20" s="3"/>
      <c r="D20" s="12"/>
      <c r="E20" s="11"/>
      <c r="F20" s="3"/>
      <c r="G20" s="12"/>
      <c r="H20" s="11"/>
      <c r="I20" s="3"/>
      <c r="J20" s="10" t="s">
        <v>62</v>
      </c>
      <c r="K20" s="11">
        <f>('EX Holon Phantoms'!D2)</f>
        <v>0</v>
      </c>
      <c r="L20" s="3"/>
      <c r="M20" s="12"/>
      <c r="N20" s="11"/>
      <c r="O20" s="3"/>
    </row>
    <row r="21" spans="3:18" ht="15.75" customHeight="1">
      <c r="C21" s="3"/>
      <c r="D21" s="12"/>
      <c r="E21" s="12"/>
      <c r="F21" s="3"/>
      <c r="G21" s="12"/>
      <c r="H21" s="12"/>
      <c r="I21" s="3"/>
      <c r="J21" s="10" t="s">
        <v>63</v>
      </c>
      <c r="K21" s="11">
        <f>('EX Crystal Guardians'!D2)</f>
        <v>0</v>
      </c>
      <c r="L21" s="3"/>
      <c r="M21" s="12"/>
      <c r="N21" s="12"/>
      <c r="O21" s="3"/>
    </row>
    <row r="22" spans="3:18" ht="15.75" customHeight="1">
      <c r="C22" s="3"/>
      <c r="D22" s="12"/>
      <c r="E22" s="12"/>
      <c r="F22" s="3"/>
      <c r="G22" s="12"/>
      <c r="H22" s="12"/>
      <c r="I22" s="3"/>
      <c r="J22" s="10" t="s">
        <v>64</v>
      </c>
      <c r="K22" s="11">
        <f>('EX Dragon Frontiers'!D2)</f>
        <v>0</v>
      </c>
      <c r="L22" s="3"/>
      <c r="M22" s="12"/>
      <c r="N22" s="12"/>
      <c r="O22" s="3"/>
    </row>
    <row r="23" spans="3:18" ht="15.75" customHeight="1">
      <c r="C23" s="3"/>
      <c r="D23" s="12"/>
      <c r="E23" s="12"/>
      <c r="F23" s="3"/>
      <c r="G23" s="12"/>
      <c r="H23" s="12"/>
      <c r="I23" s="3"/>
      <c r="J23" s="10" t="s">
        <v>65</v>
      </c>
      <c r="K23" s="11">
        <f>('EX Power Keepers'!D2)</f>
        <v>0</v>
      </c>
      <c r="L23" s="3"/>
      <c r="M23" s="12"/>
      <c r="N23" s="12"/>
      <c r="O23" s="3"/>
    </row>
    <row r="24" spans="3:18" ht="15.75" customHeight="1">
      <c r="C24" s="3"/>
      <c r="D24" s="12"/>
      <c r="E24" s="12"/>
      <c r="F24" s="3"/>
      <c r="G24" s="12"/>
      <c r="H24" s="12"/>
      <c r="I24" s="3"/>
      <c r="J24" s="10" t="s">
        <v>66</v>
      </c>
      <c r="K24" s="11">
        <f>('POP Series 5'!D2)</f>
        <v>0</v>
      </c>
      <c r="L24" s="3"/>
      <c r="M24" s="12"/>
      <c r="N24" s="12"/>
      <c r="O24" s="3"/>
    </row>
    <row r="25" spans="3:18" ht="15.75" customHeight="1">
      <c r="C25" s="3"/>
      <c r="D25" s="3"/>
      <c r="E25" s="17"/>
      <c r="F25" s="3"/>
      <c r="G25" s="3"/>
      <c r="H25" s="17"/>
      <c r="I25" s="3"/>
      <c r="J25" s="3"/>
      <c r="K25" s="17"/>
      <c r="L25" s="3"/>
      <c r="M25" s="3"/>
      <c r="N25" s="17"/>
      <c r="O25" s="3"/>
    </row>
    <row r="26" spans="3:18" ht="15.75" customHeight="1">
      <c r="C26" s="3"/>
      <c r="D26" s="1" t="s">
        <v>67</v>
      </c>
      <c r="E26" s="5"/>
      <c r="F26" s="3"/>
      <c r="G26" s="1" t="s">
        <v>68</v>
      </c>
      <c r="H26" s="18"/>
      <c r="I26" s="6"/>
      <c r="J26" s="1" t="s">
        <v>69</v>
      </c>
      <c r="K26" s="5"/>
      <c r="L26" s="3"/>
      <c r="M26" s="1" t="s">
        <v>70</v>
      </c>
      <c r="N26" s="5"/>
      <c r="O26" s="3"/>
    </row>
    <row r="27" spans="3:18" ht="15.75" customHeight="1">
      <c r="C27" s="3"/>
      <c r="E27" s="5"/>
      <c r="F27" s="3"/>
      <c r="I27" s="3"/>
      <c r="K27" s="5"/>
      <c r="L27" s="3"/>
      <c r="N27" s="5"/>
      <c r="O27" s="3"/>
    </row>
    <row r="28" spans="3:18" ht="15.75" customHeight="1">
      <c r="C28" s="3"/>
      <c r="D28" s="7" t="s">
        <v>71</v>
      </c>
      <c r="E28" s="9">
        <f>SUM(E31:E38)</f>
        <v>0</v>
      </c>
      <c r="F28" s="3"/>
      <c r="G28" s="7" t="s">
        <v>72</v>
      </c>
      <c r="H28" s="9">
        <f>SUM(H29:H47)</f>
        <v>0</v>
      </c>
      <c r="I28" s="3"/>
      <c r="J28" s="7" t="s">
        <v>73</v>
      </c>
      <c r="K28" s="9">
        <f>SUM(K29:K45)</f>
        <v>0</v>
      </c>
      <c r="L28" s="3"/>
      <c r="M28" s="7" t="s">
        <v>74</v>
      </c>
      <c r="N28" s="9">
        <f>SUM(N29:N47)</f>
        <v>0</v>
      </c>
      <c r="O28" s="3"/>
      <c r="R28" s="19"/>
    </row>
    <row r="29" spans="3:18" ht="15.75" customHeight="1">
      <c r="C29" s="3"/>
      <c r="D29" s="20" t="s">
        <v>75</v>
      </c>
      <c r="E29" s="21">
        <f>('McDonalds Collection'!D2)</f>
        <v>0</v>
      </c>
      <c r="F29" s="3"/>
      <c r="G29" s="20" t="s">
        <v>76</v>
      </c>
      <c r="H29" s="22">
        <f>('X and Y Promos'!D2)</f>
        <v>0</v>
      </c>
      <c r="I29" s="3"/>
      <c r="J29" s="23" t="s">
        <v>77</v>
      </c>
      <c r="K29" s="24">
        <f>('Sun and Moon Promos'!D2)</f>
        <v>0</v>
      </c>
      <c r="L29" s="3"/>
      <c r="M29" s="25" t="s">
        <v>78</v>
      </c>
      <c r="N29" s="26">
        <f>('Sword and Shield Promos'!D2)</f>
        <v>0</v>
      </c>
      <c r="O29" s="3"/>
    </row>
    <row r="30" spans="3:18" ht="15.75" customHeight="1">
      <c r="C30" s="3"/>
      <c r="D30" s="20" t="s">
        <v>79</v>
      </c>
      <c r="E30" s="21">
        <f>('Noble Victories'!D2)</f>
        <v>0</v>
      </c>
      <c r="F30" s="3"/>
      <c r="G30" s="20" t="s">
        <v>80</v>
      </c>
      <c r="H30" s="27">
        <f>('Kalos Starter Set'!D2)</f>
        <v>0</v>
      </c>
      <c r="I30" s="3"/>
      <c r="J30" s="20" t="s">
        <v>81</v>
      </c>
      <c r="K30" s="27">
        <f>('Sun and Moon'!D2)</f>
        <v>0</v>
      </c>
      <c r="L30" s="3"/>
      <c r="M30" s="25" t="s">
        <v>82</v>
      </c>
      <c r="N30" s="26">
        <f>('Sword and Shield'!D2)</f>
        <v>0</v>
      </c>
      <c r="O30" s="3"/>
    </row>
    <row r="31" spans="3:18" ht="15.75" customHeight="1">
      <c r="C31" s="3"/>
      <c r="D31" s="20" t="s">
        <v>83</v>
      </c>
      <c r="E31" s="21">
        <f>('Next Destinies'!D2)</f>
        <v>0</v>
      </c>
      <c r="F31" s="3"/>
      <c r="G31" s="20" t="s">
        <v>84</v>
      </c>
      <c r="H31" s="27">
        <f>('X and Y'!D2)</f>
        <v>0</v>
      </c>
      <c r="I31" s="3"/>
      <c r="J31" s="20" t="s">
        <v>85</v>
      </c>
      <c r="K31" s="27">
        <f>('Guardians Rising'!D2)</f>
        <v>0</v>
      </c>
      <c r="L31" s="3"/>
      <c r="M31" s="28" t="s">
        <v>86</v>
      </c>
      <c r="N31" s="26">
        <f>('Rebel Clash'!D2)</f>
        <v>0</v>
      </c>
      <c r="O31" s="3"/>
    </row>
    <row r="32" spans="3:18" ht="15.75" customHeight="1">
      <c r="C32" s="3"/>
      <c r="D32" s="20" t="s">
        <v>87</v>
      </c>
      <c r="E32" s="21">
        <f>('Dark Explorers'!D2)</f>
        <v>0</v>
      </c>
      <c r="F32" s="3"/>
      <c r="G32" s="20" t="s">
        <v>88</v>
      </c>
      <c r="H32" s="21">
        <f>('XY Trainer Kit'!D2)</f>
        <v>0</v>
      </c>
      <c r="I32" s="3"/>
      <c r="J32" s="20" t="s">
        <v>89</v>
      </c>
      <c r="K32" s="27">
        <f>('Burning Shadows'!D2)</f>
        <v>0</v>
      </c>
      <c r="L32" s="3"/>
      <c r="M32" s="25" t="s">
        <v>90</v>
      </c>
      <c r="N32" s="26">
        <f>('Darkness Ablaze'!D2)</f>
        <v>0</v>
      </c>
      <c r="O32" s="3"/>
    </row>
    <row r="33" spans="2:16" ht="15.75" customHeight="1">
      <c r="C33" s="3"/>
      <c r="D33" s="20" t="s">
        <v>91</v>
      </c>
      <c r="E33" s="21">
        <f>('McDonalds Collection 2012'!D2)</f>
        <v>0</v>
      </c>
      <c r="F33" s="3"/>
      <c r="G33" s="20" t="s">
        <v>92</v>
      </c>
      <c r="H33" s="27">
        <f>(Flashfire!D2)</f>
        <v>0</v>
      </c>
      <c r="I33" s="3"/>
      <c r="J33" s="20" t="s">
        <v>93</v>
      </c>
      <c r="K33" s="27">
        <f>('Shining Legends'!D2)</f>
        <v>0</v>
      </c>
      <c r="L33" s="3"/>
      <c r="M33" s="25" t="s">
        <v>94</v>
      </c>
      <c r="N33" s="26">
        <f>('Champions Path'!D2)</f>
        <v>0</v>
      </c>
      <c r="O33" s="3"/>
    </row>
    <row r="34" spans="2:16" ht="15.75" customHeight="1">
      <c r="C34" s="3"/>
      <c r="D34" s="20" t="s">
        <v>95</v>
      </c>
      <c r="E34" s="21">
        <f>('Dragons Exalted'!D2)</f>
        <v>0</v>
      </c>
      <c r="F34" s="3"/>
      <c r="G34" s="20" t="s">
        <v>96</v>
      </c>
      <c r="H34" s="22">
        <f>('Mcdonalds Collection 2014'!D2)</f>
        <v>0</v>
      </c>
      <c r="I34" s="3"/>
      <c r="J34" s="20" t="s">
        <v>97</v>
      </c>
      <c r="K34" s="27">
        <f>('Crimson Invasion'!D2)</f>
        <v>0</v>
      </c>
      <c r="L34" s="3"/>
      <c r="M34" s="25" t="s">
        <v>98</v>
      </c>
      <c r="N34" s="26">
        <f>('Vivid Voltage'!D2)</f>
        <v>0</v>
      </c>
      <c r="O34" s="3"/>
    </row>
    <row r="35" spans="2:16" ht="15.75" customHeight="1">
      <c r="C35" s="3"/>
      <c r="D35" s="20" t="s">
        <v>99</v>
      </c>
      <c r="E35" s="21">
        <f>('Boundaries Crossed'!D2)</f>
        <v>0</v>
      </c>
      <c r="F35" s="3"/>
      <c r="G35" s="20" t="s">
        <v>100</v>
      </c>
      <c r="H35" s="27">
        <f>('Furious Fists'!D2)</f>
        <v>0</v>
      </c>
      <c r="I35" s="3"/>
      <c r="J35" s="20" t="s">
        <v>101</v>
      </c>
      <c r="K35" s="27">
        <f>('Ultra Prism'!D2)</f>
        <v>0</v>
      </c>
      <c r="L35" s="3"/>
      <c r="M35" s="29" t="s">
        <v>102</v>
      </c>
      <c r="N35" s="30">
        <f>('McDonalds Collection 2021'!D2)</f>
        <v>0</v>
      </c>
      <c r="O35" s="3"/>
      <c r="P35" s="1"/>
    </row>
    <row r="36" spans="2:16" ht="15.75" customHeight="1">
      <c r="C36" s="3"/>
      <c r="D36" s="20" t="s">
        <v>103</v>
      </c>
      <c r="E36" s="21">
        <f>('Plasma Storm'!D2)</f>
        <v>0</v>
      </c>
      <c r="F36" s="3"/>
      <c r="G36" s="20" t="s">
        <v>104</v>
      </c>
      <c r="H36" s="27">
        <f>('Phantom Forces'!D2)</f>
        <v>0</v>
      </c>
      <c r="I36" s="3"/>
      <c r="J36" s="20" t="s">
        <v>105</v>
      </c>
      <c r="K36" s="27">
        <f>('Forbidden Light'!D2)</f>
        <v>0</v>
      </c>
      <c r="L36" s="3"/>
      <c r="M36" s="29" t="s">
        <v>106</v>
      </c>
      <c r="N36" s="30">
        <f>('Shining Fates'!D2)</f>
        <v>0</v>
      </c>
      <c r="O36" s="3"/>
    </row>
    <row r="37" spans="2:16" ht="15.75" customHeight="1">
      <c r="C37" s="3"/>
      <c r="D37" s="20" t="s">
        <v>107</v>
      </c>
      <c r="E37" s="21">
        <f>('Plasma Blast'!D2)</f>
        <v>0</v>
      </c>
      <c r="F37" s="3"/>
      <c r="G37" s="20" t="s">
        <v>108</v>
      </c>
      <c r="H37" s="27">
        <f>('Primal Clash'!D2)</f>
        <v>0</v>
      </c>
      <c r="I37" s="3"/>
      <c r="J37" s="20" t="s">
        <v>109</v>
      </c>
      <c r="K37" s="27">
        <f>('Celestial Storm'!D2)</f>
        <v>0</v>
      </c>
      <c r="L37" s="3"/>
      <c r="M37" s="29" t="s">
        <v>110</v>
      </c>
      <c r="N37" s="30">
        <f>('Battle Styles'!D2)</f>
        <v>0</v>
      </c>
      <c r="O37" s="3"/>
    </row>
    <row r="38" spans="2:16" ht="15.75" customHeight="1">
      <c r="C38" s="3"/>
      <c r="D38" s="20" t="s">
        <v>111</v>
      </c>
      <c r="E38" s="21">
        <f>('Legendary Treasures'!D2)</f>
        <v>0</v>
      </c>
      <c r="F38" s="3"/>
      <c r="G38" s="20" t="s">
        <v>112</v>
      </c>
      <c r="H38" s="21">
        <f>('XY Trainer Kit Latias &amp; Latios'!D2)</f>
        <v>0</v>
      </c>
      <c r="I38" s="3"/>
      <c r="J38" s="20" t="s">
        <v>113</v>
      </c>
      <c r="K38" s="27">
        <f>('Dragon Majesty'!D2)</f>
        <v>0</v>
      </c>
      <c r="L38" s="3"/>
      <c r="M38" s="31" t="s">
        <v>114</v>
      </c>
      <c r="N38" s="30">
        <f>('Chilling Reign'!D2)</f>
        <v>0</v>
      </c>
      <c r="O38" s="3"/>
    </row>
    <row r="39" spans="2:16" ht="15.75" customHeight="1">
      <c r="C39" s="3"/>
      <c r="D39" s="13"/>
      <c r="E39" s="21"/>
      <c r="F39" s="3"/>
      <c r="G39" s="20" t="s">
        <v>115</v>
      </c>
      <c r="H39" s="27">
        <f>('Roaring Skies'!D2)</f>
        <v>0</v>
      </c>
      <c r="I39" s="3"/>
      <c r="J39" s="20" t="s">
        <v>116</v>
      </c>
      <c r="K39" s="27">
        <f>('Lost Thunder'!D2)</f>
        <v>0</v>
      </c>
      <c r="L39" s="3"/>
      <c r="M39" s="25" t="s">
        <v>117</v>
      </c>
      <c r="N39" s="26">
        <f>('Evolving Skies'!D2)</f>
        <v>0</v>
      </c>
      <c r="O39" s="3"/>
    </row>
    <row r="40" spans="2:16" ht="15.75" customHeight="1">
      <c r="C40" s="3"/>
      <c r="D40" s="13"/>
      <c r="E40" s="21"/>
      <c r="F40" s="3"/>
      <c r="G40" s="20" t="s">
        <v>118</v>
      </c>
      <c r="H40" s="27">
        <f>('Ancient Origins'!D2)</f>
        <v>0</v>
      </c>
      <c r="I40" s="3"/>
      <c r="J40" s="20" t="s">
        <v>119</v>
      </c>
      <c r="K40" s="27">
        <f>('Team Up'!D2)</f>
        <v>0</v>
      </c>
      <c r="L40" s="3"/>
      <c r="M40" s="29" t="s">
        <v>120</v>
      </c>
      <c r="N40" s="30">
        <f>(Celebrations!D2)</f>
        <v>0</v>
      </c>
      <c r="O40" s="3"/>
    </row>
    <row r="41" spans="2:16" ht="15.75" customHeight="1">
      <c r="C41" s="3"/>
      <c r="D41" s="13"/>
      <c r="E41" s="21"/>
      <c r="F41" s="3"/>
      <c r="G41" s="20" t="s">
        <v>121</v>
      </c>
      <c r="H41" s="27">
        <f>('Mcdonalds Collection 2015'!D2)</f>
        <v>0</v>
      </c>
      <c r="I41" s="3"/>
      <c r="J41" s="20" t="s">
        <v>122</v>
      </c>
      <c r="K41" s="27">
        <f>('Detective Pikachu'!D2)</f>
        <v>0</v>
      </c>
      <c r="L41" s="3"/>
      <c r="M41" s="31" t="s">
        <v>123</v>
      </c>
      <c r="N41" s="30">
        <f>('Fusion Strike'!D2)</f>
        <v>0</v>
      </c>
      <c r="O41" s="3"/>
    </row>
    <row r="42" spans="2:16" ht="15.75" customHeight="1">
      <c r="C42" s="3"/>
      <c r="D42" s="13"/>
      <c r="E42" s="21"/>
      <c r="F42" s="3"/>
      <c r="G42" s="20" t="s">
        <v>124</v>
      </c>
      <c r="H42" s="27">
        <f>(BREAKthrough!D2)</f>
        <v>0</v>
      </c>
      <c r="I42" s="3"/>
      <c r="J42" s="20" t="s">
        <v>125</v>
      </c>
      <c r="K42" s="21">
        <f>('Unbroken Bonds'!D2)</f>
        <v>0</v>
      </c>
      <c r="L42" s="3"/>
      <c r="M42" s="31" t="s">
        <v>126</v>
      </c>
      <c r="N42" s="30">
        <f>('Brilliant Stars'!D2)</f>
        <v>0</v>
      </c>
      <c r="O42" s="3"/>
    </row>
    <row r="43" spans="2:16" ht="15.75" customHeight="1">
      <c r="C43" s="3"/>
      <c r="D43" s="13"/>
      <c r="E43" s="21"/>
      <c r="F43" s="3"/>
      <c r="G43" s="20" t="s">
        <v>127</v>
      </c>
      <c r="H43" s="27">
        <f>(BREAKpoint!D2)</f>
        <v>0</v>
      </c>
      <c r="I43" s="3"/>
      <c r="J43" s="20" t="s">
        <v>128</v>
      </c>
      <c r="K43" s="21">
        <f>('Unified Minds'!D2)</f>
        <v>0</v>
      </c>
      <c r="L43" s="3"/>
      <c r="M43" s="15"/>
      <c r="N43" s="26"/>
      <c r="O43" s="3"/>
    </row>
    <row r="44" spans="2:16" ht="15.75" customHeight="1">
      <c r="C44" s="3"/>
      <c r="D44" s="13"/>
      <c r="E44" s="21"/>
      <c r="F44" s="3"/>
      <c r="G44" s="20" t="s">
        <v>129</v>
      </c>
      <c r="H44" s="27">
        <f>(Generations!D2)</f>
        <v>0</v>
      </c>
      <c r="I44" s="3"/>
      <c r="J44" s="20" t="s">
        <v>130</v>
      </c>
      <c r="K44" s="21">
        <f>('Hidden Fates'!D2)</f>
        <v>0</v>
      </c>
      <c r="L44" s="3"/>
      <c r="M44" s="15"/>
      <c r="N44" s="26"/>
      <c r="O44" s="3"/>
    </row>
    <row r="45" spans="2:16" ht="15.75" customHeight="1">
      <c r="C45" s="3"/>
      <c r="D45" s="13"/>
      <c r="E45" s="21"/>
      <c r="F45" s="3"/>
      <c r="G45" s="20" t="s">
        <v>131</v>
      </c>
      <c r="H45" s="27">
        <f>('Fates Collide'!D2)</f>
        <v>0</v>
      </c>
      <c r="I45" s="3"/>
      <c r="J45" s="20" t="s">
        <v>132</v>
      </c>
      <c r="K45" s="21">
        <f>('Cosmic Eclipse'!D2)</f>
        <v>0</v>
      </c>
      <c r="L45" s="3"/>
      <c r="M45" s="15"/>
      <c r="N45" s="26"/>
      <c r="O45" s="3"/>
    </row>
    <row r="46" spans="2:16" ht="15.75" customHeight="1">
      <c r="B46" s="2"/>
      <c r="C46" s="3"/>
      <c r="D46" s="13"/>
      <c r="E46" s="13"/>
      <c r="F46" s="3"/>
      <c r="G46" s="20" t="s">
        <v>133</v>
      </c>
      <c r="H46" s="27">
        <f>('Steam Siege'!D2)</f>
        <v>0</v>
      </c>
      <c r="I46" s="3"/>
      <c r="J46" s="13"/>
      <c r="K46" s="13"/>
      <c r="L46" s="3"/>
      <c r="M46" s="15"/>
      <c r="N46" s="15"/>
      <c r="O46" s="3"/>
    </row>
    <row r="47" spans="2:16" ht="15.75" customHeight="1">
      <c r="B47" s="2"/>
      <c r="C47" s="3"/>
      <c r="D47" s="13"/>
      <c r="E47" s="21"/>
      <c r="F47" s="3"/>
      <c r="G47" s="20" t="s">
        <v>134</v>
      </c>
      <c r="H47" s="27">
        <f>(Evolutions!D2)</f>
        <v>0</v>
      </c>
      <c r="I47" s="3"/>
      <c r="J47" s="13"/>
      <c r="K47" s="21"/>
      <c r="L47" s="3"/>
      <c r="M47" s="15"/>
      <c r="N47" s="26"/>
      <c r="O47" s="3"/>
    </row>
    <row r="48" spans="2:16" ht="13">
      <c r="B48" s="2"/>
      <c r="C48" s="3"/>
      <c r="D48" s="3"/>
      <c r="E48" s="17"/>
      <c r="F48" s="3"/>
      <c r="G48" s="3"/>
      <c r="H48" s="17"/>
      <c r="I48" s="3"/>
      <c r="J48" s="3"/>
      <c r="K48" s="17"/>
      <c r="L48" s="3"/>
      <c r="M48" s="3"/>
      <c r="N48" s="17"/>
      <c r="O48" s="3"/>
    </row>
    <row r="49" spans="1:14" ht="13">
      <c r="A49" s="32" t="s">
        <v>135</v>
      </c>
      <c r="B49" s="2"/>
      <c r="E49" s="5"/>
      <c r="H49" s="5"/>
      <c r="K49" s="5"/>
      <c r="N49" s="5"/>
    </row>
    <row r="50" spans="1:14" ht="13">
      <c r="A50" s="33" t="s">
        <v>136</v>
      </c>
      <c r="B50" s="2"/>
      <c r="E50" s="5"/>
      <c r="H50" s="5"/>
      <c r="K50" s="5"/>
      <c r="N50" s="5"/>
    </row>
    <row r="51" spans="1:14" ht="13">
      <c r="A51" s="34" t="s">
        <v>137</v>
      </c>
      <c r="B51" s="2"/>
      <c r="E51" s="5"/>
      <c r="H51" s="5"/>
      <c r="K51" s="5"/>
      <c r="N51" s="5"/>
    </row>
    <row r="52" spans="1:14" ht="13">
      <c r="A52" s="34" t="s">
        <v>138</v>
      </c>
      <c r="B52" s="2"/>
      <c r="E52" s="5"/>
      <c r="H52" s="5"/>
      <c r="K52" s="5"/>
      <c r="N52" s="5"/>
    </row>
    <row r="53" spans="1:14" ht="13">
      <c r="A53" s="34" t="s">
        <v>139</v>
      </c>
      <c r="B53" s="2"/>
      <c r="E53" s="5"/>
      <c r="H53" s="5"/>
      <c r="K53" s="5"/>
      <c r="N53" s="5"/>
    </row>
    <row r="54" spans="1:14" ht="13">
      <c r="A54" s="34" t="s">
        <v>140</v>
      </c>
      <c r="B54" s="2"/>
      <c r="E54" s="5"/>
      <c r="H54" s="5"/>
      <c r="K54" s="5"/>
      <c r="N54" s="5"/>
    </row>
    <row r="55" spans="1:14" ht="13">
      <c r="A55" s="34" t="s">
        <v>141</v>
      </c>
      <c r="B55" s="2"/>
      <c r="E55" s="5"/>
      <c r="H55" s="5"/>
      <c r="K55" s="5"/>
      <c r="N55" s="5"/>
    </row>
    <row r="56" spans="1:14" ht="13">
      <c r="A56" s="34" t="s">
        <v>142</v>
      </c>
      <c r="B56" s="2"/>
      <c r="E56" s="5"/>
      <c r="H56" s="5"/>
      <c r="K56" s="5"/>
      <c r="N56" s="5"/>
    </row>
    <row r="57" spans="1:14" ht="13">
      <c r="A57" s="34" t="s">
        <v>143</v>
      </c>
      <c r="B57" s="2"/>
      <c r="E57" s="5"/>
      <c r="H57" s="5"/>
      <c r="K57" s="5"/>
      <c r="N57" s="5"/>
    </row>
    <row r="58" spans="1:14" ht="13">
      <c r="A58" s="34" t="s">
        <v>144</v>
      </c>
      <c r="B58" s="2"/>
      <c r="E58" s="5"/>
      <c r="H58" s="5"/>
      <c r="K58" s="5"/>
      <c r="N58" s="5"/>
    </row>
    <row r="59" spans="1:14" ht="13">
      <c r="A59" s="34" t="s">
        <v>145</v>
      </c>
      <c r="B59" s="2"/>
      <c r="E59" s="5"/>
      <c r="H59" s="5"/>
      <c r="K59" s="5"/>
      <c r="N59" s="5"/>
    </row>
    <row r="60" spans="1:14" ht="13">
      <c r="A60" s="34" t="s">
        <v>146</v>
      </c>
      <c r="B60" s="2"/>
      <c r="E60" s="5"/>
      <c r="H60" s="5"/>
      <c r="K60" s="5"/>
      <c r="N60" s="5"/>
    </row>
    <row r="61" spans="1:14" ht="13">
      <c r="A61" s="34" t="s">
        <v>147</v>
      </c>
      <c r="B61" s="2"/>
      <c r="E61" s="5"/>
      <c r="H61" s="5"/>
      <c r="K61" s="5"/>
      <c r="N61" s="5"/>
    </row>
    <row r="62" spans="1:14" ht="13">
      <c r="A62" s="35"/>
      <c r="B62" s="2"/>
      <c r="E62" s="5"/>
      <c r="H62" s="5"/>
      <c r="K62" s="5"/>
      <c r="N62" s="5"/>
    </row>
    <row r="63" spans="1:14" ht="13">
      <c r="A63" s="35" t="s">
        <v>148</v>
      </c>
      <c r="B63" s="2"/>
      <c r="E63" s="5"/>
      <c r="H63" s="5"/>
      <c r="K63" s="5"/>
      <c r="N63" s="5"/>
    </row>
    <row r="64" spans="1:14" ht="13">
      <c r="A64" s="34" t="s">
        <v>149</v>
      </c>
      <c r="B64" s="2"/>
      <c r="E64" s="5"/>
      <c r="H64" s="5"/>
      <c r="K64" s="5"/>
      <c r="N64" s="5"/>
    </row>
    <row r="65" spans="1:14" ht="13">
      <c r="A65" s="35"/>
      <c r="B65" s="2"/>
      <c r="E65" s="5"/>
      <c r="H65" s="5"/>
      <c r="K65" s="5"/>
      <c r="N65" s="5"/>
    </row>
    <row r="66" spans="1:14" ht="13">
      <c r="A66" s="35" t="s">
        <v>150</v>
      </c>
      <c r="B66" s="2"/>
      <c r="E66" s="5"/>
      <c r="H66" s="5"/>
      <c r="K66" s="5"/>
      <c r="N66" s="5"/>
    </row>
    <row r="67" spans="1:14" ht="13">
      <c r="A67" s="35" t="s">
        <v>151</v>
      </c>
      <c r="B67" s="2"/>
      <c r="E67" s="5"/>
      <c r="H67" s="5"/>
      <c r="K67" s="5"/>
      <c r="N67" s="5"/>
    </row>
    <row r="68" spans="1:14" ht="13">
      <c r="A68" s="35" t="s">
        <v>152</v>
      </c>
      <c r="B68" s="2"/>
      <c r="E68" s="5"/>
      <c r="H68" s="5"/>
      <c r="K68" s="5"/>
      <c r="N68" s="5"/>
    </row>
    <row r="69" spans="1:14" ht="13">
      <c r="A69" s="35" t="s">
        <v>153</v>
      </c>
      <c r="B69" s="2"/>
      <c r="E69" s="5"/>
      <c r="H69" s="5"/>
      <c r="K69" s="5"/>
      <c r="N69" s="5"/>
    </row>
    <row r="70" spans="1:14" ht="13">
      <c r="A70" s="35" t="s">
        <v>154</v>
      </c>
      <c r="B70" s="2"/>
      <c r="E70" s="5"/>
      <c r="H70" s="5"/>
      <c r="K70" s="5"/>
      <c r="N70" s="5"/>
    </row>
    <row r="71" spans="1:14" ht="13">
      <c r="A71" s="35"/>
      <c r="B71" s="2"/>
      <c r="E71" s="5"/>
      <c r="H71" s="5"/>
      <c r="K71" s="5"/>
      <c r="N71" s="5"/>
    </row>
    <row r="72" spans="1:14" ht="13">
      <c r="A72" s="35" t="s">
        <v>155</v>
      </c>
      <c r="B72" s="2"/>
      <c r="E72" s="5"/>
      <c r="H72" s="5"/>
      <c r="K72" s="5"/>
      <c r="N72" s="5"/>
    </row>
    <row r="73" spans="1:14" ht="13">
      <c r="A73" s="35" t="s">
        <v>156</v>
      </c>
      <c r="B73" s="2"/>
      <c r="E73" s="5"/>
      <c r="H73" s="5"/>
      <c r="K73" s="5"/>
      <c r="N73" s="5"/>
    </row>
    <row r="74" spans="1:14" ht="13">
      <c r="A74" s="32" t="s">
        <v>157</v>
      </c>
      <c r="B74" s="2"/>
      <c r="E74" s="5"/>
      <c r="H74" s="5"/>
      <c r="K74" s="5"/>
      <c r="N74" s="5"/>
    </row>
    <row r="75" spans="1:14" ht="13">
      <c r="A75" s="34" t="s">
        <v>158</v>
      </c>
      <c r="B75" s="2"/>
      <c r="E75" s="5"/>
      <c r="H75" s="5"/>
      <c r="K75" s="5"/>
      <c r="N75" s="5"/>
    </row>
    <row r="76" spans="1:14" ht="13">
      <c r="A76" s="34" t="s">
        <v>159</v>
      </c>
      <c r="B76" s="2"/>
      <c r="E76" s="5"/>
      <c r="H76" s="5"/>
      <c r="K76" s="5"/>
      <c r="N76" s="5"/>
    </row>
    <row r="77" spans="1:14" ht="13">
      <c r="A77" s="35"/>
      <c r="B77" s="2"/>
      <c r="E77" s="5"/>
      <c r="H77" s="5"/>
      <c r="K77" s="5"/>
      <c r="N77" s="5"/>
    </row>
    <row r="78" spans="1:14" ht="13">
      <c r="A78" s="35" t="s">
        <v>160</v>
      </c>
      <c r="B78" s="2"/>
      <c r="E78" s="5"/>
      <c r="H78" s="5"/>
      <c r="K78" s="5"/>
      <c r="N78" s="5"/>
    </row>
    <row r="79" spans="1:14" ht="13">
      <c r="A79" s="34" t="s">
        <v>161</v>
      </c>
      <c r="B79" s="2"/>
      <c r="E79" s="5"/>
      <c r="H79" s="5"/>
      <c r="K79" s="5"/>
      <c r="N79" s="5"/>
    </row>
    <row r="80" spans="1:14" ht="13">
      <c r="A80" s="34" t="s">
        <v>162</v>
      </c>
      <c r="B80" s="2"/>
      <c r="E80" s="5"/>
      <c r="H80" s="5"/>
      <c r="K80" s="5"/>
      <c r="N80" s="5"/>
    </row>
    <row r="81" spans="1:14" ht="13">
      <c r="A81" s="34" t="s">
        <v>163</v>
      </c>
      <c r="B81" s="2"/>
      <c r="E81" s="5"/>
      <c r="H81" s="5"/>
      <c r="K81" s="5"/>
      <c r="N81" s="5"/>
    </row>
    <row r="82" spans="1:14" ht="13">
      <c r="A82" s="35"/>
      <c r="B82" s="2"/>
      <c r="E82" s="5"/>
      <c r="H82" s="5"/>
      <c r="K82" s="5"/>
      <c r="N82" s="5"/>
    </row>
    <row r="83" spans="1:14" ht="13">
      <c r="A83" s="35" t="s">
        <v>164</v>
      </c>
      <c r="B83" s="2"/>
      <c r="E83" s="5"/>
      <c r="H83" s="5"/>
      <c r="K83" s="5"/>
      <c r="N83" s="5"/>
    </row>
    <row r="84" spans="1:14" ht="13">
      <c r="A84" s="35" t="s">
        <v>165</v>
      </c>
      <c r="B84" s="2"/>
      <c r="E84" s="5"/>
      <c r="H84" s="5"/>
      <c r="K84" s="5"/>
      <c r="N84" s="5"/>
    </row>
    <row r="85" spans="1:14" ht="13">
      <c r="B85" s="2"/>
      <c r="E85" s="5"/>
      <c r="H85" s="5"/>
      <c r="K85" s="5"/>
      <c r="N85" s="5"/>
    </row>
    <row r="86" spans="1:14" ht="13">
      <c r="A86" s="7" t="s">
        <v>166</v>
      </c>
      <c r="B86" s="2"/>
      <c r="E86" s="5"/>
      <c r="H86" s="5"/>
      <c r="K86" s="5"/>
      <c r="N86" s="5"/>
    </row>
    <row r="87" spans="1:14" ht="13">
      <c r="A87" s="7" t="s">
        <v>167</v>
      </c>
      <c r="B87" s="2"/>
      <c r="E87" s="5"/>
      <c r="H87" s="5"/>
      <c r="K87" s="5"/>
      <c r="N87" s="5"/>
    </row>
    <row r="88" spans="1:14" ht="13">
      <c r="A88" s="7" t="s">
        <v>168</v>
      </c>
      <c r="B88" s="2"/>
      <c r="E88" s="5"/>
      <c r="H88" s="5"/>
      <c r="K88" s="5"/>
      <c r="N88" s="5"/>
    </row>
    <row r="89" spans="1:14" ht="13">
      <c r="A89" s="7" t="s">
        <v>169</v>
      </c>
      <c r="B89" s="2"/>
      <c r="E89" s="5"/>
      <c r="H89" s="5"/>
      <c r="K89" s="5"/>
      <c r="N89" s="5"/>
    </row>
    <row r="90" spans="1:14" ht="13">
      <c r="B90" s="2"/>
      <c r="E90" s="5"/>
      <c r="H90" s="5"/>
      <c r="K90" s="5"/>
      <c r="N90" s="5"/>
    </row>
    <row r="91" spans="1:14" ht="13">
      <c r="A91" s="7" t="s">
        <v>170</v>
      </c>
      <c r="B91" s="2"/>
      <c r="E91" s="5"/>
      <c r="H91" s="5"/>
      <c r="K91" s="5"/>
      <c r="N91" s="5"/>
    </row>
    <row r="92" spans="1:14" ht="13">
      <c r="A92" s="7" t="s">
        <v>171</v>
      </c>
      <c r="B92" s="2"/>
      <c r="E92" s="5"/>
      <c r="H92" s="5"/>
      <c r="K92" s="5"/>
      <c r="N92" s="5"/>
    </row>
    <row r="93" spans="1:14" ht="13">
      <c r="A93" s="7" t="s">
        <v>172</v>
      </c>
      <c r="B93" s="2"/>
      <c r="E93" s="5"/>
      <c r="H93" s="5"/>
      <c r="K93" s="5"/>
      <c r="N93" s="5"/>
    </row>
    <row r="94" spans="1:14" ht="13">
      <c r="A94" s="7" t="s">
        <v>173</v>
      </c>
      <c r="B94" s="2"/>
      <c r="E94" s="5"/>
      <c r="H94" s="5"/>
      <c r="K94" s="5"/>
      <c r="N94" s="5"/>
    </row>
    <row r="95" spans="1:14" ht="13">
      <c r="B95" s="2"/>
      <c r="E95" s="5"/>
      <c r="H95" s="5"/>
      <c r="K95" s="5"/>
      <c r="N95" s="5"/>
    </row>
    <row r="96" spans="1:14" ht="13">
      <c r="A96" s="7" t="s">
        <v>174</v>
      </c>
      <c r="B96" s="2"/>
      <c r="E96" s="5"/>
      <c r="H96" s="5"/>
      <c r="K96" s="5"/>
      <c r="N96" s="5"/>
    </row>
    <row r="97" spans="1:14" ht="13">
      <c r="A97" s="7" t="s">
        <v>175</v>
      </c>
      <c r="B97" s="2"/>
      <c r="E97" s="5"/>
      <c r="H97" s="5"/>
      <c r="K97" s="5"/>
      <c r="N97" s="5"/>
    </row>
    <row r="98" spans="1:14" ht="13">
      <c r="B98" s="2"/>
      <c r="E98" s="5"/>
      <c r="H98" s="5"/>
      <c r="K98" s="5"/>
      <c r="N98" s="5"/>
    </row>
    <row r="99" spans="1:14" ht="13">
      <c r="A99" s="7" t="s">
        <v>176</v>
      </c>
      <c r="B99" s="2"/>
      <c r="E99" s="5"/>
      <c r="H99" s="5"/>
      <c r="K99" s="5"/>
      <c r="N99" s="5"/>
    </row>
    <row r="100" spans="1:14" ht="13">
      <c r="A100" s="7" t="s">
        <v>177</v>
      </c>
      <c r="B100" s="2"/>
      <c r="E100" s="5"/>
      <c r="H100" s="5"/>
      <c r="K100" s="5"/>
      <c r="N100" s="5"/>
    </row>
    <row r="101" spans="1:14" ht="13">
      <c r="A101" s="7" t="s">
        <v>178</v>
      </c>
      <c r="B101" s="2"/>
      <c r="E101" s="5"/>
      <c r="H101" s="5"/>
      <c r="K101" s="5"/>
      <c r="N101" s="5"/>
    </row>
    <row r="102" spans="1:14" ht="13">
      <c r="B102" s="2"/>
      <c r="E102" s="5"/>
      <c r="H102" s="5"/>
      <c r="K102" s="5"/>
      <c r="N102" s="5"/>
    </row>
    <row r="103" spans="1:14" ht="13">
      <c r="A103" s="7" t="s">
        <v>179</v>
      </c>
      <c r="B103" s="2"/>
      <c r="E103" s="5"/>
      <c r="H103" s="5"/>
      <c r="K103" s="5"/>
      <c r="N103" s="5"/>
    </row>
    <row r="104" spans="1:14" ht="13">
      <c r="A104" s="7" t="s">
        <v>180</v>
      </c>
      <c r="B104" s="2"/>
      <c r="E104" s="5"/>
      <c r="H104" s="5"/>
      <c r="K104" s="5"/>
      <c r="N104" s="5"/>
    </row>
    <row r="105" spans="1:14" ht="13">
      <c r="B105" s="2"/>
      <c r="E105" s="5"/>
      <c r="H105" s="5"/>
      <c r="K105" s="5"/>
      <c r="N105" s="5"/>
    </row>
    <row r="106" spans="1:14" ht="13">
      <c r="B106" s="2"/>
      <c r="E106" s="5"/>
      <c r="H106" s="5"/>
      <c r="K106" s="5"/>
      <c r="N106" s="5"/>
    </row>
    <row r="107" spans="1:14" ht="13">
      <c r="B107" s="2"/>
      <c r="E107" s="5"/>
      <c r="H107" s="5"/>
      <c r="K107" s="5"/>
      <c r="N107" s="5"/>
    </row>
    <row r="108" spans="1:14" ht="13">
      <c r="B108" s="2"/>
      <c r="E108" s="5"/>
      <c r="H108" s="5"/>
      <c r="K108" s="5"/>
      <c r="N108" s="5"/>
    </row>
    <row r="109" spans="1:14" ht="13">
      <c r="B109" s="2"/>
      <c r="E109" s="5"/>
      <c r="H109" s="5"/>
      <c r="K109" s="5"/>
      <c r="N109" s="5"/>
    </row>
    <row r="110" spans="1:14" ht="13">
      <c r="B110" s="2"/>
      <c r="E110" s="5"/>
      <c r="H110" s="5"/>
      <c r="K110" s="5"/>
      <c r="N110" s="5"/>
    </row>
    <row r="111" spans="1:14" ht="13">
      <c r="B111" s="2"/>
      <c r="E111" s="5"/>
      <c r="H111" s="5"/>
      <c r="K111" s="5"/>
      <c r="N111" s="5"/>
    </row>
    <row r="112" spans="1:14" ht="13">
      <c r="B112" s="2"/>
      <c r="E112" s="5"/>
      <c r="H112" s="5"/>
      <c r="K112" s="5"/>
      <c r="N112" s="5"/>
    </row>
    <row r="113" spans="2:14" ht="13">
      <c r="B113" s="2"/>
      <c r="E113" s="5"/>
      <c r="H113" s="5"/>
      <c r="K113" s="5"/>
      <c r="N113" s="5"/>
    </row>
    <row r="114" spans="2:14" ht="13">
      <c r="B114" s="2"/>
      <c r="E114" s="5"/>
      <c r="H114" s="5"/>
      <c r="K114" s="5"/>
      <c r="N114" s="5"/>
    </row>
    <row r="115" spans="2:14" ht="13">
      <c r="B115" s="2"/>
      <c r="E115" s="5"/>
      <c r="H115" s="5"/>
      <c r="K115" s="5"/>
      <c r="N115" s="5"/>
    </row>
    <row r="116" spans="2:14" ht="13">
      <c r="B116" s="2"/>
      <c r="E116" s="5"/>
      <c r="H116" s="5"/>
      <c r="K116" s="5"/>
      <c r="N116" s="5"/>
    </row>
    <row r="117" spans="2:14" ht="13">
      <c r="B117" s="2"/>
      <c r="E117" s="5"/>
      <c r="H117" s="5"/>
      <c r="K117" s="5"/>
      <c r="N117" s="5"/>
    </row>
    <row r="118" spans="2:14" ht="13">
      <c r="B118" s="2"/>
      <c r="E118" s="5"/>
      <c r="H118" s="5"/>
      <c r="K118" s="5"/>
      <c r="N118" s="5"/>
    </row>
    <row r="119" spans="2:14" ht="13">
      <c r="B119" s="2"/>
      <c r="E119" s="5"/>
      <c r="H119" s="5"/>
      <c r="K119" s="5"/>
      <c r="N119" s="5"/>
    </row>
    <row r="120" spans="2:14" ht="13">
      <c r="B120" s="2"/>
      <c r="E120" s="5"/>
      <c r="H120" s="5"/>
      <c r="K120" s="5"/>
      <c r="N120" s="5"/>
    </row>
    <row r="121" spans="2:14" ht="13">
      <c r="B121" s="2"/>
      <c r="E121" s="5"/>
      <c r="H121" s="5"/>
      <c r="K121" s="5"/>
      <c r="N121" s="5"/>
    </row>
    <row r="122" spans="2:14" ht="13">
      <c r="B122" s="2"/>
      <c r="E122" s="5"/>
      <c r="H122" s="5"/>
      <c r="K122" s="5"/>
      <c r="N122" s="5"/>
    </row>
    <row r="123" spans="2:14" ht="13">
      <c r="B123" s="2"/>
      <c r="E123" s="5"/>
      <c r="H123" s="5"/>
      <c r="K123" s="5"/>
      <c r="N123" s="5"/>
    </row>
    <row r="124" spans="2:14" ht="13">
      <c r="B124" s="2"/>
      <c r="E124" s="5"/>
      <c r="H124" s="5"/>
      <c r="K124" s="5"/>
      <c r="N124" s="5"/>
    </row>
    <row r="125" spans="2:14" ht="13">
      <c r="B125" s="2"/>
      <c r="E125" s="5"/>
      <c r="H125" s="5"/>
      <c r="K125" s="5"/>
      <c r="N125" s="5"/>
    </row>
    <row r="126" spans="2:14" ht="13">
      <c r="B126" s="2"/>
      <c r="E126" s="5"/>
      <c r="H126" s="5"/>
      <c r="K126" s="5"/>
      <c r="N126" s="5"/>
    </row>
    <row r="127" spans="2:14" ht="13">
      <c r="B127" s="2"/>
      <c r="E127" s="5"/>
      <c r="H127" s="5"/>
      <c r="K127" s="5"/>
      <c r="N127" s="5"/>
    </row>
    <row r="128" spans="2:14" ht="13">
      <c r="B128" s="2"/>
      <c r="E128" s="5"/>
      <c r="H128" s="5"/>
      <c r="K128" s="5"/>
      <c r="N128" s="5"/>
    </row>
    <row r="129" spans="2:14" ht="13">
      <c r="B129" s="2"/>
      <c r="E129" s="5"/>
      <c r="H129" s="5"/>
      <c r="K129" s="5"/>
      <c r="N129" s="5"/>
    </row>
    <row r="130" spans="2:14" ht="13">
      <c r="B130" s="2"/>
      <c r="E130" s="5"/>
      <c r="H130" s="5"/>
      <c r="K130" s="5"/>
      <c r="N130" s="5"/>
    </row>
    <row r="131" spans="2:14" ht="13">
      <c r="B131" s="2"/>
      <c r="E131" s="5"/>
      <c r="H131" s="5"/>
      <c r="K131" s="5"/>
      <c r="N131" s="5"/>
    </row>
    <row r="132" spans="2:14" ht="13">
      <c r="B132" s="2"/>
      <c r="E132" s="5"/>
      <c r="H132" s="5"/>
      <c r="K132" s="5"/>
      <c r="N132" s="5"/>
    </row>
    <row r="133" spans="2:14" ht="13">
      <c r="B133" s="2"/>
      <c r="E133" s="5"/>
      <c r="H133" s="5"/>
      <c r="K133" s="5"/>
      <c r="N133" s="5"/>
    </row>
    <row r="134" spans="2:14" ht="13">
      <c r="B134" s="2"/>
      <c r="E134" s="5"/>
      <c r="H134" s="5"/>
      <c r="K134" s="5"/>
      <c r="N134" s="5"/>
    </row>
    <row r="135" spans="2:14" ht="13">
      <c r="B135" s="2"/>
      <c r="E135" s="5"/>
      <c r="H135" s="5"/>
      <c r="K135" s="5"/>
      <c r="N135" s="5"/>
    </row>
    <row r="136" spans="2:14" ht="13">
      <c r="B136" s="2"/>
      <c r="E136" s="5"/>
      <c r="H136" s="5"/>
      <c r="K136" s="5"/>
      <c r="N136" s="5"/>
    </row>
    <row r="137" spans="2:14" ht="13">
      <c r="B137" s="2"/>
      <c r="E137" s="5"/>
      <c r="H137" s="5"/>
      <c r="K137" s="5"/>
      <c r="N137" s="5"/>
    </row>
    <row r="138" spans="2:14" ht="13">
      <c r="B138" s="2"/>
      <c r="E138" s="5"/>
      <c r="H138" s="5"/>
      <c r="K138" s="5"/>
      <c r="N138" s="5"/>
    </row>
    <row r="139" spans="2:14" ht="13">
      <c r="B139" s="2"/>
      <c r="E139" s="5"/>
      <c r="H139" s="5"/>
      <c r="K139" s="5"/>
      <c r="N139" s="5"/>
    </row>
    <row r="140" spans="2:14" ht="13">
      <c r="B140" s="2"/>
      <c r="E140" s="5"/>
      <c r="H140" s="5"/>
      <c r="K140" s="5"/>
      <c r="N140" s="5"/>
    </row>
    <row r="141" spans="2:14" ht="13">
      <c r="B141" s="2"/>
      <c r="E141" s="5"/>
      <c r="H141" s="5"/>
      <c r="K141" s="5"/>
      <c r="N141" s="5"/>
    </row>
    <row r="142" spans="2:14" ht="13">
      <c r="B142" s="2"/>
      <c r="E142" s="5"/>
      <c r="H142" s="5"/>
      <c r="K142" s="5"/>
      <c r="N142" s="5"/>
    </row>
    <row r="143" spans="2:14" ht="13">
      <c r="B143" s="2"/>
      <c r="E143" s="5"/>
      <c r="H143" s="5"/>
      <c r="K143" s="5"/>
      <c r="N143" s="5"/>
    </row>
    <row r="144" spans="2:14" ht="13">
      <c r="B144" s="2"/>
      <c r="E144" s="5"/>
      <c r="H144" s="5"/>
      <c r="K144" s="5"/>
      <c r="N144" s="5"/>
    </row>
    <row r="145" spans="2:14" ht="13">
      <c r="B145" s="2"/>
      <c r="E145" s="5"/>
      <c r="H145" s="5"/>
      <c r="K145" s="5"/>
      <c r="N145" s="5"/>
    </row>
    <row r="146" spans="2:14" ht="13">
      <c r="B146" s="2"/>
      <c r="E146" s="5"/>
      <c r="H146" s="5"/>
      <c r="K146" s="5"/>
      <c r="N146" s="5"/>
    </row>
    <row r="147" spans="2:14" ht="13">
      <c r="B147" s="2"/>
      <c r="E147" s="5"/>
      <c r="H147" s="5"/>
      <c r="K147" s="5"/>
      <c r="N147" s="5"/>
    </row>
    <row r="148" spans="2:14" ht="13">
      <c r="B148" s="2"/>
      <c r="E148" s="5"/>
      <c r="H148" s="5"/>
      <c r="K148" s="5"/>
      <c r="N148" s="5"/>
    </row>
    <row r="149" spans="2:14" ht="13">
      <c r="B149" s="2"/>
      <c r="E149" s="5"/>
      <c r="H149" s="5"/>
      <c r="K149" s="5"/>
      <c r="N149" s="5"/>
    </row>
    <row r="150" spans="2:14" ht="13">
      <c r="B150" s="2"/>
      <c r="E150" s="5"/>
      <c r="H150" s="5"/>
      <c r="K150" s="5"/>
      <c r="N150" s="5"/>
    </row>
    <row r="151" spans="2:14" ht="13">
      <c r="B151" s="2"/>
      <c r="E151" s="5"/>
      <c r="H151" s="5"/>
      <c r="K151" s="5"/>
      <c r="N151" s="5"/>
    </row>
    <row r="152" spans="2:14" ht="13">
      <c r="B152" s="2"/>
      <c r="E152" s="5"/>
      <c r="H152" s="5"/>
      <c r="K152" s="5"/>
      <c r="N152" s="5"/>
    </row>
    <row r="153" spans="2:14" ht="13">
      <c r="B153" s="2"/>
      <c r="E153" s="5"/>
      <c r="H153" s="5"/>
      <c r="K153" s="5"/>
      <c r="N153" s="5"/>
    </row>
    <row r="154" spans="2:14" ht="13">
      <c r="B154" s="2"/>
      <c r="E154" s="5"/>
      <c r="H154" s="5"/>
      <c r="K154" s="5"/>
      <c r="N154" s="5"/>
    </row>
    <row r="155" spans="2:14" ht="13">
      <c r="B155" s="2"/>
      <c r="E155" s="5"/>
      <c r="H155" s="5"/>
      <c r="K155" s="5"/>
      <c r="N155" s="5"/>
    </row>
    <row r="156" spans="2:14" ht="13">
      <c r="B156" s="2"/>
      <c r="E156" s="5"/>
      <c r="H156" s="5"/>
      <c r="K156" s="5"/>
      <c r="N156" s="5"/>
    </row>
    <row r="157" spans="2:14" ht="13">
      <c r="B157" s="2"/>
      <c r="E157" s="5"/>
      <c r="H157" s="5"/>
      <c r="K157" s="5"/>
      <c r="N157" s="5"/>
    </row>
    <row r="158" spans="2:14" ht="13">
      <c r="B158" s="2"/>
      <c r="E158" s="5"/>
      <c r="H158" s="5"/>
      <c r="K158" s="5"/>
      <c r="N158" s="5"/>
    </row>
    <row r="159" spans="2:14" ht="13">
      <c r="B159" s="2"/>
      <c r="E159" s="5"/>
      <c r="H159" s="5"/>
      <c r="K159" s="5"/>
      <c r="N159" s="5"/>
    </row>
    <row r="160" spans="2:14" ht="13">
      <c r="B160" s="2"/>
      <c r="E160" s="5"/>
      <c r="H160" s="5"/>
      <c r="K160" s="5"/>
      <c r="N160" s="5"/>
    </row>
    <row r="161" spans="2:14" ht="13">
      <c r="B161" s="2"/>
      <c r="E161" s="5"/>
      <c r="H161" s="5"/>
      <c r="K161" s="5"/>
      <c r="N161" s="5"/>
    </row>
    <row r="162" spans="2:14" ht="13">
      <c r="B162" s="2"/>
      <c r="E162" s="5"/>
      <c r="H162" s="5"/>
      <c r="K162" s="5"/>
      <c r="N162" s="5"/>
    </row>
    <row r="163" spans="2:14" ht="13">
      <c r="B163" s="2"/>
      <c r="E163" s="5"/>
      <c r="H163" s="5"/>
      <c r="K163" s="5"/>
      <c r="N163" s="5"/>
    </row>
    <row r="164" spans="2:14" ht="13">
      <c r="B164" s="2"/>
      <c r="E164" s="5"/>
      <c r="H164" s="5"/>
      <c r="K164" s="5"/>
      <c r="N164" s="5"/>
    </row>
    <row r="165" spans="2:14" ht="13">
      <c r="B165" s="2"/>
      <c r="E165" s="5"/>
      <c r="H165" s="5"/>
      <c r="K165" s="5"/>
      <c r="N165" s="5"/>
    </row>
    <row r="166" spans="2:14" ht="13">
      <c r="B166" s="2"/>
      <c r="E166" s="5"/>
      <c r="H166" s="5"/>
      <c r="K166" s="5"/>
      <c r="N166" s="5"/>
    </row>
    <row r="167" spans="2:14" ht="13">
      <c r="B167" s="2"/>
      <c r="E167" s="5"/>
      <c r="H167" s="5"/>
      <c r="K167" s="5"/>
      <c r="N167" s="5"/>
    </row>
    <row r="168" spans="2:14" ht="13">
      <c r="B168" s="2"/>
      <c r="E168" s="5"/>
      <c r="H168" s="5"/>
      <c r="K168" s="5"/>
      <c r="N168" s="5"/>
    </row>
    <row r="169" spans="2:14" ht="13">
      <c r="B169" s="2"/>
      <c r="E169" s="5"/>
      <c r="H169" s="5"/>
      <c r="K169" s="5"/>
      <c r="N169" s="5"/>
    </row>
    <row r="170" spans="2:14" ht="13">
      <c r="B170" s="2"/>
      <c r="E170" s="5"/>
      <c r="H170" s="5"/>
      <c r="K170" s="5"/>
      <c r="N170" s="5"/>
    </row>
    <row r="171" spans="2:14" ht="13">
      <c r="B171" s="2"/>
      <c r="E171" s="5"/>
      <c r="H171" s="5"/>
      <c r="K171" s="5"/>
      <c r="N171" s="5"/>
    </row>
    <row r="172" spans="2:14" ht="13">
      <c r="B172" s="2"/>
      <c r="E172" s="5"/>
      <c r="H172" s="5"/>
      <c r="K172" s="5"/>
      <c r="N172" s="5"/>
    </row>
    <row r="173" spans="2:14" ht="13">
      <c r="B173" s="2"/>
      <c r="E173" s="5"/>
      <c r="H173" s="5"/>
      <c r="K173" s="5"/>
      <c r="N173" s="5"/>
    </row>
    <row r="174" spans="2:14" ht="13">
      <c r="B174" s="2"/>
      <c r="E174" s="5"/>
      <c r="H174" s="5"/>
      <c r="K174" s="5"/>
      <c r="N174" s="5"/>
    </row>
    <row r="175" spans="2:14" ht="13">
      <c r="B175" s="2"/>
      <c r="E175" s="5"/>
      <c r="H175" s="5"/>
      <c r="K175" s="5"/>
      <c r="N175" s="5"/>
    </row>
    <row r="176" spans="2:14" ht="13">
      <c r="B176" s="2"/>
      <c r="E176" s="5"/>
      <c r="H176" s="5"/>
      <c r="K176" s="5"/>
      <c r="N176" s="5"/>
    </row>
    <row r="177" spans="2:14" ht="13">
      <c r="B177" s="2"/>
      <c r="E177" s="5"/>
      <c r="H177" s="5"/>
      <c r="K177" s="5"/>
      <c r="N177" s="5"/>
    </row>
    <row r="178" spans="2:14" ht="13">
      <c r="B178" s="2"/>
      <c r="E178" s="5"/>
      <c r="H178" s="5"/>
      <c r="K178" s="5"/>
      <c r="N178" s="5"/>
    </row>
    <row r="179" spans="2:14" ht="13">
      <c r="B179" s="2"/>
      <c r="E179" s="5"/>
      <c r="H179" s="5"/>
      <c r="K179" s="5"/>
      <c r="N179" s="5"/>
    </row>
    <row r="180" spans="2:14" ht="13">
      <c r="B180" s="2"/>
      <c r="E180" s="5"/>
      <c r="H180" s="5"/>
      <c r="K180" s="5"/>
      <c r="N180" s="5"/>
    </row>
    <row r="181" spans="2:14" ht="13">
      <c r="B181" s="2"/>
      <c r="E181" s="5"/>
      <c r="H181" s="5"/>
      <c r="K181" s="5"/>
      <c r="N181" s="5"/>
    </row>
    <row r="182" spans="2:14" ht="13">
      <c r="B182" s="2"/>
      <c r="E182" s="5"/>
      <c r="H182" s="5"/>
      <c r="K182" s="5"/>
      <c r="N182" s="5"/>
    </row>
    <row r="183" spans="2:14" ht="13">
      <c r="B183" s="2"/>
      <c r="E183" s="5"/>
      <c r="H183" s="5"/>
      <c r="K183" s="5"/>
      <c r="N183" s="5"/>
    </row>
    <row r="184" spans="2:14" ht="13">
      <c r="B184" s="2"/>
      <c r="E184" s="5"/>
      <c r="H184" s="5"/>
      <c r="K184" s="5"/>
      <c r="N184" s="5"/>
    </row>
    <row r="185" spans="2:14" ht="13">
      <c r="B185" s="2"/>
      <c r="E185" s="5"/>
      <c r="H185" s="5"/>
      <c r="K185" s="5"/>
      <c r="N185" s="5"/>
    </row>
    <row r="186" spans="2:14" ht="13">
      <c r="B186" s="2"/>
      <c r="E186" s="5"/>
      <c r="H186" s="5"/>
      <c r="K186" s="5"/>
      <c r="N186" s="5"/>
    </row>
    <row r="187" spans="2:14" ht="13">
      <c r="B187" s="2"/>
      <c r="E187" s="5"/>
      <c r="H187" s="5"/>
      <c r="K187" s="5"/>
      <c r="N187" s="5"/>
    </row>
    <row r="188" spans="2:14" ht="13">
      <c r="B188" s="2"/>
      <c r="E188" s="5"/>
      <c r="H188" s="5"/>
      <c r="K188" s="5"/>
      <c r="N188" s="5"/>
    </row>
    <row r="189" spans="2:14" ht="13">
      <c r="B189" s="2"/>
      <c r="E189" s="5"/>
      <c r="H189" s="5"/>
      <c r="K189" s="5"/>
      <c r="N189" s="5"/>
    </row>
    <row r="190" spans="2:14" ht="13">
      <c r="B190" s="2"/>
      <c r="E190" s="5"/>
      <c r="H190" s="5"/>
      <c r="K190" s="5"/>
      <c r="N190" s="5"/>
    </row>
    <row r="191" spans="2:14" ht="13">
      <c r="B191" s="2"/>
      <c r="E191" s="5"/>
      <c r="H191" s="5"/>
      <c r="K191" s="5"/>
      <c r="N191" s="5"/>
    </row>
    <row r="192" spans="2:14" ht="13">
      <c r="B192" s="2"/>
      <c r="E192" s="5"/>
      <c r="H192" s="5"/>
      <c r="K192" s="5"/>
      <c r="N192" s="5"/>
    </row>
    <row r="193" spans="2:14" ht="13">
      <c r="B193" s="2"/>
      <c r="E193" s="5"/>
      <c r="H193" s="5"/>
      <c r="K193" s="5"/>
      <c r="N193" s="5"/>
    </row>
    <row r="194" spans="2:14" ht="13">
      <c r="B194" s="2"/>
      <c r="E194" s="5"/>
      <c r="H194" s="5"/>
      <c r="K194" s="5"/>
      <c r="N194" s="5"/>
    </row>
    <row r="195" spans="2:14" ht="13">
      <c r="B195" s="2"/>
      <c r="E195" s="5"/>
      <c r="H195" s="5"/>
      <c r="K195" s="5"/>
      <c r="N195" s="5"/>
    </row>
    <row r="196" spans="2:14" ht="13">
      <c r="B196" s="2"/>
      <c r="E196" s="5"/>
      <c r="H196" s="5"/>
      <c r="K196" s="5"/>
      <c r="N196" s="5"/>
    </row>
    <row r="197" spans="2:14" ht="13">
      <c r="B197" s="2"/>
      <c r="E197" s="5"/>
      <c r="H197" s="5"/>
      <c r="K197" s="5"/>
      <c r="N197" s="5"/>
    </row>
    <row r="198" spans="2:14" ht="13">
      <c r="B198" s="2"/>
      <c r="E198" s="5"/>
      <c r="H198" s="5"/>
      <c r="K198" s="5"/>
      <c r="N198" s="5"/>
    </row>
    <row r="199" spans="2:14" ht="13">
      <c r="B199" s="2"/>
      <c r="E199" s="5"/>
      <c r="H199" s="5"/>
      <c r="K199" s="5"/>
      <c r="N199" s="5"/>
    </row>
    <row r="200" spans="2:14" ht="13">
      <c r="B200" s="2"/>
      <c r="E200" s="5"/>
      <c r="H200" s="5"/>
      <c r="K200" s="5"/>
      <c r="N200" s="5"/>
    </row>
    <row r="201" spans="2:14" ht="13">
      <c r="B201" s="2"/>
      <c r="E201" s="5"/>
      <c r="H201" s="5"/>
      <c r="K201" s="5"/>
      <c r="N201" s="5"/>
    </row>
    <row r="202" spans="2:14" ht="13">
      <c r="B202" s="2"/>
      <c r="E202" s="5"/>
      <c r="H202" s="5"/>
      <c r="K202" s="5"/>
      <c r="N202" s="5"/>
    </row>
    <row r="203" spans="2:14" ht="13">
      <c r="B203" s="2"/>
      <c r="E203" s="5"/>
      <c r="H203" s="5"/>
      <c r="K203" s="5"/>
      <c r="N203" s="5"/>
    </row>
    <row r="204" spans="2:14" ht="13">
      <c r="B204" s="2"/>
      <c r="E204" s="5"/>
      <c r="H204" s="5"/>
      <c r="K204" s="5"/>
      <c r="N204" s="5"/>
    </row>
    <row r="205" spans="2:14" ht="13">
      <c r="B205" s="2"/>
      <c r="E205" s="5"/>
      <c r="H205" s="5"/>
      <c r="K205" s="5"/>
      <c r="N205" s="5"/>
    </row>
    <row r="206" spans="2:14" ht="13">
      <c r="B206" s="2"/>
      <c r="E206" s="5"/>
      <c r="H206" s="5"/>
      <c r="K206" s="5"/>
      <c r="N206" s="5"/>
    </row>
    <row r="207" spans="2:14" ht="13">
      <c r="B207" s="2"/>
      <c r="E207" s="5"/>
      <c r="H207" s="5"/>
      <c r="K207" s="5"/>
      <c r="N207" s="5"/>
    </row>
    <row r="208" spans="2:14" ht="13">
      <c r="B208" s="2"/>
      <c r="E208" s="5"/>
      <c r="H208" s="5"/>
      <c r="K208" s="5"/>
      <c r="N208" s="5"/>
    </row>
    <row r="209" spans="2:14" ht="13">
      <c r="B209" s="2"/>
      <c r="E209" s="5"/>
      <c r="H209" s="5"/>
      <c r="K209" s="5"/>
      <c r="N209" s="5"/>
    </row>
    <row r="210" spans="2:14" ht="13">
      <c r="B210" s="2"/>
      <c r="E210" s="5"/>
      <c r="H210" s="5"/>
      <c r="K210" s="5"/>
      <c r="N210" s="5"/>
    </row>
    <row r="211" spans="2:14" ht="13">
      <c r="B211" s="2"/>
      <c r="E211" s="5"/>
      <c r="H211" s="5"/>
      <c r="K211" s="5"/>
      <c r="N211" s="5"/>
    </row>
    <row r="212" spans="2:14" ht="13">
      <c r="B212" s="2"/>
      <c r="E212" s="5"/>
      <c r="H212" s="5"/>
      <c r="K212" s="5"/>
      <c r="N212" s="5"/>
    </row>
    <row r="213" spans="2:14" ht="13">
      <c r="B213" s="2"/>
      <c r="E213" s="5"/>
      <c r="H213" s="5"/>
      <c r="K213" s="5"/>
      <c r="N213" s="5"/>
    </row>
    <row r="214" spans="2:14" ht="13">
      <c r="B214" s="2"/>
      <c r="E214" s="5"/>
      <c r="H214" s="5"/>
      <c r="K214" s="5"/>
      <c r="N214" s="5"/>
    </row>
    <row r="215" spans="2:14" ht="13">
      <c r="B215" s="2"/>
      <c r="E215" s="5"/>
      <c r="H215" s="5"/>
      <c r="K215" s="5"/>
      <c r="N215" s="5"/>
    </row>
    <row r="216" spans="2:14" ht="13">
      <c r="B216" s="2"/>
      <c r="E216" s="5"/>
      <c r="H216" s="5"/>
      <c r="K216" s="5"/>
      <c r="N216" s="5"/>
    </row>
    <row r="217" spans="2:14" ht="13">
      <c r="B217" s="2"/>
      <c r="E217" s="5"/>
      <c r="H217" s="5"/>
      <c r="K217" s="5"/>
      <c r="N217" s="5"/>
    </row>
    <row r="218" spans="2:14" ht="13">
      <c r="B218" s="2"/>
      <c r="E218" s="5"/>
      <c r="H218" s="5"/>
      <c r="K218" s="5"/>
      <c r="N218" s="5"/>
    </row>
    <row r="219" spans="2:14" ht="13">
      <c r="B219" s="2"/>
      <c r="E219" s="5"/>
      <c r="H219" s="5"/>
      <c r="K219" s="5"/>
      <c r="N219" s="5"/>
    </row>
    <row r="220" spans="2:14" ht="13">
      <c r="B220" s="2"/>
      <c r="E220" s="5"/>
      <c r="H220" s="5"/>
      <c r="K220" s="5"/>
      <c r="N220" s="5"/>
    </row>
    <row r="221" spans="2:14" ht="13">
      <c r="B221" s="2"/>
      <c r="E221" s="5"/>
      <c r="H221" s="5"/>
      <c r="K221" s="5"/>
      <c r="N221" s="5"/>
    </row>
    <row r="222" spans="2:14" ht="13">
      <c r="B222" s="2"/>
      <c r="E222" s="5"/>
      <c r="H222" s="5"/>
      <c r="K222" s="5"/>
      <c r="N222" s="5"/>
    </row>
    <row r="223" spans="2:14" ht="13">
      <c r="B223" s="2"/>
      <c r="E223" s="5"/>
      <c r="H223" s="5"/>
      <c r="K223" s="5"/>
      <c r="N223" s="5"/>
    </row>
    <row r="224" spans="2:14" ht="13">
      <c r="B224" s="2"/>
      <c r="E224" s="5"/>
      <c r="H224" s="5"/>
      <c r="K224" s="5"/>
      <c r="N224" s="5"/>
    </row>
    <row r="225" spans="2:14" ht="13">
      <c r="B225" s="2"/>
      <c r="E225" s="5"/>
      <c r="H225" s="5"/>
      <c r="K225" s="5"/>
      <c r="N225" s="5"/>
    </row>
    <row r="226" spans="2:14" ht="13">
      <c r="B226" s="2"/>
      <c r="E226" s="5"/>
      <c r="H226" s="5"/>
      <c r="K226" s="5"/>
      <c r="N226" s="5"/>
    </row>
    <row r="227" spans="2:14" ht="13">
      <c r="B227" s="2"/>
      <c r="E227" s="5"/>
      <c r="H227" s="5"/>
      <c r="K227" s="5"/>
      <c r="N227" s="5"/>
    </row>
    <row r="228" spans="2:14" ht="13">
      <c r="B228" s="2"/>
      <c r="E228" s="5"/>
      <c r="H228" s="5"/>
      <c r="K228" s="5"/>
      <c r="N228" s="5"/>
    </row>
    <row r="229" spans="2:14" ht="13">
      <c r="B229" s="2"/>
      <c r="E229" s="5"/>
      <c r="H229" s="5"/>
      <c r="K229" s="5"/>
      <c r="N229" s="5"/>
    </row>
    <row r="230" spans="2:14" ht="13">
      <c r="B230" s="2"/>
      <c r="E230" s="5"/>
      <c r="H230" s="5"/>
      <c r="K230" s="5"/>
      <c r="N230" s="5"/>
    </row>
    <row r="231" spans="2:14" ht="13">
      <c r="B231" s="2"/>
      <c r="E231" s="5"/>
      <c r="H231" s="5"/>
      <c r="K231" s="5"/>
      <c r="N231" s="5"/>
    </row>
    <row r="232" spans="2:14" ht="13">
      <c r="B232" s="2"/>
      <c r="E232" s="5"/>
      <c r="H232" s="5"/>
      <c r="K232" s="5"/>
      <c r="N232" s="5"/>
    </row>
    <row r="233" spans="2:14" ht="13">
      <c r="B233" s="2"/>
      <c r="E233" s="5"/>
      <c r="H233" s="5"/>
      <c r="K233" s="5"/>
      <c r="N233" s="5"/>
    </row>
    <row r="234" spans="2:14" ht="13">
      <c r="B234" s="2"/>
      <c r="E234" s="5"/>
      <c r="H234" s="5"/>
      <c r="K234" s="5"/>
      <c r="N234" s="5"/>
    </row>
    <row r="235" spans="2:14" ht="13">
      <c r="B235" s="2"/>
      <c r="E235" s="5"/>
      <c r="H235" s="5"/>
      <c r="K235" s="5"/>
      <c r="N235" s="5"/>
    </row>
    <row r="236" spans="2:14" ht="13">
      <c r="B236" s="2"/>
      <c r="E236" s="5"/>
      <c r="H236" s="5"/>
      <c r="K236" s="5"/>
      <c r="N236" s="5"/>
    </row>
    <row r="237" spans="2:14" ht="13">
      <c r="B237" s="2"/>
      <c r="E237" s="5"/>
      <c r="H237" s="5"/>
      <c r="K237" s="5"/>
      <c r="N237" s="5"/>
    </row>
    <row r="238" spans="2:14" ht="13">
      <c r="B238" s="2"/>
      <c r="E238" s="5"/>
      <c r="H238" s="5"/>
      <c r="K238" s="5"/>
      <c r="N238" s="5"/>
    </row>
    <row r="239" spans="2:14" ht="13">
      <c r="B239" s="2"/>
      <c r="E239" s="5"/>
      <c r="H239" s="5"/>
      <c r="K239" s="5"/>
      <c r="N239" s="5"/>
    </row>
    <row r="240" spans="2:14" ht="13">
      <c r="B240" s="2"/>
      <c r="E240" s="5"/>
      <c r="H240" s="5"/>
      <c r="K240" s="5"/>
      <c r="N240" s="5"/>
    </row>
    <row r="241" spans="2:14" ht="13">
      <c r="B241" s="2"/>
      <c r="E241" s="5"/>
      <c r="H241" s="5"/>
      <c r="K241" s="5"/>
      <c r="N241" s="5"/>
    </row>
    <row r="242" spans="2:14" ht="13">
      <c r="B242" s="2"/>
      <c r="E242" s="5"/>
      <c r="H242" s="5"/>
      <c r="K242" s="5"/>
      <c r="N242" s="5"/>
    </row>
    <row r="243" spans="2:14" ht="13">
      <c r="B243" s="2"/>
      <c r="E243" s="5"/>
      <c r="H243" s="5"/>
      <c r="K243" s="5"/>
      <c r="N243" s="5"/>
    </row>
    <row r="244" spans="2:14" ht="13">
      <c r="B244" s="2"/>
      <c r="E244" s="5"/>
      <c r="H244" s="5"/>
      <c r="K244" s="5"/>
      <c r="N244" s="5"/>
    </row>
    <row r="245" spans="2:14" ht="13">
      <c r="B245" s="2"/>
      <c r="E245" s="5"/>
      <c r="H245" s="5"/>
      <c r="K245" s="5"/>
      <c r="N245" s="5"/>
    </row>
    <row r="246" spans="2:14" ht="13">
      <c r="B246" s="2"/>
      <c r="E246" s="5"/>
      <c r="H246" s="5"/>
      <c r="K246" s="5"/>
      <c r="N246" s="5"/>
    </row>
    <row r="247" spans="2:14" ht="13">
      <c r="B247" s="2"/>
      <c r="E247" s="5"/>
      <c r="H247" s="5"/>
      <c r="K247" s="5"/>
      <c r="N247" s="5"/>
    </row>
    <row r="248" spans="2:14" ht="13">
      <c r="B248" s="2"/>
      <c r="E248" s="5"/>
      <c r="H248" s="5"/>
      <c r="K248" s="5"/>
      <c r="N248" s="5"/>
    </row>
    <row r="249" spans="2:14" ht="13">
      <c r="B249" s="2"/>
      <c r="E249" s="5"/>
      <c r="H249" s="5"/>
      <c r="K249" s="5"/>
      <c r="N249" s="5"/>
    </row>
    <row r="250" spans="2:14" ht="13">
      <c r="B250" s="2"/>
      <c r="E250" s="5"/>
      <c r="H250" s="5"/>
      <c r="K250" s="5"/>
      <c r="N250" s="5"/>
    </row>
    <row r="251" spans="2:14" ht="13">
      <c r="B251" s="2"/>
      <c r="E251" s="5"/>
      <c r="H251" s="5"/>
      <c r="K251" s="5"/>
      <c r="N251" s="5"/>
    </row>
    <row r="252" spans="2:14" ht="13">
      <c r="B252" s="2"/>
      <c r="E252" s="5"/>
      <c r="H252" s="5"/>
      <c r="K252" s="5"/>
      <c r="N252" s="5"/>
    </row>
    <row r="253" spans="2:14" ht="13">
      <c r="B253" s="2"/>
      <c r="E253" s="5"/>
      <c r="H253" s="5"/>
      <c r="K253" s="5"/>
      <c r="N253" s="5"/>
    </row>
    <row r="254" spans="2:14" ht="13">
      <c r="B254" s="2"/>
      <c r="E254" s="5"/>
      <c r="H254" s="5"/>
      <c r="K254" s="5"/>
      <c r="N254" s="5"/>
    </row>
    <row r="255" spans="2:14" ht="13">
      <c r="B255" s="2"/>
      <c r="E255" s="5"/>
      <c r="H255" s="5"/>
      <c r="K255" s="5"/>
      <c r="N255" s="5"/>
    </row>
    <row r="256" spans="2:14" ht="13">
      <c r="B256" s="2"/>
      <c r="E256" s="5"/>
      <c r="H256" s="5"/>
      <c r="K256" s="5"/>
      <c r="N256" s="5"/>
    </row>
    <row r="257" spans="2:14" ht="13">
      <c r="B257" s="2"/>
      <c r="E257" s="5"/>
      <c r="H257" s="5"/>
      <c r="K257" s="5"/>
      <c r="N257" s="5"/>
    </row>
    <row r="258" spans="2:14" ht="13">
      <c r="B258" s="2"/>
      <c r="E258" s="5"/>
      <c r="H258" s="5"/>
      <c r="K258" s="5"/>
      <c r="N258" s="5"/>
    </row>
    <row r="259" spans="2:14" ht="13">
      <c r="B259" s="2"/>
      <c r="E259" s="5"/>
      <c r="H259" s="5"/>
      <c r="K259" s="5"/>
      <c r="N259" s="5"/>
    </row>
    <row r="260" spans="2:14" ht="13">
      <c r="B260" s="2"/>
      <c r="E260" s="5"/>
      <c r="H260" s="5"/>
      <c r="K260" s="5"/>
      <c r="N260" s="5"/>
    </row>
    <row r="261" spans="2:14" ht="13">
      <c r="B261" s="2"/>
      <c r="E261" s="5"/>
      <c r="H261" s="5"/>
      <c r="K261" s="5"/>
      <c r="N261" s="5"/>
    </row>
    <row r="262" spans="2:14" ht="13">
      <c r="B262" s="2"/>
      <c r="E262" s="5"/>
      <c r="H262" s="5"/>
      <c r="K262" s="5"/>
      <c r="N262" s="5"/>
    </row>
    <row r="263" spans="2:14" ht="13">
      <c r="B263" s="2"/>
      <c r="E263" s="5"/>
      <c r="H263" s="5"/>
      <c r="K263" s="5"/>
      <c r="N263" s="5"/>
    </row>
    <row r="264" spans="2:14" ht="13">
      <c r="B264" s="2"/>
      <c r="E264" s="5"/>
      <c r="H264" s="5"/>
      <c r="K264" s="5"/>
      <c r="N264" s="5"/>
    </row>
    <row r="265" spans="2:14" ht="13">
      <c r="B265" s="2"/>
      <c r="E265" s="5"/>
      <c r="H265" s="5"/>
      <c r="K265" s="5"/>
      <c r="N265" s="5"/>
    </row>
    <row r="266" spans="2:14" ht="13">
      <c r="B266" s="2"/>
      <c r="E266" s="5"/>
      <c r="H266" s="5"/>
      <c r="K266" s="5"/>
      <c r="N266" s="5"/>
    </row>
    <row r="267" spans="2:14" ht="13">
      <c r="B267" s="2"/>
      <c r="E267" s="5"/>
      <c r="H267" s="5"/>
      <c r="K267" s="5"/>
      <c r="N267" s="5"/>
    </row>
    <row r="268" spans="2:14" ht="13">
      <c r="B268" s="2"/>
      <c r="E268" s="5"/>
      <c r="H268" s="5"/>
      <c r="K268" s="5"/>
      <c r="N268" s="5"/>
    </row>
    <row r="269" spans="2:14" ht="13">
      <c r="B269" s="2"/>
      <c r="E269" s="5"/>
      <c r="H269" s="5"/>
      <c r="K269" s="5"/>
      <c r="N269" s="5"/>
    </row>
    <row r="270" spans="2:14" ht="13">
      <c r="B270" s="2"/>
      <c r="E270" s="5"/>
      <c r="H270" s="5"/>
      <c r="K270" s="5"/>
      <c r="N270" s="5"/>
    </row>
    <row r="271" spans="2:14" ht="13">
      <c r="B271" s="2"/>
      <c r="E271" s="5"/>
      <c r="H271" s="5"/>
      <c r="K271" s="5"/>
      <c r="N271" s="5"/>
    </row>
    <row r="272" spans="2:14" ht="13">
      <c r="B272" s="2"/>
      <c r="E272" s="5"/>
      <c r="H272" s="5"/>
      <c r="K272" s="5"/>
      <c r="N272" s="5"/>
    </row>
    <row r="273" spans="2:14" ht="13">
      <c r="B273" s="2"/>
      <c r="E273" s="5"/>
      <c r="H273" s="5"/>
      <c r="K273" s="5"/>
      <c r="N273" s="5"/>
    </row>
    <row r="274" spans="2:14" ht="13">
      <c r="B274" s="2"/>
      <c r="E274" s="5"/>
      <c r="H274" s="5"/>
      <c r="K274" s="5"/>
      <c r="N274" s="5"/>
    </row>
    <row r="275" spans="2:14" ht="13">
      <c r="B275" s="2"/>
      <c r="E275" s="5"/>
      <c r="H275" s="5"/>
      <c r="K275" s="5"/>
      <c r="N275" s="5"/>
    </row>
    <row r="276" spans="2:14" ht="13">
      <c r="B276" s="2"/>
      <c r="E276" s="5"/>
      <c r="H276" s="5"/>
      <c r="K276" s="5"/>
      <c r="N276" s="5"/>
    </row>
    <row r="277" spans="2:14" ht="13">
      <c r="B277" s="2"/>
      <c r="E277" s="5"/>
      <c r="H277" s="5"/>
      <c r="K277" s="5"/>
      <c r="N277" s="5"/>
    </row>
    <row r="278" spans="2:14" ht="13">
      <c r="B278" s="2"/>
      <c r="E278" s="5"/>
      <c r="H278" s="5"/>
      <c r="K278" s="5"/>
      <c r="N278" s="5"/>
    </row>
    <row r="279" spans="2:14" ht="13">
      <c r="B279" s="2"/>
      <c r="E279" s="5"/>
      <c r="H279" s="5"/>
      <c r="K279" s="5"/>
      <c r="N279" s="5"/>
    </row>
    <row r="280" spans="2:14" ht="13">
      <c r="B280" s="2"/>
      <c r="E280" s="5"/>
      <c r="H280" s="5"/>
      <c r="K280" s="5"/>
      <c r="N280" s="5"/>
    </row>
    <row r="281" spans="2:14" ht="13">
      <c r="B281" s="2"/>
      <c r="E281" s="5"/>
      <c r="H281" s="5"/>
      <c r="K281" s="5"/>
      <c r="N281" s="5"/>
    </row>
    <row r="282" spans="2:14" ht="13">
      <c r="B282" s="2"/>
      <c r="E282" s="5"/>
      <c r="H282" s="5"/>
      <c r="K282" s="5"/>
      <c r="N282" s="5"/>
    </row>
    <row r="283" spans="2:14" ht="13">
      <c r="B283" s="2"/>
      <c r="E283" s="5"/>
      <c r="H283" s="5"/>
      <c r="K283" s="5"/>
      <c r="N283" s="5"/>
    </row>
    <row r="284" spans="2:14" ht="13">
      <c r="B284" s="2"/>
      <c r="E284" s="5"/>
      <c r="H284" s="5"/>
      <c r="K284" s="5"/>
      <c r="N284" s="5"/>
    </row>
    <row r="285" spans="2:14" ht="13">
      <c r="B285" s="2"/>
      <c r="E285" s="5"/>
      <c r="H285" s="5"/>
      <c r="K285" s="5"/>
      <c r="N285" s="5"/>
    </row>
    <row r="286" spans="2:14" ht="13">
      <c r="B286" s="2"/>
      <c r="E286" s="5"/>
      <c r="H286" s="5"/>
      <c r="K286" s="5"/>
      <c r="N286" s="5"/>
    </row>
    <row r="287" spans="2:14" ht="13">
      <c r="B287" s="2"/>
      <c r="E287" s="5"/>
      <c r="H287" s="5"/>
      <c r="K287" s="5"/>
      <c r="N287" s="5"/>
    </row>
    <row r="288" spans="2:14" ht="13">
      <c r="B288" s="2"/>
      <c r="E288" s="5"/>
      <c r="H288" s="5"/>
      <c r="K288" s="5"/>
      <c r="N288" s="5"/>
    </row>
    <row r="289" spans="2:14" ht="13">
      <c r="B289" s="2"/>
      <c r="E289" s="5"/>
      <c r="H289" s="5"/>
      <c r="K289" s="5"/>
      <c r="N289" s="5"/>
    </row>
    <row r="290" spans="2:14" ht="13">
      <c r="B290" s="2"/>
      <c r="E290" s="5"/>
      <c r="H290" s="5"/>
      <c r="K290" s="5"/>
      <c r="N290" s="5"/>
    </row>
    <row r="291" spans="2:14" ht="13">
      <c r="B291" s="2"/>
      <c r="E291" s="5"/>
      <c r="H291" s="5"/>
      <c r="K291" s="5"/>
      <c r="N291" s="5"/>
    </row>
    <row r="292" spans="2:14" ht="13">
      <c r="B292" s="2"/>
      <c r="E292" s="5"/>
      <c r="H292" s="5"/>
      <c r="K292" s="5"/>
      <c r="N292" s="5"/>
    </row>
    <row r="293" spans="2:14" ht="13">
      <c r="B293" s="2"/>
      <c r="E293" s="5"/>
      <c r="H293" s="5"/>
      <c r="K293" s="5"/>
      <c r="N293" s="5"/>
    </row>
    <row r="294" spans="2:14" ht="13">
      <c r="B294" s="2"/>
      <c r="E294" s="5"/>
      <c r="H294" s="5"/>
      <c r="K294" s="5"/>
      <c r="N294" s="5"/>
    </row>
    <row r="295" spans="2:14" ht="13">
      <c r="B295" s="2"/>
      <c r="E295" s="5"/>
      <c r="H295" s="5"/>
      <c r="K295" s="5"/>
      <c r="N295" s="5"/>
    </row>
    <row r="296" spans="2:14" ht="13">
      <c r="B296" s="2"/>
      <c r="E296" s="5"/>
      <c r="H296" s="5"/>
      <c r="K296" s="5"/>
      <c r="N296" s="5"/>
    </row>
    <row r="297" spans="2:14" ht="13">
      <c r="B297" s="2"/>
      <c r="E297" s="5"/>
      <c r="H297" s="5"/>
      <c r="K297" s="5"/>
      <c r="N297" s="5"/>
    </row>
    <row r="298" spans="2:14" ht="13">
      <c r="B298" s="2"/>
      <c r="E298" s="5"/>
      <c r="H298" s="5"/>
      <c r="K298" s="5"/>
      <c r="N298" s="5"/>
    </row>
    <row r="299" spans="2:14" ht="13">
      <c r="B299" s="2"/>
      <c r="E299" s="5"/>
      <c r="H299" s="5"/>
      <c r="K299" s="5"/>
      <c r="N299" s="5"/>
    </row>
    <row r="300" spans="2:14" ht="13">
      <c r="B300" s="2"/>
      <c r="E300" s="5"/>
      <c r="H300" s="5"/>
      <c r="K300" s="5"/>
      <c r="N300" s="5"/>
    </row>
    <row r="301" spans="2:14" ht="13">
      <c r="B301" s="2"/>
      <c r="E301" s="5"/>
      <c r="H301" s="5"/>
      <c r="K301" s="5"/>
      <c r="N301" s="5"/>
    </row>
    <row r="302" spans="2:14" ht="13">
      <c r="B302" s="2"/>
      <c r="E302" s="5"/>
      <c r="H302" s="5"/>
      <c r="K302" s="5"/>
      <c r="N302" s="5"/>
    </row>
    <row r="303" spans="2:14" ht="13">
      <c r="B303" s="2"/>
      <c r="E303" s="5"/>
      <c r="H303" s="5"/>
      <c r="K303" s="5"/>
      <c r="N303" s="5"/>
    </row>
    <row r="304" spans="2:14" ht="13">
      <c r="B304" s="2"/>
      <c r="E304" s="5"/>
      <c r="H304" s="5"/>
      <c r="K304" s="5"/>
      <c r="N304" s="5"/>
    </row>
    <row r="305" spans="2:14" ht="13">
      <c r="B305" s="2"/>
      <c r="E305" s="5"/>
      <c r="H305" s="5"/>
      <c r="K305" s="5"/>
      <c r="N305" s="5"/>
    </row>
    <row r="306" spans="2:14" ht="13">
      <c r="B306" s="2"/>
      <c r="E306" s="5"/>
      <c r="H306" s="5"/>
      <c r="K306" s="5"/>
      <c r="N306" s="5"/>
    </row>
    <row r="307" spans="2:14" ht="13">
      <c r="B307" s="2"/>
      <c r="E307" s="5"/>
      <c r="H307" s="5"/>
      <c r="K307" s="5"/>
      <c r="N307" s="5"/>
    </row>
    <row r="308" spans="2:14" ht="13">
      <c r="B308" s="2"/>
      <c r="E308" s="5"/>
      <c r="H308" s="5"/>
      <c r="K308" s="5"/>
      <c r="N308" s="5"/>
    </row>
    <row r="309" spans="2:14" ht="13">
      <c r="B309" s="2"/>
      <c r="E309" s="5"/>
      <c r="H309" s="5"/>
      <c r="K309" s="5"/>
      <c r="N309" s="5"/>
    </row>
    <row r="310" spans="2:14" ht="13">
      <c r="B310" s="2"/>
      <c r="E310" s="5"/>
      <c r="H310" s="5"/>
      <c r="K310" s="5"/>
      <c r="N310" s="5"/>
    </row>
    <row r="311" spans="2:14" ht="13">
      <c r="B311" s="2"/>
      <c r="E311" s="5"/>
      <c r="H311" s="5"/>
      <c r="K311" s="5"/>
      <c r="N311" s="5"/>
    </row>
    <row r="312" spans="2:14" ht="13">
      <c r="B312" s="2"/>
      <c r="E312" s="5"/>
      <c r="H312" s="5"/>
      <c r="K312" s="5"/>
      <c r="N312" s="5"/>
    </row>
    <row r="313" spans="2:14" ht="13">
      <c r="B313" s="2"/>
      <c r="E313" s="5"/>
      <c r="H313" s="5"/>
      <c r="K313" s="5"/>
      <c r="N313" s="5"/>
    </row>
    <row r="314" spans="2:14" ht="13">
      <c r="B314" s="2"/>
      <c r="E314" s="5"/>
      <c r="H314" s="5"/>
      <c r="K314" s="5"/>
      <c r="N314" s="5"/>
    </row>
    <row r="315" spans="2:14" ht="13">
      <c r="B315" s="2"/>
      <c r="E315" s="5"/>
      <c r="H315" s="5"/>
      <c r="K315" s="5"/>
      <c r="N315" s="5"/>
    </row>
    <row r="316" spans="2:14" ht="13">
      <c r="B316" s="2"/>
      <c r="E316" s="5"/>
      <c r="H316" s="5"/>
      <c r="K316" s="5"/>
      <c r="N316" s="5"/>
    </row>
    <row r="317" spans="2:14" ht="13">
      <c r="B317" s="2"/>
      <c r="E317" s="5"/>
      <c r="H317" s="5"/>
      <c r="K317" s="5"/>
      <c r="N317" s="5"/>
    </row>
    <row r="318" spans="2:14" ht="13">
      <c r="B318" s="2"/>
      <c r="E318" s="5"/>
      <c r="H318" s="5"/>
      <c r="K318" s="5"/>
      <c r="N318" s="5"/>
    </row>
    <row r="319" spans="2:14" ht="13">
      <c r="B319" s="2"/>
      <c r="E319" s="5"/>
      <c r="H319" s="5"/>
      <c r="K319" s="5"/>
      <c r="N319" s="5"/>
    </row>
    <row r="320" spans="2:14" ht="13">
      <c r="B320" s="2"/>
      <c r="E320" s="5"/>
      <c r="H320" s="5"/>
      <c r="K320" s="5"/>
      <c r="N320" s="5"/>
    </row>
    <row r="321" spans="2:14" ht="13">
      <c r="B321" s="2"/>
      <c r="E321" s="5"/>
      <c r="H321" s="5"/>
      <c r="K321" s="5"/>
      <c r="N321" s="5"/>
    </row>
    <row r="322" spans="2:14" ht="13">
      <c r="B322" s="2"/>
      <c r="E322" s="5"/>
      <c r="H322" s="5"/>
      <c r="K322" s="5"/>
      <c r="N322" s="5"/>
    </row>
    <row r="323" spans="2:14" ht="13">
      <c r="B323" s="2"/>
      <c r="E323" s="5"/>
      <c r="H323" s="5"/>
      <c r="K323" s="5"/>
      <c r="N323" s="5"/>
    </row>
    <row r="324" spans="2:14" ht="13">
      <c r="B324" s="2"/>
      <c r="E324" s="5"/>
      <c r="H324" s="5"/>
      <c r="K324" s="5"/>
      <c r="N324" s="5"/>
    </row>
    <row r="325" spans="2:14" ht="13">
      <c r="B325" s="2"/>
      <c r="E325" s="5"/>
      <c r="H325" s="5"/>
      <c r="K325" s="5"/>
      <c r="N325" s="5"/>
    </row>
    <row r="326" spans="2:14" ht="13">
      <c r="B326" s="2"/>
      <c r="E326" s="5"/>
      <c r="H326" s="5"/>
      <c r="K326" s="5"/>
      <c r="N326" s="5"/>
    </row>
    <row r="327" spans="2:14" ht="13">
      <c r="B327" s="2"/>
      <c r="E327" s="5"/>
      <c r="H327" s="5"/>
      <c r="K327" s="5"/>
      <c r="N327" s="5"/>
    </row>
    <row r="328" spans="2:14" ht="13">
      <c r="B328" s="2"/>
      <c r="E328" s="5"/>
      <c r="H328" s="5"/>
      <c r="K328" s="5"/>
      <c r="N328" s="5"/>
    </row>
    <row r="329" spans="2:14" ht="13">
      <c r="B329" s="2"/>
      <c r="E329" s="5"/>
      <c r="H329" s="5"/>
      <c r="K329" s="5"/>
      <c r="N329" s="5"/>
    </row>
    <row r="330" spans="2:14" ht="13">
      <c r="B330" s="2"/>
      <c r="E330" s="5"/>
      <c r="H330" s="5"/>
      <c r="K330" s="5"/>
      <c r="N330" s="5"/>
    </row>
    <row r="331" spans="2:14" ht="13">
      <c r="B331" s="2"/>
      <c r="E331" s="5"/>
      <c r="H331" s="5"/>
      <c r="K331" s="5"/>
      <c r="N331" s="5"/>
    </row>
    <row r="332" spans="2:14" ht="13">
      <c r="B332" s="2"/>
      <c r="E332" s="5"/>
      <c r="H332" s="5"/>
      <c r="K332" s="5"/>
      <c r="N332" s="5"/>
    </row>
    <row r="333" spans="2:14" ht="13">
      <c r="B333" s="2"/>
      <c r="E333" s="5"/>
      <c r="H333" s="5"/>
      <c r="K333" s="5"/>
      <c r="N333" s="5"/>
    </row>
    <row r="334" spans="2:14" ht="13">
      <c r="B334" s="2"/>
      <c r="E334" s="5"/>
      <c r="H334" s="5"/>
      <c r="K334" s="5"/>
      <c r="N334" s="5"/>
    </row>
    <row r="335" spans="2:14" ht="13">
      <c r="B335" s="2"/>
      <c r="E335" s="5"/>
      <c r="H335" s="5"/>
      <c r="K335" s="5"/>
      <c r="N335" s="5"/>
    </row>
    <row r="336" spans="2:14" ht="13">
      <c r="B336" s="2"/>
      <c r="E336" s="5"/>
      <c r="H336" s="5"/>
      <c r="K336" s="5"/>
      <c r="N336" s="5"/>
    </row>
    <row r="337" spans="2:14" ht="13">
      <c r="B337" s="2"/>
      <c r="E337" s="5"/>
      <c r="H337" s="5"/>
      <c r="K337" s="5"/>
      <c r="N337" s="5"/>
    </row>
    <row r="338" spans="2:14" ht="13">
      <c r="B338" s="2"/>
      <c r="E338" s="5"/>
      <c r="H338" s="5"/>
      <c r="K338" s="5"/>
      <c r="N338" s="5"/>
    </row>
    <row r="339" spans="2:14" ht="13">
      <c r="B339" s="2"/>
      <c r="E339" s="5"/>
      <c r="H339" s="5"/>
      <c r="K339" s="5"/>
      <c r="N339" s="5"/>
    </row>
    <row r="340" spans="2:14" ht="13">
      <c r="B340" s="2"/>
      <c r="E340" s="5"/>
      <c r="H340" s="5"/>
      <c r="K340" s="5"/>
      <c r="N340" s="5"/>
    </row>
    <row r="341" spans="2:14" ht="13">
      <c r="B341" s="2"/>
      <c r="E341" s="5"/>
      <c r="H341" s="5"/>
      <c r="K341" s="5"/>
      <c r="N341" s="5"/>
    </row>
    <row r="342" spans="2:14" ht="13">
      <c r="B342" s="2"/>
      <c r="E342" s="5"/>
      <c r="H342" s="5"/>
      <c r="K342" s="5"/>
      <c r="N342" s="5"/>
    </row>
    <row r="343" spans="2:14" ht="13">
      <c r="B343" s="2"/>
      <c r="E343" s="5"/>
      <c r="H343" s="5"/>
      <c r="K343" s="5"/>
      <c r="N343" s="5"/>
    </row>
    <row r="344" spans="2:14" ht="13">
      <c r="B344" s="2"/>
      <c r="E344" s="5"/>
      <c r="H344" s="5"/>
      <c r="K344" s="5"/>
      <c r="N344" s="5"/>
    </row>
    <row r="345" spans="2:14" ht="13">
      <c r="B345" s="2"/>
      <c r="E345" s="5"/>
      <c r="H345" s="5"/>
      <c r="K345" s="5"/>
      <c r="N345" s="5"/>
    </row>
    <row r="346" spans="2:14" ht="13">
      <c r="B346" s="2"/>
      <c r="E346" s="5"/>
      <c r="H346" s="5"/>
      <c r="K346" s="5"/>
      <c r="N346" s="5"/>
    </row>
    <row r="347" spans="2:14" ht="13">
      <c r="B347" s="2"/>
      <c r="E347" s="5"/>
      <c r="H347" s="5"/>
      <c r="K347" s="5"/>
      <c r="N347" s="5"/>
    </row>
    <row r="348" spans="2:14" ht="13">
      <c r="B348" s="2"/>
      <c r="E348" s="5"/>
      <c r="H348" s="5"/>
      <c r="K348" s="5"/>
      <c r="N348" s="5"/>
    </row>
    <row r="349" spans="2:14" ht="13">
      <c r="B349" s="2"/>
      <c r="E349" s="5"/>
      <c r="H349" s="5"/>
      <c r="K349" s="5"/>
      <c r="N349" s="5"/>
    </row>
    <row r="350" spans="2:14" ht="13">
      <c r="B350" s="2"/>
      <c r="E350" s="5"/>
      <c r="H350" s="5"/>
      <c r="K350" s="5"/>
      <c r="N350" s="5"/>
    </row>
    <row r="351" spans="2:14" ht="13">
      <c r="B351" s="2"/>
      <c r="E351" s="5"/>
      <c r="H351" s="5"/>
      <c r="K351" s="5"/>
      <c r="N351" s="5"/>
    </row>
    <row r="352" spans="2:14" ht="13">
      <c r="B352" s="2"/>
      <c r="E352" s="5"/>
      <c r="H352" s="5"/>
      <c r="K352" s="5"/>
      <c r="N352" s="5"/>
    </row>
    <row r="353" spans="2:14" ht="13">
      <c r="B353" s="2"/>
      <c r="E353" s="5"/>
      <c r="H353" s="5"/>
      <c r="K353" s="5"/>
      <c r="N353" s="5"/>
    </row>
    <row r="354" spans="2:14" ht="13">
      <c r="B354" s="2"/>
      <c r="E354" s="5"/>
      <c r="H354" s="5"/>
      <c r="K354" s="5"/>
      <c r="N354" s="5"/>
    </row>
    <row r="355" spans="2:14" ht="13">
      <c r="B355" s="2"/>
      <c r="E355" s="5"/>
      <c r="H355" s="5"/>
      <c r="K355" s="5"/>
      <c r="N355" s="5"/>
    </row>
    <row r="356" spans="2:14" ht="13">
      <c r="B356" s="2"/>
      <c r="E356" s="5"/>
      <c r="H356" s="5"/>
      <c r="K356" s="5"/>
      <c r="N356" s="5"/>
    </row>
    <row r="357" spans="2:14" ht="13">
      <c r="B357" s="2"/>
      <c r="E357" s="5"/>
      <c r="H357" s="5"/>
      <c r="K357" s="5"/>
      <c r="N357" s="5"/>
    </row>
    <row r="358" spans="2:14" ht="13">
      <c r="B358" s="2"/>
      <c r="E358" s="5"/>
      <c r="H358" s="5"/>
      <c r="K358" s="5"/>
      <c r="N358" s="5"/>
    </row>
    <row r="359" spans="2:14" ht="13">
      <c r="B359" s="2"/>
      <c r="E359" s="5"/>
      <c r="H359" s="5"/>
      <c r="K359" s="5"/>
      <c r="N359" s="5"/>
    </row>
    <row r="360" spans="2:14" ht="13">
      <c r="B360" s="2"/>
      <c r="E360" s="5"/>
      <c r="H360" s="5"/>
      <c r="K360" s="5"/>
      <c r="N360" s="5"/>
    </row>
    <row r="361" spans="2:14" ht="13">
      <c r="B361" s="2"/>
      <c r="E361" s="5"/>
      <c r="H361" s="5"/>
      <c r="K361" s="5"/>
      <c r="N361" s="5"/>
    </row>
    <row r="362" spans="2:14" ht="13">
      <c r="B362" s="2"/>
      <c r="E362" s="5"/>
      <c r="H362" s="5"/>
      <c r="K362" s="5"/>
      <c r="N362" s="5"/>
    </row>
    <row r="363" spans="2:14" ht="13">
      <c r="B363" s="2"/>
      <c r="E363" s="5"/>
      <c r="H363" s="5"/>
      <c r="K363" s="5"/>
      <c r="N363" s="5"/>
    </row>
    <row r="364" spans="2:14" ht="13">
      <c r="B364" s="2"/>
      <c r="E364" s="5"/>
      <c r="H364" s="5"/>
      <c r="K364" s="5"/>
      <c r="N364" s="5"/>
    </row>
    <row r="365" spans="2:14" ht="13">
      <c r="B365" s="2"/>
      <c r="E365" s="5"/>
      <c r="H365" s="5"/>
      <c r="K365" s="5"/>
      <c r="N365" s="5"/>
    </row>
    <row r="366" spans="2:14" ht="13">
      <c r="B366" s="2"/>
      <c r="E366" s="5"/>
      <c r="H366" s="5"/>
      <c r="K366" s="5"/>
      <c r="N366" s="5"/>
    </row>
    <row r="367" spans="2:14" ht="13">
      <c r="B367" s="2"/>
      <c r="E367" s="5"/>
      <c r="H367" s="5"/>
      <c r="K367" s="5"/>
      <c r="N367" s="5"/>
    </row>
    <row r="368" spans="2:14" ht="13">
      <c r="B368" s="2"/>
      <c r="E368" s="5"/>
      <c r="H368" s="5"/>
      <c r="K368" s="5"/>
      <c r="N368" s="5"/>
    </row>
    <row r="369" spans="2:14" ht="13">
      <c r="B369" s="2"/>
      <c r="E369" s="5"/>
      <c r="H369" s="5"/>
      <c r="K369" s="5"/>
      <c r="N369" s="5"/>
    </row>
    <row r="370" spans="2:14" ht="13">
      <c r="B370" s="2"/>
      <c r="E370" s="5"/>
      <c r="H370" s="5"/>
      <c r="K370" s="5"/>
      <c r="N370" s="5"/>
    </row>
    <row r="371" spans="2:14" ht="13">
      <c r="B371" s="2"/>
      <c r="E371" s="5"/>
      <c r="H371" s="5"/>
      <c r="K371" s="5"/>
      <c r="N371" s="5"/>
    </row>
    <row r="372" spans="2:14" ht="13">
      <c r="B372" s="2"/>
      <c r="E372" s="5"/>
      <c r="H372" s="5"/>
      <c r="K372" s="5"/>
      <c r="N372" s="5"/>
    </row>
    <row r="373" spans="2:14" ht="13">
      <c r="B373" s="2"/>
      <c r="E373" s="5"/>
      <c r="H373" s="5"/>
      <c r="K373" s="5"/>
      <c r="N373" s="5"/>
    </row>
    <row r="374" spans="2:14" ht="13">
      <c r="B374" s="2"/>
      <c r="E374" s="5"/>
      <c r="H374" s="5"/>
      <c r="K374" s="5"/>
      <c r="N374" s="5"/>
    </row>
    <row r="375" spans="2:14" ht="13">
      <c r="B375" s="2"/>
      <c r="E375" s="5"/>
      <c r="H375" s="5"/>
      <c r="K375" s="5"/>
      <c r="N375" s="5"/>
    </row>
    <row r="376" spans="2:14" ht="13">
      <c r="B376" s="2"/>
      <c r="E376" s="5"/>
      <c r="H376" s="5"/>
      <c r="K376" s="5"/>
      <c r="N376" s="5"/>
    </row>
    <row r="377" spans="2:14" ht="13">
      <c r="B377" s="2"/>
      <c r="E377" s="5"/>
      <c r="H377" s="5"/>
      <c r="K377" s="5"/>
      <c r="N377" s="5"/>
    </row>
    <row r="378" spans="2:14" ht="13">
      <c r="B378" s="2"/>
      <c r="E378" s="5"/>
      <c r="H378" s="5"/>
      <c r="K378" s="5"/>
      <c r="N378" s="5"/>
    </row>
    <row r="379" spans="2:14" ht="13">
      <c r="B379" s="2"/>
      <c r="E379" s="5"/>
      <c r="H379" s="5"/>
      <c r="K379" s="5"/>
      <c r="N379" s="5"/>
    </row>
    <row r="380" spans="2:14" ht="13">
      <c r="B380" s="2"/>
      <c r="E380" s="5"/>
      <c r="H380" s="5"/>
      <c r="K380" s="5"/>
      <c r="N380" s="5"/>
    </row>
    <row r="381" spans="2:14" ht="13">
      <c r="B381" s="2"/>
      <c r="E381" s="5"/>
      <c r="H381" s="5"/>
      <c r="K381" s="5"/>
      <c r="N381" s="5"/>
    </row>
    <row r="382" spans="2:14" ht="13">
      <c r="B382" s="2"/>
      <c r="E382" s="5"/>
      <c r="H382" s="5"/>
      <c r="K382" s="5"/>
      <c r="N382" s="5"/>
    </row>
    <row r="383" spans="2:14" ht="13">
      <c r="B383" s="2"/>
      <c r="E383" s="5"/>
      <c r="H383" s="5"/>
      <c r="K383" s="5"/>
      <c r="N383" s="5"/>
    </row>
    <row r="384" spans="2:14" ht="13">
      <c r="B384" s="2"/>
      <c r="E384" s="5"/>
      <c r="H384" s="5"/>
      <c r="K384" s="5"/>
      <c r="N384" s="5"/>
    </row>
    <row r="385" spans="2:14" ht="13">
      <c r="B385" s="2"/>
      <c r="E385" s="5"/>
      <c r="H385" s="5"/>
      <c r="K385" s="5"/>
      <c r="N385" s="5"/>
    </row>
    <row r="386" spans="2:14" ht="13">
      <c r="B386" s="2"/>
      <c r="E386" s="5"/>
      <c r="H386" s="5"/>
      <c r="K386" s="5"/>
      <c r="N386" s="5"/>
    </row>
    <row r="387" spans="2:14" ht="13">
      <c r="B387" s="2"/>
      <c r="E387" s="5"/>
      <c r="H387" s="5"/>
      <c r="K387" s="5"/>
      <c r="N387" s="5"/>
    </row>
    <row r="388" spans="2:14" ht="13">
      <c r="B388" s="2"/>
      <c r="E388" s="5"/>
      <c r="H388" s="5"/>
      <c r="K388" s="5"/>
      <c r="N388" s="5"/>
    </row>
    <row r="389" spans="2:14" ht="13">
      <c r="B389" s="2"/>
      <c r="E389" s="5"/>
      <c r="H389" s="5"/>
      <c r="K389" s="5"/>
      <c r="N389" s="5"/>
    </row>
    <row r="390" spans="2:14" ht="13">
      <c r="B390" s="2"/>
      <c r="E390" s="5"/>
      <c r="H390" s="5"/>
      <c r="K390" s="5"/>
      <c r="N390" s="5"/>
    </row>
    <row r="391" spans="2:14" ht="13">
      <c r="B391" s="2"/>
      <c r="E391" s="5"/>
      <c r="H391" s="5"/>
      <c r="K391" s="5"/>
      <c r="N391" s="5"/>
    </row>
    <row r="392" spans="2:14" ht="13">
      <c r="B392" s="2"/>
      <c r="E392" s="5"/>
      <c r="H392" s="5"/>
      <c r="K392" s="5"/>
      <c r="N392" s="5"/>
    </row>
    <row r="393" spans="2:14" ht="13">
      <c r="B393" s="2"/>
      <c r="E393" s="5"/>
      <c r="H393" s="5"/>
      <c r="K393" s="5"/>
      <c r="N393" s="5"/>
    </row>
    <row r="394" spans="2:14" ht="13">
      <c r="B394" s="2"/>
      <c r="E394" s="5"/>
      <c r="H394" s="5"/>
      <c r="K394" s="5"/>
      <c r="N394" s="5"/>
    </row>
    <row r="395" spans="2:14" ht="13">
      <c r="B395" s="2"/>
      <c r="E395" s="5"/>
      <c r="H395" s="5"/>
      <c r="K395" s="5"/>
      <c r="N395" s="5"/>
    </row>
    <row r="396" spans="2:14" ht="13">
      <c r="B396" s="2"/>
      <c r="E396" s="5"/>
      <c r="H396" s="5"/>
      <c r="K396" s="5"/>
      <c r="N396" s="5"/>
    </row>
    <row r="397" spans="2:14" ht="13">
      <c r="B397" s="2"/>
      <c r="E397" s="5"/>
      <c r="H397" s="5"/>
      <c r="K397" s="5"/>
      <c r="N397" s="5"/>
    </row>
    <row r="398" spans="2:14" ht="13">
      <c r="B398" s="2"/>
      <c r="E398" s="5"/>
      <c r="H398" s="5"/>
      <c r="K398" s="5"/>
      <c r="N398" s="5"/>
    </row>
    <row r="399" spans="2:14" ht="13">
      <c r="B399" s="2"/>
      <c r="E399" s="5"/>
      <c r="H399" s="5"/>
      <c r="K399" s="5"/>
      <c r="N399" s="5"/>
    </row>
    <row r="400" spans="2:14" ht="13">
      <c r="B400" s="2"/>
      <c r="E400" s="5"/>
      <c r="H400" s="5"/>
      <c r="K400" s="5"/>
      <c r="N400" s="5"/>
    </row>
    <row r="401" spans="2:14" ht="13">
      <c r="B401" s="2"/>
      <c r="E401" s="5"/>
      <c r="H401" s="5"/>
      <c r="K401" s="5"/>
      <c r="N401" s="5"/>
    </row>
    <row r="402" spans="2:14" ht="13">
      <c r="B402" s="2"/>
      <c r="E402" s="5"/>
      <c r="H402" s="5"/>
      <c r="K402" s="5"/>
      <c r="N402" s="5"/>
    </row>
    <row r="403" spans="2:14" ht="13">
      <c r="B403" s="2"/>
      <c r="E403" s="5"/>
      <c r="H403" s="5"/>
      <c r="K403" s="5"/>
      <c r="N403" s="5"/>
    </row>
    <row r="404" spans="2:14" ht="13">
      <c r="B404" s="2"/>
      <c r="E404" s="5"/>
      <c r="H404" s="5"/>
      <c r="K404" s="5"/>
      <c r="N404" s="5"/>
    </row>
    <row r="405" spans="2:14" ht="13">
      <c r="B405" s="2"/>
      <c r="E405" s="5"/>
      <c r="H405" s="5"/>
      <c r="K405" s="5"/>
      <c r="N405" s="5"/>
    </row>
    <row r="406" spans="2:14" ht="13">
      <c r="B406" s="2"/>
      <c r="E406" s="5"/>
      <c r="H406" s="5"/>
      <c r="K406" s="5"/>
      <c r="N406" s="5"/>
    </row>
    <row r="407" spans="2:14" ht="13">
      <c r="B407" s="2"/>
      <c r="E407" s="5"/>
      <c r="H407" s="5"/>
      <c r="K407" s="5"/>
      <c r="N407" s="5"/>
    </row>
    <row r="408" spans="2:14" ht="13">
      <c r="B408" s="2"/>
      <c r="E408" s="5"/>
      <c r="H408" s="5"/>
      <c r="K408" s="5"/>
      <c r="N408" s="5"/>
    </row>
    <row r="409" spans="2:14" ht="13">
      <c r="B409" s="2"/>
      <c r="E409" s="5"/>
      <c r="H409" s="5"/>
      <c r="K409" s="5"/>
      <c r="N409" s="5"/>
    </row>
    <row r="410" spans="2:14" ht="13">
      <c r="B410" s="2"/>
      <c r="E410" s="5"/>
      <c r="H410" s="5"/>
      <c r="K410" s="5"/>
      <c r="N410" s="5"/>
    </row>
    <row r="411" spans="2:14" ht="13">
      <c r="B411" s="2"/>
      <c r="E411" s="5"/>
      <c r="H411" s="5"/>
      <c r="K411" s="5"/>
      <c r="N411" s="5"/>
    </row>
    <row r="412" spans="2:14" ht="13">
      <c r="B412" s="2"/>
      <c r="E412" s="5"/>
      <c r="H412" s="5"/>
      <c r="K412" s="5"/>
      <c r="N412" s="5"/>
    </row>
    <row r="413" spans="2:14" ht="13">
      <c r="B413" s="2"/>
      <c r="E413" s="5"/>
      <c r="H413" s="5"/>
      <c r="K413" s="5"/>
      <c r="N413" s="5"/>
    </row>
    <row r="414" spans="2:14" ht="13">
      <c r="B414" s="2"/>
      <c r="E414" s="5"/>
      <c r="H414" s="5"/>
      <c r="K414" s="5"/>
      <c r="N414" s="5"/>
    </row>
    <row r="415" spans="2:14" ht="13">
      <c r="B415" s="2"/>
      <c r="E415" s="5"/>
      <c r="H415" s="5"/>
      <c r="K415" s="5"/>
      <c r="N415" s="5"/>
    </row>
    <row r="416" spans="2:14" ht="13">
      <c r="B416" s="2"/>
      <c r="E416" s="5"/>
      <c r="H416" s="5"/>
      <c r="K416" s="5"/>
      <c r="N416" s="5"/>
    </row>
    <row r="417" spans="2:14" ht="13">
      <c r="B417" s="2"/>
      <c r="E417" s="5"/>
      <c r="H417" s="5"/>
      <c r="K417" s="5"/>
      <c r="N417" s="5"/>
    </row>
    <row r="418" spans="2:14" ht="13">
      <c r="B418" s="2"/>
      <c r="E418" s="5"/>
      <c r="H418" s="5"/>
      <c r="K418" s="5"/>
      <c r="N418" s="5"/>
    </row>
    <row r="419" spans="2:14" ht="13">
      <c r="B419" s="2"/>
      <c r="E419" s="5"/>
      <c r="H419" s="5"/>
      <c r="K419" s="5"/>
      <c r="N419" s="5"/>
    </row>
    <row r="420" spans="2:14" ht="13">
      <c r="B420" s="2"/>
      <c r="E420" s="5"/>
      <c r="H420" s="5"/>
      <c r="K420" s="5"/>
      <c r="N420" s="5"/>
    </row>
    <row r="421" spans="2:14" ht="13">
      <c r="B421" s="2"/>
      <c r="E421" s="5"/>
      <c r="H421" s="5"/>
      <c r="K421" s="5"/>
      <c r="N421" s="5"/>
    </row>
    <row r="422" spans="2:14" ht="13">
      <c r="B422" s="2"/>
      <c r="E422" s="5"/>
      <c r="H422" s="5"/>
      <c r="K422" s="5"/>
      <c r="N422" s="5"/>
    </row>
    <row r="423" spans="2:14" ht="13">
      <c r="B423" s="2"/>
      <c r="E423" s="5"/>
      <c r="H423" s="5"/>
      <c r="K423" s="5"/>
      <c r="N423" s="5"/>
    </row>
    <row r="424" spans="2:14" ht="13">
      <c r="B424" s="2"/>
      <c r="E424" s="5"/>
      <c r="H424" s="5"/>
      <c r="K424" s="5"/>
      <c r="N424" s="5"/>
    </row>
    <row r="425" spans="2:14" ht="13">
      <c r="B425" s="2"/>
      <c r="E425" s="5"/>
      <c r="H425" s="5"/>
      <c r="K425" s="5"/>
      <c r="N425" s="5"/>
    </row>
    <row r="426" spans="2:14" ht="13">
      <c r="B426" s="2"/>
      <c r="E426" s="5"/>
      <c r="H426" s="5"/>
      <c r="K426" s="5"/>
      <c r="N426" s="5"/>
    </row>
    <row r="427" spans="2:14" ht="13">
      <c r="B427" s="2"/>
      <c r="E427" s="5"/>
      <c r="H427" s="5"/>
      <c r="K427" s="5"/>
      <c r="N427" s="5"/>
    </row>
    <row r="428" spans="2:14" ht="13">
      <c r="B428" s="2"/>
      <c r="E428" s="5"/>
      <c r="H428" s="5"/>
      <c r="K428" s="5"/>
      <c r="N428" s="5"/>
    </row>
    <row r="429" spans="2:14" ht="13">
      <c r="B429" s="2"/>
      <c r="E429" s="5"/>
      <c r="H429" s="5"/>
      <c r="K429" s="5"/>
      <c r="N429" s="5"/>
    </row>
    <row r="430" spans="2:14" ht="13">
      <c r="B430" s="2"/>
      <c r="E430" s="5"/>
      <c r="H430" s="5"/>
      <c r="K430" s="5"/>
      <c r="N430" s="5"/>
    </row>
    <row r="431" spans="2:14" ht="13">
      <c r="B431" s="2"/>
      <c r="E431" s="5"/>
      <c r="H431" s="5"/>
      <c r="K431" s="5"/>
      <c r="N431" s="5"/>
    </row>
    <row r="432" spans="2:14" ht="13">
      <c r="B432" s="2"/>
      <c r="E432" s="5"/>
      <c r="H432" s="5"/>
      <c r="K432" s="5"/>
      <c r="N432" s="5"/>
    </row>
    <row r="433" spans="2:14" ht="13">
      <c r="B433" s="2"/>
      <c r="E433" s="5"/>
      <c r="H433" s="5"/>
      <c r="K433" s="5"/>
      <c r="N433" s="5"/>
    </row>
    <row r="434" spans="2:14" ht="13">
      <c r="B434" s="2"/>
      <c r="E434" s="5"/>
      <c r="H434" s="5"/>
      <c r="K434" s="5"/>
      <c r="N434" s="5"/>
    </row>
    <row r="435" spans="2:14" ht="13">
      <c r="B435" s="2"/>
      <c r="E435" s="5"/>
      <c r="H435" s="5"/>
      <c r="K435" s="5"/>
      <c r="N435" s="5"/>
    </row>
    <row r="436" spans="2:14" ht="13">
      <c r="B436" s="2"/>
      <c r="E436" s="5"/>
      <c r="H436" s="5"/>
      <c r="K436" s="5"/>
      <c r="N436" s="5"/>
    </row>
    <row r="437" spans="2:14" ht="13">
      <c r="B437" s="2"/>
      <c r="E437" s="5"/>
      <c r="H437" s="5"/>
      <c r="K437" s="5"/>
      <c r="N437" s="5"/>
    </row>
    <row r="438" spans="2:14" ht="13">
      <c r="B438" s="2"/>
      <c r="E438" s="5"/>
      <c r="H438" s="5"/>
      <c r="K438" s="5"/>
      <c r="N438" s="5"/>
    </row>
    <row r="439" spans="2:14" ht="13">
      <c r="B439" s="2"/>
      <c r="E439" s="5"/>
      <c r="H439" s="5"/>
      <c r="K439" s="5"/>
      <c r="N439" s="5"/>
    </row>
    <row r="440" spans="2:14" ht="13">
      <c r="B440" s="2"/>
      <c r="E440" s="5"/>
      <c r="H440" s="5"/>
      <c r="K440" s="5"/>
      <c r="N440" s="5"/>
    </row>
    <row r="441" spans="2:14" ht="13">
      <c r="B441" s="2"/>
      <c r="E441" s="5"/>
      <c r="H441" s="5"/>
      <c r="K441" s="5"/>
      <c r="N441" s="5"/>
    </row>
    <row r="442" spans="2:14" ht="13">
      <c r="B442" s="2"/>
      <c r="E442" s="5"/>
      <c r="H442" s="5"/>
      <c r="K442" s="5"/>
      <c r="N442" s="5"/>
    </row>
    <row r="443" spans="2:14" ht="13">
      <c r="B443" s="2"/>
      <c r="E443" s="5"/>
      <c r="H443" s="5"/>
      <c r="K443" s="5"/>
      <c r="N443" s="5"/>
    </row>
    <row r="444" spans="2:14" ht="13">
      <c r="B444" s="2"/>
      <c r="E444" s="5"/>
      <c r="H444" s="5"/>
      <c r="K444" s="5"/>
      <c r="N444" s="5"/>
    </row>
    <row r="445" spans="2:14" ht="13">
      <c r="B445" s="2"/>
      <c r="E445" s="5"/>
      <c r="H445" s="5"/>
      <c r="K445" s="5"/>
      <c r="N445" s="5"/>
    </row>
    <row r="446" spans="2:14" ht="13">
      <c r="B446" s="2"/>
      <c r="E446" s="5"/>
      <c r="H446" s="5"/>
      <c r="K446" s="5"/>
      <c r="N446" s="5"/>
    </row>
    <row r="447" spans="2:14" ht="13">
      <c r="B447" s="2"/>
      <c r="E447" s="5"/>
      <c r="H447" s="5"/>
      <c r="K447" s="5"/>
      <c r="N447" s="5"/>
    </row>
    <row r="448" spans="2:14" ht="13">
      <c r="B448" s="2"/>
      <c r="E448" s="5"/>
      <c r="H448" s="5"/>
      <c r="K448" s="5"/>
      <c r="N448" s="5"/>
    </row>
    <row r="449" spans="2:14" ht="13">
      <c r="B449" s="2"/>
      <c r="E449" s="5"/>
      <c r="H449" s="5"/>
      <c r="K449" s="5"/>
      <c r="N449" s="5"/>
    </row>
    <row r="450" spans="2:14" ht="13">
      <c r="B450" s="2"/>
      <c r="E450" s="5"/>
      <c r="H450" s="5"/>
      <c r="K450" s="5"/>
      <c r="N450" s="5"/>
    </row>
    <row r="451" spans="2:14" ht="13">
      <c r="B451" s="2"/>
      <c r="E451" s="5"/>
      <c r="H451" s="5"/>
      <c r="K451" s="5"/>
      <c r="N451" s="5"/>
    </row>
    <row r="452" spans="2:14" ht="13">
      <c r="B452" s="2"/>
      <c r="E452" s="5"/>
      <c r="H452" s="5"/>
      <c r="K452" s="5"/>
      <c r="N452" s="5"/>
    </row>
    <row r="453" spans="2:14" ht="13">
      <c r="B453" s="2"/>
      <c r="E453" s="5"/>
      <c r="H453" s="5"/>
      <c r="K453" s="5"/>
      <c r="N453" s="5"/>
    </row>
    <row r="454" spans="2:14" ht="13">
      <c r="B454" s="2"/>
      <c r="E454" s="5"/>
      <c r="H454" s="5"/>
      <c r="K454" s="5"/>
      <c r="N454" s="5"/>
    </row>
    <row r="455" spans="2:14" ht="13">
      <c r="B455" s="2"/>
      <c r="E455" s="5"/>
      <c r="H455" s="5"/>
      <c r="K455" s="5"/>
      <c r="N455" s="5"/>
    </row>
    <row r="456" spans="2:14" ht="13">
      <c r="B456" s="2"/>
      <c r="E456" s="5"/>
      <c r="H456" s="5"/>
      <c r="K456" s="5"/>
      <c r="N456" s="5"/>
    </row>
    <row r="457" spans="2:14" ht="13">
      <c r="B457" s="2"/>
      <c r="E457" s="5"/>
      <c r="H457" s="5"/>
      <c r="K457" s="5"/>
      <c r="N457" s="5"/>
    </row>
    <row r="458" spans="2:14" ht="13">
      <c r="B458" s="2"/>
      <c r="E458" s="5"/>
      <c r="H458" s="5"/>
      <c r="K458" s="5"/>
      <c r="N458" s="5"/>
    </row>
    <row r="459" spans="2:14" ht="13">
      <c r="B459" s="2"/>
      <c r="E459" s="5"/>
      <c r="H459" s="5"/>
      <c r="K459" s="5"/>
      <c r="N459" s="5"/>
    </row>
    <row r="460" spans="2:14" ht="13">
      <c r="B460" s="2"/>
      <c r="E460" s="5"/>
      <c r="H460" s="5"/>
      <c r="K460" s="5"/>
      <c r="N460" s="5"/>
    </row>
    <row r="461" spans="2:14" ht="13">
      <c r="B461" s="2"/>
      <c r="E461" s="5"/>
      <c r="H461" s="5"/>
      <c r="K461" s="5"/>
      <c r="N461" s="5"/>
    </row>
    <row r="462" spans="2:14" ht="13">
      <c r="B462" s="2"/>
      <c r="E462" s="5"/>
      <c r="H462" s="5"/>
      <c r="K462" s="5"/>
      <c r="N462" s="5"/>
    </row>
    <row r="463" spans="2:14" ht="13">
      <c r="B463" s="2"/>
      <c r="E463" s="5"/>
      <c r="H463" s="5"/>
      <c r="K463" s="5"/>
      <c r="N463" s="5"/>
    </row>
    <row r="464" spans="2:14" ht="13">
      <c r="B464" s="2"/>
      <c r="E464" s="5"/>
      <c r="H464" s="5"/>
      <c r="K464" s="5"/>
      <c r="N464" s="5"/>
    </row>
    <row r="465" spans="2:14" ht="13">
      <c r="B465" s="2"/>
      <c r="E465" s="5"/>
      <c r="H465" s="5"/>
      <c r="K465" s="5"/>
      <c r="N465" s="5"/>
    </row>
    <row r="466" spans="2:14" ht="13">
      <c r="B466" s="2"/>
      <c r="E466" s="5"/>
      <c r="H466" s="5"/>
      <c r="K466" s="5"/>
      <c r="N466" s="5"/>
    </row>
    <row r="467" spans="2:14" ht="13">
      <c r="B467" s="2"/>
      <c r="E467" s="5"/>
      <c r="H467" s="5"/>
      <c r="K467" s="5"/>
      <c r="N467" s="5"/>
    </row>
    <row r="468" spans="2:14" ht="13">
      <c r="B468" s="2"/>
      <c r="E468" s="5"/>
      <c r="H468" s="5"/>
      <c r="K468" s="5"/>
      <c r="N468" s="5"/>
    </row>
    <row r="469" spans="2:14" ht="13">
      <c r="B469" s="2"/>
      <c r="E469" s="5"/>
      <c r="H469" s="5"/>
      <c r="K469" s="5"/>
      <c r="N469" s="5"/>
    </row>
    <row r="470" spans="2:14" ht="13">
      <c r="B470" s="2"/>
      <c r="E470" s="5"/>
      <c r="H470" s="5"/>
      <c r="K470" s="5"/>
      <c r="N470" s="5"/>
    </row>
    <row r="471" spans="2:14" ht="13">
      <c r="B471" s="2"/>
      <c r="E471" s="5"/>
      <c r="H471" s="5"/>
      <c r="K471" s="5"/>
      <c r="N471" s="5"/>
    </row>
    <row r="472" spans="2:14" ht="13">
      <c r="B472" s="2"/>
      <c r="E472" s="5"/>
      <c r="H472" s="5"/>
      <c r="K472" s="5"/>
      <c r="N472" s="5"/>
    </row>
    <row r="473" spans="2:14" ht="13">
      <c r="B473" s="2"/>
      <c r="E473" s="5"/>
      <c r="H473" s="5"/>
      <c r="K473" s="5"/>
      <c r="N473" s="5"/>
    </row>
    <row r="474" spans="2:14" ht="13">
      <c r="B474" s="2"/>
      <c r="E474" s="5"/>
      <c r="H474" s="5"/>
      <c r="K474" s="5"/>
      <c r="N474" s="5"/>
    </row>
    <row r="475" spans="2:14" ht="13">
      <c r="B475" s="2"/>
      <c r="E475" s="5"/>
      <c r="H475" s="5"/>
      <c r="K475" s="5"/>
      <c r="N475" s="5"/>
    </row>
    <row r="476" spans="2:14" ht="13">
      <c r="B476" s="2"/>
      <c r="E476" s="5"/>
      <c r="H476" s="5"/>
      <c r="K476" s="5"/>
      <c r="N476" s="5"/>
    </row>
    <row r="477" spans="2:14" ht="13">
      <c r="B477" s="2"/>
      <c r="E477" s="5"/>
      <c r="H477" s="5"/>
      <c r="K477" s="5"/>
      <c r="N477" s="5"/>
    </row>
    <row r="478" spans="2:14" ht="13">
      <c r="B478" s="2"/>
      <c r="E478" s="5"/>
      <c r="H478" s="5"/>
      <c r="K478" s="5"/>
      <c r="N478" s="5"/>
    </row>
    <row r="479" spans="2:14" ht="13">
      <c r="B479" s="2"/>
      <c r="E479" s="5"/>
      <c r="H479" s="5"/>
      <c r="K479" s="5"/>
      <c r="N479" s="5"/>
    </row>
    <row r="480" spans="2:14" ht="13">
      <c r="B480" s="2"/>
      <c r="E480" s="5"/>
      <c r="H480" s="5"/>
      <c r="K480" s="5"/>
      <c r="N480" s="5"/>
    </row>
    <row r="481" spans="2:14" ht="13">
      <c r="B481" s="2"/>
      <c r="E481" s="5"/>
      <c r="H481" s="5"/>
      <c r="K481" s="5"/>
      <c r="N481" s="5"/>
    </row>
    <row r="482" spans="2:14" ht="13">
      <c r="B482" s="2"/>
      <c r="E482" s="5"/>
      <c r="H482" s="5"/>
      <c r="K482" s="5"/>
      <c r="N482" s="5"/>
    </row>
    <row r="483" spans="2:14" ht="13">
      <c r="B483" s="2"/>
      <c r="E483" s="5"/>
      <c r="H483" s="5"/>
      <c r="K483" s="5"/>
      <c r="N483" s="5"/>
    </row>
    <row r="484" spans="2:14" ht="13">
      <c r="B484" s="2"/>
      <c r="E484" s="5"/>
      <c r="H484" s="5"/>
      <c r="K484" s="5"/>
      <c r="N484" s="5"/>
    </row>
    <row r="485" spans="2:14" ht="13">
      <c r="B485" s="2"/>
      <c r="E485" s="5"/>
      <c r="H485" s="5"/>
      <c r="K485" s="5"/>
      <c r="N485" s="5"/>
    </row>
    <row r="486" spans="2:14" ht="13">
      <c r="B486" s="2"/>
      <c r="E486" s="5"/>
      <c r="H486" s="5"/>
      <c r="K486" s="5"/>
      <c r="N486" s="5"/>
    </row>
    <row r="487" spans="2:14" ht="13">
      <c r="B487" s="2"/>
      <c r="E487" s="5"/>
      <c r="H487" s="5"/>
      <c r="K487" s="5"/>
      <c r="N487" s="5"/>
    </row>
    <row r="488" spans="2:14" ht="13">
      <c r="B488" s="2"/>
      <c r="E488" s="5"/>
      <c r="H488" s="5"/>
      <c r="K488" s="5"/>
      <c r="N488" s="5"/>
    </row>
    <row r="489" spans="2:14" ht="13">
      <c r="B489" s="2"/>
      <c r="E489" s="5"/>
      <c r="H489" s="5"/>
      <c r="K489" s="5"/>
      <c r="N489" s="5"/>
    </row>
    <row r="490" spans="2:14" ht="13">
      <c r="B490" s="2"/>
      <c r="E490" s="5"/>
      <c r="H490" s="5"/>
      <c r="K490" s="5"/>
      <c r="N490" s="5"/>
    </row>
    <row r="491" spans="2:14" ht="13">
      <c r="B491" s="2"/>
      <c r="E491" s="5"/>
      <c r="H491" s="5"/>
      <c r="K491" s="5"/>
      <c r="N491" s="5"/>
    </row>
    <row r="492" spans="2:14" ht="13">
      <c r="B492" s="2"/>
      <c r="E492" s="5"/>
      <c r="H492" s="5"/>
      <c r="K492" s="5"/>
      <c r="N492" s="5"/>
    </row>
    <row r="493" spans="2:14" ht="13">
      <c r="B493" s="2"/>
      <c r="E493" s="5"/>
      <c r="H493" s="5"/>
      <c r="K493" s="5"/>
      <c r="N493" s="5"/>
    </row>
    <row r="494" spans="2:14" ht="13">
      <c r="B494" s="2"/>
      <c r="E494" s="5"/>
      <c r="H494" s="5"/>
      <c r="K494" s="5"/>
      <c r="N494" s="5"/>
    </row>
    <row r="495" spans="2:14" ht="13">
      <c r="B495" s="2"/>
      <c r="E495" s="5"/>
      <c r="H495" s="5"/>
      <c r="K495" s="5"/>
      <c r="N495" s="5"/>
    </row>
    <row r="496" spans="2:14" ht="13">
      <c r="B496" s="2"/>
      <c r="E496" s="5"/>
      <c r="H496" s="5"/>
      <c r="K496" s="5"/>
      <c r="N496" s="5"/>
    </row>
    <row r="497" spans="2:14" ht="13">
      <c r="B497" s="2"/>
      <c r="E497" s="5"/>
      <c r="H497" s="5"/>
      <c r="K497" s="5"/>
      <c r="N497" s="5"/>
    </row>
    <row r="498" spans="2:14" ht="13">
      <c r="B498" s="2"/>
      <c r="E498" s="5"/>
      <c r="H498" s="5"/>
      <c r="K498" s="5"/>
      <c r="N498" s="5"/>
    </row>
    <row r="499" spans="2:14" ht="13">
      <c r="B499" s="2"/>
      <c r="E499" s="5"/>
      <c r="H499" s="5"/>
      <c r="K499" s="5"/>
      <c r="N499" s="5"/>
    </row>
    <row r="500" spans="2:14" ht="13">
      <c r="B500" s="2"/>
      <c r="E500" s="5"/>
      <c r="H500" s="5"/>
      <c r="K500" s="5"/>
      <c r="N500" s="5"/>
    </row>
    <row r="501" spans="2:14" ht="13">
      <c r="B501" s="2"/>
      <c r="E501" s="5"/>
      <c r="H501" s="5"/>
      <c r="K501" s="5"/>
      <c r="N501" s="5"/>
    </row>
    <row r="502" spans="2:14" ht="13">
      <c r="B502" s="2"/>
      <c r="E502" s="5"/>
      <c r="H502" s="5"/>
      <c r="K502" s="5"/>
      <c r="N502" s="5"/>
    </row>
    <row r="503" spans="2:14" ht="13">
      <c r="B503" s="2"/>
      <c r="E503" s="5"/>
      <c r="H503" s="5"/>
      <c r="K503" s="5"/>
      <c r="N503" s="5"/>
    </row>
    <row r="504" spans="2:14" ht="13">
      <c r="B504" s="2"/>
      <c r="E504" s="5"/>
      <c r="H504" s="5"/>
      <c r="K504" s="5"/>
      <c r="N504" s="5"/>
    </row>
    <row r="505" spans="2:14" ht="13">
      <c r="B505" s="2"/>
      <c r="E505" s="5"/>
      <c r="H505" s="5"/>
      <c r="K505" s="5"/>
      <c r="N505" s="5"/>
    </row>
    <row r="506" spans="2:14" ht="13">
      <c r="B506" s="2"/>
      <c r="E506" s="5"/>
      <c r="H506" s="5"/>
      <c r="K506" s="5"/>
      <c r="N506" s="5"/>
    </row>
    <row r="507" spans="2:14" ht="13">
      <c r="B507" s="2"/>
      <c r="E507" s="5"/>
      <c r="H507" s="5"/>
      <c r="K507" s="5"/>
      <c r="N507" s="5"/>
    </row>
    <row r="508" spans="2:14" ht="13">
      <c r="B508" s="2"/>
      <c r="E508" s="5"/>
      <c r="H508" s="5"/>
      <c r="K508" s="5"/>
      <c r="N508" s="5"/>
    </row>
    <row r="509" spans="2:14" ht="13">
      <c r="B509" s="2"/>
      <c r="E509" s="5"/>
      <c r="H509" s="5"/>
      <c r="K509" s="5"/>
      <c r="N509" s="5"/>
    </row>
    <row r="510" spans="2:14" ht="13">
      <c r="B510" s="2"/>
      <c r="E510" s="5"/>
      <c r="H510" s="5"/>
      <c r="K510" s="5"/>
      <c r="N510" s="5"/>
    </row>
    <row r="511" spans="2:14" ht="13">
      <c r="B511" s="2"/>
      <c r="E511" s="5"/>
      <c r="H511" s="5"/>
      <c r="K511" s="5"/>
      <c r="N511" s="5"/>
    </row>
    <row r="512" spans="2:14" ht="13">
      <c r="B512" s="2"/>
      <c r="E512" s="5"/>
      <c r="H512" s="5"/>
      <c r="K512" s="5"/>
      <c r="N512" s="5"/>
    </row>
    <row r="513" spans="2:14" ht="13">
      <c r="B513" s="2"/>
      <c r="E513" s="5"/>
      <c r="H513" s="5"/>
      <c r="K513" s="5"/>
      <c r="N513" s="5"/>
    </row>
    <row r="514" spans="2:14" ht="13">
      <c r="B514" s="2"/>
      <c r="E514" s="5"/>
      <c r="H514" s="5"/>
      <c r="K514" s="5"/>
      <c r="N514" s="5"/>
    </row>
    <row r="515" spans="2:14" ht="13">
      <c r="B515" s="2"/>
      <c r="E515" s="5"/>
      <c r="H515" s="5"/>
      <c r="K515" s="5"/>
      <c r="N515" s="5"/>
    </row>
    <row r="516" spans="2:14" ht="13">
      <c r="B516" s="2"/>
      <c r="E516" s="5"/>
      <c r="H516" s="5"/>
      <c r="K516" s="5"/>
      <c r="N516" s="5"/>
    </row>
    <row r="517" spans="2:14" ht="13">
      <c r="B517" s="2"/>
      <c r="E517" s="5"/>
      <c r="H517" s="5"/>
      <c r="K517" s="5"/>
      <c r="N517" s="5"/>
    </row>
    <row r="518" spans="2:14" ht="13">
      <c r="B518" s="2"/>
      <c r="E518" s="5"/>
      <c r="H518" s="5"/>
      <c r="K518" s="5"/>
      <c r="N518" s="5"/>
    </row>
    <row r="519" spans="2:14" ht="13">
      <c r="B519" s="2"/>
      <c r="E519" s="5"/>
      <c r="H519" s="5"/>
      <c r="K519" s="5"/>
      <c r="N519" s="5"/>
    </row>
    <row r="520" spans="2:14" ht="13">
      <c r="B520" s="2"/>
      <c r="E520" s="5"/>
      <c r="H520" s="5"/>
      <c r="K520" s="5"/>
      <c r="N520" s="5"/>
    </row>
    <row r="521" spans="2:14" ht="13">
      <c r="B521" s="2"/>
      <c r="E521" s="5"/>
      <c r="H521" s="5"/>
      <c r="K521" s="5"/>
      <c r="N521" s="5"/>
    </row>
    <row r="522" spans="2:14" ht="13">
      <c r="B522" s="2"/>
      <c r="E522" s="5"/>
      <c r="H522" s="5"/>
      <c r="K522" s="5"/>
      <c r="N522" s="5"/>
    </row>
    <row r="523" spans="2:14" ht="13">
      <c r="B523" s="2"/>
      <c r="E523" s="5"/>
      <c r="H523" s="5"/>
      <c r="K523" s="5"/>
      <c r="N523" s="5"/>
    </row>
    <row r="524" spans="2:14" ht="13">
      <c r="B524" s="2"/>
      <c r="E524" s="5"/>
      <c r="H524" s="5"/>
      <c r="K524" s="5"/>
      <c r="N524" s="5"/>
    </row>
    <row r="525" spans="2:14" ht="13">
      <c r="B525" s="2"/>
      <c r="E525" s="5"/>
      <c r="H525" s="5"/>
      <c r="K525" s="5"/>
      <c r="N525" s="5"/>
    </row>
    <row r="526" spans="2:14" ht="13">
      <c r="B526" s="2"/>
      <c r="E526" s="5"/>
      <c r="H526" s="5"/>
      <c r="K526" s="5"/>
      <c r="N526" s="5"/>
    </row>
    <row r="527" spans="2:14" ht="13">
      <c r="B527" s="2"/>
      <c r="E527" s="5"/>
      <c r="H527" s="5"/>
      <c r="K527" s="5"/>
      <c r="N527" s="5"/>
    </row>
    <row r="528" spans="2:14" ht="13">
      <c r="B528" s="2"/>
      <c r="E528" s="5"/>
      <c r="H528" s="5"/>
      <c r="K528" s="5"/>
      <c r="N528" s="5"/>
    </row>
    <row r="529" spans="2:14" ht="13">
      <c r="B529" s="2"/>
      <c r="E529" s="5"/>
      <c r="H529" s="5"/>
      <c r="K529" s="5"/>
      <c r="N529" s="5"/>
    </row>
    <row r="530" spans="2:14" ht="13">
      <c r="B530" s="2"/>
      <c r="E530" s="5"/>
      <c r="H530" s="5"/>
      <c r="K530" s="5"/>
      <c r="N530" s="5"/>
    </row>
    <row r="531" spans="2:14" ht="13">
      <c r="B531" s="2"/>
      <c r="E531" s="5"/>
      <c r="H531" s="5"/>
      <c r="K531" s="5"/>
      <c r="N531" s="5"/>
    </row>
    <row r="532" spans="2:14" ht="13">
      <c r="B532" s="2"/>
      <c r="E532" s="5"/>
      <c r="H532" s="5"/>
      <c r="K532" s="5"/>
      <c r="N532" s="5"/>
    </row>
    <row r="533" spans="2:14" ht="13">
      <c r="B533" s="2"/>
      <c r="E533" s="5"/>
      <c r="H533" s="5"/>
      <c r="K533" s="5"/>
      <c r="N533" s="5"/>
    </row>
    <row r="534" spans="2:14" ht="13">
      <c r="B534" s="2"/>
      <c r="E534" s="5"/>
      <c r="H534" s="5"/>
      <c r="K534" s="5"/>
      <c r="N534" s="5"/>
    </row>
    <row r="535" spans="2:14" ht="13">
      <c r="B535" s="2"/>
      <c r="E535" s="5"/>
      <c r="H535" s="5"/>
      <c r="K535" s="5"/>
      <c r="N535" s="5"/>
    </row>
    <row r="536" spans="2:14" ht="13">
      <c r="B536" s="2"/>
      <c r="E536" s="5"/>
      <c r="H536" s="5"/>
      <c r="K536" s="5"/>
      <c r="N536" s="5"/>
    </row>
    <row r="537" spans="2:14" ht="13">
      <c r="B537" s="2"/>
      <c r="E537" s="5"/>
      <c r="H537" s="5"/>
      <c r="K537" s="5"/>
      <c r="N537" s="5"/>
    </row>
    <row r="538" spans="2:14" ht="13">
      <c r="B538" s="2"/>
      <c r="E538" s="5"/>
      <c r="H538" s="5"/>
      <c r="K538" s="5"/>
      <c r="N538" s="5"/>
    </row>
    <row r="539" spans="2:14" ht="13">
      <c r="B539" s="2"/>
      <c r="E539" s="5"/>
      <c r="H539" s="5"/>
      <c r="K539" s="5"/>
      <c r="N539" s="5"/>
    </row>
    <row r="540" spans="2:14" ht="13">
      <c r="B540" s="2"/>
      <c r="E540" s="5"/>
      <c r="H540" s="5"/>
      <c r="K540" s="5"/>
      <c r="N540" s="5"/>
    </row>
    <row r="541" spans="2:14" ht="13">
      <c r="B541" s="2"/>
      <c r="E541" s="5"/>
      <c r="H541" s="5"/>
      <c r="K541" s="5"/>
      <c r="N541" s="5"/>
    </row>
    <row r="542" spans="2:14" ht="13">
      <c r="B542" s="2"/>
      <c r="E542" s="5"/>
      <c r="H542" s="5"/>
      <c r="K542" s="5"/>
      <c r="N542" s="5"/>
    </row>
    <row r="543" spans="2:14" ht="13">
      <c r="B543" s="2"/>
      <c r="E543" s="5"/>
      <c r="H543" s="5"/>
      <c r="K543" s="5"/>
      <c r="N543" s="5"/>
    </row>
    <row r="544" spans="2:14" ht="13">
      <c r="B544" s="2"/>
      <c r="E544" s="5"/>
      <c r="H544" s="5"/>
      <c r="K544" s="5"/>
      <c r="N544" s="5"/>
    </row>
    <row r="545" spans="2:14" ht="13">
      <c r="B545" s="2"/>
      <c r="E545" s="5"/>
      <c r="H545" s="5"/>
      <c r="K545" s="5"/>
      <c r="N545" s="5"/>
    </row>
    <row r="546" spans="2:14" ht="13">
      <c r="B546" s="2"/>
      <c r="E546" s="5"/>
      <c r="H546" s="5"/>
      <c r="K546" s="5"/>
      <c r="N546" s="5"/>
    </row>
    <row r="547" spans="2:14" ht="13">
      <c r="B547" s="2"/>
      <c r="E547" s="5"/>
      <c r="H547" s="5"/>
      <c r="K547" s="5"/>
      <c r="N547" s="5"/>
    </row>
    <row r="548" spans="2:14" ht="13">
      <c r="B548" s="2"/>
      <c r="E548" s="5"/>
      <c r="H548" s="5"/>
      <c r="K548" s="5"/>
      <c r="N548" s="5"/>
    </row>
    <row r="549" spans="2:14" ht="13">
      <c r="B549" s="2"/>
      <c r="E549" s="5"/>
      <c r="H549" s="5"/>
      <c r="K549" s="5"/>
      <c r="N549" s="5"/>
    </row>
    <row r="550" spans="2:14" ht="13">
      <c r="B550" s="2"/>
      <c r="E550" s="5"/>
      <c r="H550" s="5"/>
      <c r="K550" s="5"/>
      <c r="N550" s="5"/>
    </row>
    <row r="551" spans="2:14" ht="13">
      <c r="B551" s="2"/>
      <c r="E551" s="5"/>
      <c r="H551" s="5"/>
      <c r="K551" s="5"/>
      <c r="N551" s="5"/>
    </row>
    <row r="552" spans="2:14" ht="13">
      <c r="B552" s="2"/>
      <c r="E552" s="5"/>
      <c r="H552" s="5"/>
      <c r="K552" s="5"/>
      <c r="N552" s="5"/>
    </row>
    <row r="553" spans="2:14" ht="13">
      <c r="B553" s="2"/>
      <c r="E553" s="5"/>
      <c r="H553" s="5"/>
      <c r="K553" s="5"/>
      <c r="N553" s="5"/>
    </row>
    <row r="554" spans="2:14" ht="13">
      <c r="B554" s="2"/>
      <c r="E554" s="5"/>
      <c r="H554" s="5"/>
      <c r="K554" s="5"/>
      <c r="N554" s="5"/>
    </row>
    <row r="555" spans="2:14" ht="13">
      <c r="B555" s="2"/>
      <c r="E555" s="5"/>
      <c r="H555" s="5"/>
      <c r="K555" s="5"/>
      <c r="N555" s="5"/>
    </row>
    <row r="556" spans="2:14" ht="13">
      <c r="B556" s="2"/>
      <c r="E556" s="5"/>
      <c r="H556" s="5"/>
      <c r="K556" s="5"/>
      <c r="N556" s="5"/>
    </row>
    <row r="557" spans="2:14" ht="13">
      <c r="B557" s="2"/>
      <c r="E557" s="5"/>
      <c r="H557" s="5"/>
      <c r="K557" s="5"/>
      <c r="N557" s="5"/>
    </row>
    <row r="558" spans="2:14" ht="13">
      <c r="B558" s="2"/>
      <c r="E558" s="5"/>
      <c r="H558" s="5"/>
      <c r="K558" s="5"/>
      <c r="N558" s="5"/>
    </row>
    <row r="559" spans="2:14" ht="13">
      <c r="B559" s="2"/>
      <c r="E559" s="5"/>
      <c r="H559" s="5"/>
      <c r="K559" s="5"/>
      <c r="N559" s="5"/>
    </row>
    <row r="560" spans="2:14" ht="13">
      <c r="B560" s="2"/>
      <c r="E560" s="5"/>
      <c r="H560" s="5"/>
      <c r="K560" s="5"/>
      <c r="N560" s="5"/>
    </row>
    <row r="561" spans="2:14" ht="13">
      <c r="B561" s="2"/>
      <c r="E561" s="5"/>
      <c r="H561" s="5"/>
      <c r="K561" s="5"/>
      <c r="N561" s="5"/>
    </row>
    <row r="562" spans="2:14" ht="13">
      <c r="B562" s="2"/>
      <c r="E562" s="5"/>
      <c r="H562" s="5"/>
      <c r="K562" s="5"/>
      <c r="N562" s="5"/>
    </row>
    <row r="563" spans="2:14" ht="13">
      <c r="B563" s="2"/>
      <c r="E563" s="5"/>
      <c r="H563" s="5"/>
      <c r="K563" s="5"/>
      <c r="N563" s="5"/>
    </row>
    <row r="564" spans="2:14" ht="13">
      <c r="B564" s="2"/>
      <c r="E564" s="5"/>
      <c r="H564" s="5"/>
      <c r="K564" s="5"/>
      <c r="N564" s="5"/>
    </row>
    <row r="565" spans="2:14" ht="13">
      <c r="B565" s="2"/>
      <c r="E565" s="5"/>
      <c r="H565" s="5"/>
      <c r="K565" s="5"/>
      <c r="N565" s="5"/>
    </row>
    <row r="566" spans="2:14" ht="13">
      <c r="B566" s="2"/>
      <c r="E566" s="5"/>
      <c r="H566" s="5"/>
      <c r="K566" s="5"/>
      <c r="N566" s="5"/>
    </row>
    <row r="567" spans="2:14" ht="13">
      <c r="B567" s="2"/>
      <c r="E567" s="5"/>
      <c r="H567" s="5"/>
      <c r="K567" s="5"/>
      <c r="N567" s="5"/>
    </row>
    <row r="568" spans="2:14" ht="13">
      <c r="B568" s="2"/>
      <c r="E568" s="5"/>
      <c r="H568" s="5"/>
      <c r="K568" s="5"/>
      <c r="N568" s="5"/>
    </row>
    <row r="569" spans="2:14" ht="13">
      <c r="B569" s="2"/>
      <c r="E569" s="5"/>
      <c r="H569" s="5"/>
      <c r="K569" s="5"/>
      <c r="N569" s="5"/>
    </row>
    <row r="570" spans="2:14" ht="13">
      <c r="B570" s="2"/>
      <c r="E570" s="5"/>
      <c r="H570" s="5"/>
      <c r="K570" s="5"/>
      <c r="N570" s="5"/>
    </row>
    <row r="571" spans="2:14" ht="13">
      <c r="B571" s="2"/>
      <c r="E571" s="5"/>
      <c r="H571" s="5"/>
      <c r="K571" s="5"/>
      <c r="N571" s="5"/>
    </row>
    <row r="572" spans="2:14" ht="13">
      <c r="B572" s="2"/>
      <c r="E572" s="5"/>
      <c r="H572" s="5"/>
      <c r="K572" s="5"/>
      <c r="N572" s="5"/>
    </row>
    <row r="573" spans="2:14" ht="13">
      <c r="B573" s="2"/>
      <c r="E573" s="5"/>
      <c r="H573" s="5"/>
      <c r="K573" s="5"/>
      <c r="N573" s="5"/>
    </row>
    <row r="574" spans="2:14" ht="13">
      <c r="B574" s="2"/>
      <c r="E574" s="5"/>
      <c r="H574" s="5"/>
      <c r="K574" s="5"/>
      <c r="N574" s="5"/>
    </row>
    <row r="575" spans="2:14" ht="13">
      <c r="B575" s="2"/>
      <c r="E575" s="5"/>
      <c r="H575" s="5"/>
      <c r="K575" s="5"/>
      <c r="N575" s="5"/>
    </row>
    <row r="576" spans="2:14" ht="13">
      <c r="B576" s="2"/>
      <c r="E576" s="5"/>
      <c r="H576" s="5"/>
      <c r="K576" s="5"/>
      <c r="N576" s="5"/>
    </row>
    <row r="577" spans="2:14" ht="13">
      <c r="B577" s="2"/>
      <c r="E577" s="5"/>
      <c r="H577" s="5"/>
      <c r="K577" s="5"/>
      <c r="N577" s="5"/>
    </row>
    <row r="578" spans="2:14" ht="13">
      <c r="B578" s="2"/>
      <c r="E578" s="5"/>
      <c r="H578" s="5"/>
      <c r="K578" s="5"/>
      <c r="N578" s="5"/>
    </row>
    <row r="579" spans="2:14" ht="13">
      <c r="B579" s="2"/>
      <c r="E579" s="5"/>
      <c r="H579" s="5"/>
      <c r="K579" s="5"/>
      <c r="N579" s="5"/>
    </row>
    <row r="580" spans="2:14" ht="13">
      <c r="B580" s="2"/>
      <c r="E580" s="5"/>
      <c r="H580" s="5"/>
      <c r="K580" s="5"/>
      <c r="N580" s="5"/>
    </row>
    <row r="581" spans="2:14" ht="13">
      <c r="B581" s="2"/>
      <c r="E581" s="5"/>
      <c r="H581" s="5"/>
      <c r="K581" s="5"/>
      <c r="N581" s="5"/>
    </row>
    <row r="582" spans="2:14" ht="13">
      <c r="B582" s="2"/>
      <c r="E582" s="5"/>
      <c r="H582" s="5"/>
      <c r="K582" s="5"/>
      <c r="N582" s="5"/>
    </row>
    <row r="583" spans="2:14" ht="13">
      <c r="B583" s="2"/>
      <c r="E583" s="5"/>
      <c r="H583" s="5"/>
      <c r="K583" s="5"/>
      <c r="N583" s="5"/>
    </row>
    <row r="584" spans="2:14" ht="13">
      <c r="B584" s="2"/>
      <c r="E584" s="5"/>
      <c r="H584" s="5"/>
      <c r="K584" s="5"/>
      <c r="N584" s="5"/>
    </row>
    <row r="585" spans="2:14" ht="13">
      <c r="B585" s="2"/>
      <c r="E585" s="5"/>
      <c r="H585" s="5"/>
      <c r="K585" s="5"/>
      <c r="N585" s="5"/>
    </row>
    <row r="586" spans="2:14" ht="13">
      <c r="B586" s="2"/>
      <c r="E586" s="5"/>
      <c r="H586" s="5"/>
      <c r="K586" s="5"/>
      <c r="N586" s="5"/>
    </row>
    <row r="587" spans="2:14" ht="13">
      <c r="B587" s="2"/>
      <c r="E587" s="5"/>
      <c r="H587" s="5"/>
      <c r="K587" s="5"/>
      <c r="N587" s="5"/>
    </row>
    <row r="588" spans="2:14" ht="13">
      <c r="B588" s="2"/>
      <c r="E588" s="5"/>
      <c r="H588" s="5"/>
      <c r="K588" s="5"/>
      <c r="N588" s="5"/>
    </row>
    <row r="589" spans="2:14" ht="13">
      <c r="B589" s="2"/>
      <c r="E589" s="5"/>
      <c r="H589" s="5"/>
      <c r="K589" s="5"/>
      <c r="N589" s="5"/>
    </row>
    <row r="590" spans="2:14" ht="13">
      <c r="B590" s="2"/>
      <c r="E590" s="5"/>
      <c r="H590" s="5"/>
      <c r="K590" s="5"/>
      <c r="N590" s="5"/>
    </row>
    <row r="591" spans="2:14" ht="13">
      <c r="B591" s="2"/>
      <c r="E591" s="5"/>
      <c r="H591" s="5"/>
      <c r="K591" s="5"/>
      <c r="N591" s="5"/>
    </row>
    <row r="592" spans="2:14" ht="13">
      <c r="B592" s="2"/>
      <c r="E592" s="5"/>
      <c r="H592" s="5"/>
      <c r="K592" s="5"/>
      <c r="N592" s="5"/>
    </row>
    <row r="593" spans="2:14" ht="13">
      <c r="B593" s="2"/>
      <c r="E593" s="5"/>
      <c r="H593" s="5"/>
      <c r="K593" s="5"/>
      <c r="N593" s="5"/>
    </row>
    <row r="594" spans="2:14" ht="13">
      <c r="B594" s="2"/>
      <c r="E594" s="5"/>
      <c r="H594" s="5"/>
      <c r="K594" s="5"/>
      <c r="N594" s="5"/>
    </row>
    <row r="595" spans="2:14" ht="13">
      <c r="B595" s="2"/>
      <c r="E595" s="5"/>
      <c r="H595" s="5"/>
      <c r="K595" s="5"/>
      <c r="N595" s="5"/>
    </row>
    <row r="596" spans="2:14" ht="13">
      <c r="B596" s="2"/>
      <c r="E596" s="5"/>
      <c r="H596" s="5"/>
      <c r="K596" s="5"/>
      <c r="N596" s="5"/>
    </row>
    <row r="597" spans="2:14" ht="13">
      <c r="B597" s="2"/>
      <c r="E597" s="5"/>
      <c r="H597" s="5"/>
      <c r="K597" s="5"/>
      <c r="N597" s="5"/>
    </row>
    <row r="598" spans="2:14" ht="13">
      <c r="B598" s="2"/>
      <c r="E598" s="5"/>
      <c r="H598" s="5"/>
      <c r="K598" s="5"/>
      <c r="N598" s="5"/>
    </row>
    <row r="599" spans="2:14" ht="13">
      <c r="B599" s="2"/>
      <c r="E599" s="5"/>
      <c r="H599" s="5"/>
      <c r="K599" s="5"/>
      <c r="N599" s="5"/>
    </row>
    <row r="600" spans="2:14" ht="13">
      <c r="B600" s="2"/>
      <c r="E600" s="5"/>
      <c r="H600" s="5"/>
      <c r="K600" s="5"/>
      <c r="N600" s="5"/>
    </row>
    <row r="601" spans="2:14" ht="13">
      <c r="B601" s="2"/>
      <c r="E601" s="5"/>
      <c r="H601" s="5"/>
      <c r="K601" s="5"/>
      <c r="N601" s="5"/>
    </row>
    <row r="602" spans="2:14" ht="13">
      <c r="B602" s="2"/>
      <c r="E602" s="5"/>
      <c r="H602" s="5"/>
      <c r="K602" s="5"/>
      <c r="N602" s="5"/>
    </row>
    <row r="603" spans="2:14" ht="13">
      <c r="B603" s="2"/>
      <c r="E603" s="5"/>
      <c r="H603" s="5"/>
      <c r="K603" s="5"/>
      <c r="N603" s="5"/>
    </row>
    <row r="604" spans="2:14" ht="13">
      <c r="B604" s="2"/>
      <c r="E604" s="5"/>
      <c r="H604" s="5"/>
      <c r="K604" s="5"/>
      <c r="N604" s="5"/>
    </row>
    <row r="605" spans="2:14" ht="13">
      <c r="B605" s="2"/>
      <c r="E605" s="5"/>
      <c r="H605" s="5"/>
      <c r="K605" s="5"/>
      <c r="N605" s="5"/>
    </row>
    <row r="606" spans="2:14" ht="13">
      <c r="B606" s="2"/>
      <c r="E606" s="5"/>
      <c r="H606" s="5"/>
      <c r="K606" s="5"/>
      <c r="N606" s="5"/>
    </row>
    <row r="607" spans="2:14" ht="13">
      <c r="B607" s="2"/>
      <c r="E607" s="5"/>
      <c r="H607" s="5"/>
      <c r="K607" s="5"/>
      <c r="N607" s="5"/>
    </row>
    <row r="608" spans="2:14" ht="13">
      <c r="B608" s="2"/>
      <c r="E608" s="5"/>
      <c r="H608" s="5"/>
      <c r="K608" s="5"/>
      <c r="N608" s="5"/>
    </row>
    <row r="609" spans="2:14" ht="13">
      <c r="B609" s="2"/>
      <c r="E609" s="5"/>
      <c r="H609" s="5"/>
      <c r="K609" s="5"/>
      <c r="N609" s="5"/>
    </row>
    <row r="610" spans="2:14" ht="13">
      <c r="B610" s="2"/>
      <c r="E610" s="5"/>
      <c r="H610" s="5"/>
      <c r="K610" s="5"/>
      <c r="N610" s="5"/>
    </row>
    <row r="611" spans="2:14" ht="13">
      <c r="B611" s="2"/>
      <c r="E611" s="5"/>
      <c r="H611" s="5"/>
      <c r="K611" s="5"/>
      <c r="N611" s="5"/>
    </row>
    <row r="612" spans="2:14" ht="13">
      <c r="B612" s="2"/>
      <c r="E612" s="5"/>
      <c r="H612" s="5"/>
      <c r="K612" s="5"/>
      <c r="N612" s="5"/>
    </row>
    <row r="613" spans="2:14" ht="13">
      <c r="B613" s="2"/>
      <c r="E613" s="5"/>
      <c r="H613" s="5"/>
      <c r="K613" s="5"/>
      <c r="N613" s="5"/>
    </row>
    <row r="614" spans="2:14" ht="13">
      <c r="B614" s="2"/>
      <c r="E614" s="5"/>
      <c r="H614" s="5"/>
      <c r="K614" s="5"/>
      <c r="N614" s="5"/>
    </row>
    <row r="615" spans="2:14" ht="13">
      <c r="B615" s="2"/>
      <c r="E615" s="5"/>
      <c r="H615" s="5"/>
      <c r="K615" s="5"/>
      <c r="N615" s="5"/>
    </row>
    <row r="616" spans="2:14" ht="13">
      <c r="B616" s="2"/>
      <c r="E616" s="5"/>
      <c r="H616" s="5"/>
      <c r="K616" s="5"/>
      <c r="N616" s="5"/>
    </row>
    <row r="617" spans="2:14" ht="13">
      <c r="B617" s="2"/>
      <c r="E617" s="5"/>
      <c r="H617" s="5"/>
      <c r="K617" s="5"/>
      <c r="N617" s="5"/>
    </row>
    <row r="618" spans="2:14" ht="13">
      <c r="B618" s="2"/>
      <c r="E618" s="5"/>
      <c r="H618" s="5"/>
      <c r="K618" s="5"/>
      <c r="N618" s="5"/>
    </row>
    <row r="619" spans="2:14" ht="13">
      <c r="B619" s="2"/>
      <c r="E619" s="5"/>
      <c r="H619" s="5"/>
      <c r="K619" s="5"/>
      <c r="N619" s="5"/>
    </row>
    <row r="620" spans="2:14" ht="13">
      <c r="B620" s="2"/>
      <c r="E620" s="5"/>
      <c r="H620" s="5"/>
      <c r="K620" s="5"/>
      <c r="N620" s="5"/>
    </row>
    <row r="621" spans="2:14" ht="13">
      <c r="B621" s="2"/>
      <c r="E621" s="5"/>
      <c r="H621" s="5"/>
      <c r="K621" s="5"/>
      <c r="N621" s="5"/>
    </row>
    <row r="622" spans="2:14" ht="13">
      <c r="B622" s="2"/>
      <c r="E622" s="5"/>
      <c r="H622" s="5"/>
      <c r="K622" s="5"/>
      <c r="N622" s="5"/>
    </row>
    <row r="623" spans="2:14" ht="13">
      <c r="B623" s="2"/>
      <c r="E623" s="5"/>
      <c r="H623" s="5"/>
      <c r="K623" s="5"/>
      <c r="N623" s="5"/>
    </row>
    <row r="624" spans="2:14" ht="13">
      <c r="B624" s="2"/>
      <c r="E624" s="5"/>
      <c r="H624" s="5"/>
      <c r="K624" s="5"/>
      <c r="N624" s="5"/>
    </row>
    <row r="625" spans="2:14" ht="13">
      <c r="B625" s="2"/>
      <c r="E625" s="5"/>
      <c r="H625" s="5"/>
      <c r="K625" s="5"/>
      <c r="N625" s="5"/>
    </row>
    <row r="626" spans="2:14" ht="13">
      <c r="B626" s="2"/>
      <c r="E626" s="5"/>
      <c r="H626" s="5"/>
      <c r="K626" s="5"/>
      <c r="N626" s="5"/>
    </row>
    <row r="627" spans="2:14" ht="13">
      <c r="B627" s="2"/>
      <c r="E627" s="5"/>
      <c r="H627" s="5"/>
      <c r="K627" s="5"/>
      <c r="N627" s="5"/>
    </row>
    <row r="628" spans="2:14" ht="13">
      <c r="B628" s="2"/>
      <c r="E628" s="5"/>
      <c r="H628" s="5"/>
      <c r="K628" s="5"/>
      <c r="N628" s="5"/>
    </row>
    <row r="629" spans="2:14" ht="13">
      <c r="B629" s="2"/>
      <c r="E629" s="5"/>
      <c r="H629" s="5"/>
      <c r="K629" s="5"/>
      <c r="N629" s="5"/>
    </row>
    <row r="630" spans="2:14" ht="13">
      <c r="B630" s="2"/>
      <c r="E630" s="5"/>
      <c r="H630" s="5"/>
      <c r="K630" s="5"/>
      <c r="N630" s="5"/>
    </row>
    <row r="631" spans="2:14" ht="13">
      <c r="B631" s="2"/>
      <c r="E631" s="5"/>
      <c r="H631" s="5"/>
      <c r="K631" s="5"/>
      <c r="N631" s="5"/>
    </row>
    <row r="632" spans="2:14" ht="13">
      <c r="B632" s="2"/>
      <c r="E632" s="5"/>
      <c r="H632" s="5"/>
      <c r="K632" s="5"/>
      <c r="N632" s="5"/>
    </row>
    <row r="633" spans="2:14" ht="13">
      <c r="B633" s="2"/>
      <c r="E633" s="5"/>
      <c r="H633" s="5"/>
      <c r="K633" s="5"/>
      <c r="N633" s="5"/>
    </row>
    <row r="634" spans="2:14" ht="13">
      <c r="B634" s="2"/>
      <c r="E634" s="5"/>
      <c r="H634" s="5"/>
      <c r="K634" s="5"/>
      <c r="N634" s="5"/>
    </row>
    <row r="635" spans="2:14" ht="13">
      <c r="B635" s="2"/>
      <c r="E635" s="5"/>
      <c r="H635" s="5"/>
      <c r="K635" s="5"/>
      <c r="N635" s="5"/>
    </row>
    <row r="636" spans="2:14" ht="13">
      <c r="B636" s="2"/>
      <c r="E636" s="5"/>
      <c r="H636" s="5"/>
      <c r="K636" s="5"/>
      <c r="N636" s="5"/>
    </row>
    <row r="637" spans="2:14" ht="13">
      <c r="B637" s="2"/>
      <c r="E637" s="5"/>
      <c r="H637" s="5"/>
      <c r="K637" s="5"/>
      <c r="N637" s="5"/>
    </row>
    <row r="638" spans="2:14" ht="13">
      <c r="B638" s="2"/>
      <c r="E638" s="5"/>
      <c r="H638" s="5"/>
      <c r="K638" s="5"/>
      <c r="N638" s="5"/>
    </row>
    <row r="639" spans="2:14" ht="13">
      <c r="B639" s="2"/>
      <c r="E639" s="5"/>
      <c r="H639" s="5"/>
      <c r="K639" s="5"/>
      <c r="N639" s="5"/>
    </row>
    <row r="640" spans="2:14" ht="13">
      <c r="B640" s="2"/>
      <c r="E640" s="5"/>
      <c r="H640" s="5"/>
      <c r="K640" s="5"/>
      <c r="N640" s="5"/>
    </row>
    <row r="641" spans="2:14" ht="13">
      <c r="B641" s="2"/>
      <c r="E641" s="5"/>
      <c r="H641" s="5"/>
      <c r="K641" s="5"/>
      <c r="N641" s="5"/>
    </row>
    <row r="642" spans="2:14" ht="13">
      <c r="B642" s="2"/>
      <c r="E642" s="5"/>
      <c r="H642" s="5"/>
      <c r="K642" s="5"/>
      <c r="N642" s="5"/>
    </row>
    <row r="643" spans="2:14" ht="13">
      <c r="B643" s="2"/>
      <c r="E643" s="5"/>
      <c r="H643" s="5"/>
      <c r="K643" s="5"/>
      <c r="N643" s="5"/>
    </row>
    <row r="644" spans="2:14" ht="13">
      <c r="B644" s="2"/>
      <c r="E644" s="5"/>
      <c r="H644" s="5"/>
      <c r="K644" s="5"/>
      <c r="N644" s="5"/>
    </row>
    <row r="645" spans="2:14" ht="13">
      <c r="B645" s="2"/>
      <c r="E645" s="5"/>
      <c r="H645" s="5"/>
      <c r="K645" s="5"/>
      <c r="N645" s="5"/>
    </row>
    <row r="646" spans="2:14" ht="13">
      <c r="B646" s="2"/>
      <c r="E646" s="5"/>
      <c r="H646" s="5"/>
      <c r="K646" s="5"/>
      <c r="N646" s="5"/>
    </row>
    <row r="647" spans="2:14" ht="13">
      <c r="B647" s="2"/>
      <c r="E647" s="5"/>
      <c r="H647" s="5"/>
      <c r="K647" s="5"/>
      <c r="N647" s="5"/>
    </row>
    <row r="648" spans="2:14" ht="13">
      <c r="B648" s="2"/>
      <c r="E648" s="5"/>
      <c r="H648" s="5"/>
      <c r="K648" s="5"/>
      <c r="N648" s="5"/>
    </row>
    <row r="649" spans="2:14" ht="13">
      <c r="B649" s="2"/>
      <c r="E649" s="5"/>
      <c r="H649" s="5"/>
      <c r="K649" s="5"/>
      <c r="N649" s="5"/>
    </row>
    <row r="650" spans="2:14" ht="13">
      <c r="B650" s="2"/>
      <c r="E650" s="5"/>
      <c r="H650" s="5"/>
      <c r="K650" s="5"/>
      <c r="N650" s="5"/>
    </row>
    <row r="651" spans="2:14" ht="13">
      <c r="B651" s="2"/>
      <c r="E651" s="5"/>
      <c r="H651" s="5"/>
      <c r="K651" s="5"/>
      <c r="N651" s="5"/>
    </row>
    <row r="652" spans="2:14" ht="13">
      <c r="B652" s="2"/>
      <c r="E652" s="5"/>
      <c r="H652" s="5"/>
      <c r="K652" s="5"/>
      <c r="N652" s="5"/>
    </row>
    <row r="653" spans="2:14" ht="13">
      <c r="B653" s="2"/>
      <c r="E653" s="5"/>
      <c r="H653" s="5"/>
      <c r="K653" s="5"/>
      <c r="N653" s="5"/>
    </row>
    <row r="654" spans="2:14" ht="13">
      <c r="B654" s="2"/>
      <c r="E654" s="5"/>
      <c r="H654" s="5"/>
      <c r="K654" s="5"/>
      <c r="N654" s="5"/>
    </row>
    <row r="655" spans="2:14" ht="13">
      <c r="B655" s="2"/>
      <c r="E655" s="5"/>
      <c r="H655" s="5"/>
      <c r="K655" s="5"/>
      <c r="N655" s="5"/>
    </row>
    <row r="656" spans="2:14" ht="13">
      <c r="B656" s="2"/>
      <c r="E656" s="5"/>
      <c r="H656" s="5"/>
      <c r="K656" s="5"/>
      <c r="N656" s="5"/>
    </row>
    <row r="657" spans="2:14" ht="13">
      <c r="B657" s="2"/>
      <c r="E657" s="5"/>
      <c r="H657" s="5"/>
      <c r="K657" s="5"/>
      <c r="N657" s="5"/>
    </row>
    <row r="658" spans="2:14" ht="13">
      <c r="B658" s="2"/>
      <c r="E658" s="5"/>
      <c r="H658" s="5"/>
      <c r="K658" s="5"/>
      <c r="N658" s="5"/>
    </row>
    <row r="659" spans="2:14" ht="13">
      <c r="B659" s="2"/>
      <c r="E659" s="5"/>
      <c r="H659" s="5"/>
      <c r="K659" s="5"/>
      <c r="N659" s="5"/>
    </row>
    <row r="660" spans="2:14" ht="13">
      <c r="B660" s="2"/>
      <c r="E660" s="5"/>
      <c r="H660" s="5"/>
      <c r="K660" s="5"/>
      <c r="N660" s="5"/>
    </row>
    <row r="661" spans="2:14" ht="13">
      <c r="B661" s="2"/>
      <c r="E661" s="5"/>
      <c r="H661" s="5"/>
      <c r="K661" s="5"/>
      <c r="N661" s="5"/>
    </row>
    <row r="662" spans="2:14" ht="13">
      <c r="B662" s="2"/>
      <c r="E662" s="5"/>
      <c r="H662" s="5"/>
      <c r="K662" s="5"/>
      <c r="N662" s="5"/>
    </row>
    <row r="663" spans="2:14" ht="13">
      <c r="B663" s="2"/>
      <c r="E663" s="5"/>
      <c r="H663" s="5"/>
      <c r="K663" s="5"/>
      <c r="N663" s="5"/>
    </row>
    <row r="664" spans="2:14" ht="13">
      <c r="B664" s="2"/>
      <c r="E664" s="5"/>
      <c r="H664" s="5"/>
      <c r="K664" s="5"/>
      <c r="N664" s="5"/>
    </row>
    <row r="665" spans="2:14" ht="13">
      <c r="B665" s="2"/>
      <c r="E665" s="5"/>
      <c r="H665" s="5"/>
      <c r="K665" s="5"/>
      <c r="N665" s="5"/>
    </row>
    <row r="666" spans="2:14" ht="13">
      <c r="B666" s="2"/>
      <c r="E666" s="5"/>
      <c r="H666" s="5"/>
      <c r="K666" s="5"/>
      <c r="N666" s="5"/>
    </row>
    <row r="667" spans="2:14" ht="13">
      <c r="B667" s="2"/>
      <c r="E667" s="5"/>
      <c r="H667" s="5"/>
      <c r="K667" s="5"/>
      <c r="N667" s="5"/>
    </row>
    <row r="668" spans="2:14" ht="13">
      <c r="B668" s="2"/>
      <c r="E668" s="5"/>
      <c r="H668" s="5"/>
      <c r="K668" s="5"/>
      <c r="N668" s="5"/>
    </row>
    <row r="669" spans="2:14" ht="13">
      <c r="B669" s="2"/>
      <c r="E669" s="5"/>
      <c r="H669" s="5"/>
      <c r="K669" s="5"/>
      <c r="N669" s="5"/>
    </row>
    <row r="670" spans="2:14" ht="13">
      <c r="B670" s="2"/>
      <c r="E670" s="5"/>
      <c r="H670" s="5"/>
      <c r="K670" s="5"/>
      <c r="N670" s="5"/>
    </row>
    <row r="671" spans="2:14" ht="13">
      <c r="B671" s="2"/>
      <c r="E671" s="5"/>
      <c r="H671" s="5"/>
      <c r="K671" s="5"/>
      <c r="N671" s="5"/>
    </row>
    <row r="672" spans="2:14" ht="13">
      <c r="B672" s="2"/>
      <c r="E672" s="5"/>
      <c r="H672" s="5"/>
      <c r="K672" s="5"/>
      <c r="N672" s="5"/>
    </row>
    <row r="673" spans="2:14" ht="13">
      <c r="B673" s="2"/>
      <c r="E673" s="5"/>
      <c r="H673" s="5"/>
      <c r="K673" s="5"/>
      <c r="N673" s="5"/>
    </row>
    <row r="674" spans="2:14" ht="13">
      <c r="B674" s="2"/>
      <c r="E674" s="5"/>
      <c r="H674" s="5"/>
      <c r="K674" s="5"/>
      <c r="N674" s="5"/>
    </row>
    <row r="675" spans="2:14" ht="13">
      <c r="B675" s="2"/>
      <c r="E675" s="5"/>
      <c r="H675" s="5"/>
      <c r="K675" s="5"/>
      <c r="N675" s="5"/>
    </row>
    <row r="676" spans="2:14" ht="13">
      <c r="B676" s="2"/>
      <c r="E676" s="5"/>
      <c r="H676" s="5"/>
      <c r="K676" s="5"/>
      <c r="N676" s="5"/>
    </row>
    <row r="677" spans="2:14" ht="13">
      <c r="B677" s="2"/>
      <c r="E677" s="5"/>
      <c r="H677" s="5"/>
      <c r="K677" s="5"/>
      <c r="N677" s="5"/>
    </row>
    <row r="678" spans="2:14" ht="13">
      <c r="B678" s="2"/>
      <c r="E678" s="5"/>
      <c r="H678" s="5"/>
      <c r="K678" s="5"/>
      <c r="N678" s="5"/>
    </row>
    <row r="679" spans="2:14" ht="13">
      <c r="B679" s="2"/>
      <c r="E679" s="5"/>
      <c r="H679" s="5"/>
      <c r="K679" s="5"/>
      <c r="N679" s="5"/>
    </row>
    <row r="680" spans="2:14" ht="13">
      <c r="B680" s="2"/>
      <c r="E680" s="5"/>
      <c r="H680" s="5"/>
      <c r="K680" s="5"/>
      <c r="N680" s="5"/>
    </row>
    <row r="681" spans="2:14" ht="13">
      <c r="B681" s="2"/>
      <c r="E681" s="5"/>
      <c r="H681" s="5"/>
      <c r="K681" s="5"/>
      <c r="N681" s="5"/>
    </row>
    <row r="682" spans="2:14" ht="13">
      <c r="B682" s="2"/>
      <c r="E682" s="5"/>
      <c r="H682" s="5"/>
      <c r="K682" s="5"/>
      <c r="N682" s="5"/>
    </row>
    <row r="683" spans="2:14" ht="13">
      <c r="B683" s="2"/>
      <c r="E683" s="5"/>
      <c r="H683" s="5"/>
      <c r="K683" s="5"/>
      <c r="N683" s="5"/>
    </row>
    <row r="684" spans="2:14" ht="13">
      <c r="B684" s="2"/>
      <c r="E684" s="5"/>
      <c r="H684" s="5"/>
      <c r="K684" s="5"/>
      <c r="N684" s="5"/>
    </row>
    <row r="685" spans="2:14" ht="13">
      <c r="B685" s="2"/>
      <c r="E685" s="5"/>
      <c r="H685" s="5"/>
      <c r="K685" s="5"/>
      <c r="N685" s="5"/>
    </row>
    <row r="686" spans="2:14" ht="13">
      <c r="B686" s="2"/>
      <c r="E686" s="5"/>
      <c r="H686" s="5"/>
      <c r="K686" s="5"/>
      <c r="N686" s="5"/>
    </row>
    <row r="687" spans="2:14" ht="13">
      <c r="B687" s="2"/>
      <c r="E687" s="5"/>
      <c r="H687" s="5"/>
      <c r="K687" s="5"/>
      <c r="N687" s="5"/>
    </row>
    <row r="688" spans="2:14" ht="13">
      <c r="B688" s="2"/>
      <c r="E688" s="5"/>
      <c r="H688" s="5"/>
      <c r="K688" s="5"/>
      <c r="N688" s="5"/>
    </row>
    <row r="689" spans="2:14" ht="13">
      <c r="B689" s="2"/>
      <c r="E689" s="5"/>
      <c r="H689" s="5"/>
      <c r="K689" s="5"/>
      <c r="N689" s="5"/>
    </row>
    <row r="690" spans="2:14" ht="13">
      <c r="B690" s="2"/>
      <c r="E690" s="5"/>
      <c r="H690" s="5"/>
      <c r="K690" s="5"/>
      <c r="N690" s="5"/>
    </row>
    <row r="691" spans="2:14" ht="13">
      <c r="B691" s="2"/>
      <c r="E691" s="5"/>
      <c r="H691" s="5"/>
      <c r="K691" s="5"/>
      <c r="N691" s="5"/>
    </row>
    <row r="692" spans="2:14" ht="13">
      <c r="B692" s="2"/>
      <c r="E692" s="5"/>
      <c r="H692" s="5"/>
      <c r="K692" s="5"/>
      <c r="N692" s="5"/>
    </row>
    <row r="693" spans="2:14" ht="13">
      <c r="B693" s="2"/>
      <c r="E693" s="5"/>
      <c r="H693" s="5"/>
      <c r="K693" s="5"/>
      <c r="N693" s="5"/>
    </row>
    <row r="694" spans="2:14" ht="13">
      <c r="B694" s="2"/>
      <c r="E694" s="5"/>
      <c r="H694" s="5"/>
      <c r="K694" s="5"/>
      <c r="N694" s="5"/>
    </row>
    <row r="695" spans="2:14" ht="13">
      <c r="B695" s="2"/>
      <c r="E695" s="5"/>
      <c r="H695" s="5"/>
      <c r="K695" s="5"/>
      <c r="N695" s="5"/>
    </row>
    <row r="696" spans="2:14" ht="13">
      <c r="B696" s="2"/>
      <c r="E696" s="5"/>
      <c r="H696" s="5"/>
      <c r="K696" s="5"/>
      <c r="N696" s="5"/>
    </row>
    <row r="697" spans="2:14" ht="13">
      <c r="B697" s="2"/>
      <c r="E697" s="5"/>
      <c r="H697" s="5"/>
      <c r="K697" s="5"/>
      <c r="N697" s="5"/>
    </row>
    <row r="698" spans="2:14" ht="13">
      <c r="B698" s="2"/>
      <c r="E698" s="5"/>
      <c r="H698" s="5"/>
      <c r="K698" s="5"/>
      <c r="N698" s="5"/>
    </row>
    <row r="699" spans="2:14" ht="13">
      <c r="B699" s="2"/>
      <c r="E699" s="5"/>
      <c r="H699" s="5"/>
      <c r="K699" s="5"/>
      <c r="N699" s="5"/>
    </row>
    <row r="700" spans="2:14" ht="13">
      <c r="B700" s="2"/>
      <c r="E700" s="5"/>
      <c r="H700" s="5"/>
      <c r="K700" s="5"/>
      <c r="N700" s="5"/>
    </row>
    <row r="701" spans="2:14" ht="13">
      <c r="B701" s="2"/>
      <c r="E701" s="5"/>
      <c r="H701" s="5"/>
      <c r="K701" s="5"/>
      <c r="N701" s="5"/>
    </row>
    <row r="702" spans="2:14" ht="13">
      <c r="B702" s="2"/>
      <c r="E702" s="5"/>
      <c r="H702" s="5"/>
      <c r="K702" s="5"/>
      <c r="N702" s="5"/>
    </row>
    <row r="703" spans="2:14" ht="13">
      <c r="B703" s="2"/>
      <c r="E703" s="5"/>
      <c r="H703" s="5"/>
      <c r="K703" s="5"/>
      <c r="N703" s="5"/>
    </row>
    <row r="704" spans="2:14" ht="13">
      <c r="B704" s="2"/>
      <c r="E704" s="5"/>
      <c r="H704" s="5"/>
      <c r="K704" s="5"/>
      <c r="N704" s="5"/>
    </row>
    <row r="705" spans="2:14" ht="13">
      <c r="B705" s="2"/>
      <c r="E705" s="5"/>
      <c r="H705" s="5"/>
      <c r="K705" s="5"/>
      <c r="N705" s="5"/>
    </row>
    <row r="706" spans="2:14" ht="13">
      <c r="B706" s="2"/>
      <c r="E706" s="5"/>
      <c r="H706" s="5"/>
      <c r="K706" s="5"/>
      <c r="N706" s="5"/>
    </row>
    <row r="707" spans="2:14" ht="13">
      <c r="B707" s="2"/>
      <c r="E707" s="5"/>
      <c r="H707" s="5"/>
      <c r="K707" s="5"/>
      <c r="N707" s="5"/>
    </row>
    <row r="708" spans="2:14" ht="13">
      <c r="B708" s="2"/>
      <c r="E708" s="5"/>
      <c r="H708" s="5"/>
      <c r="K708" s="5"/>
      <c r="N708" s="5"/>
    </row>
    <row r="709" spans="2:14" ht="13">
      <c r="B709" s="2"/>
      <c r="E709" s="5"/>
      <c r="H709" s="5"/>
      <c r="K709" s="5"/>
      <c r="N709" s="5"/>
    </row>
    <row r="710" spans="2:14" ht="13">
      <c r="B710" s="2"/>
      <c r="E710" s="5"/>
      <c r="H710" s="5"/>
      <c r="K710" s="5"/>
      <c r="N710" s="5"/>
    </row>
    <row r="711" spans="2:14" ht="13">
      <c r="B711" s="2"/>
      <c r="E711" s="5"/>
      <c r="H711" s="5"/>
      <c r="K711" s="5"/>
      <c r="N711" s="5"/>
    </row>
    <row r="712" spans="2:14" ht="13">
      <c r="B712" s="2"/>
      <c r="E712" s="5"/>
      <c r="H712" s="5"/>
      <c r="K712" s="5"/>
      <c r="N712" s="5"/>
    </row>
    <row r="713" spans="2:14" ht="13">
      <c r="B713" s="2"/>
      <c r="E713" s="5"/>
      <c r="H713" s="5"/>
      <c r="K713" s="5"/>
      <c r="N713" s="5"/>
    </row>
    <row r="714" spans="2:14" ht="13">
      <c r="B714" s="2"/>
      <c r="E714" s="5"/>
      <c r="H714" s="5"/>
      <c r="K714" s="5"/>
      <c r="N714" s="5"/>
    </row>
    <row r="715" spans="2:14" ht="13">
      <c r="B715" s="2"/>
      <c r="E715" s="5"/>
      <c r="H715" s="5"/>
      <c r="K715" s="5"/>
      <c r="N715" s="5"/>
    </row>
    <row r="716" spans="2:14" ht="13">
      <c r="B716" s="2"/>
      <c r="E716" s="5"/>
      <c r="H716" s="5"/>
      <c r="K716" s="5"/>
      <c r="N716" s="5"/>
    </row>
    <row r="717" spans="2:14" ht="13">
      <c r="B717" s="2"/>
      <c r="E717" s="5"/>
      <c r="H717" s="5"/>
      <c r="K717" s="5"/>
      <c r="N717" s="5"/>
    </row>
    <row r="718" spans="2:14" ht="13">
      <c r="B718" s="2"/>
      <c r="E718" s="5"/>
      <c r="H718" s="5"/>
      <c r="K718" s="5"/>
      <c r="N718" s="5"/>
    </row>
    <row r="719" spans="2:14" ht="13">
      <c r="B719" s="2"/>
      <c r="E719" s="5"/>
      <c r="H719" s="5"/>
      <c r="K719" s="5"/>
      <c r="N719" s="5"/>
    </row>
    <row r="720" spans="2:14" ht="13">
      <c r="B720" s="2"/>
      <c r="E720" s="5"/>
      <c r="H720" s="5"/>
      <c r="K720" s="5"/>
      <c r="N720" s="5"/>
    </row>
    <row r="721" spans="2:14" ht="13">
      <c r="B721" s="2"/>
      <c r="E721" s="5"/>
      <c r="H721" s="5"/>
      <c r="K721" s="5"/>
      <c r="N721" s="5"/>
    </row>
    <row r="722" spans="2:14" ht="13">
      <c r="B722" s="2"/>
      <c r="E722" s="5"/>
      <c r="H722" s="5"/>
      <c r="K722" s="5"/>
      <c r="N722" s="5"/>
    </row>
    <row r="723" spans="2:14" ht="13">
      <c r="B723" s="2"/>
      <c r="E723" s="5"/>
      <c r="H723" s="5"/>
      <c r="K723" s="5"/>
      <c r="N723" s="5"/>
    </row>
    <row r="724" spans="2:14" ht="13">
      <c r="B724" s="2"/>
      <c r="E724" s="5"/>
      <c r="H724" s="5"/>
      <c r="K724" s="5"/>
      <c r="N724" s="5"/>
    </row>
    <row r="725" spans="2:14" ht="13">
      <c r="B725" s="2"/>
      <c r="E725" s="5"/>
      <c r="H725" s="5"/>
      <c r="K725" s="5"/>
      <c r="N725" s="5"/>
    </row>
    <row r="726" spans="2:14" ht="13">
      <c r="B726" s="2"/>
      <c r="E726" s="5"/>
      <c r="H726" s="5"/>
      <c r="K726" s="5"/>
      <c r="N726" s="5"/>
    </row>
    <row r="727" spans="2:14" ht="13">
      <c r="B727" s="2"/>
      <c r="E727" s="5"/>
      <c r="H727" s="5"/>
      <c r="K727" s="5"/>
      <c r="N727" s="5"/>
    </row>
    <row r="728" spans="2:14" ht="13">
      <c r="B728" s="2"/>
      <c r="E728" s="5"/>
      <c r="H728" s="5"/>
      <c r="K728" s="5"/>
      <c r="N728" s="5"/>
    </row>
    <row r="729" spans="2:14" ht="13">
      <c r="B729" s="2"/>
      <c r="E729" s="5"/>
      <c r="H729" s="5"/>
      <c r="K729" s="5"/>
      <c r="N729" s="5"/>
    </row>
    <row r="730" spans="2:14" ht="13">
      <c r="B730" s="2"/>
      <c r="E730" s="5"/>
      <c r="H730" s="5"/>
      <c r="K730" s="5"/>
      <c r="N730" s="5"/>
    </row>
    <row r="731" spans="2:14" ht="13">
      <c r="B731" s="2"/>
      <c r="E731" s="5"/>
      <c r="H731" s="5"/>
      <c r="K731" s="5"/>
      <c r="N731" s="5"/>
    </row>
    <row r="732" spans="2:14" ht="13">
      <c r="B732" s="2"/>
      <c r="E732" s="5"/>
      <c r="H732" s="5"/>
      <c r="K732" s="5"/>
      <c r="N732" s="5"/>
    </row>
    <row r="733" spans="2:14" ht="13">
      <c r="B733" s="2"/>
      <c r="E733" s="5"/>
      <c r="H733" s="5"/>
      <c r="K733" s="5"/>
      <c r="N733" s="5"/>
    </row>
    <row r="734" spans="2:14" ht="13">
      <c r="B734" s="2"/>
      <c r="E734" s="5"/>
      <c r="H734" s="5"/>
      <c r="K734" s="5"/>
      <c r="N734" s="5"/>
    </row>
    <row r="735" spans="2:14" ht="13">
      <c r="B735" s="2"/>
      <c r="E735" s="5"/>
      <c r="H735" s="5"/>
      <c r="K735" s="5"/>
      <c r="N735" s="5"/>
    </row>
    <row r="736" spans="2:14" ht="13">
      <c r="B736" s="2"/>
      <c r="E736" s="5"/>
      <c r="H736" s="5"/>
      <c r="K736" s="5"/>
      <c r="N736" s="5"/>
    </row>
    <row r="737" spans="2:14" ht="13">
      <c r="B737" s="2"/>
      <c r="E737" s="5"/>
      <c r="H737" s="5"/>
      <c r="K737" s="5"/>
      <c r="N737" s="5"/>
    </row>
    <row r="738" spans="2:14" ht="13">
      <c r="B738" s="2"/>
      <c r="E738" s="5"/>
      <c r="H738" s="5"/>
      <c r="K738" s="5"/>
      <c r="N738" s="5"/>
    </row>
    <row r="739" spans="2:14" ht="13">
      <c r="B739" s="2"/>
      <c r="E739" s="5"/>
      <c r="H739" s="5"/>
      <c r="K739" s="5"/>
      <c r="N739" s="5"/>
    </row>
    <row r="740" spans="2:14" ht="13">
      <c r="B740" s="2"/>
      <c r="E740" s="5"/>
      <c r="H740" s="5"/>
      <c r="K740" s="5"/>
      <c r="N740" s="5"/>
    </row>
    <row r="741" spans="2:14" ht="13">
      <c r="B741" s="2"/>
      <c r="E741" s="5"/>
      <c r="H741" s="5"/>
      <c r="K741" s="5"/>
      <c r="N741" s="5"/>
    </row>
    <row r="742" spans="2:14" ht="13">
      <c r="B742" s="2"/>
      <c r="E742" s="5"/>
      <c r="H742" s="5"/>
      <c r="K742" s="5"/>
      <c r="N742" s="5"/>
    </row>
    <row r="743" spans="2:14" ht="13">
      <c r="B743" s="2"/>
      <c r="E743" s="5"/>
      <c r="H743" s="5"/>
      <c r="K743" s="5"/>
      <c r="N743" s="5"/>
    </row>
    <row r="744" spans="2:14" ht="13">
      <c r="B744" s="2"/>
      <c r="E744" s="5"/>
      <c r="H744" s="5"/>
      <c r="K744" s="5"/>
      <c r="N744" s="5"/>
    </row>
    <row r="745" spans="2:14" ht="13">
      <c r="B745" s="2"/>
      <c r="E745" s="5"/>
      <c r="H745" s="5"/>
      <c r="K745" s="5"/>
      <c r="N745" s="5"/>
    </row>
    <row r="746" spans="2:14" ht="13">
      <c r="B746" s="2"/>
      <c r="E746" s="5"/>
      <c r="H746" s="5"/>
      <c r="K746" s="5"/>
      <c r="N746" s="5"/>
    </row>
    <row r="747" spans="2:14" ht="13">
      <c r="B747" s="2"/>
      <c r="E747" s="5"/>
      <c r="H747" s="5"/>
      <c r="K747" s="5"/>
      <c r="N747" s="5"/>
    </row>
    <row r="748" spans="2:14" ht="13">
      <c r="B748" s="2"/>
      <c r="E748" s="5"/>
      <c r="H748" s="5"/>
      <c r="K748" s="5"/>
      <c r="N748" s="5"/>
    </row>
    <row r="749" spans="2:14" ht="13">
      <c r="B749" s="2"/>
      <c r="E749" s="5"/>
      <c r="H749" s="5"/>
      <c r="K749" s="5"/>
      <c r="N749" s="5"/>
    </row>
    <row r="750" spans="2:14" ht="13">
      <c r="B750" s="2"/>
      <c r="E750" s="5"/>
      <c r="H750" s="5"/>
      <c r="K750" s="5"/>
      <c r="N750" s="5"/>
    </row>
    <row r="751" spans="2:14" ht="13">
      <c r="B751" s="2"/>
      <c r="E751" s="5"/>
      <c r="H751" s="5"/>
      <c r="K751" s="5"/>
      <c r="N751" s="5"/>
    </row>
    <row r="752" spans="2:14" ht="13">
      <c r="B752" s="2"/>
      <c r="E752" s="5"/>
      <c r="H752" s="5"/>
      <c r="K752" s="5"/>
      <c r="N752" s="5"/>
    </row>
    <row r="753" spans="2:14" ht="13">
      <c r="B753" s="2"/>
      <c r="E753" s="5"/>
      <c r="H753" s="5"/>
      <c r="K753" s="5"/>
      <c r="N753" s="5"/>
    </row>
    <row r="754" spans="2:14" ht="13">
      <c r="B754" s="2"/>
      <c r="E754" s="5"/>
      <c r="H754" s="5"/>
      <c r="K754" s="5"/>
      <c r="N754" s="5"/>
    </row>
    <row r="755" spans="2:14" ht="13">
      <c r="B755" s="2"/>
      <c r="E755" s="5"/>
      <c r="H755" s="5"/>
      <c r="K755" s="5"/>
      <c r="N755" s="5"/>
    </row>
    <row r="756" spans="2:14" ht="13">
      <c r="B756" s="2"/>
      <c r="E756" s="5"/>
      <c r="H756" s="5"/>
      <c r="K756" s="5"/>
      <c r="N756" s="5"/>
    </row>
    <row r="757" spans="2:14" ht="13">
      <c r="B757" s="2"/>
      <c r="E757" s="5"/>
      <c r="H757" s="5"/>
      <c r="K757" s="5"/>
      <c r="N757" s="5"/>
    </row>
    <row r="758" spans="2:14" ht="13">
      <c r="B758" s="2"/>
      <c r="E758" s="5"/>
      <c r="H758" s="5"/>
      <c r="K758" s="5"/>
      <c r="N758" s="5"/>
    </row>
    <row r="759" spans="2:14" ht="13">
      <c r="B759" s="2"/>
      <c r="E759" s="5"/>
      <c r="H759" s="5"/>
      <c r="K759" s="5"/>
      <c r="N759" s="5"/>
    </row>
    <row r="760" spans="2:14" ht="13">
      <c r="B760" s="2"/>
      <c r="E760" s="5"/>
      <c r="H760" s="5"/>
      <c r="K760" s="5"/>
      <c r="N760" s="5"/>
    </row>
    <row r="761" spans="2:14" ht="13">
      <c r="B761" s="2"/>
      <c r="E761" s="5"/>
      <c r="H761" s="5"/>
      <c r="K761" s="5"/>
      <c r="N761" s="5"/>
    </row>
    <row r="762" spans="2:14" ht="13">
      <c r="B762" s="2"/>
      <c r="E762" s="5"/>
      <c r="H762" s="5"/>
      <c r="K762" s="5"/>
      <c r="N762" s="5"/>
    </row>
    <row r="763" spans="2:14" ht="13">
      <c r="B763" s="2"/>
      <c r="E763" s="5"/>
      <c r="H763" s="5"/>
      <c r="K763" s="5"/>
      <c r="N763" s="5"/>
    </row>
    <row r="764" spans="2:14" ht="13">
      <c r="B764" s="2"/>
      <c r="E764" s="5"/>
      <c r="H764" s="5"/>
      <c r="K764" s="5"/>
      <c r="N764" s="5"/>
    </row>
    <row r="765" spans="2:14" ht="13">
      <c r="B765" s="2"/>
      <c r="E765" s="5"/>
      <c r="H765" s="5"/>
      <c r="K765" s="5"/>
      <c r="N765" s="5"/>
    </row>
    <row r="766" spans="2:14" ht="13">
      <c r="B766" s="2"/>
      <c r="E766" s="5"/>
      <c r="H766" s="5"/>
      <c r="K766" s="5"/>
      <c r="N766" s="5"/>
    </row>
    <row r="767" spans="2:14" ht="13">
      <c r="B767" s="2"/>
      <c r="E767" s="5"/>
      <c r="H767" s="5"/>
      <c r="K767" s="5"/>
      <c r="N767" s="5"/>
    </row>
    <row r="768" spans="2:14" ht="13">
      <c r="B768" s="2"/>
      <c r="E768" s="5"/>
      <c r="H768" s="5"/>
      <c r="K768" s="5"/>
      <c r="N768" s="5"/>
    </row>
    <row r="769" spans="2:14" ht="13">
      <c r="B769" s="2"/>
      <c r="E769" s="5"/>
      <c r="H769" s="5"/>
      <c r="K769" s="5"/>
      <c r="N769" s="5"/>
    </row>
    <row r="770" spans="2:14" ht="13">
      <c r="B770" s="2"/>
      <c r="E770" s="5"/>
      <c r="H770" s="5"/>
      <c r="K770" s="5"/>
      <c r="N770" s="5"/>
    </row>
    <row r="771" spans="2:14" ht="13">
      <c r="B771" s="2"/>
      <c r="E771" s="5"/>
      <c r="H771" s="5"/>
      <c r="K771" s="5"/>
      <c r="N771" s="5"/>
    </row>
    <row r="772" spans="2:14" ht="13">
      <c r="B772" s="2"/>
      <c r="E772" s="5"/>
      <c r="H772" s="5"/>
      <c r="K772" s="5"/>
      <c r="N772" s="5"/>
    </row>
    <row r="773" spans="2:14" ht="13">
      <c r="B773" s="2"/>
      <c r="E773" s="5"/>
      <c r="H773" s="5"/>
      <c r="K773" s="5"/>
      <c r="N773" s="5"/>
    </row>
    <row r="774" spans="2:14" ht="13">
      <c r="B774" s="2"/>
      <c r="E774" s="5"/>
      <c r="H774" s="5"/>
      <c r="K774" s="5"/>
      <c r="N774" s="5"/>
    </row>
    <row r="775" spans="2:14" ht="13">
      <c r="B775" s="2"/>
      <c r="E775" s="5"/>
      <c r="H775" s="5"/>
      <c r="K775" s="5"/>
      <c r="N775" s="5"/>
    </row>
    <row r="776" spans="2:14" ht="13">
      <c r="B776" s="2"/>
      <c r="E776" s="5"/>
      <c r="H776" s="5"/>
      <c r="K776" s="5"/>
      <c r="N776" s="5"/>
    </row>
    <row r="777" spans="2:14" ht="13">
      <c r="B777" s="2"/>
      <c r="E777" s="5"/>
      <c r="H777" s="5"/>
      <c r="K777" s="5"/>
      <c r="N777" s="5"/>
    </row>
    <row r="778" spans="2:14" ht="13">
      <c r="B778" s="2"/>
      <c r="E778" s="5"/>
      <c r="H778" s="5"/>
      <c r="K778" s="5"/>
      <c r="N778" s="5"/>
    </row>
    <row r="779" spans="2:14" ht="13">
      <c r="B779" s="2"/>
      <c r="E779" s="5"/>
      <c r="H779" s="5"/>
      <c r="K779" s="5"/>
      <c r="N779" s="5"/>
    </row>
    <row r="780" spans="2:14" ht="13">
      <c r="B780" s="2"/>
      <c r="E780" s="5"/>
      <c r="H780" s="5"/>
      <c r="K780" s="5"/>
      <c r="N780" s="5"/>
    </row>
    <row r="781" spans="2:14" ht="13">
      <c r="B781" s="2"/>
      <c r="E781" s="5"/>
      <c r="H781" s="5"/>
      <c r="K781" s="5"/>
      <c r="N781" s="5"/>
    </row>
    <row r="782" spans="2:14" ht="13">
      <c r="B782" s="2"/>
      <c r="E782" s="5"/>
      <c r="H782" s="5"/>
      <c r="K782" s="5"/>
      <c r="N782" s="5"/>
    </row>
    <row r="783" spans="2:14" ht="13">
      <c r="B783" s="2"/>
      <c r="E783" s="5"/>
      <c r="H783" s="5"/>
      <c r="K783" s="5"/>
      <c r="N783" s="5"/>
    </row>
    <row r="784" spans="2:14" ht="13">
      <c r="B784" s="2"/>
      <c r="E784" s="5"/>
      <c r="H784" s="5"/>
      <c r="K784" s="5"/>
      <c r="N784" s="5"/>
    </row>
    <row r="785" spans="2:14" ht="13">
      <c r="B785" s="2"/>
      <c r="E785" s="5"/>
      <c r="H785" s="5"/>
      <c r="K785" s="5"/>
      <c r="N785" s="5"/>
    </row>
    <row r="786" spans="2:14" ht="13">
      <c r="B786" s="2"/>
      <c r="E786" s="5"/>
      <c r="H786" s="5"/>
      <c r="K786" s="5"/>
      <c r="N786" s="5"/>
    </row>
    <row r="787" spans="2:14" ht="13">
      <c r="B787" s="2"/>
      <c r="E787" s="5"/>
      <c r="H787" s="5"/>
      <c r="K787" s="5"/>
      <c r="N787" s="5"/>
    </row>
    <row r="788" spans="2:14" ht="13">
      <c r="B788" s="2"/>
      <c r="E788" s="5"/>
      <c r="H788" s="5"/>
      <c r="K788" s="5"/>
      <c r="N788" s="5"/>
    </row>
    <row r="789" spans="2:14" ht="13">
      <c r="B789" s="2"/>
      <c r="E789" s="5"/>
      <c r="H789" s="5"/>
      <c r="K789" s="5"/>
      <c r="N789" s="5"/>
    </row>
    <row r="790" spans="2:14" ht="13">
      <c r="B790" s="2"/>
      <c r="E790" s="5"/>
      <c r="H790" s="5"/>
      <c r="K790" s="5"/>
      <c r="N790" s="5"/>
    </row>
    <row r="791" spans="2:14" ht="13">
      <c r="B791" s="2"/>
      <c r="E791" s="5"/>
      <c r="H791" s="5"/>
      <c r="K791" s="5"/>
      <c r="N791" s="5"/>
    </row>
    <row r="792" spans="2:14" ht="13">
      <c r="B792" s="2"/>
      <c r="E792" s="5"/>
      <c r="H792" s="5"/>
      <c r="K792" s="5"/>
      <c r="N792" s="5"/>
    </row>
    <row r="793" spans="2:14" ht="13">
      <c r="B793" s="2"/>
      <c r="E793" s="5"/>
      <c r="H793" s="5"/>
      <c r="K793" s="5"/>
      <c r="N793" s="5"/>
    </row>
    <row r="794" spans="2:14" ht="13">
      <c r="B794" s="2"/>
      <c r="E794" s="5"/>
      <c r="H794" s="5"/>
      <c r="K794" s="5"/>
      <c r="N794" s="5"/>
    </row>
    <row r="795" spans="2:14" ht="13">
      <c r="B795" s="2"/>
      <c r="E795" s="5"/>
      <c r="H795" s="5"/>
      <c r="K795" s="5"/>
      <c r="N795" s="5"/>
    </row>
    <row r="796" spans="2:14" ht="13">
      <c r="B796" s="2"/>
      <c r="E796" s="5"/>
      <c r="H796" s="5"/>
      <c r="K796" s="5"/>
      <c r="N796" s="5"/>
    </row>
    <row r="797" spans="2:14" ht="13">
      <c r="B797" s="2"/>
      <c r="E797" s="5"/>
      <c r="H797" s="5"/>
      <c r="K797" s="5"/>
      <c r="N797" s="5"/>
    </row>
    <row r="798" spans="2:14" ht="13">
      <c r="B798" s="2"/>
      <c r="E798" s="5"/>
      <c r="H798" s="5"/>
      <c r="K798" s="5"/>
      <c r="N798" s="5"/>
    </row>
    <row r="799" spans="2:14" ht="13">
      <c r="B799" s="2"/>
      <c r="E799" s="5"/>
      <c r="H799" s="5"/>
      <c r="K799" s="5"/>
      <c r="N799" s="5"/>
    </row>
    <row r="800" spans="2:14" ht="13">
      <c r="B800" s="2"/>
      <c r="E800" s="5"/>
      <c r="H800" s="5"/>
      <c r="K800" s="5"/>
      <c r="N800" s="5"/>
    </row>
    <row r="801" spans="2:14" ht="13">
      <c r="B801" s="2"/>
      <c r="E801" s="5"/>
      <c r="H801" s="5"/>
      <c r="K801" s="5"/>
      <c r="N801" s="5"/>
    </row>
    <row r="802" spans="2:14" ht="13">
      <c r="B802" s="2"/>
      <c r="E802" s="5"/>
      <c r="H802" s="5"/>
      <c r="K802" s="5"/>
      <c r="N802" s="5"/>
    </row>
    <row r="803" spans="2:14" ht="13">
      <c r="B803" s="2"/>
      <c r="E803" s="5"/>
      <c r="H803" s="5"/>
      <c r="K803" s="5"/>
      <c r="N803" s="5"/>
    </row>
    <row r="804" spans="2:14" ht="13">
      <c r="B804" s="2"/>
      <c r="E804" s="5"/>
      <c r="H804" s="5"/>
      <c r="K804" s="5"/>
      <c r="N804" s="5"/>
    </row>
    <row r="805" spans="2:14" ht="13">
      <c r="B805" s="2"/>
      <c r="E805" s="5"/>
      <c r="H805" s="5"/>
      <c r="K805" s="5"/>
      <c r="N805" s="5"/>
    </row>
    <row r="806" spans="2:14" ht="13">
      <c r="B806" s="2"/>
      <c r="E806" s="5"/>
      <c r="H806" s="5"/>
      <c r="K806" s="5"/>
      <c r="N806" s="5"/>
    </row>
    <row r="807" spans="2:14" ht="13">
      <c r="B807" s="2"/>
      <c r="E807" s="5"/>
      <c r="H807" s="5"/>
      <c r="K807" s="5"/>
      <c r="N807" s="5"/>
    </row>
    <row r="808" spans="2:14" ht="13">
      <c r="B808" s="2"/>
      <c r="E808" s="5"/>
      <c r="H808" s="5"/>
      <c r="K808" s="5"/>
      <c r="N808" s="5"/>
    </row>
    <row r="809" spans="2:14" ht="13">
      <c r="B809" s="2"/>
      <c r="E809" s="5"/>
      <c r="H809" s="5"/>
      <c r="K809" s="5"/>
      <c r="N809" s="5"/>
    </row>
    <row r="810" spans="2:14" ht="13">
      <c r="B810" s="2"/>
      <c r="E810" s="5"/>
      <c r="H810" s="5"/>
      <c r="K810" s="5"/>
      <c r="N810" s="5"/>
    </row>
    <row r="811" spans="2:14" ht="13">
      <c r="B811" s="2"/>
      <c r="E811" s="5"/>
      <c r="H811" s="5"/>
      <c r="K811" s="5"/>
      <c r="N811" s="5"/>
    </row>
    <row r="812" spans="2:14" ht="13">
      <c r="B812" s="2"/>
      <c r="E812" s="5"/>
      <c r="H812" s="5"/>
      <c r="K812" s="5"/>
      <c r="N812" s="5"/>
    </row>
    <row r="813" spans="2:14" ht="13">
      <c r="B813" s="2"/>
      <c r="E813" s="5"/>
      <c r="H813" s="5"/>
      <c r="K813" s="5"/>
      <c r="N813" s="5"/>
    </row>
    <row r="814" spans="2:14" ht="13">
      <c r="B814" s="2"/>
      <c r="E814" s="5"/>
      <c r="H814" s="5"/>
      <c r="K814" s="5"/>
      <c r="N814" s="5"/>
    </row>
    <row r="815" spans="2:14" ht="13">
      <c r="B815" s="2"/>
      <c r="E815" s="5"/>
      <c r="H815" s="5"/>
      <c r="K815" s="5"/>
      <c r="N815" s="5"/>
    </row>
    <row r="816" spans="2:14" ht="13">
      <c r="B816" s="2"/>
      <c r="E816" s="5"/>
      <c r="H816" s="5"/>
      <c r="K816" s="5"/>
      <c r="N816" s="5"/>
    </row>
    <row r="817" spans="2:14" ht="13">
      <c r="B817" s="2"/>
      <c r="E817" s="5"/>
      <c r="H817" s="5"/>
      <c r="K817" s="5"/>
      <c r="N817" s="5"/>
    </row>
    <row r="818" spans="2:14" ht="13">
      <c r="B818" s="2"/>
      <c r="E818" s="5"/>
      <c r="H818" s="5"/>
      <c r="K818" s="5"/>
      <c r="N818" s="5"/>
    </row>
    <row r="819" spans="2:14" ht="13">
      <c r="B819" s="2"/>
      <c r="E819" s="5"/>
      <c r="H819" s="5"/>
      <c r="K819" s="5"/>
      <c r="N819" s="5"/>
    </row>
    <row r="820" spans="2:14" ht="13">
      <c r="B820" s="2"/>
      <c r="E820" s="5"/>
      <c r="H820" s="5"/>
      <c r="K820" s="5"/>
      <c r="N820" s="5"/>
    </row>
    <row r="821" spans="2:14" ht="13">
      <c r="B821" s="2"/>
      <c r="E821" s="5"/>
      <c r="H821" s="5"/>
      <c r="K821" s="5"/>
      <c r="N821" s="5"/>
    </row>
    <row r="822" spans="2:14" ht="13">
      <c r="B822" s="2"/>
      <c r="E822" s="5"/>
      <c r="H822" s="5"/>
      <c r="K822" s="5"/>
      <c r="N822" s="5"/>
    </row>
    <row r="823" spans="2:14" ht="13">
      <c r="B823" s="2"/>
      <c r="E823" s="5"/>
      <c r="H823" s="5"/>
      <c r="K823" s="5"/>
      <c r="N823" s="5"/>
    </row>
    <row r="824" spans="2:14" ht="13">
      <c r="B824" s="2"/>
      <c r="E824" s="5"/>
      <c r="H824" s="5"/>
      <c r="K824" s="5"/>
      <c r="N824" s="5"/>
    </row>
    <row r="825" spans="2:14" ht="13">
      <c r="B825" s="2"/>
      <c r="E825" s="5"/>
      <c r="H825" s="5"/>
      <c r="K825" s="5"/>
      <c r="N825" s="5"/>
    </row>
    <row r="826" spans="2:14" ht="13">
      <c r="B826" s="2"/>
      <c r="E826" s="5"/>
      <c r="H826" s="5"/>
      <c r="K826" s="5"/>
      <c r="N826" s="5"/>
    </row>
    <row r="827" spans="2:14" ht="13">
      <c r="B827" s="2"/>
      <c r="E827" s="5"/>
      <c r="H827" s="5"/>
      <c r="K827" s="5"/>
      <c r="N827" s="5"/>
    </row>
    <row r="828" spans="2:14" ht="13">
      <c r="B828" s="2"/>
      <c r="E828" s="5"/>
      <c r="H828" s="5"/>
      <c r="K828" s="5"/>
      <c r="N828" s="5"/>
    </row>
    <row r="829" spans="2:14" ht="13">
      <c r="B829" s="2"/>
      <c r="E829" s="5"/>
      <c r="H829" s="5"/>
      <c r="K829" s="5"/>
      <c r="N829" s="5"/>
    </row>
    <row r="830" spans="2:14" ht="13">
      <c r="B830" s="2"/>
      <c r="E830" s="5"/>
      <c r="H830" s="5"/>
      <c r="K830" s="5"/>
      <c r="N830" s="5"/>
    </row>
    <row r="831" spans="2:14" ht="13">
      <c r="B831" s="2"/>
      <c r="E831" s="5"/>
      <c r="H831" s="5"/>
      <c r="K831" s="5"/>
      <c r="N831" s="5"/>
    </row>
    <row r="832" spans="2:14" ht="13">
      <c r="B832" s="2"/>
      <c r="E832" s="5"/>
      <c r="H832" s="5"/>
      <c r="K832" s="5"/>
      <c r="N832" s="5"/>
    </row>
    <row r="833" spans="2:14" ht="13">
      <c r="B833" s="2"/>
      <c r="E833" s="5"/>
      <c r="H833" s="5"/>
      <c r="K833" s="5"/>
      <c r="N833" s="5"/>
    </row>
    <row r="834" spans="2:14" ht="13">
      <c r="B834" s="2"/>
      <c r="E834" s="5"/>
      <c r="H834" s="5"/>
      <c r="K834" s="5"/>
      <c r="N834" s="5"/>
    </row>
    <row r="835" spans="2:14" ht="13">
      <c r="B835" s="2"/>
      <c r="E835" s="5"/>
      <c r="H835" s="5"/>
      <c r="K835" s="5"/>
      <c r="N835" s="5"/>
    </row>
    <row r="836" spans="2:14" ht="13">
      <c r="B836" s="2"/>
      <c r="E836" s="5"/>
      <c r="H836" s="5"/>
      <c r="K836" s="5"/>
      <c r="N836" s="5"/>
    </row>
    <row r="837" spans="2:14" ht="13">
      <c r="B837" s="2"/>
      <c r="E837" s="5"/>
      <c r="H837" s="5"/>
      <c r="K837" s="5"/>
      <c r="N837" s="5"/>
    </row>
    <row r="838" spans="2:14" ht="13">
      <c r="B838" s="2"/>
      <c r="E838" s="5"/>
      <c r="H838" s="5"/>
      <c r="K838" s="5"/>
      <c r="N838" s="5"/>
    </row>
    <row r="839" spans="2:14" ht="13">
      <c r="B839" s="2"/>
      <c r="E839" s="5"/>
      <c r="H839" s="5"/>
      <c r="K839" s="5"/>
      <c r="N839" s="5"/>
    </row>
    <row r="840" spans="2:14" ht="13">
      <c r="B840" s="2"/>
      <c r="E840" s="5"/>
      <c r="H840" s="5"/>
      <c r="K840" s="5"/>
      <c r="N840" s="5"/>
    </row>
    <row r="841" spans="2:14" ht="13">
      <c r="B841" s="2"/>
      <c r="E841" s="5"/>
      <c r="H841" s="5"/>
      <c r="K841" s="5"/>
      <c r="N841" s="5"/>
    </row>
    <row r="842" spans="2:14" ht="13">
      <c r="B842" s="2"/>
      <c r="E842" s="5"/>
      <c r="H842" s="5"/>
      <c r="K842" s="5"/>
      <c r="N842" s="5"/>
    </row>
    <row r="843" spans="2:14" ht="13">
      <c r="B843" s="2"/>
      <c r="E843" s="5"/>
      <c r="H843" s="5"/>
      <c r="K843" s="5"/>
      <c r="N843" s="5"/>
    </row>
    <row r="844" spans="2:14" ht="13">
      <c r="B844" s="2"/>
      <c r="E844" s="5"/>
      <c r="H844" s="5"/>
      <c r="K844" s="5"/>
      <c r="N844" s="5"/>
    </row>
    <row r="845" spans="2:14" ht="13">
      <c r="B845" s="2"/>
      <c r="E845" s="5"/>
      <c r="H845" s="5"/>
      <c r="K845" s="5"/>
      <c r="N845" s="5"/>
    </row>
    <row r="846" spans="2:14" ht="13">
      <c r="B846" s="2"/>
      <c r="E846" s="5"/>
      <c r="H846" s="5"/>
      <c r="K846" s="5"/>
      <c r="N846" s="5"/>
    </row>
    <row r="847" spans="2:14" ht="13">
      <c r="B847" s="2"/>
      <c r="E847" s="5"/>
      <c r="H847" s="5"/>
      <c r="K847" s="5"/>
      <c r="N847" s="5"/>
    </row>
    <row r="848" spans="2:14" ht="13">
      <c r="B848" s="2"/>
      <c r="E848" s="5"/>
      <c r="H848" s="5"/>
      <c r="K848" s="5"/>
      <c r="N848" s="5"/>
    </row>
    <row r="849" spans="2:14" ht="13">
      <c r="B849" s="2"/>
      <c r="E849" s="5"/>
      <c r="H849" s="5"/>
      <c r="K849" s="5"/>
      <c r="N849" s="5"/>
    </row>
    <row r="850" spans="2:14" ht="13">
      <c r="B850" s="2"/>
      <c r="E850" s="5"/>
      <c r="H850" s="5"/>
      <c r="K850" s="5"/>
      <c r="N850" s="5"/>
    </row>
    <row r="851" spans="2:14" ht="13">
      <c r="B851" s="2"/>
      <c r="E851" s="5"/>
      <c r="H851" s="5"/>
      <c r="K851" s="5"/>
      <c r="N851" s="5"/>
    </row>
    <row r="852" spans="2:14" ht="13">
      <c r="B852" s="2"/>
      <c r="E852" s="5"/>
      <c r="H852" s="5"/>
      <c r="K852" s="5"/>
      <c r="N852" s="5"/>
    </row>
    <row r="853" spans="2:14" ht="13">
      <c r="B853" s="2"/>
      <c r="E853" s="5"/>
      <c r="H853" s="5"/>
      <c r="K853" s="5"/>
      <c r="N853" s="5"/>
    </row>
    <row r="854" spans="2:14" ht="13">
      <c r="B854" s="2"/>
      <c r="E854" s="5"/>
      <c r="H854" s="5"/>
      <c r="K854" s="5"/>
      <c r="N854" s="5"/>
    </row>
    <row r="855" spans="2:14" ht="13">
      <c r="B855" s="2"/>
      <c r="E855" s="5"/>
      <c r="H855" s="5"/>
      <c r="K855" s="5"/>
      <c r="N855" s="5"/>
    </row>
    <row r="856" spans="2:14" ht="13">
      <c r="B856" s="2"/>
      <c r="E856" s="5"/>
      <c r="H856" s="5"/>
      <c r="K856" s="5"/>
      <c r="N856" s="5"/>
    </row>
    <row r="857" spans="2:14" ht="13">
      <c r="B857" s="2"/>
      <c r="E857" s="5"/>
      <c r="H857" s="5"/>
      <c r="K857" s="5"/>
      <c r="N857" s="5"/>
    </row>
    <row r="858" spans="2:14" ht="13">
      <c r="B858" s="2"/>
      <c r="E858" s="5"/>
      <c r="H858" s="5"/>
      <c r="K858" s="5"/>
      <c r="N858" s="5"/>
    </row>
    <row r="859" spans="2:14" ht="13">
      <c r="B859" s="2"/>
      <c r="E859" s="5"/>
      <c r="H859" s="5"/>
      <c r="K859" s="5"/>
      <c r="N859" s="5"/>
    </row>
    <row r="860" spans="2:14" ht="13">
      <c r="B860" s="2"/>
      <c r="E860" s="5"/>
      <c r="H860" s="5"/>
      <c r="K860" s="5"/>
      <c r="N860" s="5"/>
    </row>
    <row r="861" spans="2:14" ht="13">
      <c r="B861" s="2"/>
      <c r="E861" s="5"/>
      <c r="H861" s="5"/>
      <c r="K861" s="5"/>
      <c r="N861" s="5"/>
    </row>
    <row r="862" spans="2:14" ht="13">
      <c r="B862" s="2"/>
      <c r="E862" s="5"/>
      <c r="H862" s="5"/>
      <c r="K862" s="5"/>
      <c r="N862" s="5"/>
    </row>
    <row r="863" spans="2:14" ht="13">
      <c r="B863" s="2"/>
      <c r="E863" s="5"/>
      <c r="H863" s="5"/>
      <c r="K863" s="5"/>
      <c r="N863" s="5"/>
    </row>
    <row r="864" spans="2:14" ht="13">
      <c r="B864" s="2"/>
      <c r="E864" s="5"/>
      <c r="H864" s="5"/>
      <c r="K864" s="5"/>
      <c r="N864" s="5"/>
    </row>
    <row r="865" spans="2:14" ht="13">
      <c r="B865" s="2"/>
      <c r="E865" s="5"/>
      <c r="H865" s="5"/>
      <c r="K865" s="5"/>
      <c r="N865" s="5"/>
    </row>
    <row r="866" spans="2:14" ht="13">
      <c r="B866" s="2"/>
      <c r="E866" s="5"/>
      <c r="H866" s="5"/>
      <c r="K866" s="5"/>
      <c r="N866" s="5"/>
    </row>
    <row r="867" spans="2:14" ht="13">
      <c r="B867" s="2"/>
      <c r="E867" s="5"/>
      <c r="H867" s="5"/>
      <c r="K867" s="5"/>
      <c r="N867" s="5"/>
    </row>
    <row r="868" spans="2:14" ht="13">
      <c r="B868" s="2"/>
      <c r="E868" s="5"/>
      <c r="H868" s="5"/>
      <c r="K868" s="5"/>
      <c r="N868" s="5"/>
    </row>
    <row r="869" spans="2:14" ht="13">
      <c r="B869" s="2"/>
      <c r="E869" s="5"/>
      <c r="H869" s="5"/>
      <c r="K869" s="5"/>
      <c r="N869" s="5"/>
    </row>
    <row r="870" spans="2:14" ht="13">
      <c r="B870" s="2"/>
      <c r="E870" s="5"/>
      <c r="H870" s="5"/>
      <c r="K870" s="5"/>
      <c r="N870" s="5"/>
    </row>
    <row r="871" spans="2:14" ht="13">
      <c r="B871" s="2"/>
      <c r="E871" s="5"/>
      <c r="H871" s="5"/>
      <c r="K871" s="5"/>
      <c r="N871" s="5"/>
    </row>
    <row r="872" spans="2:14" ht="13">
      <c r="B872" s="2"/>
      <c r="E872" s="5"/>
      <c r="H872" s="5"/>
      <c r="K872" s="5"/>
      <c r="N872" s="5"/>
    </row>
    <row r="873" spans="2:14" ht="13">
      <c r="B873" s="2"/>
      <c r="E873" s="5"/>
      <c r="H873" s="5"/>
      <c r="K873" s="5"/>
      <c r="N873" s="5"/>
    </row>
    <row r="874" spans="2:14" ht="13">
      <c r="B874" s="2"/>
      <c r="E874" s="5"/>
      <c r="H874" s="5"/>
      <c r="K874" s="5"/>
      <c r="N874" s="5"/>
    </row>
    <row r="875" spans="2:14" ht="13">
      <c r="B875" s="2"/>
      <c r="E875" s="5"/>
      <c r="H875" s="5"/>
      <c r="K875" s="5"/>
      <c r="N875" s="5"/>
    </row>
    <row r="876" spans="2:14" ht="13">
      <c r="B876" s="2"/>
      <c r="E876" s="5"/>
      <c r="H876" s="5"/>
      <c r="K876" s="5"/>
      <c r="N876" s="5"/>
    </row>
    <row r="877" spans="2:14" ht="13">
      <c r="B877" s="2"/>
      <c r="E877" s="5"/>
      <c r="H877" s="5"/>
      <c r="K877" s="5"/>
      <c r="N877" s="5"/>
    </row>
    <row r="878" spans="2:14" ht="13">
      <c r="B878" s="2"/>
      <c r="E878" s="5"/>
      <c r="H878" s="5"/>
      <c r="K878" s="5"/>
      <c r="N878" s="5"/>
    </row>
    <row r="879" spans="2:14" ht="13">
      <c r="B879" s="2"/>
      <c r="E879" s="5"/>
      <c r="H879" s="5"/>
      <c r="K879" s="5"/>
      <c r="N879" s="5"/>
    </row>
    <row r="880" spans="2:14" ht="13">
      <c r="B880" s="2"/>
      <c r="E880" s="5"/>
      <c r="H880" s="5"/>
      <c r="K880" s="5"/>
      <c r="N880" s="5"/>
    </row>
    <row r="881" spans="2:14" ht="13">
      <c r="B881" s="2"/>
      <c r="E881" s="5"/>
      <c r="H881" s="5"/>
      <c r="K881" s="5"/>
      <c r="N881" s="5"/>
    </row>
    <row r="882" spans="2:14" ht="13">
      <c r="B882" s="2"/>
      <c r="E882" s="5"/>
      <c r="H882" s="5"/>
      <c r="K882" s="5"/>
      <c r="N882" s="5"/>
    </row>
    <row r="883" spans="2:14" ht="13">
      <c r="B883" s="2"/>
      <c r="E883" s="5"/>
      <c r="H883" s="5"/>
      <c r="K883" s="5"/>
      <c r="N883" s="5"/>
    </row>
    <row r="884" spans="2:14" ht="13">
      <c r="B884" s="2"/>
      <c r="E884" s="5"/>
      <c r="H884" s="5"/>
      <c r="K884" s="5"/>
      <c r="N884" s="5"/>
    </row>
    <row r="885" spans="2:14" ht="13">
      <c r="B885" s="2"/>
      <c r="E885" s="5"/>
      <c r="H885" s="5"/>
      <c r="K885" s="5"/>
      <c r="N885" s="5"/>
    </row>
    <row r="886" spans="2:14" ht="13">
      <c r="B886" s="2"/>
      <c r="E886" s="5"/>
      <c r="H886" s="5"/>
      <c r="K886" s="5"/>
      <c r="N886" s="5"/>
    </row>
    <row r="887" spans="2:14" ht="13">
      <c r="B887" s="2"/>
      <c r="E887" s="5"/>
      <c r="H887" s="5"/>
      <c r="K887" s="5"/>
      <c r="N887" s="5"/>
    </row>
    <row r="888" spans="2:14" ht="13">
      <c r="B888" s="2"/>
      <c r="E888" s="5"/>
      <c r="H888" s="5"/>
      <c r="K888" s="5"/>
      <c r="N888" s="5"/>
    </row>
    <row r="889" spans="2:14" ht="13">
      <c r="B889" s="2"/>
      <c r="E889" s="5"/>
      <c r="H889" s="5"/>
      <c r="K889" s="5"/>
      <c r="N889" s="5"/>
    </row>
    <row r="890" spans="2:14" ht="13">
      <c r="B890" s="2"/>
      <c r="E890" s="5"/>
      <c r="H890" s="5"/>
      <c r="K890" s="5"/>
      <c r="N890" s="5"/>
    </row>
    <row r="891" spans="2:14" ht="13">
      <c r="B891" s="2"/>
      <c r="E891" s="5"/>
      <c r="H891" s="5"/>
      <c r="K891" s="5"/>
      <c r="N891" s="5"/>
    </row>
    <row r="892" spans="2:14" ht="13">
      <c r="B892" s="2"/>
      <c r="E892" s="5"/>
      <c r="H892" s="5"/>
      <c r="K892" s="5"/>
      <c r="N892" s="5"/>
    </row>
    <row r="893" spans="2:14" ht="13">
      <c r="B893" s="2"/>
      <c r="E893" s="5"/>
      <c r="H893" s="5"/>
      <c r="K893" s="5"/>
      <c r="N893" s="5"/>
    </row>
    <row r="894" spans="2:14" ht="13">
      <c r="B894" s="2"/>
      <c r="E894" s="5"/>
      <c r="H894" s="5"/>
      <c r="K894" s="5"/>
      <c r="N894" s="5"/>
    </row>
    <row r="895" spans="2:14" ht="13">
      <c r="B895" s="2"/>
      <c r="E895" s="5"/>
      <c r="H895" s="5"/>
      <c r="K895" s="5"/>
      <c r="N895" s="5"/>
    </row>
    <row r="896" spans="2:14" ht="13">
      <c r="B896" s="2"/>
      <c r="E896" s="5"/>
      <c r="H896" s="5"/>
      <c r="K896" s="5"/>
      <c r="N896" s="5"/>
    </row>
    <row r="897" spans="2:14" ht="13">
      <c r="B897" s="2"/>
      <c r="E897" s="5"/>
      <c r="H897" s="5"/>
      <c r="K897" s="5"/>
      <c r="N897" s="5"/>
    </row>
    <row r="898" spans="2:14" ht="13">
      <c r="B898" s="2"/>
      <c r="E898" s="5"/>
      <c r="H898" s="5"/>
      <c r="K898" s="5"/>
      <c r="N898" s="5"/>
    </row>
    <row r="899" spans="2:14" ht="13">
      <c r="B899" s="2"/>
      <c r="E899" s="5"/>
      <c r="H899" s="5"/>
      <c r="K899" s="5"/>
      <c r="N899" s="5"/>
    </row>
    <row r="900" spans="2:14" ht="13">
      <c r="B900" s="2"/>
      <c r="E900" s="5"/>
      <c r="H900" s="5"/>
      <c r="K900" s="5"/>
      <c r="N900" s="5"/>
    </row>
    <row r="901" spans="2:14" ht="13">
      <c r="B901" s="2"/>
      <c r="E901" s="5"/>
      <c r="H901" s="5"/>
      <c r="K901" s="5"/>
      <c r="N901" s="5"/>
    </row>
    <row r="902" spans="2:14" ht="13">
      <c r="B902" s="2"/>
      <c r="E902" s="5"/>
      <c r="H902" s="5"/>
      <c r="K902" s="5"/>
      <c r="N902" s="5"/>
    </row>
    <row r="903" spans="2:14" ht="13">
      <c r="B903" s="2"/>
      <c r="E903" s="5"/>
      <c r="H903" s="5"/>
      <c r="K903" s="5"/>
      <c r="N903" s="5"/>
    </row>
    <row r="904" spans="2:14" ht="13">
      <c r="B904" s="2"/>
      <c r="E904" s="5"/>
      <c r="H904" s="5"/>
      <c r="K904" s="5"/>
      <c r="N904" s="5"/>
    </row>
    <row r="905" spans="2:14" ht="13">
      <c r="B905" s="2"/>
      <c r="E905" s="5"/>
      <c r="H905" s="5"/>
      <c r="K905" s="5"/>
      <c r="N905" s="5"/>
    </row>
    <row r="906" spans="2:14" ht="13">
      <c r="B906" s="2"/>
      <c r="E906" s="5"/>
      <c r="H906" s="5"/>
      <c r="K906" s="5"/>
      <c r="N906" s="5"/>
    </row>
    <row r="907" spans="2:14" ht="13">
      <c r="B907" s="2"/>
      <c r="E907" s="5"/>
      <c r="H907" s="5"/>
      <c r="K907" s="5"/>
      <c r="N907" s="5"/>
    </row>
    <row r="908" spans="2:14" ht="13">
      <c r="B908" s="2"/>
      <c r="E908" s="5"/>
      <c r="H908" s="5"/>
      <c r="K908" s="5"/>
      <c r="N908" s="5"/>
    </row>
    <row r="909" spans="2:14" ht="13">
      <c r="B909" s="2"/>
      <c r="E909" s="5"/>
      <c r="H909" s="5"/>
      <c r="K909" s="5"/>
      <c r="N909" s="5"/>
    </row>
    <row r="910" spans="2:14" ht="13">
      <c r="B910" s="2"/>
      <c r="E910" s="5"/>
      <c r="H910" s="5"/>
      <c r="K910" s="5"/>
      <c r="N910" s="5"/>
    </row>
    <row r="911" spans="2:14" ht="13">
      <c r="B911" s="2"/>
      <c r="E911" s="5"/>
      <c r="H911" s="5"/>
      <c r="K911" s="5"/>
      <c r="N911" s="5"/>
    </row>
    <row r="912" spans="2:14" ht="13">
      <c r="B912" s="2"/>
      <c r="E912" s="5"/>
      <c r="H912" s="5"/>
      <c r="K912" s="5"/>
      <c r="N912" s="5"/>
    </row>
    <row r="913" spans="2:14" ht="13">
      <c r="B913" s="2"/>
      <c r="E913" s="5"/>
      <c r="H913" s="5"/>
      <c r="K913" s="5"/>
      <c r="N913" s="5"/>
    </row>
    <row r="914" spans="2:14" ht="13">
      <c r="B914" s="2"/>
      <c r="E914" s="5"/>
      <c r="H914" s="5"/>
      <c r="K914" s="5"/>
      <c r="N914" s="5"/>
    </row>
    <row r="915" spans="2:14" ht="13">
      <c r="B915" s="2"/>
      <c r="E915" s="5"/>
      <c r="H915" s="5"/>
      <c r="K915" s="5"/>
      <c r="N915" s="5"/>
    </row>
    <row r="916" spans="2:14" ht="13">
      <c r="B916" s="2"/>
      <c r="E916" s="5"/>
      <c r="H916" s="5"/>
      <c r="K916" s="5"/>
      <c r="N916" s="5"/>
    </row>
    <row r="917" spans="2:14" ht="13">
      <c r="B917" s="2"/>
      <c r="E917" s="5"/>
      <c r="H917" s="5"/>
      <c r="K917" s="5"/>
      <c r="N917" s="5"/>
    </row>
    <row r="918" spans="2:14" ht="13">
      <c r="B918" s="2"/>
      <c r="E918" s="5"/>
      <c r="H918" s="5"/>
      <c r="K918" s="5"/>
      <c r="N918" s="5"/>
    </row>
    <row r="919" spans="2:14" ht="13">
      <c r="B919" s="2"/>
      <c r="E919" s="5"/>
      <c r="H919" s="5"/>
      <c r="K919" s="5"/>
      <c r="N919" s="5"/>
    </row>
    <row r="920" spans="2:14" ht="13">
      <c r="B920" s="2"/>
      <c r="E920" s="5"/>
      <c r="H920" s="5"/>
      <c r="K920" s="5"/>
      <c r="N920" s="5"/>
    </row>
    <row r="921" spans="2:14" ht="13">
      <c r="B921" s="2"/>
      <c r="E921" s="5"/>
      <c r="H921" s="5"/>
      <c r="K921" s="5"/>
      <c r="N921" s="5"/>
    </row>
    <row r="922" spans="2:14" ht="13">
      <c r="B922" s="2"/>
      <c r="E922" s="5"/>
      <c r="H922" s="5"/>
      <c r="K922" s="5"/>
      <c r="N922" s="5"/>
    </row>
    <row r="923" spans="2:14" ht="13">
      <c r="B923" s="2"/>
      <c r="E923" s="5"/>
      <c r="H923" s="5"/>
      <c r="K923" s="5"/>
      <c r="N923" s="5"/>
    </row>
    <row r="924" spans="2:14" ht="13">
      <c r="B924" s="2"/>
      <c r="E924" s="5"/>
      <c r="H924" s="5"/>
      <c r="K924" s="5"/>
      <c r="N924" s="5"/>
    </row>
    <row r="925" spans="2:14" ht="13">
      <c r="B925" s="2"/>
      <c r="E925" s="5"/>
      <c r="H925" s="5"/>
      <c r="K925" s="5"/>
      <c r="N925" s="5"/>
    </row>
    <row r="926" spans="2:14" ht="13">
      <c r="B926" s="2"/>
      <c r="E926" s="5"/>
      <c r="H926" s="5"/>
      <c r="K926" s="5"/>
      <c r="N926" s="5"/>
    </row>
    <row r="927" spans="2:14" ht="13">
      <c r="B927" s="2"/>
      <c r="E927" s="5"/>
      <c r="H927" s="5"/>
      <c r="K927" s="5"/>
      <c r="N927" s="5"/>
    </row>
    <row r="928" spans="2:14" ht="13">
      <c r="B928" s="2"/>
      <c r="E928" s="5"/>
      <c r="H928" s="5"/>
      <c r="K928" s="5"/>
      <c r="N928" s="5"/>
    </row>
    <row r="929" spans="2:14" ht="13">
      <c r="B929" s="2"/>
      <c r="E929" s="5"/>
      <c r="H929" s="5"/>
      <c r="K929" s="5"/>
      <c r="N929" s="5"/>
    </row>
    <row r="930" spans="2:14" ht="13">
      <c r="B930" s="2"/>
      <c r="E930" s="5"/>
      <c r="H930" s="5"/>
      <c r="K930" s="5"/>
      <c r="N930" s="5"/>
    </row>
    <row r="931" spans="2:14" ht="13">
      <c r="B931" s="2"/>
      <c r="E931" s="5"/>
      <c r="H931" s="5"/>
      <c r="K931" s="5"/>
      <c r="N931" s="5"/>
    </row>
    <row r="932" spans="2:14" ht="13">
      <c r="B932" s="2"/>
      <c r="E932" s="5"/>
      <c r="H932" s="5"/>
      <c r="K932" s="5"/>
      <c r="N932" s="5"/>
    </row>
    <row r="933" spans="2:14" ht="13">
      <c r="B933" s="2"/>
      <c r="E933" s="5"/>
      <c r="H933" s="5"/>
      <c r="K933" s="5"/>
      <c r="N933" s="5"/>
    </row>
    <row r="934" spans="2:14" ht="13">
      <c r="B934" s="2"/>
      <c r="E934" s="5"/>
      <c r="H934" s="5"/>
      <c r="K934" s="5"/>
      <c r="N934" s="5"/>
    </row>
    <row r="935" spans="2:14" ht="13">
      <c r="B935" s="2"/>
      <c r="E935" s="5"/>
      <c r="H935" s="5"/>
      <c r="K935" s="5"/>
      <c r="N935" s="5"/>
    </row>
    <row r="936" spans="2:14" ht="13">
      <c r="B936" s="2"/>
      <c r="E936" s="5"/>
      <c r="H936" s="5"/>
      <c r="K936" s="5"/>
      <c r="N936" s="5"/>
    </row>
    <row r="937" spans="2:14" ht="13">
      <c r="B937" s="2"/>
      <c r="E937" s="5"/>
      <c r="H937" s="5"/>
      <c r="K937" s="5"/>
      <c r="N937" s="5"/>
    </row>
    <row r="938" spans="2:14" ht="13">
      <c r="B938" s="2"/>
      <c r="E938" s="5"/>
      <c r="H938" s="5"/>
      <c r="K938" s="5"/>
      <c r="N938" s="5"/>
    </row>
    <row r="939" spans="2:14" ht="13">
      <c r="B939" s="2"/>
      <c r="E939" s="5"/>
      <c r="H939" s="5"/>
      <c r="K939" s="5"/>
      <c r="N939" s="5"/>
    </row>
    <row r="940" spans="2:14" ht="13">
      <c r="B940" s="2"/>
      <c r="E940" s="5"/>
      <c r="H940" s="5"/>
      <c r="K940" s="5"/>
      <c r="N940" s="5"/>
    </row>
    <row r="941" spans="2:14" ht="13">
      <c r="B941" s="2"/>
      <c r="E941" s="5"/>
      <c r="H941" s="5"/>
      <c r="K941" s="5"/>
      <c r="N941" s="5"/>
    </row>
    <row r="942" spans="2:14" ht="13">
      <c r="B942" s="2"/>
      <c r="E942" s="5"/>
      <c r="H942" s="5"/>
      <c r="K942" s="5"/>
      <c r="N942" s="5"/>
    </row>
    <row r="943" spans="2:14" ht="13">
      <c r="B943" s="2"/>
      <c r="E943" s="5"/>
      <c r="H943" s="5"/>
      <c r="K943" s="5"/>
      <c r="N943" s="5"/>
    </row>
    <row r="944" spans="2:14" ht="13">
      <c r="B944" s="2"/>
      <c r="E944" s="5"/>
      <c r="H944" s="5"/>
      <c r="K944" s="5"/>
      <c r="N944" s="5"/>
    </row>
    <row r="945" spans="2:14" ht="13">
      <c r="B945" s="2"/>
      <c r="E945" s="5"/>
      <c r="H945" s="5"/>
      <c r="K945" s="5"/>
      <c r="N945" s="5"/>
    </row>
    <row r="946" spans="2:14" ht="13">
      <c r="B946" s="2"/>
      <c r="E946" s="5"/>
      <c r="H946" s="5"/>
      <c r="K946" s="5"/>
      <c r="N946" s="5"/>
    </row>
    <row r="947" spans="2:14" ht="13">
      <c r="B947" s="2"/>
      <c r="E947" s="5"/>
      <c r="H947" s="5"/>
      <c r="K947" s="5"/>
      <c r="N947" s="5"/>
    </row>
    <row r="948" spans="2:14" ht="13">
      <c r="B948" s="2"/>
      <c r="E948" s="5"/>
      <c r="H948" s="5"/>
      <c r="K948" s="5"/>
      <c r="N948" s="5"/>
    </row>
    <row r="949" spans="2:14" ht="13">
      <c r="B949" s="2"/>
      <c r="E949" s="5"/>
      <c r="H949" s="5"/>
      <c r="K949" s="5"/>
      <c r="N949" s="5"/>
    </row>
    <row r="950" spans="2:14" ht="13">
      <c r="B950" s="2"/>
      <c r="E950" s="5"/>
      <c r="H950" s="5"/>
      <c r="K950" s="5"/>
      <c r="N950" s="5"/>
    </row>
    <row r="951" spans="2:14" ht="13">
      <c r="B951" s="2"/>
      <c r="E951" s="5"/>
      <c r="H951" s="5"/>
      <c r="K951" s="5"/>
      <c r="N951" s="5"/>
    </row>
    <row r="952" spans="2:14" ht="13">
      <c r="B952" s="2"/>
      <c r="E952" s="5"/>
      <c r="H952" s="5"/>
      <c r="K952" s="5"/>
      <c r="N952" s="5"/>
    </row>
    <row r="953" spans="2:14" ht="13">
      <c r="B953" s="2"/>
      <c r="E953" s="5"/>
      <c r="H953" s="5"/>
      <c r="K953" s="5"/>
      <c r="N953" s="5"/>
    </row>
    <row r="954" spans="2:14" ht="13">
      <c r="B954" s="2"/>
      <c r="E954" s="5"/>
      <c r="H954" s="5"/>
      <c r="K954" s="5"/>
      <c r="N954" s="5"/>
    </row>
    <row r="955" spans="2:14" ht="13">
      <c r="B955" s="2"/>
      <c r="E955" s="5"/>
      <c r="H955" s="5"/>
      <c r="K955" s="5"/>
      <c r="N955" s="5"/>
    </row>
    <row r="956" spans="2:14" ht="13">
      <c r="B956" s="2"/>
      <c r="E956" s="5"/>
      <c r="H956" s="5"/>
      <c r="K956" s="5"/>
      <c r="N956" s="5"/>
    </row>
    <row r="957" spans="2:14" ht="13">
      <c r="B957" s="2"/>
      <c r="E957" s="5"/>
      <c r="H957" s="5"/>
      <c r="K957" s="5"/>
      <c r="N957" s="5"/>
    </row>
    <row r="958" spans="2:14" ht="13">
      <c r="B958" s="2"/>
      <c r="E958" s="5"/>
      <c r="H958" s="5"/>
      <c r="K958" s="5"/>
      <c r="N958" s="5"/>
    </row>
    <row r="959" spans="2:14" ht="13">
      <c r="B959" s="2"/>
      <c r="E959" s="5"/>
      <c r="H959" s="5"/>
      <c r="K959" s="5"/>
      <c r="N959" s="5"/>
    </row>
    <row r="960" spans="2:14" ht="13">
      <c r="B960" s="2"/>
      <c r="E960" s="5"/>
      <c r="H960" s="5"/>
      <c r="K960" s="5"/>
      <c r="N960" s="5"/>
    </row>
    <row r="961" spans="2:14" ht="13">
      <c r="B961" s="2"/>
      <c r="E961" s="5"/>
      <c r="H961" s="5"/>
      <c r="K961" s="5"/>
      <c r="N961" s="5"/>
    </row>
    <row r="962" spans="2:14" ht="13">
      <c r="B962" s="2"/>
      <c r="E962" s="5"/>
      <c r="H962" s="5"/>
      <c r="K962" s="5"/>
      <c r="N962" s="5"/>
    </row>
    <row r="963" spans="2:14" ht="13">
      <c r="B963" s="2"/>
      <c r="E963" s="5"/>
      <c r="H963" s="5"/>
      <c r="K963" s="5"/>
      <c r="N963" s="5"/>
    </row>
    <row r="964" spans="2:14" ht="13">
      <c r="B964" s="2"/>
      <c r="E964" s="5"/>
      <c r="H964" s="5"/>
      <c r="K964" s="5"/>
      <c r="N964" s="5"/>
    </row>
    <row r="965" spans="2:14" ht="13">
      <c r="B965" s="2"/>
      <c r="E965" s="5"/>
      <c r="H965" s="5"/>
      <c r="K965" s="5"/>
      <c r="N965" s="5"/>
    </row>
    <row r="966" spans="2:14" ht="13">
      <c r="B966" s="2"/>
      <c r="E966" s="5"/>
      <c r="H966" s="5"/>
      <c r="K966" s="5"/>
      <c r="N966" s="5"/>
    </row>
    <row r="967" spans="2:14" ht="13">
      <c r="B967" s="2"/>
      <c r="E967" s="5"/>
      <c r="H967" s="5"/>
      <c r="K967" s="5"/>
      <c r="N967" s="5"/>
    </row>
    <row r="968" spans="2:14" ht="13">
      <c r="B968" s="2"/>
      <c r="E968" s="5"/>
      <c r="H968" s="5"/>
      <c r="K968" s="5"/>
      <c r="N968" s="5"/>
    </row>
    <row r="969" spans="2:14" ht="13">
      <c r="B969" s="2"/>
      <c r="E969" s="5"/>
      <c r="H969" s="5"/>
      <c r="K969" s="5"/>
      <c r="N969" s="5"/>
    </row>
    <row r="970" spans="2:14" ht="13">
      <c r="B970" s="2"/>
      <c r="E970" s="5"/>
      <c r="H970" s="5"/>
      <c r="K970" s="5"/>
      <c r="N970" s="5"/>
    </row>
    <row r="971" spans="2:14" ht="13">
      <c r="B971" s="2"/>
      <c r="E971" s="5"/>
      <c r="H971" s="5"/>
      <c r="K971" s="5"/>
      <c r="N971" s="5"/>
    </row>
    <row r="972" spans="2:14" ht="13">
      <c r="B972" s="2"/>
      <c r="E972" s="5"/>
      <c r="H972" s="5"/>
      <c r="K972" s="5"/>
      <c r="N972" s="5"/>
    </row>
    <row r="973" spans="2:14" ht="13">
      <c r="B973" s="2"/>
      <c r="E973" s="5"/>
      <c r="H973" s="5"/>
      <c r="K973" s="5"/>
      <c r="N973" s="5"/>
    </row>
    <row r="974" spans="2:14" ht="13">
      <c r="B974" s="2"/>
      <c r="E974" s="5"/>
      <c r="H974" s="5"/>
      <c r="K974" s="5"/>
      <c r="N974" s="5"/>
    </row>
    <row r="975" spans="2:14" ht="13">
      <c r="B975" s="2"/>
      <c r="E975" s="5"/>
      <c r="H975" s="5"/>
      <c r="K975" s="5"/>
      <c r="N975" s="5"/>
    </row>
    <row r="976" spans="2:14" ht="13">
      <c r="B976" s="2"/>
      <c r="E976" s="5"/>
      <c r="H976" s="5"/>
      <c r="K976" s="5"/>
      <c r="N976" s="5"/>
    </row>
    <row r="977" spans="2:14" ht="13">
      <c r="B977" s="2"/>
      <c r="E977" s="5"/>
      <c r="H977" s="5"/>
      <c r="K977" s="5"/>
      <c r="N977" s="5"/>
    </row>
    <row r="978" spans="2:14" ht="13">
      <c r="B978" s="2"/>
      <c r="E978" s="5"/>
      <c r="H978" s="5"/>
      <c r="K978" s="5"/>
      <c r="N978" s="5"/>
    </row>
    <row r="979" spans="2:14" ht="13">
      <c r="B979" s="2"/>
      <c r="E979" s="5"/>
      <c r="H979" s="5"/>
      <c r="K979" s="5"/>
      <c r="N979" s="5"/>
    </row>
    <row r="980" spans="2:14" ht="13">
      <c r="B980" s="2"/>
      <c r="E980" s="5"/>
      <c r="H980" s="5"/>
      <c r="K980" s="5"/>
      <c r="N980" s="5"/>
    </row>
    <row r="981" spans="2:14" ht="13">
      <c r="B981" s="2"/>
      <c r="E981" s="5"/>
      <c r="H981" s="5"/>
      <c r="K981" s="5"/>
      <c r="N981" s="5"/>
    </row>
    <row r="982" spans="2:14" ht="13">
      <c r="B982" s="2"/>
      <c r="E982" s="5"/>
      <c r="H982" s="5"/>
      <c r="K982" s="5"/>
      <c r="N982" s="5"/>
    </row>
    <row r="983" spans="2:14" ht="13">
      <c r="B983" s="2"/>
      <c r="E983" s="5"/>
      <c r="H983" s="5"/>
      <c r="K983" s="5"/>
      <c r="N983" s="5"/>
    </row>
    <row r="984" spans="2:14" ht="13">
      <c r="B984" s="2"/>
      <c r="E984" s="5"/>
      <c r="H984" s="5"/>
      <c r="K984" s="5"/>
      <c r="N984" s="5"/>
    </row>
    <row r="985" spans="2:14" ht="13">
      <c r="B985" s="2"/>
      <c r="E985" s="5"/>
      <c r="H985" s="5"/>
      <c r="K985" s="5"/>
      <c r="N985" s="5"/>
    </row>
    <row r="986" spans="2:14" ht="13">
      <c r="B986" s="2"/>
      <c r="E986" s="5"/>
      <c r="H986" s="5"/>
      <c r="K986" s="5"/>
      <c r="N986" s="5"/>
    </row>
    <row r="987" spans="2:14" ht="13">
      <c r="B987" s="2"/>
      <c r="E987" s="5"/>
      <c r="H987" s="5"/>
      <c r="K987" s="5"/>
      <c r="N987" s="5"/>
    </row>
    <row r="988" spans="2:14" ht="13">
      <c r="B988" s="2"/>
      <c r="E988" s="5"/>
      <c r="H988" s="5"/>
      <c r="K988" s="5"/>
      <c r="N988" s="5"/>
    </row>
    <row r="989" spans="2:14" ht="13">
      <c r="B989" s="2"/>
      <c r="E989" s="5"/>
      <c r="H989" s="5"/>
      <c r="K989" s="5"/>
      <c r="N989" s="5"/>
    </row>
    <row r="990" spans="2:14" ht="13">
      <c r="B990" s="2"/>
      <c r="E990" s="5"/>
      <c r="H990" s="5"/>
      <c r="K990" s="5"/>
      <c r="N990" s="5"/>
    </row>
    <row r="991" spans="2:14" ht="13">
      <c r="B991" s="2"/>
      <c r="E991" s="5"/>
      <c r="H991" s="5"/>
      <c r="K991" s="5"/>
      <c r="N991" s="5"/>
    </row>
    <row r="992" spans="2:14" ht="13">
      <c r="B992" s="2"/>
      <c r="E992" s="5"/>
      <c r="H992" s="5"/>
      <c r="K992" s="5"/>
      <c r="N992" s="5"/>
    </row>
    <row r="993" spans="2:14" ht="13">
      <c r="B993" s="2"/>
      <c r="E993" s="5"/>
      <c r="H993" s="5"/>
      <c r="K993" s="5"/>
      <c r="N993" s="5"/>
    </row>
    <row r="994" spans="2:14" ht="13">
      <c r="B994" s="2"/>
      <c r="E994" s="5"/>
      <c r="H994" s="5"/>
      <c r="K994" s="5"/>
      <c r="N994" s="5"/>
    </row>
    <row r="995" spans="2:14" ht="13">
      <c r="B995" s="2"/>
      <c r="E995" s="5"/>
      <c r="H995" s="5"/>
      <c r="K995" s="5"/>
      <c r="N995" s="5"/>
    </row>
    <row r="996" spans="2:14" ht="13">
      <c r="B996" s="2"/>
      <c r="E996" s="5"/>
      <c r="H996" s="5"/>
      <c r="K996" s="5"/>
      <c r="N996" s="5"/>
    </row>
    <row r="997" spans="2:14" ht="13">
      <c r="B997" s="2"/>
      <c r="E997" s="5"/>
      <c r="H997" s="5"/>
      <c r="K997" s="5"/>
      <c r="N997" s="5"/>
    </row>
    <row r="998" spans="2:14" ht="13">
      <c r="B998" s="2"/>
      <c r="E998" s="5"/>
      <c r="H998" s="5"/>
      <c r="K998" s="5"/>
      <c r="N998" s="5"/>
    </row>
    <row r="999" spans="2:14" ht="13">
      <c r="B999" s="2"/>
      <c r="E999" s="5"/>
      <c r="H999" s="5"/>
      <c r="K999" s="5"/>
      <c r="N999" s="5"/>
    </row>
    <row r="1000" spans="2:14" ht="13">
      <c r="B1000" s="2"/>
      <c r="E1000" s="5"/>
      <c r="H1000" s="5"/>
      <c r="K1000" s="5"/>
      <c r="N1000"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8.83203125" customWidth="1"/>
    <col min="3" max="3" width="13.5" customWidth="1"/>
    <col min="4" max="4" width="14.83203125" customWidth="1"/>
    <col min="5" max="5" width="14.33203125" customWidth="1"/>
    <col min="11" max="11" width="13.83203125" customWidth="1"/>
  </cols>
  <sheetData>
    <row r="1" spans="1:23" ht="15.75" customHeight="1">
      <c r="A1" s="1" t="s">
        <v>21</v>
      </c>
      <c r="B1" s="36"/>
      <c r="C1" s="37"/>
      <c r="D1" s="7" t="s">
        <v>181</v>
      </c>
      <c r="E1" s="5"/>
      <c r="F1" s="5"/>
      <c r="G1" s="5"/>
      <c r="K1" s="1"/>
      <c r="M1" s="5"/>
      <c r="N1" s="5"/>
      <c r="S1" s="1"/>
      <c r="U1" s="5"/>
    </row>
    <row r="2" spans="1:23" ht="15.75" customHeight="1">
      <c r="A2" s="7" t="s">
        <v>182</v>
      </c>
      <c r="B2" s="38">
        <v>37103</v>
      </c>
      <c r="C2" s="37"/>
      <c r="D2" s="39">
        <f>SUM(D5:G22)</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43483</v>
      </c>
      <c r="B5" s="49" t="s">
        <v>201</v>
      </c>
      <c r="C5" s="51" t="s">
        <v>195</v>
      </c>
      <c r="D5" s="54"/>
      <c r="E5" s="5"/>
      <c r="F5" s="5"/>
      <c r="G5" s="5"/>
      <c r="L5" s="43"/>
      <c r="M5" s="43"/>
      <c r="N5" s="42"/>
      <c r="O5" s="44"/>
      <c r="S5" s="42"/>
      <c r="T5" s="43"/>
      <c r="U5" s="43"/>
      <c r="V5" s="42"/>
      <c r="W5" s="44"/>
    </row>
    <row r="6" spans="1:23" ht="15.75" customHeight="1">
      <c r="A6" s="52">
        <v>43514</v>
      </c>
      <c r="B6" s="49" t="s">
        <v>324</v>
      </c>
      <c r="C6" s="51" t="s">
        <v>197</v>
      </c>
      <c r="D6" s="54"/>
      <c r="E6" s="5"/>
      <c r="F6" s="51"/>
      <c r="G6" s="5"/>
      <c r="L6" s="50"/>
      <c r="M6" s="51"/>
      <c r="N6" s="5"/>
      <c r="S6" s="52"/>
      <c r="T6" s="50"/>
      <c r="U6" s="51"/>
    </row>
    <row r="7" spans="1:23" ht="15.75" customHeight="1">
      <c r="A7" s="52">
        <v>43542</v>
      </c>
      <c r="B7" s="49" t="s">
        <v>288</v>
      </c>
      <c r="C7" s="51" t="s">
        <v>225</v>
      </c>
      <c r="D7" s="51"/>
      <c r="E7" s="5"/>
      <c r="F7" s="5"/>
      <c r="G7" s="5"/>
      <c r="K7" s="52"/>
      <c r="L7" s="50"/>
      <c r="M7" s="51"/>
      <c r="N7" s="5"/>
      <c r="S7" s="52"/>
      <c r="T7" s="50"/>
      <c r="U7" s="51"/>
    </row>
    <row r="8" spans="1:23" ht="15.75" customHeight="1">
      <c r="A8" s="52">
        <v>43573</v>
      </c>
      <c r="B8" s="49" t="s">
        <v>216</v>
      </c>
      <c r="C8" s="51" t="s">
        <v>197</v>
      </c>
      <c r="D8" s="54"/>
      <c r="E8" s="51"/>
      <c r="F8" s="5"/>
      <c r="G8" s="5"/>
      <c r="K8" s="52"/>
      <c r="L8" s="50"/>
      <c r="M8" s="51"/>
      <c r="N8" s="51"/>
      <c r="S8" s="52"/>
      <c r="T8" s="50"/>
      <c r="U8" s="51"/>
    </row>
    <row r="9" spans="1:23" ht="15.75" customHeight="1">
      <c r="A9" s="52">
        <v>43603</v>
      </c>
      <c r="B9" s="49" t="s">
        <v>264</v>
      </c>
      <c r="C9" s="51" t="s">
        <v>205</v>
      </c>
      <c r="D9" s="54"/>
      <c r="E9" s="5"/>
      <c r="F9" s="5"/>
      <c r="G9" s="5"/>
      <c r="K9" s="52"/>
      <c r="L9" s="50"/>
      <c r="M9" s="51"/>
      <c r="N9" s="51"/>
      <c r="S9" s="52"/>
      <c r="T9" s="50"/>
      <c r="U9" s="51"/>
    </row>
    <row r="10" spans="1:23" ht="15.75" customHeight="1">
      <c r="A10" s="52">
        <v>43634</v>
      </c>
      <c r="B10" s="49" t="s">
        <v>272</v>
      </c>
      <c r="C10" s="51" t="s">
        <v>197</v>
      </c>
      <c r="D10" s="54"/>
      <c r="E10" s="5"/>
      <c r="F10" s="5"/>
      <c r="G10" s="5"/>
      <c r="K10" s="52"/>
      <c r="L10" s="50"/>
      <c r="M10" s="51"/>
      <c r="N10" s="5"/>
      <c r="S10" s="52"/>
      <c r="T10" s="50"/>
      <c r="U10" s="51"/>
    </row>
    <row r="11" spans="1:23" ht="15.75" customHeight="1">
      <c r="A11" s="52">
        <v>43664</v>
      </c>
      <c r="B11" s="49" t="s">
        <v>874</v>
      </c>
      <c r="C11" s="51" t="s">
        <v>205</v>
      </c>
      <c r="D11" s="54"/>
      <c r="E11" s="51"/>
      <c r="F11" s="5"/>
      <c r="G11" s="5"/>
      <c r="K11" s="52"/>
      <c r="L11" s="50"/>
      <c r="M11" s="51"/>
      <c r="N11" s="51"/>
      <c r="S11" s="52"/>
      <c r="T11" s="50"/>
      <c r="U11" s="51"/>
    </row>
    <row r="12" spans="1:23" ht="15.75" customHeight="1">
      <c r="A12" s="52">
        <v>43695</v>
      </c>
      <c r="B12" s="49" t="s">
        <v>200</v>
      </c>
      <c r="C12" s="51" t="s">
        <v>197</v>
      </c>
      <c r="D12" s="51"/>
      <c r="E12" s="5"/>
      <c r="F12" s="5"/>
      <c r="G12" s="5"/>
      <c r="K12" s="52"/>
      <c r="L12" s="50"/>
      <c r="M12" s="51"/>
      <c r="N12" s="51"/>
      <c r="S12" s="52"/>
      <c r="T12" s="50"/>
      <c r="U12" s="51"/>
    </row>
    <row r="13" spans="1:23" ht="15.75" customHeight="1">
      <c r="A13" s="52">
        <v>43726</v>
      </c>
      <c r="B13" s="49" t="s">
        <v>331</v>
      </c>
      <c r="C13" s="51" t="s">
        <v>205</v>
      </c>
      <c r="D13" s="54"/>
      <c r="E13" s="5"/>
      <c r="F13" s="5"/>
      <c r="G13" s="5"/>
      <c r="K13" s="52"/>
      <c r="L13" s="50"/>
      <c r="M13" s="51"/>
      <c r="N13" s="5"/>
      <c r="S13" s="52"/>
      <c r="T13" s="50"/>
      <c r="U13" s="51"/>
    </row>
    <row r="14" spans="1:23" ht="15.75" customHeight="1">
      <c r="A14" s="52">
        <v>43756</v>
      </c>
      <c r="B14" s="49" t="s">
        <v>377</v>
      </c>
      <c r="C14" s="51" t="s">
        <v>208</v>
      </c>
      <c r="D14" s="51"/>
      <c r="E14" s="5"/>
      <c r="F14" s="5"/>
      <c r="G14" s="5"/>
      <c r="K14" s="52"/>
      <c r="L14" s="50"/>
      <c r="M14" s="51"/>
      <c r="N14" s="51"/>
      <c r="S14" s="52"/>
      <c r="T14" s="50"/>
      <c r="U14" s="51"/>
    </row>
    <row r="15" spans="1:23" ht="15.75" customHeight="1">
      <c r="A15" s="52">
        <v>43787</v>
      </c>
      <c r="B15" s="49" t="s">
        <v>215</v>
      </c>
      <c r="C15" s="51" t="s">
        <v>208</v>
      </c>
      <c r="D15" s="54"/>
      <c r="E15" s="51"/>
      <c r="F15" s="5"/>
      <c r="G15" s="5"/>
      <c r="K15" s="52"/>
      <c r="L15" s="50"/>
      <c r="M15" s="51"/>
      <c r="N15" s="51"/>
      <c r="S15" s="52"/>
      <c r="T15" s="50"/>
      <c r="U15" s="51"/>
    </row>
    <row r="16" spans="1:23" ht="15.75" customHeight="1">
      <c r="A16" s="52">
        <v>43817</v>
      </c>
      <c r="B16" s="49" t="s">
        <v>364</v>
      </c>
      <c r="C16" s="51" t="s">
        <v>208</v>
      </c>
      <c r="D16" s="51"/>
      <c r="E16" s="5"/>
      <c r="F16" s="5"/>
      <c r="G16" s="5"/>
      <c r="K16" s="52"/>
      <c r="L16" s="50"/>
      <c r="M16" s="51"/>
      <c r="N16" s="51"/>
      <c r="S16" s="52"/>
      <c r="T16" s="50"/>
      <c r="U16" s="51"/>
    </row>
    <row r="17" spans="1:27" ht="15.75" customHeight="1">
      <c r="A17" s="48" t="s">
        <v>962</v>
      </c>
      <c r="B17" s="49" t="s">
        <v>333</v>
      </c>
      <c r="C17" s="51" t="s">
        <v>205</v>
      </c>
      <c r="D17" s="51"/>
      <c r="E17" s="5"/>
      <c r="F17" s="5"/>
      <c r="G17" s="5"/>
      <c r="K17" s="52"/>
      <c r="L17" s="50"/>
      <c r="M17" s="51"/>
      <c r="N17" s="51"/>
      <c r="S17" s="52"/>
      <c r="T17" s="50"/>
      <c r="U17" s="51"/>
    </row>
    <row r="18" spans="1:27" ht="15.75" customHeight="1">
      <c r="A18" s="48" t="s">
        <v>963</v>
      </c>
      <c r="B18" s="49" t="s">
        <v>789</v>
      </c>
      <c r="C18" s="51" t="s">
        <v>195</v>
      </c>
      <c r="D18" s="54"/>
      <c r="E18" s="51"/>
      <c r="F18" s="5"/>
      <c r="G18" s="5"/>
      <c r="M18" s="5"/>
      <c r="N18" s="5"/>
      <c r="U18" s="5"/>
      <c r="AA18" s="5"/>
    </row>
    <row r="19" spans="1:27" ht="15.75" customHeight="1">
      <c r="A19" s="48" t="s">
        <v>964</v>
      </c>
      <c r="B19" s="49" t="s">
        <v>274</v>
      </c>
      <c r="C19" s="51" t="s">
        <v>208</v>
      </c>
      <c r="D19" s="54"/>
      <c r="E19" s="5"/>
      <c r="F19" s="51"/>
      <c r="G19" s="5"/>
      <c r="K19" s="1"/>
      <c r="M19" s="5"/>
      <c r="N19" s="5"/>
      <c r="U19" s="5"/>
      <c r="AA19" s="5"/>
    </row>
    <row r="20" spans="1:27" ht="15.75" customHeight="1">
      <c r="A20" s="48" t="s">
        <v>965</v>
      </c>
      <c r="B20" s="49" t="s">
        <v>336</v>
      </c>
      <c r="C20" s="51" t="s">
        <v>197</v>
      </c>
      <c r="D20" s="51"/>
      <c r="E20" s="5"/>
      <c r="F20" s="5"/>
      <c r="G20" s="5"/>
      <c r="L20" s="40"/>
      <c r="M20" s="5"/>
      <c r="N20" s="5"/>
      <c r="AA20" s="5"/>
    </row>
    <row r="21" spans="1:27" ht="15.75" customHeight="1">
      <c r="A21" s="48" t="s">
        <v>966</v>
      </c>
      <c r="B21" s="49" t="s">
        <v>329</v>
      </c>
      <c r="C21" s="51" t="s">
        <v>205</v>
      </c>
      <c r="D21" s="54"/>
      <c r="E21" s="5"/>
      <c r="F21" s="5"/>
      <c r="G21" s="5"/>
      <c r="M21" s="5"/>
      <c r="N21" s="5"/>
      <c r="AA21" s="5"/>
    </row>
    <row r="22" spans="1:27" ht="15.75" customHeight="1">
      <c r="A22" s="48" t="s">
        <v>967</v>
      </c>
      <c r="B22" s="49" t="s">
        <v>341</v>
      </c>
      <c r="C22" s="51" t="s">
        <v>225</v>
      </c>
      <c r="D22" s="51"/>
      <c r="E22" s="5"/>
      <c r="F22" s="5"/>
      <c r="G22" s="5"/>
      <c r="K22" s="42"/>
      <c r="L22" s="45"/>
      <c r="M22" s="46"/>
      <c r="N22" s="47"/>
      <c r="AA22" s="5"/>
    </row>
    <row r="23" spans="1:27" ht="15.75" customHeight="1">
      <c r="K23" s="42"/>
      <c r="L23" s="43"/>
      <c r="M23" s="43"/>
      <c r="N23" s="42"/>
      <c r="O23" s="44"/>
      <c r="AA23" s="5"/>
    </row>
    <row r="24" spans="1:27" ht="15.75" customHeight="1">
      <c r="A24" s="48"/>
      <c r="B24" s="50"/>
      <c r="C24" s="51"/>
      <c r="D24" s="54"/>
      <c r="E24" s="5"/>
      <c r="F24" s="5"/>
      <c r="G24" s="5"/>
      <c r="K24" s="52"/>
      <c r="L24" s="50"/>
      <c r="M24" s="51"/>
      <c r="N24" s="5"/>
      <c r="AA24" s="5"/>
    </row>
    <row r="25" spans="1:27" ht="15.75" customHeight="1">
      <c r="A25" s="48"/>
      <c r="B25" s="50"/>
      <c r="C25" s="51"/>
      <c r="D25" s="54"/>
      <c r="E25" s="5"/>
      <c r="F25" s="5"/>
      <c r="G25" s="5"/>
      <c r="K25" s="52"/>
      <c r="L25" s="50"/>
      <c r="M25" s="51"/>
      <c r="N25" s="5"/>
      <c r="AA25" s="5"/>
    </row>
    <row r="26" spans="1:27" ht="15.75" customHeight="1">
      <c r="A26" s="48"/>
      <c r="B26" s="50"/>
      <c r="C26" s="51"/>
      <c r="D26" s="51"/>
      <c r="E26" s="5"/>
      <c r="F26" s="5"/>
      <c r="G26" s="5"/>
      <c r="K26" s="52"/>
      <c r="L26" s="50"/>
      <c r="M26" s="51"/>
      <c r="N26" s="51"/>
      <c r="AA26" s="5"/>
    </row>
    <row r="27" spans="1:27" ht="15.75" customHeight="1">
      <c r="A27" s="48"/>
      <c r="B27" s="50"/>
      <c r="C27" s="51"/>
      <c r="D27" s="54"/>
      <c r="E27" s="5"/>
      <c r="F27" s="5"/>
      <c r="G27" s="5"/>
      <c r="K27" s="52"/>
      <c r="L27" s="50"/>
      <c r="M27" s="51"/>
      <c r="N27" s="51"/>
      <c r="AA27" s="5"/>
    </row>
    <row r="28" spans="1:27" ht="15.75" customHeight="1">
      <c r="A28" s="48"/>
      <c r="B28" s="50"/>
      <c r="C28" s="51"/>
      <c r="D28" s="54"/>
      <c r="E28" s="5"/>
      <c r="F28" s="51"/>
      <c r="G28" s="5"/>
      <c r="J28" s="5"/>
      <c r="K28" s="52"/>
      <c r="L28" s="50"/>
      <c r="M28" s="51"/>
      <c r="N28" s="5"/>
      <c r="P28" s="5"/>
    </row>
    <row r="29" spans="1:27" ht="15.75" customHeight="1">
      <c r="A29" s="48"/>
      <c r="B29" s="50"/>
      <c r="C29" s="51"/>
      <c r="D29" s="54"/>
      <c r="E29" s="5"/>
      <c r="F29" s="5"/>
      <c r="G29" s="5"/>
      <c r="J29" s="5"/>
      <c r="K29" s="52"/>
      <c r="L29" s="50"/>
      <c r="M29" s="51"/>
      <c r="N29" s="51"/>
      <c r="P29" s="5"/>
    </row>
    <row r="30" spans="1:27" ht="15.75" customHeight="1">
      <c r="A30" s="48"/>
      <c r="B30" s="50"/>
      <c r="C30" s="51"/>
      <c r="D30" s="54"/>
      <c r="E30" s="5"/>
      <c r="F30" s="5"/>
      <c r="G30" s="5"/>
      <c r="J30" s="5"/>
      <c r="K30" s="52"/>
      <c r="L30" s="50"/>
      <c r="M30" s="51"/>
      <c r="N30" s="5"/>
      <c r="P30" s="5"/>
    </row>
    <row r="31" spans="1:27" ht="15.75" customHeight="1">
      <c r="A31" s="48"/>
      <c r="B31" s="50"/>
      <c r="C31" s="51"/>
      <c r="D31" s="54"/>
      <c r="E31" s="5"/>
      <c r="F31" s="5"/>
      <c r="G31" s="5"/>
      <c r="J31" s="5"/>
      <c r="K31" s="52"/>
      <c r="L31" s="50"/>
      <c r="M31" s="51"/>
      <c r="N31" s="51"/>
      <c r="P31" s="5"/>
    </row>
    <row r="32" spans="1:27" ht="15.75" customHeight="1">
      <c r="A32" s="48"/>
      <c r="B32" s="50"/>
      <c r="C32" s="51"/>
      <c r="D32" s="54"/>
      <c r="E32" s="5"/>
      <c r="F32" s="5"/>
      <c r="G32" s="5"/>
      <c r="J32" s="5"/>
      <c r="K32" s="52"/>
      <c r="L32" s="50"/>
      <c r="M32" s="51"/>
      <c r="N32" s="5"/>
      <c r="P32" s="5"/>
    </row>
    <row r="33" spans="1:16" ht="15.75" customHeight="1">
      <c r="A33" s="48"/>
      <c r="B33" s="50"/>
      <c r="C33" s="51"/>
      <c r="D33" s="54"/>
      <c r="E33" s="5"/>
      <c r="F33" s="5"/>
      <c r="G33" s="5"/>
      <c r="J33" s="5"/>
      <c r="K33" s="52"/>
      <c r="L33" s="50"/>
      <c r="M33" s="51"/>
      <c r="N33" s="5"/>
      <c r="P33" s="5"/>
    </row>
    <row r="34" spans="1:16" ht="15.75" customHeight="1">
      <c r="A34" s="48"/>
      <c r="B34" s="50"/>
      <c r="C34" s="51"/>
      <c r="D34" s="54"/>
      <c r="E34" s="5"/>
      <c r="F34" s="5"/>
      <c r="G34" s="5"/>
      <c r="J34" s="5"/>
      <c r="K34" s="52"/>
      <c r="L34" s="50"/>
      <c r="M34" s="51"/>
      <c r="N34" s="5"/>
      <c r="P34" s="5"/>
    </row>
    <row r="35" spans="1:16" ht="15.75" customHeight="1">
      <c r="A35" s="48"/>
      <c r="B35" s="50"/>
      <c r="C35" s="51"/>
      <c r="D35" s="54"/>
      <c r="E35" s="5"/>
      <c r="F35" s="5"/>
      <c r="G35" s="5"/>
      <c r="J35" s="5"/>
      <c r="K35" s="52"/>
      <c r="L35" s="50"/>
      <c r="M35" s="51"/>
      <c r="N35" s="51"/>
      <c r="P35" s="5"/>
    </row>
    <row r="36" spans="1:16" ht="15.75" customHeight="1">
      <c r="A36" s="48"/>
      <c r="B36" s="50"/>
      <c r="C36" s="51"/>
      <c r="D36" s="54"/>
      <c r="E36" s="5"/>
      <c r="F36" s="5"/>
      <c r="G36" s="5"/>
      <c r="J36" s="5"/>
      <c r="M36" s="5"/>
      <c r="N36" s="5"/>
      <c r="P36" s="5"/>
    </row>
    <row r="37" spans="1:16" ht="15.75" customHeight="1">
      <c r="A37" s="48"/>
      <c r="B37" s="50"/>
      <c r="C37" s="51"/>
      <c r="D37" s="54"/>
      <c r="E37" s="5"/>
      <c r="F37" s="5"/>
      <c r="G37" s="5"/>
      <c r="J37" s="5"/>
      <c r="M37" s="5"/>
      <c r="N37" s="5"/>
    </row>
    <row r="38" spans="1:16" ht="15.75" customHeight="1">
      <c r="A38" s="48"/>
      <c r="B38" s="50"/>
      <c r="C38" s="51"/>
      <c r="D38" s="54"/>
      <c r="E38" s="5"/>
      <c r="F38" s="5"/>
      <c r="G38" s="5"/>
      <c r="J38" s="5"/>
      <c r="M38" s="51"/>
      <c r="N38" s="51"/>
    </row>
    <row r="39" spans="1:16" ht="15.75" customHeight="1">
      <c r="A39" s="48"/>
      <c r="B39" s="50"/>
      <c r="C39" s="51"/>
      <c r="D39" s="54"/>
      <c r="E39" s="5"/>
      <c r="F39" s="5"/>
      <c r="G39" s="5"/>
      <c r="J39" s="5"/>
      <c r="M39" s="51"/>
      <c r="N39" s="51"/>
    </row>
    <row r="40" spans="1:16" ht="15.75" customHeight="1">
      <c r="A40" s="48"/>
      <c r="B40" s="50"/>
      <c r="C40" s="51"/>
      <c r="D40" s="54"/>
      <c r="E40" s="5"/>
      <c r="F40" s="5"/>
      <c r="G40" s="5"/>
      <c r="J40" s="5"/>
      <c r="M40" s="51"/>
      <c r="N40" s="51"/>
    </row>
    <row r="41" spans="1:16" ht="15.75" customHeight="1">
      <c r="A41" s="48"/>
      <c r="B41" s="50"/>
      <c r="C41" s="51"/>
      <c r="D41" s="51"/>
      <c r="E41" s="5"/>
      <c r="F41" s="5"/>
      <c r="G41" s="5"/>
      <c r="J41" s="5"/>
      <c r="M41" s="51"/>
      <c r="N41" s="51"/>
    </row>
    <row r="42" spans="1:16" ht="15.75" customHeight="1">
      <c r="A42" s="48"/>
      <c r="B42" s="50"/>
      <c r="C42" s="51"/>
      <c r="D42" s="54"/>
      <c r="E42" s="5"/>
      <c r="F42" s="5"/>
      <c r="G42" s="5"/>
      <c r="J42" s="5"/>
      <c r="M42" s="51"/>
      <c r="N42" s="51"/>
    </row>
    <row r="43" spans="1:16" ht="15.75" customHeight="1">
      <c r="A43" s="48"/>
      <c r="B43" s="50"/>
      <c r="C43" s="51"/>
      <c r="D43" s="54"/>
      <c r="E43" s="5"/>
      <c r="F43" s="5"/>
      <c r="G43" s="5"/>
      <c r="J43" s="5"/>
      <c r="M43" s="51"/>
      <c r="N43" s="51"/>
    </row>
    <row r="44" spans="1:16" ht="15.75" customHeight="1">
      <c r="A44" s="48"/>
      <c r="B44" s="50"/>
      <c r="C44" s="51"/>
      <c r="D44" s="54"/>
      <c r="E44" s="5"/>
      <c r="F44" s="5"/>
      <c r="G44" s="5"/>
      <c r="J44" s="5"/>
      <c r="M44" s="51"/>
      <c r="N44" s="51"/>
    </row>
    <row r="45" spans="1:16" ht="15.75" customHeight="1">
      <c r="A45" s="48"/>
      <c r="B45" s="50"/>
      <c r="C45" s="51"/>
      <c r="D45" s="51"/>
      <c r="E45" s="5"/>
      <c r="F45" s="5"/>
      <c r="G45" s="5"/>
      <c r="J45" s="5"/>
      <c r="M45" s="51"/>
      <c r="N45" s="51"/>
      <c r="P45" s="5"/>
    </row>
    <row r="46" spans="1:16" ht="15.75" customHeight="1">
      <c r="A46" s="48"/>
      <c r="B46" s="50"/>
      <c r="C46" s="51"/>
      <c r="D46" s="54"/>
      <c r="E46" s="5"/>
      <c r="F46" s="5"/>
      <c r="G46" s="5"/>
      <c r="J46" s="5"/>
      <c r="M46" s="51"/>
      <c r="N46" s="51"/>
      <c r="P46" s="5"/>
    </row>
    <row r="47" spans="1:16" ht="15.75" customHeight="1">
      <c r="A47" s="48"/>
      <c r="B47" s="50"/>
      <c r="C47" s="51"/>
      <c r="D47" s="54"/>
      <c r="E47" s="5"/>
      <c r="F47" s="5"/>
      <c r="G47" s="5"/>
      <c r="J47" s="5"/>
      <c r="M47" s="5"/>
      <c r="N47" s="5"/>
      <c r="P47" s="5"/>
    </row>
    <row r="48" spans="1:16" ht="15.75" customHeight="1">
      <c r="A48" s="48"/>
      <c r="B48" s="50"/>
      <c r="C48" s="51"/>
      <c r="D48" s="54"/>
      <c r="E48" s="5"/>
      <c r="F48" s="5"/>
      <c r="G48" s="5"/>
      <c r="J48" s="5"/>
      <c r="M48" s="5"/>
      <c r="N48" s="5"/>
      <c r="P48" s="5"/>
    </row>
    <row r="49" spans="1:16" ht="15.75" customHeight="1">
      <c r="A49" s="48"/>
      <c r="B49" s="50"/>
      <c r="C49" s="51"/>
      <c r="D49" s="54"/>
      <c r="E49" s="5"/>
      <c r="F49" s="5"/>
      <c r="G49" s="5"/>
      <c r="J49" s="5"/>
      <c r="M49" s="5"/>
      <c r="N49" s="5"/>
      <c r="P49" s="5"/>
    </row>
    <row r="50" spans="1:16" ht="15.75" customHeight="1">
      <c r="A50" s="48"/>
      <c r="B50" s="50"/>
      <c r="C50" s="51"/>
      <c r="D50" s="51"/>
      <c r="E50" s="5"/>
      <c r="F50" s="5"/>
      <c r="G50" s="5"/>
      <c r="J50" s="5"/>
      <c r="M50" s="5"/>
      <c r="N50" s="5"/>
      <c r="P50" s="5"/>
    </row>
    <row r="51" spans="1:16" ht="15.75" customHeight="1">
      <c r="A51" s="48"/>
      <c r="B51" s="50"/>
      <c r="C51" s="51"/>
      <c r="D51" s="54"/>
      <c r="E51" s="5"/>
      <c r="F51" s="5"/>
      <c r="G51" s="5"/>
      <c r="J51" s="5"/>
      <c r="M51" s="5"/>
      <c r="N51" s="5"/>
      <c r="P51" s="5"/>
    </row>
    <row r="52" spans="1:16" ht="15.75" customHeight="1">
      <c r="A52" s="48"/>
      <c r="B52" s="50"/>
      <c r="C52" s="51"/>
      <c r="D52" s="51"/>
      <c r="E52" s="5"/>
      <c r="F52" s="5"/>
      <c r="G52" s="5"/>
      <c r="J52" s="5"/>
      <c r="M52" s="5"/>
      <c r="N52" s="5"/>
      <c r="P52" s="5"/>
    </row>
    <row r="53" spans="1:16" ht="13">
      <c r="A53" s="48"/>
      <c r="B53" s="50"/>
      <c r="C53" s="51"/>
      <c r="D53" s="51"/>
      <c r="E53" s="5"/>
      <c r="F53" s="5"/>
      <c r="G53" s="5"/>
      <c r="J53" s="5"/>
      <c r="M53" s="5"/>
      <c r="N53" s="5"/>
      <c r="P53" s="5"/>
    </row>
    <row r="54" spans="1:16" ht="13">
      <c r="A54" s="48"/>
      <c r="B54" s="50"/>
      <c r="C54" s="51"/>
      <c r="D54" s="51"/>
      <c r="E54" s="5"/>
      <c r="F54" s="5"/>
      <c r="G54" s="5"/>
      <c r="J54" s="5"/>
      <c r="M54" s="5"/>
      <c r="N54" s="5"/>
      <c r="P54" s="5"/>
    </row>
    <row r="55" spans="1:16" ht="13">
      <c r="A55" s="48"/>
      <c r="B55" s="50"/>
      <c r="C55" s="51"/>
      <c r="D55" s="54"/>
      <c r="E55" s="5"/>
      <c r="F55" s="5"/>
      <c r="G55" s="5"/>
      <c r="J55" s="5"/>
      <c r="M55" s="5"/>
      <c r="N55" s="5"/>
      <c r="P55" s="5"/>
    </row>
    <row r="56" spans="1:16" ht="13">
      <c r="A56" s="48"/>
      <c r="B56" s="50"/>
      <c r="C56" s="51"/>
      <c r="D56" s="51"/>
      <c r="E56" s="5"/>
      <c r="F56" s="5"/>
      <c r="G56" s="5"/>
      <c r="J56" s="5"/>
      <c r="M56" s="5"/>
      <c r="N56" s="5"/>
      <c r="P56" s="5"/>
    </row>
    <row r="57" spans="1:16" ht="13">
      <c r="A57" s="48"/>
      <c r="B57" s="50"/>
      <c r="C57" s="51"/>
      <c r="D57" s="54"/>
      <c r="E57" s="5"/>
      <c r="F57" s="5"/>
      <c r="G57" s="5"/>
      <c r="J57" s="5"/>
      <c r="M57" s="5"/>
      <c r="N57" s="5"/>
      <c r="P57" s="5"/>
    </row>
    <row r="58" spans="1:16" ht="13">
      <c r="A58" s="48"/>
      <c r="B58" s="50"/>
      <c r="C58" s="51"/>
      <c r="D58" s="51"/>
      <c r="E58" s="5"/>
      <c r="F58" s="5"/>
      <c r="G58" s="5"/>
      <c r="J58" s="5"/>
      <c r="M58" s="5"/>
      <c r="N58" s="5"/>
      <c r="P58" s="5"/>
    </row>
    <row r="59" spans="1:16" ht="13">
      <c r="A59" s="48"/>
      <c r="B59" s="50"/>
      <c r="C59" s="51"/>
      <c r="D59" s="54"/>
      <c r="E59" s="5"/>
      <c r="F59" s="5"/>
      <c r="G59" s="5"/>
      <c r="J59" s="5"/>
      <c r="M59" s="5"/>
      <c r="N59" s="5"/>
      <c r="P59" s="5"/>
    </row>
    <row r="60" spans="1:16" ht="13">
      <c r="A60" s="48"/>
      <c r="B60" s="50"/>
      <c r="C60" s="51"/>
      <c r="D60" s="54"/>
      <c r="E60" s="5"/>
      <c r="F60" s="5"/>
      <c r="G60" s="5"/>
      <c r="J60" s="5"/>
      <c r="M60" s="5"/>
      <c r="N60" s="5"/>
      <c r="P60" s="5"/>
    </row>
    <row r="61" spans="1:16" ht="13">
      <c r="A61" s="48"/>
      <c r="B61" s="50"/>
      <c r="C61" s="51"/>
      <c r="D61" s="51"/>
      <c r="E61" s="5"/>
      <c r="F61" s="5"/>
      <c r="G61" s="5"/>
      <c r="J61" s="5"/>
      <c r="M61" s="5"/>
      <c r="N61" s="5"/>
      <c r="P61" s="5"/>
    </row>
    <row r="62" spans="1:16" ht="13">
      <c r="A62" s="48"/>
      <c r="B62" s="50"/>
      <c r="C62" s="51"/>
      <c r="D62" s="51"/>
      <c r="E62" s="5"/>
      <c r="F62" s="5"/>
      <c r="G62" s="5"/>
      <c r="J62" s="5"/>
      <c r="M62" s="5"/>
      <c r="N62" s="5"/>
      <c r="P62" s="5"/>
    </row>
    <row r="63" spans="1:16" ht="13">
      <c r="A63" s="48"/>
      <c r="B63" s="50"/>
      <c r="C63" s="51"/>
      <c r="D63" s="51"/>
      <c r="E63" s="5"/>
      <c r="F63" s="5"/>
      <c r="G63" s="5"/>
      <c r="J63" s="5"/>
      <c r="M63" s="5"/>
      <c r="N63" s="5"/>
      <c r="P63" s="5"/>
    </row>
    <row r="64" spans="1:16" ht="13">
      <c r="A64" s="48"/>
      <c r="B64" s="50"/>
      <c r="C64" s="51"/>
      <c r="D64" s="51"/>
      <c r="E64" s="5"/>
      <c r="F64" s="5"/>
      <c r="G64" s="5"/>
      <c r="J64" s="5"/>
      <c r="M64" s="5"/>
      <c r="N64" s="5"/>
      <c r="P64" s="5"/>
    </row>
    <row r="65" spans="1:16" ht="13">
      <c r="A65" s="48"/>
      <c r="B65" s="50"/>
      <c r="C65" s="51"/>
      <c r="D65" s="51"/>
      <c r="E65" s="5"/>
      <c r="F65" s="5"/>
      <c r="G65" s="5"/>
      <c r="J65" s="5"/>
      <c r="M65" s="5"/>
      <c r="N65" s="5"/>
      <c r="P65" s="5"/>
    </row>
    <row r="66" spans="1:16" ht="13">
      <c r="A66" s="48"/>
      <c r="B66" s="50"/>
      <c r="C66" s="51"/>
      <c r="D66" s="51"/>
      <c r="E66" s="5"/>
      <c r="F66" s="5"/>
      <c r="G66" s="5"/>
      <c r="J66" s="5"/>
      <c r="M66" s="5"/>
      <c r="N66" s="5"/>
      <c r="P66" s="5"/>
    </row>
    <row r="67" spans="1:16" ht="13">
      <c r="A67" s="48"/>
      <c r="B67" s="50"/>
      <c r="C67" s="51"/>
      <c r="D67" s="51"/>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4"/>
      <c r="E71" s="5"/>
      <c r="F71" s="5"/>
      <c r="G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1"/>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1"/>
      <c r="E81" s="5"/>
      <c r="F81" s="5"/>
      <c r="G81" s="5"/>
      <c r="J81" s="5"/>
      <c r="M81" s="5"/>
      <c r="N81" s="5"/>
      <c r="P81" s="5"/>
    </row>
    <row r="82" spans="1:16" ht="13">
      <c r="A82" s="48"/>
      <c r="B82" s="50"/>
      <c r="C82" s="51"/>
      <c r="D82" s="51"/>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1"/>
      <c r="E94" s="5"/>
      <c r="F94" s="5"/>
      <c r="G94" s="5"/>
      <c r="J94" s="5"/>
      <c r="M94" s="5"/>
      <c r="N94" s="5"/>
      <c r="P94" s="5"/>
    </row>
    <row r="95" spans="1:16" ht="13">
      <c r="A95" s="48"/>
      <c r="B95" s="50"/>
      <c r="C95" s="51"/>
      <c r="D95" s="54"/>
      <c r="E95" s="5"/>
      <c r="F95" s="5"/>
      <c r="G95" s="5"/>
      <c r="J95" s="5"/>
      <c r="M95" s="5"/>
      <c r="N95" s="5"/>
      <c r="P95" s="5"/>
    </row>
    <row r="96" spans="1:16" ht="13">
      <c r="A96" s="48"/>
      <c r="B96" s="50"/>
      <c r="C96" s="51"/>
      <c r="D96" s="51"/>
      <c r="E96" s="5"/>
      <c r="F96" s="5"/>
      <c r="G96" s="5"/>
      <c r="J96" s="5"/>
      <c r="M96" s="5"/>
      <c r="N96" s="5"/>
      <c r="P96" s="5"/>
    </row>
    <row r="97" spans="1:16" ht="13">
      <c r="A97" s="48"/>
      <c r="B97" s="50"/>
      <c r="C97" s="51"/>
      <c r="D97" s="54"/>
      <c r="E97" s="5"/>
      <c r="F97" s="5"/>
      <c r="G97" s="5"/>
      <c r="J97" s="5"/>
      <c r="M97" s="5"/>
      <c r="N97" s="5"/>
      <c r="P97" s="5"/>
    </row>
    <row r="98" spans="1:16" ht="13">
      <c r="A98" s="48"/>
      <c r="B98" s="50"/>
      <c r="C98" s="51"/>
      <c r="D98" s="51"/>
      <c r="E98" s="5"/>
      <c r="F98" s="5"/>
      <c r="G98" s="5"/>
      <c r="J98" s="5"/>
      <c r="M98" s="5"/>
      <c r="N98" s="5"/>
      <c r="P98" s="5"/>
    </row>
    <row r="99" spans="1:16" ht="13">
      <c r="A99" s="48"/>
      <c r="B99" s="50"/>
      <c r="C99" s="51"/>
      <c r="D99" s="54"/>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1"/>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1"/>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4"/>
      <c r="E108" s="5"/>
      <c r="F108" s="5"/>
      <c r="G108" s="5"/>
      <c r="J108" s="5"/>
      <c r="M108" s="5"/>
      <c r="N108" s="5"/>
      <c r="P108" s="5"/>
    </row>
    <row r="109" spans="1:16" ht="13">
      <c r="A109" s="48"/>
      <c r="B109" s="50"/>
      <c r="C109" s="51"/>
      <c r="D109" s="54"/>
      <c r="E109" s="5"/>
      <c r="F109" s="5"/>
      <c r="G109" s="5"/>
      <c r="J109" s="5"/>
      <c r="M109" s="5"/>
      <c r="N109" s="5"/>
      <c r="P109" s="5"/>
    </row>
    <row r="110" spans="1:16" ht="13">
      <c r="A110" s="48"/>
      <c r="B110" s="50"/>
      <c r="C110" s="51"/>
      <c r="D110" s="54"/>
      <c r="E110" s="5"/>
      <c r="F110" s="5"/>
      <c r="G110" s="5"/>
      <c r="J110" s="5"/>
      <c r="M110" s="5"/>
      <c r="N110" s="5"/>
      <c r="P110" s="5"/>
    </row>
    <row r="111" spans="1:16" ht="13">
      <c r="A111" s="48"/>
      <c r="B111" s="50"/>
      <c r="C111" s="51"/>
      <c r="D111" s="54"/>
      <c r="E111" s="5"/>
      <c r="F111" s="5"/>
      <c r="G111" s="5"/>
      <c r="J111" s="5"/>
      <c r="M111" s="5"/>
      <c r="N111" s="5"/>
      <c r="P111" s="5"/>
    </row>
    <row r="112" spans="1:16" ht="13">
      <c r="A112" s="48"/>
      <c r="B112" s="50"/>
      <c r="C112" s="51"/>
      <c r="D112" s="54"/>
      <c r="E112" s="5"/>
      <c r="F112" s="5"/>
      <c r="G112" s="5"/>
      <c r="J112" s="5"/>
      <c r="M112" s="5"/>
      <c r="N112" s="5"/>
      <c r="P112" s="5"/>
    </row>
    <row r="113" spans="1:16" ht="13">
      <c r="A113" s="48"/>
      <c r="B113" s="50"/>
      <c r="C113" s="51"/>
      <c r="D113" s="54"/>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0C00-000000000000}"/>
    <hyperlink ref="B6" r:id="rId2" xr:uid="{00000000-0004-0000-0C00-000001000000}"/>
    <hyperlink ref="B7" r:id="rId3" xr:uid="{00000000-0004-0000-0C00-000002000000}"/>
    <hyperlink ref="B8" r:id="rId4" xr:uid="{00000000-0004-0000-0C00-000003000000}"/>
    <hyperlink ref="B9" r:id="rId5" xr:uid="{00000000-0004-0000-0C00-000004000000}"/>
    <hyperlink ref="B10" r:id="rId6" xr:uid="{00000000-0004-0000-0C00-000005000000}"/>
    <hyperlink ref="B11" r:id="rId7" xr:uid="{00000000-0004-0000-0C00-000006000000}"/>
    <hyperlink ref="B12" r:id="rId8" xr:uid="{00000000-0004-0000-0C00-000007000000}"/>
    <hyperlink ref="B13" r:id="rId9" xr:uid="{00000000-0004-0000-0C00-000008000000}"/>
    <hyperlink ref="B14" r:id="rId10" xr:uid="{00000000-0004-0000-0C00-000009000000}"/>
    <hyperlink ref="B15" r:id="rId11" xr:uid="{00000000-0004-0000-0C00-00000A000000}"/>
    <hyperlink ref="B16" r:id="rId12" xr:uid="{00000000-0004-0000-0C00-00000B000000}"/>
    <hyperlink ref="B17" r:id="rId13" xr:uid="{00000000-0004-0000-0C00-00000C000000}"/>
    <hyperlink ref="B18" r:id="rId14" xr:uid="{00000000-0004-0000-0C00-00000D000000}"/>
    <hyperlink ref="B19" r:id="rId15" xr:uid="{00000000-0004-0000-0C00-00000E000000}"/>
    <hyperlink ref="B20" r:id="rId16" xr:uid="{00000000-0004-0000-0C00-00000F000000}"/>
    <hyperlink ref="B21" r:id="rId17" xr:uid="{00000000-0004-0000-0C00-000010000000}"/>
    <hyperlink ref="B22" r:id="rId18" xr:uid="{00000000-0004-0000-0C00-00001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outlinePr summaryBelow="0" summaryRight="0"/>
  </sheetPr>
  <dimension ref="A1:AA1002"/>
  <sheetViews>
    <sheetView workbookViewId="0">
      <pane ySplit="4" topLeftCell="A22" activePane="bottomLeft" state="frozen"/>
      <selection pane="bottomLeft" activeCell="B6" sqref="B6"/>
    </sheetView>
  </sheetViews>
  <sheetFormatPr baseColWidth="10" defaultColWidth="12.6640625" defaultRowHeight="15.75" customHeight="1"/>
  <cols>
    <col min="2" max="2" width="16.6640625" customWidth="1"/>
    <col min="3" max="3" width="13.5" customWidth="1"/>
    <col min="4" max="4" width="14.83203125" customWidth="1"/>
    <col min="5" max="5" width="14.33203125" customWidth="1"/>
    <col min="11" max="11" width="13.83203125" customWidth="1"/>
  </cols>
  <sheetData>
    <row r="1" spans="1:23" ht="15.75" customHeight="1">
      <c r="A1" s="1" t="s">
        <v>12</v>
      </c>
      <c r="B1" s="36"/>
      <c r="C1" s="37"/>
      <c r="D1" s="55" t="s">
        <v>181</v>
      </c>
      <c r="E1" s="5"/>
      <c r="F1" s="5"/>
      <c r="G1" s="5"/>
      <c r="K1" s="1"/>
      <c r="M1" s="5"/>
      <c r="N1" s="5"/>
      <c r="S1" s="1"/>
      <c r="U1" s="5"/>
    </row>
    <row r="2" spans="1:23" ht="15.75" customHeight="1">
      <c r="A2" s="7" t="s">
        <v>182</v>
      </c>
      <c r="B2" s="38">
        <v>37895</v>
      </c>
      <c r="C2" s="37"/>
      <c r="D2" s="56">
        <f>SUM(D5:G106)</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v>1</v>
      </c>
      <c r="B5" s="49" t="s">
        <v>1185</v>
      </c>
      <c r="C5" s="51" t="s">
        <v>208</v>
      </c>
      <c r="D5" s="51"/>
      <c r="E5" s="5"/>
      <c r="F5" s="5"/>
      <c r="G5" s="5"/>
      <c r="L5" s="43"/>
      <c r="M5" s="43"/>
      <c r="N5" s="42"/>
      <c r="O5" s="44"/>
      <c r="S5" s="42"/>
      <c r="T5" s="43"/>
      <c r="U5" s="43"/>
      <c r="V5" s="42"/>
      <c r="W5" s="44"/>
    </row>
    <row r="6" spans="1:23" ht="15.75" customHeight="1">
      <c r="A6" s="48">
        <v>2</v>
      </c>
      <c r="B6" s="49" t="s">
        <v>1186</v>
      </c>
      <c r="C6" s="51" t="s">
        <v>225</v>
      </c>
      <c r="D6" s="51"/>
      <c r="E6" s="5"/>
      <c r="F6" s="5"/>
      <c r="G6" s="5"/>
      <c r="L6" s="50"/>
      <c r="M6" s="51"/>
      <c r="N6" s="5"/>
      <c r="S6" s="52"/>
      <c r="T6" s="50"/>
      <c r="U6" s="51"/>
    </row>
    <row r="7" spans="1:23" ht="15.75" customHeight="1">
      <c r="A7" s="48">
        <v>3</v>
      </c>
      <c r="B7" s="49" t="s">
        <v>1187</v>
      </c>
      <c r="C7" s="51" t="s">
        <v>205</v>
      </c>
      <c r="D7" s="51"/>
      <c r="E7" s="5"/>
      <c r="F7" s="5"/>
      <c r="G7" s="5"/>
      <c r="K7" s="52"/>
      <c r="L7" s="50"/>
      <c r="M7" s="51"/>
      <c r="N7" s="5"/>
      <c r="S7" s="52"/>
      <c r="T7" s="50"/>
      <c r="U7" s="51"/>
    </row>
    <row r="8" spans="1:23" ht="15.75" customHeight="1">
      <c r="A8" s="48">
        <v>4</v>
      </c>
      <c r="B8" s="49" t="s">
        <v>1188</v>
      </c>
      <c r="C8" s="51" t="s">
        <v>205</v>
      </c>
      <c r="D8" s="51"/>
      <c r="E8" s="5"/>
      <c r="F8" s="5"/>
      <c r="G8" s="5"/>
      <c r="K8" s="52"/>
      <c r="L8" s="50"/>
      <c r="M8" s="51"/>
      <c r="N8" s="51"/>
      <c r="S8" s="52"/>
      <c r="T8" s="50"/>
      <c r="U8" s="51"/>
    </row>
    <row r="9" spans="1:23" ht="15.75" customHeight="1">
      <c r="A9" s="48">
        <v>5</v>
      </c>
      <c r="B9" s="49" t="s">
        <v>1189</v>
      </c>
      <c r="C9" s="51" t="s">
        <v>208</v>
      </c>
      <c r="D9" s="51"/>
      <c r="E9" s="5"/>
      <c r="F9" s="5"/>
      <c r="G9" s="5"/>
      <c r="K9" s="52"/>
      <c r="L9" s="50"/>
      <c r="M9" s="51"/>
      <c r="N9" s="51"/>
      <c r="S9" s="52"/>
      <c r="T9" s="50"/>
      <c r="U9" s="51"/>
    </row>
    <row r="10" spans="1:23" ht="15.75" customHeight="1">
      <c r="A10" s="48">
        <v>6</v>
      </c>
      <c r="B10" s="49" t="s">
        <v>1190</v>
      </c>
      <c r="C10" s="51" t="s">
        <v>199</v>
      </c>
      <c r="D10" s="51"/>
      <c r="E10" s="5"/>
      <c r="F10" s="5"/>
      <c r="G10" s="5"/>
      <c r="K10" s="52"/>
      <c r="L10" s="50"/>
      <c r="M10" s="51"/>
      <c r="N10" s="5"/>
      <c r="S10" s="52"/>
      <c r="T10" s="50"/>
      <c r="U10" s="51"/>
    </row>
    <row r="11" spans="1:23" ht="15.75" customHeight="1">
      <c r="A11" s="48">
        <v>7</v>
      </c>
      <c r="B11" s="49" t="s">
        <v>1187</v>
      </c>
      <c r="C11" s="51" t="s">
        <v>205</v>
      </c>
      <c r="D11" s="51"/>
      <c r="E11" s="5"/>
      <c r="F11" s="5"/>
      <c r="G11" s="5"/>
      <c r="K11" s="52"/>
      <c r="L11" s="50"/>
      <c r="M11" s="51"/>
      <c r="N11" s="51"/>
      <c r="S11" s="52"/>
      <c r="T11" s="50"/>
      <c r="U11" s="51"/>
    </row>
    <row r="12" spans="1:23" ht="15.75" customHeight="1">
      <c r="A12" s="48">
        <v>8</v>
      </c>
      <c r="B12" s="49" t="s">
        <v>1190</v>
      </c>
      <c r="C12" s="51" t="s">
        <v>199</v>
      </c>
      <c r="D12" s="51"/>
      <c r="E12" s="5"/>
      <c r="F12" s="5"/>
      <c r="G12" s="5"/>
      <c r="K12" s="52"/>
      <c r="L12" s="50"/>
      <c r="M12" s="51"/>
      <c r="N12" s="51"/>
      <c r="S12" s="52"/>
      <c r="T12" s="50"/>
      <c r="U12" s="51"/>
    </row>
    <row r="13" spans="1:23" ht="15.75" customHeight="1">
      <c r="A13" s="48">
        <v>9</v>
      </c>
      <c r="B13" s="49" t="s">
        <v>1191</v>
      </c>
      <c r="C13" s="51" t="s">
        <v>199</v>
      </c>
      <c r="D13" s="51"/>
      <c r="E13" s="5"/>
      <c r="F13" s="5"/>
      <c r="G13" s="5"/>
      <c r="K13" s="52"/>
      <c r="L13" s="50"/>
      <c r="M13" s="51"/>
      <c r="N13" s="5"/>
      <c r="S13" s="52"/>
      <c r="T13" s="50"/>
      <c r="U13" s="51"/>
    </row>
    <row r="14" spans="1:23" ht="15.75" customHeight="1">
      <c r="A14" s="48">
        <v>10</v>
      </c>
      <c r="B14" s="49" t="s">
        <v>1189</v>
      </c>
      <c r="C14" s="51" t="s">
        <v>208</v>
      </c>
      <c r="D14" s="51"/>
      <c r="E14" s="5"/>
      <c r="F14" s="5"/>
      <c r="G14" s="5"/>
      <c r="K14" s="52"/>
      <c r="L14" s="50"/>
      <c r="M14" s="51"/>
      <c r="N14" s="51"/>
      <c r="S14" s="52"/>
      <c r="T14" s="50"/>
      <c r="U14" s="51"/>
    </row>
    <row r="15" spans="1:23" ht="15.75" customHeight="1">
      <c r="A15" s="48">
        <v>11</v>
      </c>
      <c r="B15" s="49" t="s">
        <v>1192</v>
      </c>
      <c r="C15" s="51" t="s">
        <v>208</v>
      </c>
      <c r="D15" s="51"/>
      <c r="E15" s="5"/>
      <c r="F15" s="5"/>
      <c r="G15" s="5"/>
      <c r="K15" s="52"/>
      <c r="L15" s="50"/>
      <c r="M15" s="51"/>
      <c r="N15" s="51"/>
      <c r="S15" s="52"/>
      <c r="T15" s="50"/>
      <c r="U15" s="51"/>
    </row>
    <row r="16" spans="1:23" ht="15.75" customHeight="1">
      <c r="A16" s="48">
        <v>12</v>
      </c>
      <c r="B16" s="49" t="s">
        <v>191</v>
      </c>
      <c r="C16" s="51" t="s">
        <v>192</v>
      </c>
      <c r="D16" s="51"/>
      <c r="E16" s="5"/>
      <c r="F16" s="5"/>
      <c r="G16" s="5"/>
      <c r="K16" s="52"/>
      <c r="L16" s="50"/>
      <c r="M16" s="51"/>
      <c r="N16" s="51"/>
      <c r="S16" s="52"/>
      <c r="T16" s="50"/>
      <c r="U16" s="51"/>
    </row>
    <row r="17" spans="1:27" ht="15.75" customHeight="1">
      <c r="A17" s="48">
        <v>13</v>
      </c>
      <c r="B17" s="49" t="s">
        <v>202</v>
      </c>
      <c r="C17" s="51" t="s">
        <v>197</v>
      </c>
      <c r="D17" s="51"/>
      <c r="E17" s="5"/>
      <c r="F17" s="51"/>
      <c r="G17" s="5"/>
      <c r="K17" s="52"/>
      <c r="L17" s="50"/>
      <c r="M17" s="51"/>
      <c r="N17" s="51"/>
      <c r="S17" s="52"/>
      <c r="T17" s="50"/>
      <c r="U17" s="51"/>
    </row>
    <row r="18" spans="1:27" ht="15.75" customHeight="1">
      <c r="A18" s="48">
        <v>14</v>
      </c>
      <c r="B18" s="49" t="s">
        <v>1193</v>
      </c>
      <c r="C18" s="51" t="s">
        <v>197</v>
      </c>
      <c r="D18" s="57"/>
      <c r="E18" s="5"/>
      <c r="F18" s="5"/>
      <c r="G18" s="5"/>
      <c r="M18" s="5"/>
      <c r="N18" s="5"/>
      <c r="U18" s="5"/>
      <c r="AA18" s="5"/>
    </row>
    <row r="19" spans="1:27" ht="15.75" customHeight="1">
      <c r="A19" s="48">
        <v>15</v>
      </c>
      <c r="B19" s="49" t="s">
        <v>1194</v>
      </c>
      <c r="C19" s="51" t="s">
        <v>197</v>
      </c>
      <c r="D19" s="57"/>
      <c r="E19" s="5"/>
      <c r="F19" s="5"/>
      <c r="G19" s="5"/>
      <c r="K19" s="1"/>
      <c r="M19" s="5"/>
      <c r="N19" s="5"/>
      <c r="U19" s="5"/>
      <c r="AA19" s="5"/>
    </row>
    <row r="20" spans="1:27" ht="15.75" customHeight="1">
      <c r="A20" s="48">
        <v>16</v>
      </c>
      <c r="B20" s="58" t="str">
        <f>HYPERLINK("https://bulbapedia.bulbagarden.net/wiki/Treecko_(Nintendo_Promo_16)","Treecko")</f>
        <v>Treecko</v>
      </c>
      <c r="C20" s="51" t="s">
        <v>205</v>
      </c>
      <c r="D20" s="51"/>
      <c r="E20" s="5"/>
      <c r="F20" s="5"/>
      <c r="G20" s="5"/>
      <c r="L20" s="40"/>
      <c r="M20" s="5"/>
      <c r="N20" s="5"/>
      <c r="AA20" s="5"/>
    </row>
    <row r="21" spans="1:27" ht="15.75" customHeight="1">
      <c r="A21" s="48">
        <v>17</v>
      </c>
      <c r="B21" s="58" t="str">
        <f>HYPERLINK("https://bulbapedia.bulbagarden.net/wiki/Torchic_(Nintendo_Promo_17)","Torchic")</f>
        <v>Torchic</v>
      </c>
      <c r="C21" s="51" t="s">
        <v>199</v>
      </c>
      <c r="D21" s="51"/>
      <c r="E21" s="5"/>
      <c r="F21" s="5"/>
      <c r="G21" s="5"/>
      <c r="M21" s="5"/>
      <c r="N21" s="5"/>
      <c r="AA21" s="5"/>
    </row>
    <row r="22" spans="1:27" ht="15.75" customHeight="1">
      <c r="A22" s="48">
        <v>18</v>
      </c>
      <c r="B22" s="58" t="str">
        <f>HYPERLINK("https://bulbapedia.bulbagarden.net/wiki/Mudkip_(Nintendo_Promo_18)","Mudkip")</f>
        <v>Mudkip</v>
      </c>
      <c r="C22" s="51" t="s">
        <v>208</v>
      </c>
      <c r="D22" s="51"/>
      <c r="E22" s="5"/>
      <c r="F22" s="5"/>
      <c r="G22" s="5"/>
      <c r="K22" s="42"/>
      <c r="L22" s="45"/>
      <c r="M22" s="46"/>
      <c r="N22" s="47"/>
      <c r="AA22" s="5"/>
    </row>
    <row r="23" spans="1:27" ht="15.75" customHeight="1">
      <c r="A23" s="48">
        <v>19</v>
      </c>
      <c r="B23" s="58" t="str">
        <f>HYPERLINK("https://bulbapedia.bulbagarden.net/wiki/Whismur_(Nintendo_Promo_19)","Whismur")</f>
        <v>Whismur</v>
      </c>
      <c r="C23" s="51" t="s">
        <v>197</v>
      </c>
      <c r="D23" s="51"/>
      <c r="E23" s="5"/>
      <c r="F23" s="5"/>
      <c r="G23" s="5"/>
      <c r="K23" s="42"/>
      <c r="L23" s="43"/>
      <c r="M23" s="43"/>
      <c r="N23" s="42"/>
      <c r="O23" s="44"/>
      <c r="AA23" s="5"/>
    </row>
    <row r="24" spans="1:27" ht="15.75" customHeight="1">
      <c r="A24" s="48">
        <v>20</v>
      </c>
      <c r="B24" s="49" t="s">
        <v>1195</v>
      </c>
      <c r="C24" s="51" t="s">
        <v>208</v>
      </c>
      <c r="D24" s="51"/>
      <c r="E24" s="5"/>
      <c r="F24" s="51"/>
      <c r="G24" s="5"/>
      <c r="K24" s="52"/>
      <c r="L24" s="50"/>
      <c r="M24" s="51"/>
      <c r="N24" s="5"/>
      <c r="AA24" s="5"/>
    </row>
    <row r="25" spans="1:27" ht="15.75" customHeight="1">
      <c r="A25" s="48">
        <v>21</v>
      </c>
      <c r="B25" s="49" t="s">
        <v>1196</v>
      </c>
      <c r="C25" s="51" t="s">
        <v>195</v>
      </c>
      <c r="D25" s="57"/>
      <c r="E25" s="5"/>
      <c r="F25" s="5"/>
      <c r="G25" s="5"/>
      <c r="K25" s="52"/>
      <c r="L25" s="50"/>
      <c r="M25" s="51"/>
      <c r="N25" s="5"/>
      <c r="AA25" s="5"/>
    </row>
    <row r="26" spans="1:27" ht="15.75" customHeight="1">
      <c r="A26" s="48">
        <v>22</v>
      </c>
      <c r="B26" s="49" t="s">
        <v>1197</v>
      </c>
      <c r="C26" s="51" t="s">
        <v>220</v>
      </c>
      <c r="D26" s="51"/>
      <c r="E26" s="5"/>
      <c r="F26" s="5"/>
      <c r="G26" s="5"/>
      <c r="K26" s="52"/>
      <c r="L26" s="50"/>
      <c r="M26" s="51"/>
      <c r="N26" s="51"/>
      <c r="AA26" s="5"/>
    </row>
    <row r="27" spans="1:27" ht="15.75" customHeight="1">
      <c r="A27" s="48">
        <v>23</v>
      </c>
      <c r="B27" s="49" t="s">
        <v>1198</v>
      </c>
      <c r="C27" s="51" t="s">
        <v>220</v>
      </c>
      <c r="D27" s="51"/>
      <c r="E27" s="5"/>
      <c r="F27" s="51"/>
      <c r="G27" s="5"/>
      <c r="K27" s="52"/>
      <c r="L27" s="50"/>
      <c r="M27" s="51"/>
      <c r="N27" s="51"/>
      <c r="AA27" s="5"/>
    </row>
    <row r="28" spans="1:27" ht="15.75" customHeight="1">
      <c r="A28" s="48">
        <v>24</v>
      </c>
      <c r="B28" s="49" t="s">
        <v>1199</v>
      </c>
      <c r="C28" s="51" t="s">
        <v>195</v>
      </c>
      <c r="D28" s="51"/>
      <c r="E28" s="5"/>
      <c r="F28" s="5"/>
      <c r="G28" s="5"/>
      <c r="J28" s="5"/>
      <c r="K28" s="52"/>
      <c r="L28" s="50"/>
      <c r="M28" s="51"/>
      <c r="N28" s="5"/>
      <c r="P28" s="5"/>
    </row>
    <row r="29" spans="1:27" ht="15.75" customHeight="1">
      <c r="A29" s="48">
        <v>25</v>
      </c>
      <c r="B29" s="49" t="s">
        <v>1200</v>
      </c>
      <c r="C29" s="51" t="s">
        <v>197</v>
      </c>
      <c r="D29" s="51"/>
      <c r="E29" s="5"/>
      <c r="F29" s="5"/>
      <c r="G29" s="5"/>
      <c r="J29" s="5"/>
      <c r="K29" s="52"/>
      <c r="L29" s="50"/>
      <c r="M29" s="51"/>
      <c r="N29" s="51"/>
      <c r="P29" s="5"/>
    </row>
    <row r="30" spans="1:27" ht="15.75" customHeight="1">
      <c r="A30" s="48">
        <v>26</v>
      </c>
      <c r="B30" s="58" t="str">
        <f>HYPERLINK("https://bulbapedia.bulbagarden.net/wiki/Tropical_Wind_(Nintendo_Promo_26)","Tropical Wind")</f>
        <v>Tropical Wind</v>
      </c>
      <c r="C30" s="51" t="s">
        <v>206</v>
      </c>
      <c r="D30" s="51"/>
      <c r="E30" s="5"/>
      <c r="F30" s="5"/>
      <c r="G30" s="5"/>
      <c r="J30" s="5"/>
      <c r="K30" s="52"/>
      <c r="L30" s="50"/>
      <c r="M30" s="51"/>
      <c r="N30" s="5"/>
      <c r="P30" s="5"/>
    </row>
    <row r="31" spans="1:27" ht="15.75" customHeight="1">
      <c r="A31" s="48">
        <v>27</v>
      </c>
      <c r="B31" s="58" t="str">
        <f>HYPERLINK("https://bulbapedia.bulbagarden.net/wiki/Tropical_Tidal_Wave_(Nintendo_Promo_27)","Tropical Tidal Wave")</f>
        <v>Tropical Tidal Wave</v>
      </c>
      <c r="C31" s="51" t="s">
        <v>206</v>
      </c>
      <c r="D31" s="51"/>
      <c r="E31" s="5"/>
      <c r="F31" s="5"/>
      <c r="G31" s="5"/>
      <c r="J31" s="5"/>
      <c r="K31" s="52"/>
      <c r="L31" s="50"/>
      <c r="M31" s="51"/>
      <c r="N31" s="51"/>
      <c r="P31" s="5"/>
    </row>
    <row r="32" spans="1:27" ht="15.75" customHeight="1">
      <c r="A32" s="48">
        <v>28</v>
      </c>
      <c r="B32" s="49" t="s">
        <v>1201</v>
      </c>
      <c r="C32" s="51" t="s">
        <v>229</v>
      </c>
      <c r="D32" s="51"/>
      <c r="E32" s="5"/>
      <c r="F32" s="5"/>
      <c r="G32" s="5"/>
      <c r="J32" s="5"/>
      <c r="K32" s="52"/>
      <c r="L32" s="50"/>
      <c r="M32" s="51"/>
      <c r="N32" s="5"/>
      <c r="P32" s="5"/>
    </row>
    <row r="33" spans="1:16" ht="15.75" customHeight="1">
      <c r="A33" s="48">
        <v>29</v>
      </c>
      <c r="B33" s="49" t="s">
        <v>234</v>
      </c>
      <c r="C33" s="51" t="s">
        <v>205</v>
      </c>
      <c r="D33" s="51"/>
      <c r="E33" s="5"/>
      <c r="F33" s="5"/>
      <c r="G33" s="5"/>
      <c r="J33" s="5"/>
      <c r="K33" s="52"/>
      <c r="L33" s="50"/>
      <c r="M33" s="51"/>
      <c r="N33" s="5"/>
      <c r="P33" s="5"/>
    </row>
    <row r="34" spans="1:16" ht="15.75" customHeight="1">
      <c r="A34" s="48">
        <v>30</v>
      </c>
      <c r="B34" s="49" t="s">
        <v>237</v>
      </c>
      <c r="C34" s="51" t="s">
        <v>208</v>
      </c>
      <c r="D34" s="51"/>
      <c r="E34" s="5"/>
      <c r="F34" s="5"/>
      <c r="G34" s="5"/>
      <c r="J34" s="5"/>
      <c r="K34" s="52"/>
      <c r="L34" s="50"/>
      <c r="M34" s="51"/>
      <c r="N34" s="5"/>
      <c r="P34" s="5"/>
    </row>
    <row r="35" spans="1:16" ht="15.75" customHeight="1">
      <c r="A35" s="48">
        <v>31</v>
      </c>
      <c r="B35" s="49" t="s">
        <v>1202</v>
      </c>
      <c r="C35" s="51" t="s">
        <v>199</v>
      </c>
      <c r="D35" s="51"/>
      <c r="E35" s="5"/>
      <c r="F35" s="5"/>
      <c r="G35" s="5"/>
      <c r="J35" s="5"/>
      <c r="K35" s="52"/>
      <c r="L35" s="50"/>
      <c r="M35" s="51"/>
      <c r="N35" s="51"/>
      <c r="P35" s="5"/>
    </row>
    <row r="36" spans="1:16" ht="15.75" customHeight="1">
      <c r="A36" s="48">
        <v>32</v>
      </c>
      <c r="B36" s="49" t="s">
        <v>1203</v>
      </c>
      <c r="C36" s="51" t="s">
        <v>208</v>
      </c>
      <c r="D36" s="51"/>
      <c r="E36" s="5"/>
      <c r="F36" s="5"/>
      <c r="G36" s="5"/>
      <c r="J36" s="5"/>
      <c r="M36" s="5"/>
      <c r="N36" s="5"/>
      <c r="P36" s="5"/>
    </row>
    <row r="37" spans="1:16" ht="15.75" customHeight="1">
      <c r="A37" s="48">
        <v>33</v>
      </c>
      <c r="B37" s="49" t="s">
        <v>1204</v>
      </c>
      <c r="C37" s="51" t="s">
        <v>192</v>
      </c>
      <c r="D37" s="51"/>
      <c r="E37" s="5"/>
      <c r="F37" s="5"/>
      <c r="G37" s="5"/>
      <c r="J37" s="5"/>
      <c r="M37" s="5"/>
      <c r="N37" s="5"/>
    </row>
    <row r="38" spans="1:16" ht="15.75" customHeight="1">
      <c r="A38" s="48">
        <v>34</v>
      </c>
      <c r="B38" s="49" t="s">
        <v>795</v>
      </c>
      <c r="C38" s="51" t="s">
        <v>199</v>
      </c>
      <c r="D38" s="51"/>
      <c r="E38" s="5"/>
      <c r="F38" s="5"/>
      <c r="G38" s="5"/>
      <c r="J38" s="5"/>
      <c r="M38" s="51"/>
      <c r="N38" s="51"/>
    </row>
    <row r="39" spans="1:16" ht="15.75" customHeight="1">
      <c r="A39" s="48">
        <v>35</v>
      </c>
      <c r="B39" s="49" t="s">
        <v>1205</v>
      </c>
      <c r="C39" s="51" t="s">
        <v>220</v>
      </c>
      <c r="D39" s="51"/>
      <c r="E39" s="5"/>
      <c r="F39" s="5"/>
      <c r="G39" s="5"/>
      <c r="J39" s="5"/>
      <c r="M39" s="51"/>
      <c r="N39" s="51"/>
    </row>
    <row r="40" spans="1:16" ht="15.75" customHeight="1">
      <c r="A40" s="48">
        <v>36</v>
      </c>
      <c r="B40" s="58" t="str">
        <f>HYPERLINK("https://bulbapedia.bulbagarden.net/wiki/Tropical_Tidal_Wave_(Nintendo_Promo_36)","Tropical Tidal Wave")</f>
        <v>Tropical Tidal Wave</v>
      </c>
      <c r="C40" s="51" t="s">
        <v>206</v>
      </c>
      <c r="D40" s="51"/>
      <c r="E40" s="5"/>
      <c r="F40" s="5"/>
      <c r="G40" s="5"/>
      <c r="J40" s="5"/>
      <c r="M40" s="51"/>
      <c r="N40" s="51"/>
    </row>
    <row r="41" spans="1:16" ht="15.75" customHeight="1">
      <c r="A41" s="48">
        <v>37</v>
      </c>
      <c r="B41" s="49" t="s">
        <v>1185</v>
      </c>
      <c r="C41" s="51" t="s">
        <v>208</v>
      </c>
      <c r="D41" s="51"/>
      <c r="E41" s="5"/>
      <c r="F41" s="5"/>
      <c r="G41" s="5"/>
      <c r="J41" s="5"/>
      <c r="M41" s="51"/>
      <c r="N41" s="51"/>
    </row>
    <row r="42" spans="1:16" ht="15.75" customHeight="1">
      <c r="A42" s="48">
        <v>38</v>
      </c>
      <c r="B42" s="49" t="s">
        <v>1186</v>
      </c>
      <c r="C42" s="51" t="s">
        <v>225</v>
      </c>
      <c r="D42" s="51"/>
      <c r="E42" s="5"/>
      <c r="F42" s="5"/>
      <c r="G42" s="5"/>
      <c r="J42" s="5"/>
      <c r="M42" s="51"/>
      <c r="N42" s="51"/>
    </row>
    <row r="43" spans="1:16" ht="15.75" customHeight="1">
      <c r="A43" s="48">
        <v>39</v>
      </c>
      <c r="B43" s="49" t="s">
        <v>1206</v>
      </c>
      <c r="C43" s="51" t="s">
        <v>197</v>
      </c>
      <c r="D43" s="51"/>
      <c r="E43" s="5"/>
      <c r="F43" s="5"/>
      <c r="G43" s="5"/>
      <c r="J43" s="5"/>
      <c r="M43" s="51"/>
      <c r="N43" s="51"/>
    </row>
    <row r="44" spans="1:16" ht="15.75" customHeight="1">
      <c r="A44" s="48">
        <v>40</v>
      </c>
      <c r="B44" s="49" t="s">
        <v>201</v>
      </c>
      <c r="C44" s="51" t="s">
        <v>195</v>
      </c>
      <c r="D44" s="51"/>
      <c r="E44" s="5"/>
      <c r="F44" s="5"/>
      <c r="G44" s="5"/>
      <c r="J44" s="5"/>
      <c r="M44" s="51"/>
      <c r="N44" s="51"/>
    </row>
    <row r="45" spans="1:16" ht="15.75" customHeight="1">
      <c r="A45" s="48"/>
      <c r="B45" s="50"/>
      <c r="C45" s="51"/>
      <c r="D45" s="54"/>
      <c r="E45" s="5"/>
      <c r="F45" s="5"/>
      <c r="G45" s="5"/>
      <c r="J45" s="5"/>
      <c r="M45" s="51"/>
      <c r="N45" s="51"/>
      <c r="P45" s="5"/>
    </row>
    <row r="46" spans="1:16" ht="15.75" customHeight="1">
      <c r="A46" s="48"/>
      <c r="B46" s="50"/>
      <c r="C46" s="51"/>
      <c r="D46" s="54"/>
      <c r="E46" s="5"/>
      <c r="F46" s="5"/>
      <c r="G46" s="5"/>
      <c r="J46" s="5"/>
      <c r="M46" s="51"/>
      <c r="N46" s="51"/>
      <c r="P46" s="5"/>
    </row>
    <row r="47" spans="1:16" ht="15.75" customHeight="1">
      <c r="A47" s="48"/>
      <c r="B47" s="50"/>
      <c r="C47" s="51"/>
      <c r="D47" s="54"/>
      <c r="E47" s="5"/>
      <c r="F47" s="5"/>
      <c r="G47" s="5"/>
      <c r="J47" s="5"/>
      <c r="M47" s="5"/>
      <c r="N47" s="5"/>
      <c r="P47" s="5"/>
    </row>
    <row r="48" spans="1:16" ht="15.75" customHeight="1">
      <c r="A48" s="48"/>
      <c r="B48" s="50"/>
      <c r="C48" s="51"/>
      <c r="D48" s="54"/>
      <c r="E48" s="5"/>
      <c r="F48" s="5"/>
      <c r="G48" s="5"/>
      <c r="J48" s="5"/>
      <c r="M48" s="5"/>
      <c r="N48" s="5"/>
      <c r="P48" s="5"/>
    </row>
    <row r="49" spans="1:16" ht="15.75" customHeight="1">
      <c r="A49" s="48"/>
      <c r="B49" s="50"/>
      <c r="C49" s="51"/>
      <c r="D49" s="54"/>
      <c r="E49" s="5"/>
      <c r="F49" s="5"/>
      <c r="G49" s="5"/>
      <c r="J49" s="5"/>
      <c r="M49" s="5"/>
      <c r="N49" s="5"/>
      <c r="P49" s="5"/>
    </row>
    <row r="50" spans="1:16" ht="15.75" customHeight="1">
      <c r="A50" s="48"/>
      <c r="B50" s="50"/>
      <c r="C50" s="51"/>
      <c r="D50" s="54"/>
      <c r="E50" s="5"/>
      <c r="F50" s="5"/>
      <c r="G50" s="5"/>
      <c r="J50" s="5"/>
      <c r="M50" s="5"/>
      <c r="N50" s="5"/>
      <c r="P50" s="5"/>
    </row>
    <row r="51" spans="1:16" ht="15.75" customHeight="1">
      <c r="A51" s="48"/>
      <c r="B51" s="50"/>
      <c r="C51" s="51"/>
      <c r="D51" s="54"/>
      <c r="E51" s="5"/>
      <c r="F51" s="5"/>
      <c r="G51" s="5"/>
      <c r="J51" s="5"/>
      <c r="M51" s="5"/>
      <c r="N51" s="5"/>
      <c r="P51" s="5"/>
    </row>
    <row r="52" spans="1:16" ht="15.75" customHeight="1">
      <c r="A52" s="48"/>
      <c r="B52" s="50"/>
      <c r="C52" s="51"/>
      <c r="D52" s="54"/>
      <c r="E52" s="5"/>
      <c r="F52" s="5"/>
      <c r="G52" s="5"/>
      <c r="J52" s="5"/>
      <c r="M52" s="5"/>
      <c r="N52" s="5"/>
      <c r="P52" s="5"/>
    </row>
    <row r="53" spans="1:16" ht="13">
      <c r="A53" s="48"/>
      <c r="B53" s="50"/>
      <c r="C53" s="51"/>
      <c r="D53" s="54"/>
      <c r="E53" s="5"/>
      <c r="F53" s="5"/>
      <c r="G53" s="5"/>
      <c r="J53" s="5"/>
      <c r="M53" s="5"/>
      <c r="N53" s="5"/>
      <c r="P53" s="5"/>
    </row>
    <row r="54" spans="1:16" ht="13">
      <c r="A54" s="48"/>
      <c r="B54" s="50"/>
      <c r="C54" s="51"/>
      <c r="D54" s="54"/>
      <c r="E54" s="5"/>
      <c r="F54" s="5"/>
      <c r="G54" s="5"/>
      <c r="J54" s="5"/>
      <c r="M54" s="5"/>
      <c r="N54" s="5"/>
      <c r="P54" s="5"/>
    </row>
    <row r="55" spans="1:16" ht="13">
      <c r="A55" s="48"/>
      <c r="B55" s="50"/>
      <c r="C55" s="51"/>
      <c r="D55" s="54"/>
      <c r="E55" s="5"/>
      <c r="F55" s="5"/>
      <c r="G55" s="5"/>
      <c r="J55" s="5"/>
      <c r="M55" s="5"/>
      <c r="N55" s="5"/>
      <c r="P55" s="5"/>
    </row>
    <row r="56" spans="1:16" ht="13">
      <c r="A56" s="48"/>
      <c r="B56" s="50"/>
      <c r="C56" s="51"/>
      <c r="D56" s="54"/>
      <c r="E56" s="5"/>
      <c r="F56" s="5"/>
      <c r="G56" s="5"/>
      <c r="J56" s="5"/>
      <c r="M56" s="5"/>
      <c r="N56" s="5"/>
      <c r="P56" s="5"/>
    </row>
    <row r="57" spans="1:16" ht="13">
      <c r="A57" s="48"/>
      <c r="B57" s="50"/>
      <c r="C57" s="51"/>
      <c r="D57" s="54"/>
      <c r="E57" s="5"/>
      <c r="F57" s="5"/>
      <c r="G57" s="5"/>
      <c r="J57" s="5"/>
      <c r="M57" s="5"/>
      <c r="N57" s="5"/>
      <c r="P57" s="5"/>
    </row>
    <row r="58" spans="1:16" ht="13">
      <c r="A58" s="48"/>
      <c r="B58" s="50"/>
      <c r="C58" s="51"/>
      <c r="D58" s="54"/>
      <c r="E58" s="5"/>
      <c r="F58" s="5"/>
      <c r="G58" s="5"/>
      <c r="J58" s="5"/>
      <c r="M58" s="5"/>
      <c r="N58" s="5"/>
      <c r="P58" s="5"/>
    </row>
    <row r="59" spans="1:16" ht="13">
      <c r="A59" s="48"/>
      <c r="B59" s="50"/>
      <c r="C59" s="51"/>
      <c r="D59" s="54"/>
      <c r="E59" s="5"/>
      <c r="F59" s="5"/>
      <c r="G59" s="5"/>
      <c r="J59" s="5"/>
      <c r="M59" s="5"/>
      <c r="N59" s="5"/>
      <c r="P59" s="5"/>
    </row>
    <row r="60" spans="1:16" ht="13">
      <c r="A60" s="48"/>
      <c r="B60" s="50"/>
      <c r="C60" s="51"/>
      <c r="D60" s="54"/>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1"/>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200-000000000000}"/>
    <hyperlink ref="B6" r:id="rId2" xr:uid="{00000000-0004-0000-1200-000001000000}"/>
    <hyperlink ref="B7" r:id="rId3" xr:uid="{00000000-0004-0000-1200-000002000000}"/>
    <hyperlink ref="B8" r:id="rId4" xr:uid="{00000000-0004-0000-1200-000003000000}"/>
    <hyperlink ref="B9" r:id="rId5" xr:uid="{00000000-0004-0000-1200-000004000000}"/>
    <hyperlink ref="B10" r:id="rId6" xr:uid="{00000000-0004-0000-1200-000005000000}"/>
    <hyperlink ref="B11" r:id="rId7" xr:uid="{00000000-0004-0000-1200-000006000000}"/>
    <hyperlink ref="B12" r:id="rId8" xr:uid="{00000000-0004-0000-1200-000007000000}"/>
    <hyperlink ref="B13" r:id="rId9" xr:uid="{00000000-0004-0000-1200-000008000000}"/>
    <hyperlink ref="B14" r:id="rId10" xr:uid="{00000000-0004-0000-1200-000009000000}"/>
    <hyperlink ref="B15" r:id="rId11" xr:uid="{00000000-0004-0000-1200-00000A000000}"/>
    <hyperlink ref="B16" r:id="rId12" xr:uid="{00000000-0004-0000-1200-00000B000000}"/>
    <hyperlink ref="B17" r:id="rId13" xr:uid="{00000000-0004-0000-1200-00000C000000}"/>
    <hyperlink ref="B18" r:id="rId14" xr:uid="{00000000-0004-0000-1200-00000D000000}"/>
    <hyperlink ref="B19" r:id="rId15" xr:uid="{00000000-0004-0000-1200-00000E000000}"/>
    <hyperlink ref="B24" r:id="rId16" xr:uid="{00000000-0004-0000-1200-00000F000000}"/>
    <hyperlink ref="B25" r:id="rId17" xr:uid="{00000000-0004-0000-1200-000010000000}"/>
    <hyperlink ref="B26" r:id="rId18" xr:uid="{00000000-0004-0000-1200-000011000000}"/>
    <hyperlink ref="B27" r:id="rId19" xr:uid="{00000000-0004-0000-1200-000012000000}"/>
    <hyperlink ref="B28" r:id="rId20" xr:uid="{00000000-0004-0000-1200-000013000000}"/>
    <hyperlink ref="B29" r:id="rId21" xr:uid="{00000000-0004-0000-1200-000014000000}"/>
    <hyperlink ref="B32" r:id="rId22" xr:uid="{00000000-0004-0000-1200-000015000000}"/>
    <hyperlink ref="B33" r:id="rId23" xr:uid="{00000000-0004-0000-1200-000016000000}"/>
    <hyperlink ref="B34" r:id="rId24" xr:uid="{00000000-0004-0000-1200-000017000000}"/>
    <hyperlink ref="B35" r:id="rId25" xr:uid="{00000000-0004-0000-1200-000018000000}"/>
    <hyperlink ref="B36" r:id="rId26" xr:uid="{00000000-0004-0000-1200-000019000000}"/>
    <hyperlink ref="B37" r:id="rId27" xr:uid="{00000000-0004-0000-1200-00001A000000}"/>
    <hyperlink ref="B38" r:id="rId28" xr:uid="{00000000-0004-0000-1200-00001B000000}"/>
    <hyperlink ref="B39" r:id="rId29" xr:uid="{00000000-0004-0000-1200-00001C000000}"/>
    <hyperlink ref="B41" r:id="rId30" xr:uid="{00000000-0004-0000-1200-00001D000000}"/>
    <hyperlink ref="B42" r:id="rId31" xr:uid="{00000000-0004-0000-1200-00001E000000}"/>
    <hyperlink ref="B43" r:id="rId32" xr:uid="{00000000-0004-0000-1200-00001F000000}"/>
    <hyperlink ref="B44" r:id="rId33" xr:uid="{00000000-0004-0000-1200-00002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outlinePr summaryBelow="0" summaryRight="0"/>
  </sheetPr>
  <dimension ref="A1:AA1002"/>
  <sheetViews>
    <sheetView tabSelected="1" workbookViewId="0">
      <pane ySplit="4" topLeftCell="A84" activePane="bottomLeft" state="frozen"/>
      <selection pane="bottomLeft" activeCell="B6" sqref="B6"/>
    </sheetView>
  </sheetViews>
  <sheetFormatPr baseColWidth="10" defaultColWidth="12.6640625" defaultRowHeight="15.75" customHeight="1"/>
  <cols>
    <col min="2" max="2" width="19.1640625" customWidth="1"/>
    <col min="3" max="3" width="13.5" customWidth="1"/>
    <col min="4" max="4" width="14.83203125" customWidth="1"/>
    <col min="5" max="5" width="14.33203125" customWidth="1"/>
    <col min="11" max="11" width="13.83203125" customWidth="1"/>
  </cols>
  <sheetData>
    <row r="1" spans="1:23" ht="15.75" customHeight="1">
      <c r="A1" s="1" t="s">
        <v>27</v>
      </c>
      <c r="B1" s="36"/>
      <c r="C1" s="37"/>
      <c r="D1" s="7" t="s">
        <v>181</v>
      </c>
      <c r="E1" s="5"/>
      <c r="F1" s="5"/>
      <c r="G1" s="5"/>
      <c r="K1" s="1"/>
      <c r="M1" s="5"/>
      <c r="N1" s="5"/>
      <c r="S1" s="1"/>
      <c r="U1" s="5"/>
    </row>
    <row r="2" spans="1:23" ht="15.75" customHeight="1">
      <c r="A2" s="7" t="s">
        <v>182</v>
      </c>
      <c r="B2" s="38">
        <v>37949</v>
      </c>
      <c r="C2" s="37"/>
      <c r="D2" s="39">
        <f>SUM(D5:G104)</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1490</v>
      </c>
      <c r="B5" s="49" t="s">
        <v>1491</v>
      </c>
      <c r="C5" s="51" t="s">
        <v>808</v>
      </c>
      <c r="D5" s="54"/>
      <c r="E5" s="5"/>
      <c r="F5" s="51"/>
      <c r="G5" s="5"/>
      <c r="L5" s="43"/>
      <c r="M5" s="43"/>
      <c r="N5" s="42"/>
      <c r="O5" s="44"/>
      <c r="S5" s="42"/>
      <c r="T5" s="43"/>
      <c r="U5" s="43"/>
      <c r="V5" s="42"/>
      <c r="W5" s="44"/>
    </row>
    <row r="6" spans="1:23" ht="15.75" customHeight="1">
      <c r="A6" s="48" t="s">
        <v>1492</v>
      </c>
      <c r="B6" s="49" t="s">
        <v>1493</v>
      </c>
      <c r="C6" s="51" t="s">
        <v>197</v>
      </c>
      <c r="D6" s="54"/>
      <c r="E6" s="5"/>
      <c r="F6" s="5"/>
      <c r="G6" s="5"/>
      <c r="L6" s="50"/>
      <c r="M6" s="51"/>
      <c r="N6" s="5"/>
      <c r="S6" s="52"/>
      <c r="T6" s="50"/>
      <c r="U6" s="51"/>
    </row>
    <row r="7" spans="1:23" ht="15.75" customHeight="1">
      <c r="A7" s="48" t="s">
        <v>1494</v>
      </c>
      <c r="B7" s="49" t="s">
        <v>1495</v>
      </c>
      <c r="C7" s="51" t="s">
        <v>208</v>
      </c>
      <c r="D7" s="54"/>
      <c r="E7" s="5"/>
      <c r="F7" s="5"/>
      <c r="G7" s="5"/>
      <c r="K7" s="52"/>
      <c r="L7" s="50"/>
      <c r="M7" s="51"/>
      <c r="N7" s="5"/>
      <c r="S7" s="52"/>
      <c r="T7" s="50"/>
      <c r="U7" s="51"/>
    </row>
    <row r="8" spans="1:23" ht="15.75" customHeight="1">
      <c r="A8" s="48" t="s">
        <v>1496</v>
      </c>
      <c r="B8" s="49" t="s">
        <v>1200</v>
      </c>
      <c r="C8" s="51" t="s">
        <v>197</v>
      </c>
      <c r="D8" s="54"/>
      <c r="E8" s="5"/>
      <c r="F8" s="5"/>
      <c r="G8" s="5"/>
      <c r="K8" s="52"/>
      <c r="L8" s="50"/>
      <c r="M8" s="51"/>
      <c r="N8" s="51"/>
      <c r="S8" s="52"/>
      <c r="T8" s="50"/>
      <c r="U8" s="51"/>
    </row>
    <row r="9" spans="1:23" ht="15.75" customHeight="1">
      <c r="A9" s="48" t="s">
        <v>1497</v>
      </c>
      <c r="B9" s="49" t="s">
        <v>370</v>
      </c>
      <c r="C9" s="51" t="s">
        <v>225</v>
      </c>
      <c r="D9" s="54"/>
      <c r="E9" s="5"/>
      <c r="F9" s="5"/>
      <c r="G9" s="5"/>
      <c r="K9" s="52"/>
      <c r="L9" s="50"/>
      <c r="M9" s="51"/>
      <c r="N9" s="51"/>
      <c r="S9" s="52"/>
      <c r="T9" s="50"/>
      <c r="U9" s="51"/>
    </row>
    <row r="10" spans="1:23" ht="15.75" customHeight="1">
      <c r="A10" s="48" t="s">
        <v>1498</v>
      </c>
      <c r="B10" s="49" t="s">
        <v>1499</v>
      </c>
      <c r="C10" s="51" t="s">
        <v>195</v>
      </c>
      <c r="D10" s="54"/>
      <c r="E10" s="5"/>
      <c r="F10" s="5"/>
      <c r="G10" s="5"/>
      <c r="K10" s="52"/>
      <c r="L10" s="50"/>
      <c r="M10" s="51"/>
      <c r="N10" s="5"/>
      <c r="S10" s="52"/>
      <c r="T10" s="50"/>
      <c r="U10" s="51"/>
    </row>
    <row r="11" spans="1:23" ht="15.75" customHeight="1">
      <c r="A11" s="48" t="s">
        <v>1500</v>
      </c>
      <c r="B11" s="49" t="s">
        <v>1501</v>
      </c>
      <c r="C11" s="51" t="s">
        <v>192</v>
      </c>
      <c r="D11" s="54"/>
      <c r="E11" s="5"/>
      <c r="F11" s="5"/>
      <c r="G11" s="5"/>
      <c r="K11" s="52"/>
      <c r="L11" s="50"/>
      <c r="M11" s="51"/>
      <c r="N11" s="51"/>
      <c r="S11" s="52"/>
      <c r="T11" s="50"/>
      <c r="U11" s="51"/>
    </row>
    <row r="12" spans="1:23" ht="15.75" customHeight="1">
      <c r="A12" s="48" t="s">
        <v>1502</v>
      </c>
      <c r="B12" s="49" t="s">
        <v>1503</v>
      </c>
      <c r="C12" s="51" t="s">
        <v>192</v>
      </c>
      <c r="D12" s="54"/>
      <c r="E12" s="5"/>
      <c r="F12" s="5"/>
      <c r="G12" s="5"/>
      <c r="K12" s="52"/>
      <c r="L12" s="50"/>
      <c r="M12" s="51"/>
      <c r="N12" s="51"/>
      <c r="S12" s="52"/>
      <c r="T12" s="50"/>
      <c r="U12" s="51"/>
    </row>
    <row r="13" spans="1:23" ht="15.75" customHeight="1">
      <c r="A13" s="48" t="s">
        <v>1504</v>
      </c>
      <c r="B13" s="49" t="s">
        <v>1505</v>
      </c>
      <c r="C13" s="51" t="s">
        <v>205</v>
      </c>
      <c r="D13" s="54"/>
      <c r="E13" s="5"/>
      <c r="F13" s="51"/>
      <c r="G13" s="5"/>
      <c r="K13" s="52"/>
      <c r="L13" s="50"/>
      <c r="M13" s="51"/>
      <c r="N13" s="5"/>
      <c r="S13" s="52"/>
      <c r="T13" s="50"/>
      <c r="U13" s="51"/>
    </row>
    <row r="14" spans="1:23" ht="15.75" customHeight="1">
      <c r="A14" s="48" t="s">
        <v>1506</v>
      </c>
      <c r="B14" s="49" t="s">
        <v>1507</v>
      </c>
      <c r="C14" s="51" t="s">
        <v>197</v>
      </c>
      <c r="D14" s="54"/>
      <c r="E14" s="5"/>
      <c r="F14" s="5"/>
      <c r="G14" s="5"/>
      <c r="K14" s="52"/>
      <c r="L14" s="50"/>
      <c r="M14" s="51"/>
      <c r="N14" s="51"/>
      <c r="S14" s="52"/>
      <c r="T14" s="50"/>
      <c r="U14" s="51"/>
    </row>
    <row r="15" spans="1:23" ht="15.75" customHeight="1">
      <c r="A15" s="48" t="s">
        <v>1508</v>
      </c>
      <c r="B15" s="49" t="s">
        <v>1509</v>
      </c>
      <c r="C15" s="51" t="s">
        <v>205</v>
      </c>
      <c r="D15" s="54"/>
      <c r="E15" s="5"/>
      <c r="F15" s="5"/>
      <c r="G15" s="5"/>
      <c r="K15" s="52"/>
      <c r="L15" s="50"/>
      <c r="M15" s="51"/>
      <c r="N15" s="51"/>
      <c r="S15" s="52"/>
      <c r="T15" s="50"/>
      <c r="U15" s="51"/>
    </row>
    <row r="16" spans="1:23" ht="15.75" customHeight="1">
      <c r="A16" s="48" t="s">
        <v>1510</v>
      </c>
      <c r="B16" s="49" t="s">
        <v>1511</v>
      </c>
      <c r="C16" s="51" t="s">
        <v>199</v>
      </c>
      <c r="D16" s="54"/>
      <c r="E16" s="5"/>
      <c r="F16" s="5"/>
      <c r="G16" s="5"/>
      <c r="K16" s="52"/>
      <c r="L16" s="50"/>
      <c r="M16" s="51"/>
      <c r="N16" s="51"/>
      <c r="S16" s="52"/>
      <c r="T16" s="50"/>
      <c r="U16" s="51"/>
    </row>
    <row r="17" spans="1:27" ht="15.75" customHeight="1">
      <c r="A17" s="48" t="s">
        <v>1512</v>
      </c>
      <c r="B17" s="49" t="s">
        <v>1495</v>
      </c>
      <c r="C17" s="51" t="s">
        <v>208</v>
      </c>
      <c r="D17" s="54"/>
      <c r="E17" s="5"/>
      <c r="F17" s="5"/>
      <c r="G17" s="5"/>
      <c r="K17" s="52"/>
      <c r="L17" s="50"/>
      <c r="M17" s="51"/>
      <c r="N17" s="51"/>
      <c r="S17" s="52"/>
      <c r="T17" s="50"/>
      <c r="U17" s="51"/>
    </row>
    <row r="18" spans="1:27" ht="15.75" customHeight="1">
      <c r="A18" s="48" t="s">
        <v>1513</v>
      </c>
      <c r="B18" s="49" t="s">
        <v>254</v>
      </c>
      <c r="C18" s="51" t="s">
        <v>197</v>
      </c>
      <c r="D18" s="51"/>
      <c r="E18" s="5"/>
      <c r="F18" s="5"/>
      <c r="G18" s="5"/>
      <c r="M18" s="5"/>
      <c r="N18" s="5"/>
      <c r="U18" s="5"/>
      <c r="AA18" s="5"/>
    </row>
    <row r="19" spans="1:27" ht="15.75" customHeight="1">
      <c r="A19" s="48" t="s">
        <v>1514</v>
      </c>
      <c r="B19" s="49" t="s">
        <v>1200</v>
      </c>
      <c r="C19" s="51" t="s">
        <v>197</v>
      </c>
      <c r="D19" s="51"/>
      <c r="E19" s="51"/>
      <c r="F19" s="5"/>
      <c r="G19" s="5"/>
      <c r="K19" s="1"/>
      <c r="M19" s="5"/>
      <c r="N19" s="5"/>
      <c r="U19" s="5"/>
      <c r="AA19" s="5"/>
    </row>
    <row r="20" spans="1:27" ht="15.75" customHeight="1">
      <c r="A20" s="48" t="s">
        <v>1515</v>
      </c>
      <c r="B20" s="49" t="s">
        <v>865</v>
      </c>
      <c r="C20" s="51" t="s">
        <v>195</v>
      </c>
      <c r="D20" s="51"/>
      <c r="E20" s="5"/>
      <c r="F20" s="5"/>
      <c r="G20" s="5"/>
      <c r="L20" s="40"/>
      <c r="M20" s="5"/>
      <c r="N20" s="5"/>
      <c r="AA20" s="5"/>
    </row>
    <row r="21" spans="1:27" ht="15.75" customHeight="1">
      <c r="A21" s="48" t="s">
        <v>1516</v>
      </c>
      <c r="B21" s="49" t="s">
        <v>247</v>
      </c>
      <c r="C21" s="51" t="s">
        <v>192</v>
      </c>
      <c r="D21" s="51"/>
      <c r="E21" s="5"/>
      <c r="F21" s="5"/>
      <c r="G21" s="5"/>
      <c r="M21" s="5"/>
      <c r="N21" s="5"/>
      <c r="AA21" s="5"/>
    </row>
    <row r="22" spans="1:27" ht="15.75" customHeight="1">
      <c r="A22" s="48" t="s">
        <v>1517</v>
      </c>
      <c r="B22" s="49" t="s">
        <v>1518</v>
      </c>
      <c r="C22" s="51" t="s">
        <v>225</v>
      </c>
      <c r="D22" s="54"/>
      <c r="E22" s="5"/>
      <c r="F22" s="5"/>
      <c r="G22" s="5"/>
      <c r="K22" s="42"/>
      <c r="L22" s="45"/>
      <c r="M22" s="46"/>
      <c r="N22" s="47"/>
      <c r="AA22" s="5"/>
    </row>
    <row r="23" spans="1:27" ht="15.75" customHeight="1">
      <c r="A23" s="48" t="s">
        <v>1519</v>
      </c>
      <c r="B23" s="49" t="s">
        <v>1507</v>
      </c>
      <c r="C23" s="51" t="s">
        <v>197</v>
      </c>
      <c r="D23" s="54"/>
      <c r="E23" s="5"/>
      <c r="F23" s="5"/>
      <c r="G23" s="5"/>
      <c r="K23" s="42"/>
      <c r="L23" s="43"/>
      <c r="M23" s="43"/>
      <c r="N23" s="42"/>
      <c r="O23" s="44"/>
      <c r="AA23" s="5"/>
    </row>
    <row r="24" spans="1:27" ht="15.75" customHeight="1">
      <c r="A24" s="48" t="s">
        <v>1520</v>
      </c>
      <c r="B24" s="49" t="s">
        <v>1521</v>
      </c>
      <c r="C24" s="51" t="s">
        <v>197</v>
      </c>
      <c r="D24" s="54"/>
      <c r="E24" s="5"/>
      <c r="F24" s="5"/>
      <c r="G24" s="5"/>
      <c r="K24" s="52"/>
      <c r="L24" s="50"/>
      <c r="M24" s="51"/>
      <c r="N24" s="5"/>
      <c r="AA24" s="5"/>
    </row>
    <row r="25" spans="1:27" ht="15.75" customHeight="1">
      <c r="A25" s="48" t="s">
        <v>1522</v>
      </c>
      <c r="B25" s="49" t="s">
        <v>787</v>
      </c>
      <c r="C25" s="51" t="s">
        <v>220</v>
      </c>
      <c r="D25" s="51"/>
      <c r="E25" s="5"/>
      <c r="F25" s="5"/>
      <c r="G25" s="5"/>
      <c r="K25" s="52"/>
      <c r="L25" s="50"/>
      <c r="M25" s="51"/>
      <c r="N25" s="5"/>
      <c r="AA25" s="5"/>
    </row>
    <row r="26" spans="1:27" ht="15.75" customHeight="1">
      <c r="A26" s="48" t="s">
        <v>1523</v>
      </c>
      <c r="B26" s="49" t="s">
        <v>1524</v>
      </c>
      <c r="C26" s="51" t="s">
        <v>197</v>
      </c>
      <c r="D26" s="54"/>
      <c r="E26" s="5"/>
      <c r="F26" s="5"/>
      <c r="G26" s="5"/>
      <c r="K26" s="52"/>
      <c r="L26" s="50"/>
      <c r="M26" s="51"/>
      <c r="N26" s="51"/>
      <c r="AA26" s="5"/>
    </row>
    <row r="27" spans="1:27" ht="15.75" customHeight="1">
      <c r="A27" s="48" t="s">
        <v>1525</v>
      </c>
      <c r="B27" s="49" t="s">
        <v>1526</v>
      </c>
      <c r="C27" s="51" t="s">
        <v>197</v>
      </c>
      <c r="D27" s="54"/>
      <c r="E27" s="5"/>
      <c r="F27" s="51"/>
      <c r="G27" s="5"/>
      <c r="K27" s="52"/>
      <c r="L27" s="50"/>
      <c r="M27" s="51"/>
      <c r="N27" s="51"/>
      <c r="AA27" s="5"/>
    </row>
    <row r="28" spans="1:27" ht="15.75" customHeight="1">
      <c r="A28" s="48" t="s">
        <v>1527</v>
      </c>
      <c r="B28" s="49" t="s">
        <v>1214</v>
      </c>
      <c r="C28" s="51" t="s">
        <v>199</v>
      </c>
      <c r="D28" s="54"/>
      <c r="E28" s="5"/>
      <c r="F28" s="5"/>
      <c r="G28" s="5"/>
      <c r="J28" s="5"/>
      <c r="K28" s="52"/>
      <c r="L28" s="50"/>
      <c r="M28" s="51"/>
      <c r="N28" s="5"/>
      <c r="P28" s="5"/>
    </row>
    <row r="29" spans="1:27" ht="15.75" customHeight="1">
      <c r="A29" s="48" t="s">
        <v>1528</v>
      </c>
      <c r="B29" s="49" t="s">
        <v>1191</v>
      </c>
      <c r="C29" s="51" t="s">
        <v>199</v>
      </c>
      <c r="D29" s="54"/>
      <c r="E29" s="51"/>
      <c r="F29" s="5"/>
      <c r="G29" s="5"/>
      <c r="J29" s="5"/>
      <c r="K29" s="52"/>
      <c r="L29" s="50"/>
      <c r="M29" s="51"/>
      <c r="N29" s="51"/>
      <c r="P29" s="5"/>
    </row>
    <row r="30" spans="1:27" ht="15.75" customHeight="1">
      <c r="A30" s="48" t="s">
        <v>1529</v>
      </c>
      <c r="B30" s="49" t="s">
        <v>260</v>
      </c>
      <c r="C30" s="51" t="s">
        <v>197</v>
      </c>
      <c r="D30" s="54"/>
      <c r="E30" s="5"/>
      <c r="F30" s="5"/>
      <c r="G30" s="5"/>
      <c r="J30" s="5"/>
      <c r="K30" s="52"/>
      <c r="L30" s="50"/>
      <c r="M30" s="51"/>
      <c r="N30" s="5"/>
      <c r="P30" s="5"/>
    </row>
    <row r="31" spans="1:27" ht="15.75" customHeight="1">
      <c r="A31" s="48" t="s">
        <v>1530</v>
      </c>
      <c r="B31" s="49" t="s">
        <v>824</v>
      </c>
      <c r="C31" s="51" t="s">
        <v>192</v>
      </c>
      <c r="D31" s="51"/>
      <c r="E31" s="5"/>
      <c r="F31" s="5"/>
      <c r="G31" s="5"/>
      <c r="J31" s="5"/>
      <c r="K31" s="52"/>
      <c r="L31" s="50"/>
      <c r="M31" s="51"/>
      <c r="N31" s="51"/>
      <c r="P31" s="5"/>
    </row>
    <row r="32" spans="1:27" ht="15.75" customHeight="1">
      <c r="A32" s="48" t="s">
        <v>1531</v>
      </c>
      <c r="B32" s="49" t="s">
        <v>937</v>
      </c>
      <c r="C32" s="51" t="s">
        <v>220</v>
      </c>
      <c r="D32" s="51"/>
      <c r="E32" s="5"/>
      <c r="F32" s="5"/>
      <c r="G32" s="5"/>
      <c r="J32" s="5"/>
      <c r="K32" s="52"/>
      <c r="L32" s="50"/>
      <c r="M32" s="51"/>
      <c r="N32" s="5"/>
      <c r="P32" s="5"/>
    </row>
    <row r="33" spans="1:16" ht="15.75" customHeight="1">
      <c r="A33" s="48" t="s">
        <v>1532</v>
      </c>
      <c r="B33" s="49" t="s">
        <v>371</v>
      </c>
      <c r="C33" s="51" t="s">
        <v>225</v>
      </c>
      <c r="D33" s="54"/>
      <c r="E33" s="5"/>
      <c r="F33" s="5"/>
      <c r="G33" s="5"/>
      <c r="J33" s="5"/>
      <c r="K33" s="52"/>
      <c r="L33" s="50"/>
      <c r="M33" s="51"/>
      <c r="N33" s="5"/>
      <c r="P33" s="5"/>
    </row>
    <row r="34" spans="1:16" ht="15.75" customHeight="1">
      <c r="A34" s="48" t="s">
        <v>1533</v>
      </c>
      <c r="B34" s="49" t="s">
        <v>371</v>
      </c>
      <c r="C34" s="51" t="s">
        <v>225</v>
      </c>
      <c r="D34" s="51"/>
      <c r="E34" s="5"/>
      <c r="F34" s="5"/>
      <c r="G34" s="5"/>
      <c r="J34" s="5"/>
      <c r="K34" s="52"/>
      <c r="L34" s="50"/>
      <c r="M34" s="51"/>
      <c r="N34" s="5"/>
      <c r="P34" s="5"/>
    </row>
    <row r="35" spans="1:16" ht="15.75" customHeight="1">
      <c r="A35" s="48" t="s">
        <v>1534</v>
      </c>
      <c r="B35" s="49" t="s">
        <v>1188</v>
      </c>
      <c r="C35" s="51" t="s">
        <v>205</v>
      </c>
      <c r="D35" s="51"/>
      <c r="E35" s="5"/>
      <c r="F35" s="5"/>
      <c r="G35" s="5"/>
      <c r="J35" s="5"/>
      <c r="K35" s="52"/>
      <c r="L35" s="50"/>
      <c r="M35" s="51"/>
      <c r="N35" s="51"/>
      <c r="P35" s="5"/>
    </row>
    <row r="36" spans="1:16" ht="15.75" customHeight="1">
      <c r="A36" s="48" t="s">
        <v>1535</v>
      </c>
      <c r="B36" s="49" t="s">
        <v>245</v>
      </c>
      <c r="C36" s="51" t="s">
        <v>208</v>
      </c>
      <c r="D36" s="54"/>
      <c r="E36" s="5"/>
      <c r="F36" s="5"/>
      <c r="G36" s="5"/>
      <c r="J36" s="5"/>
      <c r="M36" s="5"/>
      <c r="N36" s="5"/>
      <c r="P36" s="5"/>
    </row>
    <row r="37" spans="1:16" ht="15.75" customHeight="1">
      <c r="A37" s="48" t="s">
        <v>1536</v>
      </c>
      <c r="B37" s="49" t="s">
        <v>382</v>
      </c>
      <c r="C37" s="51" t="s">
        <v>208</v>
      </c>
      <c r="D37" s="54"/>
      <c r="E37" s="5"/>
      <c r="F37" s="5"/>
      <c r="G37" s="5"/>
      <c r="J37" s="5"/>
      <c r="M37" s="5"/>
      <c r="N37" s="5"/>
    </row>
    <row r="38" spans="1:16" ht="15.75" customHeight="1">
      <c r="A38" s="48" t="s">
        <v>1537</v>
      </c>
      <c r="B38" s="49" t="s">
        <v>938</v>
      </c>
      <c r="C38" s="51" t="s">
        <v>808</v>
      </c>
      <c r="D38" s="54"/>
      <c r="E38" s="5"/>
      <c r="F38" s="5"/>
      <c r="G38" s="5"/>
      <c r="J38" s="5"/>
      <c r="M38" s="51"/>
      <c r="N38" s="51"/>
    </row>
    <row r="39" spans="1:16" ht="15.75" customHeight="1">
      <c r="A39" s="48" t="s">
        <v>1538</v>
      </c>
      <c r="B39" s="49" t="s">
        <v>247</v>
      </c>
      <c r="C39" s="51" t="s">
        <v>192</v>
      </c>
      <c r="D39" s="51"/>
      <c r="E39" s="5"/>
      <c r="F39" s="5"/>
      <c r="G39" s="5"/>
      <c r="J39" s="5"/>
      <c r="M39" s="51"/>
      <c r="N39" s="51"/>
    </row>
    <row r="40" spans="1:16" ht="15.75" customHeight="1">
      <c r="A40" s="48" t="s">
        <v>1539</v>
      </c>
      <c r="B40" s="49" t="s">
        <v>1192</v>
      </c>
      <c r="C40" s="51" t="s">
        <v>208</v>
      </c>
      <c r="D40" s="54"/>
      <c r="E40" s="51"/>
      <c r="F40" s="5"/>
      <c r="G40" s="5"/>
      <c r="J40" s="5"/>
      <c r="M40" s="51"/>
      <c r="N40" s="51"/>
    </row>
    <row r="41" spans="1:16" ht="15.75" customHeight="1">
      <c r="A41" s="48" t="s">
        <v>1540</v>
      </c>
      <c r="B41" s="49" t="s">
        <v>1541</v>
      </c>
      <c r="C41" s="51" t="s">
        <v>225</v>
      </c>
      <c r="D41" s="54"/>
      <c r="E41" s="5"/>
      <c r="F41" s="5"/>
      <c r="G41" s="5"/>
      <c r="J41" s="5"/>
      <c r="M41" s="51"/>
      <c r="N41" s="51"/>
    </row>
    <row r="42" spans="1:16" ht="15.75" customHeight="1">
      <c r="A42" s="48" t="s">
        <v>1542</v>
      </c>
      <c r="B42" s="49" t="s">
        <v>1518</v>
      </c>
      <c r="C42" s="51" t="s">
        <v>205</v>
      </c>
      <c r="D42" s="51"/>
      <c r="E42" s="5"/>
      <c r="F42" s="5"/>
      <c r="G42" s="5"/>
      <c r="J42" s="5"/>
      <c r="M42" s="51"/>
      <c r="N42" s="51"/>
    </row>
    <row r="43" spans="1:16" ht="15.75" customHeight="1">
      <c r="A43" s="48" t="s">
        <v>1543</v>
      </c>
      <c r="B43" s="49" t="s">
        <v>375</v>
      </c>
      <c r="C43" s="51" t="s">
        <v>208</v>
      </c>
      <c r="D43" s="51"/>
      <c r="E43" s="5"/>
      <c r="F43" s="5"/>
      <c r="G43" s="5"/>
      <c r="J43" s="5"/>
      <c r="M43" s="51"/>
      <c r="N43" s="51"/>
    </row>
    <row r="44" spans="1:16" ht="15.75" customHeight="1">
      <c r="A44" s="48" t="s">
        <v>1544</v>
      </c>
      <c r="B44" s="49" t="s">
        <v>375</v>
      </c>
      <c r="C44" s="51" t="s">
        <v>208</v>
      </c>
      <c r="D44" s="54"/>
      <c r="E44" s="51"/>
      <c r="F44" s="5"/>
      <c r="G44" s="5"/>
      <c r="J44" s="5"/>
      <c r="M44" s="51"/>
      <c r="N44" s="51"/>
    </row>
    <row r="45" spans="1:16" ht="15.75" customHeight="1">
      <c r="A45" s="48" t="s">
        <v>1545</v>
      </c>
      <c r="B45" s="49" t="s">
        <v>1521</v>
      </c>
      <c r="C45" s="51" t="s">
        <v>197</v>
      </c>
      <c r="D45" s="51"/>
      <c r="E45" s="5"/>
      <c r="F45" s="5"/>
      <c r="G45" s="5"/>
      <c r="J45" s="5"/>
      <c r="M45" s="51"/>
      <c r="N45" s="51"/>
      <c r="P45" s="5"/>
    </row>
    <row r="46" spans="1:16" ht="15.75" customHeight="1">
      <c r="A46" s="48" t="s">
        <v>1546</v>
      </c>
      <c r="B46" s="49" t="s">
        <v>1521</v>
      </c>
      <c r="C46" s="51" t="s">
        <v>197</v>
      </c>
      <c r="D46" s="54"/>
      <c r="E46" s="5"/>
      <c r="F46" s="5"/>
      <c r="G46" s="5"/>
      <c r="J46" s="5"/>
      <c r="M46" s="51"/>
      <c r="N46" s="51"/>
      <c r="P46" s="5"/>
    </row>
    <row r="47" spans="1:16" ht="15.75" customHeight="1">
      <c r="A47" s="48" t="s">
        <v>1547</v>
      </c>
      <c r="B47" s="49" t="s">
        <v>1548</v>
      </c>
      <c r="C47" s="51" t="s">
        <v>195</v>
      </c>
      <c r="D47" s="51"/>
      <c r="E47" s="5"/>
      <c r="F47" s="5"/>
      <c r="G47" s="5"/>
      <c r="J47" s="5"/>
      <c r="M47" s="5"/>
      <c r="N47" s="5"/>
      <c r="P47" s="5"/>
    </row>
    <row r="48" spans="1:16" ht="15.75" customHeight="1">
      <c r="A48" s="48" t="s">
        <v>1549</v>
      </c>
      <c r="B48" s="49" t="s">
        <v>1550</v>
      </c>
      <c r="C48" s="51" t="s">
        <v>208</v>
      </c>
      <c r="D48" s="54"/>
      <c r="E48" s="5"/>
      <c r="F48" s="5"/>
      <c r="G48" s="5"/>
      <c r="J48" s="5"/>
      <c r="M48" s="5"/>
      <c r="N48" s="5"/>
      <c r="P48" s="5"/>
    </row>
    <row r="49" spans="1:16" ht="15.75" customHeight="1">
      <c r="A49" s="48" t="s">
        <v>1551</v>
      </c>
      <c r="B49" s="49" t="s">
        <v>1280</v>
      </c>
      <c r="C49" s="51" t="s">
        <v>197</v>
      </c>
      <c r="D49" s="54"/>
      <c r="E49" s="5"/>
      <c r="F49" s="5"/>
      <c r="G49" s="5"/>
      <c r="J49" s="5"/>
      <c r="M49" s="5"/>
      <c r="N49" s="5"/>
      <c r="P49" s="5"/>
    </row>
    <row r="50" spans="1:16" ht="15.75" customHeight="1">
      <c r="A50" s="48" t="s">
        <v>1552</v>
      </c>
      <c r="B50" s="49" t="s">
        <v>1524</v>
      </c>
      <c r="C50" s="51" t="s">
        <v>197</v>
      </c>
      <c r="D50" s="51"/>
      <c r="E50" s="5"/>
      <c r="F50" s="5"/>
      <c r="G50" s="5"/>
      <c r="J50" s="5"/>
      <c r="M50" s="5"/>
      <c r="N50" s="5"/>
      <c r="P50" s="5"/>
    </row>
    <row r="51" spans="1:16" ht="15.75" customHeight="1">
      <c r="A51" s="48" t="s">
        <v>1553</v>
      </c>
      <c r="B51" s="49" t="s">
        <v>1524</v>
      </c>
      <c r="C51" s="51" t="s">
        <v>197</v>
      </c>
      <c r="D51" s="51"/>
      <c r="E51" s="5"/>
      <c r="F51" s="5"/>
      <c r="G51" s="5"/>
      <c r="J51" s="5"/>
      <c r="M51" s="5"/>
      <c r="N51" s="5"/>
      <c r="P51" s="5"/>
    </row>
    <row r="52" spans="1:16" ht="15.75" customHeight="1">
      <c r="A52" s="48" t="s">
        <v>1554</v>
      </c>
      <c r="B52" s="49" t="s">
        <v>1555</v>
      </c>
      <c r="C52" s="51" t="s">
        <v>208</v>
      </c>
      <c r="D52" s="54"/>
      <c r="E52" s="5"/>
      <c r="F52" s="5"/>
      <c r="G52" s="5"/>
      <c r="J52" s="5"/>
      <c r="M52" s="5"/>
      <c r="N52" s="5"/>
      <c r="P52" s="5"/>
    </row>
    <row r="53" spans="1:16" ht="13">
      <c r="A53" s="48" t="s">
        <v>1556</v>
      </c>
      <c r="B53" s="49" t="s">
        <v>1526</v>
      </c>
      <c r="C53" s="51" t="s">
        <v>197</v>
      </c>
      <c r="D53" s="54"/>
      <c r="E53" s="5"/>
      <c r="F53" s="5"/>
      <c r="G53" s="5"/>
      <c r="J53" s="5"/>
      <c r="M53" s="5"/>
      <c r="N53" s="5"/>
      <c r="P53" s="5"/>
    </row>
    <row r="54" spans="1:16" ht="13">
      <c r="A54" s="48" t="s">
        <v>1557</v>
      </c>
      <c r="B54" s="49" t="s">
        <v>1526</v>
      </c>
      <c r="C54" s="51" t="s">
        <v>197</v>
      </c>
      <c r="D54" s="51"/>
      <c r="E54" s="5"/>
      <c r="F54" s="5"/>
      <c r="G54" s="5"/>
      <c r="J54" s="5"/>
      <c r="M54" s="5"/>
      <c r="N54" s="5"/>
      <c r="P54" s="5"/>
    </row>
    <row r="55" spans="1:16" ht="13">
      <c r="A55" s="48" t="s">
        <v>1558</v>
      </c>
      <c r="B55" s="49" t="s">
        <v>1559</v>
      </c>
      <c r="C55" s="51" t="s">
        <v>208</v>
      </c>
      <c r="D55" s="51"/>
      <c r="E55" s="5"/>
      <c r="F55" s="5"/>
      <c r="G55" s="5"/>
      <c r="J55" s="5"/>
      <c r="M55" s="5"/>
      <c r="N55" s="5"/>
      <c r="P55" s="5"/>
    </row>
    <row r="56" spans="1:16" ht="13">
      <c r="A56" s="48" t="s">
        <v>1560</v>
      </c>
      <c r="B56" s="49" t="s">
        <v>1561</v>
      </c>
      <c r="C56" s="51" t="s">
        <v>208</v>
      </c>
      <c r="D56" s="51"/>
      <c r="E56" s="5"/>
      <c r="F56" s="5"/>
      <c r="G56" s="5"/>
      <c r="J56" s="5"/>
      <c r="M56" s="5"/>
      <c r="N56" s="5"/>
      <c r="P56" s="5"/>
    </row>
    <row r="57" spans="1:16" ht="13">
      <c r="A57" s="48" t="s">
        <v>1562</v>
      </c>
      <c r="B57" s="49" t="s">
        <v>1561</v>
      </c>
      <c r="C57" s="51" t="s">
        <v>208</v>
      </c>
      <c r="D57" s="54"/>
      <c r="E57" s="5"/>
      <c r="F57" s="5"/>
      <c r="G57" s="5"/>
      <c r="J57" s="5"/>
      <c r="M57" s="5"/>
      <c r="N57" s="5"/>
      <c r="P57" s="5"/>
    </row>
    <row r="58" spans="1:16" ht="13">
      <c r="A58" s="48" t="s">
        <v>1563</v>
      </c>
      <c r="B58" s="49" t="s">
        <v>1561</v>
      </c>
      <c r="C58" s="51" t="s">
        <v>208</v>
      </c>
      <c r="D58" s="54"/>
      <c r="E58" s="5"/>
      <c r="F58" s="5"/>
      <c r="G58" s="5"/>
      <c r="J58" s="5"/>
      <c r="M58" s="5"/>
      <c r="N58" s="5"/>
      <c r="P58" s="5"/>
    </row>
    <row r="59" spans="1:16" ht="13">
      <c r="A59" s="48" t="s">
        <v>1564</v>
      </c>
      <c r="B59" s="49" t="s">
        <v>380</v>
      </c>
      <c r="C59" s="51" t="s">
        <v>225</v>
      </c>
      <c r="D59" s="54"/>
      <c r="E59" s="51"/>
      <c r="F59" s="5"/>
      <c r="G59" s="5"/>
      <c r="J59" s="5"/>
      <c r="M59" s="5"/>
      <c r="N59" s="5"/>
      <c r="P59" s="5"/>
    </row>
    <row r="60" spans="1:16" ht="13">
      <c r="A60" s="48" t="s">
        <v>1565</v>
      </c>
      <c r="B60" s="49" t="s">
        <v>380</v>
      </c>
      <c r="C60" s="51" t="s">
        <v>225</v>
      </c>
      <c r="D60" s="51"/>
      <c r="E60" s="51"/>
      <c r="F60" s="5"/>
      <c r="G60" s="5"/>
      <c r="J60" s="5"/>
      <c r="M60" s="5"/>
      <c r="N60" s="5"/>
      <c r="P60" s="5"/>
    </row>
    <row r="61" spans="1:16" ht="13">
      <c r="A61" s="48" t="s">
        <v>1566</v>
      </c>
      <c r="B61" s="49" t="s">
        <v>381</v>
      </c>
      <c r="C61" s="51" t="s">
        <v>195</v>
      </c>
      <c r="D61" s="51"/>
      <c r="E61" s="5"/>
      <c r="F61" s="5"/>
      <c r="G61" s="5"/>
      <c r="J61" s="5"/>
      <c r="M61" s="5"/>
      <c r="N61" s="5"/>
      <c r="P61" s="5"/>
    </row>
    <row r="62" spans="1:16" ht="13">
      <c r="A62" s="48" t="s">
        <v>1567</v>
      </c>
      <c r="B62" s="49" t="s">
        <v>382</v>
      </c>
      <c r="C62" s="51" t="s">
        <v>208</v>
      </c>
      <c r="D62" s="54"/>
      <c r="E62" s="5"/>
      <c r="F62" s="5"/>
      <c r="G62" s="5"/>
      <c r="J62" s="5"/>
      <c r="M62" s="5"/>
      <c r="N62" s="5"/>
      <c r="P62" s="5"/>
    </row>
    <row r="63" spans="1:16" ht="13">
      <c r="A63" s="48" t="s">
        <v>1568</v>
      </c>
      <c r="B63" s="49" t="s">
        <v>939</v>
      </c>
      <c r="C63" s="51" t="s">
        <v>808</v>
      </c>
      <c r="D63" s="54"/>
      <c r="E63" s="51"/>
      <c r="F63" s="5"/>
      <c r="G63" s="5"/>
      <c r="J63" s="5"/>
      <c r="M63" s="5"/>
      <c r="N63" s="5"/>
      <c r="P63" s="5"/>
    </row>
    <row r="64" spans="1:16" ht="13">
      <c r="A64" s="48" t="s">
        <v>1569</v>
      </c>
      <c r="B64" s="49" t="s">
        <v>268</v>
      </c>
      <c r="C64" s="51" t="s">
        <v>208</v>
      </c>
      <c r="D64" s="51"/>
      <c r="E64" s="5"/>
      <c r="F64" s="5"/>
      <c r="G64" s="5"/>
      <c r="J64" s="5"/>
      <c r="M64" s="5"/>
      <c r="N64" s="5"/>
      <c r="P64" s="5"/>
    </row>
    <row r="65" spans="1:16" ht="13">
      <c r="A65" s="48" t="s">
        <v>1570</v>
      </c>
      <c r="B65" s="49" t="s">
        <v>285</v>
      </c>
      <c r="C65" s="51" t="s">
        <v>192</v>
      </c>
      <c r="D65" s="51"/>
      <c r="E65" s="5"/>
      <c r="F65" s="5"/>
      <c r="G65" s="5"/>
      <c r="J65" s="5"/>
      <c r="M65" s="5"/>
      <c r="N65" s="5"/>
      <c r="P65" s="5"/>
    </row>
    <row r="66" spans="1:16" ht="13">
      <c r="A66" s="48" t="s">
        <v>1571</v>
      </c>
      <c r="B66" s="49" t="s">
        <v>285</v>
      </c>
      <c r="C66" s="51" t="s">
        <v>192</v>
      </c>
      <c r="D66" s="51"/>
      <c r="E66" s="5"/>
      <c r="F66" s="5"/>
      <c r="G66" s="5"/>
      <c r="J66" s="5"/>
      <c r="M66" s="5"/>
      <c r="N66" s="5"/>
      <c r="P66" s="5"/>
    </row>
    <row r="67" spans="1:16" ht="13">
      <c r="A67" s="48" t="s">
        <v>1572</v>
      </c>
      <c r="B67" s="49" t="s">
        <v>285</v>
      </c>
      <c r="C67" s="51" t="s">
        <v>192</v>
      </c>
      <c r="D67" s="54"/>
      <c r="E67" s="5"/>
      <c r="F67" s="5"/>
      <c r="G67" s="5"/>
      <c r="J67" s="5"/>
      <c r="M67" s="5"/>
      <c r="N67" s="5"/>
      <c r="P67" s="5"/>
    </row>
    <row r="68" spans="1:16" ht="13">
      <c r="A68" s="48" t="s">
        <v>1573</v>
      </c>
      <c r="B68" s="49" t="s">
        <v>878</v>
      </c>
      <c r="C68" s="51" t="s">
        <v>192</v>
      </c>
      <c r="D68" s="54"/>
      <c r="E68" s="5"/>
      <c r="F68" s="5"/>
      <c r="G68" s="5"/>
      <c r="J68" s="5"/>
      <c r="M68" s="5"/>
      <c r="N68" s="5"/>
      <c r="P68" s="5"/>
    </row>
    <row r="69" spans="1:16" ht="13">
      <c r="A69" s="48" t="s">
        <v>1574</v>
      </c>
      <c r="B69" s="49" t="s">
        <v>1189</v>
      </c>
      <c r="C69" s="51" t="s">
        <v>208</v>
      </c>
      <c r="D69" s="54"/>
      <c r="E69" s="5"/>
      <c r="F69" s="5"/>
      <c r="G69" s="5"/>
      <c r="J69" s="5"/>
      <c r="M69" s="5"/>
      <c r="N69" s="5"/>
      <c r="P69" s="5"/>
    </row>
    <row r="70" spans="1:16" ht="13">
      <c r="A70" s="48" t="s">
        <v>1575</v>
      </c>
      <c r="B70" s="49" t="s">
        <v>1576</v>
      </c>
      <c r="C70" s="51" t="s">
        <v>205</v>
      </c>
      <c r="D70" s="51"/>
      <c r="E70" s="5"/>
      <c r="F70" s="5"/>
      <c r="G70" s="5"/>
      <c r="J70" s="5"/>
      <c r="M70" s="5"/>
      <c r="N70" s="5"/>
      <c r="P70" s="5"/>
    </row>
    <row r="71" spans="1:16" ht="13">
      <c r="A71" s="48" t="s">
        <v>1577</v>
      </c>
      <c r="B71" s="49" t="s">
        <v>1576</v>
      </c>
      <c r="C71" s="51" t="s">
        <v>205</v>
      </c>
      <c r="D71" s="51"/>
      <c r="J71" s="5"/>
      <c r="M71" s="5"/>
      <c r="N71" s="5"/>
      <c r="P71" s="5"/>
    </row>
    <row r="72" spans="1:16" ht="13">
      <c r="A72" s="48" t="s">
        <v>1578</v>
      </c>
      <c r="B72" s="49" t="s">
        <v>1576</v>
      </c>
      <c r="C72" s="51" t="s">
        <v>205</v>
      </c>
      <c r="D72" s="51"/>
      <c r="E72" s="5"/>
      <c r="F72" s="5"/>
      <c r="G72" s="5"/>
      <c r="J72" s="5"/>
      <c r="M72" s="5"/>
      <c r="N72" s="5"/>
      <c r="P72" s="5"/>
    </row>
    <row r="73" spans="1:16" ht="13">
      <c r="A73" s="48" t="s">
        <v>1579</v>
      </c>
      <c r="B73" s="49" t="s">
        <v>1300</v>
      </c>
      <c r="C73" s="51" t="s">
        <v>199</v>
      </c>
      <c r="D73" s="51"/>
      <c r="E73" s="5"/>
      <c r="F73" s="5"/>
      <c r="G73" s="5"/>
      <c r="J73" s="5"/>
      <c r="M73" s="5"/>
      <c r="N73" s="5"/>
      <c r="P73" s="5"/>
    </row>
    <row r="74" spans="1:16" ht="13">
      <c r="A74" s="48" t="s">
        <v>1580</v>
      </c>
      <c r="B74" s="49" t="s">
        <v>1300</v>
      </c>
      <c r="C74" s="51" t="s">
        <v>199</v>
      </c>
      <c r="D74" s="51"/>
      <c r="E74" s="5"/>
      <c r="F74" s="5"/>
      <c r="G74" s="5"/>
      <c r="J74" s="5"/>
      <c r="M74" s="5"/>
      <c r="N74" s="5"/>
      <c r="P74" s="5"/>
    </row>
    <row r="75" spans="1:16" ht="13">
      <c r="A75" s="48" t="s">
        <v>1581</v>
      </c>
      <c r="B75" s="49" t="s">
        <v>956</v>
      </c>
      <c r="C75" s="51" t="s">
        <v>205</v>
      </c>
      <c r="D75" s="51"/>
      <c r="E75" s="5"/>
      <c r="F75" s="5"/>
      <c r="G75" s="5"/>
      <c r="J75" s="5"/>
      <c r="M75" s="5"/>
      <c r="N75" s="5"/>
      <c r="P75" s="5"/>
    </row>
    <row r="76" spans="1:16" ht="13">
      <c r="A76" s="48" t="s">
        <v>1582</v>
      </c>
      <c r="B76" s="49" t="s">
        <v>980</v>
      </c>
      <c r="C76" s="51" t="s">
        <v>199</v>
      </c>
      <c r="D76" s="51"/>
      <c r="E76" s="5"/>
      <c r="F76" s="5"/>
      <c r="G76" s="5"/>
      <c r="J76" s="5"/>
      <c r="M76" s="5"/>
      <c r="N76" s="5"/>
      <c r="P76" s="5"/>
    </row>
    <row r="77" spans="1:16" ht="13">
      <c r="A77" s="48" t="s">
        <v>1583</v>
      </c>
      <c r="B77" s="49" t="s">
        <v>1584</v>
      </c>
      <c r="C77" s="51" t="s">
        <v>195</v>
      </c>
      <c r="D77" s="51"/>
      <c r="E77" s="5"/>
      <c r="F77" s="5"/>
      <c r="G77" s="5"/>
      <c r="J77" s="5"/>
      <c r="M77" s="5"/>
      <c r="N77" s="5"/>
      <c r="P77" s="5"/>
    </row>
    <row r="78" spans="1:16" ht="13">
      <c r="A78" s="48" t="s">
        <v>1585</v>
      </c>
      <c r="B78" s="49" t="s">
        <v>1584</v>
      </c>
      <c r="C78" s="51" t="s">
        <v>195</v>
      </c>
      <c r="D78" s="54"/>
      <c r="E78" s="5"/>
      <c r="F78" s="5"/>
      <c r="G78" s="5"/>
      <c r="J78" s="5"/>
      <c r="M78" s="5"/>
      <c r="N78" s="5"/>
      <c r="P78" s="5"/>
    </row>
    <row r="79" spans="1:16" ht="13">
      <c r="A79" s="48" t="s">
        <v>1586</v>
      </c>
      <c r="B79" s="49" t="s">
        <v>1587</v>
      </c>
      <c r="C79" s="51" t="s">
        <v>197</v>
      </c>
      <c r="D79" s="54"/>
      <c r="E79" s="5"/>
      <c r="F79" s="5"/>
      <c r="G79" s="5"/>
      <c r="J79" s="5"/>
      <c r="M79" s="5"/>
      <c r="N79" s="5"/>
      <c r="P79" s="5"/>
    </row>
    <row r="80" spans="1:16" ht="13">
      <c r="A80" s="48" t="s">
        <v>1588</v>
      </c>
      <c r="B80" s="49" t="s">
        <v>1315</v>
      </c>
      <c r="C80" s="51" t="s">
        <v>197</v>
      </c>
      <c r="D80" s="51"/>
      <c r="E80" s="5"/>
      <c r="F80" s="5"/>
      <c r="G80" s="5"/>
      <c r="J80" s="5"/>
      <c r="M80" s="5"/>
      <c r="N80" s="5"/>
      <c r="P80" s="5"/>
    </row>
    <row r="81" spans="1:16" ht="13">
      <c r="A81" s="48" t="s">
        <v>1589</v>
      </c>
      <c r="B81" s="49" t="s">
        <v>1190</v>
      </c>
      <c r="C81" s="51" t="s">
        <v>199</v>
      </c>
      <c r="D81" s="51"/>
      <c r="E81" s="5"/>
      <c r="F81" s="5"/>
      <c r="G81" s="5"/>
      <c r="J81" s="5"/>
      <c r="M81" s="5"/>
      <c r="N81" s="5"/>
      <c r="P81" s="5"/>
    </row>
    <row r="82" spans="1:16" ht="13">
      <c r="A82" s="48" t="s">
        <v>1590</v>
      </c>
      <c r="B82" s="49" t="s">
        <v>1461</v>
      </c>
      <c r="C82" s="51" t="s">
        <v>225</v>
      </c>
      <c r="D82" s="51"/>
      <c r="E82" s="5"/>
      <c r="F82" s="5"/>
      <c r="G82" s="5"/>
      <c r="J82" s="5"/>
      <c r="M82" s="5"/>
      <c r="N82" s="5"/>
      <c r="P82" s="5"/>
    </row>
    <row r="83" spans="1:16" ht="13">
      <c r="A83" s="48" t="s">
        <v>1591</v>
      </c>
      <c r="B83" s="49" t="s">
        <v>1461</v>
      </c>
      <c r="C83" s="51" t="s">
        <v>225</v>
      </c>
      <c r="D83" s="51"/>
      <c r="E83" s="51"/>
      <c r="F83" s="5"/>
      <c r="G83" s="5"/>
      <c r="J83" s="5"/>
      <c r="M83" s="5"/>
      <c r="N83" s="5"/>
      <c r="P83" s="5"/>
    </row>
    <row r="84" spans="1:16" ht="13">
      <c r="A84" s="48" t="s">
        <v>1592</v>
      </c>
      <c r="B84" s="49" t="s">
        <v>1187</v>
      </c>
      <c r="C84" s="51" t="s">
        <v>205</v>
      </c>
      <c r="D84" s="51"/>
      <c r="E84" s="51"/>
      <c r="F84" s="5"/>
      <c r="G84" s="5"/>
      <c r="J84" s="5"/>
      <c r="M84" s="5"/>
      <c r="N84" s="5"/>
      <c r="P84" s="5"/>
    </row>
    <row r="85" spans="1:16" ht="13">
      <c r="A85" s="48" t="s">
        <v>1593</v>
      </c>
      <c r="B85" s="49" t="s">
        <v>1323</v>
      </c>
      <c r="C85" s="51" t="s">
        <v>205</v>
      </c>
      <c r="D85" s="54"/>
      <c r="E85" s="51"/>
      <c r="F85" s="5"/>
      <c r="G85" s="5"/>
      <c r="J85" s="5"/>
      <c r="M85" s="5"/>
      <c r="N85" s="5"/>
      <c r="P85" s="5"/>
    </row>
    <row r="86" spans="1:16" ht="13">
      <c r="A86" s="48" t="s">
        <v>1594</v>
      </c>
      <c r="B86" s="49" t="s">
        <v>983</v>
      </c>
      <c r="C86" s="51" t="s">
        <v>912</v>
      </c>
      <c r="D86" s="51"/>
      <c r="E86" s="5"/>
      <c r="F86" s="5"/>
      <c r="G86" s="5"/>
      <c r="J86" s="5"/>
      <c r="M86" s="5"/>
      <c r="N86" s="5"/>
      <c r="P86" s="5"/>
    </row>
    <row r="87" spans="1:16" ht="13">
      <c r="A87" s="48" t="s">
        <v>1595</v>
      </c>
      <c r="B87" s="49" t="s">
        <v>1596</v>
      </c>
      <c r="C87" s="51" t="s">
        <v>912</v>
      </c>
      <c r="D87" s="51"/>
      <c r="E87" s="5"/>
      <c r="F87" s="5"/>
      <c r="G87" s="5"/>
      <c r="J87" s="5"/>
      <c r="M87" s="5"/>
      <c r="N87" s="5"/>
      <c r="P87" s="5"/>
    </row>
    <row r="88" spans="1:16" ht="13">
      <c r="A88" s="48" t="s">
        <v>1597</v>
      </c>
      <c r="B88" s="49" t="s">
        <v>1598</v>
      </c>
      <c r="C88" s="51" t="s">
        <v>206</v>
      </c>
      <c r="D88" s="51"/>
      <c r="E88" s="5"/>
      <c r="F88" s="5"/>
      <c r="G88" s="5"/>
      <c r="J88" s="5"/>
      <c r="M88" s="5"/>
      <c r="N88" s="5"/>
      <c r="P88" s="5"/>
    </row>
    <row r="89" spans="1:16" ht="13">
      <c r="A89" s="48" t="s">
        <v>1599</v>
      </c>
      <c r="B89" s="49" t="s">
        <v>1600</v>
      </c>
      <c r="C89" s="51" t="s">
        <v>229</v>
      </c>
      <c r="D89" s="54"/>
      <c r="E89" s="5"/>
      <c r="F89" s="5"/>
      <c r="G89" s="5"/>
      <c r="J89" s="5"/>
      <c r="M89" s="5"/>
      <c r="N89" s="5"/>
      <c r="P89" s="5"/>
    </row>
    <row r="90" spans="1:16" ht="13">
      <c r="A90" s="48" t="s">
        <v>1601</v>
      </c>
      <c r="B90" s="49" t="s">
        <v>1602</v>
      </c>
      <c r="C90" s="51" t="s">
        <v>229</v>
      </c>
      <c r="D90" s="54"/>
      <c r="E90" s="5"/>
      <c r="F90" s="5"/>
      <c r="G90" s="5"/>
      <c r="J90" s="5"/>
      <c r="M90" s="5"/>
      <c r="N90" s="5"/>
      <c r="P90" s="5"/>
    </row>
    <row r="91" spans="1:16" ht="13">
      <c r="A91" s="48" t="s">
        <v>1603</v>
      </c>
      <c r="B91" s="49" t="s">
        <v>1604</v>
      </c>
      <c r="C91" s="51" t="s">
        <v>1013</v>
      </c>
      <c r="D91" s="54"/>
      <c r="E91" s="5"/>
      <c r="F91" s="5"/>
      <c r="G91" s="5"/>
      <c r="J91" s="5"/>
      <c r="M91" s="5"/>
      <c r="N91" s="5"/>
      <c r="P91" s="5"/>
    </row>
    <row r="92" spans="1:16" ht="13">
      <c r="A92" s="48" t="s">
        <v>1605</v>
      </c>
      <c r="B92" s="49" t="s">
        <v>1606</v>
      </c>
      <c r="C92" s="51" t="s">
        <v>1013</v>
      </c>
      <c r="D92" s="51"/>
      <c r="E92" s="5"/>
      <c r="F92" s="5"/>
      <c r="G92" s="5"/>
      <c r="J92" s="5"/>
      <c r="M92" s="5"/>
      <c r="N92" s="5"/>
      <c r="P92" s="5"/>
    </row>
    <row r="93" spans="1:16" ht="13">
      <c r="A93" s="48" t="s">
        <v>1607</v>
      </c>
      <c r="B93" s="49" t="s">
        <v>1608</v>
      </c>
      <c r="C93" s="51" t="s">
        <v>192</v>
      </c>
      <c r="D93" s="54"/>
      <c r="E93" s="5"/>
      <c r="F93" s="5"/>
      <c r="G93" s="5"/>
      <c r="J93" s="5"/>
      <c r="M93" s="5"/>
      <c r="N93" s="5"/>
      <c r="P93" s="5"/>
    </row>
    <row r="94" spans="1:16" ht="13">
      <c r="A94" s="48" t="s">
        <v>1609</v>
      </c>
      <c r="B94" s="49" t="s">
        <v>1610</v>
      </c>
      <c r="C94" s="51" t="s">
        <v>197</v>
      </c>
      <c r="D94" s="54"/>
      <c r="E94" s="5"/>
      <c r="F94" s="5"/>
      <c r="G94" s="5"/>
      <c r="J94" s="5"/>
      <c r="M94" s="5"/>
      <c r="N94" s="5"/>
      <c r="P94" s="5"/>
    </row>
    <row r="95" spans="1:16" ht="13">
      <c r="A95" s="48" t="s">
        <v>1611</v>
      </c>
      <c r="B95" s="49" t="s">
        <v>1612</v>
      </c>
      <c r="C95" s="51" t="s">
        <v>225</v>
      </c>
      <c r="D95" s="54"/>
      <c r="E95" s="51"/>
      <c r="F95" s="5"/>
      <c r="G95" s="5"/>
      <c r="J95" s="5"/>
      <c r="M95" s="5"/>
      <c r="N95" s="5"/>
      <c r="P95" s="5"/>
    </row>
    <row r="96" spans="1:16" ht="13">
      <c r="A96" s="48" t="s">
        <v>1613</v>
      </c>
      <c r="B96" s="49" t="s">
        <v>1614</v>
      </c>
      <c r="C96" s="51" t="s">
        <v>208</v>
      </c>
      <c r="D96" s="54"/>
      <c r="E96" s="5"/>
      <c r="F96" s="5"/>
      <c r="G96" s="5"/>
      <c r="J96" s="5"/>
      <c r="M96" s="5"/>
      <c r="N96" s="5"/>
      <c r="P96" s="5"/>
    </row>
    <row r="97" spans="1:16" ht="13">
      <c r="A97" s="48" t="s">
        <v>1615</v>
      </c>
      <c r="B97" s="49" t="s">
        <v>1616</v>
      </c>
      <c r="C97" s="51" t="s">
        <v>197</v>
      </c>
      <c r="D97" s="54"/>
      <c r="E97" s="5"/>
      <c r="F97" s="5"/>
      <c r="G97" s="5"/>
      <c r="J97" s="5"/>
      <c r="M97" s="5"/>
      <c r="N97" s="5"/>
      <c r="P97" s="5"/>
    </row>
    <row r="98" spans="1:16" ht="13">
      <c r="A98" s="48" t="s">
        <v>1617</v>
      </c>
      <c r="B98" s="49" t="s">
        <v>1618</v>
      </c>
      <c r="C98" s="51" t="s">
        <v>197</v>
      </c>
      <c r="D98" s="54"/>
      <c r="E98" s="5"/>
      <c r="F98" s="5"/>
      <c r="G98" s="5"/>
      <c r="J98" s="5"/>
      <c r="M98" s="5"/>
      <c r="N98" s="5"/>
      <c r="P98" s="5"/>
    </row>
    <row r="99" spans="1:16" ht="13">
      <c r="A99" s="48" t="s">
        <v>1619</v>
      </c>
      <c r="B99" s="49" t="s">
        <v>1620</v>
      </c>
      <c r="C99" s="51" t="s">
        <v>199</v>
      </c>
      <c r="D99" s="54"/>
      <c r="E99" s="5"/>
      <c r="F99" s="5"/>
      <c r="G99" s="5"/>
      <c r="J99" s="5"/>
      <c r="M99" s="5"/>
      <c r="N99" s="5"/>
      <c r="P99" s="5"/>
    </row>
    <row r="100" spans="1:16" ht="13">
      <c r="A100" s="48" t="s">
        <v>1621</v>
      </c>
      <c r="B100" s="49" t="s">
        <v>1622</v>
      </c>
      <c r="C100" s="51" t="s">
        <v>205</v>
      </c>
      <c r="D100" s="54"/>
      <c r="E100" s="5"/>
      <c r="F100" s="5"/>
      <c r="G100" s="5"/>
      <c r="J100" s="5"/>
      <c r="M100" s="5"/>
      <c r="N100" s="5"/>
      <c r="P100" s="5"/>
    </row>
    <row r="101" spans="1:16" ht="13">
      <c r="A101" s="48" t="s">
        <v>1623</v>
      </c>
      <c r="B101" s="49" t="s">
        <v>1206</v>
      </c>
      <c r="C101" s="51" t="s">
        <v>197</v>
      </c>
      <c r="D101" s="54"/>
      <c r="E101" s="5"/>
      <c r="F101" s="5"/>
      <c r="G101" s="5"/>
      <c r="J101" s="5"/>
      <c r="M101" s="5"/>
      <c r="N101" s="5"/>
      <c r="P101" s="5"/>
    </row>
    <row r="102" spans="1:16" ht="13">
      <c r="A102" s="48" t="s">
        <v>1624</v>
      </c>
      <c r="B102" s="49" t="s">
        <v>278</v>
      </c>
      <c r="C102" s="51" t="s">
        <v>199</v>
      </c>
      <c r="D102" s="54"/>
      <c r="E102" s="5"/>
      <c r="F102" s="5"/>
      <c r="G102" s="5"/>
      <c r="J102" s="5"/>
      <c r="M102" s="5"/>
      <c r="N102" s="5"/>
      <c r="P102" s="5"/>
    </row>
    <row r="103" spans="1:16" ht="13">
      <c r="A103" s="48" t="s">
        <v>1625</v>
      </c>
      <c r="B103" s="49" t="s">
        <v>258</v>
      </c>
      <c r="C103" s="51" t="s">
        <v>199</v>
      </c>
      <c r="D103" s="54"/>
      <c r="E103" s="5"/>
      <c r="F103" s="5"/>
      <c r="G103" s="5"/>
      <c r="J103" s="5"/>
      <c r="M103" s="5"/>
      <c r="N103" s="5"/>
      <c r="P103" s="5"/>
    </row>
    <row r="104" spans="1:16" ht="13">
      <c r="A104" s="48" t="s">
        <v>1626</v>
      </c>
      <c r="B104" s="49" t="s">
        <v>243</v>
      </c>
      <c r="C104" s="51" t="s">
        <v>199</v>
      </c>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500-000000000000}"/>
    <hyperlink ref="B6" r:id="rId2" xr:uid="{00000000-0004-0000-1500-000001000000}"/>
    <hyperlink ref="B7" r:id="rId3" xr:uid="{00000000-0004-0000-1500-000002000000}"/>
    <hyperlink ref="B8" r:id="rId4" xr:uid="{00000000-0004-0000-1500-000003000000}"/>
    <hyperlink ref="B9" r:id="rId5" xr:uid="{00000000-0004-0000-1500-000004000000}"/>
    <hyperlink ref="B10" r:id="rId6" xr:uid="{00000000-0004-0000-1500-000005000000}"/>
    <hyperlink ref="B11" r:id="rId7" xr:uid="{00000000-0004-0000-1500-000006000000}"/>
    <hyperlink ref="B12" r:id="rId8" xr:uid="{00000000-0004-0000-1500-000007000000}"/>
    <hyperlink ref="B13" r:id="rId9" xr:uid="{00000000-0004-0000-1500-000008000000}"/>
    <hyperlink ref="B14" r:id="rId10" xr:uid="{00000000-0004-0000-1500-000009000000}"/>
    <hyperlink ref="B15" r:id="rId11" xr:uid="{00000000-0004-0000-1500-00000A000000}"/>
    <hyperlink ref="B16" r:id="rId12" xr:uid="{00000000-0004-0000-1500-00000B000000}"/>
    <hyperlink ref="B17" r:id="rId13" xr:uid="{00000000-0004-0000-1500-00000C000000}"/>
    <hyperlink ref="B18" r:id="rId14" xr:uid="{00000000-0004-0000-1500-00000D000000}"/>
    <hyperlink ref="B19" r:id="rId15" xr:uid="{00000000-0004-0000-1500-00000E000000}"/>
    <hyperlink ref="B20" r:id="rId16" xr:uid="{00000000-0004-0000-1500-00000F000000}"/>
    <hyperlink ref="B21" r:id="rId17" xr:uid="{00000000-0004-0000-1500-000010000000}"/>
    <hyperlink ref="B22" r:id="rId18" xr:uid="{00000000-0004-0000-1500-000011000000}"/>
    <hyperlink ref="B23" r:id="rId19" xr:uid="{00000000-0004-0000-1500-000012000000}"/>
    <hyperlink ref="B24" r:id="rId20" xr:uid="{00000000-0004-0000-1500-000013000000}"/>
    <hyperlink ref="B25" r:id="rId21" xr:uid="{00000000-0004-0000-1500-000014000000}"/>
    <hyperlink ref="B26" r:id="rId22" xr:uid="{00000000-0004-0000-1500-000015000000}"/>
    <hyperlink ref="B27" r:id="rId23" xr:uid="{00000000-0004-0000-1500-000016000000}"/>
    <hyperlink ref="B28" r:id="rId24" xr:uid="{00000000-0004-0000-1500-000017000000}"/>
    <hyperlink ref="B29" r:id="rId25" xr:uid="{00000000-0004-0000-1500-000018000000}"/>
    <hyperlink ref="B30" r:id="rId26" xr:uid="{00000000-0004-0000-1500-000019000000}"/>
    <hyperlink ref="B31" r:id="rId27" xr:uid="{00000000-0004-0000-1500-00001A000000}"/>
    <hyperlink ref="B32" r:id="rId28" xr:uid="{00000000-0004-0000-1500-00001B000000}"/>
    <hyperlink ref="B33" r:id="rId29" xr:uid="{00000000-0004-0000-1500-00001C000000}"/>
    <hyperlink ref="B34" r:id="rId30" xr:uid="{00000000-0004-0000-1500-00001D000000}"/>
    <hyperlink ref="B35" r:id="rId31" xr:uid="{00000000-0004-0000-1500-00001E000000}"/>
    <hyperlink ref="B36" r:id="rId32" xr:uid="{00000000-0004-0000-1500-00001F000000}"/>
    <hyperlink ref="B37" r:id="rId33" xr:uid="{00000000-0004-0000-1500-000020000000}"/>
    <hyperlink ref="B38" r:id="rId34" xr:uid="{00000000-0004-0000-1500-000021000000}"/>
    <hyperlink ref="B39" r:id="rId35" xr:uid="{00000000-0004-0000-1500-000022000000}"/>
    <hyperlink ref="B40" r:id="rId36" xr:uid="{00000000-0004-0000-1500-000023000000}"/>
    <hyperlink ref="B41" r:id="rId37" xr:uid="{00000000-0004-0000-1500-000024000000}"/>
    <hyperlink ref="B42" r:id="rId38" xr:uid="{00000000-0004-0000-1500-000025000000}"/>
    <hyperlink ref="B43" r:id="rId39" xr:uid="{00000000-0004-0000-1500-000026000000}"/>
    <hyperlink ref="B44" r:id="rId40" xr:uid="{00000000-0004-0000-1500-000027000000}"/>
    <hyperlink ref="B45" r:id="rId41" xr:uid="{00000000-0004-0000-1500-000028000000}"/>
    <hyperlink ref="B46" r:id="rId42" xr:uid="{00000000-0004-0000-1500-000029000000}"/>
    <hyperlink ref="B47" r:id="rId43" xr:uid="{00000000-0004-0000-1500-00002A000000}"/>
    <hyperlink ref="B48" r:id="rId44" xr:uid="{00000000-0004-0000-1500-00002B000000}"/>
    <hyperlink ref="B49" r:id="rId45" xr:uid="{00000000-0004-0000-1500-00002C000000}"/>
    <hyperlink ref="B50" r:id="rId46" xr:uid="{00000000-0004-0000-1500-00002D000000}"/>
    <hyperlink ref="B51" r:id="rId47" xr:uid="{00000000-0004-0000-1500-00002E000000}"/>
    <hyperlink ref="B52" r:id="rId48" xr:uid="{00000000-0004-0000-1500-00002F000000}"/>
    <hyperlink ref="B53" r:id="rId49" xr:uid="{00000000-0004-0000-1500-000030000000}"/>
    <hyperlink ref="B54" r:id="rId50" xr:uid="{00000000-0004-0000-1500-000031000000}"/>
    <hyperlink ref="B55" r:id="rId51" xr:uid="{00000000-0004-0000-1500-000032000000}"/>
    <hyperlink ref="B56" r:id="rId52" xr:uid="{00000000-0004-0000-1500-000033000000}"/>
    <hyperlink ref="B57" r:id="rId53" xr:uid="{00000000-0004-0000-1500-000034000000}"/>
    <hyperlink ref="B58" r:id="rId54" xr:uid="{00000000-0004-0000-1500-000035000000}"/>
    <hyperlink ref="B59" r:id="rId55" xr:uid="{00000000-0004-0000-1500-000036000000}"/>
    <hyperlink ref="B60" r:id="rId56" xr:uid="{00000000-0004-0000-1500-000037000000}"/>
    <hyperlink ref="B61" r:id="rId57" xr:uid="{00000000-0004-0000-1500-000038000000}"/>
    <hyperlink ref="B62" r:id="rId58" xr:uid="{00000000-0004-0000-1500-000039000000}"/>
    <hyperlink ref="B63" r:id="rId59" xr:uid="{00000000-0004-0000-1500-00003A000000}"/>
    <hyperlink ref="B64" r:id="rId60" xr:uid="{00000000-0004-0000-1500-00003B000000}"/>
    <hyperlink ref="B65" r:id="rId61" xr:uid="{00000000-0004-0000-1500-00003C000000}"/>
    <hyperlink ref="B66" r:id="rId62" xr:uid="{00000000-0004-0000-1500-00003D000000}"/>
    <hyperlink ref="B67" r:id="rId63" xr:uid="{00000000-0004-0000-1500-00003E000000}"/>
    <hyperlink ref="B68" r:id="rId64" xr:uid="{00000000-0004-0000-1500-00003F000000}"/>
    <hyperlink ref="B69" r:id="rId65" xr:uid="{00000000-0004-0000-1500-000040000000}"/>
    <hyperlink ref="B70" r:id="rId66" xr:uid="{00000000-0004-0000-1500-000041000000}"/>
    <hyperlink ref="B71" r:id="rId67" xr:uid="{00000000-0004-0000-1500-000042000000}"/>
    <hyperlink ref="B72" r:id="rId68" xr:uid="{00000000-0004-0000-1500-000043000000}"/>
    <hyperlink ref="B73" r:id="rId69" xr:uid="{00000000-0004-0000-1500-000044000000}"/>
    <hyperlink ref="B74" r:id="rId70" xr:uid="{00000000-0004-0000-1500-000045000000}"/>
    <hyperlink ref="B75" r:id="rId71" xr:uid="{00000000-0004-0000-1500-000046000000}"/>
    <hyperlink ref="B76" r:id="rId72" xr:uid="{00000000-0004-0000-1500-000047000000}"/>
    <hyperlink ref="B77" r:id="rId73" xr:uid="{00000000-0004-0000-1500-000048000000}"/>
    <hyperlink ref="B78" r:id="rId74" xr:uid="{00000000-0004-0000-1500-000049000000}"/>
    <hyperlink ref="B79" r:id="rId75" xr:uid="{00000000-0004-0000-1500-00004A000000}"/>
    <hyperlink ref="B80" r:id="rId76" xr:uid="{00000000-0004-0000-1500-00004B000000}"/>
    <hyperlink ref="B81" r:id="rId77" xr:uid="{00000000-0004-0000-1500-00004C000000}"/>
    <hyperlink ref="B82" r:id="rId78" xr:uid="{00000000-0004-0000-1500-00004D000000}"/>
    <hyperlink ref="B83" r:id="rId79" xr:uid="{00000000-0004-0000-1500-00004E000000}"/>
    <hyperlink ref="B84" r:id="rId80" xr:uid="{00000000-0004-0000-1500-00004F000000}"/>
    <hyperlink ref="B85" r:id="rId81" xr:uid="{00000000-0004-0000-1500-000050000000}"/>
    <hyperlink ref="B86" r:id="rId82" xr:uid="{00000000-0004-0000-1500-000051000000}"/>
    <hyperlink ref="B87" r:id="rId83" xr:uid="{00000000-0004-0000-1500-000052000000}"/>
    <hyperlink ref="B88" r:id="rId84" xr:uid="{00000000-0004-0000-1500-000053000000}"/>
    <hyperlink ref="B89" r:id="rId85" xr:uid="{00000000-0004-0000-1500-000054000000}"/>
    <hyperlink ref="B90" r:id="rId86" xr:uid="{00000000-0004-0000-1500-000055000000}"/>
    <hyperlink ref="B91" r:id="rId87" xr:uid="{00000000-0004-0000-1500-000056000000}"/>
    <hyperlink ref="B92" r:id="rId88" xr:uid="{00000000-0004-0000-1500-000057000000}"/>
    <hyperlink ref="B93" r:id="rId89" xr:uid="{00000000-0004-0000-1500-000058000000}"/>
    <hyperlink ref="B94" r:id="rId90" xr:uid="{00000000-0004-0000-1500-000059000000}"/>
    <hyperlink ref="B95" r:id="rId91" xr:uid="{00000000-0004-0000-1500-00005A000000}"/>
    <hyperlink ref="B96" r:id="rId92" xr:uid="{00000000-0004-0000-1500-00005B000000}"/>
    <hyperlink ref="B97" r:id="rId93" xr:uid="{00000000-0004-0000-1500-00005C000000}"/>
    <hyperlink ref="B98" r:id="rId94" xr:uid="{00000000-0004-0000-1500-00005D000000}"/>
    <hyperlink ref="B99" r:id="rId95" xr:uid="{00000000-0004-0000-1500-00005E000000}"/>
    <hyperlink ref="B100" r:id="rId96" xr:uid="{00000000-0004-0000-1500-00005F000000}"/>
    <hyperlink ref="B101" r:id="rId97" xr:uid="{00000000-0004-0000-1500-000060000000}"/>
    <hyperlink ref="B102" r:id="rId98" xr:uid="{00000000-0004-0000-1500-000061000000}"/>
    <hyperlink ref="B103" r:id="rId99" xr:uid="{00000000-0004-0000-1500-000062000000}"/>
    <hyperlink ref="B104" r:id="rId100" xr:uid="{00000000-0004-0000-1500-00006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6.83203125" customWidth="1"/>
    <col min="3" max="3" width="15.5" customWidth="1"/>
    <col min="4" max="4" width="14.83203125" customWidth="1"/>
    <col min="5" max="5" width="14.33203125" customWidth="1"/>
    <col min="11" max="11" width="13.83203125" customWidth="1"/>
  </cols>
  <sheetData>
    <row r="1" spans="1:23" ht="15.75" customHeight="1">
      <c r="A1" s="1" t="s">
        <v>32</v>
      </c>
      <c r="B1" s="36"/>
      <c r="C1" s="37"/>
      <c r="D1" s="7" t="s">
        <v>181</v>
      </c>
      <c r="E1" s="5"/>
      <c r="F1" s="5"/>
      <c r="G1" s="5"/>
      <c r="K1" s="1"/>
      <c r="M1" s="5"/>
      <c r="N1" s="5"/>
      <c r="S1" s="1"/>
      <c r="U1" s="5"/>
    </row>
    <row r="2" spans="1:23" ht="15.75" customHeight="1">
      <c r="A2" s="7" t="s">
        <v>182</v>
      </c>
      <c r="B2" s="38">
        <v>37949</v>
      </c>
      <c r="C2" s="37"/>
      <c r="D2" s="39">
        <f>SUM(D5:G101)</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1627</v>
      </c>
      <c r="B5" s="49" t="s">
        <v>1628</v>
      </c>
      <c r="C5" s="51" t="s">
        <v>1629</v>
      </c>
      <c r="D5" s="54"/>
      <c r="E5" s="5"/>
      <c r="F5" s="51"/>
      <c r="G5" s="5"/>
      <c r="L5" s="43"/>
      <c r="M5" s="43"/>
      <c r="N5" s="42"/>
      <c r="O5" s="44"/>
      <c r="S5" s="42"/>
      <c r="T5" s="43"/>
      <c r="U5" s="43"/>
      <c r="V5" s="42"/>
      <c r="W5" s="44"/>
    </row>
    <row r="6" spans="1:23" ht="15.75" customHeight="1">
      <c r="A6" s="48" t="s">
        <v>1630</v>
      </c>
      <c r="B6" s="49" t="s">
        <v>1631</v>
      </c>
      <c r="C6" s="51" t="s">
        <v>1632</v>
      </c>
      <c r="D6" s="54"/>
      <c r="E6" s="5"/>
      <c r="F6" s="5"/>
      <c r="G6" s="5"/>
      <c r="L6" s="50"/>
      <c r="M6" s="51"/>
      <c r="N6" s="5"/>
      <c r="S6" s="52"/>
      <c r="T6" s="50"/>
      <c r="U6" s="51"/>
    </row>
    <row r="7" spans="1:23" ht="15.75" customHeight="1">
      <c r="A7" s="48" t="s">
        <v>1633</v>
      </c>
      <c r="B7" s="49" t="s">
        <v>1634</v>
      </c>
      <c r="C7" s="51" t="s">
        <v>1632</v>
      </c>
      <c r="D7" s="51"/>
      <c r="E7" s="5"/>
      <c r="F7" s="5"/>
      <c r="G7" s="5"/>
      <c r="K7" s="52"/>
      <c r="L7" s="50"/>
      <c r="M7" s="51"/>
      <c r="N7" s="5"/>
      <c r="S7" s="52"/>
      <c r="T7" s="50"/>
      <c r="U7" s="51"/>
    </row>
    <row r="8" spans="1:23" ht="15.75" customHeight="1">
      <c r="A8" s="48" t="s">
        <v>1635</v>
      </c>
      <c r="B8" s="49" t="s">
        <v>1636</v>
      </c>
      <c r="C8" s="51" t="s">
        <v>1637</v>
      </c>
      <c r="D8" s="54"/>
      <c r="E8" s="5"/>
      <c r="F8" s="5"/>
      <c r="G8" s="5"/>
      <c r="K8" s="52"/>
      <c r="L8" s="50"/>
      <c r="M8" s="51"/>
      <c r="N8" s="51"/>
      <c r="S8" s="52"/>
      <c r="T8" s="50"/>
      <c r="U8" s="51"/>
    </row>
    <row r="9" spans="1:23" ht="15.75" customHeight="1">
      <c r="A9" s="48" t="s">
        <v>1638</v>
      </c>
      <c r="B9" s="49" t="s">
        <v>1639</v>
      </c>
      <c r="C9" s="51" t="s">
        <v>1632</v>
      </c>
      <c r="D9" s="54"/>
      <c r="E9" s="5"/>
      <c r="F9" s="51"/>
      <c r="G9" s="5"/>
      <c r="K9" s="52"/>
      <c r="L9" s="50"/>
      <c r="M9" s="51"/>
      <c r="N9" s="51"/>
      <c r="S9" s="52"/>
      <c r="T9" s="50"/>
      <c r="U9" s="51"/>
    </row>
    <row r="10" spans="1:23" ht="15.75" customHeight="1">
      <c r="A10" s="48" t="s">
        <v>1640</v>
      </c>
      <c r="B10" s="49" t="s">
        <v>1641</v>
      </c>
      <c r="C10" s="51" t="s">
        <v>1632</v>
      </c>
      <c r="D10" s="54"/>
      <c r="E10" s="5"/>
      <c r="F10" s="5"/>
      <c r="G10" s="5"/>
      <c r="K10" s="52"/>
      <c r="L10" s="50"/>
      <c r="M10" s="51"/>
      <c r="N10" s="5"/>
      <c r="S10" s="52"/>
      <c r="T10" s="50"/>
      <c r="U10" s="51"/>
    </row>
    <row r="11" spans="1:23" ht="15.75" customHeight="1">
      <c r="A11" s="48" t="s">
        <v>1642</v>
      </c>
      <c r="B11" s="49" t="s">
        <v>1643</v>
      </c>
      <c r="C11" s="51" t="s">
        <v>1644</v>
      </c>
      <c r="D11" s="54"/>
      <c r="E11" s="5"/>
      <c r="F11" s="51"/>
      <c r="G11" s="5"/>
      <c r="K11" s="52"/>
      <c r="L11" s="50"/>
      <c r="M11" s="51"/>
      <c r="N11" s="51"/>
      <c r="S11" s="52"/>
      <c r="T11" s="50"/>
      <c r="U11" s="51"/>
    </row>
    <row r="12" spans="1:23" ht="15.75" customHeight="1">
      <c r="A12" s="48" t="s">
        <v>1645</v>
      </c>
      <c r="B12" s="49" t="s">
        <v>1646</v>
      </c>
      <c r="C12" s="51" t="s">
        <v>1647</v>
      </c>
      <c r="D12" s="54"/>
      <c r="E12" s="5"/>
      <c r="F12" s="5"/>
      <c r="G12" s="5"/>
      <c r="K12" s="52"/>
      <c r="L12" s="50"/>
      <c r="M12" s="51"/>
      <c r="N12" s="51"/>
      <c r="S12" s="52"/>
      <c r="T12" s="50"/>
      <c r="U12" s="51"/>
    </row>
    <row r="13" spans="1:23" ht="15.75" customHeight="1">
      <c r="A13" s="48" t="s">
        <v>1648</v>
      </c>
      <c r="B13" s="49" t="s">
        <v>1649</v>
      </c>
      <c r="C13" s="51" t="s">
        <v>1644</v>
      </c>
      <c r="D13" s="51"/>
      <c r="E13" s="5"/>
      <c r="F13" s="51"/>
      <c r="G13" s="5"/>
      <c r="K13" s="52"/>
      <c r="L13" s="50"/>
      <c r="M13" s="51"/>
      <c r="N13" s="5"/>
      <c r="S13" s="52"/>
      <c r="T13" s="50"/>
      <c r="U13" s="51"/>
    </row>
    <row r="14" spans="1:23" ht="15.75" customHeight="1">
      <c r="A14" s="48" t="s">
        <v>1650</v>
      </c>
      <c r="B14" s="49" t="s">
        <v>1651</v>
      </c>
      <c r="C14" s="51" t="s">
        <v>1652</v>
      </c>
      <c r="D14" s="54"/>
      <c r="E14" s="5"/>
      <c r="F14" s="5"/>
      <c r="G14" s="5"/>
      <c r="K14" s="52"/>
      <c r="L14" s="50"/>
      <c r="M14" s="51"/>
      <c r="N14" s="51"/>
      <c r="S14" s="52"/>
      <c r="T14" s="50"/>
      <c r="U14" s="51"/>
    </row>
    <row r="15" spans="1:23" ht="15.75" customHeight="1">
      <c r="A15" s="48" t="s">
        <v>1653</v>
      </c>
      <c r="B15" s="49" t="s">
        <v>1654</v>
      </c>
      <c r="C15" s="51" t="s">
        <v>1644</v>
      </c>
      <c r="D15" s="54"/>
      <c r="E15" s="5"/>
      <c r="F15" s="5"/>
      <c r="G15" s="5"/>
      <c r="K15" s="52"/>
      <c r="L15" s="50"/>
      <c r="M15" s="51"/>
      <c r="N15" s="51"/>
      <c r="S15" s="52"/>
      <c r="T15" s="50"/>
      <c r="U15" s="51"/>
    </row>
    <row r="16" spans="1:23" ht="15.75" customHeight="1">
      <c r="A16" s="48" t="s">
        <v>1655</v>
      </c>
      <c r="B16" s="49" t="s">
        <v>1656</v>
      </c>
      <c r="C16" s="51" t="s">
        <v>1652</v>
      </c>
      <c r="D16" s="54"/>
      <c r="E16" s="5"/>
      <c r="F16" s="5"/>
      <c r="G16" s="5"/>
      <c r="K16" s="52"/>
      <c r="L16" s="50"/>
      <c r="M16" s="51"/>
      <c r="N16" s="51"/>
      <c r="S16" s="52"/>
      <c r="T16" s="50"/>
      <c r="U16" s="51"/>
    </row>
    <row r="17" spans="1:27" ht="15.75" customHeight="1">
      <c r="A17" s="48" t="s">
        <v>1657</v>
      </c>
      <c r="B17" s="49" t="s">
        <v>251</v>
      </c>
      <c r="C17" s="51" t="s">
        <v>192</v>
      </c>
      <c r="D17" s="54"/>
      <c r="E17" s="5"/>
      <c r="F17" s="5"/>
      <c r="G17" s="5"/>
      <c r="K17" s="52"/>
      <c r="L17" s="50"/>
      <c r="M17" s="51"/>
      <c r="N17" s="51"/>
      <c r="S17" s="52"/>
      <c r="T17" s="50"/>
      <c r="U17" s="51"/>
    </row>
    <row r="18" spans="1:27" ht="15.75" customHeight="1">
      <c r="A18" s="48" t="s">
        <v>1658</v>
      </c>
      <c r="B18" s="49" t="s">
        <v>1631</v>
      </c>
      <c r="C18" s="51" t="s">
        <v>208</v>
      </c>
      <c r="D18" s="51"/>
      <c r="E18" s="5"/>
      <c r="F18" s="5"/>
      <c r="G18" s="5"/>
      <c r="M18" s="5"/>
      <c r="N18" s="5"/>
      <c r="U18" s="5"/>
      <c r="AA18" s="5"/>
    </row>
    <row r="19" spans="1:27" ht="15.75" customHeight="1">
      <c r="A19" s="48" t="s">
        <v>1659</v>
      </c>
      <c r="B19" s="49" t="s">
        <v>1660</v>
      </c>
      <c r="C19" s="51" t="s">
        <v>808</v>
      </c>
      <c r="D19" s="54"/>
      <c r="E19" s="51"/>
      <c r="F19" s="5"/>
      <c r="G19" s="5"/>
      <c r="K19" s="1"/>
      <c r="M19" s="5"/>
      <c r="N19" s="5"/>
      <c r="U19" s="5"/>
      <c r="AA19" s="5"/>
    </row>
    <row r="20" spans="1:27" ht="15.75" customHeight="1">
      <c r="A20" s="48" t="s">
        <v>1661</v>
      </c>
      <c r="B20" s="49" t="s">
        <v>1662</v>
      </c>
      <c r="C20" s="51" t="s">
        <v>208</v>
      </c>
      <c r="D20" s="54"/>
      <c r="E20" s="5"/>
      <c r="F20" s="5"/>
      <c r="G20" s="5"/>
      <c r="L20" s="40"/>
      <c r="M20" s="5"/>
      <c r="N20" s="5"/>
      <c r="AA20" s="5"/>
    </row>
    <row r="21" spans="1:27" ht="15.75" customHeight="1">
      <c r="A21" s="48" t="s">
        <v>1663</v>
      </c>
      <c r="B21" s="49" t="s">
        <v>1664</v>
      </c>
      <c r="C21" s="51" t="s">
        <v>205</v>
      </c>
      <c r="D21" s="51"/>
      <c r="E21" s="5"/>
      <c r="F21" s="5"/>
      <c r="G21" s="5"/>
      <c r="M21" s="5"/>
      <c r="N21" s="5"/>
      <c r="AA21" s="5"/>
    </row>
    <row r="22" spans="1:27" ht="15.75" customHeight="1">
      <c r="A22" s="48" t="s">
        <v>1665</v>
      </c>
      <c r="B22" s="49" t="s">
        <v>1639</v>
      </c>
      <c r="C22" s="51" t="s">
        <v>208</v>
      </c>
      <c r="D22" s="54"/>
      <c r="E22" s="5"/>
      <c r="F22" s="5"/>
      <c r="G22" s="5"/>
      <c r="K22" s="42"/>
      <c r="L22" s="45"/>
      <c r="M22" s="46"/>
      <c r="N22" s="47"/>
      <c r="AA22" s="5"/>
    </row>
    <row r="23" spans="1:27" ht="15.75" customHeight="1">
      <c r="A23" s="48" t="s">
        <v>1666</v>
      </c>
      <c r="B23" s="49" t="s">
        <v>1667</v>
      </c>
      <c r="C23" s="51" t="s">
        <v>199</v>
      </c>
      <c r="D23" s="54"/>
      <c r="E23" s="5"/>
      <c r="F23" s="5"/>
      <c r="G23" s="5"/>
      <c r="K23" s="42"/>
      <c r="L23" s="43"/>
      <c r="M23" s="43"/>
      <c r="N23" s="42"/>
      <c r="O23" s="44"/>
      <c r="AA23" s="5"/>
    </row>
    <row r="24" spans="1:27" ht="15.75" customHeight="1">
      <c r="A24" s="48" t="s">
        <v>1668</v>
      </c>
      <c r="B24" s="49" t="s">
        <v>1669</v>
      </c>
      <c r="C24" s="51" t="s">
        <v>225</v>
      </c>
      <c r="D24" s="51"/>
      <c r="E24" s="5"/>
      <c r="F24" s="5"/>
      <c r="G24" s="5"/>
      <c r="K24" s="52"/>
      <c r="L24" s="50"/>
      <c r="M24" s="51"/>
      <c r="N24" s="5"/>
      <c r="AA24" s="5"/>
    </row>
    <row r="25" spans="1:27" ht="15.75" customHeight="1">
      <c r="A25" s="48" t="s">
        <v>1670</v>
      </c>
      <c r="B25" s="49" t="s">
        <v>1671</v>
      </c>
      <c r="C25" s="51" t="s">
        <v>808</v>
      </c>
      <c r="D25" s="54"/>
      <c r="E25" s="5"/>
      <c r="F25" s="5"/>
      <c r="G25" s="5"/>
      <c r="K25" s="52"/>
      <c r="L25" s="50"/>
      <c r="M25" s="51"/>
      <c r="N25" s="5"/>
      <c r="AA25" s="5"/>
    </row>
    <row r="26" spans="1:27" ht="15.75" customHeight="1">
      <c r="A26" s="48" t="s">
        <v>1672</v>
      </c>
      <c r="B26" s="49" t="s">
        <v>1654</v>
      </c>
      <c r="C26" s="51" t="s">
        <v>225</v>
      </c>
      <c r="D26" s="54"/>
      <c r="E26" s="5"/>
      <c r="F26" s="5"/>
      <c r="G26" s="5"/>
      <c r="K26" s="52"/>
      <c r="L26" s="50"/>
      <c r="M26" s="51"/>
      <c r="N26" s="51"/>
      <c r="AA26" s="5"/>
    </row>
    <row r="27" spans="1:27" ht="15.75" customHeight="1">
      <c r="A27" s="48" t="s">
        <v>1673</v>
      </c>
      <c r="B27" s="49" t="s">
        <v>1674</v>
      </c>
      <c r="C27" s="51" t="s">
        <v>197</v>
      </c>
      <c r="D27" s="54"/>
      <c r="E27" s="5"/>
      <c r="F27" s="51"/>
      <c r="G27" s="5"/>
      <c r="K27" s="52"/>
      <c r="L27" s="50"/>
      <c r="M27" s="51"/>
      <c r="N27" s="51"/>
      <c r="AA27" s="5"/>
    </row>
    <row r="28" spans="1:27" ht="15.75" customHeight="1">
      <c r="A28" s="48" t="s">
        <v>1675</v>
      </c>
      <c r="B28" s="49" t="s">
        <v>1676</v>
      </c>
      <c r="C28" s="51" t="s">
        <v>1629</v>
      </c>
      <c r="D28" s="54"/>
      <c r="E28" s="5"/>
      <c r="F28" s="5"/>
      <c r="G28" s="5"/>
      <c r="J28" s="5"/>
      <c r="K28" s="52"/>
      <c r="L28" s="50"/>
      <c r="M28" s="51"/>
      <c r="N28" s="5"/>
      <c r="P28" s="5"/>
    </row>
    <row r="29" spans="1:27" ht="15.75" customHeight="1">
      <c r="A29" s="48" t="s">
        <v>1677</v>
      </c>
      <c r="B29" s="49" t="s">
        <v>1678</v>
      </c>
      <c r="C29" s="51" t="s">
        <v>208</v>
      </c>
      <c r="D29" s="51"/>
      <c r="E29" s="51"/>
      <c r="F29" s="5"/>
      <c r="G29" s="5"/>
      <c r="J29" s="5"/>
      <c r="K29" s="52"/>
      <c r="L29" s="50"/>
      <c r="M29" s="51"/>
      <c r="N29" s="51"/>
      <c r="P29" s="5"/>
    </row>
    <row r="30" spans="1:27" ht="15.75" customHeight="1">
      <c r="A30" s="48" t="s">
        <v>1679</v>
      </c>
      <c r="B30" s="49" t="s">
        <v>1680</v>
      </c>
      <c r="C30" s="51" t="s">
        <v>208</v>
      </c>
      <c r="D30" s="54"/>
      <c r="E30" s="5"/>
      <c r="F30" s="5"/>
      <c r="G30" s="5"/>
      <c r="J30" s="5"/>
      <c r="K30" s="52"/>
      <c r="L30" s="50"/>
      <c r="M30" s="51"/>
      <c r="N30" s="5"/>
      <c r="P30" s="5"/>
    </row>
    <row r="31" spans="1:27" ht="15.75" customHeight="1">
      <c r="A31" s="48" t="s">
        <v>1681</v>
      </c>
      <c r="B31" s="49" t="s">
        <v>1682</v>
      </c>
      <c r="C31" s="51" t="s">
        <v>192</v>
      </c>
      <c r="D31" s="54"/>
      <c r="E31" s="5"/>
      <c r="F31" s="5"/>
      <c r="G31" s="5"/>
      <c r="J31" s="5"/>
      <c r="K31" s="52"/>
      <c r="L31" s="50"/>
      <c r="M31" s="51"/>
      <c r="N31" s="51"/>
      <c r="P31" s="5"/>
    </row>
    <row r="32" spans="1:27" ht="15.75" customHeight="1">
      <c r="A32" s="48" t="s">
        <v>1683</v>
      </c>
      <c r="B32" s="49" t="s">
        <v>1684</v>
      </c>
      <c r="C32" s="51" t="s">
        <v>192</v>
      </c>
      <c r="D32" s="54"/>
      <c r="E32" s="5"/>
      <c r="F32" s="5"/>
      <c r="G32" s="5"/>
      <c r="J32" s="5"/>
      <c r="K32" s="52"/>
      <c r="L32" s="50"/>
      <c r="M32" s="51"/>
      <c r="N32" s="5"/>
      <c r="P32" s="5"/>
    </row>
    <row r="33" spans="1:16" ht="15.75" customHeight="1">
      <c r="A33" s="48" t="s">
        <v>1685</v>
      </c>
      <c r="B33" s="49" t="s">
        <v>1636</v>
      </c>
      <c r="C33" s="51" t="s">
        <v>192</v>
      </c>
      <c r="D33" s="54"/>
      <c r="E33" s="51"/>
      <c r="F33" s="5"/>
      <c r="G33" s="5"/>
      <c r="J33" s="5"/>
      <c r="K33" s="52"/>
      <c r="L33" s="50"/>
      <c r="M33" s="51"/>
      <c r="N33" s="5"/>
      <c r="P33" s="5"/>
    </row>
    <row r="34" spans="1:16" ht="15.75" customHeight="1">
      <c r="A34" s="48" t="s">
        <v>1686</v>
      </c>
      <c r="B34" s="49" t="s">
        <v>1660</v>
      </c>
      <c r="C34" s="51" t="s">
        <v>808</v>
      </c>
      <c r="D34" s="54"/>
      <c r="E34" s="51"/>
      <c r="F34" s="5"/>
      <c r="G34" s="5"/>
      <c r="J34" s="5"/>
      <c r="K34" s="52"/>
      <c r="L34" s="50"/>
      <c r="M34" s="51"/>
      <c r="N34" s="5"/>
      <c r="P34" s="5"/>
    </row>
    <row r="35" spans="1:16" ht="15.75" customHeight="1">
      <c r="A35" s="48" t="s">
        <v>1687</v>
      </c>
      <c r="B35" s="49" t="s">
        <v>1662</v>
      </c>
      <c r="C35" s="51" t="s">
        <v>208</v>
      </c>
      <c r="D35" s="51"/>
      <c r="E35" s="5"/>
      <c r="F35" s="5"/>
      <c r="G35" s="5"/>
      <c r="J35" s="5"/>
      <c r="K35" s="52"/>
      <c r="L35" s="50"/>
      <c r="M35" s="51"/>
      <c r="N35" s="51"/>
      <c r="P35" s="5"/>
    </row>
    <row r="36" spans="1:16" ht="15.75" customHeight="1">
      <c r="A36" s="48" t="s">
        <v>1688</v>
      </c>
      <c r="B36" s="49" t="s">
        <v>1689</v>
      </c>
      <c r="C36" s="51" t="s">
        <v>195</v>
      </c>
      <c r="D36" s="54"/>
      <c r="E36" s="5"/>
      <c r="F36" s="5"/>
      <c r="G36" s="5"/>
      <c r="J36" s="5"/>
      <c r="M36" s="5"/>
      <c r="N36" s="5"/>
      <c r="P36" s="5"/>
    </row>
    <row r="37" spans="1:16" ht="15.75" customHeight="1">
      <c r="A37" s="48" t="s">
        <v>1690</v>
      </c>
      <c r="B37" s="49" t="s">
        <v>1646</v>
      </c>
      <c r="C37" s="51" t="s">
        <v>225</v>
      </c>
      <c r="D37" s="54"/>
      <c r="E37" s="5"/>
      <c r="F37" s="5"/>
      <c r="G37" s="5"/>
      <c r="J37" s="5"/>
      <c r="M37" s="5"/>
      <c r="N37" s="5"/>
    </row>
    <row r="38" spans="1:16" ht="15.75" customHeight="1">
      <c r="A38" s="48" t="s">
        <v>1691</v>
      </c>
      <c r="B38" s="49" t="s">
        <v>1651</v>
      </c>
      <c r="C38" s="51" t="s">
        <v>199</v>
      </c>
      <c r="D38" s="51"/>
      <c r="E38" s="5"/>
      <c r="F38" s="5"/>
      <c r="G38" s="5"/>
      <c r="J38" s="5"/>
      <c r="M38" s="51"/>
      <c r="N38" s="51"/>
    </row>
    <row r="39" spans="1:16" ht="15.75" customHeight="1">
      <c r="A39" s="48" t="s">
        <v>1692</v>
      </c>
      <c r="B39" s="49" t="s">
        <v>1693</v>
      </c>
      <c r="C39" s="51" t="s">
        <v>199</v>
      </c>
      <c r="D39" s="54"/>
      <c r="E39" s="5"/>
      <c r="F39" s="5"/>
      <c r="G39" s="5"/>
      <c r="J39" s="5"/>
      <c r="M39" s="51"/>
      <c r="N39" s="51"/>
    </row>
    <row r="40" spans="1:16" ht="15.75" customHeight="1">
      <c r="A40" s="48" t="s">
        <v>1694</v>
      </c>
      <c r="B40" s="49" t="s">
        <v>1669</v>
      </c>
      <c r="C40" s="51" t="s">
        <v>225</v>
      </c>
      <c r="D40" s="51"/>
      <c r="E40" s="51"/>
      <c r="F40" s="5"/>
      <c r="G40" s="5"/>
      <c r="J40" s="5"/>
      <c r="M40" s="51"/>
      <c r="N40" s="51"/>
    </row>
    <row r="41" spans="1:16" ht="15.75" customHeight="1">
      <c r="A41" s="48" t="s">
        <v>1695</v>
      </c>
      <c r="B41" s="49" t="s">
        <v>1671</v>
      </c>
      <c r="C41" s="51" t="s">
        <v>808</v>
      </c>
      <c r="D41" s="54"/>
      <c r="E41" s="5"/>
      <c r="F41" s="5"/>
      <c r="G41" s="5"/>
      <c r="J41" s="5"/>
      <c r="M41" s="51"/>
      <c r="N41" s="51"/>
    </row>
    <row r="42" spans="1:16" ht="15.75" customHeight="1">
      <c r="A42" s="48" t="s">
        <v>1696</v>
      </c>
      <c r="B42" s="49" t="s">
        <v>1697</v>
      </c>
      <c r="C42" s="51" t="s">
        <v>225</v>
      </c>
      <c r="D42" s="51"/>
      <c r="E42" s="5"/>
      <c r="F42" s="5"/>
      <c r="G42" s="5"/>
      <c r="J42" s="5"/>
      <c r="M42" s="51"/>
      <c r="N42" s="51"/>
    </row>
    <row r="43" spans="1:16" ht="15.75" customHeight="1">
      <c r="A43" s="48" t="s">
        <v>1698</v>
      </c>
      <c r="B43" s="49" t="s">
        <v>276</v>
      </c>
      <c r="C43" s="51" t="s">
        <v>205</v>
      </c>
      <c r="D43" s="51"/>
      <c r="E43" s="5"/>
      <c r="F43" s="5"/>
      <c r="G43" s="5"/>
      <c r="J43" s="5"/>
      <c r="M43" s="51"/>
      <c r="N43" s="51"/>
    </row>
    <row r="44" spans="1:16" ht="15.75" customHeight="1">
      <c r="A44" s="48" t="s">
        <v>1699</v>
      </c>
      <c r="B44" s="49" t="s">
        <v>347</v>
      </c>
      <c r="C44" s="51" t="s">
        <v>225</v>
      </c>
      <c r="D44" s="54"/>
      <c r="E44" s="51"/>
      <c r="F44" s="5"/>
      <c r="G44" s="5"/>
      <c r="J44" s="5"/>
      <c r="M44" s="51"/>
      <c r="N44" s="51"/>
    </row>
    <row r="45" spans="1:16" ht="15.75" customHeight="1">
      <c r="A45" s="48" t="s">
        <v>1700</v>
      </c>
      <c r="B45" s="49" t="s">
        <v>200</v>
      </c>
      <c r="C45" s="51" t="s">
        <v>197</v>
      </c>
      <c r="D45" s="51"/>
      <c r="E45" s="5"/>
      <c r="F45" s="5"/>
      <c r="G45" s="5"/>
      <c r="J45" s="5"/>
      <c r="M45" s="51"/>
      <c r="N45" s="51"/>
      <c r="P45" s="5"/>
    </row>
    <row r="46" spans="1:16" ht="15.75" customHeight="1">
      <c r="A46" s="48" t="s">
        <v>1701</v>
      </c>
      <c r="B46" s="49" t="s">
        <v>202</v>
      </c>
      <c r="C46" s="51" t="s">
        <v>197</v>
      </c>
      <c r="D46" s="54"/>
      <c r="E46" s="5"/>
      <c r="F46" s="5"/>
      <c r="G46" s="5"/>
      <c r="J46" s="5"/>
      <c r="M46" s="51"/>
      <c r="N46" s="51"/>
      <c r="P46" s="5"/>
    </row>
    <row r="47" spans="1:16" ht="15.75" customHeight="1">
      <c r="A47" s="48" t="s">
        <v>1702</v>
      </c>
      <c r="B47" s="49" t="s">
        <v>191</v>
      </c>
      <c r="C47" s="51" t="s">
        <v>192</v>
      </c>
      <c r="D47" s="51"/>
      <c r="E47" s="5"/>
      <c r="F47" s="5"/>
      <c r="G47" s="5"/>
      <c r="J47" s="5"/>
      <c r="M47" s="5"/>
      <c r="N47" s="5"/>
      <c r="P47" s="5"/>
    </row>
    <row r="48" spans="1:16" ht="15.75" customHeight="1">
      <c r="A48" s="48" t="s">
        <v>1703</v>
      </c>
      <c r="B48" s="49" t="s">
        <v>207</v>
      </c>
      <c r="C48" s="51" t="s">
        <v>208</v>
      </c>
      <c r="D48" s="54"/>
      <c r="E48" s="5"/>
      <c r="F48" s="5"/>
      <c r="G48" s="5"/>
      <c r="J48" s="5"/>
      <c r="M48" s="5"/>
      <c r="N48" s="5"/>
      <c r="P48" s="5"/>
    </row>
    <row r="49" spans="1:16" ht="15.75" customHeight="1">
      <c r="A49" s="48" t="s">
        <v>1704</v>
      </c>
      <c r="B49" s="49" t="s">
        <v>387</v>
      </c>
      <c r="C49" s="51" t="s">
        <v>195</v>
      </c>
      <c r="D49" s="54"/>
      <c r="E49" s="5"/>
      <c r="F49" s="5"/>
      <c r="G49" s="5"/>
      <c r="J49" s="5"/>
      <c r="M49" s="5"/>
      <c r="N49" s="5"/>
      <c r="P49" s="5"/>
    </row>
    <row r="50" spans="1:16" ht="15.75" customHeight="1">
      <c r="A50" s="48" t="s">
        <v>1705</v>
      </c>
      <c r="B50" s="49" t="s">
        <v>294</v>
      </c>
      <c r="C50" s="51" t="s">
        <v>208</v>
      </c>
      <c r="D50" s="54"/>
      <c r="E50" s="5"/>
      <c r="F50" s="5"/>
      <c r="G50" s="5"/>
      <c r="J50" s="5"/>
      <c r="M50" s="5"/>
      <c r="N50" s="5"/>
      <c r="P50" s="5"/>
    </row>
    <row r="51" spans="1:16" ht="15.75" customHeight="1">
      <c r="A51" s="48" t="s">
        <v>1706</v>
      </c>
      <c r="B51" s="49" t="s">
        <v>1678</v>
      </c>
      <c r="C51" s="51" t="s">
        <v>208</v>
      </c>
      <c r="D51" s="54"/>
      <c r="E51" s="5"/>
      <c r="F51" s="5"/>
      <c r="G51" s="5"/>
      <c r="J51" s="5"/>
      <c r="M51" s="5"/>
      <c r="N51" s="5"/>
      <c r="P51" s="5"/>
    </row>
    <row r="52" spans="1:16" ht="15.75" customHeight="1">
      <c r="A52" s="48" t="s">
        <v>1707</v>
      </c>
      <c r="B52" s="49" t="s">
        <v>1678</v>
      </c>
      <c r="C52" s="51" t="s">
        <v>208</v>
      </c>
      <c r="D52" s="54"/>
      <c r="E52" s="5"/>
      <c r="F52" s="5"/>
      <c r="G52" s="5"/>
      <c r="J52" s="5"/>
      <c r="M52" s="5"/>
      <c r="N52" s="5"/>
      <c r="P52" s="5"/>
    </row>
    <row r="53" spans="1:16" ht="13">
      <c r="A53" s="48" t="s">
        <v>1708</v>
      </c>
      <c r="B53" s="49" t="s">
        <v>1709</v>
      </c>
      <c r="C53" s="51" t="s">
        <v>192</v>
      </c>
      <c r="D53" s="51"/>
      <c r="E53" s="5"/>
      <c r="F53" s="5"/>
      <c r="G53" s="5"/>
      <c r="J53" s="5"/>
      <c r="M53" s="5"/>
      <c r="N53" s="5"/>
      <c r="P53" s="5"/>
    </row>
    <row r="54" spans="1:16" ht="13">
      <c r="A54" s="48" t="s">
        <v>1710</v>
      </c>
      <c r="B54" s="49" t="s">
        <v>1680</v>
      </c>
      <c r="C54" s="51" t="s">
        <v>208</v>
      </c>
      <c r="D54" s="54"/>
      <c r="E54" s="5"/>
      <c r="F54" s="5"/>
      <c r="G54" s="5"/>
      <c r="J54" s="5"/>
      <c r="M54" s="5"/>
      <c r="N54" s="5"/>
      <c r="P54" s="5"/>
    </row>
    <row r="55" spans="1:16" ht="13">
      <c r="A55" s="48" t="s">
        <v>1711</v>
      </c>
      <c r="B55" s="49" t="s">
        <v>1680</v>
      </c>
      <c r="C55" s="51" t="s">
        <v>208</v>
      </c>
      <c r="D55" s="51"/>
      <c r="E55" s="5"/>
      <c r="F55" s="5"/>
      <c r="G55" s="5"/>
      <c r="J55" s="5"/>
      <c r="M55" s="5"/>
      <c r="N55" s="5"/>
      <c r="P55" s="5"/>
    </row>
    <row r="56" spans="1:16" ht="13">
      <c r="A56" s="48" t="s">
        <v>1712</v>
      </c>
      <c r="B56" s="49" t="s">
        <v>1682</v>
      </c>
      <c r="C56" s="51" t="s">
        <v>192</v>
      </c>
      <c r="D56" s="54"/>
      <c r="E56" s="5"/>
      <c r="F56" s="5"/>
      <c r="G56" s="5"/>
      <c r="J56" s="5"/>
      <c r="M56" s="5"/>
      <c r="N56" s="5"/>
      <c r="P56" s="5"/>
    </row>
    <row r="57" spans="1:16" ht="13">
      <c r="A57" s="48" t="s">
        <v>1713</v>
      </c>
      <c r="B57" s="49" t="s">
        <v>1682</v>
      </c>
      <c r="C57" s="51" t="s">
        <v>192</v>
      </c>
      <c r="D57" s="51"/>
      <c r="E57" s="5"/>
      <c r="F57" s="5"/>
      <c r="G57" s="5"/>
      <c r="J57" s="5"/>
      <c r="M57" s="5"/>
      <c r="N57" s="5"/>
      <c r="P57" s="5"/>
    </row>
    <row r="58" spans="1:16" ht="13">
      <c r="A58" s="48" t="s">
        <v>1714</v>
      </c>
      <c r="B58" s="49" t="s">
        <v>1715</v>
      </c>
      <c r="C58" s="51" t="s">
        <v>808</v>
      </c>
      <c r="D58" s="54"/>
      <c r="E58" s="5"/>
      <c r="F58" s="5"/>
      <c r="G58" s="5"/>
      <c r="J58" s="5"/>
      <c r="M58" s="5"/>
      <c r="N58" s="5"/>
      <c r="P58" s="5"/>
    </row>
    <row r="59" spans="1:16" ht="13">
      <c r="A59" s="48" t="s">
        <v>1716</v>
      </c>
      <c r="B59" s="49" t="s">
        <v>1715</v>
      </c>
      <c r="C59" s="51" t="s">
        <v>808</v>
      </c>
      <c r="D59" s="51"/>
      <c r="E59" s="51"/>
      <c r="F59" s="5"/>
      <c r="G59" s="5"/>
      <c r="J59" s="5"/>
      <c r="M59" s="5"/>
      <c r="N59" s="5"/>
      <c r="P59" s="5"/>
    </row>
    <row r="60" spans="1:16" ht="13">
      <c r="A60" s="48" t="s">
        <v>1717</v>
      </c>
      <c r="B60" s="49" t="s">
        <v>1718</v>
      </c>
      <c r="C60" s="51" t="s">
        <v>208</v>
      </c>
      <c r="D60" s="51"/>
      <c r="E60" s="51"/>
      <c r="F60" s="5"/>
      <c r="G60" s="5"/>
      <c r="J60" s="5"/>
      <c r="M60" s="5"/>
      <c r="N60" s="5"/>
      <c r="P60" s="5"/>
    </row>
    <row r="61" spans="1:16" ht="13">
      <c r="A61" s="48" t="s">
        <v>1719</v>
      </c>
      <c r="B61" s="49" t="s">
        <v>1718</v>
      </c>
      <c r="C61" s="51" t="s">
        <v>208</v>
      </c>
      <c r="D61" s="51"/>
      <c r="E61" s="51"/>
      <c r="F61" s="5"/>
      <c r="G61" s="5"/>
      <c r="J61" s="5"/>
      <c r="M61" s="5"/>
      <c r="N61" s="5"/>
      <c r="P61" s="5"/>
    </row>
    <row r="62" spans="1:16" ht="13">
      <c r="A62" s="48" t="s">
        <v>1720</v>
      </c>
      <c r="B62" s="49" t="s">
        <v>1721</v>
      </c>
      <c r="C62" s="51" t="s">
        <v>225</v>
      </c>
      <c r="D62" s="51"/>
      <c r="E62" s="5"/>
      <c r="F62" s="5"/>
      <c r="G62" s="5"/>
      <c r="J62" s="5"/>
      <c r="M62" s="5"/>
      <c r="N62" s="5"/>
      <c r="P62" s="5"/>
    </row>
    <row r="63" spans="1:16" ht="13">
      <c r="A63" s="48" t="s">
        <v>1722</v>
      </c>
      <c r="B63" s="49" t="s">
        <v>1721</v>
      </c>
      <c r="C63" s="51" t="s">
        <v>225</v>
      </c>
      <c r="D63" s="51"/>
      <c r="E63" s="51"/>
      <c r="F63" s="5"/>
      <c r="G63" s="5"/>
      <c r="J63" s="5"/>
      <c r="M63" s="5"/>
      <c r="N63" s="5"/>
      <c r="P63" s="5"/>
    </row>
    <row r="64" spans="1:16" ht="13">
      <c r="A64" s="48" t="s">
        <v>1723</v>
      </c>
      <c r="B64" s="49" t="s">
        <v>1689</v>
      </c>
      <c r="C64" s="51" t="s">
        <v>225</v>
      </c>
      <c r="D64" s="51"/>
      <c r="E64" s="5"/>
      <c r="F64" s="5"/>
      <c r="G64" s="5"/>
      <c r="J64" s="5"/>
      <c r="M64" s="5"/>
      <c r="N64" s="5"/>
      <c r="P64" s="5"/>
    </row>
    <row r="65" spans="1:16" ht="13">
      <c r="A65" s="48" t="s">
        <v>1724</v>
      </c>
      <c r="B65" s="49" t="s">
        <v>1689</v>
      </c>
      <c r="C65" s="51" t="s">
        <v>225</v>
      </c>
      <c r="D65" s="51"/>
      <c r="E65" s="5"/>
      <c r="F65" s="5"/>
      <c r="G65" s="5"/>
      <c r="J65" s="5"/>
      <c r="M65" s="5"/>
      <c r="N65" s="5"/>
      <c r="P65" s="5"/>
    </row>
    <row r="66" spans="1:16" ht="13">
      <c r="A66" s="48" t="s">
        <v>1725</v>
      </c>
      <c r="B66" s="49" t="s">
        <v>1693</v>
      </c>
      <c r="C66" s="51" t="s">
        <v>199</v>
      </c>
      <c r="D66" s="51"/>
      <c r="E66" s="5"/>
      <c r="F66" s="5"/>
      <c r="G66" s="5"/>
      <c r="J66" s="5"/>
      <c r="M66" s="5"/>
      <c r="N66" s="5"/>
      <c r="P66" s="5"/>
    </row>
    <row r="67" spans="1:16" ht="13">
      <c r="A67" s="48" t="s">
        <v>1726</v>
      </c>
      <c r="B67" s="49" t="s">
        <v>1693</v>
      </c>
      <c r="C67" s="51" t="s">
        <v>199</v>
      </c>
      <c r="D67" s="51"/>
      <c r="E67" s="5"/>
      <c r="F67" s="5"/>
      <c r="G67" s="5"/>
      <c r="J67" s="5"/>
      <c r="M67" s="5"/>
      <c r="N67" s="5"/>
      <c r="P67" s="5"/>
    </row>
    <row r="68" spans="1:16" ht="13">
      <c r="A68" s="48" t="s">
        <v>1727</v>
      </c>
      <c r="B68" s="49" t="s">
        <v>1728</v>
      </c>
      <c r="C68" s="51" t="s">
        <v>199</v>
      </c>
      <c r="D68" s="54"/>
      <c r="E68" s="5"/>
      <c r="F68" s="5"/>
      <c r="G68" s="5"/>
      <c r="J68" s="5"/>
      <c r="M68" s="5"/>
      <c r="N68" s="5"/>
      <c r="P68" s="5"/>
    </row>
    <row r="69" spans="1:16" ht="13">
      <c r="A69" s="48" t="s">
        <v>1729</v>
      </c>
      <c r="B69" s="49" t="s">
        <v>1730</v>
      </c>
      <c r="C69" s="51" t="s">
        <v>808</v>
      </c>
      <c r="D69" s="54"/>
      <c r="E69" s="51"/>
      <c r="F69" s="5"/>
      <c r="G69" s="5"/>
      <c r="J69" s="5"/>
      <c r="M69" s="5"/>
      <c r="N69" s="5"/>
      <c r="P69" s="5"/>
    </row>
    <row r="70" spans="1:16" ht="13">
      <c r="A70" s="48" t="s">
        <v>1731</v>
      </c>
      <c r="B70" s="49" t="s">
        <v>1730</v>
      </c>
      <c r="C70" s="51" t="s">
        <v>808</v>
      </c>
      <c r="D70" s="54"/>
      <c r="E70" s="5"/>
      <c r="F70" s="5"/>
      <c r="G70" s="5"/>
      <c r="J70" s="5"/>
      <c r="M70" s="5"/>
      <c r="N70" s="5"/>
      <c r="P70" s="5"/>
    </row>
    <row r="71" spans="1:16" ht="13">
      <c r="A71" s="48" t="s">
        <v>1732</v>
      </c>
      <c r="B71" s="49" t="s">
        <v>1697</v>
      </c>
      <c r="C71" s="51" t="s">
        <v>225</v>
      </c>
      <c r="D71" s="54"/>
      <c r="J71" s="5"/>
      <c r="M71" s="5"/>
      <c r="N71" s="5"/>
      <c r="P71" s="5"/>
    </row>
    <row r="72" spans="1:16" ht="13">
      <c r="A72" s="48" t="s">
        <v>1733</v>
      </c>
      <c r="B72" s="49" t="s">
        <v>1697</v>
      </c>
      <c r="C72" s="51" t="s">
        <v>225</v>
      </c>
      <c r="D72" s="51"/>
      <c r="E72" s="5"/>
      <c r="F72" s="5"/>
      <c r="G72" s="5"/>
      <c r="J72" s="5"/>
      <c r="M72" s="5"/>
      <c r="N72" s="5"/>
      <c r="P72" s="5"/>
    </row>
    <row r="73" spans="1:16" ht="13">
      <c r="A73" s="48" t="s">
        <v>1734</v>
      </c>
      <c r="B73" s="49" t="s">
        <v>1735</v>
      </c>
      <c r="C73" s="51" t="s">
        <v>1013</v>
      </c>
      <c r="D73" s="54"/>
      <c r="E73" s="5"/>
      <c r="F73" s="5"/>
      <c r="G73" s="5"/>
      <c r="J73" s="5"/>
      <c r="M73" s="5"/>
      <c r="N73" s="5"/>
      <c r="P73" s="5"/>
    </row>
    <row r="74" spans="1:16" ht="13">
      <c r="A74" s="48" t="s">
        <v>1736</v>
      </c>
      <c r="B74" s="49" t="s">
        <v>1737</v>
      </c>
      <c r="C74" s="51" t="s">
        <v>1013</v>
      </c>
      <c r="D74" s="51"/>
      <c r="E74" s="5"/>
      <c r="F74" s="5"/>
      <c r="G74" s="5"/>
      <c r="J74" s="5"/>
      <c r="M74" s="5"/>
      <c r="N74" s="5"/>
      <c r="P74" s="5"/>
    </row>
    <row r="75" spans="1:16" ht="13">
      <c r="A75" s="48" t="s">
        <v>1738</v>
      </c>
      <c r="B75" s="49" t="s">
        <v>1739</v>
      </c>
      <c r="C75" s="51" t="s">
        <v>1013</v>
      </c>
      <c r="D75" s="54"/>
      <c r="E75" s="5"/>
      <c r="F75" s="5"/>
      <c r="G75" s="5"/>
      <c r="J75" s="5"/>
      <c r="M75" s="5"/>
      <c r="N75" s="5"/>
      <c r="P75" s="5"/>
    </row>
    <row r="76" spans="1:16" ht="13">
      <c r="A76" s="48" t="s">
        <v>1740</v>
      </c>
      <c r="B76" s="49" t="s">
        <v>1015</v>
      </c>
      <c r="C76" s="51" t="s">
        <v>206</v>
      </c>
      <c r="D76" s="54"/>
      <c r="E76" s="5"/>
      <c r="F76" s="5"/>
      <c r="G76" s="5"/>
      <c r="J76" s="5"/>
      <c r="M76" s="5"/>
      <c r="N76" s="5"/>
      <c r="P76" s="5"/>
    </row>
    <row r="77" spans="1:16" ht="13">
      <c r="A77" s="48" t="s">
        <v>1741</v>
      </c>
      <c r="B77" s="49" t="s">
        <v>1742</v>
      </c>
      <c r="C77" s="51" t="s">
        <v>1013</v>
      </c>
      <c r="D77" s="54"/>
      <c r="E77" s="5"/>
      <c r="F77" s="5"/>
      <c r="G77" s="5"/>
      <c r="J77" s="5"/>
      <c r="M77" s="5"/>
      <c r="N77" s="5"/>
      <c r="P77" s="5"/>
    </row>
    <row r="78" spans="1:16" ht="13">
      <c r="A78" s="48" t="s">
        <v>1743</v>
      </c>
      <c r="B78" s="49" t="s">
        <v>1023</v>
      </c>
      <c r="C78" s="51" t="s">
        <v>912</v>
      </c>
      <c r="D78" s="54"/>
      <c r="E78" s="5"/>
      <c r="F78" s="5"/>
      <c r="G78" s="5"/>
      <c r="J78" s="5"/>
      <c r="M78" s="5"/>
      <c r="N78" s="5"/>
      <c r="P78" s="5"/>
    </row>
    <row r="79" spans="1:16" ht="13">
      <c r="A79" s="48" t="s">
        <v>1744</v>
      </c>
      <c r="B79" s="49" t="s">
        <v>1745</v>
      </c>
      <c r="C79" s="51" t="s">
        <v>206</v>
      </c>
      <c r="D79" s="51"/>
      <c r="E79" s="5"/>
      <c r="F79" s="5"/>
      <c r="G79" s="5"/>
      <c r="J79" s="5"/>
      <c r="M79" s="5"/>
      <c r="N79" s="5"/>
      <c r="P79" s="5"/>
    </row>
    <row r="80" spans="1:16" ht="13">
      <c r="A80" s="48" t="s">
        <v>1746</v>
      </c>
      <c r="B80" s="49" t="s">
        <v>1747</v>
      </c>
      <c r="C80" s="51" t="s">
        <v>912</v>
      </c>
      <c r="D80" s="54"/>
      <c r="E80" s="5"/>
      <c r="F80" s="5"/>
      <c r="G80" s="5"/>
      <c r="J80" s="5"/>
      <c r="M80" s="5"/>
      <c r="N80" s="5"/>
      <c r="P80" s="5"/>
    </row>
    <row r="81" spans="1:16" ht="13">
      <c r="A81" s="48" t="s">
        <v>1748</v>
      </c>
      <c r="B81" s="49" t="s">
        <v>1749</v>
      </c>
      <c r="C81" s="51" t="s">
        <v>1013</v>
      </c>
      <c r="D81" s="54"/>
      <c r="E81" s="5"/>
      <c r="F81" s="5"/>
      <c r="G81" s="5"/>
      <c r="J81" s="5"/>
      <c r="M81" s="5"/>
      <c r="N81" s="5"/>
      <c r="P81" s="5"/>
    </row>
    <row r="82" spans="1:16" ht="13">
      <c r="A82" s="48" t="s">
        <v>1750</v>
      </c>
      <c r="B82" s="49" t="s">
        <v>1751</v>
      </c>
      <c r="C82" s="51" t="s">
        <v>229</v>
      </c>
      <c r="D82" s="54"/>
      <c r="E82" s="5"/>
      <c r="F82" s="5"/>
      <c r="G82" s="5"/>
      <c r="J82" s="5"/>
      <c r="M82" s="5"/>
      <c r="N82" s="5"/>
      <c r="P82" s="5"/>
    </row>
    <row r="83" spans="1:16" ht="13">
      <c r="A83" s="48" t="s">
        <v>1752</v>
      </c>
      <c r="B83" s="49" t="s">
        <v>1753</v>
      </c>
      <c r="C83" s="51" t="s">
        <v>1019</v>
      </c>
      <c r="D83" s="54"/>
      <c r="E83" s="51"/>
      <c r="F83" s="5"/>
      <c r="G83" s="5"/>
      <c r="J83" s="5"/>
      <c r="M83" s="5"/>
      <c r="N83" s="5"/>
      <c r="P83" s="5"/>
    </row>
    <row r="84" spans="1:16" ht="13">
      <c r="A84" s="48" t="s">
        <v>1754</v>
      </c>
      <c r="B84" s="49" t="s">
        <v>1755</v>
      </c>
      <c r="C84" s="51" t="s">
        <v>206</v>
      </c>
      <c r="D84" s="51"/>
      <c r="E84" s="51"/>
      <c r="F84" s="5"/>
      <c r="G84" s="5"/>
      <c r="J84" s="5"/>
      <c r="M84" s="5"/>
      <c r="N84" s="5"/>
      <c r="P84" s="5"/>
    </row>
    <row r="85" spans="1:16" ht="13">
      <c r="A85" s="48" t="s">
        <v>1756</v>
      </c>
      <c r="B85" s="49" t="s">
        <v>1757</v>
      </c>
      <c r="C85" s="51" t="s">
        <v>912</v>
      </c>
      <c r="D85" s="54"/>
      <c r="E85" s="51"/>
      <c r="F85" s="5"/>
      <c r="G85" s="5"/>
      <c r="J85" s="5"/>
      <c r="M85" s="5"/>
      <c r="N85" s="5"/>
      <c r="P85" s="5"/>
    </row>
    <row r="86" spans="1:16" ht="13">
      <c r="A86" s="48" t="s">
        <v>1758</v>
      </c>
      <c r="B86" s="49" t="s">
        <v>1759</v>
      </c>
      <c r="C86" s="51" t="s">
        <v>1013</v>
      </c>
      <c r="D86" s="51"/>
      <c r="E86" s="5"/>
      <c r="F86" s="5"/>
      <c r="G86" s="5"/>
      <c r="J86" s="5"/>
      <c r="M86" s="5"/>
      <c r="N86" s="5"/>
      <c r="P86" s="5"/>
    </row>
    <row r="87" spans="1:16" ht="13">
      <c r="A87" s="48" t="s">
        <v>1760</v>
      </c>
      <c r="B87" s="49" t="s">
        <v>1761</v>
      </c>
      <c r="C87" s="51" t="s">
        <v>229</v>
      </c>
      <c r="D87" s="51"/>
      <c r="E87" s="5"/>
      <c r="F87" s="5"/>
      <c r="G87" s="5"/>
      <c r="J87" s="5"/>
      <c r="M87" s="5"/>
      <c r="N87" s="5"/>
      <c r="P87" s="5"/>
    </row>
    <row r="88" spans="1:16" ht="13">
      <c r="A88" s="48" t="s">
        <v>1762</v>
      </c>
      <c r="B88" s="49" t="s">
        <v>1763</v>
      </c>
      <c r="C88" s="51" t="s">
        <v>1019</v>
      </c>
      <c r="D88" s="51"/>
      <c r="E88" s="5"/>
      <c r="F88" s="5"/>
      <c r="G88" s="5"/>
      <c r="J88" s="5"/>
      <c r="M88" s="5"/>
      <c r="N88" s="5"/>
      <c r="P88" s="5"/>
    </row>
    <row r="89" spans="1:16" ht="13">
      <c r="A89" s="48" t="s">
        <v>1764</v>
      </c>
      <c r="B89" s="49" t="s">
        <v>660</v>
      </c>
      <c r="C89" s="51" t="s">
        <v>206</v>
      </c>
      <c r="D89" s="54"/>
      <c r="E89" s="5"/>
      <c r="F89" s="5"/>
      <c r="G89" s="5"/>
      <c r="J89" s="5"/>
      <c r="M89" s="5"/>
      <c r="N89" s="5"/>
      <c r="P89" s="5"/>
    </row>
    <row r="90" spans="1:16" ht="13">
      <c r="A90" s="48" t="s">
        <v>1765</v>
      </c>
      <c r="B90" s="49" t="s">
        <v>1766</v>
      </c>
      <c r="C90" s="51" t="s">
        <v>317</v>
      </c>
      <c r="D90" s="51"/>
      <c r="E90" s="5"/>
      <c r="F90" s="5"/>
      <c r="G90" s="5"/>
      <c r="J90" s="5"/>
      <c r="M90" s="5"/>
      <c r="N90" s="5"/>
      <c r="P90" s="5"/>
    </row>
    <row r="91" spans="1:16" ht="13">
      <c r="A91" s="48" t="s">
        <v>1767</v>
      </c>
      <c r="B91" s="49" t="s">
        <v>1768</v>
      </c>
      <c r="C91" s="51" t="s">
        <v>317</v>
      </c>
      <c r="D91" s="54"/>
      <c r="E91" s="5"/>
      <c r="F91" s="5"/>
      <c r="G91" s="5"/>
      <c r="J91" s="5"/>
      <c r="M91" s="5"/>
      <c r="N91" s="5"/>
      <c r="P91" s="5"/>
    </row>
    <row r="92" spans="1:16" ht="13">
      <c r="A92" s="48" t="s">
        <v>1769</v>
      </c>
      <c r="B92" s="49" t="s">
        <v>1770</v>
      </c>
      <c r="C92" s="51" t="s">
        <v>317</v>
      </c>
      <c r="D92" s="51"/>
      <c r="E92" s="5"/>
      <c r="F92" s="5"/>
      <c r="G92" s="5"/>
      <c r="J92" s="5"/>
      <c r="M92" s="5"/>
      <c r="N92" s="5"/>
      <c r="P92" s="5"/>
    </row>
    <row r="93" spans="1:16" ht="13">
      <c r="A93" s="48" t="s">
        <v>1771</v>
      </c>
      <c r="B93" s="49" t="s">
        <v>1772</v>
      </c>
      <c r="C93" s="51" t="s">
        <v>199</v>
      </c>
      <c r="D93" s="54"/>
      <c r="E93" s="5"/>
      <c r="F93" s="5"/>
      <c r="G93" s="5"/>
      <c r="J93" s="5"/>
      <c r="M93" s="5"/>
      <c r="N93" s="5"/>
      <c r="P93" s="5"/>
    </row>
    <row r="94" spans="1:16" ht="13">
      <c r="A94" s="48" t="s">
        <v>1773</v>
      </c>
      <c r="B94" s="49" t="s">
        <v>1774</v>
      </c>
      <c r="C94" s="51" t="s">
        <v>205</v>
      </c>
      <c r="D94" s="54"/>
      <c r="E94" s="5"/>
      <c r="F94" s="5"/>
      <c r="G94" s="5"/>
      <c r="J94" s="5"/>
      <c r="M94" s="5"/>
      <c r="N94" s="5"/>
      <c r="P94" s="5"/>
    </row>
    <row r="95" spans="1:16" ht="13">
      <c r="A95" s="48" t="s">
        <v>1775</v>
      </c>
      <c r="B95" s="49" t="s">
        <v>1776</v>
      </c>
      <c r="C95" s="51" t="s">
        <v>199</v>
      </c>
      <c r="D95" s="54"/>
      <c r="E95" s="51"/>
      <c r="F95" s="5"/>
      <c r="G95" s="5"/>
      <c r="J95" s="5"/>
      <c r="M95" s="5"/>
      <c r="N95" s="5"/>
      <c r="P95" s="5"/>
    </row>
    <row r="96" spans="1:16" ht="13">
      <c r="A96" s="48" t="s">
        <v>1777</v>
      </c>
      <c r="B96" s="49" t="s">
        <v>1778</v>
      </c>
      <c r="C96" s="51" t="s">
        <v>192</v>
      </c>
      <c r="D96" s="54"/>
      <c r="E96" s="5"/>
      <c r="F96" s="5"/>
      <c r="G96" s="5"/>
      <c r="J96" s="5"/>
      <c r="M96" s="5"/>
      <c r="N96" s="5"/>
      <c r="P96" s="5"/>
    </row>
    <row r="97" spans="1:16" ht="13">
      <c r="A97" s="48" t="s">
        <v>1779</v>
      </c>
      <c r="B97" s="49" t="s">
        <v>1780</v>
      </c>
      <c r="C97" s="51" t="s">
        <v>205</v>
      </c>
      <c r="D97" s="54"/>
      <c r="E97" s="5"/>
      <c r="F97" s="5"/>
      <c r="G97" s="5"/>
      <c r="J97" s="5"/>
      <c r="M97" s="5"/>
      <c r="N97" s="5"/>
      <c r="P97" s="5"/>
    </row>
    <row r="98" spans="1:16" ht="13">
      <c r="A98" s="48" t="s">
        <v>1781</v>
      </c>
      <c r="B98" s="49" t="s">
        <v>1782</v>
      </c>
      <c r="C98" s="51" t="s">
        <v>208</v>
      </c>
      <c r="D98" s="54"/>
      <c r="E98" s="5"/>
      <c r="F98" s="5"/>
      <c r="G98" s="5"/>
      <c r="J98" s="5"/>
      <c r="M98" s="5"/>
      <c r="N98" s="5"/>
      <c r="P98" s="5"/>
    </row>
    <row r="99" spans="1:16" ht="13">
      <c r="A99" s="48" t="s">
        <v>1783</v>
      </c>
      <c r="B99" s="49" t="s">
        <v>1784</v>
      </c>
      <c r="C99" s="51" t="s">
        <v>225</v>
      </c>
      <c r="D99" s="54"/>
      <c r="E99" s="5"/>
      <c r="F99" s="5"/>
      <c r="G99" s="5"/>
      <c r="J99" s="5"/>
      <c r="M99" s="5"/>
      <c r="N99" s="5"/>
      <c r="P99" s="5"/>
    </row>
    <row r="100" spans="1:16" ht="13">
      <c r="A100" s="48" t="s">
        <v>1785</v>
      </c>
      <c r="B100" s="49" t="s">
        <v>1491</v>
      </c>
      <c r="C100" s="51" t="s">
        <v>808</v>
      </c>
      <c r="D100" s="54"/>
      <c r="E100" s="5"/>
      <c r="F100" s="5"/>
      <c r="G100" s="5"/>
      <c r="J100" s="5"/>
      <c r="M100" s="5"/>
      <c r="N100" s="5"/>
      <c r="P100" s="5"/>
    </row>
    <row r="101" spans="1:16" ht="13">
      <c r="A101" s="48" t="s">
        <v>1786</v>
      </c>
      <c r="B101" s="49" t="s">
        <v>1196</v>
      </c>
      <c r="C101" s="51" t="s">
        <v>195</v>
      </c>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600-000000000000}"/>
    <hyperlink ref="B6" r:id="rId2" xr:uid="{00000000-0004-0000-1600-000001000000}"/>
    <hyperlink ref="B7" r:id="rId3" xr:uid="{00000000-0004-0000-1600-000002000000}"/>
    <hyperlink ref="B8" r:id="rId4" xr:uid="{00000000-0004-0000-1600-000003000000}"/>
    <hyperlink ref="B9" r:id="rId5" xr:uid="{00000000-0004-0000-1600-000004000000}"/>
    <hyperlink ref="B10" r:id="rId6" xr:uid="{00000000-0004-0000-1600-000005000000}"/>
    <hyperlink ref="B11" r:id="rId7" xr:uid="{00000000-0004-0000-1600-000006000000}"/>
    <hyperlink ref="B12" r:id="rId8" xr:uid="{00000000-0004-0000-1600-000007000000}"/>
    <hyperlink ref="B13" r:id="rId9" xr:uid="{00000000-0004-0000-1600-000008000000}"/>
    <hyperlink ref="B14" r:id="rId10" xr:uid="{00000000-0004-0000-1600-000009000000}"/>
    <hyperlink ref="B15" r:id="rId11" xr:uid="{00000000-0004-0000-1600-00000A000000}"/>
    <hyperlink ref="B16" r:id="rId12" xr:uid="{00000000-0004-0000-1600-00000B000000}"/>
    <hyperlink ref="B17" r:id="rId13" xr:uid="{00000000-0004-0000-1600-00000C000000}"/>
    <hyperlink ref="B18" r:id="rId14" xr:uid="{00000000-0004-0000-1600-00000D000000}"/>
    <hyperlink ref="B19" r:id="rId15" xr:uid="{00000000-0004-0000-1600-00000E000000}"/>
    <hyperlink ref="B20" r:id="rId16" xr:uid="{00000000-0004-0000-1600-00000F000000}"/>
    <hyperlink ref="B21" r:id="rId17" xr:uid="{00000000-0004-0000-1600-000010000000}"/>
    <hyperlink ref="B22" r:id="rId18" xr:uid="{00000000-0004-0000-1600-000011000000}"/>
    <hyperlink ref="B23" r:id="rId19" xr:uid="{00000000-0004-0000-1600-000012000000}"/>
    <hyperlink ref="B24" r:id="rId20" xr:uid="{00000000-0004-0000-1600-000013000000}"/>
    <hyperlink ref="B25" r:id="rId21" xr:uid="{00000000-0004-0000-1600-000014000000}"/>
    <hyperlink ref="B26" r:id="rId22" xr:uid="{00000000-0004-0000-1600-000015000000}"/>
    <hyperlink ref="B27" r:id="rId23" xr:uid="{00000000-0004-0000-1600-000016000000}"/>
    <hyperlink ref="B28" r:id="rId24" xr:uid="{00000000-0004-0000-1600-000017000000}"/>
    <hyperlink ref="B29" r:id="rId25" xr:uid="{00000000-0004-0000-1600-000018000000}"/>
    <hyperlink ref="B30" r:id="rId26" xr:uid="{00000000-0004-0000-1600-000019000000}"/>
    <hyperlink ref="B31" r:id="rId27" xr:uid="{00000000-0004-0000-1600-00001A000000}"/>
    <hyperlink ref="B32" r:id="rId28" xr:uid="{00000000-0004-0000-1600-00001B000000}"/>
    <hyperlink ref="B33" r:id="rId29" xr:uid="{00000000-0004-0000-1600-00001C000000}"/>
    <hyperlink ref="B34" r:id="rId30" xr:uid="{00000000-0004-0000-1600-00001D000000}"/>
    <hyperlink ref="B35" r:id="rId31" xr:uid="{00000000-0004-0000-1600-00001E000000}"/>
    <hyperlink ref="B36" r:id="rId32" xr:uid="{00000000-0004-0000-1600-00001F000000}"/>
    <hyperlink ref="B37" r:id="rId33" xr:uid="{00000000-0004-0000-1600-000020000000}"/>
    <hyperlink ref="B38" r:id="rId34" xr:uid="{00000000-0004-0000-1600-000021000000}"/>
    <hyperlink ref="B39" r:id="rId35" xr:uid="{00000000-0004-0000-1600-000022000000}"/>
    <hyperlink ref="B40" r:id="rId36" xr:uid="{00000000-0004-0000-1600-000023000000}"/>
    <hyperlink ref="B41" r:id="rId37" xr:uid="{00000000-0004-0000-1600-000024000000}"/>
    <hyperlink ref="B42" r:id="rId38" xr:uid="{00000000-0004-0000-1600-000025000000}"/>
    <hyperlink ref="B43" r:id="rId39" xr:uid="{00000000-0004-0000-1600-000026000000}"/>
    <hyperlink ref="B44" r:id="rId40" xr:uid="{00000000-0004-0000-1600-000027000000}"/>
    <hyperlink ref="B45" r:id="rId41" xr:uid="{00000000-0004-0000-1600-000028000000}"/>
    <hyperlink ref="B46" r:id="rId42" xr:uid="{00000000-0004-0000-1600-000029000000}"/>
    <hyperlink ref="B47" r:id="rId43" xr:uid="{00000000-0004-0000-1600-00002A000000}"/>
    <hyperlink ref="B48" r:id="rId44" xr:uid="{00000000-0004-0000-1600-00002B000000}"/>
    <hyperlink ref="B49" r:id="rId45" xr:uid="{00000000-0004-0000-1600-00002C000000}"/>
    <hyperlink ref="B50" r:id="rId46" xr:uid="{00000000-0004-0000-1600-00002D000000}"/>
    <hyperlink ref="B51" r:id="rId47" xr:uid="{00000000-0004-0000-1600-00002E000000}"/>
    <hyperlink ref="B52" r:id="rId48" xr:uid="{00000000-0004-0000-1600-00002F000000}"/>
    <hyperlink ref="B53" r:id="rId49" xr:uid="{00000000-0004-0000-1600-000030000000}"/>
    <hyperlink ref="B54" r:id="rId50" xr:uid="{00000000-0004-0000-1600-000031000000}"/>
    <hyperlink ref="B55" r:id="rId51" xr:uid="{00000000-0004-0000-1600-000032000000}"/>
    <hyperlink ref="B56" r:id="rId52" xr:uid="{00000000-0004-0000-1600-000033000000}"/>
    <hyperlink ref="B57" r:id="rId53" xr:uid="{00000000-0004-0000-1600-000034000000}"/>
    <hyperlink ref="B58" r:id="rId54" xr:uid="{00000000-0004-0000-1600-000035000000}"/>
    <hyperlink ref="B59" r:id="rId55" xr:uid="{00000000-0004-0000-1600-000036000000}"/>
    <hyperlink ref="B60" r:id="rId56" xr:uid="{00000000-0004-0000-1600-000037000000}"/>
    <hyperlink ref="B61" r:id="rId57" xr:uid="{00000000-0004-0000-1600-000038000000}"/>
    <hyperlink ref="B62" r:id="rId58" xr:uid="{00000000-0004-0000-1600-000039000000}"/>
    <hyperlink ref="B63" r:id="rId59" xr:uid="{00000000-0004-0000-1600-00003A000000}"/>
    <hyperlink ref="B64" r:id="rId60" xr:uid="{00000000-0004-0000-1600-00003B000000}"/>
    <hyperlink ref="B65" r:id="rId61" xr:uid="{00000000-0004-0000-1600-00003C000000}"/>
    <hyperlink ref="B66" r:id="rId62" xr:uid="{00000000-0004-0000-1600-00003D000000}"/>
    <hyperlink ref="B67" r:id="rId63" xr:uid="{00000000-0004-0000-1600-00003E000000}"/>
    <hyperlink ref="B68" r:id="rId64" xr:uid="{00000000-0004-0000-1600-00003F000000}"/>
    <hyperlink ref="B69" r:id="rId65" xr:uid="{00000000-0004-0000-1600-000040000000}"/>
    <hyperlink ref="B70" r:id="rId66" xr:uid="{00000000-0004-0000-1600-000041000000}"/>
    <hyperlink ref="B71" r:id="rId67" xr:uid="{00000000-0004-0000-1600-000042000000}"/>
    <hyperlink ref="B72" r:id="rId68" xr:uid="{00000000-0004-0000-1600-000043000000}"/>
    <hyperlink ref="B73" r:id="rId69" xr:uid="{00000000-0004-0000-1600-000044000000}"/>
    <hyperlink ref="B74" r:id="rId70" xr:uid="{00000000-0004-0000-1600-000045000000}"/>
    <hyperlink ref="B75" r:id="rId71" xr:uid="{00000000-0004-0000-1600-000046000000}"/>
    <hyperlink ref="B76" r:id="rId72" xr:uid="{00000000-0004-0000-1600-000047000000}"/>
    <hyperlink ref="B77" r:id="rId73" xr:uid="{00000000-0004-0000-1600-000048000000}"/>
    <hyperlink ref="B78" r:id="rId74" xr:uid="{00000000-0004-0000-1600-000049000000}"/>
    <hyperlink ref="B79" r:id="rId75" xr:uid="{00000000-0004-0000-1600-00004A000000}"/>
    <hyperlink ref="B80" r:id="rId76" xr:uid="{00000000-0004-0000-1600-00004B000000}"/>
    <hyperlink ref="B81" r:id="rId77" xr:uid="{00000000-0004-0000-1600-00004C000000}"/>
    <hyperlink ref="B82" r:id="rId78" xr:uid="{00000000-0004-0000-1600-00004D000000}"/>
    <hyperlink ref="B83" r:id="rId79" xr:uid="{00000000-0004-0000-1600-00004E000000}"/>
    <hyperlink ref="B84" r:id="rId80" xr:uid="{00000000-0004-0000-1600-00004F000000}"/>
    <hyperlink ref="B85" r:id="rId81" xr:uid="{00000000-0004-0000-1600-000050000000}"/>
    <hyperlink ref="B86" r:id="rId82" xr:uid="{00000000-0004-0000-1600-000051000000}"/>
    <hyperlink ref="B87" r:id="rId83" xr:uid="{00000000-0004-0000-1600-000052000000}"/>
    <hyperlink ref="B88" r:id="rId84" xr:uid="{00000000-0004-0000-1600-000053000000}"/>
    <hyperlink ref="B89" r:id="rId85" xr:uid="{00000000-0004-0000-1600-000054000000}"/>
    <hyperlink ref="B90" r:id="rId86" xr:uid="{00000000-0004-0000-1600-000055000000}"/>
    <hyperlink ref="B91" r:id="rId87" xr:uid="{00000000-0004-0000-1600-000056000000}"/>
    <hyperlink ref="B92" r:id="rId88" xr:uid="{00000000-0004-0000-1600-000057000000}"/>
    <hyperlink ref="B93" r:id="rId89" xr:uid="{00000000-0004-0000-1600-000058000000}"/>
    <hyperlink ref="B94" r:id="rId90" xr:uid="{00000000-0004-0000-1600-000059000000}"/>
    <hyperlink ref="B95" r:id="rId91" xr:uid="{00000000-0004-0000-1600-00005A000000}"/>
    <hyperlink ref="B96" r:id="rId92" xr:uid="{00000000-0004-0000-1600-00005B000000}"/>
    <hyperlink ref="B97" r:id="rId93" xr:uid="{00000000-0004-0000-1600-00005C000000}"/>
    <hyperlink ref="B98" r:id="rId94" xr:uid="{00000000-0004-0000-1600-00005D000000}"/>
    <hyperlink ref="B99" r:id="rId95" xr:uid="{00000000-0004-0000-1600-00005E000000}"/>
    <hyperlink ref="B100" r:id="rId96" xr:uid="{00000000-0004-0000-1600-00005F000000}"/>
    <hyperlink ref="B101" r:id="rId97" xr:uid="{00000000-0004-0000-1600-00006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2.6640625" customWidth="1"/>
    <col min="3" max="3" width="13.5" customWidth="1"/>
    <col min="4" max="4" width="14.83203125" customWidth="1"/>
    <col min="5" max="5" width="14.33203125" customWidth="1"/>
    <col min="11" max="11" width="13.83203125" customWidth="1"/>
  </cols>
  <sheetData>
    <row r="1" spans="1:23" ht="15.75" customHeight="1">
      <c r="A1" s="1" t="s">
        <v>36</v>
      </c>
      <c r="B1" s="36"/>
      <c r="C1" s="37"/>
      <c r="D1" s="7" t="s">
        <v>181</v>
      </c>
      <c r="E1" s="5"/>
      <c r="F1" s="5"/>
      <c r="G1" s="5"/>
      <c r="K1" s="1"/>
      <c r="M1" s="5"/>
      <c r="N1" s="5"/>
      <c r="S1" s="1"/>
      <c r="U1" s="5"/>
    </row>
    <row r="2" spans="1:23" ht="15.75" customHeight="1">
      <c r="A2" s="7" t="s">
        <v>182</v>
      </c>
      <c r="B2" s="38">
        <v>38139</v>
      </c>
      <c r="C2" s="37"/>
      <c r="D2" s="39">
        <f>SUM(D5:G22)</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43475</v>
      </c>
      <c r="B5" s="49" t="s">
        <v>1526</v>
      </c>
      <c r="C5" s="51" t="s">
        <v>197</v>
      </c>
      <c r="D5" s="51"/>
      <c r="E5" s="5"/>
      <c r="F5" s="5"/>
      <c r="G5" s="5"/>
      <c r="L5" s="43"/>
      <c r="M5" s="43"/>
      <c r="N5" s="42"/>
      <c r="O5" s="44"/>
      <c r="S5" s="42"/>
      <c r="T5" s="43"/>
      <c r="U5" s="43"/>
      <c r="V5" s="42"/>
      <c r="W5" s="44"/>
    </row>
    <row r="6" spans="1:23" ht="15.75" customHeight="1">
      <c r="A6" s="52">
        <v>43506</v>
      </c>
      <c r="B6" s="49" t="s">
        <v>1191</v>
      </c>
      <c r="C6" s="51" t="s">
        <v>199</v>
      </c>
      <c r="D6" s="51"/>
      <c r="E6" s="5"/>
      <c r="F6" s="5"/>
      <c r="G6" s="5"/>
      <c r="L6" s="50"/>
      <c r="M6" s="51"/>
      <c r="N6" s="5"/>
      <c r="S6" s="52"/>
      <c r="T6" s="50"/>
      <c r="U6" s="51"/>
    </row>
    <row r="7" spans="1:23" ht="15.75" customHeight="1">
      <c r="A7" s="52">
        <v>43534</v>
      </c>
      <c r="B7" s="49" t="s">
        <v>1216</v>
      </c>
      <c r="C7" s="51" t="s">
        <v>197</v>
      </c>
      <c r="D7" s="51"/>
      <c r="E7" s="5"/>
      <c r="F7" s="5"/>
      <c r="G7" s="5"/>
      <c r="K7" s="52"/>
      <c r="L7" s="50"/>
      <c r="M7" s="51"/>
      <c r="N7" s="5"/>
      <c r="S7" s="52"/>
      <c r="T7" s="50"/>
      <c r="U7" s="51"/>
    </row>
    <row r="8" spans="1:23" ht="15.75" customHeight="1">
      <c r="A8" s="52">
        <v>43565</v>
      </c>
      <c r="B8" s="49" t="s">
        <v>1193</v>
      </c>
      <c r="C8" s="51" t="s">
        <v>197</v>
      </c>
      <c r="D8" s="51"/>
      <c r="E8" s="5"/>
      <c r="F8" s="5"/>
      <c r="G8" s="5"/>
      <c r="K8" s="52"/>
      <c r="L8" s="50"/>
      <c r="M8" s="51"/>
      <c r="N8" s="51"/>
      <c r="S8" s="52"/>
      <c r="T8" s="50"/>
      <c r="U8" s="51"/>
    </row>
    <row r="9" spans="1:23" ht="15.75" customHeight="1">
      <c r="A9" s="52">
        <v>43595</v>
      </c>
      <c r="B9" s="49" t="s">
        <v>1300</v>
      </c>
      <c r="C9" s="51" t="s">
        <v>199</v>
      </c>
      <c r="D9" s="51"/>
      <c r="E9" s="5"/>
      <c r="F9" s="5"/>
      <c r="G9" s="5"/>
      <c r="K9" s="52"/>
      <c r="L9" s="50"/>
      <c r="M9" s="51"/>
      <c r="N9" s="51"/>
      <c r="S9" s="52"/>
      <c r="T9" s="50"/>
      <c r="U9" s="51"/>
    </row>
    <row r="10" spans="1:23" ht="15.75" customHeight="1">
      <c r="A10" s="52">
        <v>43626</v>
      </c>
      <c r="B10" s="49" t="s">
        <v>1276</v>
      </c>
      <c r="C10" s="51" t="s">
        <v>197</v>
      </c>
      <c r="D10" s="51"/>
      <c r="E10" s="5"/>
      <c r="F10" s="5"/>
      <c r="G10" s="5"/>
      <c r="K10" s="52"/>
      <c r="L10" s="50"/>
      <c r="M10" s="51"/>
      <c r="N10" s="5"/>
      <c r="S10" s="52"/>
      <c r="T10" s="50"/>
      <c r="U10" s="51"/>
    </row>
    <row r="11" spans="1:23" ht="15.75" customHeight="1">
      <c r="A11" s="52">
        <v>43656</v>
      </c>
      <c r="B11" s="49" t="s">
        <v>1190</v>
      </c>
      <c r="C11" s="51" t="s">
        <v>199</v>
      </c>
      <c r="D11" s="51"/>
      <c r="E11" s="5"/>
      <c r="F11" s="5"/>
      <c r="G11" s="5"/>
      <c r="K11" s="52"/>
      <c r="L11" s="50"/>
      <c r="M11" s="51"/>
      <c r="N11" s="51"/>
      <c r="S11" s="52"/>
      <c r="T11" s="50"/>
      <c r="U11" s="51"/>
    </row>
    <row r="12" spans="1:23" ht="15.75" customHeight="1">
      <c r="A12" s="52">
        <v>43687</v>
      </c>
      <c r="B12" s="49" t="s">
        <v>314</v>
      </c>
      <c r="C12" s="51" t="s">
        <v>206</v>
      </c>
      <c r="D12" s="51"/>
      <c r="E12" s="5"/>
      <c r="F12" s="5"/>
      <c r="G12" s="5"/>
      <c r="K12" s="52"/>
      <c r="L12" s="50"/>
      <c r="M12" s="51"/>
      <c r="N12" s="51"/>
      <c r="S12" s="52"/>
      <c r="T12" s="50"/>
      <c r="U12" s="51"/>
    </row>
    <row r="13" spans="1:23" ht="15.75" customHeight="1">
      <c r="A13" s="52">
        <v>43718</v>
      </c>
      <c r="B13" s="49" t="s">
        <v>390</v>
      </c>
      <c r="C13" s="51" t="s">
        <v>206</v>
      </c>
      <c r="D13" s="51"/>
      <c r="E13" s="5"/>
      <c r="F13" s="5"/>
      <c r="G13" s="5"/>
      <c r="K13" s="52"/>
      <c r="L13" s="50"/>
      <c r="M13" s="51"/>
      <c r="N13" s="5"/>
      <c r="S13" s="52"/>
      <c r="T13" s="50"/>
      <c r="U13" s="51"/>
    </row>
    <row r="14" spans="1:23" ht="15.75" customHeight="1">
      <c r="A14" s="52">
        <v>43475</v>
      </c>
      <c r="B14" s="49" t="s">
        <v>1257</v>
      </c>
      <c r="C14" s="51" t="s">
        <v>192</v>
      </c>
      <c r="D14" s="51"/>
      <c r="E14" s="5"/>
      <c r="F14" s="5"/>
      <c r="G14" s="5"/>
      <c r="K14" s="52"/>
      <c r="L14" s="50"/>
      <c r="M14" s="51"/>
      <c r="N14" s="51"/>
      <c r="S14" s="52"/>
      <c r="T14" s="50"/>
      <c r="U14" s="51"/>
    </row>
    <row r="15" spans="1:23" ht="15.75" customHeight="1">
      <c r="A15" s="52">
        <v>43506</v>
      </c>
      <c r="B15" s="49" t="s">
        <v>1194</v>
      </c>
      <c r="C15" s="51" t="s">
        <v>197</v>
      </c>
      <c r="D15" s="51"/>
      <c r="E15" s="5"/>
      <c r="F15" s="51"/>
      <c r="G15" s="5"/>
      <c r="K15" s="52"/>
      <c r="L15" s="50"/>
      <c r="M15" s="51"/>
      <c r="N15" s="51"/>
      <c r="S15" s="52"/>
      <c r="T15" s="50"/>
      <c r="U15" s="51"/>
    </row>
    <row r="16" spans="1:23" ht="15.75" customHeight="1">
      <c r="A16" s="52">
        <v>43534</v>
      </c>
      <c r="B16" s="49" t="s">
        <v>1268</v>
      </c>
      <c r="C16" s="51" t="s">
        <v>197</v>
      </c>
      <c r="D16" s="51"/>
      <c r="E16" s="5"/>
      <c r="F16" s="5"/>
      <c r="G16" s="5"/>
      <c r="K16" s="52"/>
      <c r="L16" s="50"/>
      <c r="M16" s="51"/>
      <c r="N16" s="51"/>
      <c r="S16" s="52"/>
      <c r="T16" s="50"/>
      <c r="U16" s="51"/>
    </row>
    <row r="17" spans="1:27" ht="15.75" customHeight="1">
      <c r="A17" s="52">
        <v>43565</v>
      </c>
      <c r="B17" s="49" t="s">
        <v>285</v>
      </c>
      <c r="C17" s="51" t="s">
        <v>192</v>
      </c>
      <c r="D17" s="51"/>
      <c r="E17" s="5"/>
      <c r="F17" s="5"/>
      <c r="G17" s="5"/>
      <c r="K17" s="52"/>
      <c r="L17" s="50"/>
      <c r="M17" s="51"/>
      <c r="N17" s="51"/>
      <c r="S17" s="52"/>
      <c r="T17" s="50"/>
      <c r="U17" s="51"/>
    </row>
    <row r="18" spans="1:27" ht="15.75" customHeight="1">
      <c r="A18" s="52">
        <v>43595</v>
      </c>
      <c r="B18" s="49" t="s">
        <v>247</v>
      </c>
      <c r="C18" s="51" t="s">
        <v>192</v>
      </c>
      <c r="D18" s="51"/>
      <c r="E18" s="5"/>
      <c r="F18" s="5"/>
      <c r="G18" s="5"/>
      <c r="M18" s="5"/>
      <c r="N18" s="5"/>
      <c r="U18" s="5"/>
      <c r="AA18" s="5"/>
    </row>
    <row r="19" spans="1:27" ht="15.75" customHeight="1">
      <c r="A19" s="52">
        <v>43626</v>
      </c>
      <c r="B19" s="49" t="s">
        <v>191</v>
      </c>
      <c r="C19" s="51" t="s">
        <v>192</v>
      </c>
      <c r="D19" s="51"/>
      <c r="E19" s="5"/>
      <c r="F19" s="5"/>
      <c r="G19" s="5"/>
      <c r="K19" s="1"/>
      <c r="M19" s="5"/>
      <c r="N19" s="5"/>
      <c r="U19" s="5"/>
      <c r="AA19" s="5"/>
    </row>
    <row r="20" spans="1:27" ht="15.75" customHeight="1">
      <c r="A20" s="52">
        <v>43656</v>
      </c>
      <c r="B20" s="49" t="s">
        <v>1325</v>
      </c>
      <c r="C20" s="51" t="s">
        <v>197</v>
      </c>
      <c r="D20" s="51"/>
      <c r="E20" s="5"/>
      <c r="F20" s="5"/>
      <c r="G20" s="5"/>
      <c r="L20" s="40"/>
      <c r="M20" s="5"/>
      <c r="N20" s="5"/>
      <c r="AA20" s="5"/>
    </row>
    <row r="21" spans="1:27" ht="15.75" customHeight="1">
      <c r="A21" s="52">
        <v>43687</v>
      </c>
      <c r="B21" s="49" t="s">
        <v>314</v>
      </c>
      <c r="C21" s="51" t="s">
        <v>206</v>
      </c>
      <c r="D21" s="51"/>
      <c r="E21" s="5"/>
      <c r="F21" s="5"/>
      <c r="G21" s="5"/>
      <c r="M21" s="5"/>
      <c r="N21" s="5"/>
      <c r="AA21" s="5"/>
    </row>
    <row r="22" spans="1:27" ht="15.75" customHeight="1">
      <c r="A22" s="52">
        <v>43718</v>
      </c>
      <c r="B22" s="49" t="s">
        <v>390</v>
      </c>
      <c r="C22" s="51" t="s">
        <v>206</v>
      </c>
      <c r="D22" s="51"/>
      <c r="E22" s="5"/>
      <c r="F22" s="5"/>
      <c r="G22" s="5"/>
      <c r="K22" s="42"/>
      <c r="L22" s="45"/>
      <c r="M22" s="46"/>
      <c r="N22" s="47"/>
      <c r="AA22" s="5"/>
    </row>
    <row r="23" spans="1:27" ht="15.75" customHeight="1">
      <c r="A23" s="48"/>
      <c r="B23" s="50"/>
      <c r="C23" s="51"/>
      <c r="D23" s="54"/>
      <c r="E23" s="5"/>
      <c r="F23" s="5"/>
      <c r="G23" s="5"/>
      <c r="K23" s="42"/>
      <c r="L23" s="43"/>
      <c r="M23" s="43"/>
      <c r="N23" s="42"/>
      <c r="O23" s="44"/>
      <c r="AA23" s="5"/>
    </row>
    <row r="24" spans="1:27" ht="15.75" customHeight="1">
      <c r="A24" s="48"/>
      <c r="B24" s="50"/>
      <c r="C24" s="51"/>
      <c r="D24" s="54"/>
      <c r="E24" s="5"/>
      <c r="F24" s="5"/>
      <c r="G24" s="5"/>
      <c r="K24" s="52"/>
      <c r="L24" s="50"/>
      <c r="M24" s="51"/>
      <c r="N24" s="5"/>
      <c r="AA24" s="5"/>
    </row>
    <row r="25" spans="1:27" ht="15.75" customHeight="1">
      <c r="A25" s="48"/>
      <c r="B25" s="50"/>
      <c r="C25" s="51"/>
      <c r="D25" s="54"/>
      <c r="E25" s="5"/>
      <c r="F25" s="5"/>
      <c r="G25" s="5"/>
      <c r="K25" s="52"/>
      <c r="L25" s="50"/>
      <c r="M25" s="51"/>
      <c r="N25" s="5"/>
      <c r="AA25" s="5"/>
    </row>
    <row r="26" spans="1:27" ht="15.75" customHeight="1">
      <c r="A26" s="48"/>
      <c r="B26" s="50"/>
      <c r="C26" s="51"/>
      <c r="D26" s="54"/>
      <c r="E26" s="5"/>
      <c r="F26" s="5"/>
      <c r="G26" s="5"/>
      <c r="K26" s="52"/>
      <c r="L26" s="50"/>
      <c r="M26" s="51"/>
      <c r="N26" s="51"/>
      <c r="AA26" s="5"/>
    </row>
    <row r="27" spans="1:27" ht="15.75" customHeight="1">
      <c r="A27" s="48"/>
      <c r="B27" s="50"/>
      <c r="C27" s="51"/>
      <c r="D27" s="54"/>
      <c r="E27" s="5"/>
      <c r="F27" s="51"/>
      <c r="G27" s="5"/>
      <c r="K27" s="52"/>
      <c r="L27" s="50"/>
      <c r="M27" s="51"/>
      <c r="N27" s="51"/>
      <c r="AA27" s="5"/>
    </row>
    <row r="28" spans="1:27" ht="15.75" customHeight="1">
      <c r="A28" s="48"/>
      <c r="B28" s="50"/>
      <c r="C28" s="51"/>
      <c r="D28" s="54"/>
      <c r="E28" s="5"/>
      <c r="F28" s="5"/>
      <c r="G28" s="5"/>
      <c r="J28" s="5"/>
      <c r="K28" s="52"/>
      <c r="L28" s="50"/>
      <c r="M28" s="51"/>
      <c r="N28" s="5"/>
      <c r="P28" s="5"/>
    </row>
    <row r="29" spans="1:27" ht="15.75" customHeight="1">
      <c r="A29" s="48"/>
      <c r="B29" s="50"/>
      <c r="C29" s="51"/>
      <c r="D29" s="54"/>
      <c r="E29" s="5"/>
      <c r="F29" s="5"/>
      <c r="G29" s="5"/>
      <c r="J29" s="5"/>
      <c r="K29" s="52"/>
      <c r="L29" s="50"/>
      <c r="M29" s="51"/>
      <c r="N29" s="51"/>
      <c r="P29" s="5"/>
    </row>
    <row r="30" spans="1:27" ht="15.75" customHeight="1">
      <c r="A30" s="48"/>
      <c r="B30" s="50"/>
      <c r="C30" s="51"/>
      <c r="D30" s="54"/>
      <c r="E30" s="5"/>
      <c r="F30" s="5"/>
      <c r="G30" s="5"/>
      <c r="J30" s="5"/>
      <c r="K30" s="52"/>
      <c r="L30" s="50"/>
      <c r="M30" s="51"/>
      <c r="N30" s="5"/>
      <c r="P30" s="5"/>
    </row>
    <row r="31" spans="1:27" ht="15.75" customHeight="1">
      <c r="A31" s="48"/>
      <c r="B31" s="50"/>
      <c r="C31" s="51"/>
      <c r="D31" s="54"/>
      <c r="E31" s="5"/>
      <c r="F31" s="5"/>
      <c r="G31" s="5"/>
      <c r="J31" s="5"/>
      <c r="K31" s="52"/>
      <c r="L31" s="50"/>
      <c r="M31" s="51"/>
      <c r="N31" s="51"/>
      <c r="P31" s="5"/>
    </row>
    <row r="32" spans="1:27" ht="15.75" customHeight="1">
      <c r="A32" s="48"/>
      <c r="B32" s="50"/>
      <c r="C32" s="51"/>
      <c r="D32" s="54"/>
      <c r="E32" s="5"/>
      <c r="F32" s="5"/>
      <c r="G32" s="5"/>
      <c r="J32" s="5"/>
      <c r="K32" s="52"/>
      <c r="L32" s="50"/>
      <c r="M32" s="51"/>
      <c r="N32" s="5"/>
      <c r="P32" s="5"/>
    </row>
    <row r="33" spans="1:16" ht="15.75" customHeight="1">
      <c r="A33" s="48"/>
      <c r="B33" s="50"/>
      <c r="C33" s="51"/>
      <c r="D33" s="54"/>
      <c r="E33" s="5"/>
      <c r="F33" s="5"/>
      <c r="G33" s="5"/>
      <c r="J33" s="5"/>
      <c r="K33" s="52"/>
      <c r="L33" s="50"/>
      <c r="M33" s="51"/>
      <c r="N33" s="5"/>
      <c r="P33" s="5"/>
    </row>
    <row r="34" spans="1:16" ht="15.75" customHeight="1">
      <c r="A34" s="48"/>
      <c r="B34" s="50"/>
      <c r="C34" s="51"/>
      <c r="D34" s="54"/>
      <c r="E34" s="5"/>
      <c r="F34" s="5"/>
      <c r="G34" s="5"/>
      <c r="J34" s="5"/>
      <c r="K34" s="52"/>
      <c r="L34" s="50"/>
      <c r="M34" s="51"/>
      <c r="N34" s="5"/>
      <c r="P34" s="5"/>
    </row>
    <row r="35" spans="1:16" ht="15.75" customHeight="1">
      <c r="A35" s="48"/>
      <c r="B35" s="50"/>
      <c r="C35" s="51"/>
      <c r="D35" s="54"/>
      <c r="E35" s="5"/>
      <c r="F35" s="5"/>
      <c r="G35" s="5"/>
      <c r="J35" s="5"/>
      <c r="K35" s="52"/>
      <c r="L35" s="50"/>
      <c r="M35" s="51"/>
      <c r="N35" s="51"/>
      <c r="P35" s="5"/>
    </row>
    <row r="36" spans="1:16" ht="15.75" customHeight="1">
      <c r="A36" s="48"/>
      <c r="B36" s="50"/>
      <c r="C36" s="51"/>
      <c r="D36" s="54"/>
      <c r="E36" s="5"/>
      <c r="F36" s="5"/>
      <c r="G36" s="5"/>
      <c r="J36" s="5"/>
      <c r="M36" s="5"/>
      <c r="N36" s="5"/>
      <c r="P36" s="5"/>
    </row>
    <row r="37" spans="1:16" ht="15.75" customHeight="1">
      <c r="A37" s="48"/>
      <c r="B37" s="50"/>
      <c r="C37" s="51"/>
      <c r="D37" s="54"/>
      <c r="E37" s="5"/>
      <c r="F37" s="5"/>
      <c r="G37" s="5"/>
      <c r="J37" s="5"/>
      <c r="M37" s="5"/>
      <c r="N37" s="5"/>
    </row>
    <row r="38" spans="1:16" ht="15.75" customHeight="1">
      <c r="A38" s="48"/>
      <c r="B38" s="50"/>
      <c r="C38" s="51"/>
      <c r="D38" s="54"/>
      <c r="E38" s="5"/>
      <c r="F38" s="5"/>
      <c r="G38" s="5"/>
      <c r="J38" s="5"/>
      <c r="M38" s="51"/>
      <c r="N38" s="51"/>
    </row>
    <row r="39" spans="1:16" ht="15.75" customHeight="1">
      <c r="A39" s="48"/>
      <c r="B39" s="50"/>
      <c r="C39" s="51"/>
      <c r="D39" s="54"/>
      <c r="E39" s="5"/>
      <c r="F39" s="5"/>
      <c r="G39" s="5"/>
      <c r="J39" s="5"/>
      <c r="M39" s="51"/>
      <c r="N39" s="51"/>
    </row>
    <row r="40" spans="1:16" ht="15.75" customHeight="1">
      <c r="A40" s="48"/>
      <c r="B40" s="50"/>
      <c r="C40" s="51"/>
      <c r="D40" s="54"/>
      <c r="E40" s="5"/>
      <c r="F40" s="5"/>
      <c r="G40" s="5"/>
      <c r="J40" s="5"/>
      <c r="M40" s="51"/>
      <c r="N40" s="51"/>
    </row>
    <row r="41" spans="1:16" ht="15.75" customHeight="1">
      <c r="A41" s="48"/>
      <c r="B41" s="50"/>
      <c r="C41" s="51"/>
      <c r="D41" s="54"/>
      <c r="E41" s="5"/>
      <c r="F41" s="5"/>
      <c r="G41" s="5"/>
      <c r="J41" s="5"/>
      <c r="M41" s="51"/>
      <c r="N41" s="51"/>
    </row>
    <row r="42" spans="1:16" ht="15.75" customHeight="1">
      <c r="A42" s="48"/>
      <c r="B42" s="50"/>
      <c r="C42" s="51"/>
      <c r="D42" s="54"/>
      <c r="E42" s="5"/>
      <c r="F42" s="5"/>
      <c r="G42" s="5"/>
      <c r="J42" s="5"/>
      <c r="M42" s="51"/>
      <c r="N42" s="51"/>
    </row>
    <row r="43" spans="1:16" ht="15.75" customHeight="1">
      <c r="A43" s="48"/>
      <c r="B43" s="50"/>
      <c r="C43" s="51"/>
      <c r="D43" s="54"/>
      <c r="E43" s="5"/>
      <c r="F43" s="5"/>
      <c r="G43" s="5"/>
      <c r="J43" s="5"/>
      <c r="M43" s="51"/>
      <c r="N43" s="51"/>
    </row>
    <row r="44" spans="1:16" ht="15.75" customHeight="1">
      <c r="A44" s="48"/>
      <c r="B44" s="50"/>
      <c r="C44" s="51"/>
      <c r="D44" s="54"/>
      <c r="E44" s="5"/>
      <c r="F44" s="5"/>
      <c r="G44" s="5"/>
      <c r="J44" s="5"/>
      <c r="M44" s="51"/>
      <c r="N44" s="51"/>
    </row>
    <row r="45" spans="1:16" ht="15.75" customHeight="1">
      <c r="A45" s="48"/>
      <c r="B45" s="50"/>
      <c r="C45" s="51"/>
      <c r="D45" s="54"/>
      <c r="E45" s="5"/>
      <c r="F45" s="5"/>
      <c r="G45" s="5"/>
      <c r="J45" s="5"/>
      <c r="M45" s="51"/>
      <c r="N45" s="51"/>
      <c r="P45" s="5"/>
    </row>
    <row r="46" spans="1:16" ht="15.75" customHeight="1">
      <c r="A46" s="48"/>
      <c r="B46" s="50"/>
      <c r="C46" s="51"/>
      <c r="D46" s="54"/>
      <c r="E46" s="5"/>
      <c r="F46" s="5"/>
      <c r="G46" s="5"/>
      <c r="J46" s="5"/>
      <c r="M46" s="51"/>
      <c r="N46" s="51"/>
      <c r="P46" s="5"/>
    </row>
    <row r="47" spans="1:16" ht="15.75" customHeight="1">
      <c r="A47" s="48"/>
      <c r="B47" s="50"/>
      <c r="C47" s="51"/>
      <c r="D47" s="54"/>
      <c r="E47" s="5"/>
      <c r="F47" s="5"/>
      <c r="G47" s="5"/>
      <c r="J47" s="5"/>
      <c r="M47" s="5"/>
      <c r="N47" s="5"/>
      <c r="P47" s="5"/>
    </row>
    <row r="48" spans="1:16" ht="15.75" customHeight="1">
      <c r="A48" s="48"/>
      <c r="B48" s="50"/>
      <c r="C48" s="51"/>
      <c r="D48" s="54"/>
      <c r="E48" s="5"/>
      <c r="F48" s="5"/>
      <c r="G48" s="5"/>
      <c r="J48" s="5"/>
      <c r="M48" s="5"/>
      <c r="N48" s="5"/>
      <c r="P48" s="5"/>
    </row>
    <row r="49" spans="1:16" ht="15.75" customHeight="1">
      <c r="A49" s="48"/>
      <c r="B49" s="50"/>
      <c r="C49" s="51"/>
      <c r="D49" s="54"/>
      <c r="E49" s="5"/>
      <c r="F49" s="5"/>
      <c r="G49" s="5"/>
      <c r="J49" s="5"/>
      <c r="M49" s="5"/>
      <c r="N49" s="5"/>
      <c r="P49" s="5"/>
    </row>
    <row r="50" spans="1:16" ht="15.75" customHeight="1">
      <c r="A50" s="48"/>
      <c r="B50" s="50"/>
      <c r="C50" s="51"/>
      <c r="D50" s="54"/>
      <c r="E50" s="5"/>
      <c r="F50" s="5"/>
      <c r="G50" s="5"/>
      <c r="J50" s="5"/>
      <c r="M50" s="5"/>
      <c r="N50" s="5"/>
      <c r="P50" s="5"/>
    </row>
    <row r="51" spans="1:16" ht="15.75" customHeight="1">
      <c r="A51" s="48"/>
      <c r="B51" s="50"/>
      <c r="C51" s="51"/>
      <c r="D51" s="54"/>
      <c r="E51" s="5"/>
      <c r="F51" s="5"/>
      <c r="G51" s="5"/>
      <c r="J51" s="5"/>
      <c r="M51" s="5"/>
      <c r="N51" s="5"/>
      <c r="P51" s="5"/>
    </row>
    <row r="52" spans="1:16" ht="15.75" customHeight="1">
      <c r="A52" s="48"/>
      <c r="B52" s="50"/>
      <c r="C52" s="51"/>
      <c r="D52" s="54"/>
      <c r="E52" s="5"/>
      <c r="F52" s="5"/>
      <c r="G52" s="5"/>
      <c r="J52" s="5"/>
      <c r="M52" s="5"/>
      <c r="N52" s="5"/>
      <c r="P52" s="5"/>
    </row>
    <row r="53" spans="1:16" ht="13">
      <c r="A53" s="48"/>
      <c r="B53" s="50"/>
      <c r="C53" s="51"/>
      <c r="D53" s="54"/>
      <c r="E53" s="5"/>
      <c r="F53" s="5"/>
      <c r="G53" s="5"/>
      <c r="J53" s="5"/>
      <c r="M53" s="5"/>
      <c r="N53" s="5"/>
      <c r="P53" s="5"/>
    </row>
    <row r="54" spans="1:16" ht="13">
      <c r="A54" s="48"/>
      <c r="B54" s="50"/>
      <c r="C54" s="51"/>
      <c r="D54" s="54"/>
      <c r="E54" s="5"/>
      <c r="F54" s="5"/>
      <c r="G54" s="5"/>
      <c r="J54" s="5"/>
      <c r="M54" s="5"/>
      <c r="N54" s="5"/>
      <c r="P54" s="5"/>
    </row>
    <row r="55" spans="1:16" ht="13">
      <c r="A55" s="48"/>
      <c r="B55" s="50"/>
      <c r="C55" s="51"/>
      <c r="D55" s="54"/>
      <c r="E55" s="5"/>
      <c r="F55" s="5"/>
      <c r="G55" s="5"/>
      <c r="J55" s="5"/>
      <c r="M55" s="5"/>
      <c r="N55" s="5"/>
      <c r="P55" s="5"/>
    </row>
    <row r="56" spans="1:16" ht="13">
      <c r="A56" s="48"/>
      <c r="B56" s="50"/>
      <c r="C56" s="51"/>
      <c r="D56" s="54"/>
      <c r="E56" s="5"/>
      <c r="F56" s="5"/>
      <c r="G56" s="5"/>
      <c r="J56" s="5"/>
      <c r="M56" s="5"/>
      <c r="N56" s="5"/>
      <c r="P56" s="5"/>
    </row>
    <row r="57" spans="1:16" ht="13">
      <c r="A57" s="48"/>
      <c r="B57" s="50"/>
      <c r="C57" s="51"/>
      <c r="D57" s="54"/>
      <c r="E57" s="5"/>
      <c r="F57" s="5"/>
      <c r="G57" s="5"/>
      <c r="J57" s="5"/>
      <c r="M57" s="5"/>
      <c r="N57" s="5"/>
      <c r="P57" s="5"/>
    </row>
    <row r="58" spans="1:16" ht="13">
      <c r="A58" s="48"/>
      <c r="B58" s="50"/>
      <c r="C58" s="51"/>
      <c r="D58" s="54"/>
      <c r="E58" s="5"/>
      <c r="F58" s="5"/>
      <c r="G58" s="5"/>
      <c r="J58" s="5"/>
      <c r="M58" s="5"/>
      <c r="N58" s="5"/>
      <c r="P58" s="5"/>
    </row>
    <row r="59" spans="1:16" ht="13">
      <c r="A59" s="48"/>
      <c r="B59" s="50"/>
      <c r="C59" s="51"/>
      <c r="D59" s="54"/>
      <c r="E59" s="5"/>
      <c r="F59" s="5"/>
      <c r="G59" s="5"/>
      <c r="J59" s="5"/>
      <c r="M59" s="5"/>
      <c r="N59" s="5"/>
      <c r="P59" s="5"/>
    </row>
    <row r="60" spans="1:16" ht="13">
      <c r="A60" s="48"/>
      <c r="B60" s="50"/>
      <c r="C60" s="51"/>
      <c r="D60" s="54"/>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1"/>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700-000000000000}"/>
    <hyperlink ref="B6" r:id="rId2" xr:uid="{00000000-0004-0000-1700-000001000000}"/>
    <hyperlink ref="B7" r:id="rId3" xr:uid="{00000000-0004-0000-1700-000002000000}"/>
    <hyperlink ref="B8" r:id="rId4" xr:uid="{00000000-0004-0000-1700-000003000000}"/>
    <hyperlink ref="B9" r:id="rId5" xr:uid="{00000000-0004-0000-1700-000004000000}"/>
    <hyperlink ref="B10" r:id="rId6" xr:uid="{00000000-0004-0000-1700-000005000000}"/>
    <hyperlink ref="B11" r:id="rId7" xr:uid="{00000000-0004-0000-1700-000006000000}"/>
    <hyperlink ref="B12" r:id="rId8" xr:uid="{00000000-0004-0000-1700-000007000000}"/>
    <hyperlink ref="B13" r:id="rId9" xr:uid="{00000000-0004-0000-1700-000008000000}"/>
    <hyperlink ref="B14" r:id="rId10" xr:uid="{00000000-0004-0000-1700-000009000000}"/>
    <hyperlink ref="B15" r:id="rId11" xr:uid="{00000000-0004-0000-1700-00000A000000}"/>
    <hyperlink ref="B16" r:id="rId12" xr:uid="{00000000-0004-0000-1700-00000B000000}"/>
    <hyperlink ref="B17" r:id="rId13" xr:uid="{00000000-0004-0000-1700-00000C000000}"/>
    <hyperlink ref="B18" r:id="rId14" xr:uid="{00000000-0004-0000-1700-00000D000000}"/>
    <hyperlink ref="B19" r:id="rId15" xr:uid="{00000000-0004-0000-1700-00000E000000}"/>
    <hyperlink ref="B20" r:id="rId16" xr:uid="{00000000-0004-0000-1700-00000F000000}"/>
    <hyperlink ref="B21" r:id="rId17" xr:uid="{00000000-0004-0000-1700-000010000000}"/>
    <hyperlink ref="B22" r:id="rId18" xr:uid="{00000000-0004-0000-1700-000011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5.83203125" customWidth="1"/>
    <col min="3" max="3" width="13.5" customWidth="1"/>
    <col min="4" max="4" width="14.83203125" customWidth="1"/>
    <col min="5" max="5" width="14.33203125" customWidth="1"/>
    <col min="11" max="11" width="13.83203125" customWidth="1"/>
  </cols>
  <sheetData>
    <row r="1" spans="1:23" ht="15.75" customHeight="1">
      <c r="A1" s="1" t="s">
        <v>40</v>
      </c>
      <c r="B1" s="36"/>
      <c r="C1" s="37"/>
      <c r="D1" s="7" t="s">
        <v>181</v>
      </c>
      <c r="E1" s="5"/>
      <c r="F1" s="5"/>
      <c r="G1" s="5"/>
      <c r="K1" s="1"/>
      <c r="M1" s="5"/>
      <c r="N1" s="5"/>
      <c r="S1" s="1"/>
      <c r="U1" s="5"/>
    </row>
    <row r="2" spans="1:23" ht="15.75" customHeight="1">
      <c r="A2" s="7" t="s">
        <v>182</v>
      </c>
      <c r="B2" s="38">
        <v>38152</v>
      </c>
      <c r="C2" s="37"/>
      <c r="D2" s="39">
        <f>SUM(D5:G106)</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1787</v>
      </c>
      <c r="B5" s="49" t="s">
        <v>1788</v>
      </c>
      <c r="C5" s="51" t="s">
        <v>195</v>
      </c>
      <c r="D5" s="54"/>
      <c r="E5" s="5"/>
      <c r="F5" s="5"/>
      <c r="G5" s="5"/>
      <c r="L5" s="43"/>
      <c r="M5" s="43"/>
      <c r="N5" s="42"/>
      <c r="O5" s="44"/>
      <c r="S5" s="42"/>
      <c r="T5" s="43"/>
      <c r="U5" s="43"/>
      <c r="V5" s="42"/>
      <c r="W5" s="44"/>
    </row>
    <row r="6" spans="1:23" ht="15.75" customHeight="1">
      <c r="A6" s="48" t="s">
        <v>1789</v>
      </c>
      <c r="B6" s="49" t="s">
        <v>1790</v>
      </c>
      <c r="C6" s="51" t="s">
        <v>195</v>
      </c>
      <c r="D6" s="54"/>
      <c r="E6" s="5"/>
      <c r="F6" s="5"/>
      <c r="G6" s="5"/>
      <c r="L6" s="50"/>
      <c r="M6" s="51"/>
      <c r="N6" s="5"/>
      <c r="S6" s="52"/>
      <c r="T6" s="50"/>
      <c r="U6" s="51"/>
    </row>
    <row r="7" spans="1:23" ht="15.75" customHeight="1">
      <c r="A7" s="48" t="s">
        <v>1791</v>
      </c>
      <c r="B7" s="49" t="s">
        <v>969</v>
      </c>
      <c r="C7" s="51" t="s">
        <v>205</v>
      </c>
      <c r="D7" s="54"/>
      <c r="E7" s="5"/>
      <c r="F7" s="5"/>
      <c r="G7" s="5"/>
      <c r="K7" s="52"/>
      <c r="L7" s="50"/>
      <c r="M7" s="51"/>
      <c r="N7" s="5"/>
      <c r="S7" s="52"/>
      <c r="T7" s="50"/>
      <c r="U7" s="51"/>
    </row>
    <row r="8" spans="1:23" ht="15.75" customHeight="1">
      <c r="A8" s="48" t="s">
        <v>1792</v>
      </c>
      <c r="B8" s="49" t="s">
        <v>1793</v>
      </c>
      <c r="C8" s="51" t="s">
        <v>1629</v>
      </c>
      <c r="D8" s="54"/>
      <c r="E8" s="5"/>
      <c r="F8" s="5"/>
      <c r="G8" s="5"/>
      <c r="K8" s="52"/>
      <c r="L8" s="50"/>
      <c r="M8" s="51"/>
      <c r="N8" s="51"/>
      <c r="S8" s="52"/>
      <c r="T8" s="50"/>
      <c r="U8" s="51"/>
    </row>
    <row r="9" spans="1:23" ht="15.75" customHeight="1">
      <c r="A9" s="48" t="s">
        <v>1794</v>
      </c>
      <c r="B9" s="49" t="s">
        <v>256</v>
      </c>
      <c r="C9" s="51" t="s">
        <v>192</v>
      </c>
      <c r="D9" s="54"/>
      <c r="E9" s="5"/>
      <c r="F9" s="5"/>
      <c r="G9" s="5"/>
      <c r="K9" s="52"/>
      <c r="L9" s="50"/>
      <c r="M9" s="51"/>
      <c r="N9" s="51"/>
      <c r="S9" s="52"/>
      <c r="T9" s="50"/>
      <c r="U9" s="51"/>
    </row>
    <row r="10" spans="1:23" ht="15.75" customHeight="1">
      <c r="A10" s="48" t="s">
        <v>1795</v>
      </c>
      <c r="B10" s="49" t="s">
        <v>1796</v>
      </c>
      <c r="C10" s="51" t="s">
        <v>197</v>
      </c>
      <c r="D10" s="54"/>
      <c r="E10" s="5"/>
      <c r="F10" s="51"/>
      <c r="G10" s="5"/>
      <c r="K10" s="52"/>
      <c r="L10" s="50"/>
      <c r="M10" s="51"/>
      <c r="N10" s="5"/>
      <c r="S10" s="52"/>
      <c r="T10" s="50"/>
      <c r="U10" s="51"/>
    </row>
    <row r="11" spans="1:23" ht="15.75" customHeight="1">
      <c r="A11" s="48" t="s">
        <v>1797</v>
      </c>
      <c r="B11" s="49" t="s">
        <v>775</v>
      </c>
      <c r="C11" s="51" t="s">
        <v>205</v>
      </c>
      <c r="D11" s="54"/>
      <c r="E11" s="5"/>
      <c r="F11" s="5"/>
      <c r="G11" s="5"/>
      <c r="K11" s="52"/>
      <c r="L11" s="50"/>
      <c r="M11" s="51"/>
      <c r="N11" s="51"/>
      <c r="S11" s="52"/>
      <c r="T11" s="50"/>
      <c r="U11" s="51"/>
    </row>
    <row r="12" spans="1:23" ht="15.75" customHeight="1">
      <c r="A12" s="48" t="s">
        <v>1798</v>
      </c>
      <c r="B12" s="49" t="s">
        <v>1196</v>
      </c>
      <c r="C12" s="51" t="s">
        <v>1799</v>
      </c>
      <c r="D12" s="54"/>
      <c r="E12" s="5"/>
      <c r="F12" s="5"/>
      <c r="G12" s="5"/>
      <c r="K12" s="52"/>
      <c r="L12" s="50"/>
      <c r="M12" s="51"/>
      <c r="N12" s="51"/>
      <c r="S12" s="52"/>
      <c r="T12" s="50"/>
      <c r="U12" s="51"/>
    </row>
    <row r="13" spans="1:23" ht="15.75" customHeight="1">
      <c r="A13" s="48" t="s">
        <v>1800</v>
      </c>
      <c r="B13" s="49" t="s">
        <v>230</v>
      </c>
      <c r="C13" s="51" t="s">
        <v>225</v>
      </c>
      <c r="D13" s="54"/>
      <c r="E13" s="5"/>
      <c r="F13" s="5"/>
      <c r="G13" s="5"/>
      <c r="K13" s="52"/>
      <c r="L13" s="50"/>
      <c r="M13" s="51"/>
      <c r="N13" s="5"/>
      <c r="S13" s="52"/>
      <c r="T13" s="50"/>
      <c r="U13" s="51"/>
    </row>
    <row r="14" spans="1:23" ht="15.75" customHeight="1">
      <c r="A14" s="48" t="s">
        <v>1801</v>
      </c>
      <c r="B14" s="49" t="s">
        <v>1802</v>
      </c>
      <c r="C14" s="51" t="s">
        <v>225</v>
      </c>
      <c r="D14" s="54"/>
      <c r="E14" s="5"/>
      <c r="F14" s="5"/>
      <c r="G14" s="5"/>
      <c r="K14" s="52"/>
      <c r="L14" s="50"/>
      <c r="M14" s="51"/>
      <c r="N14" s="51"/>
      <c r="S14" s="52"/>
      <c r="T14" s="50"/>
      <c r="U14" s="51"/>
    </row>
    <row r="15" spans="1:23" ht="15.75" customHeight="1">
      <c r="A15" s="48" t="s">
        <v>1803</v>
      </c>
      <c r="B15" s="49" t="s">
        <v>1804</v>
      </c>
      <c r="C15" s="51" t="s">
        <v>1799</v>
      </c>
      <c r="D15" s="54"/>
      <c r="E15" s="5"/>
      <c r="F15" s="51"/>
      <c r="G15" s="5"/>
      <c r="K15" s="52"/>
      <c r="L15" s="50"/>
      <c r="M15" s="51"/>
      <c r="N15" s="51"/>
      <c r="S15" s="52"/>
      <c r="T15" s="50"/>
      <c r="U15" s="51"/>
    </row>
    <row r="16" spans="1:23" ht="15.75" customHeight="1">
      <c r="A16" s="48" t="s">
        <v>1805</v>
      </c>
      <c r="B16" s="49" t="s">
        <v>1806</v>
      </c>
      <c r="C16" s="51" t="s">
        <v>208</v>
      </c>
      <c r="D16" s="54"/>
      <c r="E16" s="5"/>
      <c r="F16" s="5"/>
      <c r="G16" s="5"/>
      <c r="K16" s="52"/>
      <c r="L16" s="50"/>
      <c r="M16" s="51"/>
      <c r="N16" s="51"/>
      <c r="S16" s="52"/>
      <c r="T16" s="50"/>
      <c r="U16" s="51"/>
    </row>
    <row r="17" spans="1:27" ht="15.75" customHeight="1">
      <c r="A17" s="48" t="s">
        <v>1807</v>
      </c>
      <c r="B17" s="49" t="s">
        <v>325</v>
      </c>
      <c r="C17" s="51" t="s">
        <v>205</v>
      </c>
      <c r="D17" s="54"/>
      <c r="E17" s="5"/>
      <c r="F17" s="5"/>
      <c r="G17" s="5"/>
      <c r="K17" s="52"/>
      <c r="L17" s="50"/>
      <c r="M17" s="51"/>
      <c r="N17" s="51"/>
      <c r="S17" s="52"/>
      <c r="T17" s="50"/>
      <c r="U17" s="51"/>
    </row>
    <row r="18" spans="1:27" ht="15.75" customHeight="1">
      <c r="A18" s="48" t="s">
        <v>1808</v>
      </c>
      <c r="B18" s="49" t="s">
        <v>1374</v>
      </c>
      <c r="C18" s="51" t="s">
        <v>808</v>
      </c>
      <c r="D18" s="54"/>
      <c r="E18" s="5"/>
      <c r="F18" s="5"/>
      <c r="G18" s="5"/>
      <c r="M18" s="5"/>
      <c r="N18" s="5"/>
      <c r="U18" s="5"/>
      <c r="AA18" s="5"/>
    </row>
    <row r="19" spans="1:27" ht="15.75" customHeight="1">
      <c r="A19" s="48" t="s">
        <v>1809</v>
      </c>
      <c r="B19" s="49" t="s">
        <v>1810</v>
      </c>
      <c r="C19" s="51" t="s">
        <v>208</v>
      </c>
      <c r="D19" s="54"/>
      <c r="E19" s="5"/>
      <c r="F19" s="5"/>
      <c r="G19" s="5"/>
      <c r="K19" s="1"/>
      <c r="M19" s="5"/>
      <c r="N19" s="5"/>
      <c r="U19" s="5"/>
      <c r="AA19" s="5"/>
    </row>
    <row r="20" spans="1:27" ht="15.75" customHeight="1">
      <c r="A20" s="48" t="s">
        <v>1811</v>
      </c>
      <c r="B20" s="49" t="s">
        <v>770</v>
      </c>
      <c r="C20" s="51" t="s">
        <v>205</v>
      </c>
      <c r="D20" s="54"/>
      <c r="E20" s="5"/>
      <c r="F20" s="5"/>
      <c r="G20" s="5"/>
      <c r="L20" s="40"/>
      <c r="M20" s="5"/>
      <c r="N20" s="5"/>
      <c r="AA20" s="5"/>
    </row>
    <row r="21" spans="1:27" ht="15.75" customHeight="1">
      <c r="A21" s="48" t="s">
        <v>1812</v>
      </c>
      <c r="B21" s="49" t="s">
        <v>1199</v>
      </c>
      <c r="C21" s="51" t="s">
        <v>195</v>
      </c>
      <c r="D21" s="54"/>
      <c r="E21" s="5"/>
      <c r="F21" s="5"/>
      <c r="G21" s="5"/>
      <c r="M21" s="5"/>
      <c r="N21" s="5"/>
      <c r="AA21" s="5"/>
    </row>
    <row r="22" spans="1:27" ht="15.75" customHeight="1">
      <c r="A22" s="48" t="s">
        <v>1813</v>
      </c>
      <c r="B22" s="49" t="s">
        <v>1814</v>
      </c>
      <c r="C22" s="51" t="s">
        <v>208</v>
      </c>
      <c r="D22" s="51"/>
      <c r="E22" s="5"/>
      <c r="F22" s="5"/>
      <c r="G22" s="5"/>
      <c r="K22" s="42"/>
      <c r="L22" s="45"/>
      <c r="M22" s="46"/>
      <c r="N22" s="47"/>
      <c r="AA22" s="5"/>
    </row>
    <row r="23" spans="1:27" ht="15.75" customHeight="1">
      <c r="A23" s="48" t="s">
        <v>1815</v>
      </c>
      <c r="B23" s="49" t="s">
        <v>1816</v>
      </c>
      <c r="C23" s="51" t="s">
        <v>208</v>
      </c>
      <c r="D23" s="54"/>
      <c r="E23" s="5"/>
      <c r="F23" s="5"/>
      <c r="G23" s="5"/>
      <c r="K23" s="42"/>
      <c r="L23" s="43"/>
      <c r="M23" s="43"/>
      <c r="N23" s="42"/>
      <c r="O23" s="44"/>
      <c r="AA23" s="5"/>
    </row>
    <row r="24" spans="1:27" ht="15.75" customHeight="1">
      <c r="A24" s="48" t="s">
        <v>1817</v>
      </c>
      <c r="B24" s="49" t="s">
        <v>1818</v>
      </c>
      <c r="C24" s="51" t="s">
        <v>205</v>
      </c>
      <c r="D24" s="54"/>
      <c r="E24" s="5"/>
      <c r="F24" s="5"/>
      <c r="G24" s="5"/>
      <c r="K24" s="52"/>
      <c r="L24" s="50"/>
      <c r="M24" s="51"/>
      <c r="N24" s="5"/>
      <c r="AA24" s="5"/>
    </row>
    <row r="25" spans="1:27" ht="15.75" customHeight="1">
      <c r="A25" s="48" t="s">
        <v>1819</v>
      </c>
      <c r="B25" s="49" t="s">
        <v>1198</v>
      </c>
      <c r="C25" s="51" t="s">
        <v>220</v>
      </c>
      <c r="D25" s="54"/>
      <c r="E25" s="5"/>
      <c r="F25" s="5"/>
      <c r="G25" s="5"/>
      <c r="K25" s="52"/>
      <c r="L25" s="50"/>
      <c r="M25" s="51"/>
      <c r="N25" s="5"/>
      <c r="AA25" s="5"/>
    </row>
    <row r="26" spans="1:27" ht="15.75" customHeight="1">
      <c r="A26" s="48" t="s">
        <v>1820</v>
      </c>
      <c r="B26" s="49" t="s">
        <v>249</v>
      </c>
      <c r="C26" s="51" t="s">
        <v>199</v>
      </c>
      <c r="D26" s="54"/>
      <c r="E26" s="5"/>
      <c r="F26" s="5"/>
      <c r="G26" s="5"/>
      <c r="K26" s="52"/>
      <c r="L26" s="50"/>
      <c r="M26" s="51"/>
      <c r="N26" s="51"/>
      <c r="AA26" s="5"/>
    </row>
    <row r="27" spans="1:27" ht="15.75" customHeight="1">
      <c r="A27" s="48" t="s">
        <v>1821</v>
      </c>
      <c r="B27" s="49" t="s">
        <v>1822</v>
      </c>
      <c r="C27" s="51" t="s">
        <v>208</v>
      </c>
      <c r="D27" s="54"/>
      <c r="E27" s="5"/>
      <c r="F27" s="51"/>
      <c r="G27" s="5"/>
      <c r="K27" s="52"/>
      <c r="L27" s="50"/>
      <c r="M27" s="51"/>
      <c r="N27" s="51"/>
      <c r="AA27" s="5"/>
    </row>
    <row r="28" spans="1:27" ht="15.75" customHeight="1">
      <c r="A28" s="48" t="s">
        <v>1823</v>
      </c>
      <c r="B28" s="49" t="s">
        <v>1824</v>
      </c>
      <c r="C28" s="51" t="s">
        <v>208</v>
      </c>
      <c r="D28" s="54"/>
      <c r="E28" s="5"/>
      <c r="F28" s="5"/>
      <c r="G28" s="5"/>
      <c r="J28" s="5"/>
      <c r="K28" s="52"/>
      <c r="L28" s="50"/>
      <c r="M28" s="51"/>
      <c r="N28" s="5"/>
      <c r="P28" s="5"/>
    </row>
    <row r="29" spans="1:27" ht="15.75" customHeight="1">
      <c r="A29" s="48" t="s">
        <v>1825</v>
      </c>
      <c r="B29" s="49" t="s">
        <v>1826</v>
      </c>
      <c r="C29" s="51" t="s">
        <v>208</v>
      </c>
      <c r="D29" s="54"/>
      <c r="E29" s="5"/>
      <c r="F29" s="5"/>
      <c r="G29" s="5"/>
      <c r="J29" s="5"/>
      <c r="K29" s="52"/>
      <c r="L29" s="50"/>
      <c r="M29" s="51"/>
      <c r="N29" s="51"/>
      <c r="P29" s="5"/>
    </row>
    <row r="30" spans="1:27" ht="15.75" customHeight="1">
      <c r="A30" s="48" t="s">
        <v>1827</v>
      </c>
      <c r="B30" s="49" t="s">
        <v>1828</v>
      </c>
      <c r="C30" s="51" t="s">
        <v>199</v>
      </c>
      <c r="D30" s="54"/>
      <c r="E30" s="5"/>
      <c r="F30" s="5"/>
      <c r="G30" s="5"/>
      <c r="J30" s="5"/>
      <c r="K30" s="52"/>
      <c r="L30" s="50"/>
      <c r="M30" s="51"/>
      <c r="N30" s="5"/>
      <c r="P30" s="5"/>
    </row>
    <row r="31" spans="1:27" ht="15.75" customHeight="1">
      <c r="A31" s="48" t="s">
        <v>1829</v>
      </c>
      <c r="B31" s="49" t="s">
        <v>1830</v>
      </c>
      <c r="C31" s="51" t="s">
        <v>205</v>
      </c>
      <c r="D31" s="54"/>
      <c r="E31" s="5"/>
      <c r="F31" s="5"/>
      <c r="G31" s="5"/>
      <c r="J31" s="5"/>
      <c r="K31" s="52"/>
      <c r="L31" s="50"/>
      <c r="M31" s="51"/>
      <c r="N31" s="51"/>
      <c r="P31" s="5"/>
    </row>
    <row r="32" spans="1:27" ht="15.75" customHeight="1">
      <c r="A32" s="48" t="s">
        <v>1831</v>
      </c>
      <c r="B32" s="49" t="s">
        <v>1197</v>
      </c>
      <c r="C32" s="51" t="s">
        <v>220</v>
      </c>
      <c r="D32" s="54"/>
      <c r="E32" s="5"/>
      <c r="F32" s="5"/>
      <c r="G32" s="5"/>
      <c r="J32" s="5"/>
      <c r="K32" s="52"/>
      <c r="L32" s="50"/>
      <c r="M32" s="51"/>
      <c r="N32" s="5"/>
      <c r="P32" s="5"/>
    </row>
    <row r="33" spans="1:16" ht="15.75" customHeight="1">
      <c r="A33" s="48" t="s">
        <v>1832</v>
      </c>
      <c r="B33" s="49" t="s">
        <v>1197</v>
      </c>
      <c r="C33" s="51" t="s">
        <v>220</v>
      </c>
      <c r="D33" s="54"/>
      <c r="E33" s="5"/>
      <c r="F33" s="5"/>
      <c r="G33" s="5"/>
      <c r="J33" s="5"/>
      <c r="K33" s="52"/>
      <c r="L33" s="50"/>
      <c r="M33" s="51"/>
      <c r="N33" s="5"/>
      <c r="P33" s="5"/>
    </row>
    <row r="34" spans="1:16" ht="15.75" customHeight="1">
      <c r="A34" s="48" t="s">
        <v>1833</v>
      </c>
      <c r="B34" s="49" t="s">
        <v>1834</v>
      </c>
      <c r="C34" s="51" t="s">
        <v>197</v>
      </c>
      <c r="D34" s="54"/>
      <c r="E34" s="5"/>
      <c r="F34" s="5"/>
      <c r="G34" s="5"/>
      <c r="J34" s="5"/>
      <c r="K34" s="52"/>
      <c r="L34" s="50"/>
      <c r="M34" s="51"/>
      <c r="N34" s="5"/>
      <c r="P34" s="5"/>
    </row>
    <row r="35" spans="1:16" ht="15.75" customHeight="1">
      <c r="A35" s="48" t="s">
        <v>1835</v>
      </c>
      <c r="B35" s="49" t="s">
        <v>1790</v>
      </c>
      <c r="C35" s="51" t="s">
        <v>225</v>
      </c>
      <c r="D35" s="54"/>
      <c r="E35" s="5"/>
      <c r="F35" s="5"/>
      <c r="G35" s="5"/>
      <c r="J35" s="5"/>
      <c r="K35" s="52"/>
      <c r="L35" s="50"/>
      <c r="M35" s="51"/>
      <c r="N35" s="51"/>
      <c r="P35" s="5"/>
    </row>
    <row r="36" spans="1:16" ht="15.75" customHeight="1">
      <c r="A36" s="48" t="s">
        <v>1836</v>
      </c>
      <c r="B36" s="49" t="s">
        <v>947</v>
      </c>
      <c r="C36" s="51" t="s">
        <v>208</v>
      </c>
      <c r="D36" s="54"/>
      <c r="E36" s="5"/>
      <c r="F36" s="5"/>
      <c r="G36" s="5"/>
      <c r="J36" s="5"/>
      <c r="M36" s="5"/>
      <c r="N36" s="5"/>
      <c r="P36" s="5"/>
    </row>
    <row r="37" spans="1:16" ht="15.75" customHeight="1">
      <c r="A37" s="48" t="s">
        <v>1837</v>
      </c>
      <c r="B37" s="49" t="s">
        <v>332</v>
      </c>
      <c r="C37" s="51" t="s">
        <v>197</v>
      </c>
      <c r="D37" s="54"/>
      <c r="E37" s="5"/>
      <c r="F37" s="5"/>
      <c r="G37" s="5"/>
      <c r="J37" s="5"/>
      <c r="M37" s="5"/>
      <c r="N37" s="5"/>
    </row>
    <row r="38" spans="1:16" ht="15.75" customHeight="1">
      <c r="A38" s="48" t="s">
        <v>1838</v>
      </c>
      <c r="B38" s="49" t="s">
        <v>1839</v>
      </c>
      <c r="C38" s="51" t="s">
        <v>208</v>
      </c>
      <c r="D38" s="51"/>
      <c r="E38" s="5"/>
      <c r="F38" s="5"/>
      <c r="G38" s="5"/>
      <c r="J38" s="5"/>
      <c r="M38" s="51"/>
      <c r="N38" s="51"/>
    </row>
    <row r="39" spans="1:16" ht="15.75" customHeight="1">
      <c r="A39" s="48" t="s">
        <v>1840</v>
      </c>
      <c r="B39" s="49" t="s">
        <v>335</v>
      </c>
      <c r="C39" s="51" t="s">
        <v>205</v>
      </c>
      <c r="D39" s="54"/>
      <c r="E39" s="5"/>
      <c r="F39" s="5"/>
      <c r="G39" s="5"/>
      <c r="J39" s="5"/>
      <c r="M39" s="51"/>
      <c r="N39" s="51"/>
    </row>
    <row r="40" spans="1:16" ht="15.75" customHeight="1">
      <c r="A40" s="48" t="s">
        <v>1841</v>
      </c>
      <c r="B40" s="49" t="s">
        <v>368</v>
      </c>
      <c r="C40" s="51" t="s">
        <v>205</v>
      </c>
      <c r="D40" s="54"/>
      <c r="E40" s="5"/>
      <c r="F40" s="5"/>
      <c r="G40" s="5"/>
      <c r="J40" s="5"/>
      <c r="M40" s="51"/>
      <c r="N40" s="51"/>
    </row>
    <row r="41" spans="1:16" ht="15.75" customHeight="1">
      <c r="A41" s="48" t="s">
        <v>1842</v>
      </c>
      <c r="B41" s="49" t="s">
        <v>223</v>
      </c>
      <c r="C41" s="51" t="s">
        <v>197</v>
      </c>
      <c r="D41" s="54"/>
      <c r="E41" s="5"/>
      <c r="F41" s="5"/>
      <c r="G41" s="5"/>
      <c r="J41" s="5"/>
      <c r="M41" s="51"/>
      <c r="N41" s="51"/>
    </row>
    <row r="42" spans="1:16" ht="15.75" customHeight="1">
      <c r="A42" s="48" t="s">
        <v>1843</v>
      </c>
      <c r="B42" s="49" t="s">
        <v>831</v>
      </c>
      <c r="C42" s="51" t="s">
        <v>192</v>
      </c>
      <c r="D42" s="51"/>
      <c r="E42" s="5"/>
      <c r="F42" s="5"/>
      <c r="G42" s="5"/>
      <c r="J42" s="5"/>
      <c r="M42" s="51"/>
      <c r="N42" s="51"/>
    </row>
    <row r="43" spans="1:16" ht="15.75" customHeight="1">
      <c r="A43" s="48" t="s">
        <v>1844</v>
      </c>
      <c r="B43" s="49" t="s">
        <v>1845</v>
      </c>
      <c r="C43" s="51" t="s">
        <v>197</v>
      </c>
      <c r="D43" s="54"/>
      <c r="E43" s="5"/>
      <c r="F43" s="5"/>
      <c r="G43" s="5"/>
      <c r="J43" s="5"/>
      <c r="M43" s="51"/>
      <c r="N43" s="51"/>
    </row>
    <row r="44" spans="1:16" ht="15.75" customHeight="1">
      <c r="A44" s="48" t="s">
        <v>1846</v>
      </c>
      <c r="B44" s="49" t="s">
        <v>1847</v>
      </c>
      <c r="C44" s="51" t="s">
        <v>208</v>
      </c>
      <c r="D44" s="51"/>
      <c r="E44" s="5"/>
      <c r="F44" s="5"/>
      <c r="G44" s="5"/>
      <c r="J44" s="5"/>
      <c r="M44" s="51"/>
      <c r="N44" s="51"/>
    </row>
    <row r="45" spans="1:16" ht="15.75" customHeight="1">
      <c r="A45" s="48" t="s">
        <v>1848</v>
      </c>
      <c r="B45" s="49" t="s">
        <v>267</v>
      </c>
      <c r="C45" s="51" t="s">
        <v>225</v>
      </c>
      <c r="D45" s="54"/>
      <c r="E45" s="5"/>
      <c r="F45" s="5"/>
      <c r="G45" s="5"/>
      <c r="J45" s="5"/>
      <c r="M45" s="51"/>
      <c r="N45" s="51"/>
      <c r="P45" s="5"/>
    </row>
    <row r="46" spans="1:16" ht="15.75" customHeight="1">
      <c r="A46" s="48" t="s">
        <v>1849</v>
      </c>
      <c r="B46" s="49" t="s">
        <v>1802</v>
      </c>
      <c r="C46" s="51" t="s">
        <v>225</v>
      </c>
      <c r="D46" s="54"/>
      <c r="E46" s="5"/>
      <c r="F46" s="5"/>
      <c r="G46" s="5"/>
      <c r="J46" s="5"/>
      <c r="M46" s="51"/>
      <c r="N46" s="51"/>
      <c r="P46" s="5"/>
    </row>
    <row r="47" spans="1:16" ht="15.75" customHeight="1">
      <c r="A47" s="48" t="s">
        <v>1850</v>
      </c>
      <c r="B47" s="49" t="s">
        <v>1198</v>
      </c>
      <c r="C47" s="51" t="s">
        <v>195</v>
      </c>
      <c r="D47" s="54"/>
      <c r="E47" s="5"/>
      <c r="F47" s="5"/>
      <c r="G47" s="5"/>
      <c r="J47" s="5"/>
      <c r="M47" s="5"/>
      <c r="N47" s="5"/>
      <c r="P47" s="5"/>
    </row>
    <row r="48" spans="1:16" ht="15.75" customHeight="1">
      <c r="A48" s="48" t="s">
        <v>1851</v>
      </c>
      <c r="B48" s="49" t="s">
        <v>1198</v>
      </c>
      <c r="C48" s="51" t="s">
        <v>220</v>
      </c>
      <c r="D48" s="54"/>
      <c r="E48" s="5"/>
      <c r="F48" s="5"/>
      <c r="G48" s="5"/>
      <c r="J48" s="5"/>
      <c r="M48" s="5"/>
      <c r="N48" s="5"/>
      <c r="P48" s="5"/>
    </row>
    <row r="49" spans="1:16" ht="15.75" customHeight="1">
      <c r="A49" s="48" t="s">
        <v>1852</v>
      </c>
      <c r="B49" s="49" t="s">
        <v>1420</v>
      </c>
      <c r="C49" s="51" t="s">
        <v>808</v>
      </c>
      <c r="D49" s="54"/>
      <c r="E49" s="5"/>
      <c r="F49" s="5"/>
      <c r="G49" s="5"/>
      <c r="J49" s="5"/>
      <c r="M49" s="5"/>
      <c r="N49" s="5"/>
      <c r="P49" s="5"/>
    </row>
    <row r="50" spans="1:16" ht="15.75" customHeight="1">
      <c r="A50" s="48" t="s">
        <v>1853</v>
      </c>
      <c r="B50" s="49" t="s">
        <v>342</v>
      </c>
      <c r="C50" s="51" t="s">
        <v>225</v>
      </c>
      <c r="D50" s="54"/>
      <c r="E50" s="5"/>
      <c r="F50" s="5"/>
      <c r="G50" s="5"/>
      <c r="J50" s="5"/>
      <c r="M50" s="5"/>
      <c r="N50" s="5"/>
      <c r="P50" s="5"/>
    </row>
    <row r="51" spans="1:16" ht="15.75" customHeight="1">
      <c r="A51" s="48" t="s">
        <v>1854</v>
      </c>
      <c r="B51" s="49" t="s">
        <v>1855</v>
      </c>
      <c r="C51" s="51" t="s">
        <v>208</v>
      </c>
      <c r="D51" s="54"/>
      <c r="E51" s="5"/>
      <c r="F51" s="5"/>
      <c r="G51" s="5"/>
      <c r="J51" s="5"/>
      <c r="M51" s="5"/>
      <c r="N51" s="5"/>
      <c r="P51" s="5"/>
    </row>
    <row r="52" spans="1:16" ht="15.75" customHeight="1">
      <c r="A52" s="48" t="s">
        <v>1856</v>
      </c>
      <c r="B52" s="49" t="s">
        <v>1857</v>
      </c>
      <c r="C52" s="51" t="s">
        <v>197</v>
      </c>
      <c r="D52" s="54"/>
      <c r="E52" s="5"/>
      <c r="F52" s="5"/>
      <c r="G52" s="5"/>
      <c r="J52" s="5"/>
      <c r="M52" s="5"/>
      <c r="N52" s="5"/>
      <c r="P52" s="5"/>
    </row>
    <row r="53" spans="1:16" ht="13">
      <c r="A53" s="48" t="s">
        <v>1858</v>
      </c>
      <c r="B53" s="49" t="s">
        <v>295</v>
      </c>
      <c r="C53" s="51" t="s">
        <v>195</v>
      </c>
      <c r="D53" s="54"/>
      <c r="E53" s="5"/>
      <c r="F53" s="5"/>
      <c r="G53" s="5"/>
      <c r="J53" s="5"/>
      <c r="M53" s="5"/>
      <c r="N53" s="5"/>
      <c r="P53" s="5"/>
    </row>
    <row r="54" spans="1:16" ht="13">
      <c r="A54" s="48" t="s">
        <v>1859</v>
      </c>
      <c r="B54" s="49" t="s">
        <v>1860</v>
      </c>
      <c r="C54" s="51" t="s">
        <v>205</v>
      </c>
      <c r="D54" s="51"/>
      <c r="E54" s="5"/>
      <c r="F54" s="5"/>
      <c r="G54" s="5"/>
      <c r="J54" s="5"/>
      <c r="M54" s="5"/>
      <c r="N54" s="5"/>
      <c r="P54" s="5"/>
    </row>
    <row r="55" spans="1:16" ht="13">
      <c r="A55" s="48" t="s">
        <v>1861</v>
      </c>
      <c r="B55" s="49" t="s">
        <v>377</v>
      </c>
      <c r="C55" s="51" t="s">
        <v>208</v>
      </c>
      <c r="D55" s="54"/>
      <c r="E55" s="5"/>
      <c r="F55" s="5"/>
      <c r="G55" s="5"/>
      <c r="J55" s="5"/>
      <c r="M55" s="5"/>
      <c r="N55" s="5"/>
      <c r="P55" s="5"/>
    </row>
    <row r="56" spans="1:16" ht="13">
      <c r="A56" s="48" t="s">
        <v>1862</v>
      </c>
      <c r="B56" s="49" t="s">
        <v>1400</v>
      </c>
      <c r="C56" s="51" t="s">
        <v>195</v>
      </c>
      <c r="D56" s="54"/>
      <c r="E56" s="5"/>
      <c r="F56" s="5"/>
      <c r="G56" s="5"/>
      <c r="J56" s="5"/>
      <c r="M56" s="5"/>
      <c r="N56" s="5"/>
      <c r="P56" s="5"/>
    </row>
    <row r="57" spans="1:16" ht="13">
      <c r="A57" s="48" t="s">
        <v>1863</v>
      </c>
      <c r="B57" s="49" t="s">
        <v>1400</v>
      </c>
      <c r="C57" s="51" t="s">
        <v>225</v>
      </c>
      <c r="D57" s="51"/>
      <c r="E57" s="5"/>
      <c r="F57" s="5"/>
      <c r="G57" s="5"/>
      <c r="J57" s="5"/>
      <c r="M57" s="5"/>
      <c r="N57" s="5"/>
      <c r="P57" s="5"/>
    </row>
    <row r="58" spans="1:16" ht="13">
      <c r="A58" s="48" t="s">
        <v>1864</v>
      </c>
      <c r="B58" s="49" t="s">
        <v>1197</v>
      </c>
      <c r="C58" s="51" t="s">
        <v>195</v>
      </c>
      <c r="D58" s="51"/>
      <c r="E58" s="5"/>
      <c r="F58" s="5"/>
      <c r="G58" s="5"/>
      <c r="J58" s="5"/>
      <c r="M58" s="5"/>
      <c r="N58" s="5"/>
      <c r="P58" s="5"/>
    </row>
    <row r="59" spans="1:16" ht="13">
      <c r="A59" s="48" t="s">
        <v>1865</v>
      </c>
      <c r="B59" s="49" t="s">
        <v>857</v>
      </c>
      <c r="C59" s="51" t="s">
        <v>205</v>
      </c>
      <c r="D59" s="54"/>
      <c r="E59" s="5"/>
      <c r="F59" s="5"/>
      <c r="G59" s="5"/>
      <c r="J59" s="5"/>
      <c r="M59" s="5"/>
      <c r="N59" s="5"/>
      <c r="P59" s="5"/>
    </row>
    <row r="60" spans="1:16" ht="13">
      <c r="A60" s="48" t="s">
        <v>1866</v>
      </c>
      <c r="B60" s="49" t="s">
        <v>860</v>
      </c>
      <c r="C60" s="51" t="s">
        <v>192</v>
      </c>
      <c r="D60" s="54"/>
      <c r="E60" s="5"/>
      <c r="F60" s="5"/>
      <c r="G60" s="5"/>
      <c r="J60" s="5"/>
      <c r="M60" s="5"/>
      <c r="N60" s="5"/>
      <c r="P60" s="5"/>
    </row>
    <row r="61" spans="1:16" ht="13">
      <c r="A61" s="48" t="s">
        <v>1867</v>
      </c>
      <c r="B61" s="49" t="s">
        <v>860</v>
      </c>
      <c r="C61" s="51" t="s">
        <v>192</v>
      </c>
      <c r="D61" s="54"/>
      <c r="E61" s="5"/>
      <c r="F61" s="5"/>
      <c r="G61" s="5"/>
      <c r="J61" s="5"/>
      <c r="M61" s="5"/>
      <c r="N61" s="5"/>
      <c r="P61" s="5"/>
    </row>
    <row r="62" spans="1:16" ht="13">
      <c r="A62" s="48" t="s">
        <v>1868</v>
      </c>
      <c r="B62" s="49" t="s">
        <v>1869</v>
      </c>
      <c r="C62" s="51" t="s">
        <v>208</v>
      </c>
      <c r="D62" s="51"/>
      <c r="E62" s="5"/>
      <c r="F62" s="5"/>
      <c r="G62" s="5"/>
      <c r="J62" s="5"/>
      <c r="M62" s="5"/>
      <c r="N62" s="5"/>
      <c r="P62" s="5"/>
    </row>
    <row r="63" spans="1:16" ht="13">
      <c r="A63" s="48" t="s">
        <v>1870</v>
      </c>
      <c r="B63" s="49" t="s">
        <v>862</v>
      </c>
      <c r="C63" s="51" t="s">
        <v>199</v>
      </c>
      <c r="D63" s="51"/>
      <c r="E63" s="5"/>
      <c r="F63" s="5"/>
      <c r="G63" s="5"/>
      <c r="J63" s="5"/>
      <c r="M63" s="5"/>
      <c r="N63" s="5"/>
      <c r="P63" s="5"/>
    </row>
    <row r="64" spans="1:16" ht="13">
      <c r="A64" s="48" t="s">
        <v>1871</v>
      </c>
      <c r="B64" s="49" t="s">
        <v>280</v>
      </c>
      <c r="C64" s="51" t="s">
        <v>197</v>
      </c>
      <c r="D64" s="54"/>
      <c r="E64" s="5"/>
      <c r="F64" s="5"/>
      <c r="G64" s="5"/>
      <c r="J64" s="5"/>
      <c r="M64" s="5"/>
      <c r="N64" s="5"/>
      <c r="P64" s="5"/>
    </row>
    <row r="65" spans="1:16" ht="13">
      <c r="A65" s="48" t="s">
        <v>1872</v>
      </c>
      <c r="B65" s="49" t="s">
        <v>1873</v>
      </c>
      <c r="C65" s="51" t="s">
        <v>208</v>
      </c>
      <c r="D65" s="54"/>
      <c r="E65" s="5"/>
      <c r="F65" s="51"/>
      <c r="G65" s="5"/>
      <c r="J65" s="5"/>
      <c r="M65" s="5"/>
      <c r="N65" s="5"/>
      <c r="P65" s="5"/>
    </row>
    <row r="66" spans="1:16" ht="13">
      <c r="A66" s="48" t="s">
        <v>1874</v>
      </c>
      <c r="B66" s="49" t="s">
        <v>1875</v>
      </c>
      <c r="C66" s="51" t="s">
        <v>205</v>
      </c>
      <c r="D66" s="51"/>
      <c r="E66" s="5"/>
      <c r="F66" s="5"/>
      <c r="G66" s="5"/>
      <c r="J66" s="5"/>
      <c r="M66" s="5"/>
      <c r="N66" s="5"/>
      <c r="P66" s="5"/>
    </row>
    <row r="67" spans="1:16" ht="13">
      <c r="A67" s="48" t="s">
        <v>1876</v>
      </c>
      <c r="B67" s="49" t="s">
        <v>200</v>
      </c>
      <c r="C67" s="51" t="s">
        <v>197</v>
      </c>
      <c r="D67" s="54"/>
      <c r="E67" s="5"/>
      <c r="F67" s="5"/>
      <c r="G67" s="5"/>
      <c r="J67" s="5"/>
      <c r="M67" s="5"/>
      <c r="N67" s="5"/>
      <c r="P67" s="5"/>
    </row>
    <row r="68" spans="1:16" ht="13">
      <c r="A68" s="48" t="s">
        <v>1877</v>
      </c>
      <c r="B68" s="49" t="s">
        <v>284</v>
      </c>
      <c r="C68" s="51" t="s">
        <v>225</v>
      </c>
      <c r="D68" s="51"/>
      <c r="E68" s="5"/>
      <c r="F68" s="5"/>
      <c r="G68" s="5"/>
      <c r="J68" s="5"/>
      <c r="M68" s="5"/>
      <c r="N68" s="5"/>
      <c r="P68" s="5"/>
    </row>
    <row r="69" spans="1:16" ht="13">
      <c r="A69" s="48" t="s">
        <v>1878</v>
      </c>
      <c r="B69" s="49" t="s">
        <v>1541</v>
      </c>
      <c r="C69" s="51" t="s">
        <v>195</v>
      </c>
      <c r="D69" s="54"/>
      <c r="E69" s="5"/>
      <c r="F69" s="5"/>
      <c r="G69" s="5"/>
      <c r="J69" s="5"/>
      <c r="M69" s="5"/>
      <c r="N69" s="5"/>
      <c r="P69" s="5"/>
    </row>
    <row r="70" spans="1:16" ht="13">
      <c r="A70" s="48" t="s">
        <v>1879</v>
      </c>
      <c r="B70" s="49" t="s">
        <v>1541</v>
      </c>
      <c r="C70" s="51" t="s">
        <v>225</v>
      </c>
      <c r="D70" s="51"/>
      <c r="E70" s="5"/>
      <c r="F70" s="5"/>
      <c r="G70" s="5"/>
      <c r="J70" s="5"/>
      <c r="M70" s="5"/>
      <c r="N70" s="5"/>
      <c r="P70" s="5"/>
    </row>
    <row r="71" spans="1:16" ht="13">
      <c r="A71" s="48" t="s">
        <v>1880</v>
      </c>
      <c r="B71" s="49" t="s">
        <v>1501</v>
      </c>
      <c r="C71" s="51" t="s">
        <v>192</v>
      </c>
      <c r="D71" s="5"/>
      <c r="F71" s="51"/>
      <c r="J71" s="5"/>
      <c r="M71" s="5"/>
      <c r="N71" s="5"/>
      <c r="P71" s="5"/>
    </row>
    <row r="72" spans="1:16" ht="13">
      <c r="A72" s="48" t="s">
        <v>1881</v>
      </c>
      <c r="B72" s="49" t="s">
        <v>352</v>
      </c>
      <c r="C72" s="51" t="s">
        <v>205</v>
      </c>
      <c r="D72" s="54"/>
      <c r="E72" s="5"/>
      <c r="F72" s="5"/>
      <c r="G72" s="5"/>
      <c r="J72" s="5"/>
      <c r="M72" s="5"/>
      <c r="N72" s="5"/>
      <c r="P72" s="5"/>
    </row>
    <row r="73" spans="1:16" ht="13">
      <c r="A73" s="48" t="s">
        <v>1882</v>
      </c>
      <c r="B73" s="49" t="s">
        <v>1503</v>
      </c>
      <c r="C73" s="51" t="s">
        <v>192</v>
      </c>
      <c r="D73" s="51"/>
      <c r="E73" s="5"/>
      <c r="F73" s="5"/>
      <c r="G73" s="5"/>
      <c r="J73" s="5"/>
      <c r="M73" s="5"/>
      <c r="N73" s="5"/>
      <c r="P73" s="5"/>
    </row>
    <row r="74" spans="1:16" ht="13">
      <c r="A74" s="48" t="s">
        <v>1883</v>
      </c>
      <c r="B74" s="49" t="s">
        <v>354</v>
      </c>
      <c r="C74" s="51" t="s">
        <v>225</v>
      </c>
      <c r="D74" s="51"/>
      <c r="E74" s="5"/>
      <c r="F74" s="5"/>
      <c r="G74" s="5"/>
      <c r="J74" s="5"/>
      <c r="M74" s="5"/>
      <c r="N74" s="5"/>
      <c r="P74" s="5"/>
    </row>
    <row r="75" spans="1:16" ht="13">
      <c r="A75" s="48" t="s">
        <v>1884</v>
      </c>
      <c r="B75" s="49" t="s">
        <v>1454</v>
      </c>
      <c r="C75" s="51" t="s">
        <v>205</v>
      </c>
      <c r="D75" s="54"/>
      <c r="E75" s="5"/>
      <c r="F75" s="5"/>
      <c r="G75" s="5"/>
      <c r="J75" s="5"/>
      <c r="M75" s="5"/>
      <c r="N75" s="5"/>
      <c r="P75" s="5"/>
    </row>
    <row r="76" spans="1:16" ht="13">
      <c r="A76" s="48" t="s">
        <v>1885</v>
      </c>
      <c r="B76" s="49" t="s">
        <v>1548</v>
      </c>
      <c r="C76" s="51" t="s">
        <v>195</v>
      </c>
      <c r="D76" s="54"/>
      <c r="E76" s="5"/>
      <c r="F76" s="5"/>
      <c r="G76" s="5"/>
      <c r="J76" s="5"/>
      <c r="M76" s="5"/>
      <c r="N76" s="5"/>
      <c r="P76" s="5"/>
    </row>
    <row r="77" spans="1:16" ht="13">
      <c r="A77" s="48" t="s">
        <v>1886</v>
      </c>
      <c r="B77" s="49" t="s">
        <v>1550</v>
      </c>
      <c r="C77" s="51" t="s">
        <v>208</v>
      </c>
      <c r="D77" s="54"/>
      <c r="E77" s="5"/>
      <c r="F77" s="5"/>
      <c r="G77" s="5"/>
      <c r="J77" s="5"/>
      <c r="M77" s="5"/>
      <c r="N77" s="5"/>
      <c r="P77" s="5"/>
    </row>
    <row r="78" spans="1:16" ht="13">
      <c r="A78" s="48" t="s">
        <v>1887</v>
      </c>
      <c r="B78" s="49" t="s">
        <v>1888</v>
      </c>
      <c r="C78" s="51" t="s">
        <v>208</v>
      </c>
      <c r="D78" s="51"/>
      <c r="E78" s="5"/>
      <c r="F78" s="5"/>
      <c r="G78" s="5"/>
      <c r="J78" s="5"/>
      <c r="M78" s="5"/>
      <c r="N78" s="5"/>
      <c r="P78" s="5"/>
    </row>
    <row r="79" spans="1:16" ht="13">
      <c r="A79" s="48" t="s">
        <v>1889</v>
      </c>
      <c r="B79" s="49" t="s">
        <v>296</v>
      </c>
      <c r="C79" s="51" t="s">
        <v>208</v>
      </c>
      <c r="D79" s="54"/>
      <c r="E79" s="5"/>
      <c r="F79" s="5"/>
      <c r="G79" s="5"/>
      <c r="J79" s="5"/>
      <c r="M79" s="5"/>
      <c r="N79" s="5"/>
      <c r="P79" s="5"/>
    </row>
    <row r="80" spans="1:16" ht="13">
      <c r="A80" s="48" t="s">
        <v>1890</v>
      </c>
      <c r="B80" s="49" t="s">
        <v>1891</v>
      </c>
      <c r="C80" s="51" t="s">
        <v>205</v>
      </c>
      <c r="D80" s="54"/>
      <c r="E80" s="5"/>
      <c r="F80" s="5"/>
      <c r="G80" s="5"/>
      <c r="J80" s="5"/>
      <c r="M80" s="5"/>
      <c r="N80" s="5"/>
      <c r="P80" s="5"/>
    </row>
    <row r="81" spans="1:16" ht="13">
      <c r="A81" s="48" t="s">
        <v>1892</v>
      </c>
      <c r="B81" s="49" t="s">
        <v>388</v>
      </c>
      <c r="C81" s="51" t="s">
        <v>208</v>
      </c>
      <c r="D81" s="54"/>
      <c r="E81" s="5"/>
      <c r="F81" s="5"/>
      <c r="G81" s="5"/>
      <c r="J81" s="5"/>
      <c r="M81" s="5"/>
      <c r="N81" s="5"/>
      <c r="P81" s="5"/>
    </row>
    <row r="82" spans="1:16" ht="13">
      <c r="A82" s="48" t="s">
        <v>1893</v>
      </c>
      <c r="B82" s="49" t="s">
        <v>216</v>
      </c>
      <c r="C82" s="51" t="s">
        <v>197</v>
      </c>
      <c r="D82" s="51"/>
      <c r="E82" s="5"/>
      <c r="F82" s="5"/>
      <c r="G82" s="5"/>
      <c r="J82" s="5"/>
      <c r="M82" s="5"/>
      <c r="N82" s="5"/>
      <c r="P82" s="5"/>
    </row>
    <row r="83" spans="1:16" ht="13">
      <c r="A83" s="48" t="s">
        <v>1894</v>
      </c>
      <c r="B83" s="49" t="s">
        <v>903</v>
      </c>
      <c r="C83" s="51" t="s">
        <v>208</v>
      </c>
      <c r="D83" s="54"/>
      <c r="E83" s="5"/>
      <c r="F83" s="5"/>
      <c r="G83" s="5"/>
      <c r="J83" s="5"/>
      <c r="M83" s="5"/>
      <c r="N83" s="5"/>
      <c r="P83" s="5"/>
    </row>
    <row r="84" spans="1:16" ht="13">
      <c r="A84" s="48" t="s">
        <v>1895</v>
      </c>
      <c r="B84" s="49" t="s">
        <v>298</v>
      </c>
      <c r="C84" s="51" t="s">
        <v>192</v>
      </c>
      <c r="D84" s="51"/>
      <c r="E84" s="5"/>
      <c r="F84" s="5"/>
      <c r="G84" s="5"/>
      <c r="J84" s="5"/>
      <c r="M84" s="5"/>
      <c r="N84" s="5"/>
      <c r="P84" s="5"/>
    </row>
    <row r="85" spans="1:16" ht="13">
      <c r="A85" s="48" t="s">
        <v>1896</v>
      </c>
      <c r="B85" s="49" t="s">
        <v>299</v>
      </c>
      <c r="C85" s="51" t="s">
        <v>199</v>
      </c>
      <c r="D85" s="54"/>
      <c r="E85" s="5"/>
      <c r="F85" s="5"/>
      <c r="G85" s="5"/>
      <c r="J85" s="5"/>
      <c r="M85" s="5"/>
      <c r="N85" s="5"/>
      <c r="P85" s="5"/>
    </row>
    <row r="86" spans="1:16" ht="13">
      <c r="A86" s="48" t="s">
        <v>1897</v>
      </c>
      <c r="B86" s="49" t="s">
        <v>1898</v>
      </c>
      <c r="C86" s="51" t="s">
        <v>197</v>
      </c>
      <c r="D86" s="54"/>
      <c r="E86" s="5"/>
      <c r="F86" s="5"/>
      <c r="G86" s="5"/>
      <c r="J86" s="5"/>
      <c r="M86" s="5"/>
      <c r="N86" s="5"/>
      <c r="P86" s="5"/>
    </row>
    <row r="87" spans="1:16" ht="13">
      <c r="A87" s="48" t="s">
        <v>1899</v>
      </c>
      <c r="B87" s="49" t="s">
        <v>389</v>
      </c>
      <c r="C87" s="51" t="s">
        <v>205</v>
      </c>
      <c r="D87" s="54"/>
      <c r="E87" s="5"/>
      <c r="F87" s="5"/>
      <c r="G87" s="5"/>
      <c r="J87" s="5"/>
      <c r="M87" s="5"/>
      <c r="N87" s="5"/>
      <c r="P87" s="5"/>
    </row>
    <row r="88" spans="1:16" ht="13">
      <c r="A88" s="48" t="s">
        <v>1900</v>
      </c>
      <c r="B88" s="49" t="s">
        <v>1901</v>
      </c>
      <c r="C88" s="51" t="s">
        <v>1019</v>
      </c>
      <c r="D88" s="54"/>
      <c r="E88" s="5"/>
      <c r="F88" s="5"/>
      <c r="G88" s="5"/>
      <c r="J88" s="5"/>
      <c r="M88" s="5"/>
      <c r="N88" s="5"/>
      <c r="P88" s="5"/>
    </row>
    <row r="89" spans="1:16" ht="13">
      <c r="A89" s="48" t="s">
        <v>1902</v>
      </c>
      <c r="B89" s="49" t="s">
        <v>1903</v>
      </c>
      <c r="C89" s="51" t="s">
        <v>1019</v>
      </c>
      <c r="D89" s="54"/>
      <c r="E89" s="5"/>
      <c r="F89" s="5"/>
      <c r="G89" s="5"/>
      <c r="J89" s="5"/>
      <c r="M89" s="5"/>
      <c r="N89" s="5"/>
      <c r="P89" s="5"/>
    </row>
    <row r="90" spans="1:16" ht="13">
      <c r="A90" s="48" t="s">
        <v>1904</v>
      </c>
      <c r="B90" s="49" t="s">
        <v>1905</v>
      </c>
      <c r="C90" s="51" t="s">
        <v>1019</v>
      </c>
      <c r="D90" s="54"/>
      <c r="E90" s="5"/>
      <c r="F90" s="5"/>
      <c r="G90" s="5"/>
      <c r="J90" s="5"/>
      <c r="M90" s="5"/>
      <c r="N90" s="5"/>
      <c r="P90" s="5"/>
    </row>
    <row r="91" spans="1:16" ht="13">
      <c r="A91" s="48" t="s">
        <v>1906</v>
      </c>
      <c r="B91" s="49" t="s">
        <v>1907</v>
      </c>
      <c r="C91" s="51" t="s">
        <v>229</v>
      </c>
      <c r="D91" s="54"/>
      <c r="E91" s="5"/>
      <c r="F91" s="5"/>
      <c r="G91" s="5"/>
      <c r="J91" s="5"/>
      <c r="M91" s="5"/>
      <c r="N91" s="5"/>
      <c r="P91" s="5"/>
    </row>
    <row r="92" spans="1:16" ht="13">
      <c r="A92" s="48" t="s">
        <v>1908</v>
      </c>
      <c r="B92" s="49" t="s">
        <v>1909</v>
      </c>
      <c r="C92" s="51" t="s">
        <v>229</v>
      </c>
      <c r="D92" s="54"/>
      <c r="E92" s="5"/>
      <c r="F92" s="5"/>
      <c r="G92" s="5"/>
      <c r="J92" s="5"/>
      <c r="M92" s="5"/>
      <c r="N92" s="5"/>
      <c r="P92" s="5"/>
    </row>
    <row r="93" spans="1:16" ht="13">
      <c r="A93" s="48" t="s">
        <v>1910</v>
      </c>
      <c r="B93" s="49" t="s">
        <v>1911</v>
      </c>
      <c r="C93" s="51" t="s">
        <v>229</v>
      </c>
      <c r="D93" s="51"/>
      <c r="E93" s="5"/>
      <c r="F93" s="5"/>
      <c r="G93" s="5"/>
      <c r="J93" s="5"/>
      <c r="M93" s="5"/>
      <c r="N93" s="5"/>
      <c r="P93" s="5"/>
    </row>
    <row r="94" spans="1:16" ht="13">
      <c r="A94" s="48" t="s">
        <v>1912</v>
      </c>
      <c r="B94" s="49" t="s">
        <v>1913</v>
      </c>
      <c r="C94" s="51" t="s">
        <v>206</v>
      </c>
      <c r="D94" s="54"/>
      <c r="E94" s="5"/>
      <c r="F94" s="5"/>
      <c r="G94" s="5"/>
      <c r="J94" s="5"/>
      <c r="M94" s="5"/>
      <c r="N94" s="5"/>
      <c r="P94" s="5"/>
    </row>
    <row r="95" spans="1:16" ht="13">
      <c r="A95" s="48" t="s">
        <v>1914</v>
      </c>
      <c r="B95" s="49" t="s">
        <v>1915</v>
      </c>
      <c r="C95" s="51" t="s">
        <v>229</v>
      </c>
      <c r="D95" s="54"/>
      <c r="E95" s="5"/>
      <c r="F95" s="5"/>
      <c r="G95" s="5"/>
      <c r="J95" s="5"/>
      <c r="M95" s="5"/>
      <c r="N95" s="5"/>
      <c r="P95" s="5"/>
    </row>
    <row r="96" spans="1:16" ht="13">
      <c r="A96" s="48" t="s">
        <v>1916</v>
      </c>
      <c r="B96" s="49" t="s">
        <v>1917</v>
      </c>
      <c r="C96" s="51" t="s">
        <v>1013</v>
      </c>
      <c r="D96" s="54"/>
      <c r="E96" s="5"/>
      <c r="F96" s="5"/>
      <c r="G96" s="5"/>
      <c r="J96" s="5"/>
      <c r="M96" s="5"/>
      <c r="N96" s="5"/>
      <c r="P96" s="5"/>
    </row>
    <row r="97" spans="1:16" ht="13">
      <c r="A97" s="48" t="s">
        <v>1918</v>
      </c>
      <c r="B97" s="49" t="s">
        <v>1186</v>
      </c>
      <c r="C97" s="51" t="s">
        <v>225</v>
      </c>
      <c r="D97" s="54"/>
      <c r="E97" s="5"/>
      <c r="F97" s="5"/>
      <c r="G97" s="5"/>
      <c r="J97" s="5"/>
      <c r="M97" s="5"/>
      <c r="N97" s="5"/>
      <c r="P97" s="5"/>
    </row>
    <row r="98" spans="1:16" ht="13">
      <c r="A98" s="48" t="s">
        <v>1919</v>
      </c>
      <c r="B98" s="49" t="s">
        <v>1185</v>
      </c>
      <c r="C98" s="51" t="s">
        <v>208</v>
      </c>
      <c r="D98" s="54"/>
      <c r="E98" s="5"/>
      <c r="F98" s="5"/>
      <c r="G98" s="5"/>
      <c r="J98" s="5"/>
      <c r="M98" s="5"/>
      <c r="N98" s="5"/>
      <c r="P98" s="5"/>
    </row>
    <row r="99" spans="1:16" ht="13">
      <c r="A99" s="48" t="s">
        <v>1920</v>
      </c>
      <c r="B99" s="49" t="s">
        <v>1921</v>
      </c>
      <c r="C99" s="51" t="s">
        <v>220</v>
      </c>
      <c r="D99" s="54"/>
      <c r="E99" s="5"/>
      <c r="F99" s="5"/>
      <c r="G99" s="5"/>
      <c r="J99" s="5"/>
      <c r="M99" s="5"/>
      <c r="N99" s="5"/>
      <c r="P99" s="5"/>
    </row>
    <row r="100" spans="1:16" ht="13">
      <c r="A100" s="48" t="s">
        <v>1922</v>
      </c>
      <c r="B100" s="49" t="s">
        <v>1923</v>
      </c>
      <c r="C100" s="51" t="s">
        <v>199</v>
      </c>
      <c r="D100" s="54"/>
      <c r="E100" s="5"/>
      <c r="F100" s="5"/>
      <c r="G100" s="5"/>
      <c r="J100" s="5"/>
      <c r="M100" s="5"/>
      <c r="N100" s="5"/>
      <c r="P100" s="5"/>
    </row>
    <row r="101" spans="1:16" ht="13">
      <c r="A101" s="48" t="s">
        <v>1924</v>
      </c>
      <c r="B101" s="49" t="s">
        <v>1925</v>
      </c>
      <c r="C101" s="51" t="s">
        <v>208</v>
      </c>
      <c r="D101" s="54"/>
      <c r="E101" s="5"/>
      <c r="F101" s="5"/>
      <c r="G101" s="5"/>
      <c r="J101" s="5"/>
      <c r="M101" s="5"/>
      <c r="N101" s="5"/>
      <c r="P101" s="5"/>
    </row>
    <row r="102" spans="1:16" ht="13">
      <c r="A102" s="48" t="s">
        <v>1926</v>
      </c>
      <c r="B102" s="49" t="s">
        <v>1927</v>
      </c>
      <c r="C102" s="51" t="s">
        <v>225</v>
      </c>
      <c r="D102" s="54"/>
      <c r="E102" s="5"/>
      <c r="F102" s="5"/>
      <c r="G102" s="5"/>
      <c r="J102" s="5"/>
      <c r="M102" s="5"/>
      <c r="N102" s="5"/>
      <c r="P102" s="5"/>
    </row>
    <row r="103" spans="1:16" ht="13">
      <c r="A103" s="48" t="s">
        <v>1928</v>
      </c>
      <c r="B103" s="49" t="s">
        <v>1929</v>
      </c>
      <c r="C103" s="51" t="s">
        <v>220</v>
      </c>
      <c r="D103" s="54"/>
      <c r="E103" s="5"/>
      <c r="F103" s="5"/>
      <c r="G103" s="5"/>
      <c r="J103" s="5"/>
      <c r="M103" s="5"/>
      <c r="N103" s="5"/>
      <c r="P103" s="5"/>
    </row>
    <row r="104" spans="1:16" ht="13">
      <c r="A104" s="48" t="s">
        <v>1930</v>
      </c>
      <c r="B104" s="49" t="s">
        <v>1931</v>
      </c>
      <c r="C104" s="51" t="s">
        <v>205</v>
      </c>
      <c r="D104" s="54"/>
      <c r="E104" s="5"/>
      <c r="F104" s="5"/>
      <c r="G104" s="5"/>
      <c r="J104" s="5"/>
      <c r="M104" s="5"/>
      <c r="N104" s="5"/>
      <c r="P104" s="5"/>
    </row>
    <row r="105" spans="1:16" ht="13">
      <c r="A105" s="48" t="s">
        <v>1932</v>
      </c>
      <c r="B105" s="49" t="s">
        <v>1933</v>
      </c>
      <c r="C105" s="51" t="s">
        <v>197</v>
      </c>
      <c r="D105" s="54"/>
      <c r="E105" s="5"/>
      <c r="F105" s="5"/>
      <c r="G105" s="5"/>
      <c r="J105" s="5"/>
      <c r="M105" s="5"/>
      <c r="N105" s="5"/>
      <c r="P105" s="5"/>
    </row>
    <row r="106" spans="1:16" ht="13">
      <c r="A106" s="48" t="s">
        <v>1934</v>
      </c>
      <c r="B106" s="49" t="s">
        <v>1935</v>
      </c>
      <c r="C106" s="51" t="s">
        <v>225</v>
      </c>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800-000000000000}"/>
    <hyperlink ref="B6" r:id="rId2" xr:uid="{00000000-0004-0000-1800-000001000000}"/>
    <hyperlink ref="B7" r:id="rId3" xr:uid="{00000000-0004-0000-1800-000002000000}"/>
    <hyperlink ref="B8" r:id="rId4" xr:uid="{00000000-0004-0000-1800-000003000000}"/>
    <hyperlink ref="B9" r:id="rId5" xr:uid="{00000000-0004-0000-1800-000004000000}"/>
    <hyperlink ref="B10" r:id="rId6" xr:uid="{00000000-0004-0000-1800-000005000000}"/>
    <hyperlink ref="B11" r:id="rId7" xr:uid="{00000000-0004-0000-1800-000006000000}"/>
    <hyperlink ref="B12" r:id="rId8" xr:uid="{00000000-0004-0000-1800-000007000000}"/>
    <hyperlink ref="B13" r:id="rId9" xr:uid="{00000000-0004-0000-1800-000008000000}"/>
    <hyperlink ref="B14" r:id="rId10" xr:uid="{00000000-0004-0000-1800-000009000000}"/>
    <hyperlink ref="B15" r:id="rId11" xr:uid="{00000000-0004-0000-1800-00000A000000}"/>
    <hyperlink ref="B16" r:id="rId12" xr:uid="{00000000-0004-0000-1800-00000B000000}"/>
    <hyperlink ref="B17" r:id="rId13" xr:uid="{00000000-0004-0000-1800-00000C000000}"/>
    <hyperlink ref="B18" r:id="rId14" xr:uid="{00000000-0004-0000-1800-00000D000000}"/>
    <hyperlink ref="B19" r:id="rId15" xr:uid="{00000000-0004-0000-1800-00000E000000}"/>
    <hyperlink ref="B20" r:id="rId16" xr:uid="{00000000-0004-0000-1800-00000F000000}"/>
    <hyperlink ref="B21" r:id="rId17" xr:uid="{00000000-0004-0000-1800-000010000000}"/>
    <hyperlink ref="B22" r:id="rId18" xr:uid="{00000000-0004-0000-1800-000011000000}"/>
    <hyperlink ref="B23" r:id="rId19" xr:uid="{00000000-0004-0000-1800-000012000000}"/>
    <hyperlink ref="B24" r:id="rId20" xr:uid="{00000000-0004-0000-1800-000013000000}"/>
    <hyperlink ref="B25" r:id="rId21" xr:uid="{00000000-0004-0000-1800-000014000000}"/>
    <hyperlink ref="B26" r:id="rId22" xr:uid="{00000000-0004-0000-1800-000015000000}"/>
    <hyperlink ref="B27" r:id="rId23" xr:uid="{00000000-0004-0000-1800-000016000000}"/>
    <hyperlink ref="B28" r:id="rId24" xr:uid="{00000000-0004-0000-1800-000017000000}"/>
    <hyperlink ref="B29" r:id="rId25" xr:uid="{00000000-0004-0000-1800-000018000000}"/>
    <hyperlink ref="B30" r:id="rId26" xr:uid="{00000000-0004-0000-1800-000019000000}"/>
    <hyperlink ref="B31" r:id="rId27" xr:uid="{00000000-0004-0000-1800-00001A000000}"/>
    <hyperlink ref="B32" r:id="rId28" xr:uid="{00000000-0004-0000-1800-00001B000000}"/>
    <hyperlink ref="B33" r:id="rId29" xr:uid="{00000000-0004-0000-1800-00001C000000}"/>
    <hyperlink ref="B34" r:id="rId30" xr:uid="{00000000-0004-0000-1800-00001D000000}"/>
    <hyperlink ref="B35" r:id="rId31" xr:uid="{00000000-0004-0000-1800-00001E000000}"/>
    <hyperlink ref="B36" r:id="rId32" xr:uid="{00000000-0004-0000-1800-00001F000000}"/>
    <hyperlink ref="B37" r:id="rId33" xr:uid="{00000000-0004-0000-1800-000020000000}"/>
    <hyperlink ref="B38" r:id="rId34" xr:uid="{00000000-0004-0000-1800-000021000000}"/>
    <hyperlink ref="B39" r:id="rId35" xr:uid="{00000000-0004-0000-1800-000022000000}"/>
    <hyperlink ref="B40" r:id="rId36" xr:uid="{00000000-0004-0000-1800-000023000000}"/>
    <hyperlink ref="B41" r:id="rId37" xr:uid="{00000000-0004-0000-1800-000024000000}"/>
    <hyperlink ref="B42" r:id="rId38" xr:uid="{00000000-0004-0000-1800-000025000000}"/>
    <hyperlink ref="B43" r:id="rId39" xr:uid="{00000000-0004-0000-1800-000026000000}"/>
    <hyperlink ref="B44" r:id="rId40" xr:uid="{00000000-0004-0000-1800-000027000000}"/>
    <hyperlink ref="B45" r:id="rId41" xr:uid="{00000000-0004-0000-1800-000028000000}"/>
    <hyperlink ref="B46" r:id="rId42" xr:uid="{00000000-0004-0000-1800-000029000000}"/>
    <hyperlink ref="B47" r:id="rId43" xr:uid="{00000000-0004-0000-1800-00002A000000}"/>
    <hyperlink ref="B48" r:id="rId44" xr:uid="{00000000-0004-0000-1800-00002B000000}"/>
    <hyperlink ref="B49" r:id="rId45" xr:uid="{00000000-0004-0000-1800-00002C000000}"/>
    <hyperlink ref="B50" r:id="rId46" xr:uid="{00000000-0004-0000-1800-00002D000000}"/>
    <hyperlink ref="B51" r:id="rId47" xr:uid="{00000000-0004-0000-1800-00002E000000}"/>
    <hyperlink ref="B52" r:id="rId48" xr:uid="{00000000-0004-0000-1800-00002F000000}"/>
    <hyperlink ref="B53" r:id="rId49" xr:uid="{00000000-0004-0000-1800-000030000000}"/>
    <hyperlink ref="B54" r:id="rId50" xr:uid="{00000000-0004-0000-1800-000031000000}"/>
    <hyperlink ref="B55" r:id="rId51" xr:uid="{00000000-0004-0000-1800-000032000000}"/>
    <hyperlink ref="B56" r:id="rId52" xr:uid="{00000000-0004-0000-1800-000033000000}"/>
    <hyperlink ref="B57" r:id="rId53" xr:uid="{00000000-0004-0000-1800-000034000000}"/>
    <hyperlink ref="B58" r:id="rId54" xr:uid="{00000000-0004-0000-1800-000035000000}"/>
    <hyperlink ref="B59" r:id="rId55" xr:uid="{00000000-0004-0000-1800-000036000000}"/>
    <hyperlink ref="B60" r:id="rId56" xr:uid="{00000000-0004-0000-1800-000037000000}"/>
    <hyperlink ref="B61" r:id="rId57" xr:uid="{00000000-0004-0000-1800-000038000000}"/>
    <hyperlink ref="B62" r:id="rId58" xr:uid="{00000000-0004-0000-1800-000039000000}"/>
    <hyperlink ref="B63" r:id="rId59" xr:uid="{00000000-0004-0000-1800-00003A000000}"/>
    <hyperlink ref="B64" r:id="rId60" xr:uid="{00000000-0004-0000-1800-00003B000000}"/>
    <hyperlink ref="B65" r:id="rId61" xr:uid="{00000000-0004-0000-1800-00003C000000}"/>
    <hyperlink ref="B66" r:id="rId62" xr:uid="{00000000-0004-0000-1800-00003D000000}"/>
    <hyperlink ref="B67" r:id="rId63" xr:uid="{00000000-0004-0000-1800-00003E000000}"/>
    <hyperlink ref="B68" r:id="rId64" xr:uid="{00000000-0004-0000-1800-00003F000000}"/>
    <hyperlink ref="B69" r:id="rId65" xr:uid="{00000000-0004-0000-1800-000040000000}"/>
    <hyperlink ref="B70" r:id="rId66" xr:uid="{00000000-0004-0000-1800-000041000000}"/>
    <hyperlink ref="B71" r:id="rId67" xr:uid="{00000000-0004-0000-1800-000042000000}"/>
    <hyperlink ref="B72" r:id="rId68" xr:uid="{00000000-0004-0000-1800-000043000000}"/>
    <hyperlink ref="B73" r:id="rId69" xr:uid="{00000000-0004-0000-1800-000044000000}"/>
    <hyperlink ref="B74" r:id="rId70" xr:uid="{00000000-0004-0000-1800-000045000000}"/>
    <hyperlink ref="B75" r:id="rId71" xr:uid="{00000000-0004-0000-1800-000046000000}"/>
    <hyperlink ref="B76" r:id="rId72" xr:uid="{00000000-0004-0000-1800-000047000000}"/>
    <hyperlink ref="B77" r:id="rId73" xr:uid="{00000000-0004-0000-1800-000048000000}"/>
    <hyperlink ref="B78" r:id="rId74" xr:uid="{00000000-0004-0000-1800-000049000000}"/>
    <hyperlink ref="B79" r:id="rId75" xr:uid="{00000000-0004-0000-1800-00004A000000}"/>
    <hyperlink ref="B80" r:id="rId76" xr:uid="{00000000-0004-0000-1800-00004B000000}"/>
    <hyperlink ref="B81" r:id="rId77" xr:uid="{00000000-0004-0000-1800-00004C000000}"/>
    <hyperlink ref="B82" r:id="rId78" xr:uid="{00000000-0004-0000-1800-00004D000000}"/>
    <hyperlink ref="B83" r:id="rId79" xr:uid="{00000000-0004-0000-1800-00004E000000}"/>
    <hyperlink ref="B84" r:id="rId80" xr:uid="{00000000-0004-0000-1800-00004F000000}"/>
    <hyperlink ref="B85" r:id="rId81" xr:uid="{00000000-0004-0000-1800-000050000000}"/>
    <hyperlink ref="B86" r:id="rId82" xr:uid="{00000000-0004-0000-1800-000051000000}"/>
    <hyperlink ref="B87" r:id="rId83" xr:uid="{00000000-0004-0000-1800-000052000000}"/>
    <hyperlink ref="B88" r:id="rId84" xr:uid="{00000000-0004-0000-1800-000053000000}"/>
    <hyperlink ref="B89" r:id="rId85" xr:uid="{00000000-0004-0000-1800-000054000000}"/>
    <hyperlink ref="B90" r:id="rId86" xr:uid="{00000000-0004-0000-1800-000055000000}"/>
    <hyperlink ref="B91" r:id="rId87" xr:uid="{00000000-0004-0000-1800-000056000000}"/>
    <hyperlink ref="B92" r:id="rId88" xr:uid="{00000000-0004-0000-1800-000057000000}"/>
    <hyperlink ref="B93" r:id="rId89" xr:uid="{00000000-0004-0000-1800-000058000000}"/>
    <hyperlink ref="B94" r:id="rId90" xr:uid="{00000000-0004-0000-1800-000059000000}"/>
    <hyperlink ref="B95" r:id="rId91" xr:uid="{00000000-0004-0000-1800-00005A000000}"/>
    <hyperlink ref="B96" r:id="rId92" xr:uid="{00000000-0004-0000-1800-00005B000000}"/>
    <hyperlink ref="B97" r:id="rId93" xr:uid="{00000000-0004-0000-1800-00005C000000}"/>
    <hyperlink ref="B98" r:id="rId94" xr:uid="{00000000-0004-0000-1800-00005D000000}"/>
    <hyperlink ref="B99" r:id="rId95" xr:uid="{00000000-0004-0000-1800-00005E000000}"/>
    <hyperlink ref="B100" r:id="rId96" xr:uid="{00000000-0004-0000-1800-00005F000000}"/>
    <hyperlink ref="B101" r:id="rId97" xr:uid="{00000000-0004-0000-1800-000060000000}"/>
    <hyperlink ref="B102" r:id="rId98" xr:uid="{00000000-0004-0000-1800-000061000000}"/>
    <hyperlink ref="B103" r:id="rId99" xr:uid="{00000000-0004-0000-1800-000062000000}"/>
    <hyperlink ref="B104" r:id="rId100" xr:uid="{00000000-0004-0000-1800-000063000000}"/>
    <hyperlink ref="B105" r:id="rId101" xr:uid="{00000000-0004-0000-1800-000064000000}"/>
    <hyperlink ref="B106" r:id="rId102" xr:uid="{00000000-0004-0000-1800-00006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6.6640625" customWidth="1"/>
    <col min="3" max="3" width="13.5" customWidth="1"/>
    <col min="4" max="4" width="14.83203125" customWidth="1"/>
    <col min="5" max="5" width="14.33203125" customWidth="1"/>
    <col min="11" max="11" width="13.83203125" customWidth="1"/>
  </cols>
  <sheetData>
    <row r="1" spans="1:23" ht="15.75" customHeight="1">
      <c r="A1" s="1" t="s">
        <v>44</v>
      </c>
      <c r="B1" s="36"/>
      <c r="C1" s="37"/>
      <c r="D1" s="7" t="s">
        <v>181</v>
      </c>
      <c r="E1" s="5"/>
      <c r="F1" s="5"/>
      <c r="G1" s="5"/>
      <c r="K1" s="1"/>
      <c r="M1" s="5"/>
      <c r="N1" s="5"/>
      <c r="S1" s="1"/>
      <c r="U1" s="5"/>
    </row>
    <row r="2" spans="1:23" ht="15.75" customHeight="1">
      <c r="A2" s="7" t="s">
        <v>182</v>
      </c>
      <c r="B2" s="38">
        <v>38229</v>
      </c>
      <c r="C2" s="37"/>
      <c r="D2" s="39">
        <f>SUM(D5:G120)</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1936</v>
      </c>
      <c r="B5" s="49" t="s">
        <v>253</v>
      </c>
      <c r="C5" s="51" t="s">
        <v>205</v>
      </c>
      <c r="D5" s="54"/>
      <c r="E5" s="5"/>
      <c r="F5" s="5"/>
      <c r="G5" s="5"/>
      <c r="L5" s="43"/>
      <c r="M5" s="43"/>
      <c r="N5" s="42"/>
      <c r="O5" s="44"/>
      <c r="S5" s="42"/>
      <c r="T5" s="43"/>
      <c r="U5" s="43"/>
      <c r="V5" s="42"/>
      <c r="W5" s="44"/>
    </row>
    <row r="6" spans="1:23" ht="15.75" customHeight="1">
      <c r="A6" s="48" t="s">
        <v>1937</v>
      </c>
      <c r="B6" s="49" t="s">
        <v>331</v>
      </c>
      <c r="C6" s="51" t="s">
        <v>205</v>
      </c>
      <c r="D6" s="54"/>
      <c r="E6" s="5"/>
      <c r="F6" s="5"/>
      <c r="G6" s="5"/>
      <c r="L6" s="50"/>
      <c r="M6" s="51"/>
      <c r="N6" s="5"/>
      <c r="S6" s="52"/>
      <c r="T6" s="50"/>
      <c r="U6" s="51"/>
    </row>
    <row r="7" spans="1:23" ht="15.75" customHeight="1">
      <c r="A7" s="48" t="s">
        <v>1938</v>
      </c>
      <c r="B7" s="49" t="s">
        <v>259</v>
      </c>
      <c r="C7" s="51" t="s">
        <v>208</v>
      </c>
      <c r="D7" s="54"/>
      <c r="E7" s="5"/>
      <c r="F7" s="5"/>
      <c r="G7" s="5"/>
      <c r="K7" s="52"/>
      <c r="L7" s="50"/>
      <c r="M7" s="51"/>
      <c r="N7" s="5"/>
      <c r="S7" s="52"/>
      <c r="T7" s="50"/>
      <c r="U7" s="51"/>
    </row>
    <row r="8" spans="1:23" ht="15.75" customHeight="1">
      <c r="A8" s="48" t="s">
        <v>1939</v>
      </c>
      <c r="B8" s="49" t="s">
        <v>359</v>
      </c>
      <c r="C8" s="51" t="s">
        <v>197</v>
      </c>
      <c r="D8" s="54"/>
      <c r="E8" s="5"/>
      <c r="F8" s="5"/>
      <c r="G8" s="5"/>
      <c r="K8" s="52"/>
      <c r="L8" s="50"/>
      <c r="M8" s="51"/>
      <c r="N8" s="51"/>
      <c r="S8" s="52"/>
      <c r="T8" s="50"/>
      <c r="U8" s="51"/>
    </row>
    <row r="9" spans="1:23" ht="15.75" customHeight="1">
      <c r="A9" s="48" t="s">
        <v>1940</v>
      </c>
      <c r="B9" s="49" t="s">
        <v>333</v>
      </c>
      <c r="C9" s="51" t="s">
        <v>195</v>
      </c>
      <c r="D9" s="54"/>
      <c r="E9" s="5"/>
      <c r="F9" s="5"/>
      <c r="G9" s="5"/>
      <c r="K9" s="52"/>
      <c r="L9" s="50"/>
      <c r="M9" s="51"/>
      <c r="N9" s="51"/>
      <c r="S9" s="52"/>
      <c r="T9" s="50"/>
      <c r="U9" s="51"/>
    </row>
    <row r="10" spans="1:23" ht="15.75" customHeight="1">
      <c r="A10" s="48" t="s">
        <v>1941</v>
      </c>
      <c r="B10" s="49" t="s">
        <v>321</v>
      </c>
      <c r="C10" s="51" t="s">
        <v>197</v>
      </c>
      <c r="D10" s="54"/>
      <c r="E10" s="5"/>
      <c r="F10" s="5"/>
      <c r="G10" s="5"/>
      <c r="K10" s="52"/>
      <c r="L10" s="50"/>
      <c r="M10" s="51"/>
      <c r="N10" s="5"/>
      <c r="S10" s="52"/>
      <c r="T10" s="50"/>
      <c r="U10" s="51"/>
    </row>
    <row r="11" spans="1:23" ht="15.75" customHeight="1">
      <c r="A11" s="48" t="s">
        <v>1942</v>
      </c>
      <c r="B11" s="49" t="s">
        <v>337</v>
      </c>
      <c r="C11" s="51" t="s">
        <v>225</v>
      </c>
      <c r="D11" s="54"/>
      <c r="E11" s="5"/>
      <c r="F11" s="5"/>
      <c r="G11" s="5"/>
      <c r="K11" s="52"/>
      <c r="L11" s="50"/>
      <c r="M11" s="51"/>
      <c r="N11" s="51"/>
      <c r="S11" s="52"/>
      <c r="T11" s="50"/>
      <c r="U11" s="51"/>
    </row>
    <row r="12" spans="1:23" ht="15.75" customHeight="1">
      <c r="A12" s="48" t="s">
        <v>1943</v>
      </c>
      <c r="B12" s="49" t="s">
        <v>248</v>
      </c>
      <c r="C12" s="51" t="s">
        <v>225</v>
      </c>
      <c r="D12" s="54"/>
      <c r="E12" s="5"/>
      <c r="F12" s="5"/>
      <c r="G12" s="5"/>
      <c r="K12" s="52"/>
      <c r="L12" s="50"/>
      <c r="M12" s="51"/>
      <c r="N12" s="51"/>
      <c r="S12" s="52"/>
      <c r="T12" s="50"/>
      <c r="U12" s="51"/>
    </row>
    <row r="13" spans="1:23" ht="15.75" customHeight="1">
      <c r="A13" s="48" t="s">
        <v>1944</v>
      </c>
      <c r="B13" s="49" t="s">
        <v>323</v>
      </c>
      <c r="C13" s="51" t="s">
        <v>225</v>
      </c>
      <c r="D13" s="54"/>
      <c r="E13" s="5"/>
      <c r="F13" s="5"/>
      <c r="G13" s="5"/>
      <c r="K13" s="52"/>
      <c r="L13" s="50"/>
      <c r="M13" s="51"/>
      <c r="N13" s="5"/>
      <c r="S13" s="52"/>
      <c r="T13" s="50"/>
      <c r="U13" s="51"/>
    </row>
    <row r="14" spans="1:23" ht="15.75" customHeight="1">
      <c r="A14" s="48" t="s">
        <v>1945</v>
      </c>
      <c r="B14" s="49" t="s">
        <v>324</v>
      </c>
      <c r="C14" s="51" t="s">
        <v>197</v>
      </c>
      <c r="D14" s="54"/>
      <c r="E14" s="5"/>
      <c r="F14" s="5"/>
      <c r="G14" s="5"/>
      <c r="K14" s="52"/>
      <c r="L14" s="50"/>
      <c r="M14" s="51"/>
      <c r="N14" s="51"/>
      <c r="S14" s="52"/>
      <c r="T14" s="50"/>
      <c r="U14" s="51"/>
    </row>
    <row r="15" spans="1:23" ht="15.75" customHeight="1">
      <c r="A15" s="48" t="s">
        <v>1946</v>
      </c>
      <c r="B15" s="49" t="s">
        <v>250</v>
      </c>
      <c r="C15" s="51" t="s">
        <v>208</v>
      </c>
      <c r="D15" s="54"/>
      <c r="E15" s="5"/>
      <c r="F15" s="5"/>
      <c r="G15" s="5"/>
      <c r="K15" s="52"/>
      <c r="L15" s="50"/>
      <c r="M15" s="51"/>
      <c r="N15" s="51"/>
      <c r="S15" s="52"/>
      <c r="T15" s="50"/>
      <c r="U15" s="51"/>
    </row>
    <row r="16" spans="1:23" ht="15.75" customHeight="1">
      <c r="A16" s="48" t="s">
        <v>1947</v>
      </c>
      <c r="B16" s="49" t="s">
        <v>251</v>
      </c>
      <c r="C16" s="51" t="s">
        <v>192</v>
      </c>
      <c r="D16" s="54"/>
      <c r="E16" s="5"/>
      <c r="F16" s="5"/>
      <c r="G16" s="5"/>
      <c r="K16" s="52"/>
      <c r="L16" s="50"/>
      <c r="M16" s="51"/>
      <c r="N16" s="51"/>
      <c r="S16" s="52"/>
      <c r="T16" s="50"/>
      <c r="U16" s="51"/>
    </row>
    <row r="17" spans="1:27" ht="15.75" customHeight="1">
      <c r="A17" s="48" t="s">
        <v>1948</v>
      </c>
      <c r="B17" s="49" t="s">
        <v>235</v>
      </c>
      <c r="C17" s="51" t="s">
        <v>199</v>
      </c>
      <c r="D17" s="54"/>
      <c r="E17" s="5"/>
      <c r="F17" s="5"/>
      <c r="G17" s="5"/>
      <c r="K17" s="52"/>
      <c r="L17" s="50"/>
      <c r="M17" s="51"/>
      <c r="N17" s="51"/>
      <c r="S17" s="52"/>
      <c r="T17" s="50"/>
      <c r="U17" s="51"/>
    </row>
    <row r="18" spans="1:27" ht="15.75" customHeight="1">
      <c r="A18" s="48" t="s">
        <v>1949</v>
      </c>
      <c r="B18" s="49" t="s">
        <v>376</v>
      </c>
      <c r="C18" s="51" t="s">
        <v>195</v>
      </c>
      <c r="D18" s="54"/>
      <c r="E18" s="5"/>
      <c r="F18" s="5"/>
      <c r="G18" s="5"/>
      <c r="M18" s="5"/>
      <c r="N18" s="5"/>
      <c r="U18" s="5"/>
      <c r="AA18" s="5"/>
    </row>
    <row r="19" spans="1:27" ht="15.75" customHeight="1">
      <c r="A19" s="48" t="s">
        <v>1950</v>
      </c>
      <c r="B19" s="49" t="s">
        <v>233</v>
      </c>
      <c r="C19" s="51" t="s">
        <v>197</v>
      </c>
      <c r="D19" s="54"/>
      <c r="E19" s="5"/>
      <c r="F19" s="5"/>
      <c r="G19" s="5"/>
      <c r="K19" s="1"/>
      <c r="M19" s="5"/>
      <c r="N19" s="5"/>
      <c r="U19" s="5"/>
      <c r="AA19" s="5"/>
    </row>
    <row r="20" spans="1:27" ht="15.75" customHeight="1">
      <c r="A20" s="48" t="s">
        <v>1951</v>
      </c>
      <c r="B20" s="49" t="s">
        <v>344</v>
      </c>
      <c r="C20" s="51" t="s">
        <v>197</v>
      </c>
      <c r="D20" s="54"/>
      <c r="E20" s="5"/>
      <c r="F20" s="5"/>
      <c r="G20" s="5"/>
      <c r="L20" s="40"/>
      <c r="M20" s="5"/>
      <c r="N20" s="5"/>
      <c r="AA20" s="5"/>
    </row>
    <row r="21" spans="1:27" ht="15.75" customHeight="1">
      <c r="A21" s="48" t="s">
        <v>1952</v>
      </c>
      <c r="B21" s="49" t="s">
        <v>328</v>
      </c>
      <c r="C21" s="51" t="s">
        <v>205</v>
      </c>
      <c r="D21" s="54"/>
      <c r="E21" s="5"/>
      <c r="F21" s="5"/>
      <c r="G21" s="5"/>
      <c r="M21" s="5"/>
      <c r="N21" s="5"/>
      <c r="AA21" s="5"/>
    </row>
    <row r="22" spans="1:27" ht="15.75" customHeight="1">
      <c r="A22" s="48" t="s">
        <v>1953</v>
      </c>
      <c r="B22" s="49" t="s">
        <v>198</v>
      </c>
      <c r="C22" s="51" t="s">
        <v>199</v>
      </c>
      <c r="D22" s="54"/>
      <c r="E22" s="5"/>
      <c r="F22" s="5"/>
      <c r="G22" s="5"/>
      <c r="K22" s="42"/>
      <c r="L22" s="45"/>
      <c r="M22" s="46"/>
      <c r="N22" s="47"/>
      <c r="AA22" s="5"/>
    </row>
    <row r="23" spans="1:27" ht="15.75" customHeight="1">
      <c r="A23" s="48" t="s">
        <v>1954</v>
      </c>
      <c r="B23" s="49" t="s">
        <v>241</v>
      </c>
      <c r="C23" s="51" t="s">
        <v>197</v>
      </c>
      <c r="D23" s="54"/>
      <c r="E23" s="5"/>
      <c r="F23" s="5"/>
      <c r="G23" s="5"/>
      <c r="K23" s="42"/>
      <c r="L23" s="43"/>
      <c r="M23" s="43"/>
      <c r="N23" s="42"/>
      <c r="O23" s="44"/>
      <c r="AA23" s="5"/>
    </row>
    <row r="24" spans="1:27" ht="15.75" customHeight="1">
      <c r="A24" s="48" t="s">
        <v>1955</v>
      </c>
      <c r="B24" s="49" t="s">
        <v>367</v>
      </c>
      <c r="C24" s="51" t="s">
        <v>208</v>
      </c>
      <c r="D24" s="54"/>
      <c r="E24" s="5"/>
      <c r="F24" s="5"/>
      <c r="G24" s="5"/>
      <c r="K24" s="52"/>
      <c r="L24" s="50"/>
      <c r="M24" s="51"/>
      <c r="N24" s="5"/>
      <c r="AA24" s="5"/>
    </row>
    <row r="25" spans="1:27" ht="15.75" customHeight="1">
      <c r="A25" s="48" t="s">
        <v>1956</v>
      </c>
      <c r="B25" s="49" t="s">
        <v>332</v>
      </c>
      <c r="C25" s="51" t="s">
        <v>197</v>
      </c>
      <c r="D25" s="54"/>
      <c r="E25" s="5"/>
      <c r="F25" s="5"/>
      <c r="G25" s="5"/>
      <c r="K25" s="52"/>
      <c r="L25" s="50"/>
      <c r="M25" s="51"/>
      <c r="N25" s="5"/>
      <c r="AA25" s="5"/>
    </row>
    <row r="26" spans="1:27" ht="15.75" customHeight="1">
      <c r="A26" s="48" t="s">
        <v>1957</v>
      </c>
      <c r="B26" s="49" t="s">
        <v>255</v>
      </c>
      <c r="C26" s="51" t="s">
        <v>225</v>
      </c>
      <c r="D26" s="54"/>
      <c r="E26" s="5"/>
      <c r="F26" s="5"/>
      <c r="G26" s="5"/>
      <c r="K26" s="52"/>
      <c r="L26" s="50"/>
      <c r="M26" s="51"/>
      <c r="N26" s="51"/>
      <c r="AA26" s="5"/>
    </row>
    <row r="27" spans="1:27" ht="15.75" customHeight="1">
      <c r="A27" s="48" t="s">
        <v>1958</v>
      </c>
      <c r="B27" s="49" t="s">
        <v>261</v>
      </c>
      <c r="C27" s="51" t="s">
        <v>197</v>
      </c>
      <c r="D27" s="54"/>
      <c r="E27" s="5"/>
      <c r="F27" s="51"/>
      <c r="G27" s="5"/>
      <c r="K27" s="52"/>
      <c r="L27" s="50"/>
      <c r="M27" s="51"/>
      <c r="N27" s="51"/>
      <c r="AA27" s="5"/>
    </row>
    <row r="28" spans="1:27" ht="15.75" customHeight="1">
      <c r="A28" s="48" t="s">
        <v>1959</v>
      </c>
      <c r="B28" s="49" t="s">
        <v>334</v>
      </c>
      <c r="C28" s="51" t="s">
        <v>197</v>
      </c>
      <c r="D28" s="54"/>
      <c r="E28" s="5"/>
      <c r="F28" s="5"/>
      <c r="G28" s="5"/>
      <c r="J28" s="5"/>
      <c r="K28" s="52"/>
      <c r="L28" s="50"/>
      <c r="M28" s="51"/>
      <c r="N28" s="5"/>
      <c r="P28" s="5"/>
    </row>
    <row r="29" spans="1:27" ht="15.75" customHeight="1">
      <c r="A29" s="48" t="s">
        <v>1960</v>
      </c>
      <c r="B29" s="49" t="s">
        <v>362</v>
      </c>
      <c r="C29" s="51" t="s">
        <v>195</v>
      </c>
      <c r="D29" s="54"/>
      <c r="E29" s="5"/>
      <c r="F29" s="5"/>
      <c r="G29" s="5"/>
      <c r="J29" s="5"/>
      <c r="K29" s="52"/>
      <c r="L29" s="50"/>
      <c r="M29" s="51"/>
      <c r="N29" s="51"/>
      <c r="P29" s="5"/>
    </row>
    <row r="30" spans="1:27" ht="15.75" customHeight="1">
      <c r="A30" s="48" t="s">
        <v>1961</v>
      </c>
      <c r="B30" s="49" t="s">
        <v>372</v>
      </c>
      <c r="C30" s="51" t="s">
        <v>208</v>
      </c>
      <c r="D30" s="54"/>
      <c r="E30" s="5"/>
      <c r="F30" s="5"/>
      <c r="G30" s="5"/>
      <c r="J30" s="5"/>
      <c r="K30" s="52"/>
      <c r="L30" s="50"/>
      <c r="M30" s="51"/>
      <c r="N30" s="5"/>
      <c r="P30" s="5"/>
    </row>
    <row r="31" spans="1:27" ht="15.75" customHeight="1">
      <c r="A31" s="48" t="s">
        <v>1962</v>
      </c>
      <c r="B31" s="49" t="s">
        <v>247</v>
      </c>
      <c r="C31" s="51" t="s">
        <v>192</v>
      </c>
      <c r="D31" s="51"/>
      <c r="E31" s="5"/>
      <c r="F31" s="5"/>
      <c r="G31" s="5"/>
      <c r="J31" s="5"/>
      <c r="K31" s="52"/>
      <c r="L31" s="50"/>
      <c r="M31" s="51"/>
      <c r="N31" s="51"/>
      <c r="P31" s="5"/>
    </row>
    <row r="32" spans="1:27" ht="15.75" customHeight="1">
      <c r="A32" s="48" t="s">
        <v>1963</v>
      </c>
      <c r="B32" s="49" t="s">
        <v>341</v>
      </c>
      <c r="C32" s="51" t="s">
        <v>225</v>
      </c>
      <c r="D32" s="54"/>
      <c r="E32" s="5"/>
      <c r="F32" s="5"/>
      <c r="G32" s="5"/>
      <c r="J32" s="5"/>
      <c r="K32" s="52"/>
      <c r="L32" s="50"/>
      <c r="M32" s="51"/>
      <c r="N32" s="5"/>
      <c r="P32" s="5"/>
    </row>
    <row r="33" spans="1:16" ht="15.75" customHeight="1">
      <c r="A33" s="48" t="s">
        <v>1964</v>
      </c>
      <c r="B33" s="49" t="s">
        <v>232</v>
      </c>
      <c r="C33" s="51" t="s">
        <v>205</v>
      </c>
      <c r="D33" s="54"/>
      <c r="E33" s="5"/>
      <c r="F33" s="5"/>
      <c r="G33" s="5"/>
      <c r="J33" s="5"/>
      <c r="K33" s="52"/>
      <c r="L33" s="50"/>
      <c r="M33" s="51"/>
      <c r="N33" s="5"/>
      <c r="P33" s="5"/>
    </row>
    <row r="34" spans="1:16" ht="15.75" customHeight="1">
      <c r="A34" s="48" t="s">
        <v>1965</v>
      </c>
      <c r="B34" s="49" t="s">
        <v>297</v>
      </c>
      <c r="C34" s="51" t="s">
        <v>205</v>
      </c>
      <c r="D34" s="54"/>
      <c r="E34" s="5"/>
      <c r="F34" s="5"/>
      <c r="G34" s="5"/>
      <c r="J34" s="5"/>
      <c r="K34" s="52"/>
      <c r="L34" s="50"/>
      <c r="M34" s="51"/>
      <c r="N34" s="5"/>
      <c r="P34" s="5"/>
    </row>
    <row r="35" spans="1:16" ht="15.75" customHeight="1">
      <c r="A35" s="48" t="s">
        <v>1966</v>
      </c>
      <c r="B35" s="49" t="s">
        <v>258</v>
      </c>
      <c r="C35" s="51" t="s">
        <v>199</v>
      </c>
      <c r="D35" s="54"/>
      <c r="E35" s="5"/>
      <c r="F35" s="5"/>
      <c r="G35" s="5"/>
      <c r="J35" s="5"/>
      <c r="K35" s="52"/>
      <c r="L35" s="50"/>
      <c r="M35" s="51"/>
      <c r="N35" s="51"/>
      <c r="P35" s="5"/>
    </row>
    <row r="36" spans="1:16" ht="15.75" customHeight="1">
      <c r="A36" s="48" t="s">
        <v>1967</v>
      </c>
      <c r="B36" s="49" t="s">
        <v>281</v>
      </c>
      <c r="C36" s="51" t="s">
        <v>195</v>
      </c>
      <c r="D36" s="54"/>
      <c r="E36" s="5"/>
      <c r="F36" s="5"/>
      <c r="G36" s="5"/>
      <c r="J36" s="5"/>
      <c r="M36" s="5"/>
      <c r="N36" s="5"/>
      <c r="P36" s="5"/>
    </row>
    <row r="37" spans="1:16" ht="15.75" customHeight="1">
      <c r="A37" s="48" t="s">
        <v>1968</v>
      </c>
      <c r="B37" s="49" t="s">
        <v>348</v>
      </c>
      <c r="C37" s="51" t="s">
        <v>195</v>
      </c>
      <c r="D37" s="54"/>
      <c r="E37" s="5"/>
      <c r="F37" s="5"/>
      <c r="G37" s="5"/>
      <c r="J37" s="5"/>
      <c r="M37" s="5"/>
      <c r="N37" s="5"/>
    </row>
    <row r="38" spans="1:16" ht="15.75" customHeight="1">
      <c r="A38" s="48" t="s">
        <v>1969</v>
      </c>
      <c r="B38" s="49" t="s">
        <v>263</v>
      </c>
      <c r="C38" s="51" t="s">
        <v>195</v>
      </c>
      <c r="D38" s="54"/>
      <c r="E38" s="5"/>
      <c r="F38" s="5"/>
      <c r="G38" s="5"/>
      <c r="J38" s="5"/>
      <c r="M38" s="51"/>
      <c r="N38" s="51"/>
    </row>
    <row r="39" spans="1:16" ht="15.75" customHeight="1">
      <c r="A39" s="48" t="s">
        <v>1970</v>
      </c>
      <c r="B39" s="49" t="s">
        <v>264</v>
      </c>
      <c r="C39" s="51" t="s">
        <v>205</v>
      </c>
      <c r="D39" s="51"/>
      <c r="E39" s="5"/>
      <c r="F39" s="5"/>
      <c r="G39" s="5"/>
      <c r="J39" s="5"/>
      <c r="M39" s="51"/>
      <c r="N39" s="51"/>
    </row>
    <row r="40" spans="1:16" ht="15.75" customHeight="1">
      <c r="A40" s="48" t="s">
        <v>1971</v>
      </c>
      <c r="B40" s="49" t="s">
        <v>266</v>
      </c>
      <c r="C40" s="51" t="s">
        <v>205</v>
      </c>
      <c r="D40" s="51"/>
      <c r="E40" s="5"/>
      <c r="F40" s="5"/>
      <c r="G40" s="5"/>
      <c r="J40" s="5"/>
      <c r="M40" s="51"/>
      <c r="N40" s="51"/>
    </row>
    <row r="41" spans="1:16" ht="15.75" customHeight="1">
      <c r="A41" s="48" t="s">
        <v>1972</v>
      </c>
      <c r="B41" s="49" t="s">
        <v>336</v>
      </c>
      <c r="C41" s="51" t="s">
        <v>197</v>
      </c>
      <c r="D41" s="54"/>
      <c r="E41" s="5"/>
      <c r="F41" s="5"/>
      <c r="G41" s="5"/>
      <c r="J41" s="5"/>
      <c r="M41" s="51"/>
      <c r="N41" s="51"/>
    </row>
    <row r="42" spans="1:16" ht="15.75" customHeight="1">
      <c r="A42" s="48" t="s">
        <v>1973</v>
      </c>
      <c r="B42" s="49" t="s">
        <v>350</v>
      </c>
      <c r="C42" s="51" t="s">
        <v>225</v>
      </c>
      <c r="D42" s="54"/>
      <c r="E42" s="5"/>
      <c r="F42" s="5"/>
      <c r="G42" s="5"/>
      <c r="J42" s="5"/>
      <c r="M42" s="51"/>
      <c r="N42" s="51"/>
    </row>
    <row r="43" spans="1:16" ht="15.75" customHeight="1">
      <c r="A43" s="48" t="s">
        <v>1974</v>
      </c>
      <c r="B43" s="49" t="s">
        <v>286</v>
      </c>
      <c r="C43" s="51" t="s">
        <v>205</v>
      </c>
      <c r="D43" s="54"/>
      <c r="E43" s="5"/>
      <c r="F43" s="5"/>
      <c r="G43" s="5"/>
      <c r="J43" s="5"/>
      <c r="M43" s="51"/>
      <c r="N43" s="51"/>
    </row>
    <row r="44" spans="1:16" ht="15.75" customHeight="1">
      <c r="A44" s="48" t="s">
        <v>1975</v>
      </c>
      <c r="B44" s="49" t="s">
        <v>338</v>
      </c>
      <c r="C44" s="51" t="s">
        <v>205</v>
      </c>
      <c r="D44" s="54"/>
      <c r="E44" s="5"/>
      <c r="F44" s="5"/>
      <c r="G44" s="5"/>
      <c r="J44" s="5"/>
      <c r="M44" s="51"/>
      <c r="N44" s="51"/>
    </row>
    <row r="45" spans="1:16" ht="15.75" customHeight="1">
      <c r="A45" s="48" t="s">
        <v>1976</v>
      </c>
      <c r="B45" s="49" t="s">
        <v>269</v>
      </c>
      <c r="C45" s="51" t="s">
        <v>205</v>
      </c>
      <c r="D45" s="54"/>
      <c r="E45" s="5"/>
      <c r="F45" s="5"/>
      <c r="G45" s="5"/>
      <c r="J45" s="5"/>
      <c r="M45" s="51"/>
      <c r="N45" s="51"/>
      <c r="P45" s="5"/>
    </row>
    <row r="46" spans="1:16" ht="15.75" customHeight="1">
      <c r="A46" s="48" t="s">
        <v>1977</v>
      </c>
      <c r="B46" s="49" t="s">
        <v>288</v>
      </c>
      <c r="C46" s="51" t="s">
        <v>225</v>
      </c>
      <c r="D46" s="54"/>
      <c r="E46" s="5"/>
      <c r="F46" s="5"/>
      <c r="G46" s="5"/>
      <c r="J46" s="5"/>
      <c r="M46" s="51"/>
      <c r="N46" s="51"/>
      <c r="P46" s="5"/>
    </row>
    <row r="47" spans="1:16" ht="15.75" customHeight="1">
      <c r="A47" s="48" t="s">
        <v>1978</v>
      </c>
      <c r="B47" s="49" t="s">
        <v>339</v>
      </c>
      <c r="C47" s="51" t="s">
        <v>205</v>
      </c>
      <c r="D47" s="54"/>
      <c r="E47" s="5"/>
      <c r="F47" s="5"/>
      <c r="G47" s="5"/>
      <c r="J47" s="5"/>
      <c r="M47" s="5"/>
      <c r="N47" s="5"/>
      <c r="P47" s="5"/>
    </row>
    <row r="48" spans="1:16" ht="15.75" customHeight="1">
      <c r="A48" s="48" t="s">
        <v>1979</v>
      </c>
      <c r="B48" s="49" t="s">
        <v>340</v>
      </c>
      <c r="C48" s="51" t="s">
        <v>197</v>
      </c>
      <c r="D48" s="54"/>
      <c r="E48" s="5"/>
      <c r="F48" s="5"/>
      <c r="G48" s="5"/>
      <c r="J48" s="5"/>
      <c r="M48" s="5"/>
      <c r="N48" s="5"/>
      <c r="P48" s="5"/>
    </row>
    <row r="49" spans="1:16" ht="15.75" customHeight="1">
      <c r="A49" s="48" t="s">
        <v>1980</v>
      </c>
      <c r="B49" s="49" t="s">
        <v>257</v>
      </c>
      <c r="C49" s="51" t="s">
        <v>197</v>
      </c>
      <c r="D49" s="54"/>
      <c r="E49" s="5"/>
      <c r="F49" s="5"/>
      <c r="G49" s="5"/>
      <c r="J49" s="5"/>
      <c r="M49" s="5"/>
      <c r="N49" s="5"/>
      <c r="P49" s="5"/>
    </row>
    <row r="50" spans="1:16" ht="15.75" customHeight="1">
      <c r="A50" s="48" t="s">
        <v>1981</v>
      </c>
      <c r="B50" s="49" t="s">
        <v>270</v>
      </c>
      <c r="C50" s="51" t="s">
        <v>208</v>
      </c>
      <c r="D50" s="54"/>
      <c r="E50" s="5"/>
      <c r="F50" s="5"/>
      <c r="G50" s="5"/>
      <c r="J50" s="5"/>
      <c r="M50" s="5"/>
      <c r="N50" s="5"/>
      <c r="P50" s="5"/>
    </row>
    <row r="51" spans="1:16" ht="15.75" customHeight="1">
      <c r="A51" s="48" t="s">
        <v>1982</v>
      </c>
      <c r="B51" s="49" t="s">
        <v>271</v>
      </c>
      <c r="C51" s="51" t="s">
        <v>197</v>
      </c>
      <c r="D51" s="54"/>
      <c r="E51" s="5"/>
      <c r="F51" s="5"/>
      <c r="G51" s="5"/>
      <c r="J51" s="5"/>
      <c r="M51" s="5"/>
      <c r="N51" s="5"/>
      <c r="P51" s="5"/>
    </row>
    <row r="52" spans="1:16" ht="15.75" customHeight="1">
      <c r="A52" s="48" t="s">
        <v>1983</v>
      </c>
      <c r="B52" s="49" t="s">
        <v>272</v>
      </c>
      <c r="C52" s="51" t="s">
        <v>197</v>
      </c>
      <c r="D52" s="54"/>
      <c r="E52" s="5"/>
      <c r="F52" s="5"/>
      <c r="G52" s="5"/>
      <c r="J52" s="5"/>
      <c r="M52" s="5"/>
      <c r="N52" s="5"/>
      <c r="P52" s="5"/>
    </row>
    <row r="53" spans="1:16" ht="13">
      <c r="A53" s="48" t="s">
        <v>1984</v>
      </c>
      <c r="B53" s="49" t="s">
        <v>327</v>
      </c>
      <c r="C53" s="51" t="s">
        <v>205</v>
      </c>
      <c r="D53" s="54"/>
      <c r="E53" s="5"/>
      <c r="F53" s="5"/>
      <c r="G53" s="5"/>
      <c r="J53" s="5"/>
      <c r="M53" s="5"/>
      <c r="N53" s="5"/>
      <c r="P53" s="5"/>
    </row>
    <row r="54" spans="1:16" ht="13">
      <c r="A54" s="48" t="s">
        <v>1985</v>
      </c>
      <c r="B54" s="49" t="s">
        <v>274</v>
      </c>
      <c r="C54" s="51" t="s">
        <v>208</v>
      </c>
      <c r="D54" s="54"/>
      <c r="E54" s="5"/>
      <c r="F54" s="5"/>
      <c r="G54" s="5"/>
      <c r="J54" s="5"/>
      <c r="M54" s="5"/>
      <c r="N54" s="5"/>
      <c r="P54" s="5"/>
    </row>
    <row r="55" spans="1:16" ht="13">
      <c r="A55" s="48" t="s">
        <v>1986</v>
      </c>
      <c r="B55" s="49" t="s">
        <v>345</v>
      </c>
      <c r="C55" s="51" t="s">
        <v>205</v>
      </c>
      <c r="D55" s="54"/>
      <c r="E55" s="5"/>
      <c r="F55" s="5"/>
      <c r="G55" s="5"/>
      <c r="J55" s="5"/>
      <c r="M55" s="5"/>
      <c r="N55" s="5"/>
      <c r="P55" s="5"/>
    </row>
    <row r="56" spans="1:16" ht="13">
      <c r="A56" s="48" t="s">
        <v>1987</v>
      </c>
      <c r="B56" s="49" t="s">
        <v>330</v>
      </c>
      <c r="C56" s="51" t="s">
        <v>197</v>
      </c>
      <c r="D56" s="54"/>
      <c r="E56" s="5"/>
      <c r="F56" s="5"/>
      <c r="G56" s="5"/>
      <c r="J56" s="5"/>
      <c r="M56" s="5"/>
      <c r="N56" s="5"/>
      <c r="P56" s="5"/>
    </row>
    <row r="57" spans="1:16" ht="13">
      <c r="A57" s="48" t="s">
        <v>1988</v>
      </c>
      <c r="B57" s="49" t="s">
        <v>346</v>
      </c>
      <c r="C57" s="51" t="s">
        <v>205</v>
      </c>
      <c r="D57" s="54"/>
      <c r="E57" s="5"/>
      <c r="F57" s="5"/>
      <c r="G57" s="5"/>
      <c r="J57" s="5"/>
      <c r="M57" s="5"/>
      <c r="N57" s="5"/>
      <c r="P57" s="5"/>
    </row>
    <row r="58" spans="1:16" ht="13">
      <c r="A58" s="48" t="s">
        <v>1989</v>
      </c>
      <c r="B58" s="49" t="s">
        <v>276</v>
      </c>
      <c r="C58" s="51" t="s">
        <v>205</v>
      </c>
      <c r="D58" s="54"/>
      <c r="E58" s="5"/>
      <c r="F58" s="5"/>
      <c r="G58" s="5"/>
      <c r="J58" s="5"/>
      <c r="M58" s="5"/>
      <c r="N58" s="5"/>
      <c r="P58" s="5"/>
    </row>
    <row r="59" spans="1:16" ht="13">
      <c r="A59" s="48" t="s">
        <v>1990</v>
      </c>
      <c r="B59" s="49" t="s">
        <v>276</v>
      </c>
      <c r="C59" s="51" t="s">
        <v>205</v>
      </c>
      <c r="D59" s="51"/>
      <c r="E59" s="5"/>
      <c r="F59" s="5"/>
      <c r="G59" s="5"/>
      <c r="J59" s="5"/>
      <c r="M59" s="5"/>
      <c r="N59" s="5"/>
      <c r="P59" s="5"/>
    </row>
    <row r="60" spans="1:16" ht="13">
      <c r="A60" s="48" t="s">
        <v>1991</v>
      </c>
      <c r="B60" s="49" t="s">
        <v>277</v>
      </c>
      <c r="C60" s="51" t="s">
        <v>205</v>
      </c>
      <c r="D60" s="51"/>
      <c r="E60" s="5"/>
      <c r="F60" s="5"/>
      <c r="G60" s="5"/>
      <c r="J60" s="5"/>
      <c r="M60" s="5"/>
      <c r="N60" s="5"/>
      <c r="P60" s="5"/>
    </row>
    <row r="61" spans="1:16" ht="13">
      <c r="A61" s="48" t="s">
        <v>1992</v>
      </c>
      <c r="B61" s="49" t="s">
        <v>278</v>
      </c>
      <c r="C61" s="51" t="s">
        <v>199</v>
      </c>
      <c r="D61" s="54"/>
      <c r="E61" s="5"/>
      <c r="F61" s="5"/>
      <c r="G61" s="5"/>
      <c r="J61" s="5"/>
      <c r="M61" s="5"/>
      <c r="N61" s="5"/>
      <c r="P61" s="5"/>
    </row>
    <row r="62" spans="1:16" ht="13">
      <c r="A62" s="48" t="s">
        <v>1993</v>
      </c>
      <c r="B62" s="49" t="s">
        <v>278</v>
      </c>
      <c r="C62" s="51" t="s">
        <v>199</v>
      </c>
      <c r="D62" s="54"/>
      <c r="E62" s="5"/>
      <c r="F62" s="5"/>
      <c r="G62" s="5"/>
      <c r="J62" s="5"/>
      <c r="M62" s="5"/>
      <c r="N62" s="5"/>
      <c r="P62" s="5"/>
    </row>
    <row r="63" spans="1:16" ht="13">
      <c r="A63" s="48" t="s">
        <v>1994</v>
      </c>
      <c r="B63" s="49" t="s">
        <v>244</v>
      </c>
      <c r="C63" s="51" t="s">
        <v>197</v>
      </c>
      <c r="D63" s="54"/>
      <c r="E63" s="5"/>
      <c r="F63" s="5"/>
      <c r="G63" s="5"/>
      <c r="J63" s="5"/>
      <c r="M63" s="5"/>
      <c r="N63" s="5"/>
      <c r="P63" s="5"/>
    </row>
    <row r="64" spans="1:16" ht="13">
      <c r="A64" s="48" t="s">
        <v>1995</v>
      </c>
      <c r="B64" s="49" t="s">
        <v>347</v>
      </c>
      <c r="C64" s="51" t="s">
        <v>225</v>
      </c>
      <c r="D64" s="54"/>
      <c r="E64" s="5"/>
      <c r="F64" s="5"/>
      <c r="G64" s="5"/>
      <c r="J64" s="5"/>
      <c r="M64" s="5"/>
      <c r="N64" s="5"/>
      <c r="P64" s="5"/>
    </row>
    <row r="65" spans="1:16" ht="13">
      <c r="A65" s="48" t="s">
        <v>1996</v>
      </c>
      <c r="B65" s="49" t="s">
        <v>279</v>
      </c>
      <c r="C65" s="51" t="s">
        <v>225</v>
      </c>
      <c r="D65" s="54"/>
      <c r="E65" s="5"/>
      <c r="F65" s="5"/>
      <c r="G65" s="5"/>
      <c r="J65" s="5"/>
      <c r="M65" s="5"/>
      <c r="N65" s="5"/>
      <c r="P65" s="5"/>
    </row>
    <row r="66" spans="1:16" ht="13">
      <c r="A66" s="48" t="s">
        <v>1997</v>
      </c>
      <c r="B66" s="49" t="s">
        <v>280</v>
      </c>
      <c r="C66" s="51" t="s">
        <v>197</v>
      </c>
      <c r="D66" s="54"/>
      <c r="E66" s="5"/>
      <c r="F66" s="5"/>
      <c r="G66" s="5"/>
      <c r="J66" s="5"/>
      <c r="M66" s="5"/>
      <c r="N66" s="5"/>
      <c r="P66" s="5"/>
    </row>
    <row r="67" spans="1:16" ht="13">
      <c r="A67" s="48" t="s">
        <v>1998</v>
      </c>
      <c r="B67" s="49" t="s">
        <v>282</v>
      </c>
      <c r="C67" s="51" t="s">
        <v>195</v>
      </c>
      <c r="D67" s="54"/>
      <c r="E67" s="5"/>
      <c r="F67" s="5"/>
      <c r="G67" s="5"/>
      <c r="J67" s="5"/>
      <c r="M67" s="5"/>
      <c r="N67" s="5"/>
      <c r="P67" s="5"/>
    </row>
    <row r="68" spans="1:16" ht="13">
      <c r="A68" s="48" t="s">
        <v>1999</v>
      </c>
      <c r="B68" s="49" t="s">
        <v>262</v>
      </c>
      <c r="C68" s="51" t="s">
        <v>199</v>
      </c>
      <c r="D68" s="54"/>
      <c r="E68" s="5"/>
      <c r="F68" s="5"/>
      <c r="G68" s="5"/>
      <c r="J68" s="5"/>
      <c r="M68" s="5"/>
      <c r="N68" s="5"/>
      <c r="P68" s="5"/>
    </row>
    <row r="69" spans="1:16" ht="13">
      <c r="A69" s="48" t="s">
        <v>2000</v>
      </c>
      <c r="B69" s="49" t="s">
        <v>200</v>
      </c>
      <c r="C69" s="51" t="s">
        <v>197</v>
      </c>
      <c r="D69" s="54"/>
      <c r="E69" s="5"/>
      <c r="F69" s="5"/>
      <c r="G69" s="5"/>
      <c r="J69" s="5"/>
      <c r="M69" s="5"/>
      <c r="N69" s="5"/>
      <c r="P69" s="5"/>
    </row>
    <row r="70" spans="1:16" ht="13">
      <c r="A70" s="48" t="s">
        <v>2001</v>
      </c>
      <c r="B70" s="49" t="s">
        <v>384</v>
      </c>
      <c r="C70" s="51" t="s">
        <v>208</v>
      </c>
      <c r="D70" s="54"/>
      <c r="E70" s="5"/>
      <c r="F70" s="5"/>
      <c r="G70" s="5"/>
      <c r="J70" s="5"/>
      <c r="M70" s="5"/>
      <c r="N70" s="5"/>
      <c r="P70" s="5"/>
    </row>
    <row r="71" spans="1:16" ht="13">
      <c r="A71" s="48" t="s">
        <v>2002</v>
      </c>
      <c r="B71" s="49" t="s">
        <v>268</v>
      </c>
      <c r="C71" s="51" t="s">
        <v>208</v>
      </c>
      <c r="D71" s="5"/>
      <c r="J71" s="5"/>
      <c r="M71" s="5"/>
      <c r="N71" s="5"/>
      <c r="P71" s="5"/>
    </row>
    <row r="72" spans="1:16" ht="13">
      <c r="A72" s="48" t="s">
        <v>2003</v>
      </c>
      <c r="B72" s="49" t="s">
        <v>285</v>
      </c>
      <c r="C72" s="51" t="s">
        <v>192</v>
      </c>
      <c r="D72" s="51"/>
      <c r="E72" s="5"/>
      <c r="F72" s="5"/>
      <c r="G72" s="5"/>
      <c r="J72" s="5"/>
      <c r="M72" s="5"/>
      <c r="N72" s="5"/>
      <c r="P72" s="5"/>
    </row>
    <row r="73" spans="1:16" ht="13">
      <c r="A73" s="48" t="s">
        <v>2004</v>
      </c>
      <c r="B73" s="49" t="s">
        <v>202</v>
      </c>
      <c r="C73" s="51" t="s">
        <v>197</v>
      </c>
      <c r="D73" s="54"/>
      <c r="E73" s="5"/>
      <c r="F73" s="5"/>
      <c r="G73" s="5"/>
      <c r="J73" s="5"/>
      <c r="M73" s="5"/>
      <c r="N73" s="5"/>
      <c r="P73" s="5"/>
    </row>
    <row r="74" spans="1:16" ht="13">
      <c r="A74" s="48" t="s">
        <v>2005</v>
      </c>
      <c r="B74" s="49" t="s">
        <v>351</v>
      </c>
      <c r="C74" s="51" t="s">
        <v>205</v>
      </c>
      <c r="D74" s="51"/>
      <c r="E74" s="5"/>
      <c r="F74" s="5"/>
      <c r="G74" s="5"/>
      <c r="J74" s="5"/>
      <c r="M74" s="5"/>
      <c r="N74" s="5"/>
      <c r="P74" s="5"/>
    </row>
    <row r="75" spans="1:16" ht="13">
      <c r="A75" s="48" t="s">
        <v>2006</v>
      </c>
      <c r="B75" s="49" t="s">
        <v>287</v>
      </c>
      <c r="C75" s="51" t="s">
        <v>205</v>
      </c>
      <c r="D75" s="54"/>
      <c r="E75" s="5"/>
      <c r="F75" s="5"/>
      <c r="G75" s="5"/>
      <c r="J75" s="5"/>
      <c r="M75" s="5"/>
      <c r="N75" s="5"/>
      <c r="P75" s="5"/>
    </row>
    <row r="76" spans="1:16" ht="13">
      <c r="A76" s="48" t="s">
        <v>2007</v>
      </c>
      <c r="B76" s="49" t="s">
        <v>353</v>
      </c>
      <c r="C76" s="51" t="s">
        <v>205</v>
      </c>
      <c r="D76" s="51"/>
      <c r="E76" s="5"/>
      <c r="F76" s="5"/>
      <c r="G76" s="5"/>
      <c r="J76" s="5"/>
      <c r="M76" s="5"/>
      <c r="N76" s="5"/>
      <c r="P76" s="5"/>
    </row>
    <row r="77" spans="1:16" ht="13">
      <c r="A77" s="48" t="s">
        <v>2008</v>
      </c>
      <c r="B77" s="49" t="s">
        <v>289</v>
      </c>
      <c r="C77" s="51" t="s">
        <v>197</v>
      </c>
      <c r="D77" s="54"/>
      <c r="E77" s="5"/>
      <c r="F77" s="5"/>
      <c r="G77" s="5"/>
      <c r="J77" s="5"/>
      <c r="M77" s="5"/>
      <c r="N77" s="5"/>
      <c r="P77" s="5"/>
    </row>
    <row r="78" spans="1:16" ht="13">
      <c r="A78" s="48" t="s">
        <v>2009</v>
      </c>
      <c r="B78" s="49" t="s">
        <v>191</v>
      </c>
      <c r="C78" s="51" t="s">
        <v>192</v>
      </c>
      <c r="D78" s="51"/>
      <c r="E78" s="5"/>
      <c r="F78" s="5"/>
      <c r="G78" s="5"/>
      <c r="J78" s="5"/>
      <c r="M78" s="5"/>
      <c r="N78" s="5"/>
      <c r="P78" s="5"/>
    </row>
    <row r="79" spans="1:16" ht="13">
      <c r="A79" s="48" t="s">
        <v>2010</v>
      </c>
      <c r="B79" s="49" t="s">
        <v>290</v>
      </c>
      <c r="C79" s="51" t="s">
        <v>208</v>
      </c>
      <c r="D79" s="54"/>
      <c r="E79" s="5"/>
      <c r="F79" s="5"/>
      <c r="G79" s="5"/>
      <c r="J79" s="5"/>
      <c r="M79" s="5"/>
      <c r="N79" s="5"/>
      <c r="P79" s="5"/>
    </row>
    <row r="80" spans="1:16" ht="13">
      <c r="A80" s="48" t="s">
        <v>2011</v>
      </c>
      <c r="B80" s="49" t="s">
        <v>291</v>
      </c>
      <c r="C80" s="51" t="s">
        <v>199</v>
      </c>
      <c r="D80" s="54"/>
      <c r="E80" s="5"/>
      <c r="F80" s="5"/>
      <c r="G80" s="5"/>
      <c r="J80" s="5"/>
      <c r="M80" s="5"/>
      <c r="N80" s="5"/>
      <c r="P80" s="5"/>
    </row>
    <row r="81" spans="1:16" ht="13">
      <c r="A81" s="48" t="s">
        <v>2012</v>
      </c>
      <c r="B81" s="49" t="s">
        <v>292</v>
      </c>
      <c r="C81" s="51" t="s">
        <v>197</v>
      </c>
      <c r="D81" s="51"/>
      <c r="E81" s="5"/>
      <c r="F81" s="5"/>
      <c r="G81" s="5"/>
      <c r="J81" s="5"/>
      <c r="M81" s="5"/>
      <c r="N81" s="5"/>
      <c r="P81" s="5"/>
    </row>
    <row r="82" spans="1:16" ht="13">
      <c r="A82" s="48" t="s">
        <v>2013</v>
      </c>
      <c r="B82" s="49" t="s">
        <v>273</v>
      </c>
      <c r="C82" s="51" t="s">
        <v>208</v>
      </c>
      <c r="D82" s="54"/>
      <c r="E82" s="5"/>
      <c r="F82" s="5"/>
      <c r="G82" s="5"/>
      <c r="J82" s="5"/>
      <c r="M82" s="5"/>
      <c r="N82" s="5"/>
      <c r="P82" s="5"/>
    </row>
    <row r="83" spans="1:16" ht="13">
      <c r="A83" s="48" t="s">
        <v>2014</v>
      </c>
      <c r="B83" s="49" t="s">
        <v>386</v>
      </c>
      <c r="C83" s="51" t="s">
        <v>208</v>
      </c>
      <c r="D83" s="54"/>
      <c r="E83" s="5"/>
      <c r="F83" s="5"/>
      <c r="G83" s="5"/>
      <c r="J83" s="5"/>
      <c r="M83" s="5"/>
      <c r="N83" s="5"/>
      <c r="P83" s="5"/>
    </row>
    <row r="84" spans="1:16" ht="13">
      <c r="A84" s="48" t="s">
        <v>2015</v>
      </c>
      <c r="B84" s="49" t="s">
        <v>387</v>
      </c>
      <c r="C84" s="51" t="s">
        <v>195</v>
      </c>
      <c r="D84" s="54"/>
      <c r="E84" s="5"/>
      <c r="F84" s="5"/>
      <c r="G84" s="5"/>
      <c r="J84" s="5"/>
      <c r="M84" s="5"/>
      <c r="N84" s="5"/>
      <c r="P84" s="5"/>
    </row>
    <row r="85" spans="1:16" ht="13">
      <c r="A85" s="48" t="s">
        <v>2016</v>
      </c>
      <c r="B85" s="49" t="s">
        <v>355</v>
      </c>
      <c r="C85" s="51" t="s">
        <v>197</v>
      </c>
      <c r="D85" s="54"/>
      <c r="E85" s="5"/>
      <c r="F85" s="5"/>
      <c r="G85" s="5"/>
      <c r="J85" s="5"/>
      <c r="M85" s="5"/>
      <c r="N85" s="5"/>
      <c r="P85" s="5"/>
    </row>
    <row r="86" spans="1:16" ht="13">
      <c r="A86" s="48" t="s">
        <v>2017</v>
      </c>
      <c r="B86" s="49" t="s">
        <v>294</v>
      </c>
      <c r="C86" s="51" t="s">
        <v>208</v>
      </c>
      <c r="D86" s="54"/>
      <c r="E86" s="5"/>
      <c r="F86" s="5"/>
      <c r="G86" s="5"/>
      <c r="J86" s="5"/>
      <c r="M86" s="5"/>
      <c r="N86" s="5"/>
      <c r="P86" s="5"/>
    </row>
    <row r="87" spans="1:16" ht="13">
      <c r="A87" s="48" t="s">
        <v>2018</v>
      </c>
      <c r="B87" s="49" t="s">
        <v>294</v>
      </c>
      <c r="C87" s="51" t="s">
        <v>208</v>
      </c>
      <c r="D87" s="51"/>
      <c r="E87" s="5"/>
      <c r="F87" s="5"/>
      <c r="G87" s="5"/>
      <c r="J87" s="5"/>
      <c r="M87" s="5"/>
      <c r="N87" s="5"/>
      <c r="P87" s="5"/>
    </row>
    <row r="88" spans="1:16" ht="13">
      <c r="A88" s="48" t="s">
        <v>2019</v>
      </c>
      <c r="B88" s="49" t="s">
        <v>356</v>
      </c>
      <c r="C88" s="51" t="s">
        <v>205</v>
      </c>
      <c r="D88" s="54"/>
      <c r="E88" s="5"/>
      <c r="F88" s="5"/>
      <c r="G88" s="5"/>
      <c r="J88" s="5"/>
      <c r="M88" s="5"/>
      <c r="N88" s="5"/>
      <c r="P88" s="5"/>
    </row>
    <row r="89" spans="1:16" ht="13">
      <c r="A89" s="48" t="s">
        <v>2020</v>
      </c>
      <c r="B89" s="49" t="s">
        <v>298</v>
      </c>
      <c r="C89" s="51" t="s">
        <v>192</v>
      </c>
      <c r="D89" s="51"/>
      <c r="E89" s="5"/>
      <c r="F89" s="5"/>
      <c r="G89" s="5"/>
      <c r="J89" s="5"/>
      <c r="M89" s="5"/>
      <c r="N89" s="5"/>
      <c r="P89" s="5"/>
    </row>
    <row r="90" spans="1:16" ht="13">
      <c r="A90" s="48" t="s">
        <v>2021</v>
      </c>
      <c r="B90" s="49" t="s">
        <v>300</v>
      </c>
      <c r="C90" s="51" t="s">
        <v>205</v>
      </c>
      <c r="D90" s="51"/>
      <c r="E90" s="5"/>
      <c r="F90" s="5"/>
      <c r="G90" s="5"/>
      <c r="J90" s="5"/>
      <c r="M90" s="5"/>
      <c r="N90" s="5"/>
      <c r="P90" s="5"/>
    </row>
    <row r="91" spans="1:16" ht="13">
      <c r="A91" s="48" t="s">
        <v>2022</v>
      </c>
      <c r="B91" s="49" t="s">
        <v>1012</v>
      </c>
      <c r="C91" s="51" t="s">
        <v>1013</v>
      </c>
      <c r="D91" s="51"/>
      <c r="E91" s="5"/>
      <c r="F91" s="5"/>
      <c r="G91" s="5"/>
      <c r="J91" s="5"/>
      <c r="M91" s="5"/>
      <c r="N91" s="5"/>
      <c r="P91" s="5"/>
    </row>
    <row r="92" spans="1:16" ht="13">
      <c r="A92" s="48" t="s">
        <v>2023</v>
      </c>
      <c r="B92" s="49" t="s">
        <v>2024</v>
      </c>
      <c r="C92" s="51" t="s">
        <v>1013</v>
      </c>
      <c r="D92" s="54"/>
      <c r="E92" s="5"/>
      <c r="F92" s="5"/>
      <c r="G92" s="5"/>
      <c r="J92" s="5"/>
      <c r="M92" s="5"/>
      <c r="N92" s="5"/>
      <c r="P92" s="5"/>
    </row>
    <row r="93" spans="1:16" ht="13">
      <c r="A93" s="48" t="s">
        <v>2025</v>
      </c>
      <c r="B93" s="49" t="s">
        <v>1016</v>
      </c>
      <c r="C93" s="51" t="s">
        <v>206</v>
      </c>
      <c r="D93" s="51"/>
      <c r="E93" s="5"/>
      <c r="F93" s="5"/>
      <c r="G93" s="5"/>
      <c r="J93" s="5"/>
      <c r="M93" s="5"/>
      <c r="N93" s="5"/>
      <c r="P93" s="5"/>
    </row>
    <row r="94" spans="1:16" ht="13">
      <c r="A94" s="48" t="s">
        <v>2026</v>
      </c>
      <c r="B94" s="49" t="s">
        <v>1140</v>
      </c>
      <c r="C94" s="51" t="s">
        <v>206</v>
      </c>
      <c r="D94" s="54"/>
      <c r="E94" s="5"/>
      <c r="F94" s="5"/>
      <c r="G94" s="5"/>
      <c r="J94" s="5"/>
      <c r="M94" s="5"/>
      <c r="N94" s="5"/>
      <c r="P94" s="5"/>
    </row>
    <row r="95" spans="1:16" ht="13">
      <c r="A95" s="48" t="s">
        <v>2027</v>
      </c>
      <c r="B95" s="49" t="s">
        <v>1010</v>
      </c>
      <c r="C95" s="51" t="s">
        <v>912</v>
      </c>
      <c r="D95" s="54"/>
      <c r="E95" s="5"/>
      <c r="F95" s="5"/>
      <c r="G95" s="5"/>
      <c r="J95" s="5"/>
      <c r="M95" s="5"/>
      <c r="N95" s="5"/>
      <c r="P95" s="5"/>
    </row>
    <row r="96" spans="1:16" ht="13">
      <c r="A96" s="48" t="s">
        <v>2028</v>
      </c>
      <c r="B96" s="49" t="s">
        <v>2029</v>
      </c>
      <c r="C96" s="51" t="s">
        <v>206</v>
      </c>
      <c r="D96" s="54"/>
      <c r="E96" s="5"/>
      <c r="F96" s="5"/>
      <c r="G96" s="5"/>
      <c r="J96" s="5"/>
      <c r="M96" s="5"/>
      <c r="N96" s="5"/>
      <c r="P96" s="5"/>
    </row>
    <row r="97" spans="1:16" ht="13">
      <c r="A97" s="48" t="s">
        <v>2030</v>
      </c>
      <c r="B97" s="49" t="s">
        <v>1913</v>
      </c>
      <c r="C97" s="51" t="s">
        <v>206</v>
      </c>
      <c r="D97" s="54"/>
      <c r="E97" s="5"/>
      <c r="F97" s="5"/>
      <c r="G97" s="5"/>
      <c r="J97" s="5"/>
      <c r="M97" s="5"/>
      <c r="N97" s="5"/>
      <c r="P97" s="5"/>
    </row>
    <row r="98" spans="1:16" ht="13">
      <c r="A98" s="48" t="s">
        <v>2031</v>
      </c>
      <c r="B98" s="49" t="s">
        <v>2032</v>
      </c>
      <c r="C98" s="51" t="s">
        <v>229</v>
      </c>
      <c r="D98" s="54"/>
      <c r="E98" s="5"/>
      <c r="F98" s="5"/>
      <c r="G98" s="5"/>
      <c r="J98" s="5"/>
      <c r="M98" s="5"/>
      <c r="N98" s="5"/>
      <c r="P98" s="5"/>
    </row>
    <row r="99" spans="1:16" ht="13">
      <c r="A99" s="48" t="s">
        <v>2033</v>
      </c>
      <c r="B99" s="49" t="s">
        <v>357</v>
      </c>
      <c r="C99" s="51" t="s">
        <v>206</v>
      </c>
      <c r="D99" s="54"/>
      <c r="E99" s="5"/>
      <c r="F99" s="5"/>
      <c r="G99" s="5"/>
      <c r="J99" s="5"/>
      <c r="M99" s="5"/>
      <c r="N99" s="5"/>
      <c r="P99" s="5"/>
    </row>
    <row r="100" spans="1:16" ht="13">
      <c r="A100" s="48" t="s">
        <v>2034</v>
      </c>
      <c r="B100" s="49" t="s">
        <v>2035</v>
      </c>
      <c r="C100" s="51" t="s">
        <v>206</v>
      </c>
      <c r="D100" s="54"/>
      <c r="E100" s="5"/>
      <c r="F100" s="5"/>
      <c r="G100" s="5"/>
      <c r="J100" s="5"/>
      <c r="M100" s="5"/>
      <c r="N100" s="5"/>
      <c r="P100" s="5"/>
    </row>
    <row r="101" spans="1:16" ht="13">
      <c r="A101" s="48" t="s">
        <v>2036</v>
      </c>
      <c r="B101" s="49" t="s">
        <v>1020</v>
      </c>
      <c r="C101" s="51" t="s">
        <v>206</v>
      </c>
      <c r="D101" s="54"/>
      <c r="E101" s="5"/>
      <c r="F101" s="5"/>
      <c r="G101" s="5"/>
      <c r="J101" s="5"/>
      <c r="M101" s="5"/>
      <c r="N101" s="5"/>
      <c r="P101" s="5"/>
    </row>
    <row r="102" spans="1:16" ht="13">
      <c r="A102" s="48" t="s">
        <v>2037</v>
      </c>
      <c r="B102" s="49" t="s">
        <v>2038</v>
      </c>
      <c r="C102" s="51" t="s">
        <v>1013</v>
      </c>
      <c r="D102" s="54"/>
      <c r="E102" s="5"/>
      <c r="F102" s="5"/>
      <c r="G102" s="5"/>
      <c r="J102" s="5"/>
      <c r="M102" s="5"/>
      <c r="N102" s="5"/>
      <c r="P102" s="5"/>
    </row>
    <row r="103" spans="1:16" ht="13">
      <c r="A103" s="48" t="s">
        <v>2039</v>
      </c>
      <c r="B103" s="49" t="s">
        <v>925</v>
      </c>
      <c r="C103" s="51" t="s">
        <v>206</v>
      </c>
      <c r="D103" s="54"/>
      <c r="E103" s="5"/>
      <c r="F103" s="5"/>
      <c r="G103" s="5"/>
      <c r="J103" s="5"/>
      <c r="M103" s="5"/>
      <c r="N103" s="5"/>
      <c r="P103" s="5"/>
    </row>
    <row r="104" spans="1:16" ht="13">
      <c r="A104" s="48" t="s">
        <v>2040</v>
      </c>
      <c r="B104" s="49" t="s">
        <v>2041</v>
      </c>
      <c r="C104" s="51" t="s">
        <v>206</v>
      </c>
      <c r="D104" s="54"/>
      <c r="E104" s="5"/>
      <c r="F104" s="51"/>
      <c r="G104" s="5"/>
      <c r="J104" s="5"/>
      <c r="M104" s="5"/>
      <c r="N104" s="5"/>
      <c r="P104" s="5"/>
    </row>
    <row r="105" spans="1:16" ht="13">
      <c r="A105" s="48" t="s">
        <v>2042</v>
      </c>
      <c r="B105" s="49" t="s">
        <v>314</v>
      </c>
      <c r="C105" s="51" t="s">
        <v>206</v>
      </c>
      <c r="D105" s="51"/>
      <c r="E105" s="5"/>
      <c r="F105" s="5"/>
      <c r="G105" s="5"/>
      <c r="J105" s="5"/>
      <c r="M105" s="5"/>
      <c r="N105" s="5"/>
      <c r="P105" s="5"/>
    </row>
    <row r="106" spans="1:16" ht="13">
      <c r="A106" s="48" t="s">
        <v>2043</v>
      </c>
      <c r="B106" s="49" t="s">
        <v>315</v>
      </c>
      <c r="C106" s="51" t="s">
        <v>206</v>
      </c>
      <c r="D106" s="54"/>
      <c r="E106" s="5"/>
      <c r="F106" s="5"/>
      <c r="G106" s="5"/>
      <c r="J106" s="5"/>
      <c r="M106" s="5"/>
      <c r="N106" s="5"/>
      <c r="P106" s="5"/>
    </row>
    <row r="107" spans="1:16" ht="13">
      <c r="A107" s="48" t="s">
        <v>2044</v>
      </c>
      <c r="B107" s="49" t="s">
        <v>1479</v>
      </c>
      <c r="C107" s="51" t="s">
        <v>317</v>
      </c>
      <c r="D107" s="54"/>
      <c r="E107" s="5"/>
      <c r="F107" s="5"/>
      <c r="G107" s="5"/>
      <c r="J107" s="5"/>
      <c r="M107" s="5"/>
      <c r="N107" s="5"/>
      <c r="P107" s="5"/>
    </row>
    <row r="108" spans="1:16" ht="13">
      <c r="A108" s="48" t="s">
        <v>2045</v>
      </c>
      <c r="B108" s="49" t="s">
        <v>2046</v>
      </c>
      <c r="C108" s="51" t="s">
        <v>208</v>
      </c>
      <c r="D108" s="54"/>
      <c r="E108" s="5"/>
      <c r="F108" s="5"/>
      <c r="G108" s="5"/>
      <c r="J108" s="5"/>
      <c r="M108" s="5"/>
      <c r="N108" s="5"/>
      <c r="P108" s="5"/>
    </row>
    <row r="109" spans="1:16" ht="13">
      <c r="A109" s="48" t="s">
        <v>2047</v>
      </c>
      <c r="B109" s="49" t="s">
        <v>2048</v>
      </c>
      <c r="C109" s="51" t="s">
        <v>199</v>
      </c>
      <c r="D109" s="54"/>
      <c r="E109" s="5"/>
      <c r="F109" s="5"/>
      <c r="G109" s="5"/>
      <c r="J109" s="5"/>
      <c r="M109" s="5"/>
      <c r="N109" s="5"/>
      <c r="P109" s="5"/>
    </row>
    <row r="110" spans="1:16" ht="13">
      <c r="A110" s="48" t="s">
        <v>2049</v>
      </c>
      <c r="B110" s="49" t="s">
        <v>2050</v>
      </c>
      <c r="C110" s="51" t="s">
        <v>197</v>
      </c>
      <c r="D110" s="54"/>
      <c r="E110" s="5"/>
      <c r="F110" s="5"/>
      <c r="G110" s="5"/>
      <c r="J110" s="5"/>
      <c r="M110" s="5"/>
      <c r="N110" s="5"/>
      <c r="P110" s="5"/>
    </row>
    <row r="111" spans="1:16" ht="13">
      <c r="A111" s="48" t="s">
        <v>2051</v>
      </c>
      <c r="B111" s="49" t="s">
        <v>2052</v>
      </c>
      <c r="C111" s="51" t="s">
        <v>192</v>
      </c>
      <c r="D111" s="54"/>
      <c r="E111" s="5"/>
      <c r="F111" s="5"/>
      <c r="G111" s="5"/>
      <c r="J111" s="5"/>
      <c r="M111" s="5"/>
      <c r="N111" s="5"/>
      <c r="P111" s="5"/>
    </row>
    <row r="112" spans="1:16" ht="13">
      <c r="A112" s="48" t="s">
        <v>2053</v>
      </c>
      <c r="B112" s="49" t="s">
        <v>2054</v>
      </c>
      <c r="C112" s="51" t="s">
        <v>195</v>
      </c>
      <c r="D112" s="54"/>
      <c r="E112" s="5"/>
      <c r="F112" s="5"/>
      <c r="G112" s="5"/>
      <c r="J112" s="5"/>
      <c r="M112" s="5"/>
      <c r="N112" s="5"/>
      <c r="P112" s="5"/>
    </row>
    <row r="113" spans="1:16" ht="13">
      <c r="A113" s="48" t="s">
        <v>2055</v>
      </c>
      <c r="B113" s="49" t="s">
        <v>2056</v>
      </c>
      <c r="C113" s="51" t="s">
        <v>208</v>
      </c>
      <c r="D113" s="54"/>
      <c r="E113" s="5"/>
      <c r="F113" s="5"/>
      <c r="G113" s="5"/>
      <c r="J113" s="5"/>
      <c r="M113" s="5"/>
      <c r="N113" s="5"/>
      <c r="P113" s="5"/>
    </row>
    <row r="114" spans="1:16" ht="13">
      <c r="A114" s="48" t="s">
        <v>2057</v>
      </c>
      <c r="B114" s="49" t="s">
        <v>2058</v>
      </c>
      <c r="C114" s="51" t="s">
        <v>195</v>
      </c>
      <c r="D114" s="54"/>
      <c r="E114" s="5"/>
      <c r="F114" s="5"/>
      <c r="G114" s="5"/>
      <c r="J114" s="5"/>
      <c r="M114" s="5"/>
      <c r="N114" s="5"/>
      <c r="P114" s="5"/>
    </row>
    <row r="115" spans="1:16" ht="13">
      <c r="A115" s="48" t="s">
        <v>2059</v>
      </c>
      <c r="B115" s="49" t="s">
        <v>2058</v>
      </c>
      <c r="C115" s="51" t="s">
        <v>195</v>
      </c>
      <c r="D115" s="54"/>
      <c r="E115" s="5"/>
      <c r="F115" s="5"/>
      <c r="G115" s="5"/>
      <c r="J115" s="5"/>
      <c r="M115" s="5"/>
      <c r="N115" s="5"/>
      <c r="P115" s="5"/>
    </row>
    <row r="116" spans="1:16" ht="13">
      <c r="A116" s="48" t="s">
        <v>2060</v>
      </c>
      <c r="B116" s="49" t="s">
        <v>2061</v>
      </c>
      <c r="C116" s="51" t="s">
        <v>205</v>
      </c>
      <c r="D116" s="54"/>
      <c r="E116" s="5"/>
      <c r="F116" s="5"/>
      <c r="G116" s="5"/>
      <c r="J116" s="5"/>
      <c r="M116" s="5"/>
      <c r="N116" s="5"/>
      <c r="P116" s="5"/>
    </row>
    <row r="117" spans="1:16" ht="13">
      <c r="A117" s="48" t="s">
        <v>2062</v>
      </c>
      <c r="B117" s="49" t="s">
        <v>278</v>
      </c>
      <c r="C117" s="51" t="s">
        <v>199</v>
      </c>
      <c r="D117" s="54"/>
      <c r="E117" s="5"/>
      <c r="F117" s="5"/>
      <c r="G117" s="5"/>
      <c r="J117" s="5"/>
      <c r="M117" s="5"/>
      <c r="N117" s="5"/>
      <c r="P117" s="5"/>
    </row>
    <row r="118" spans="1:16" ht="13">
      <c r="A118" s="48" t="s">
        <v>2063</v>
      </c>
      <c r="B118" s="49" t="s">
        <v>1203</v>
      </c>
      <c r="C118" s="51" t="s">
        <v>208</v>
      </c>
      <c r="D118" s="54"/>
      <c r="E118" s="5"/>
      <c r="F118" s="5"/>
      <c r="G118" s="5"/>
      <c r="J118" s="5"/>
      <c r="M118" s="5"/>
      <c r="N118" s="5"/>
      <c r="P118" s="5"/>
    </row>
    <row r="119" spans="1:16" ht="13">
      <c r="A119" s="48" t="s">
        <v>2064</v>
      </c>
      <c r="B119" s="49" t="s">
        <v>1202</v>
      </c>
      <c r="C119" s="51" t="s">
        <v>199</v>
      </c>
      <c r="D119" s="54"/>
      <c r="E119" s="5"/>
      <c r="F119" s="5"/>
      <c r="G119" s="5"/>
      <c r="J119" s="5"/>
      <c r="M119" s="5"/>
      <c r="N119" s="5"/>
      <c r="P119" s="5"/>
    </row>
    <row r="120" spans="1:16" ht="13">
      <c r="A120" s="48" t="s">
        <v>2065</v>
      </c>
      <c r="B120" s="49" t="s">
        <v>1204</v>
      </c>
      <c r="C120" s="51" t="s">
        <v>192</v>
      </c>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900-000000000000}"/>
    <hyperlink ref="B6" r:id="rId2" xr:uid="{00000000-0004-0000-1900-000001000000}"/>
    <hyperlink ref="B7" r:id="rId3" xr:uid="{00000000-0004-0000-1900-000002000000}"/>
    <hyperlink ref="B8" r:id="rId4" xr:uid="{00000000-0004-0000-1900-000003000000}"/>
    <hyperlink ref="B9" r:id="rId5" xr:uid="{00000000-0004-0000-1900-000004000000}"/>
    <hyperlink ref="B10" r:id="rId6" xr:uid="{00000000-0004-0000-1900-000005000000}"/>
    <hyperlink ref="B11" r:id="rId7" xr:uid="{00000000-0004-0000-1900-000006000000}"/>
    <hyperlink ref="B12" r:id="rId8" xr:uid="{00000000-0004-0000-1900-000007000000}"/>
    <hyperlink ref="B13" r:id="rId9" xr:uid="{00000000-0004-0000-1900-000008000000}"/>
    <hyperlink ref="B14" r:id="rId10" xr:uid="{00000000-0004-0000-1900-000009000000}"/>
    <hyperlink ref="B15" r:id="rId11" xr:uid="{00000000-0004-0000-1900-00000A000000}"/>
    <hyperlink ref="B16" r:id="rId12" xr:uid="{00000000-0004-0000-1900-00000B000000}"/>
    <hyperlink ref="B17" r:id="rId13" xr:uid="{00000000-0004-0000-1900-00000C000000}"/>
    <hyperlink ref="B18" r:id="rId14" xr:uid="{00000000-0004-0000-1900-00000D000000}"/>
    <hyperlink ref="B19" r:id="rId15" xr:uid="{00000000-0004-0000-1900-00000E000000}"/>
    <hyperlink ref="B20" r:id="rId16" xr:uid="{00000000-0004-0000-1900-00000F000000}"/>
    <hyperlink ref="B21" r:id="rId17" xr:uid="{00000000-0004-0000-1900-000010000000}"/>
    <hyperlink ref="B22" r:id="rId18" xr:uid="{00000000-0004-0000-1900-000011000000}"/>
    <hyperlink ref="B23" r:id="rId19" xr:uid="{00000000-0004-0000-1900-000012000000}"/>
    <hyperlink ref="B24" r:id="rId20" xr:uid="{00000000-0004-0000-1900-000013000000}"/>
    <hyperlink ref="B25" r:id="rId21" xr:uid="{00000000-0004-0000-1900-000014000000}"/>
    <hyperlink ref="B26" r:id="rId22" xr:uid="{00000000-0004-0000-1900-000015000000}"/>
    <hyperlink ref="B27" r:id="rId23" xr:uid="{00000000-0004-0000-1900-000016000000}"/>
    <hyperlink ref="B28" r:id="rId24" xr:uid="{00000000-0004-0000-1900-000017000000}"/>
    <hyperlink ref="B29" r:id="rId25" xr:uid="{00000000-0004-0000-1900-000018000000}"/>
    <hyperlink ref="B30" r:id="rId26" xr:uid="{00000000-0004-0000-1900-000019000000}"/>
    <hyperlink ref="B31" r:id="rId27" xr:uid="{00000000-0004-0000-1900-00001A000000}"/>
    <hyperlink ref="B32" r:id="rId28" xr:uid="{00000000-0004-0000-1900-00001B000000}"/>
    <hyperlink ref="B33" r:id="rId29" xr:uid="{00000000-0004-0000-1900-00001C000000}"/>
    <hyperlink ref="B34" r:id="rId30" xr:uid="{00000000-0004-0000-1900-00001D000000}"/>
    <hyperlink ref="B35" r:id="rId31" xr:uid="{00000000-0004-0000-1900-00001E000000}"/>
    <hyperlink ref="B36" r:id="rId32" xr:uid="{00000000-0004-0000-1900-00001F000000}"/>
    <hyperlink ref="B37" r:id="rId33" xr:uid="{00000000-0004-0000-1900-000020000000}"/>
    <hyperlink ref="B38" r:id="rId34" xr:uid="{00000000-0004-0000-1900-000021000000}"/>
    <hyperlink ref="B39" r:id="rId35" xr:uid="{00000000-0004-0000-1900-000022000000}"/>
    <hyperlink ref="B40" r:id="rId36" xr:uid="{00000000-0004-0000-1900-000023000000}"/>
    <hyperlink ref="B41" r:id="rId37" xr:uid="{00000000-0004-0000-1900-000024000000}"/>
    <hyperlink ref="B42" r:id="rId38" xr:uid="{00000000-0004-0000-1900-000025000000}"/>
    <hyperlink ref="B43" r:id="rId39" xr:uid="{00000000-0004-0000-1900-000026000000}"/>
    <hyperlink ref="B44" r:id="rId40" xr:uid="{00000000-0004-0000-1900-000027000000}"/>
    <hyperlink ref="B45" r:id="rId41" xr:uid="{00000000-0004-0000-1900-000028000000}"/>
    <hyperlink ref="B46" r:id="rId42" xr:uid="{00000000-0004-0000-1900-000029000000}"/>
    <hyperlink ref="B47" r:id="rId43" xr:uid="{00000000-0004-0000-1900-00002A000000}"/>
    <hyperlink ref="B48" r:id="rId44" xr:uid="{00000000-0004-0000-1900-00002B000000}"/>
    <hyperlink ref="B49" r:id="rId45" xr:uid="{00000000-0004-0000-1900-00002C000000}"/>
    <hyperlink ref="B50" r:id="rId46" xr:uid="{00000000-0004-0000-1900-00002D000000}"/>
    <hyperlink ref="B51" r:id="rId47" xr:uid="{00000000-0004-0000-1900-00002E000000}"/>
    <hyperlink ref="B52" r:id="rId48" xr:uid="{00000000-0004-0000-1900-00002F000000}"/>
    <hyperlink ref="B53" r:id="rId49" xr:uid="{00000000-0004-0000-1900-000030000000}"/>
    <hyperlink ref="B54" r:id="rId50" xr:uid="{00000000-0004-0000-1900-000031000000}"/>
    <hyperlink ref="B55" r:id="rId51" xr:uid="{00000000-0004-0000-1900-000032000000}"/>
    <hyperlink ref="B56" r:id="rId52" xr:uid="{00000000-0004-0000-1900-000033000000}"/>
    <hyperlink ref="B57" r:id="rId53" xr:uid="{00000000-0004-0000-1900-000034000000}"/>
    <hyperlink ref="B58" r:id="rId54" xr:uid="{00000000-0004-0000-1900-000035000000}"/>
    <hyperlink ref="B59" r:id="rId55" xr:uid="{00000000-0004-0000-1900-000036000000}"/>
    <hyperlink ref="B60" r:id="rId56" xr:uid="{00000000-0004-0000-1900-000037000000}"/>
    <hyperlink ref="B61" r:id="rId57" xr:uid="{00000000-0004-0000-1900-000038000000}"/>
    <hyperlink ref="B62" r:id="rId58" xr:uid="{00000000-0004-0000-1900-000039000000}"/>
    <hyperlink ref="B63" r:id="rId59" xr:uid="{00000000-0004-0000-1900-00003A000000}"/>
    <hyperlink ref="B64" r:id="rId60" xr:uid="{00000000-0004-0000-1900-00003B000000}"/>
    <hyperlink ref="B65" r:id="rId61" xr:uid="{00000000-0004-0000-1900-00003C000000}"/>
    <hyperlink ref="B66" r:id="rId62" xr:uid="{00000000-0004-0000-1900-00003D000000}"/>
    <hyperlink ref="B67" r:id="rId63" xr:uid="{00000000-0004-0000-1900-00003E000000}"/>
    <hyperlink ref="B68" r:id="rId64" xr:uid="{00000000-0004-0000-1900-00003F000000}"/>
    <hyperlink ref="B69" r:id="rId65" xr:uid="{00000000-0004-0000-1900-000040000000}"/>
    <hyperlink ref="B70" r:id="rId66" xr:uid="{00000000-0004-0000-1900-000041000000}"/>
    <hyperlink ref="B71" r:id="rId67" xr:uid="{00000000-0004-0000-1900-000042000000}"/>
    <hyperlink ref="B72" r:id="rId68" xr:uid="{00000000-0004-0000-1900-000043000000}"/>
    <hyperlink ref="B73" r:id="rId69" xr:uid="{00000000-0004-0000-1900-000044000000}"/>
    <hyperlink ref="B74" r:id="rId70" xr:uid="{00000000-0004-0000-1900-000045000000}"/>
    <hyperlink ref="B75" r:id="rId71" xr:uid="{00000000-0004-0000-1900-000046000000}"/>
    <hyperlink ref="B76" r:id="rId72" xr:uid="{00000000-0004-0000-1900-000047000000}"/>
    <hyperlink ref="B77" r:id="rId73" xr:uid="{00000000-0004-0000-1900-000048000000}"/>
    <hyperlink ref="B78" r:id="rId74" xr:uid="{00000000-0004-0000-1900-000049000000}"/>
    <hyperlink ref="B79" r:id="rId75" xr:uid="{00000000-0004-0000-1900-00004A000000}"/>
    <hyperlink ref="B80" r:id="rId76" xr:uid="{00000000-0004-0000-1900-00004B000000}"/>
    <hyperlink ref="B81" r:id="rId77" xr:uid="{00000000-0004-0000-1900-00004C000000}"/>
    <hyperlink ref="B82" r:id="rId78" xr:uid="{00000000-0004-0000-1900-00004D000000}"/>
    <hyperlink ref="B83" r:id="rId79" xr:uid="{00000000-0004-0000-1900-00004E000000}"/>
    <hyperlink ref="B84" r:id="rId80" xr:uid="{00000000-0004-0000-1900-00004F000000}"/>
    <hyperlink ref="B85" r:id="rId81" xr:uid="{00000000-0004-0000-1900-000050000000}"/>
    <hyperlink ref="B86" r:id="rId82" xr:uid="{00000000-0004-0000-1900-000051000000}"/>
    <hyperlink ref="B87" r:id="rId83" xr:uid="{00000000-0004-0000-1900-000052000000}"/>
    <hyperlink ref="B88" r:id="rId84" xr:uid="{00000000-0004-0000-1900-000053000000}"/>
    <hyperlink ref="B89" r:id="rId85" xr:uid="{00000000-0004-0000-1900-000054000000}"/>
    <hyperlink ref="B90" r:id="rId86" xr:uid="{00000000-0004-0000-1900-000055000000}"/>
    <hyperlink ref="B91" r:id="rId87" xr:uid="{00000000-0004-0000-1900-000056000000}"/>
    <hyperlink ref="B92" r:id="rId88" xr:uid="{00000000-0004-0000-1900-000057000000}"/>
    <hyperlink ref="B93" r:id="rId89" xr:uid="{00000000-0004-0000-1900-000058000000}"/>
    <hyperlink ref="B94" r:id="rId90" xr:uid="{00000000-0004-0000-1900-000059000000}"/>
    <hyperlink ref="B95" r:id="rId91" xr:uid="{00000000-0004-0000-1900-00005A000000}"/>
    <hyperlink ref="B96" r:id="rId92" xr:uid="{00000000-0004-0000-1900-00005B000000}"/>
    <hyperlink ref="B97" r:id="rId93" xr:uid="{00000000-0004-0000-1900-00005C000000}"/>
    <hyperlink ref="B98" r:id="rId94" xr:uid="{00000000-0004-0000-1900-00005D000000}"/>
    <hyperlink ref="B99" r:id="rId95" xr:uid="{00000000-0004-0000-1900-00005E000000}"/>
    <hyperlink ref="B100" r:id="rId96" xr:uid="{00000000-0004-0000-1900-00005F000000}"/>
    <hyperlink ref="B101" r:id="rId97" xr:uid="{00000000-0004-0000-1900-000060000000}"/>
    <hyperlink ref="B102" r:id="rId98" xr:uid="{00000000-0004-0000-1900-000061000000}"/>
    <hyperlink ref="B103" r:id="rId99" xr:uid="{00000000-0004-0000-1900-000062000000}"/>
    <hyperlink ref="B104" r:id="rId100" xr:uid="{00000000-0004-0000-1900-000063000000}"/>
    <hyperlink ref="B105" r:id="rId101" xr:uid="{00000000-0004-0000-1900-000064000000}"/>
    <hyperlink ref="B106" r:id="rId102" xr:uid="{00000000-0004-0000-1900-000065000000}"/>
    <hyperlink ref="B107" r:id="rId103" xr:uid="{00000000-0004-0000-1900-000066000000}"/>
    <hyperlink ref="B108" r:id="rId104" xr:uid="{00000000-0004-0000-1900-000067000000}"/>
    <hyperlink ref="B109" r:id="rId105" xr:uid="{00000000-0004-0000-1900-000068000000}"/>
    <hyperlink ref="B110" r:id="rId106" xr:uid="{00000000-0004-0000-1900-000069000000}"/>
    <hyperlink ref="B111" r:id="rId107" xr:uid="{00000000-0004-0000-1900-00006A000000}"/>
    <hyperlink ref="B112" r:id="rId108" xr:uid="{00000000-0004-0000-1900-00006B000000}"/>
    <hyperlink ref="B113" r:id="rId109" xr:uid="{00000000-0004-0000-1900-00006C000000}"/>
    <hyperlink ref="B114" r:id="rId110" xr:uid="{00000000-0004-0000-1900-00006D000000}"/>
    <hyperlink ref="B115" r:id="rId111" xr:uid="{00000000-0004-0000-1900-00006E000000}"/>
    <hyperlink ref="B116" r:id="rId112" xr:uid="{00000000-0004-0000-1900-00006F000000}"/>
    <hyperlink ref="B117" r:id="rId113" xr:uid="{00000000-0004-0000-1900-000070000000}"/>
    <hyperlink ref="B118" r:id="rId114" xr:uid="{00000000-0004-0000-1900-000071000000}"/>
    <hyperlink ref="B119" r:id="rId115" xr:uid="{00000000-0004-0000-1900-000072000000}"/>
    <hyperlink ref="B120" r:id="rId116" xr:uid="{00000000-0004-0000-1900-000073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1.1640625" customWidth="1"/>
    <col min="3" max="3" width="15.1640625" customWidth="1"/>
    <col min="4" max="4" width="14.83203125" customWidth="1"/>
    <col min="5" max="5" width="14.33203125" customWidth="1"/>
    <col min="11" max="11" width="13.83203125" customWidth="1"/>
  </cols>
  <sheetData>
    <row r="1" spans="1:23" ht="15.75" customHeight="1">
      <c r="A1" s="1" t="s">
        <v>47</v>
      </c>
      <c r="B1" s="36"/>
      <c r="C1" s="37"/>
      <c r="D1" s="7" t="s">
        <v>181</v>
      </c>
      <c r="E1" s="5"/>
      <c r="F1" s="5"/>
      <c r="G1" s="5"/>
      <c r="K1" s="1"/>
      <c r="M1" s="5"/>
      <c r="N1" s="5"/>
      <c r="S1" s="1"/>
      <c r="U1" s="5"/>
    </row>
    <row r="2" spans="1:23" ht="15.75" customHeight="1">
      <c r="A2" s="7" t="s">
        <v>182</v>
      </c>
      <c r="B2" s="38">
        <v>38299</v>
      </c>
      <c r="C2" s="37"/>
      <c r="D2" s="39">
        <f>SUM(D5:G115)</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1207</v>
      </c>
      <c r="B5" s="49" t="s">
        <v>768</v>
      </c>
      <c r="C5" s="51" t="s">
        <v>208</v>
      </c>
      <c r="D5" s="54"/>
      <c r="E5" s="5"/>
      <c r="F5" s="5"/>
      <c r="G5" s="5"/>
      <c r="L5" s="43"/>
      <c r="M5" s="43"/>
      <c r="N5" s="42"/>
      <c r="O5" s="44"/>
      <c r="S5" s="42"/>
      <c r="T5" s="43"/>
      <c r="U5" s="43"/>
      <c r="V5" s="42"/>
      <c r="W5" s="44"/>
    </row>
    <row r="6" spans="1:23" ht="15.75" customHeight="1">
      <c r="A6" s="48" t="s">
        <v>1209</v>
      </c>
      <c r="B6" s="49" t="s">
        <v>988</v>
      </c>
      <c r="C6" s="51" t="s">
        <v>1637</v>
      </c>
      <c r="D6" s="54"/>
      <c r="E6" s="5"/>
      <c r="F6" s="5"/>
      <c r="G6" s="5"/>
      <c r="L6" s="50"/>
      <c r="M6" s="51"/>
      <c r="N6" s="5"/>
      <c r="S6" s="52"/>
      <c r="T6" s="50"/>
      <c r="U6" s="51"/>
    </row>
    <row r="7" spans="1:23" ht="15.75" customHeight="1">
      <c r="A7" s="48" t="s">
        <v>1211</v>
      </c>
      <c r="B7" s="49" t="s">
        <v>989</v>
      </c>
      <c r="C7" s="51" t="s">
        <v>1629</v>
      </c>
      <c r="D7" s="54"/>
      <c r="E7" s="5"/>
      <c r="F7" s="5"/>
      <c r="G7" s="5"/>
      <c r="K7" s="52"/>
      <c r="L7" s="50"/>
      <c r="M7" s="51"/>
      <c r="N7" s="5"/>
      <c r="S7" s="52"/>
      <c r="T7" s="50"/>
      <c r="U7" s="51"/>
    </row>
    <row r="8" spans="1:23" ht="15.75" customHeight="1">
      <c r="A8" s="48" t="s">
        <v>1213</v>
      </c>
      <c r="B8" s="49" t="s">
        <v>526</v>
      </c>
      <c r="C8" s="51" t="s">
        <v>1637</v>
      </c>
      <c r="D8" s="54"/>
      <c r="E8" s="5"/>
      <c r="F8" s="5"/>
      <c r="G8" s="5"/>
      <c r="K8" s="52"/>
      <c r="L8" s="50"/>
      <c r="M8" s="51"/>
      <c r="N8" s="51"/>
      <c r="S8" s="52"/>
      <c r="T8" s="50"/>
      <c r="U8" s="51"/>
    </row>
    <row r="9" spans="1:23" ht="15.75" customHeight="1">
      <c r="A9" s="48" t="s">
        <v>1215</v>
      </c>
      <c r="B9" s="49" t="s">
        <v>990</v>
      </c>
      <c r="C9" s="51" t="s">
        <v>1652</v>
      </c>
      <c r="D9" s="54"/>
      <c r="E9" s="5"/>
      <c r="F9" s="5"/>
      <c r="G9" s="5"/>
      <c r="K9" s="52"/>
      <c r="L9" s="50"/>
      <c r="M9" s="51"/>
      <c r="N9" s="51"/>
      <c r="S9" s="52"/>
      <c r="T9" s="50"/>
      <c r="U9" s="51"/>
    </row>
    <row r="10" spans="1:23" ht="15.75" customHeight="1">
      <c r="A10" s="48" t="s">
        <v>1217</v>
      </c>
      <c r="B10" s="49" t="s">
        <v>519</v>
      </c>
      <c r="C10" s="51" t="s">
        <v>1647</v>
      </c>
      <c r="D10" s="54"/>
      <c r="E10" s="5"/>
      <c r="F10" s="5"/>
      <c r="G10" s="5"/>
      <c r="K10" s="52"/>
      <c r="L10" s="50"/>
      <c r="M10" s="51"/>
      <c r="N10" s="5"/>
      <c r="S10" s="52"/>
      <c r="T10" s="50"/>
      <c r="U10" s="51"/>
    </row>
    <row r="11" spans="1:23" ht="15.75" customHeight="1">
      <c r="A11" s="48" t="s">
        <v>1219</v>
      </c>
      <c r="B11" s="49" t="s">
        <v>2066</v>
      </c>
      <c r="C11" s="51" t="s">
        <v>1644</v>
      </c>
      <c r="D11" s="54"/>
      <c r="E11" s="5"/>
      <c r="F11" s="5"/>
      <c r="G11" s="5"/>
      <c r="K11" s="52"/>
      <c r="L11" s="50"/>
      <c r="M11" s="51"/>
      <c r="N11" s="51"/>
      <c r="S11" s="52"/>
      <c r="T11" s="50"/>
      <c r="U11" s="51"/>
    </row>
    <row r="12" spans="1:23" ht="15.75" customHeight="1">
      <c r="A12" s="48" t="s">
        <v>1221</v>
      </c>
      <c r="B12" s="49" t="s">
        <v>1005</v>
      </c>
      <c r="C12" s="51" t="s">
        <v>1632</v>
      </c>
      <c r="D12" s="54"/>
      <c r="E12" s="5"/>
      <c r="F12" s="5"/>
      <c r="G12" s="5"/>
      <c r="K12" s="52"/>
      <c r="L12" s="50"/>
      <c r="M12" s="51"/>
      <c r="N12" s="51"/>
      <c r="S12" s="52"/>
      <c r="T12" s="50"/>
      <c r="U12" s="51"/>
    </row>
    <row r="13" spans="1:23" ht="15.75" customHeight="1">
      <c r="A13" s="48" t="s">
        <v>1223</v>
      </c>
      <c r="B13" s="49" t="s">
        <v>994</v>
      </c>
      <c r="C13" s="51" t="s">
        <v>1647</v>
      </c>
      <c r="D13" s="54"/>
      <c r="E13" s="5"/>
      <c r="F13" s="5"/>
      <c r="G13" s="5"/>
      <c r="K13" s="52"/>
      <c r="L13" s="50"/>
      <c r="M13" s="51"/>
      <c r="N13" s="5"/>
      <c r="S13" s="52"/>
      <c r="T13" s="50"/>
      <c r="U13" s="51"/>
    </row>
    <row r="14" spans="1:23" ht="15.75" customHeight="1">
      <c r="A14" s="48" t="s">
        <v>1225</v>
      </c>
      <c r="B14" s="49" t="s">
        <v>2067</v>
      </c>
      <c r="C14" s="51" t="s">
        <v>2068</v>
      </c>
      <c r="D14" s="54"/>
      <c r="E14" s="5"/>
      <c r="F14" s="5"/>
      <c r="G14" s="5"/>
      <c r="K14" s="52"/>
      <c r="L14" s="50"/>
      <c r="M14" s="51"/>
      <c r="N14" s="51"/>
      <c r="S14" s="52"/>
      <c r="T14" s="50"/>
      <c r="U14" s="51"/>
    </row>
    <row r="15" spans="1:23" ht="15.75" customHeight="1">
      <c r="A15" s="48" t="s">
        <v>1227</v>
      </c>
      <c r="B15" s="49" t="s">
        <v>777</v>
      </c>
      <c r="C15" s="51" t="s">
        <v>1629</v>
      </c>
      <c r="D15" s="54"/>
      <c r="E15" s="5"/>
      <c r="F15" s="5"/>
      <c r="G15" s="5"/>
      <c r="K15" s="52"/>
      <c r="L15" s="50"/>
      <c r="M15" s="51"/>
      <c r="N15" s="51"/>
      <c r="S15" s="52"/>
      <c r="T15" s="50"/>
      <c r="U15" s="51"/>
    </row>
    <row r="16" spans="1:23" ht="15.75" customHeight="1">
      <c r="A16" s="48" t="s">
        <v>1229</v>
      </c>
      <c r="B16" s="49" t="s">
        <v>779</v>
      </c>
      <c r="C16" s="51" t="s">
        <v>208</v>
      </c>
      <c r="D16" s="54"/>
      <c r="E16" s="5"/>
      <c r="F16" s="5"/>
      <c r="G16" s="5"/>
      <c r="K16" s="52"/>
      <c r="L16" s="50"/>
      <c r="M16" s="51"/>
      <c r="N16" s="51"/>
      <c r="S16" s="52"/>
      <c r="T16" s="50"/>
      <c r="U16" s="51"/>
    </row>
    <row r="17" spans="1:27" ht="15.75" customHeight="1">
      <c r="A17" s="48" t="s">
        <v>1231</v>
      </c>
      <c r="B17" s="49" t="s">
        <v>842</v>
      </c>
      <c r="C17" s="51" t="s">
        <v>225</v>
      </c>
      <c r="D17" s="54"/>
      <c r="E17" s="5"/>
      <c r="F17" s="5"/>
      <c r="G17" s="5"/>
      <c r="K17" s="52"/>
      <c r="L17" s="50"/>
      <c r="M17" s="51"/>
      <c r="N17" s="51"/>
      <c r="S17" s="52"/>
      <c r="T17" s="50"/>
      <c r="U17" s="51"/>
    </row>
    <row r="18" spans="1:27" ht="15.75" customHeight="1">
      <c r="A18" s="48" t="s">
        <v>1233</v>
      </c>
      <c r="B18" s="49" t="s">
        <v>793</v>
      </c>
      <c r="C18" s="51" t="s">
        <v>197</v>
      </c>
      <c r="D18" s="54"/>
      <c r="E18" s="5"/>
      <c r="F18" s="5"/>
      <c r="G18" s="5"/>
      <c r="M18" s="5"/>
      <c r="N18" s="5"/>
      <c r="U18" s="5"/>
      <c r="AA18" s="5"/>
    </row>
    <row r="19" spans="1:27" ht="15.75" customHeight="1">
      <c r="A19" s="48" t="s">
        <v>1235</v>
      </c>
      <c r="B19" s="49" t="s">
        <v>515</v>
      </c>
      <c r="C19" s="51" t="s">
        <v>808</v>
      </c>
      <c r="D19" s="54"/>
      <c r="E19" s="5"/>
      <c r="F19" s="5"/>
      <c r="G19" s="5"/>
      <c r="K19" s="1"/>
      <c r="M19" s="5"/>
      <c r="N19" s="5"/>
      <c r="U19" s="5"/>
      <c r="AA19" s="5"/>
    </row>
    <row r="20" spans="1:27" ht="15.75" customHeight="1">
      <c r="A20" s="48" t="s">
        <v>1236</v>
      </c>
      <c r="B20" s="49" t="s">
        <v>528</v>
      </c>
      <c r="C20" s="51" t="s">
        <v>1629</v>
      </c>
      <c r="D20" s="54"/>
      <c r="E20" s="5"/>
      <c r="F20" s="5"/>
      <c r="G20" s="5"/>
      <c r="L20" s="40"/>
      <c r="M20" s="5"/>
      <c r="N20" s="5"/>
      <c r="AA20" s="5"/>
    </row>
    <row r="21" spans="1:27" ht="15.75" customHeight="1">
      <c r="A21" s="48" t="s">
        <v>1238</v>
      </c>
      <c r="B21" s="49" t="s">
        <v>529</v>
      </c>
      <c r="C21" s="51" t="s">
        <v>808</v>
      </c>
      <c r="D21" s="54"/>
      <c r="E21" s="5"/>
      <c r="F21" s="5"/>
      <c r="G21" s="5"/>
      <c r="M21" s="5"/>
      <c r="N21" s="5"/>
      <c r="AA21" s="5"/>
    </row>
    <row r="22" spans="1:27" ht="15.75" customHeight="1">
      <c r="A22" s="48" t="s">
        <v>1239</v>
      </c>
      <c r="B22" s="49" t="s">
        <v>2069</v>
      </c>
      <c r="C22" s="51" t="s">
        <v>1644</v>
      </c>
      <c r="D22" s="54"/>
      <c r="E22" s="5"/>
      <c r="F22" s="5"/>
      <c r="G22" s="5"/>
      <c r="K22" s="42"/>
      <c r="L22" s="45"/>
      <c r="M22" s="46"/>
      <c r="N22" s="47"/>
      <c r="AA22" s="5"/>
    </row>
    <row r="23" spans="1:27" ht="15.75" customHeight="1">
      <c r="A23" s="48" t="s">
        <v>1241</v>
      </c>
      <c r="B23" s="49" t="s">
        <v>991</v>
      </c>
      <c r="C23" s="51" t="s">
        <v>808</v>
      </c>
      <c r="D23" s="54"/>
      <c r="E23" s="5"/>
      <c r="F23" s="5"/>
      <c r="G23" s="5"/>
      <c r="K23" s="42"/>
      <c r="L23" s="43"/>
      <c r="M23" s="43"/>
      <c r="N23" s="42"/>
      <c r="O23" s="44"/>
      <c r="AA23" s="5"/>
    </row>
    <row r="24" spans="1:27" ht="15.75" customHeight="1">
      <c r="A24" s="48" t="s">
        <v>1243</v>
      </c>
      <c r="B24" s="49" t="s">
        <v>991</v>
      </c>
      <c r="C24" s="51" t="s">
        <v>1644</v>
      </c>
      <c r="D24" s="54"/>
      <c r="E24" s="5"/>
      <c r="F24" s="5"/>
      <c r="G24" s="5"/>
      <c r="K24" s="52"/>
      <c r="L24" s="50"/>
      <c r="M24" s="51"/>
      <c r="N24" s="5"/>
      <c r="AA24" s="5"/>
    </row>
    <row r="25" spans="1:27" ht="15.75" customHeight="1">
      <c r="A25" s="48" t="s">
        <v>1244</v>
      </c>
      <c r="B25" s="49" t="s">
        <v>970</v>
      </c>
      <c r="C25" s="51" t="s">
        <v>208</v>
      </c>
      <c r="D25" s="54"/>
      <c r="E25" s="5"/>
      <c r="F25" s="5"/>
      <c r="G25" s="5"/>
      <c r="K25" s="52"/>
      <c r="L25" s="50"/>
      <c r="M25" s="51"/>
      <c r="N25" s="5"/>
      <c r="AA25" s="5"/>
    </row>
    <row r="26" spans="1:27" ht="15.75" customHeight="1">
      <c r="A26" s="48" t="s">
        <v>1245</v>
      </c>
      <c r="B26" s="49" t="s">
        <v>826</v>
      </c>
      <c r="C26" s="51" t="s">
        <v>197</v>
      </c>
      <c r="D26" s="54"/>
      <c r="E26" s="5"/>
      <c r="F26" s="5"/>
      <c r="G26" s="5"/>
      <c r="K26" s="52"/>
      <c r="L26" s="50"/>
      <c r="M26" s="51"/>
      <c r="N26" s="51"/>
      <c r="AA26" s="5"/>
    </row>
    <row r="27" spans="1:27" ht="15.75" customHeight="1">
      <c r="A27" s="48" t="s">
        <v>1247</v>
      </c>
      <c r="B27" s="49" t="s">
        <v>833</v>
      </c>
      <c r="C27" s="51" t="s">
        <v>205</v>
      </c>
      <c r="D27" s="54"/>
      <c r="E27" s="5"/>
      <c r="F27" s="51"/>
      <c r="G27" s="5"/>
      <c r="K27" s="52"/>
      <c r="L27" s="50"/>
      <c r="M27" s="51"/>
      <c r="N27" s="51"/>
      <c r="AA27" s="5"/>
    </row>
    <row r="28" spans="1:27" ht="15.75" customHeight="1">
      <c r="A28" s="48" t="s">
        <v>1248</v>
      </c>
      <c r="B28" s="49" t="s">
        <v>805</v>
      </c>
      <c r="C28" s="51" t="s">
        <v>199</v>
      </c>
      <c r="D28" s="54"/>
      <c r="E28" s="5"/>
      <c r="F28" s="5"/>
      <c r="G28" s="5"/>
      <c r="J28" s="5"/>
      <c r="K28" s="52"/>
      <c r="L28" s="50"/>
      <c r="M28" s="51"/>
      <c r="N28" s="5"/>
      <c r="P28" s="5"/>
    </row>
    <row r="29" spans="1:27" ht="15.75" customHeight="1">
      <c r="A29" s="48" t="s">
        <v>1249</v>
      </c>
      <c r="B29" s="49" t="s">
        <v>227</v>
      </c>
      <c r="C29" s="51" t="s">
        <v>195</v>
      </c>
      <c r="D29" s="54"/>
      <c r="E29" s="5"/>
      <c r="F29" s="5"/>
      <c r="G29" s="5"/>
      <c r="J29" s="5"/>
      <c r="K29" s="52"/>
      <c r="L29" s="50"/>
      <c r="M29" s="51"/>
      <c r="N29" s="51"/>
      <c r="P29" s="5"/>
    </row>
    <row r="30" spans="1:27" ht="15.75" customHeight="1">
      <c r="A30" s="48" t="s">
        <v>1251</v>
      </c>
      <c r="B30" s="49" t="s">
        <v>844</v>
      </c>
      <c r="C30" s="51" t="s">
        <v>208</v>
      </c>
      <c r="D30" s="54"/>
      <c r="E30" s="5"/>
      <c r="F30" s="5"/>
      <c r="G30" s="5"/>
      <c r="J30" s="5"/>
      <c r="K30" s="52"/>
      <c r="L30" s="50"/>
      <c r="M30" s="51"/>
      <c r="N30" s="5"/>
      <c r="P30" s="5"/>
    </row>
    <row r="31" spans="1:27" ht="15.75" customHeight="1">
      <c r="A31" s="48" t="s">
        <v>1253</v>
      </c>
      <c r="B31" s="49" t="s">
        <v>978</v>
      </c>
      <c r="C31" s="51" t="s">
        <v>208</v>
      </c>
      <c r="D31" s="54"/>
      <c r="E31" s="5"/>
      <c r="F31" s="5"/>
      <c r="G31" s="5"/>
      <c r="J31" s="5"/>
      <c r="K31" s="52"/>
      <c r="L31" s="50"/>
      <c r="M31" s="51"/>
      <c r="N31" s="51"/>
      <c r="P31" s="5"/>
    </row>
    <row r="32" spans="1:27" ht="15.75" customHeight="1">
      <c r="A32" s="48" t="s">
        <v>1254</v>
      </c>
      <c r="B32" s="49" t="s">
        <v>946</v>
      </c>
      <c r="C32" s="51" t="s">
        <v>205</v>
      </c>
      <c r="D32" s="54"/>
      <c r="E32" s="5"/>
      <c r="F32" s="5"/>
      <c r="G32" s="5"/>
      <c r="J32" s="5"/>
      <c r="K32" s="52"/>
      <c r="L32" s="50"/>
      <c r="M32" s="51"/>
      <c r="N32" s="5"/>
      <c r="P32" s="5"/>
    </row>
    <row r="33" spans="1:16" ht="15.75" customHeight="1">
      <c r="A33" s="48" t="s">
        <v>1255</v>
      </c>
      <c r="B33" s="49" t="s">
        <v>514</v>
      </c>
      <c r="C33" s="51" t="s">
        <v>1629</v>
      </c>
      <c r="D33" s="54"/>
      <c r="E33" s="5"/>
      <c r="F33" s="5"/>
      <c r="G33" s="5"/>
      <c r="J33" s="5"/>
      <c r="K33" s="52"/>
      <c r="L33" s="50"/>
      <c r="M33" s="51"/>
      <c r="N33" s="5"/>
      <c r="P33" s="5"/>
    </row>
    <row r="34" spans="1:16" ht="15.75" customHeight="1">
      <c r="A34" s="48" t="s">
        <v>1256</v>
      </c>
      <c r="B34" s="49" t="s">
        <v>992</v>
      </c>
      <c r="C34" s="51" t="s">
        <v>1629</v>
      </c>
      <c r="D34" s="54"/>
      <c r="E34" s="5"/>
      <c r="F34" s="5"/>
      <c r="G34" s="5"/>
      <c r="J34" s="5"/>
      <c r="K34" s="52"/>
      <c r="L34" s="50"/>
      <c r="M34" s="51"/>
      <c r="N34" s="5"/>
      <c r="P34" s="5"/>
    </row>
    <row r="35" spans="1:16" ht="15.75" customHeight="1">
      <c r="A35" s="48" t="s">
        <v>1258</v>
      </c>
      <c r="B35" s="49" t="s">
        <v>525</v>
      </c>
      <c r="C35" s="51" t="s">
        <v>808</v>
      </c>
      <c r="D35" s="54"/>
      <c r="E35" s="5"/>
      <c r="F35" s="5"/>
      <c r="G35" s="5"/>
      <c r="J35" s="5"/>
      <c r="K35" s="52"/>
      <c r="L35" s="50"/>
      <c r="M35" s="51"/>
      <c r="N35" s="51"/>
      <c r="P35" s="5"/>
    </row>
    <row r="36" spans="1:16" ht="15.75" customHeight="1">
      <c r="A36" s="48" t="s">
        <v>1259</v>
      </c>
      <c r="B36" s="49" t="s">
        <v>525</v>
      </c>
      <c r="C36" s="51" t="s">
        <v>808</v>
      </c>
      <c r="D36" s="54"/>
      <c r="E36" s="5"/>
      <c r="F36" s="5"/>
      <c r="G36" s="5"/>
      <c r="J36" s="5"/>
      <c r="M36" s="5"/>
      <c r="N36" s="5"/>
      <c r="P36" s="5"/>
    </row>
    <row r="37" spans="1:16" ht="15.75" customHeight="1">
      <c r="A37" s="48" t="s">
        <v>1260</v>
      </c>
      <c r="B37" s="49" t="s">
        <v>999</v>
      </c>
      <c r="C37" s="51" t="s">
        <v>1637</v>
      </c>
      <c r="D37" s="54"/>
      <c r="E37" s="5"/>
      <c r="F37" s="5"/>
      <c r="G37" s="5"/>
      <c r="J37" s="5"/>
      <c r="M37" s="5"/>
      <c r="N37" s="5"/>
    </row>
    <row r="38" spans="1:16" ht="15.75" customHeight="1">
      <c r="A38" s="48" t="s">
        <v>1261</v>
      </c>
      <c r="B38" s="49" t="s">
        <v>516</v>
      </c>
      <c r="C38" s="51" t="s">
        <v>1629</v>
      </c>
      <c r="D38" s="54"/>
      <c r="E38" s="5"/>
      <c r="F38" s="5"/>
      <c r="G38" s="5"/>
      <c r="J38" s="5"/>
      <c r="M38" s="51"/>
      <c r="N38" s="51"/>
    </row>
    <row r="39" spans="1:16" ht="15.75" customHeight="1">
      <c r="A39" s="48" t="s">
        <v>1263</v>
      </c>
      <c r="B39" s="49" t="s">
        <v>527</v>
      </c>
      <c r="C39" s="51" t="s">
        <v>1632</v>
      </c>
      <c r="D39" s="54"/>
      <c r="E39" s="5"/>
      <c r="F39" s="5"/>
      <c r="G39" s="5"/>
      <c r="J39" s="5"/>
      <c r="M39" s="51"/>
      <c r="N39" s="51"/>
    </row>
    <row r="40" spans="1:16" ht="15.75" customHeight="1">
      <c r="A40" s="48" t="s">
        <v>1264</v>
      </c>
      <c r="B40" s="49" t="s">
        <v>518</v>
      </c>
      <c r="C40" s="51" t="s">
        <v>1632</v>
      </c>
      <c r="D40" s="54"/>
      <c r="E40" s="5"/>
      <c r="F40" s="5"/>
      <c r="G40" s="5"/>
      <c r="J40" s="5"/>
      <c r="M40" s="51"/>
      <c r="N40" s="51"/>
    </row>
    <row r="41" spans="1:16" ht="15.75" customHeight="1">
      <c r="A41" s="48" t="s">
        <v>1266</v>
      </c>
      <c r="B41" s="49" t="s">
        <v>990</v>
      </c>
      <c r="C41" s="51" t="s">
        <v>1652</v>
      </c>
      <c r="D41" s="54"/>
      <c r="E41" s="5"/>
      <c r="F41" s="5"/>
      <c r="G41" s="5"/>
      <c r="J41" s="5"/>
      <c r="M41" s="51"/>
      <c r="N41" s="51"/>
    </row>
    <row r="42" spans="1:16" ht="15.75" customHeight="1">
      <c r="A42" s="48" t="s">
        <v>1267</v>
      </c>
      <c r="B42" s="49" t="s">
        <v>993</v>
      </c>
      <c r="C42" s="51" t="s">
        <v>1652</v>
      </c>
      <c r="D42" s="54"/>
      <c r="E42" s="5"/>
      <c r="F42" s="5"/>
      <c r="G42" s="5"/>
      <c r="J42" s="5"/>
      <c r="M42" s="51"/>
      <c r="N42" s="51"/>
    </row>
    <row r="43" spans="1:16" ht="15.75" customHeight="1">
      <c r="A43" s="48" t="s">
        <v>1269</v>
      </c>
      <c r="B43" s="49" t="s">
        <v>520</v>
      </c>
      <c r="C43" s="51" t="s">
        <v>1637</v>
      </c>
      <c r="D43" s="54"/>
      <c r="E43" s="5"/>
      <c r="F43" s="5"/>
      <c r="G43" s="5"/>
      <c r="J43" s="5"/>
      <c r="M43" s="51"/>
      <c r="N43" s="51"/>
    </row>
    <row r="44" spans="1:16" ht="15.75" customHeight="1">
      <c r="A44" s="48" t="s">
        <v>1270</v>
      </c>
      <c r="B44" s="49" t="s">
        <v>1000</v>
      </c>
      <c r="C44" s="51" t="s">
        <v>1644</v>
      </c>
      <c r="D44" s="54"/>
      <c r="E44" s="5"/>
      <c r="F44" s="5"/>
      <c r="G44" s="5"/>
      <c r="J44" s="5"/>
      <c r="M44" s="51"/>
      <c r="N44" s="51"/>
    </row>
    <row r="45" spans="1:16" ht="15.75" customHeight="1">
      <c r="A45" s="48" t="s">
        <v>1271</v>
      </c>
      <c r="B45" s="49" t="s">
        <v>1000</v>
      </c>
      <c r="C45" s="51" t="s">
        <v>1644</v>
      </c>
      <c r="D45" s="54"/>
      <c r="E45" s="5"/>
      <c r="F45" s="5"/>
      <c r="G45" s="5"/>
      <c r="J45" s="5"/>
      <c r="M45" s="51"/>
      <c r="N45" s="51"/>
      <c r="P45" s="5"/>
    </row>
    <row r="46" spans="1:16" ht="15.75" customHeight="1">
      <c r="A46" s="48" t="s">
        <v>1272</v>
      </c>
      <c r="B46" s="49" t="s">
        <v>521</v>
      </c>
      <c r="C46" s="51" t="s">
        <v>1629</v>
      </c>
      <c r="D46" s="54"/>
      <c r="E46" s="5"/>
      <c r="F46" s="5"/>
      <c r="G46" s="5"/>
      <c r="J46" s="5"/>
      <c r="M46" s="51"/>
      <c r="N46" s="51"/>
      <c r="P46" s="5"/>
    </row>
    <row r="47" spans="1:16" ht="15.75" customHeight="1">
      <c r="A47" s="48" t="s">
        <v>1273</v>
      </c>
      <c r="B47" s="49" t="s">
        <v>775</v>
      </c>
      <c r="C47" s="51" t="s">
        <v>225</v>
      </c>
      <c r="D47" s="54"/>
      <c r="E47" s="5"/>
      <c r="F47" s="5"/>
      <c r="G47" s="5"/>
      <c r="J47" s="5"/>
      <c r="M47" s="5"/>
      <c r="N47" s="5"/>
      <c r="P47" s="5"/>
    </row>
    <row r="48" spans="1:16" ht="15.75" customHeight="1">
      <c r="A48" s="48" t="s">
        <v>1275</v>
      </c>
      <c r="B48" s="49" t="s">
        <v>231</v>
      </c>
      <c r="C48" s="51" t="s">
        <v>199</v>
      </c>
      <c r="D48" s="54"/>
      <c r="E48" s="5"/>
      <c r="F48" s="5"/>
      <c r="G48" s="5"/>
      <c r="J48" s="5"/>
      <c r="M48" s="5"/>
      <c r="N48" s="5"/>
      <c r="P48" s="5"/>
    </row>
    <row r="49" spans="1:16" ht="15.75" customHeight="1">
      <c r="A49" s="48" t="s">
        <v>1277</v>
      </c>
      <c r="B49" s="49" t="s">
        <v>876</v>
      </c>
      <c r="C49" s="51" t="s">
        <v>208</v>
      </c>
      <c r="D49" s="54"/>
      <c r="E49" s="5"/>
      <c r="F49" s="5"/>
      <c r="G49" s="5"/>
      <c r="J49" s="5"/>
      <c r="M49" s="5"/>
      <c r="N49" s="5"/>
      <c r="P49" s="5"/>
    </row>
    <row r="50" spans="1:16" ht="15.75" customHeight="1">
      <c r="A50" s="48" t="s">
        <v>1279</v>
      </c>
      <c r="B50" s="49" t="s">
        <v>2070</v>
      </c>
      <c r="C50" s="51" t="s">
        <v>808</v>
      </c>
      <c r="D50" s="54"/>
      <c r="E50" s="5"/>
      <c r="F50" s="5"/>
      <c r="G50" s="5"/>
      <c r="J50" s="5"/>
      <c r="M50" s="5"/>
      <c r="N50" s="5"/>
      <c r="P50" s="5"/>
    </row>
    <row r="51" spans="1:16" ht="15.75" customHeight="1">
      <c r="A51" s="48" t="s">
        <v>1281</v>
      </c>
      <c r="B51" s="49" t="s">
        <v>2071</v>
      </c>
      <c r="C51" s="51" t="s">
        <v>808</v>
      </c>
      <c r="D51" s="54"/>
      <c r="E51" s="5"/>
      <c r="F51" s="5"/>
      <c r="G51" s="5"/>
      <c r="J51" s="5"/>
      <c r="M51" s="5"/>
      <c r="N51" s="5"/>
      <c r="P51" s="5"/>
    </row>
    <row r="52" spans="1:16" ht="15.75" customHeight="1">
      <c r="A52" s="48" t="s">
        <v>1283</v>
      </c>
      <c r="B52" s="49" t="s">
        <v>375</v>
      </c>
      <c r="C52" s="51" t="s">
        <v>208</v>
      </c>
      <c r="D52" s="54"/>
      <c r="E52" s="5"/>
      <c r="F52" s="5"/>
      <c r="G52" s="5"/>
      <c r="J52" s="5"/>
      <c r="M52" s="5"/>
      <c r="N52" s="5"/>
      <c r="P52" s="5"/>
    </row>
    <row r="53" spans="1:16" ht="13">
      <c r="A53" s="48" t="s">
        <v>1285</v>
      </c>
      <c r="B53" s="49" t="s">
        <v>850</v>
      </c>
      <c r="C53" s="51" t="s">
        <v>205</v>
      </c>
      <c r="D53" s="54"/>
      <c r="E53" s="5"/>
      <c r="F53" s="5"/>
      <c r="G53" s="5"/>
      <c r="J53" s="5"/>
      <c r="M53" s="5"/>
      <c r="N53" s="5"/>
      <c r="P53" s="5"/>
    </row>
    <row r="54" spans="1:16" ht="13">
      <c r="A54" s="48" t="s">
        <v>1286</v>
      </c>
      <c r="B54" s="49" t="s">
        <v>216</v>
      </c>
      <c r="C54" s="51" t="s">
        <v>197</v>
      </c>
      <c r="D54" s="54"/>
      <c r="E54" s="5"/>
      <c r="F54" s="5"/>
      <c r="G54" s="5"/>
      <c r="J54" s="5"/>
      <c r="M54" s="5"/>
      <c r="N54" s="5"/>
      <c r="P54" s="5"/>
    </row>
    <row r="55" spans="1:16" ht="13">
      <c r="A55" s="48" t="s">
        <v>1287</v>
      </c>
      <c r="B55" s="49" t="s">
        <v>347</v>
      </c>
      <c r="C55" s="51" t="s">
        <v>225</v>
      </c>
      <c r="D55" s="54"/>
      <c r="E55" s="5"/>
      <c r="F55" s="5"/>
      <c r="G55" s="5"/>
      <c r="J55" s="5"/>
      <c r="M55" s="5"/>
      <c r="N55" s="5"/>
      <c r="P55" s="5"/>
    </row>
    <row r="56" spans="1:16" ht="13">
      <c r="A56" s="48" t="s">
        <v>1289</v>
      </c>
      <c r="B56" s="49" t="s">
        <v>260</v>
      </c>
      <c r="C56" s="51" t="s">
        <v>197</v>
      </c>
      <c r="D56" s="51"/>
      <c r="E56" s="5"/>
      <c r="F56" s="5"/>
      <c r="G56" s="5"/>
      <c r="J56" s="5"/>
      <c r="M56" s="5"/>
      <c r="N56" s="5"/>
      <c r="P56" s="5"/>
    </row>
    <row r="57" spans="1:16" ht="13">
      <c r="A57" s="48" t="s">
        <v>1290</v>
      </c>
      <c r="B57" s="49" t="s">
        <v>260</v>
      </c>
      <c r="C57" s="51" t="s">
        <v>197</v>
      </c>
      <c r="D57" s="54"/>
      <c r="E57" s="5"/>
      <c r="F57" s="5"/>
      <c r="G57" s="5"/>
      <c r="J57" s="5"/>
      <c r="M57" s="5"/>
      <c r="N57" s="5"/>
      <c r="P57" s="5"/>
    </row>
    <row r="58" spans="1:16" ht="13">
      <c r="A58" s="48" t="s">
        <v>1291</v>
      </c>
      <c r="B58" s="49" t="s">
        <v>281</v>
      </c>
      <c r="C58" s="51" t="s">
        <v>195</v>
      </c>
      <c r="D58" s="54"/>
      <c r="E58" s="5"/>
      <c r="F58" s="5"/>
      <c r="G58" s="5"/>
      <c r="J58" s="5"/>
      <c r="M58" s="5"/>
      <c r="N58" s="5"/>
      <c r="P58" s="5"/>
    </row>
    <row r="59" spans="1:16" ht="13">
      <c r="A59" s="48" t="s">
        <v>1292</v>
      </c>
      <c r="B59" s="49" t="s">
        <v>379</v>
      </c>
      <c r="C59" s="51" t="s">
        <v>205</v>
      </c>
      <c r="D59" s="54"/>
      <c r="E59" s="5"/>
      <c r="F59" s="5"/>
      <c r="G59" s="5"/>
      <c r="J59" s="5"/>
      <c r="M59" s="5"/>
      <c r="N59" s="5"/>
      <c r="P59" s="5"/>
    </row>
    <row r="60" spans="1:16" ht="13">
      <c r="A60" s="48" t="s">
        <v>1293</v>
      </c>
      <c r="B60" s="49" t="s">
        <v>381</v>
      </c>
      <c r="C60" s="51" t="s">
        <v>205</v>
      </c>
      <c r="D60" s="54"/>
      <c r="E60" s="5"/>
      <c r="F60" s="5"/>
      <c r="G60" s="5"/>
      <c r="J60" s="5"/>
      <c r="M60" s="5"/>
      <c r="N60" s="5"/>
      <c r="P60" s="5"/>
    </row>
    <row r="61" spans="1:16" ht="13">
      <c r="A61" s="48" t="s">
        <v>1295</v>
      </c>
      <c r="B61" s="49" t="s">
        <v>871</v>
      </c>
      <c r="C61" s="51" t="s">
        <v>205</v>
      </c>
      <c r="D61" s="54"/>
      <c r="E61" s="5"/>
      <c r="F61" s="5"/>
      <c r="G61" s="5"/>
      <c r="J61" s="5"/>
      <c r="M61" s="5"/>
      <c r="N61" s="5"/>
      <c r="P61" s="5"/>
    </row>
    <row r="62" spans="1:16" ht="13">
      <c r="A62" s="48" t="s">
        <v>1296</v>
      </c>
      <c r="B62" s="49" t="s">
        <v>382</v>
      </c>
      <c r="C62" s="51" t="s">
        <v>208</v>
      </c>
      <c r="D62" s="54"/>
      <c r="E62" s="5"/>
      <c r="F62" s="5"/>
      <c r="G62" s="5"/>
      <c r="J62" s="5"/>
      <c r="M62" s="5"/>
      <c r="N62" s="5"/>
      <c r="P62" s="5"/>
    </row>
    <row r="63" spans="1:16" ht="13">
      <c r="A63" s="48" t="s">
        <v>1297</v>
      </c>
      <c r="B63" s="49" t="s">
        <v>939</v>
      </c>
      <c r="C63" s="51" t="s">
        <v>199</v>
      </c>
      <c r="D63" s="54"/>
      <c r="E63" s="5"/>
      <c r="F63" s="5"/>
      <c r="G63" s="5"/>
      <c r="J63" s="5"/>
      <c r="M63" s="5"/>
      <c r="N63" s="5"/>
      <c r="P63" s="5"/>
    </row>
    <row r="64" spans="1:16" ht="13">
      <c r="A64" s="48" t="s">
        <v>1298</v>
      </c>
      <c r="B64" s="49" t="s">
        <v>939</v>
      </c>
      <c r="C64" s="51" t="s">
        <v>199</v>
      </c>
      <c r="D64" s="54"/>
      <c r="E64" s="5"/>
      <c r="F64" s="5"/>
      <c r="G64" s="5"/>
      <c r="J64" s="5"/>
      <c r="M64" s="5"/>
      <c r="N64" s="5"/>
      <c r="P64" s="5"/>
    </row>
    <row r="65" spans="1:16" ht="13">
      <c r="A65" s="48" t="s">
        <v>1299</v>
      </c>
      <c r="B65" s="49" t="s">
        <v>283</v>
      </c>
      <c r="C65" s="51" t="s">
        <v>205</v>
      </c>
      <c r="D65" s="51"/>
      <c r="E65" s="5"/>
      <c r="F65" s="5"/>
      <c r="G65" s="5"/>
      <c r="J65" s="5"/>
      <c r="M65" s="5"/>
      <c r="N65" s="5"/>
      <c r="P65" s="5"/>
    </row>
    <row r="66" spans="1:16" ht="13">
      <c r="A66" s="48" t="s">
        <v>1301</v>
      </c>
      <c r="B66" s="49" t="s">
        <v>955</v>
      </c>
      <c r="C66" s="51" t="s">
        <v>225</v>
      </c>
      <c r="D66" s="54"/>
      <c r="E66" s="5"/>
      <c r="F66" s="5"/>
      <c r="G66" s="5"/>
      <c r="J66" s="5"/>
      <c r="M66" s="5"/>
      <c r="N66" s="5"/>
      <c r="P66" s="5"/>
    </row>
    <row r="67" spans="1:16" ht="13">
      <c r="A67" s="48" t="s">
        <v>1302</v>
      </c>
      <c r="B67" s="49" t="s">
        <v>955</v>
      </c>
      <c r="C67" s="51" t="s">
        <v>225</v>
      </c>
      <c r="D67" s="54"/>
      <c r="E67" s="5"/>
      <c r="F67" s="5"/>
      <c r="G67" s="5"/>
      <c r="J67" s="5"/>
      <c r="M67" s="5"/>
      <c r="N67" s="5"/>
      <c r="P67" s="5"/>
    </row>
    <row r="68" spans="1:16" ht="13">
      <c r="A68" s="48" t="s">
        <v>1304</v>
      </c>
      <c r="B68" s="49" t="s">
        <v>874</v>
      </c>
      <c r="C68" s="51" t="s">
        <v>205</v>
      </c>
      <c r="D68" s="54"/>
      <c r="E68" s="5"/>
      <c r="F68" s="5"/>
      <c r="G68" s="5"/>
      <c r="J68" s="5"/>
      <c r="M68" s="5"/>
      <c r="N68" s="5"/>
      <c r="P68" s="5"/>
    </row>
    <row r="69" spans="1:16" ht="13">
      <c r="A69" s="48" t="s">
        <v>1305</v>
      </c>
      <c r="B69" s="49" t="s">
        <v>268</v>
      </c>
      <c r="C69" s="51" t="s">
        <v>208</v>
      </c>
      <c r="D69" s="54"/>
      <c r="E69" s="5"/>
      <c r="F69" s="5"/>
      <c r="G69" s="5"/>
      <c r="J69" s="5"/>
      <c r="M69" s="5"/>
      <c r="N69" s="5"/>
      <c r="P69" s="5"/>
    </row>
    <row r="70" spans="1:16" ht="13">
      <c r="A70" s="48" t="s">
        <v>1306</v>
      </c>
      <c r="B70" s="49" t="s">
        <v>285</v>
      </c>
      <c r="C70" s="51" t="s">
        <v>192</v>
      </c>
      <c r="D70" s="51"/>
      <c r="E70" s="5"/>
      <c r="F70" s="5"/>
      <c r="G70" s="5"/>
      <c r="J70" s="5"/>
      <c r="M70" s="5"/>
      <c r="N70" s="5"/>
      <c r="P70" s="5"/>
    </row>
    <row r="71" spans="1:16" ht="13">
      <c r="A71" s="48" t="s">
        <v>1308</v>
      </c>
      <c r="B71" s="49" t="s">
        <v>878</v>
      </c>
      <c r="C71" s="51" t="s">
        <v>192</v>
      </c>
      <c r="D71" s="5"/>
      <c r="J71" s="5"/>
      <c r="M71" s="5"/>
      <c r="N71" s="5"/>
      <c r="P71" s="5"/>
    </row>
    <row r="72" spans="1:16" ht="13">
      <c r="A72" s="48" t="s">
        <v>1309</v>
      </c>
      <c r="B72" s="49" t="s">
        <v>215</v>
      </c>
      <c r="C72" s="51" t="s">
        <v>208</v>
      </c>
      <c r="D72" s="54"/>
      <c r="E72" s="5"/>
      <c r="F72" s="5"/>
      <c r="G72" s="5"/>
      <c r="J72" s="5"/>
      <c r="M72" s="5"/>
      <c r="N72" s="5"/>
      <c r="P72" s="5"/>
    </row>
    <row r="73" spans="1:16" ht="13">
      <c r="A73" s="48" t="s">
        <v>1310</v>
      </c>
      <c r="B73" s="49" t="s">
        <v>288</v>
      </c>
      <c r="C73" s="51" t="s">
        <v>225</v>
      </c>
      <c r="D73" s="51"/>
      <c r="E73" s="5"/>
      <c r="F73" s="5"/>
      <c r="G73" s="5"/>
      <c r="J73" s="5"/>
      <c r="M73" s="5"/>
      <c r="N73" s="5"/>
      <c r="P73" s="5"/>
    </row>
    <row r="74" spans="1:16" ht="13">
      <c r="A74" s="48" t="s">
        <v>1312</v>
      </c>
      <c r="B74" s="49" t="s">
        <v>207</v>
      </c>
      <c r="C74" s="51" t="s">
        <v>208</v>
      </c>
      <c r="D74" s="54"/>
      <c r="E74" s="5"/>
      <c r="F74" s="5"/>
      <c r="G74" s="5"/>
      <c r="J74" s="5"/>
      <c r="M74" s="5"/>
      <c r="N74" s="5"/>
      <c r="P74" s="5"/>
    </row>
    <row r="75" spans="1:16" ht="13">
      <c r="A75" s="48" t="s">
        <v>1313</v>
      </c>
      <c r="B75" s="49" t="s">
        <v>292</v>
      </c>
      <c r="C75" s="51" t="s">
        <v>197</v>
      </c>
      <c r="D75" s="54"/>
      <c r="E75" s="5"/>
      <c r="F75" s="5"/>
      <c r="G75" s="5"/>
      <c r="J75" s="5"/>
      <c r="M75" s="5"/>
      <c r="N75" s="5"/>
      <c r="P75" s="5"/>
    </row>
    <row r="76" spans="1:16" ht="13">
      <c r="A76" s="48" t="s">
        <v>1314</v>
      </c>
      <c r="B76" s="49" t="s">
        <v>292</v>
      </c>
      <c r="C76" s="51" t="s">
        <v>197</v>
      </c>
      <c r="D76" s="51"/>
      <c r="E76" s="5"/>
      <c r="F76" s="5"/>
      <c r="G76" s="5"/>
      <c r="J76" s="5"/>
      <c r="M76" s="5"/>
      <c r="N76" s="5"/>
      <c r="P76" s="5"/>
    </row>
    <row r="77" spans="1:16" ht="13">
      <c r="A77" s="48" t="s">
        <v>1316</v>
      </c>
      <c r="B77" s="49" t="s">
        <v>979</v>
      </c>
      <c r="C77" s="51" t="s">
        <v>208</v>
      </c>
      <c r="D77" s="54"/>
      <c r="E77" s="5"/>
      <c r="F77" s="5"/>
      <c r="G77" s="5"/>
      <c r="J77" s="5"/>
      <c r="M77" s="5"/>
      <c r="N77" s="5"/>
      <c r="P77" s="5"/>
    </row>
    <row r="78" spans="1:16" ht="13">
      <c r="A78" s="48" t="s">
        <v>1317</v>
      </c>
      <c r="B78" s="49" t="s">
        <v>293</v>
      </c>
      <c r="C78" s="51" t="s">
        <v>225</v>
      </c>
      <c r="D78" s="54"/>
      <c r="E78" s="5"/>
      <c r="F78" s="5"/>
      <c r="G78" s="5"/>
      <c r="J78" s="5"/>
      <c r="M78" s="5"/>
      <c r="N78" s="5"/>
      <c r="P78" s="5"/>
    </row>
    <row r="79" spans="1:16" ht="13">
      <c r="A79" s="48" t="s">
        <v>1318</v>
      </c>
      <c r="B79" s="49" t="s">
        <v>886</v>
      </c>
      <c r="C79" s="51" t="s">
        <v>197</v>
      </c>
      <c r="D79" s="54"/>
      <c r="E79" s="5"/>
      <c r="F79" s="5"/>
      <c r="G79" s="5"/>
      <c r="J79" s="5"/>
      <c r="M79" s="5"/>
      <c r="N79" s="5"/>
      <c r="P79" s="5"/>
    </row>
    <row r="80" spans="1:16" ht="13">
      <c r="A80" s="48" t="s">
        <v>1319</v>
      </c>
      <c r="B80" s="49" t="s">
        <v>387</v>
      </c>
      <c r="C80" s="51" t="s">
        <v>195</v>
      </c>
      <c r="D80" s="54"/>
      <c r="E80" s="5"/>
      <c r="F80" s="5"/>
      <c r="G80" s="5"/>
      <c r="J80" s="5"/>
      <c r="M80" s="5"/>
      <c r="N80" s="5"/>
      <c r="P80" s="5"/>
    </row>
    <row r="81" spans="1:16" ht="13">
      <c r="A81" s="48" t="s">
        <v>1320</v>
      </c>
      <c r="B81" s="49" t="s">
        <v>980</v>
      </c>
      <c r="C81" s="51" t="s">
        <v>199</v>
      </c>
      <c r="D81" s="54"/>
      <c r="E81" s="5"/>
      <c r="F81" s="5"/>
      <c r="G81" s="5"/>
      <c r="J81" s="5"/>
      <c r="M81" s="5"/>
      <c r="N81" s="5"/>
      <c r="P81" s="5"/>
    </row>
    <row r="82" spans="1:16" ht="13">
      <c r="A82" s="48" t="s">
        <v>1322</v>
      </c>
      <c r="B82" s="49" t="s">
        <v>893</v>
      </c>
      <c r="C82" s="51" t="s">
        <v>205</v>
      </c>
      <c r="D82" s="54"/>
      <c r="E82" s="5"/>
      <c r="F82" s="5"/>
      <c r="G82" s="5"/>
      <c r="J82" s="5"/>
      <c r="M82" s="5"/>
      <c r="N82" s="5"/>
      <c r="P82" s="5"/>
    </row>
    <row r="83" spans="1:16" ht="13">
      <c r="A83" s="48" t="s">
        <v>1324</v>
      </c>
      <c r="B83" s="49" t="s">
        <v>901</v>
      </c>
      <c r="C83" s="51" t="s">
        <v>225</v>
      </c>
      <c r="D83" s="54"/>
      <c r="E83" s="5"/>
      <c r="F83" s="5"/>
      <c r="G83" s="5"/>
      <c r="J83" s="5"/>
      <c r="M83" s="5"/>
      <c r="N83" s="5"/>
      <c r="P83" s="5"/>
    </row>
    <row r="84" spans="1:16" ht="13">
      <c r="A84" s="48" t="s">
        <v>1326</v>
      </c>
      <c r="B84" s="49" t="s">
        <v>298</v>
      </c>
      <c r="C84" s="51" t="s">
        <v>192</v>
      </c>
      <c r="D84" s="54"/>
      <c r="E84" s="5"/>
      <c r="F84" s="5"/>
      <c r="G84" s="5"/>
      <c r="J84" s="5"/>
      <c r="M84" s="5"/>
      <c r="N84" s="5"/>
      <c r="P84" s="5"/>
    </row>
    <row r="85" spans="1:16" ht="13">
      <c r="A85" s="48" t="s">
        <v>1327</v>
      </c>
      <c r="B85" s="49" t="s">
        <v>906</v>
      </c>
      <c r="C85" s="51" t="s">
        <v>208</v>
      </c>
      <c r="D85" s="51"/>
      <c r="E85" s="5"/>
      <c r="F85" s="5"/>
      <c r="G85" s="5"/>
      <c r="J85" s="5"/>
      <c r="M85" s="5"/>
      <c r="N85" s="5"/>
      <c r="P85" s="5"/>
    </row>
    <row r="86" spans="1:16" ht="13">
      <c r="A86" s="48" t="s">
        <v>1328</v>
      </c>
      <c r="B86" s="49" t="s">
        <v>389</v>
      </c>
      <c r="C86" s="51" t="s">
        <v>205</v>
      </c>
      <c r="D86" s="54"/>
      <c r="E86" s="5"/>
      <c r="F86" s="5"/>
      <c r="G86" s="5"/>
      <c r="J86" s="5"/>
      <c r="M86" s="5"/>
      <c r="N86" s="5"/>
      <c r="P86" s="5"/>
    </row>
    <row r="87" spans="1:16" ht="13">
      <c r="A87" s="48" t="s">
        <v>1329</v>
      </c>
      <c r="B87" s="49" t="s">
        <v>1014</v>
      </c>
      <c r="C87" s="51" t="s">
        <v>1013</v>
      </c>
      <c r="D87" s="54"/>
      <c r="E87" s="5"/>
      <c r="F87" s="5"/>
      <c r="G87" s="5"/>
      <c r="J87" s="5"/>
      <c r="M87" s="5"/>
      <c r="N87" s="5"/>
      <c r="P87" s="5"/>
    </row>
    <row r="88" spans="1:16" ht="13">
      <c r="A88" s="48" t="s">
        <v>1331</v>
      </c>
      <c r="B88" s="49" t="s">
        <v>2072</v>
      </c>
      <c r="C88" s="51" t="s">
        <v>206</v>
      </c>
      <c r="D88" s="54"/>
      <c r="E88" s="5"/>
      <c r="F88" s="5"/>
      <c r="G88" s="5"/>
      <c r="J88" s="5"/>
      <c r="M88" s="5"/>
      <c r="N88" s="5"/>
      <c r="P88" s="5"/>
    </row>
    <row r="89" spans="1:16" ht="13">
      <c r="A89" s="48" t="s">
        <v>1333</v>
      </c>
      <c r="B89" s="49" t="s">
        <v>2073</v>
      </c>
      <c r="C89" s="51" t="s">
        <v>206</v>
      </c>
      <c r="D89" s="54"/>
      <c r="E89" s="5"/>
      <c r="F89" s="5"/>
      <c r="G89" s="5"/>
      <c r="J89" s="5"/>
      <c r="M89" s="5"/>
      <c r="N89" s="5"/>
      <c r="P89" s="5"/>
    </row>
    <row r="90" spans="1:16" ht="13">
      <c r="A90" s="48" t="s">
        <v>1335</v>
      </c>
      <c r="B90" s="49" t="s">
        <v>2074</v>
      </c>
      <c r="C90" s="51" t="s">
        <v>1013</v>
      </c>
      <c r="D90" s="54"/>
      <c r="E90" s="5"/>
      <c r="F90" s="5"/>
      <c r="G90" s="5"/>
      <c r="J90" s="5"/>
      <c r="M90" s="5"/>
      <c r="N90" s="5"/>
      <c r="P90" s="5"/>
    </row>
    <row r="91" spans="1:16" ht="13">
      <c r="A91" s="48" t="s">
        <v>1336</v>
      </c>
      <c r="B91" s="49" t="s">
        <v>984</v>
      </c>
      <c r="C91" s="51" t="s">
        <v>229</v>
      </c>
      <c r="D91" s="54"/>
      <c r="E91" s="5"/>
      <c r="F91" s="5"/>
      <c r="G91" s="5"/>
      <c r="J91" s="5"/>
      <c r="M91" s="5"/>
      <c r="N91" s="5"/>
      <c r="P91" s="5"/>
    </row>
    <row r="92" spans="1:16" ht="13">
      <c r="A92" s="48" t="s">
        <v>1337</v>
      </c>
      <c r="B92" s="49" t="s">
        <v>2075</v>
      </c>
      <c r="C92" s="51" t="s">
        <v>1013</v>
      </c>
      <c r="D92" s="51"/>
      <c r="E92" s="5"/>
      <c r="F92" s="5"/>
      <c r="G92" s="5"/>
      <c r="J92" s="5"/>
      <c r="M92" s="5"/>
      <c r="N92" s="5"/>
      <c r="P92" s="5"/>
    </row>
    <row r="93" spans="1:16" ht="13">
      <c r="A93" s="48" t="s">
        <v>1339</v>
      </c>
      <c r="B93" s="49" t="s">
        <v>2076</v>
      </c>
      <c r="C93" s="51" t="s">
        <v>206</v>
      </c>
      <c r="D93" s="51"/>
      <c r="E93" s="5"/>
      <c r="F93" s="5"/>
      <c r="G93" s="5"/>
      <c r="J93" s="5"/>
      <c r="M93" s="5"/>
      <c r="N93" s="5"/>
      <c r="P93" s="5"/>
    </row>
    <row r="94" spans="1:16" ht="13">
      <c r="A94" s="48" t="s">
        <v>1341</v>
      </c>
      <c r="B94" s="49" t="s">
        <v>2077</v>
      </c>
      <c r="C94" s="51" t="s">
        <v>229</v>
      </c>
      <c r="D94" s="54"/>
      <c r="E94" s="5"/>
      <c r="F94" s="5"/>
      <c r="G94" s="5"/>
      <c r="J94" s="5"/>
      <c r="M94" s="5"/>
      <c r="N94" s="5"/>
      <c r="P94" s="5"/>
    </row>
    <row r="95" spans="1:16" ht="13">
      <c r="A95" s="48" t="s">
        <v>1342</v>
      </c>
      <c r="B95" s="49" t="s">
        <v>2078</v>
      </c>
      <c r="C95" s="51" t="s">
        <v>206</v>
      </c>
      <c r="D95" s="54"/>
      <c r="E95" s="5"/>
      <c r="F95" s="5"/>
      <c r="G95" s="5"/>
      <c r="J95" s="5"/>
      <c r="M95" s="5"/>
      <c r="N95" s="5"/>
      <c r="P95" s="5"/>
    </row>
    <row r="96" spans="1:16" ht="13">
      <c r="A96" s="48" t="s">
        <v>1343</v>
      </c>
      <c r="B96" s="49" t="s">
        <v>2079</v>
      </c>
      <c r="C96" s="51" t="s">
        <v>206</v>
      </c>
      <c r="D96" s="54"/>
      <c r="E96" s="5"/>
      <c r="F96" s="5"/>
      <c r="G96" s="5"/>
      <c r="J96" s="5"/>
      <c r="M96" s="5"/>
      <c r="N96" s="5"/>
      <c r="P96" s="5"/>
    </row>
    <row r="97" spans="1:16" ht="13">
      <c r="A97" s="48" t="s">
        <v>1344</v>
      </c>
      <c r="B97" s="49" t="s">
        <v>2080</v>
      </c>
      <c r="C97" s="51" t="s">
        <v>206</v>
      </c>
      <c r="D97" s="54"/>
      <c r="E97" s="5"/>
      <c r="F97" s="5"/>
      <c r="G97" s="5"/>
      <c r="J97" s="5"/>
      <c r="M97" s="5"/>
      <c r="N97" s="5"/>
      <c r="P97" s="5"/>
    </row>
    <row r="98" spans="1:16" ht="13">
      <c r="A98" s="48" t="s">
        <v>1345</v>
      </c>
      <c r="B98" s="49" t="s">
        <v>2081</v>
      </c>
      <c r="C98" s="51" t="s">
        <v>317</v>
      </c>
      <c r="D98" s="54"/>
      <c r="E98" s="5"/>
      <c r="F98" s="5"/>
      <c r="G98" s="5"/>
      <c r="J98" s="5"/>
      <c r="M98" s="5"/>
      <c r="N98" s="5"/>
      <c r="P98" s="5"/>
    </row>
    <row r="99" spans="1:16" ht="13">
      <c r="A99" s="48" t="s">
        <v>1346</v>
      </c>
      <c r="B99" s="49" t="s">
        <v>2082</v>
      </c>
      <c r="C99" s="51" t="s">
        <v>317</v>
      </c>
      <c r="D99" s="54"/>
      <c r="E99" s="5"/>
      <c r="F99" s="5"/>
      <c r="G99" s="5"/>
      <c r="J99" s="5"/>
      <c r="M99" s="5"/>
      <c r="N99" s="5"/>
      <c r="P99" s="5"/>
    </row>
    <row r="100" spans="1:16" ht="13">
      <c r="A100" s="48" t="s">
        <v>1347</v>
      </c>
      <c r="B100" s="49" t="s">
        <v>2083</v>
      </c>
      <c r="C100" s="51" t="s">
        <v>808</v>
      </c>
      <c r="D100" s="54"/>
      <c r="E100" s="5"/>
      <c r="F100" s="5"/>
      <c r="G100" s="5"/>
      <c r="J100" s="5"/>
      <c r="M100" s="5"/>
      <c r="N100" s="5"/>
      <c r="P100" s="5"/>
    </row>
    <row r="101" spans="1:16" ht="13">
      <c r="A101" s="48" t="s">
        <v>1348</v>
      </c>
      <c r="B101" s="49" t="s">
        <v>2084</v>
      </c>
      <c r="C101" s="51" t="s">
        <v>808</v>
      </c>
      <c r="D101" s="54"/>
      <c r="E101" s="5"/>
      <c r="F101" s="5"/>
      <c r="G101" s="5"/>
      <c r="J101" s="5"/>
      <c r="M101" s="5"/>
      <c r="N101" s="5"/>
      <c r="P101" s="5"/>
    </row>
    <row r="102" spans="1:16" ht="13">
      <c r="A102" s="48" t="s">
        <v>1349</v>
      </c>
      <c r="B102" s="49" t="s">
        <v>2085</v>
      </c>
      <c r="C102" s="51" t="s">
        <v>808</v>
      </c>
      <c r="D102" s="54"/>
      <c r="E102" s="5"/>
      <c r="F102" s="5"/>
      <c r="G102" s="5"/>
      <c r="J102" s="5"/>
      <c r="M102" s="5"/>
      <c r="N102" s="5"/>
      <c r="P102" s="5"/>
    </row>
    <row r="103" spans="1:16" ht="13">
      <c r="A103" s="48" t="s">
        <v>1350</v>
      </c>
      <c r="B103" s="49" t="s">
        <v>2086</v>
      </c>
      <c r="C103" s="51" t="s">
        <v>808</v>
      </c>
      <c r="D103" s="54"/>
      <c r="E103" s="5"/>
      <c r="F103" s="5"/>
      <c r="G103" s="5"/>
      <c r="J103" s="5"/>
      <c r="M103" s="5"/>
      <c r="N103" s="5"/>
      <c r="P103" s="5"/>
    </row>
    <row r="104" spans="1:16" ht="13">
      <c r="A104" s="48" t="s">
        <v>1351</v>
      </c>
      <c r="B104" s="49" t="s">
        <v>2087</v>
      </c>
      <c r="C104" s="51" t="s">
        <v>808</v>
      </c>
      <c r="D104" s="54"/>
      <c r="E104" s="5"/>
      <c r="F104" s="51"/>
      <c r="G104" s="5"/>
      <c r="J104" s="5"/>
      <c r="M104" s="5"/>
      <c r="N104" s="5"/>
      <c r="P104" s="5"/>
    </row>
    <row r="105" spans="1:16" ht="13">
      <c r="A105" s="48" t="s">
        <v>1352</v>
      </c>
      <c r="B105" s="49" t="s">
        <v>2088</v>
      </c>
      <c r="C105" s="51" t="s">
        <v>808</v>
      </c>
      <c r="D105" s="54"/>
      <c r="E105" s="5"/>
      <c r="F105" s="5"/>
      <c r="G105" s="5"/>
      <c r="J105" s="5"/>
      <c r="M105" s="5"/>
      <c r="N105" s="5"/>
      <c r="P105" s="5"/>
    </row>
    <row r="106" spans="1:16" ht="13">
      <c r="A106" s="48" t="s">
        <v>1353</v>
      </c>
      <c r="B106" s="49" t="s">
        <v>2089</v>
      </c>
      <c r="C106" s="51" t="s">
        <v>808</v>
      </c>
      <c r="D106" s="54"/>
      <c r="E106" s="5"/>
      <c r="F106" s="5"/>
      <c r="G106" s="5"/>
      <c r="J106" s="5"/>
      <c r="M106" s="5"/>
      <c r="N106" s="5"/>
      <c r="P106" s="5"/>
    </row>
    <row r="107" spans="1:16" ht="13">
      <c r="A107" s="48" t="s">
        <v>2090</v>
      </c>
      <c r="B107" s="49" t="s">
        <v>2091</v>
      </c>
      <c r="C107" s="51" t="s">
        <v>808</v>
      </c>
      <c r="D107" s="54"/>
      <c r="E107" s="5"/>
      <c r="F107" s="5"/>
      <c r="G107" s="5"/>
      <c r="J107" s="5"/>
      <c r="M107" s="5"/>
      <c r="N107" s="5"/>
      <c r="P107" s="5"/>
    </row>
    <row r="108" spans="1:16" ht="13">
      <c r="A108" s="48" t="s">
        <v>2092</v>
      </c>
      <c r="B108" s="49" t="s">
        <v>2093</v>
      </c>
      <c r="C108" s="51" t="s">
        <v>808</v>
      </c>
      <c r="D108" s="54"/>
      <c r="E108" s="5"/>
      <c r="F108" s="5"/>
      <c r="G108" s="5"/>
      <c r="J108" s="5"/>
      <c r="M108" s="5"/>
      <c r="N108" s="5"/>
      <c r="P108" s="5"/>
    </row>
    <row r="109" spans="1:16" ht="13">
      <c r="A109" s="48" t="s">
        <v>2094</v>
      </c>
      <c r="B109" s="49" t="s">
        <v>2095</v>
      </c>
      <c r="C109" s="51" t="s">
        <v>808</v>
      </c>
      <c r="D109" s="54"/>
      <c r="E109" s="5"/>
      <c r="F109" s="5"/>
      <c r="G109" s="5"/>
      <c r="J109" s="5"/>
      <c r="M109" s="5"/>
      <c r="N109" s="5"/>
      <c r="P109" s="5"/>
    </row>
    <row r="110" spans="1:16" ht="13">
      <c r="A110" s="48" t="s">
        <v>2096</v>
      </c>
      <c r="B110" s="49" t="s">
        <v>2097</v>
      </c>
      <c r="C110" s="51" t="s">
        <v>808</v>
      </c>
      <c r="D110" s="54"/>
      <c r="E110" s="5"/>
      <c r="F110" s="5"/>
      <c r="G110" s="5"/>
      <c r="J110" s="5"/>
      <c r="M110" s="5"/>
      <c r="N110" s="5"/>
      <c r="P110" s="5"/>
    </row>
    <row r="111" spans="1:16" ht="13">
      <c r="A111" s="48" t="s">
        <v>2098</v>
      </c>
      <c r="B111" s="58" t="str">
        <f>HYPERLINK("https://bulbapedia.bulbagarden.net/wiki/Mudkip_%E2%98%86_(EX_Team_Rocket_Returns_107)","Mudkip*")</f>
        <v>Mudkip*</v>
      </c>
      <c r="C111" s="51" t="s">
        <v>208</v>
      </c>
      <c r="D111" s="54"/>
      <c r="E111" s="5"/>
      <c r="F111" s="5"/>
      <c r="G111" s="5"/>
      <c r="J111" s="5"/>
      <c r="M111" s="5"/>
      <c r="N111" s="5"/>
      <c r="P111" s="5"/>
    </row>
    <row r="112" spans="1:16" ht="13">
      <c r="A112" s="48" t="s">
        <v>2099</v>
      </c>
      <c r="B112" s="58" t="str">
        <f>HYPERLINK("https://bulbapedia.bulbagarden.net/wiki/Torchic_%E2%98%86_(EX_Team_Rocket_Returns_108)","Torchic*")</f>
        <v>Torchic*</v>
      </c>
      <c r="C112" s="51" t="s">
        <v>199</v>
      </c>
      <c r="D112" s="54"/>
      <c r="E112" s="5"/>
      <c r="F112" s="5"/>
      <c r="G112" s="5"/>
      <c r="J112" s="5"/>
      <c r="M112" s="5"/>
      <c r="N112" s="5"/>
      <c r="P112" s="5"/>
    </row>
    <row r="113" spans="1:16" ht="13">
      <c r="A113" s="48" t="s">
        <v>2100</v>
      </c>
      <c r="B113" s="58" t="str">
        <f>HYPERLINK("https://bulbapedia.bulbagarden.net/wiki/Treecko_%E2%98%86_(EX_Team_Rocket_Returns_109)","Treecko*")</f>
        <v>Treecko*</v>
      </c>
      <c r="C113" s="51" t="s">
        <v>205</v>
      </c>
      <c r="D113" s="54"/>
      <c r="E113" s="5"/>
      <c r="F113" s="5"/>
      <c r="G113" s="5"/>
      <c r="J113" s="5"/>
      <c r="M113" s="5"/>
      <c r="N113" s="5"/>
      <c r="P113" s="5"/>
    </row>
    <row r="114" spans="1:16" ht="13">
      <c r="A114" s="48" t="s">
        <v>2101</v>
      </c>
      <c r="B114" s="49" t="s">
        <v>258</v>
      </c>
      <c r="C114" s="51" t="s">
        <v>199</v>
      </c>
      <c r="D114" s="54"/>
      <c r="E114" s="5"/>
      <c r="F114" s="5"/>
      <c r="G114" s="5"/>
      <c r="J114" s="5"/>
      <c r="M114" s="5"/>
      <c r="N114" s="5"/>
      <c r="P114" s="5"/>
    </row>
    <row r="115" spans="1:16" ht="13">
      <c r="A115" s="48" t="s">
        <v>2102</v>
      </c>
      <c r="B115" s="49" t="s">
        <v>523</v>
      </c>
      <c r="C115" s="51" t="s">
        <v>1013</v>
      </c>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A00-000000000000}"/>
    <hyperlink ref="B6" r:id="rId2" xr:uid="{00000000-0004-0000-1A00-000001000000}"/>
    <hyperlink ref="B7" r:id="rId3" xr:uid="{00000000-0004-0000-1A00-000002000000}"/>
    <hyperlink ref="B8" r:id="rId4" xr:uid="{00000000-0004-0000-1A00-000003000000}"/>
    <hyperlink ref="B9" r:id="rId5" xr:uid="{00000000-0004-0000-1A00-000004000000}"/>
    <hyperlink ref="B10" r:id="rId6" xr:uid="{00000000-0004-0000-1A00-000005000000}"/>
    <hyperlink ref="B11" r:id="rId7" xr:uid="{00000000-0004-0000-1A00-000006000000}"/>
    <hyperlink ref="B12" r:id="rId8" xr:uid="{00000000-0004-0000-1A00-000007000000}"/>
    <hyperlink ref="B13" r:id="rId9" xr:uid="{00000000-0004-0000-1A00-000008000000}"/>
    <hyperlink ref="B14" r:id="rId10" xr:uid="{00000000-0004-0000-1A00-000009000000}"/>
    <hyperlink ref="B15" r:id="rId11" xr:uid="{00000000-0004-0000-1A00-00000A000000}"/>
    <hyperlink ref="B16" r:id="rId12" xr:uid="{00000000-0004-0000-1A00-00000B000000}"/>
    <hyperlink ref="B17" r:id="rId13" xr:uid="{00000000-0004-0000-1A00-00000C000000}"/>
    <hyperlink ref="B18" r:id="rId14" xr:uid="{00000000-0004-0000-1A00-00000D000000}"/>
    <hyperlink ref="B19" r:id="rId15" xr:uid="{00000000-0004-0000-1A00-00000E000000}"/>
    <hyperlink ref="B20" r:id="rId16" xr:uid="{00000000-0004-0000-1A00-00000F000000}"/>
    <hyperlink ref="B21" r:id="rId17" xr:uid="{00000000-0004-0000-1A00-000010000000}"/>
    <hyperlink ref="B22" r:id="rId18" xr:uid="{00000000-0004-0000-1A00-000011000000}"/>
    <hyperlink ref="B23" r:id="rId19" xr:uid="{00000000-0004-0000-1A00-000012000000}"/>
    <hyperlink ref="B24" r:id="rId20" xr:uid="{00000000-0004-0000-1A00-000013000000}"/>
    <hyperlink ref="B25" r:id="rId21" xr:uid="{00000000-0004-0000-1A00-000014000000}"/>
    <hyperlink ref="B26" r:id="rId22" xr:uid="{00000000-0004-0000-1A00-000015000000}"/>
    <hyperlink ref="B27" r:id="rId23" xr:uid="{00000000-0004-0000-1A00-000016000000}"/>
    <hyperlink ref="B28" r:id="rId24" xr:uid="{00000000-0004-0000-1A00-000017000000}"/>
    <hyperlink ref="B29" r:id="rId25" xr:uid="{00000000-0004-0000-1A00-000018000000}"/>
    <hyperlink ref="B30" r:id="rId26" xr:uid="{00000000-0004-0000-1A00-000019000000}"/>
    <hyperlink ref="B31" r:id="rId27" xr:uid="{00000000-0004-0000-1A00-00001A000000}"/>
    <hyperlink ref="B32" r:id="rId28" xr:uid="{00000000-0004-0000-1A00-00001B000000}"/>
    <hyperlink ref="B33" r:id="rId29" xr:uid="{00000000-0004-0000-1A00-00001C000000}"/>
    <hyperlink ref="B34" r:id="rId30" xr:uid="{00000000-0004-0000-1A00-00001D000000}"/>
    <hyperlink ref="B35" r:id="rId31" xr:uid="{00000000-0004-0000-1A00-00001E000000}"/>
    <hyperlink ref="B36" r:id="rId32" xr:uid="{00000000-0004-0000-1A00-00001F000000}"/>
    <hyperlink ref="B37" r:id="rId33" xr:uid="{00000000-0004-0000-1A00-000020000000}"/>
    <hyperlink ref="B38" r:id="rId34" xr:uid="{00000000-0004-0000-1A00-000021000000}"/>
    <hyperlink ref="B39" r:id="rId35" xr:uid="{00000000-0004-0000-1A00-000022000000}"/>
    <hyperlink ref="B40" r:id="rId36" xr:uid="{00000000-0004-0000-1A00-000023000000}"/>
    <hyperlink ref="B41" r:id="rId37" xr:uid="{00000000-0004-0000-1A00-000024000000}"/>
    <hyperlink ref="B42" r:id="rId38" xr:uid="{00000000-0004-0000-1A00-000025000000}"/>
    <hyperlink ref="B43" r:id="rId39" xr:uid="{00000000-0004-0000-1A00-000026000000}"/>
    <hyperlink ref="B44" r:id="rId40" xr:uid="{00000000-0004-0000-1A00-000027000000}"/>
    <hyperlink ref="B45" r:id="rId41" xr:uid="{00000000-0004-0000-1A00-000028000000}"/>
    <hyperlink ref="B46" r:id="rId42" xr:uid="{00000000-0004-0000-1A00-000029000000}"/>
    <hyperlink ref="B47" r:id="rId43" xr:uid="{00000000-0004-0000-1A00-00002A000000}"/>
    <hyperlink ref="B48" r:id="rId44" xr:uid="{00000000-0004-0000-1A00-00002B000000}"/>
    <hyperlink ref="B49" r:id="rId45" xr:uid="{00000000-0004-0000-1A00-00002C000000}"/>
    <hyperlink ref="B50" r:id="rId46" xr:uid="{00000000-0004-0000-1A00-00002D000000}"/>
    <hyperlink ref="B51" r:id="rId47" xr:uid="{00000000-0004-0000-1A00-00002E000000}"/>
    <hyperlink ref="B52" r:id="rId48" xr:uid="{00000000-0004-0000-1A00-00002F000000}"/>
    <hyperlink ref="B53" r:id="rId49" xr:uid="{00000000-0004-0000-1A00-000030000000}"/>
    <hyperlink ref="B54" r:id="rId50" xr:uid="{00000000-0004-0000-1A00-000031000000}"/>
    <hyperlink ref="B55" r:id="rId51" xr:uid="{00000000-0004-0000-1A00-000032000000}"/>
    <hyperlink ref="B56" r:id="rId52" xr:uid="{00000000-0004-0000-1A00-000033000000}"/>
    <hyperlink ref="B57" r:id="rId53" xr:uid="{00000000-0004-0000-1A00-000034000000}"/>
    <hyperlink ref="B58" r:id="rId54" xr:uid="{00000000-0004-0000-1A00-000035000000}"/>
    <hyperlink ref="B59" r:id="rId55" xr:uid="{00000000-0004-0000-1A00-000036000000}"/>
    <hyperlink ref="B60" r:id="rId56" xr:uid="{00000000-0004-0000-1A00-000037000000}"/>
    <hyperlink ref="B61" r:id="rId57" xr:uid="{00000000-0004-0000-1A00-000038000000}"/>
    <hyperlink ref="B62" r:id="rId58" xr:uid="{00000000-0004-0000-1A00-000039000000}"/>
    <hyperlink ref="B63" r:id="rId59" xr:uid="{00000000-0004-0000-1A00-00003A000000}"/>
    <hyperlink ref="B64" r:id="rId60" xr:uid="{00000000-0004-0000-1A00-00003B000000}"/>
    <hyperlink ref="B65" r:id="rId61" xr:uid="{00000000-0004-0000-1A00-00003C000000}"/>
    <hyperlink ref="B66" r:id="rId62" xr:uid="{00000000-0004-0000-1A00-00003D000000}"/>
    <hyperlink ref="B67" r:id="rId63" xr:uid="{00000000-0004-0000-1A00-00003E000000}"/>
    <hyperlink ref="B68" r:id="rId64" xr:uid="{00000000-0004-0000-1A00-00003F000000}"/>
    <hyperlink ref="B69" r:id="rId65" xr:uid="{00000000-0004-0000-1A00-000040000000}"/>
    <hyperlink ref="B70" r:id="rId66" xr:uid="{00000000-0004-0000-1A00-000041000000}"/>
    <hyperlink ref="B71" r:id="rId67" xr:uid="{00000000-0004-0000-1A00-000042000000}"/>
    <hyperlink ref="B72" r:id="rId68" xr:uid="{00000000-0004-0000-1A00-000043000000}"/>
    <hyperlink ref="B73" r:id="rId69" xr:uid="{00000000-0004-0000-1A00-000044000000}"/>
    <hyperlink ref="B74" r:id="rId70" xr:uid="{00000000-0004-0000-1A00-000045000000}"/>
    <hyperlink ref="B75" r:id="rId71" xr:uid="{00000000-0004-0000-1A00-000046000000}"/>
    <hyperlink ref="B76" r:id="rId72" xr:uid="{00000000-0004-0000-1A00-000047000000}"/>
    <hyperlink ref="B77" r:id="rId73" xr:uid="{00000000-0004-0000-1A00-000048000000}"/>
    <hyperlink ref="B78" r:id="rId74" xr:uid="{00000000-0004-0000-1A00-000049000000}"/>
    <hyperlink ref="B79" r:id="rId75" xr:uid="{00000000-0004-0000-1A00-00004A000000}"/>
    <hyperlink ref="B80" r:id="rId76" xr:uid="{00000000-0004-0000-1A00-00004B000000}"/>
    <hyperlink ref="B81" r:id="rId77" xr:uid="{00000000-0004-0000-1A00-00004C000000}"/>
    <hyperlink ref="B82" r:id="rId78" xr:uid="{00000000-0004-0000-1A00-00004D000000}"/>
    <hyperlink ref="B83" r:id="rId79" xr:uid="{00000000-0004-0000-1A00-00004E000000}"/>
    <hyperlink ref="B84" r:id="rId80" xr:uid="{00000000-0004-0000-1A00-00004F000000}"/>
    <hyperlink ref="B85" r:id="rId81" xr:uid="{00000000-0004-0000-1A00-000050000000}"/>
    <hyperlink ref="B86" r:id="rId82" xr:uid="{00000000-0004-0000-1A00-000051000000}"/>
    <hyperlink ref="B87" r:id="rId83" xr:uid="{00000000-0004-0000-1A00-000052000000}"/>
    <hyperlink ref="B88" r:id="rId84" xr:uid="{00000000-0004-0000-1A00-000053000000}"/>
    <hyperlink ref="B89" r:id="rId85" xr:uid="{00000000-0004-0000-1A00-000054000000}"/>
    <hyperlink ref="B90" r:id="rId86" xr:uid="{00000000-0004-0000-1A00-000055000000}"/>
    <hyperlink ref="B91" r:id="rId87" xr:uid="{00000000-0004-0000-1A00-000056000000}"/>
    <hyperlink ref="B92" r:id="rId88" xr:uid="{00000000-0004-0000-1A00-000057000000}"/>
    <hyperlink ref="B93" r:id="rId89" xr:uid="{00000000-0004-0000-1A00-000058000000}"/>
    <hyperlink ref="B94" r:id="rId90" xr:uid="{00000000-0004-0000-1A00-000059000000}"/>
    <hyperlink ref="B95" r:id="rId91" xr:uid="{00000000-0004-0000-1A00-00005A000000}"/>
    <hyperlink ref="B96" r:id="rId92" xr:uid="{00000000-0004-0000-1A00-00005B000000}"/>
    <hyperlink ref="B97" r:id="rId93" xr:uid="{00000000-0004-0000-1A00-00005C000000}"/>
    <hyperlink ref="B98" r:id="rId94" xr:uid="{00000000-0004-0000-1A00-00005D000000}"/>
    <hyperlink ref="B99" r:id="rId95" xr:uid="{00000000-0004-0000-1A00-00005E000000}"/>
    <hyperlink ref="B100" r:id="rId96" xr:uid="{00000000-0004-0000-1A00-00005F000000}"/>
    <hyperlink ref="B101" r:id="rId97" xr:uid="{00000000-0004-0000-1A00-000060000000}"/>
    <hyperlink ref="B102" r:id="rId98" xr:uid="{00000000-0004-0000-1A00-000061000000}"/>
    <hyperlink ref="B103" r:id="rId99" xr:uid="{00000000-0004-0000-1A00-000062000000}"/>
    <hyperlink ref="B104" r:id="rId100" xr:uid="{00000000-0004-0000-1A00-000063000000}"/>
    <hyperlink ref="B105" r:id="rId101" xr:uid="{00000000-0004-0000-1A00-000064000000}"/>
    <hyperlink ref="B106" r:id="rId102" xr:uid="{00000000-0004-0000-1A00-000065000000}"/>
    <hyperlink ref="B107" r:id="rId103" xr:uid="{00000000-0004-0000-1A00-000066000000}"/>
    <hyperlink ref="B108" r:id="rId104" xr:uid="{00000000-0004-0000-1A00-000067000000}"/>
    <hyperlink ref="B109" r:id="rId105" xr:uid="{00000000-0004-0000-1A00-000068000000}"/>
    <hyperlink ref="B110" r:id="rId106" xr:uid="{00000000-0004-0000-1A00-000069000000}"/>
    <hyperlink ref="B114" r:id="rId107" xr:uid="{00000000-0004-0000-1A00-00006A000000}"/>
    <hyperlink ref="B115" r:id="rId108" xr:uid="{00000000-0004-0000-1A00-00006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2.33203125" customWidth="1"/>
    <col min="3" max="3" width="14.33203125" customWidth="1"/>
    <col min="4" max="4" width="14.83203125" customWidth="1"/>
    <col min="5" max="5" width="14.33203125" customWidth="1"/>
    <col min="11" max="11" width="13.83203125" customWidth="1"/>
  </cols>
  <sheetData>
    <row r="1" spans="1:23" ht="15.75" customHeight="1">
      <c r="A1" s="1" t="s">
        <v>49</v>
      </c>
      <c r="B1" s="36"/>
      <c r="C1" s="37"/>
      <c r="D1" s="7" t="s">
        <v>181</v>
      </c>
      <c r="E1" s="5"/>
      <c r="F1" s="5"/>
      <c r="G1" s="5"/>
      <c r="K1" s="1"/>
      <c r="M1" s="5"/>
      <c r="N1" s="5"/>
      <c r="S1" s="1"/>
      <c r="U1" s="5"/>
    </row>
    <row r="2" spans="1:23" ht="15.75" customHeight="1">
      <c r="A2" s="7" t="s">
        <v>182</v>
      </c>
      <c r="B2" s="38">
        <v>38397</v>
      </c>
      <c r="C2" s="37"/>
      <c r="D2" s="39">
        <f>SUM(D5:G112)</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2103</v>
      </c>
      <c r="B5" s="49" t="s">
        <v>1493</v>
      </c>
      <c r="C5" s="51" t="s">
        <v>197</v>
      </c>
      <c r="D5" s="54"/>
      <c r="E5" s="5"/>
      <c r="F5" s="5"/>
      <c r="G5" s="5"/>
      <c r="L5" s="43"/>
      <c r="M5" s="43"/>
      <c r="N5" s="42"/>
      <c r="O5" s="44"/>
      <c r="S5" s="42"/>
      <c r="T5" s="43"/>
      <c r="U5" s="43"/>
      <c r="V5" s="42"/>
      <c r="W5" s="44"/>
    </row>
    <row r="6" spans="1:23" ht="15.75" customHeight="1">
      <c r="A6" s="48" t="s">
        <v>2104</v>
      </c>
      <c r="B6" s="49" t="s">
        <v>1210</v>
      </c>
      <c r="C6" s="51" t="s">
        <v>205</v>
      </c>
      <c r="D6" s="54"/>
      <c r="E6" s="5"/>
      <c r="F6" s="5"/>
      <c r="G6" s="5"/>
      <c r="L6" s="50"/>
      <c r="M6" s="51"/>
      <c r="N6" s="5"/>
      <c r="S6" s="52"/>
      <c r="T6" s="50"/>
      <c r="U6" s="51"/>
    </row>
    <row r="7" spans="1:23" ht="15.75" customHeight="1">
      <c r="A7" s="48" t="s">
        <v>2105</v>
      </c>
      <c r="B7" s="49" t="s">
        <v>1237</v>
      </c>
      <c r="C7" s="51" t="s">
        <v>225</v>
      </c>
      <c r="D7" s="54"/>
      <c r="E7" s="5"/>
      <c r="F7" s="5"/>
      <c r="G7" s="5"/>
      <c r="K7" s="52"/>
      <c r="L7" s="50"/>
      <c r="M7" s="51"/>
      <c r="N7" s="5"/>
      <c r="S7" s="52"/>
      <c r="T7" s="50"/>
      <c r="U7" s="51"/>
    </row>
    <row r="8" spans="1:23" ht="15.75" customHeight="1">
      <c r="A8" s="48" t="s">
        <v>2106</v>
      </c>
      <c r="B8" s="49" t="s">
        <v>1214</v>
      </c>
      <c r="C8" s="51" t="s">
        <v>199</v>
      </c>
      <c r="D8" s="51"/>
      <c r="E8" s="5"/>
      <c r="F8" s="5"/>
      <c r="G8" s="5"/>
      <c r="K8" s="52"/>
      <c r="L8" s="50"/>
      <c r="M8" s="51"/>
      <c r="N8" s="51"/>
      <c r="S8" s="52"/>
      <c r="T8" s="50"/>
      <c r="U8" s="51"/>
    </row>
    <row r="9" spans="1:23" ht="15.75" customHeight="1">
      <c r="A9" s="48" t="s">
        <v>2107</v>
      </c>
      <c r="B9" s="49" t="s">
        <v>1790</v>
      </c>
      <c r="C9" s="51" t="s">
        <v>225</v>
      </c>
      <c r="D9" s="54"/>
      <c r="E9" s="5"/>
      <c r="F9" s="5"/>
      <c r="G9" s="5"/>
      <c r="K9" s="52"/>
      <c r="L9" s="50"/>
      <c r="M9" s="51"/>
      <c r="N9" s="51"/>
      <c r="S9" s="52"/>
      <c r="T9" s="50"/>
      <c r="U9" s="51"/>
    </row>
    <row r="10" spans="1:23" ht="15.75" customHeight="1">
      <c r="A10" s="48" t="s">
        <v>2108</v>
      </c>
      <c r="B10" s="49" t="s">
        <v>1495</v>
      </c>
      <c r="C10" s="51" t="s">
        <v>808</v>
      </c>
      <c r="D10" s="54"/>
      <c r="E10" s="5"/>
      <c r="F10" s="5"/>
      <c r="G10" s="5"/>
      <c r="K10" s="52"/>
      <c r="L10" s="50"/>
      <c r="M10" s="51"/>
      <c r="N10" s="5"/>
      <c r="S10" s="52"/>
      <c r="T10" s="50"/>
      <c r="U10" s="51"/>
    </row>
    <row r="11" spans="1:23" ht="15.75" customHeight="1">
      <c r="A11" s="48" t="s">
        <v>2109</v>
      </c>
      <c r="B11" s="49" t="s">
        <v>1361</v>
      </c>
      <c r="C11" s="51" t="s">
        <v>195</v>
      </c>
      <c r="D11" s="54"/>
      <c r="E11" s="5"/>
      <c r="F11" s="5"/>
      <c r="G11" s="5"/>
      <c r="K11" s="52"/>
      <c r="L11" s="50"/>
      <c r="M11" s="51"/>
      <c r="N11" s="51"/>
      <c r="S11" s="52"/>
      <c r="T11" s="50"/>
      <c r="U11" s="51"/>
    </row>
    <row r="12" spans="1:23" ht="15.75" customHeight="1">
      <c r="A12" s="48" t="s">
        <v>2110</v>
      </c>
      <c r="B12" s="49" t="s">
        <v>245</v>
      </c>
      <c r="C12" s="51" t="s">
        <v>208</v>
      </c>
      <c r="D12" s="54"/>
      <c r="E12" s="5"/>
      <c r="F12" s="5"/>
      <c r="G12" s="5"/>
      <c r="K12" s="52"/>
      <c r="L12" s="50"/>
      <c r="M12" s="51"/>
      <c r="N12" s="51"/>
      <c r="S12" s="52"/>
      <c r="T12" s="50"/>
      <c r="U12" s="51"/>
    </row>
    <row r="13" spans="1:23" ht="15.75" customHeight="1">
      <c r="A13" s="48" t="s">
        <v>2111</v>
      </c>
      <c r="B13" s="49" t="s">
        <v>1196</v>
      </c>
      <c r="C13" s="51" t="s">
        <v>220</v>
      </c>
      <c r="D13" s="54"/>
      <c r="E13" s="5"/>
      <c r="F13" s="5"/>
      <c r="G13" s="5"/>
      <c r="K13" s="52"/>
      <c r="L13" s="50"/>
      <c r="M13" s="51"/>
      <c r="N13" s="5"/>
      <c r="S13" s="52"/>
      <c r="T13" s="50"/>
      <c r="U13" s="51"/>
    </row>
    <row r="14" spans="1:23" ht="15.75" customHeight="1">
      <c r="A14" s="48" t="s">
        <v>2112</v>
      </c>
      <c r="B14" s="49" t="s">
        <v>1195</v>
      </c>
      <c r="C14" s="51" t="s">
        <v>208</v>
      </c>
      <c r="D14" s="54"/>
      <c r="E14" s="5"/>
      <c r="F14" s="5"/>
      <c r="G14" s="5"/>
      <c r="K14" s="52"/>
      <c r="L14" s="50"/>
      <c r="M14" s="51"/>
      <c r="N14" s="51"/>
      <c r="S14" s="52"/>
      <c r="T14" s="50"/>
      <c r="U14" s="51"/>
    </row>
    <row r="15" spans="1:23" ht="15.75" customHeight="1">
      <c r="A15" s="48" t="s">
        <v>2113</v>
      </c>
      <c r="B15" s="49" t="s">
        <v>1804</v>
      </c>
      <c r="C15" s="51" t="s">
        <v>195</v>
      </c>
      <c r="D15" s="54"/>
      <c r="E15" s="5"/>
      <c r="F15" s="5"/>
      <c r="G15" s="5"/>
      <c r="K15" s="52"/>
      <c r="L15" s="50"/>
      <c r="M15" s="51"/>
      <c r="N15" s="51"/>
      <c r="S15" s="52"/>
      <c r="T15" s="50"/>
      <c r="U15" s="51"/>
    </row>
    <row r="16" spans="1:23" ht="15.75" customHeight="1">
      <c r="A16" s="48" t="s">
        <v>2114</v>
      </c>
      <c r="B16" s="49" t="s">
        <v>1226</v>
      </c>
      <c r="C16" s="51" t="s">
        <v>808</v>
      </c>
      <c r="D16" s="54"/>
      <c r="E16" s="5"/>
      <c r="F16" s="5"/>
      <c r="G16" s="5"/>
      <c r="K16" s="52"/>
      <c r="L16" s="50"/>
      <c r="M16" s="51"/>
      <c r="N16" s="51"/>
      <c r="S16" s="52"/>
      <c r="T16" s="50"/>
      <c r="U16" s="51"/>
    </row>
    <row r="17" spans="1:27" ht="15.75" customHeight="1">
      <c r="A17" s="48" t="s">
        <v>2115</v>
      </c>
      <c r="B17" s="49" t="s">
        <v>1518</v>
      </c>
      <c r="C17" s="51" t="s">
        <v>205</v>
      </c>
      <c r="D17" s="54"/>
      <c r="E17" s="5"/>
      <c r="F17" s="5"/>
      <c r="G17" s="5"/>
      <c r="K17" s="52"/>
      <c r="L17" s="50"/>
      <c r="M17" s="51"/>
      <c r="N17" s="51"/>
      <c r="S17" s="52"/>
      <c r="T17" s="50"/>
      <c r="U17" s="51"/>
    </row>
    <row r="18" spans="1:27" ht="15.75" customHeight="1">
      <c r="A18" s="48" t="s">
        <v>2116</v>
      </c>
      <c r="B18" s="49" t="s">
        <v>1509</v>
      </c>
      <c r="C18" s="51" t="s">
        <v>195</v>
      </c>
      <c r="D18" s="54"/>
      <c r="E18" s="5"/>
      <c r="F18" s="5"/>
      <c r="G18" s="5"/>
      <c r="M18" s="5"/>
      <c r="N18" s="5"/>
      <c r="U18" s="5"/>
      <c r="AA18" s="5"/>
    </row>
    <row r="19" spans="1:27" ht="15.75" customHeight="1">
      <c r="A19" s="48" t="s">
        <v>2117</v>
      </c>
      <c r="B19" s="49" t="s">
        <v>1230</v>
      </c>
      <c r="C19" s="51" t="s">
        <v>197</v>
      </c>
      <c r="D19" s="54"/>
      <c r="E19" s="5"/>
      <c r="F19" s="5"/>
      <c r="G19" s="5"/>
      <c r="K19" s="1"/>
      <c r="M19" s="5"/>
      <c r="N19" s="5"/>
      <c r="U19" s="5"/>
      <c r="AA19" s="5"/>
    </row>
    <row r="20" spans="1:27" ht="15.75" customHeight="1">
      <c r="A20" s="48" t="s">
        <v>2118</v>
      </c>
      <c r="B20" s="49" t="s">
        <v>2119</v>
      </c>
      <c r="C20" s="51" t="s">
        <v>195</v>
      </c>
      <c r="D20" s="54"/>
      <c r="E20" s="5"/>
      <c r="F20" s="5"/>
      <c r="G20" s="5"/>
      <c r="L20" s="40"/>
      <c r="M20" s="5"/>
      <c r="N20" s="5"/>
      <c r="AA20" s="5"/>
    </row>
    <row r="21" spans="1:27" ht="15.75" customHeight="1">
      <c r="A21" s="48" t="s">
        <v>2120</v>
      </c>
      <c r="B21" s="49" t="s">
        <v>2121</v>
      </c>
      <c r="C21" s="51" t="s">
        <v>195</v>
      </c>
      <c r="D21" s="54"/>
      <c r="E21" s="5"/>
      <c r="F21" s="5"/>
      <c r="G21" s="5"/>
      <c r="M21" s="5"/>
      <c r="N21" s="5"/>
      <c r="AA21" s="5"/>
    </row>
    <row r="22" spans="1:27" ht="15.75" customHeight="1">
      <c r="A22" s="48" t="s">
        <v>2122</v>
      </c>
      <c r="B22" s="49" t="s">
        <v>2123</v>
      </c>
      <c r="C22" s="51" t="s">
        <v>195</v>
      </c>
      <c r="D22" s="54"/>
      <c r="E22" s="5"/>
      <c r="F22" s="5"/>
      <c r="G22" s="5"/>
      <c r="K22" s="42"/>
      <c r="L22" s="45"/>
      <c r="M22" s="46"/>
      <c r="N22" s="47"/>
      <c r="AA22" s="5"/>
    </row>
    <row r="23" spans="1:27" ht="15.75" customHeight="1">
      <c r="A23" s="48" t="s">
        <v>2124</v>
      </c>
      <c r="B23" s="49" t="s">
        <v>1195</v>
      </c>
      <c r="C23" s="51" t="s">
        <v>208</v>
      </c>
      <c r="D23" s="54"/>
      <c r="E23" s="5"/>
      <c r="F23" s="5"/>
      <c r="G23" s="5"/>
      <c r="K23" s="42"/>
      <c r="L23" s="43"/>
      <c r="M23" s="43"/>
      <c r="N23" s="42"/>
      <c r="O23" s="44"/>
      <c r="AA23" s="5"/>
    </row>
    <row r="24" spans="1:27" ht="15.75" customHeight="1">
      <c r="A24" s="48" t="s">
        <v>2125</v>
      </c>
      <c r="B24" s="49" t="s">
        <v>974</v>
      </c>
      <c r="C24" s="51" t="s">
        <v>199</v>
      </c>
      <c r="D24" s="54"/>
      <c r="E24" s="5"/>
      <c r="F24" s="5"/>
      <c r="G24" s="5"/>
      <c r="K24" s="52"/>
      <c r="L24" s="50"/>
      <c r="M24" s="51"/>
      <c r="N24" s="5"/>
      <c r="AA24" s="5"/>
    </row>
    <row r="25" spans="1:27" ht="15.75" customHeight="1">
      <c r="A25" s="48" t="s">
        <v>2126</v>
      </c>
      <c r="B25" s="49" t="s">
        <v>1242</v>
      </c>
      <c r="C25" s="51" t="s">
        <v>208</v>
      </c>
      <c r="D25" s="54"/>
      <c r="E25" s="5"/>
      <c r="F25" s="5"/>
      <c r="G25" s="5"/>
      <c r="K25" s="52"/>
      <c r="L25" s="50"/>
      <c r="M25" s="51"/>
      <c r="N25" s="5"/>
      <c r="AA25" s="5"/>
    </row>
    <row r="26" spans="1:27" ht="15.75" customHeight="1">
      <c r="A26" s="48" t="s">
        <v>2127</v>
      </c>
      <c r="B26" s="49" t="s">
        <v>2128</v>
      </c>
      <c r="C26" s="51" t="s">
        <v>197</v>
      </c>
      <c r="D26" s="54"/>
      <c r="E26" s="5"/>
      <c r="F26" s="5"/>
      <c r="G26" s="5"/>
      <c r="K26" s="52"/>
      <c r="L26" s="50"/>
      <c r="M26" s="51"/>
      <c r="N26" s="51"/>
      <c r="AA26" s="5"/>
    </row>
    <row r="27" spans="1:27" ht="15.75" customHeight="1">
      <c r="A27" s="48" t="s">
        <v>2129</v>
      </c>
      <c r="B27" s="49" t="s">
        <v>1370</v>
      </c>
      <c r="C27" s="51" t="s">
        <v>808</v>
      </c>
      <c r="D27" s="54"/>
      <c r="E27" s="5"/>
      <c r="F27" s="51"/>
      <c r="G27" s="5"/>
      <c r="K27" s="52"/>
      <c r="L27" s="50"/>
      <c r="M27" s="51"/>
      <c r="N27" s="51"/>
      <c r="AA27" s="5"/>
    </row>
    <row r="28" spans="1:27" ht="15.75" customHeight="1">
      <c r="A28" s="48" t="s">
        <v>2130</v>
      </c>
      <c r="B28" s="49" t="s">
        <v>343</v>
      </c>
      <c r="C28" s="51" t="s">
        <v>220</v>
      </c>
      <c r="D28" s="54"/>
      <c r="E28" s="5"/>
      <c r="F28" s="5"/>
      <c r="G28" s="5"/>
      <c r="J28" s="5"/>
      <c r="K28" s="52"/>
      <c r="L28" s="50"/>
      <c r="M28" s="51"/>
      <c r="N28" s="5"/>
      <c r="P28" s="5"/>
    </row>
    <row r="29" spans="1:27" ht="15.75" customHeight="1">
      <c r="A29" s="48" t="s">
        <v>2131</v>
      </c>
      <c r="B29" s="49" t="s">
        <v>1374</v>
      </c>
      <c r="C29" s="51" t="s">
        <v>205</v>
      </c>
      <c r="D29" s="54"/>
      <c r="E29" s="5"/>
      <c r="F29" s="5"/>
      <c r="G29" s="5"/>
      <c r="J29" s="5"/>
      <c r="K29" s="52"/>
      <c r="L29" s="50"/>
      <c r="M29" s="51"/>
      <c r="N29" s="51"/>
      <c r="P29" s="5"/>
    </row>
    <row r="30" spans="1:27" ht="15.75" customHeight="1">
      <c r="A30" s="48" t="s">
        <v>2132</v>
      </c>
      <c r="B30" s="49" t="s">
        <v>787</v>
      </c>
      <c r="C30" s="51" t="s">
        <v>220</v>
      </c>
      <c r="D30" s="54"/>
      <c r="E30" s="5"/>
      <c r="F30" s="5"/>
      <c r="G30" s="5"/>
      <c r="J30" s="5"/>
      <c r="K30" s="52"/>
      <c r="L30" s="50"/>
      <c r="M30" s="51"/>
      <c r="N30" s="5"/>
      <c r="P30" s="5"/>
    </row>
    <row r="31" spans="1:27" ht="15.75" customHeight="1">
      <c r="A31" s="48" t="s">
        <v>2133</v>
      </c>
      <c r="B31" s="49" t="s">
        <v>1830</v>
      </c>
      <c r="C31" s="51" t="s">
        <v>205</v>
      </c>
      <c r="D31" s="54"/>
      <c r="E31" s="5"/>
      <c r="F31" s="5"/>
      <c r="G31" s="5"/>
      <c r="J31" s="5"/>
      <c r="K31" s="52"/>
      <c r="L31" s="50"/>
      <c r="M31" s="51"/>
      <c r="N31" s="51"/>
      <c r="P31" s="5"/>
    </row>
    <row r="32" spans="1:27" ht="15.75" customHeight="1">
      <c r="A32" s="48" t="s">
        <v>2134</v>
      </c>
      <c r="B32" s="49" t="s">
        <v>1555</v>
      </c>
      <c r="C32" s="51" t="s">
        <v>225</v>
      </c>
      <c r="D32" s="54"/>
      <c r="E32" s="5"/>
      <c r="F32" s="5"/>
      <c r="G32" s="5"/>
      <c r="J32" s="5"/>
      <c r="K32" s="52"/>
      <c r="L32" s="50"/>
      <c r="M32" s="51"/>
      <c r="N32" s="5"/>
      <c r="P32" s="5"/>
    </row>
    <row r="33" spans="1:16" ht="15.75" customHeight="1">
      <c r="A33" s="48" t="s">
        <v>2135</v>
      </c>
      <c r="B33" s="49" t="s">
        <v>855</v>
      </c>
      <c r="C33" s="51" t="s">
        <v>195</v>
      </c>
      <c r="D33" s="54"/>
      <c r="E33" s="5"/>
      <c r="F33" s="5"/>
      <c r="G33" s="5"/>
      <c r="J33" s="5"/>
      <c r="K33" s="52"/>
      <c r="L33" s="50"/>
      <c r="M33" s="51"/>
      <c r="N33" s="5"/>
      <c r="P33" s="5"/>
    </row>
    <row r="34" spans="1:16" ht="15.75" customHeight="1">
      <c r="A34" s="48" t="s">
        <v>2136</v>
      </c>
      <c r="B34" s="49" t="s">
        <v>801</v>
      </c>
      <c r="C34" s="51" t="s">
        <v>225</v>
      </c>
      <c r="D34" s="54"/>
      <c r="E34" s="5"/>
      <c r="F34" s="5"/>
      <c r="G34" s="5"/>
      <c r="J34" s="5"/>
      <c r="K34" s="52"/>
      <c r="L34" s="50"/>
      <c r="M34" s="51"/>
      <c r="N34" s="5"/>
      <c r="P34" s="5"/>
    </row>
    <row r="35" spans="1:16" ht="15.75" customHeight="1">
      <c r="A35" s="48" t="s">
        <v>2137</v>
      </c>
      <c r="B35" s="49" t="s">
        <v>368</v>
      </c>
      <c r="C35" s="51" t="s">
        <v>205</v>
      </c>
      <c r="D35" s="54"/>
      <c r="E35" s="5"/>
      <c r="F35" s="5"/>
      <c r="G35" s="5"/>
      <c r="J35" s="5"/>
      <c r="K35" s="52"/>
      <c r="L35" s="50"/>
      <c r="M35" s="51"/>
      <c r="N35" s="51"/>
      <c r="P35" s="5"/>
    </row>
    <row r="36" spans="1:16" ht="15.75" customHeight="1">
      <c r="A36" s="48" t="s">
        <v>2138</v>
      </c>
      <c r="B36" s="49" t="s">
        <v>1499</v>
      </c>
      <c r="C36" s="51" t="s">
        <v>195</v>
      </c>
      <c r="D36" s="51"/>
      <c r="E36" s="5"/>
      <c r="F36" s="5"/>
      <c r="G36" s="5"/>
      <c r="J36" s="5"/>
      <c r="M36" s="5"/>
      <c r="N36" s="5"/>
      <c r="P36" s="5"/>
    </row>
    <row r="37" spans="1:16" ht="15.75" customHeight="1">
      <c r="A37" s="48" t="s">
        <v>2139</v>
      </c>
      <c r="B37" s="49" t="s">
        <v>1416</v>
      </c>
      <c r="C37" s="51" t="s">
        <v>208</v>
      </c>
      <c r="D37" s="54"/>
      <c r="E37" s="5"/>
      <c r="F37" s="5"/>
      <c r="G37" s="5"/>
      <c r="J37" s="5"/>
      <c r="M37" s="5"/>
      <c r="N37" s="5"/>
    </row>
    <row r="38" spans="1:16" ht="15.75" customHeight="1">
      <c r="A38" s="48" t="s">
        <v>2140</v>
      </c>
      <c r="B38" s="49" t="s">
        <v>1416</v>
      </c>
      <c r="C38" s="51" t="s">
        <v>208</v>
      </c>
      <c r="D38" s="54"/>
      <c r="E38" s="5"/>
      <c r="F38" s="5"/>
      <c r="G38" s="5"/>
      <c r="J38" s="5"/>
      <c r="M38" s="51"/>
      <c r="N38" s="51"/>
    </row>
    <row r="39" spans="1:16" ht="15.75" customHeight="1">
      <c r="A39" s="48" t="s">
        <v>2141</v>
      </c>
      <c r="B39" s="49" t="s">
        <v>1443</v>
      </c>
      <c r="C39" s="51" t="s">
        <v>208</v>
      </c>
      <c r="D39" s="54"/>
      <c r="E39" s="5"/>
      <c r="F39" s="5"/>
      <c r="G39" s="5"/>
      <c r="J39" s="5"/>
      <c r="M39" s="51"/>
      <c r="N39" s="51"/>
    </row>
    <row r="40" spans="1:16" ht="15.75" customHeight="1">
      <c r="A40" s="48" t="s">
        <v>2142</v>
      </c>
      <c r="B40" s="49" t="s">
        <v>1366</v>
      </c>
      <c r="C40" s="51" t="s">
        <v>225</v>
      </c>
      <c r="D40" s="54"/>
      <c r="E40" s="5"/>
      <c r="F40" s="5"/>
      <c r="G40" s="5"/>
      <c r="J40" s="5"/>
      <c r="M40" s="51"/>
      <c r="N40" s="51"/>
    </row>
    <row r="41" spans="1:16" ht="15.75" customHeight="1">
      <c r="A41" s="48" t="s">
        <v>2143</v>
      </c>
      <c r="B41" s="49" t="s">
        <v>974</v>
      </c>
      <c r="C41" s="51" t="s">
        <v>199</v>
      </c>
      <c r="D41" s="54"/>
      <c r="E41" s="5"/>
      <c r="F41" s="5"/>
      <c r="G41" s="5"/>
      <c r="J41" s="5"/>
      <c r="M41" s="51"/>
      <c r="N41" s="51"/>
    </row>
    <row r="42" spans="1:16" ht="15.75" customHeight="1">
      <c r="A42" s="48" t="s">
        <v>2144</v>
      </c>
      <c r="B42" s="49" t="s">
        <v>1224</v>
      </c>
      <c r="C42" s="51" t="s">
        <v>192</v>
      </c>
      <c r="D42" s="54"/>
      <c r="E42" s="5"/>
      <c r="F42" s="5"/>
      <c r="G42" s="5"/>
      <c r="J42" s="5"/>
      <c r="M42" s="51"/>
      <c r="N42" s="51"/>
    </row>
    <row r="43" spans="1:16" ht="15.75" customHeight="1">
      <c r="A43" s="48" t="s">
        <v>2145</v>
      </c>
      <c r="B43" s="49" t="s">
        <v>1818</v>
      </c>
      <c r="C43" s="51" t="s">
        <v>205</v>
      </c>
      <c r="D43" s="54"/>
      <c r="E43" s="5"/>
      <c r="F43" s="5"/>
      <c r="G43" s="5"/>
      <c r="J43" s="5"/>
      <c r="M43" s="51"/>
      <c r="N43" s="51"/>
    </row>
    <row r="44" spans="1:16" ht="15.75" customHeight="1">
      <c r="A44" s="48" t="s">
        <v>2146</v>
      </c>
      <c r="B44" s="49" t="s">
        <v>1198</v>
      </c>
      <c r="C44" s="51" t="s">
        <v>195</v>
      </c>
      <c r="D44" s="54"/>
      <c r="E44" s="5"/>
      <c r="F44" s="5"/>
      <c r="G44" s="5"/>
      <c r="J44" s="5"/>
      <c r="M44" s="51"/>
      <c r="N44" s="51"/>
    </row>
    <row r="45" spans="1:16" ht="15.75" customHeight="1">
      <c r="A45" s="48" t="s">
        <v>2147</v>
      </c>
      <c r="B45" s="49" t="s">
        <v>1501</v>
      </c>
      <c r="C45" s="51" t="s">
        <v>192</v>
      </c>
      <c r="D45" s="54"/>
      <c r="E45" s="5"/>
      <c r="F45" s="5"/>
      <c r="G45" s="5"/>
      <c r="J45" s="5"/>
      <c r="M45" s="51"/>
      <c r="N45" s="51"/>
      <c r="P45" s="5"/>
    </row>
    <row r="46" spans="1:16" ht="15.75" customHeight="1">
      <c r="A46" s="48" t="s">
        <v>2148</v>
      </c>
      <c r="B46" s="49" t="s">
        <v>1240</v>
      </c>
      <c r="C46" s="51" t="s">
        <v>225</v>
      </c>
      <c r="D46" s="54"/>
      <c r="E46" s="5"/>
      <c r="F46" s="5"/>
      <c r="G46" s="5"/>
      <c r="J46" s="5"/>
      <c r="M46" s="51"/>
      <c r="N46" s="51"/>
      <c r="P46" s="5"/>
    </row>
    <row r="47" spans="1:16" ht="15.75" customHeight="1">
      <c r="A47" s="48" t="s">
        <v>2149</v>
      </c>
      <c r="B47" s="49" t="s">
        <v>1420</v>
      </c>
      <c r="C47" s="51" t="s">
        <v>205</v>
      </c>
      <c r="D47" s="54"/>
      <c r="E47" s="5"/>
      <c r="F47" s="5"/>
      <c r="G47" s="5"/>
      <c r="J47" s="5"/>
      <c r="M47" s="5"/>
      <c r="N47" s="5"/>
      <c r="P47" s="5"/>
    </row>
    <row r="48" spans="1:16" ht="15.75" customHeight="1">
      <c r="A48" s="48" t="s">
        <v>2150</v>
      </c>
      <c r="B48" s="49" t="s">
        <v>1503</v>
      </c>
      <c r="C48" s="51" t="s">
        <v>192</v>
      </c>
      <c r="D48" s="54"/>
      <c r="E48" s="5"/>
      <c r="F48" s="5"/>
      <c r="G48" s="5"/>
      <c r="J48" s="5"/>
      <c r="M48" s="5"/>
      <c r="N48" s="5"/>
      <c r="P48" s="5"/>
    </row>
    <row r="49" spans="1:16" ht="15.75" customHeight="1">
      <c r="A49" s="48" t="s">
        <v>2151</v>
      </c>
      <c r="B49" s="49" t="s">
        <v>1521</v>
      </c>
      <c r="C49" s="51" t="s">
        <v>197</v>
      </c>
      <c r="D49" s="54"/>
      <c r="E49" s="5"/>
      <c r="F49" s="5"/>
      <c r="G49" s="5"/>
      <c r="J49" s="5"/>
      <c r="M49" s="5"/>
      <c r="N49" s="5"/>
      <c r="P49" s="5"/>
    </row>
    <row r="50" spans="1:16" ht="15.75" customHeight="1">
      <c r="A50" s="48" t="s">
        <v>2152</v>
      </c>
      <c r="B50" s="49" t="s">
        <v>1274</v>
      </c>
      <c r="C50" s="51" t="s">
        <v>205</v>
      </c>
      <c r="D50" s="54"/>
      <c r="E50" s="5"/>
      <c r="F50" s="5"/>
      <c r="G50" s="5"/>
      <c r="J50" s="5"/>
      <c r="M50" s="5"/>
      <c r="N50" s="5"/>
      <c r="P50" s="5"/>
    </row>
    <row r="51" spans="1:16" ht="15.75" customHeight="1">
      <c r="A51" s="48" t="s">
        <v>2153</v>
      </c>
      <c r="B51" s="49" t="s">
        <v>1376</v>
      </c>
      <c r="C51" s="51" t="s">
        <v>195</v>
      </c>
      <c r="D51" s="54"/>
      <c r="E51" s="5"/>
      <c r="F51" s="5"/>
      <c r="G51" s="5"/>
      <c r="J51" s="5"/>
      <c r="M51" s="5"/>
      <c r="N51" s="5"/>
      <c r="P51" s="5"/>
    </row>
    <row r="52" spans="1:16" ht="15.75" customHeight="1">
      <c r="A52" s="48" t="s">
        <v>2154</v>
      </c>
      <c r="B52" s="49" t="s">
        <v>295</v>
      </c>
      <c r="C52" s="51" t="s">
        <v>208</v>
      </c>
      <c r="D52" s="54"/>
      <c r="E52" s="5"/>
      <c r="F52" s="5"/>
      <c r="G52" s="5"/>
      <c r="J52" s="5"/>
      <c r="M52" s="5"/>
      <c r="N52" s="5"/>
      <c r="P52" s="5"/>
    </row>
    <row r="53" spans="1:16" ht="13">
      <c r="A53" s="48" t="s">
        <v>2155</v>
      </c>
      <c r="B53" s="49" t="s">
        <v>1280</v>
      </c>
      <c r="C53" s="51" t="s">
        <v>197</v>
      </c>
      <c r="D53" s="54"/>
      <c r="E53" s="5"/>
      <c r="F53" s="5"/>
      <c r="G53" s="5"/>
      <c r="J53" s="5"/>
      <c r="M53" s="5"/>
      <c r="N53" s="5"/>
      <c r="P53" s="5"/>
    </row>
    <row r="54" spans="1:16" ht="13">
      <c r="A54" s="48" t="s">
        <v>2156</v>
      </c>
      <c r="B54" s="49" t="s">
        <v>1282</v>
      </c>
      <c r="C54" s="51" t="s">
        <v>197</v>
      </c>
      <c r="D54" s="54"/>
      <c r="E54" s="5"/>
      <c r="F54" s="5"/>
      <c r="G54" s="5"/>
      <c r="J54" s="5"/>
      <c r="M54" s="5"/>
      <c r="N54" s="5"/>
      <c r="P54" s="5"/>
    </row>
    <row r="55" spans="1:16" ht="13">
      <c r="A55" s="48" t="s">
        <v>2157</v>
      </c>
      <c r="B55" s="49" t="s">
        <v>378</v>
      </c>
      <c r="C55" s="51" t="s">
        <v>205</v>
      </c>
      <c r="D55" s="54"/>
      <c r="E55" s="5"/>
      <c r="F55" s="5"/>
      <c r="G55" s="5"/>
      <c r="J55" s="5"/>
      <c r="M55" s="5"/>
      <c r="N55" s="5"/>
      <c r="P55" s="5"/>
    </row>
    <row r="56" spans="1:16" ht="13">
      <c r="A56" s="48" t="s">
        <v>2158</v>
      </c>
      <c r="B56" s="49" t="s">
        <v>1526</v>
      </c>
      <c r="C56" s="51" t="s">
        <v>197</v>
      </c>
      <c r="D56" s="54"/>
      <c r="E56" s="5"/>
      <c r="F56" s="5"/>
      <c r="G56" s="5"/>
      <c r="J56" s="5"/>
      <c r="M56" s="5"/>
      <c r="N56" s="5"/>
      <c r="P56" s="5"/>
    </row>
    <row r="57" spans="1:16" ht="13">
      <c r="A57" s="48" t="s">
        <v>2159</v>
      </c>
      <c r="B57" s="49" t="s">
        <v>1400</v>
      </c>
      <c r="C57" s="51" t="s">
        <v>225</v>
      </c>
      <c r="D57" s="54"/>
      <c r="E57" s="5"/>
      <c r="F57" s="5"/>
      <c r="G57" s="5"/>
      <c r="J57" s="5"/>
      <c r="M57" s="5"/>
      <c r="N57" s="5"/>
      <c r="P57" s="5"/>
    </row>
    <row r="58" spans="1:16" ht="13">
      <c r="A58" s="48" t="s">
        <v>2160</v>
      </c>
      <c r="B58" s="49" t="s">
        <v>1559</v>
      </c>
      <c r="C58" s="51" t="s">
        <v>208</v>
      </c>
      <c r="D58" s="54"/>
      <c r="E58" s="5"/>
      <c r="F58" s="5"/>
      <c r="G58" s="5"/>
      <c r="J58" s="5"/>
      <c r="M58" s="5"/>
      <c r="N58" s="5"/>
      <c r="P58" s="5"/>
    </row>
    <row r="59" spans="1:16" ht="13">
      <c r="A59" s="48" t="s">
        <v>2161</v>
      </c>
      <c r="B59" s="49" t="s">
        <v>1197</v>
      </c>
      <c r="C59" s="51" t="s">
        <v>195</v>
      </c>
      <c r="D59" s="54"/>
      <c r="E59" s="5"/>
      <c r="F59" s="5"/>
      <c r="G59" s="5"/>
      <c r="J59" s="5"/>
      <c r="M59" s="5"/>
      <c r="N59" s="5"/>
      <c r="P59" s="5"/>
    </row>
    <row r="60" spans="1:16" ht="13">
      <c r="A60" s="48" t="s">
        <v>2162</v>
      </c>
      <c r="B60" s="49" t="s">
        <v>1288</v>
      </c>
      <c r="C60" s="51" t="s">
        <v>808</v>
      </c>
      <c r="D60" s="51"/>
      <c r="E60" s="5"/>
      <c r="F60" s="5"/>
      <c r="G60" s="5"/>
      <c r="J60" s="5"/>
      <c r="M60" s="5"/>
      <c r="N60" s="5"/>
      <c r="P60" s="5"/>
    </row>
    <row r="61" spans="1:16" ht="13">
      <c r="A61" s="48" t="s">
        <v>2163</v>
      </c>
      <c r="B61" s="49" t="s">
        <v>1561</v>
      </c>
      <c r="C61" s="51" t="s">
        <v>208</v>
      </c>
      <c r="D61" s="54"/>
      <c r="E61" s="5"/>
      <c r="F61" s="5"/>
      <c r="G61" s="5"/>
      <c r="J61" s="5"/>
      <c r="M61" s="5"/>
      <c r="N61" s="5"/>
      <c r="P61" s="5"/>
    </row>
    <row r="62" spans="1:16" ht="13">
      <c r="A62" s="48" t="s">
        <v>2164</v>
      </c>
      <c r="B62" s="49" t="s">
        <v>1437</v>
      </c>
      <c r="C62" s="51" t="s">
        <v>195</v>
      </c>
      <c r="D62" s="54"/>
      <c r="E62" s="5"/>
      <c r="F62" s="5"/>
      <c r="G62" s="5"/>
      <c r="J62" s="5"/>
      <c r="M62" s="5"/>
      <c r="N62" s="5"/>
      <c r="P62" s="5"/>
    </row>
    <row r="63" spans="1:16" ht="13">
      <c r="A63" s="48" t="s">
        <v>2165</v>
      </c>
      <c r="B63" s="49" t="s">
        <v>1257</v>
      </c>
      <c r="C63" s="51" t="s">
        <v>192</v>
      </c>
      <c r="D63" s="51"/>
      <c r="E63" s="5"/>
      <c r="F63" s="5"/>
      <c r="G63" s="5"/>
      <c r="J63" s="5"/>
      <c r="M63" s="5"/>
      <c r="N63" s="5"/>
      <c r="P63" s="5"/>
    </row>
    <row r="64" spans="1:16" ht="13">
      <c r="A64" s="48" t="s">
        <v>2166</v>
      </c>
      <c r="B64" s="49" t="s">
        <v>1257</v>
      </c>
      <c r="C64" s="51" t="s">
        <v>192</v>
      </c>
      <c r="D64" s="54"/>
      <c r="E64" s="5"/>
      <c r="F64" s="5"/>
      <c r="G64" s="5"/>
      <c r="J64" s="5"/>
      <c r="M64" s="5"/>
      <c r="N64" s="5"/>
      <c r="P64" s="5"/>
    </row>
    <row r="65" spans="1:16" ht="13">
      <c r="A65" s="48" t="s">
        <v>2167</v>
      </c>
      <c r="B65" s="49" t="s">
        <v>349</v>
      </c>
      <c r="C65" s="51" t="s">
        <v>208</v>
      </c>
      <c r="D65" s="54"/>
      <c r="E65" s="5"/>
      <c r="F65" s="5"/>
      <c r="G65" s="5"/>
      <c r="J65" s="5"/>
      <c r="M65" s="5"/>
      <c r="N65" s="5"/>
      <c r="P65" s="5"/>
    </row>
    <row r="66" spans="1:16" ht="13">
      <c r="A66" s="48" t="s">
        <v>2168</v>
      </c>
      <c r="B66" s="49" t="s">
        <v>283</v>
      </c>
      <c r="C66" s="51" t="s">
        <v>205</v>
      </c>
      <c r="D66" s="54"/>
      <c r="E66" s="5"/>
      <c r="F66" s="5"/>
      <c r="G66" s="5"/>
      <c r="J66" s="5"/>
      <c r="M66" s="5"/>
      <c r="N66" s="5"/>
      <c r="P66" s="5"/>
    </row>
    <row r="67" spans="1:16" ht="13">
      <c r="A67" s="48" t="s">
        <v>2169</v>
      </c>
      <c r="B67" s="49" t="s">
        <v>1443</v>
      </c>
      <c r="C67" s="51" t="s">
        <v>208</v>
      </c>
      <c r="D67" s="54"/>
      <c r="E67" s="5"/>
      <c r="F67" s="5"/>
      <c r="G67" s="5"/>
      <c r="J67" s="5"/>
      <c r="M67" s="5"/>
      <c r="N67" s="5"/>
      <c r="P67" s="5"/>
    </row>
    <row r="68" spans="1:16" ht="13">
      <c r="A68" s="48" t="s">
        <v>2170</v>
      </c>
      <c r="B68" s="49" t="s">
        <v>268</v>
      </c>
      <c r="C68" s="51" t="s">
        <v>208</v>
      </c>
      <c r="D68" s="54"/>
      <c r="E68" s="5"/>
      <c r="F68" s="5"/>
      <c r="G68" s="5"/>
      <c r="J68" s="5"/>
      <c r="M68" s="5"/>
      <c r="N68" s="5"/>
      <c r="P68" s="5"/>
    </row>
    <row r="69" spans="1:16" ht="13">
      <c r="A69" s="48" t="s">
        <v>2171</v>
      </c>
      <c r="B69" s="49" t="s">
        <v>1294</v>
      </c>
      <c r="C69" s="51" t="s">
        <v>225</v>
      </c>
      <c r="D69" s="54"/>
      <c r="E69" s="5"/>
      <c r="F69" s="5"/>
      <c r="G69" s="5"/>
      <c r="J69" s="5"/>
      <c r="M69" s="5"/>
      <c r="N69" s="5"/>
      <c r="P69" s="5"/>
    </row>
    <row r="70" spans="1:16" ht="13">
      <c r="A70" s="48" t="s">
        <v>2172</v>
      </c>
      <c r="B70" s="49" t="s">
        <v>881</v>
      </c>
      <c r="C70" s="51" t="s">
        <v>195</v>
      </c>
      <c r="D70" s="54"/>
      <c r="E70" s="5"/>
      <c r="F70" s="5"/>
      <c r="G70" s="5"/>
      <c r="J70" s="5"/>
      <c r="M70" s="5"/>
      <c r="N70" s="5"/>
      <c r="P70" s="5"/>
    </row>
    <row r="71" spans="1:16" ht="13">
      <c r="A71" s="48" t="s">
        <v>2173</v>
      </c>
      <c r="B71" s="49" t="s">
        <v>1576</v>
      </c>
      <c r="C71" s="51" t="s">
        <v>205</v>
      </c>
      <c r="D71" s="5"/>
      <c r="J71" s="5"/>
      <c r="M71" s="5"/>
      <c r="N71" s="5"/>
      <c r="P71" s="5"/>
    </row>
    <row r="72" spans="1:16" ht="13">
      <c r="A72" s="48" t="s">
        <v>2174</v>
      </c>
      <c r="B72" s="49" t="s">
        <v>1300</v>
      </c>
      <c r="C72" s="51" t="s">
        <v>199</v>
      </c>
      <c r="D72" s="51"/>
      <c r="E72" s="5"/>
      <c r="F72" s="5"/>
      <c r="G72" s="5"/>
      <c r="J72" s="5"/>
      <c r="M72" s="5"/>
      <c r="N72" s="5"/>
      <c r="P72" s="5"/>
    </row>
    <row r="73" spans="1:16" ht="13">
      <c r="A73" s="48" t="s">
        <v>2175</v>
      </c>
      <c r="B73" s="49" t="s">
        <v>840</v>
      </c>
      <c r="C73" s="51" t="s">
        <v>225</v>
      </c>
      <c r="D73" s="54"/>
      <c r="E73" s="5"/>
      <c r="F73" s="5"/>
      <c r="G73" s="5"/>
      <c r="J73" s="5"/>
      <c r="M73" s="5"/>
      <c r="N73" s="5"/>
      <c r="P73" s="5"/>
    </row>
    <row r="74" spans="1:16" ht="13">
      <c r="A74" s="48" t="s">
        <v>2176</v>
      </c>
      <c r="B74" s="49" t="s">
        <v>1303</v>
      </c>
      <c r="C74" s="51" t="s">
        <v>808</v>
      </c>
      <c r="D74" s="54"/>
      <c r="E74" s="5"/>
      <c r="F74" s="5"/>
      <c r="G74" s="5"/>
      <c r="J74" s="5"/>
      <c r="M74" s="5"/>
      <c r="N74" s="5"/>
      <c r="P74" s="5"/>
    </row>
    <row r="75" spans="1:16" ht="13">
      <c r="A75" s="48" t="s">
        <v>2177</v>
      </c>
      <c r="B75" s="49" t="s">
        <v>1454</v>
      </c>
      <c r="C75" s="51" t="s">
        <v>205</v>
      </c>
      <c r="D75" s="54"/>
      <c r="E75" s="5"/>
      <c r="F75" s="5"/>
      <c r="G75" s="5"/>
      <c r="J75" s="5"/>
      <c r="M75" s="5"/>
      <c r="N75" s="5"/>
      <c r="P75" s="5"/>
    </row>
    <row r="76" spans="1:16" ht="13">
      <c r="A76" s="48" t="s">
        <v>2178</v>
      </c>
      <c r="B76" s="49" t="s">
        <v>1311</v>
      </c>
      <c r="C76" s="51" t="s">
        <v>205</v>
      </c>
      <c r="D76" s="54"/>
      <c r="E76" s="5"/>
      <c r="F76" s="5"/>
      <c r="G76" s="5"/>
      <c r="J76" s="5"/>
      <c r="M76" s="5"/>
      <c r="N76" s="5"/>
      <c r="P76" s="5"/>
    </row>
    <row r="77" spans="1:16" ht="13">
      <c r="A77" s="48" t="s">
        <v>2179</v>
      </c>
      <c r="B77" s="49" t="s">
        <v>1278</v>
      </c>
      <c r="C77" s="51" t="s">
        <v>197</v>
      </c>
      <c r="D77" s="54"/>
      <c r="E77" s="5"/>
      <c r="F77" s="5"/>
      <c r="G77" s="5"/>
      <c r="J77" s="5"/>
      <c r="M77" s="5"/>
      <c r="N77" s="5"/>
      <c r="P77" s="5"/>
    </row>
    <row r="78" spans="1:16" ht="13">
      <c r="A78" s="48" t="s">
        <v>2180</v>
      </c>
      <c r="B78" s="49" t="s">
        <v>980</v>
      </c>
      <c r="C78" s="51" t="s">
        <v>199</v>
      </c>
      <c r="D78" s="54"/>
      <c r="E78" s="5"/>
      <c r="F78" s="5"/>
      <c r="G78" s="5"/>
      <c r="J78" s="5"/>
      <c r="M78" s="5"/>
      <c r="N78" s="5"/>
      <c r="P78" s="5"/>
    </row>
    <row r="79" spans="1:16" ht="13">
      <c r="A79" s="48" t="s">
        <v>2181</v>
      </c>
      <c r="B79" s="49" t="s">
        <v>980</v>
      </c>
      <c r="C79" s="51" t="s">
        <v>199</v>
      </c>
      <c r="D79" s="54"/>
      <c r="E79" s="5"/>
      <c r="F79" s="5"/>
      <c r="G79" s="5"/>
      <c r="J79" s="5"/>
      <c r="M79" s="5"/>
      <c r="N79" s="5"/>
      <c r="P79" s="5"/>
    </row>
    <row r="80" spans="1:16" ht="13">
      <c r="A80" s="48" t="s">
        <v>2182</v>
      </c>
      <c r="B80" s="49" t="s">
        <v>1584</v>
      </c>
      <c r="C80" s="51" t="s">
        <v>195</v>
      </c>
      <c r="D80" s="54"/>
      <c r="E80" s="5"/>
      <c r="F80" s="5"/>
      <c r="G80" s="5"/>
      <c r="J80" s="5"/>
      <c r="M80" s="5"/>
      <c r="N80" s="5"/>
      <c r="P80" s="5"/>
    </row>
    <row r="81" spans="1:16" ht="13">
      <c r="A81" s="48" t="s">
        <v>2183</v>
      </c>
      <c r="B81" s="49" t="s">
        <v>296</v>
      </c>
      <c r="C81" s="51" t="s">
        <v>208</v>
      </c>
      <c r="D81" s="54"/>
      <c r="E81" s="5"/>
      <c r="F81" s="5"/>
      <c r="G81" s="5"/>
      <c r="J81" s="5"/>
      <c r="M81" s="5"/>
      <c r="N81" s="5"/>
      <c r="P81" s="5"/>
    </row>
    <row r="82" spans="1:16" ht="13">
      <c r="A82" s="48" t="s">
        <v>2184</v>
      </c>
      <c r="B82" s="49" t="s">
        <v>1891</v>
      </c>
      <c r="C82" s="51" t="s">
        <v>205</v>
      </c>
      <c r="D82" s="54"/>
      <c r="E82" s="5"/>
      <c r="F82" s="5"/>
      <c r="G82" s="5"/>
      <c r="J82" s="5"/>
      <c r="M82" s="5"/>
      <c r="N82" s="5"/>
      <c r="P82" s="5"/>
    </row>
    <row r="83" spans="1:16" ht="13">
      <c r="A83" s="48" t="s">
        <v>2185</v>
      </c>
      <c r="B83" s="49" t="s">
        <v>1587</v>
      </c>
      <c r="C83" s="51" t="s">
        <v>197</v>
      </c>
      <c r="D83" s="54"/>
      <c r="E83" s="5"/>
      <c r="F83" s="5"/>
      <c r="G83" s="5"/>
      <c r="J83" s="5"/>
      <c r="M83" s="5"/>
      <c r="N83" s="5"/>
      <c r="P83" s="5"/>
    </row>
    <row r="84" spans="1:16" ht="13">
      <c r="A84" s="48" t="s">
        <v>2186</v>
      </c>
      <c r="B84" s="49" t="s">
        <v>1315</v>
      </c>
      <c r="C84" s="51" t="s">
        <v>197</v>
      </c>
      <c r="D84" s="54"/>
      <c r="E84" s="5"/>
      <c r="F84" s="5"/>
      <c r="G84" s="5"/>
      <c r="J84" s="5"/>
      <c r="M84" s="5"/>
      <c r="N84" s="5"/>
      <c r="P84" s="5"/>
    </row>
    <row r="85" spans="1:16" ht="13">
      <c r="A85" s="48" t="s">
        <v>2187</v>
      </c>
      <c r="B85" s="49" t="s">
        <v>1321</v>
      </c>
      <c r="C85" s="51" t="s">
        <v>208</v>
      </c>
      <c r="D85" s="54"/>
      <c r="E85" s="5"/>
      <c r="F85" s="5"/>
      <c r="G85" s="5"/>
      <c r="J85" s="5"/>
      <c r="M85" s="5"/>
      <c r="N85" s="5"/>
      <c r="P85" s="5"/>
    </row>
    <row r="86" spans="1:16" ht="13">
      <c r="A86" s="48" t="s">
        <v>2188</v>
      </c>
      <c r="B86" s="49" t="s">
        <v>1323</v>
      </c>
      <c r="C86" s="51" t="s">
        <v>205</v>
      </c>
      <c r="D86" s="54"/>
      <c r="E86" s="5"/>
      <c r="F86" s="5"/>
      <c r="G86" s="5"/>
      <c r="J86" s="5"/>
      <c r="M86" s="5"/>
      <c r="N86" s="5"/>
      <c r="P86" s="5"/>
    </row>
    <row r="87" spans="1:16" ht="13">
      <c r="A87" s="48" t="s">
        <v>2189</v>
      </c>
      <c r="B87" s="49" t="s">
        <v>389</v>
      </c>
      <c r="C87" s="51" t="s">
        <v>205</v>
      </c>
      <c r="D87" s="54"/>
      <c r="E87" s="5"/>
      <c r="F87" s="5"/>
      <c r="G87" s="5"/>
      <c r="J87" s="5"/>
      <c r="M87" s="5"/>
      <c r="N87" s="5"/>
      <c r="P87" s="5"/>
    </row>
    <row r="88" spans="1:16" ht="13">
      <c r="A88" s="48" t="s">
        <v>2190</v>
      </c>
      <c r="B88" s="49" t="s">
        <v>983</v>
      </c>
      <c r="C88" s="51" t="s">
        <v>912</v>
      </c>
      <c r="D88" s="54"/>
      <c r="E88" s="5"/>
      <c r="F88" s="5"/>
      <c r="G88" s="5"/>
      <c r="J88" s="5"/>
      <c r="M88" s="5"/>
      <c r="N88" s="5"/>
      <c r="P88" s="5"/>
    </row>
    <row r="89" spans="1:16" ht="13">
      <c r="A89" s="48" t="s">
        <v>2191</v>
      </c>
      <c r="B89" s="49" t="s">
        <v>1178</v>
      </c>
      <c r="C89" s="51" t="s">
        <v>912</v>
      </c>
      <c r="D89" s="54"/>
      <c r="E89" s="5"/>
      <c r="F89" s="5"/>
      <c r="G89" s="5"/>
      <c r="J89" s="5"/>
      <c r="M89" s="5"/>
      <c r="N89" s="5"/>
      <c r="P89" s="5"/>
    </row>
    <row r="90" spans="1:16" ht="13">
      <c r="A90" s="48" t="s">
        <v>2192</v>
      </c>
      <c r="B90" s="49" t="s">
        <v>910</v>
      </c>
      <c r="C90" s="51" t="s">
        <v>206</v>
      </c>
      <c r="D90" s="54"/>
      <c r="E90" s="5"/>
      <c r="F90" s="5"/>
      <c r="G90" s="5"/>
      <c r="J90" s="5"/>
      <c r="M90" s="5"/>
      <c r="N90" s="5"/>
      <c r="P90" s="5"/>
    </row>
    <row r="91" spans="1:16" ht="13">
      <c r="A91" s="48" t="s">
        <v>2193</v>
      </c>
      <c r="B91" s="49" t="s">
        <v>1330</v>
      </c>
      <c r="C91" s="51" t="s">
        <v>1013</v>
      </c>
      <c r="D91" s="54"/>
      <c r="E91" s="5"/>
      <c r="F91" s="5"/>
      <c r="G91" s="5"/>
      <c r="J91" s="5"/>
      <c r="M91" s="5"/>
      <c r="N91" s="5"/>
      <c r="P91" s="5"/>
    </row>
    <row r="92" spans="1:16" ht="13">
      <c r="A92" s="48" t="s">
        <v>2194</v>
      </c>
      <c r="B92" s="49" t="s">
        <v>658</v>
      </c>
      <c r="C92" s="51" t="s">
        <v>206</v>
      </c>
      <c r="D92" s="54"/>
      <c r="E92" s="5"/>
      <c r="F92" s="5"/>
      <c r="G92" s="5"/>
      <c r="J92" s="5"/>
      <c r="M92" s="5"/>
      <c r="N92" s="5"/>
      <c r="P92" s="5"/>
    </row>
    <row r="93" spans="1:16" ht="13">
      <c r="A93" s="48" t="s">
        <v>2195</v>
      </c>
      <c r="B93" s="49" t="s">
        <v>2196</v>
      </c>
      <c r="C93" s="51" t="s">
        <v>229</v>
      </c>
      <c r="D93" s="51"/>
      <c r="E93" s="5"/>
      <c r="F93" s="5"/>
      <c r="G93" s="5"/>
      <c r="J93" s="5"/>
      <c r="M93" s="5"/>
      <c r="N93" s="5"/>
      <c r="P93" s="5"/>
    </row>
    <row r="94" spans="1:16" ht="13">
      <c r="A94" s="48" t="s">
        <v>2197</v>
      </c>
      <c r="B94" s="49" t="s">
        <v>2198</v>
      </c>
      <c r="C94" s="51" t="s">
        <v>1013</v>
      </c>
      <c r="D94" s="54"/>
      <c r="E94" s="5"/>
      <c r="F94" s="5"/>
      <c r="G94" s="5"/>
      <c r="J94" s="5"/>
      <c r="M94" s="5"/>
      <c r="N94" s="5"/>
      <c r="P94" s="5"/>
    </row>
    <row r="95" spans="1:16" ht="13">
      <c r="A95" s="48" t="s">
        <v>2199</v>
      </c>
      <c r="B95" s="49" t="s">
        <v>2200</v>
      </c>
      <c r="C95" s="51" t="s">
        <v>229</v>
      </c>
      <c r="D95" s="54"/>
      <c r="E95" s="5"/>
      <c r="F95" s="5"/>
      <c r="G95" s="5"/>
      <c r="J95" s="5"/>
      <c r="M95" s="5"/>
      <c r="N95" s="5"/>
      <c r="P95" s="5"/>
    </row>
    <row r="96" spans="1:16" ht="13">
      <c r="A96" s="48" t="s">
        <v>2201</v>
      </c>
      <c r="B96" s="49" t="s">
        <v>1023</v>
      </c>
      <c r="C96" s="51" t="s">
        <v>912</v>
      </c>
      <c r="D96" s="54"/>
      <c r="E96" s="5"/>
      <c r="F96" s="5"/>
      <c r="G96" s="5"/>
      <c r="J96" s="5"/>
      <c r="M96" s="5"/>
      <c r="N96" s="5"/>
      <c r="P96" s="5"/>
    </row>
    <row r="97" spans="1:16" ht="13">
      <c r="A97" s="48" t="s">
        <v>2202</v>
      </c>
      <c r="B97" s="49" t="s">
        <v>1170</v>
      </c>
      <c r="C97" s="51" t="s">
        <v>317</v>
      </c>
      <c r="D97" s="54"/>
      <c r="E97" s="5"/>
      <c r="F97" s="5"/>
      <c r="G97" s="5"/>
      <c r="J97" s="5"/>
      <c r="M97" s="5"/>
      <c r="N97" s="5"/>
      <c r="P97" s="5"/>
    </row>
    <row r="98" spans="1:16" ht="13">
      <c r="A98" s="48" t="s">
        <v>2203</v>
      </c>
      <c r="B98" s="49" t="s">
        <v>2204</v>
      </c>
      <c r="C98" s="51" t="s">
        <v>317</v>
      </c>
      <c r="D98" s="54"/>
      <c r="E98" s="5"/>
      <c r="F98" s="5"/>
      <c r="G98" s="5"/>
      <c r="J98" s="5"/>
      <c r="M98" s="5"/>
      <c r="N98" s="5"/>
      <c r="P98" s="5"/>
    </row>
    <row r="99" spans="1:16" ht="13">
      <c r="A99" s="48" t="s">
        <v>2205</v>
      </c>
      <c r="B99" s="49" t="s">
        <v>2206</v>
      </c>
      <c r="C99" s="51" t="s">
        <v>317</v>
      </c>
      <c r="D99" s="54"/>
      <c r="E99" s="5"/>
      <c r="F99" s="5"/>
      <c r="G99" s="5"/>
      <c r="J99" s="5"/>
      <c r="M99" s="5"/>
      <c r="N99" s="5"/>
      <c r="P99" s="5"/>
    </row>
    <row r="100" spans="1:16" ht="13">
      <c r="A100" s="48" t="s">
        <v>2207</v>
      </c>
      <c r="B100" s="49" t="s">
        <v>2208</v>
      </c>
      <c r="C100" s="51" t="s">
        <v>205</v>
      </c>
      <c r="D100" s="54"/>
      <c r="E100" s="5"/>
      <c r="F100" s="5"/>
      <c r="G100" s="5"/>
      <c r="J100" s="5"/>
      <c r="M100" s="5"/>
      <c r="N100" s="5"/>
      <c r="P100" s="5"/>
    </row>
    <row r="101" spans="1:16" ht="13">
      <c r="A101" s="48" t="s">
        <v>2209</v>
      </c>
      <c r="B101" s="49" t="s">
        <v>2210</v>
      </c>
      <c r="C101" s="51" t="s">
        <v>195</v>
      </c>
      <c r="D101" s="54"/>
      <c r="E101" s="5"/>
      <c r="F101" s="5"/>
      <c r="G101" s="5"/>
      <c r="J101" s="5"/>
      <c r="M101" s="5"/>
      <c r="N101" s="5"/>
      <c r="P101" s="5"/>
    </row>
    <row r="102" spans="1:16" ht="13">
      <c r="A102" s="48" t="s">
        <v>2211</v>
      </c>
      <c r="B102" s="49" t="s">
        <v>2212</v>
      </c>
      <c r="C102" s="51" t="s">
        <v>195</v>
      </c>
      <c r="D102" s="54"/>
      <c r="E102" s="5"/>
      <c r="F102" s="5"/>
      <c r="G102" s="5"/>
      <c r="J102" s="5"/>
      <c r="M102" s="5"/>
      <c r="N102" s="5"/>
      <c r="P102" s="5"/>
    </row>
    <row r="103" spans="1:16" ht="13">
      <c r="A103" s="48" t="s">
        <v>2213</v>
      </c>
      <c r="B103" s="49" t="s">
        <v>2214</v>
      </c>
      <c r="C103" s="51" t="s">
        <v>195</v>
      </c>
      <c r="D103" s="54"/>
      <c r="E103" s="5"/>
      <c r="F103" s="5"/>
      <c r="G103" s="5"/>
      <c r="J103" s="5"/>
      <c r="M103" s="5"/>
      <c r="N103" s="5"/>
      <c r="P103" s="5"/>
    </row>
    <row r="104" spans="1:16" ht="13">
      <c r="A104" s="48" t="s">
        <v>2215</v>
      </c>
      <c r="B104" s="49" t="s">
        <v>2216</v>
      </c>
      <c r="C104" s="51" t="s">
        <v>225</v>
      </c>
      <c r="D104" s="54"/>
      <c r="E104" s="5"/>
      <c r="F104" s="51"/>
      <c r="G104" s="5"/>
      <c r="J104" s="5"/>
      <c r="M104" s="5"/>
      <c r="N104" s="5"/>
      <c r="P104" s="5"/>
    </row>
    <row r="105" spans="1:16" ht="13">
      <c r="A105" s="48" t="s">
        <v>2217</v>
      </c>
      <c r="B105" s="49" t="s">
        <v>2218</v>
      </c>
      <c r="C105" s="51" t="s">
        <v>192</v>
      </c>
      <c r="D105" s="54"/>
      <c r="E105" s="5"/>
      <c r="F105" s="5"/>
      <c r="G105" s="5"/>
      <c r="J105" s="5"/>
      <c r="M105" s="5"/>
      <c r="N105" s="5"/>
      <c r="P105" s="5"/>
    </row>
    <row r="106" spans="1:16" ht="13">
      <c r="A106" s="48" t="s">
        <v>2219</v>
      </c>
      <c r="B106" s="49" t="s">
        <v>1206</v>
      </c>
      <c r="C106" s="51" t="s">
        <v>197</v>
      </c>
      <c r="D106" s="54"/>
      <c r="E106" s="5"/>
      <c r="F106" s="5"/>
      <c r="G106" s="5"/>
      <c r="J106" s="5"/>
      <c r="M106" s="5"/>
      <c r="N106" s="5"/>
      <c r="P106" s="5"/>
    </row>
    <row r="107" spans="1:16" ht="13">
      <c r="A107" s="48" t="s">
        <v>2220</v>
      </c>
      <c r="B107" s="49" t="s">
        <v>2221</v>
      </c>
      <c r="C107" s="51" t="s">
        <v>197</v>
      </c>
      <c r="D107" s="54"/>
      <c r="E107" s="5"/>
      <c r="F107" s="5"/>
      <c r="G107" s="5"/>
      <c r="J107" s="5"/>
      <c r="M107" s="5"/>
      <c r="N107" s="5"/>
      <c r="P107" s="5"/>
    </row>
    <row r="108" spans="1:16" ht="13">
      <c r="A108" s="48" t="s">
        <v>2222</v>
      </c>
      <c r="B108" s="49" t="s">
        <v>2223</v>
      </c>
      <c r="C108" s="51" t="s">
        <v>808</v>
      </c>
      <c r="D108" s="54"/>
      <c r="E108" s="5"/>
      <c r="F108" s="5"/>
      <c r="G108" s="5"/>
      <c r="J108" s="5"/>
      <c r="M108" s="5"/>
      <c r="N108" s="5"/>
      <c r="P108" s="5"/>
    </row>
    <row r="109" spans="1:16" ht="13">
      <c r="A109" s="48" t="s">
        <v>2224</v>
      </c>
      <c r="B109" s="58" t="str">
        <f>HYPERLINK("https://bulbapedia.bulbagarden.net/wiki/Latias_%E2%98%86_(EX_Deoxys_105)","Latias*")</f>
        <v>Latias*</v>
      </c>
      <c r="C109" s="51" t="s">
        <v>197</v>
      </c>
      <c r="D109" s="54"/>
      <c r="E109" s="5"/>
      <c r="F109" s="5"/>
      <c r="G109" s="5"/>
      <c r="J109" s="5"/>
      <c r="M109" s="5"/>
      <c r="N109" s="5"/>
      <c r="P109" s="5"/>
    </row>
    <row r="110" spans="1:16" ht="13">
      <c r="A110" s="48" t="s">
        <v>2225</v>
      </c>
      <c r="B110" s="58" t="str">
        <f>HYPERLINK("https://bulbapedia.bulbagarden.net/wiki/Latios_%E2%98%86_(EX_Deoxys_106)","Latios*")</f>
        <v>Latios*</v>
      </c>
      <c r="C110" s="51" t="s">
        <v>197</v>
      </c>
      <c r="D110" s="54"/>
      <c r="E110" s="5"/>
      <c r="F110" s="5"/>
      <c r="G110" s="5"/>
      <c r="J110" s="5"/>
      <c r="M110" s="5"/>
      <c r="N110" s="5"/>
      <c r="P110" s="5"/>
    </row>
    <row r="111" spans="1:16" ht="13">
      <c r="A111" s="48" t="s">
        <v>2226</v>
      </c>
      <c r="B111" s="58" t="str">
        <f>HYPERLINK("https://bulbapedia.bulbagarden.net/wiki/Rayquaza_%E2%98%86_(EX_Deoxys_107)","Rayquaza*")</f>
        <v>Rayquaza*</v>
      </c>
      <c r="C111" s="51" t="s">
        <v>197</v>
      </c>
      <c r="D111" s="54"/>
      <c r="E111" s="5"/>
      <c r="F111" s="5"/>
      <c r="G111" s="5"/>
      <c r="J111" s="5"/>
      <c r="M111" s="5"/>
      <c r="N111" s="5"/>
      <c r="P111" s="5"/>
    </row>
    <row r="112" spans="1:16" ht="13">
      <c r="A112" s="48" t="s">
        <v>2227</v>
      </c>
      <c r="B112" s="49" t="s">
        <v>2228</v>
      </c>
      <c r="C112" s="51" t="s">
        <v>808</v>
      </c>
      <c r="D112" s="54"/>
      <c r="E112" s="5"/>
      <c r="F112" s="5"/>
      <c r="G112" s="5"/>
      <c r="J112" s="5"/>
      <c r="M112" s="5"/>
      <c r="N112" s="5"/>
      <c r="P112" s="5"/>
    </row>
    <row r="113" spans="1:16" ht="13">
      <c r="A113" s="48"/>
      <c r="B113" s="53"/>
      <c r="C113" s="51"/>
      <c r="D113" s="54"/>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B00-000000000000}"/>
    <hyperlink ref="B6" r:id="rId2" xr:uid="{00000000-0004-0000-1B00-000001000000}"/>
    <hyperlink ref="B7" r:id="rId3" xr:uid="{00000000-0004-0000-1B00-000002000000}"/>
    <hyperlink ref="B8" r:id="rId4" xr:uid="{00000000-0004-0000-1B00-000003000000}"/>
    <hyperlink ref="B9" r:id="rId5" xr:uid="{00000000-0004-0000-1B00-000004000000}"/>
    <hyperlink ref="B10" r:id="rId6" xr:uid="{00000000-0004-0000-1B00-000005000000}"/>
    <hyperlink ref="B11" r:id="rId7" xr:uid="{00000000-0004-0000-1B00-000006000000}"/>
    <hyperlink ref="B12" r:id="rId8" xr:uid="{00000000-0004-0000-1B00-000007000000}"/>
    <hyperlink ref="B13" r:id="rId9" xr:uid="{00000000-0004-0000-1B00-000008000000}"/>
    <hyperlink ref="B14" r:id="rId10" xr:uid="{00000000-0004-0000-1B00-000009000000}"/>
    <hyperlink ref="B15" r:id="rId11" xr:uid="{00000000-0004-0000-1B00-00000A000000}"/>
    <hyperlink ref="B16" r:id="rId12" xr:uid="{00000000-0004-0000-1B00-00000B000000}"/>
    <hyperlink ref="B17" r:id="rId13" xr:uid="{00000000-0004-0000-1B00-00000C000000}"/>
    <hyperlink ref="B18" r:id="rId14" xr:uid="{00000000-0004-0000-1B00-00000D000000}"/>
    <hyperlink ref="B19" r:id="rId15" xr:uid="{00000000-0004-0000-1B00-00000E000000}"/>
    <hyperlink ref="B20" r:id="rId16" xr:uid="{00000000-0004-0000-1B00-00000F000000}"/>
    <hyperlink ref="B21" r:id="rId17" xr:uid="{00000000-0004-0000-1B00-000010000000}"/>
    <hyperlink ref="B22" r:id="rId18" xr:uid="{00000000-0004-0000-1B00-000011000000}"/>
    <hyperlink ref="B23" r:id="rId19" xr:uid="{00000000-0004-0000-1B00-000012000000}"/>
    <hyperlink ref="B24" r:id="rId20" xr:uid="{00000000-0004-0000-1B00-000013000000}"/>
    <hyperlink ref="B25" r:id="rId21" xr:uid="{00000000-0004-0000-1B00-000014000000}"/>
    <hyperlink ref="B26" r:id="rId22" xr:uid="{00000000-0004-0000-1B00-000015000000}"/>
    <hyperlink ref="B27" r:id="rId23" xr:uid="{00000000-0004-0000-1B00-000016000000}"/>
    <hyperlink ref="B28" r:id="rId24" xr:uid="{00000000-0004-0000-1B00-000017000000}"/>
    <hyperlink ref="B29" r:id="rId25" xr:uid="{00000000-0004-0000-1B00-000018000000}"/>
    <hyperlink ref="B30" r:id="rId26" xr:uid="{00000000-0004-0000-1B00-000019000000}"/>
    <hyperlink ref="B31" r:id="rId27" xr:uid="{00000000-0004-0000-1B00-00001A000000}"/>
    <hyperlink ref="B32" r:id="rId28" xr:uid="{00000000-0004-0000-1B00-00001B000000}"/>
    <hyperlink ref="B33" r:id="rId29" xr:uid="{00000000-0004-0000-1B00-00001C000000}"/>
    <hyperlink ref="B34" r:id="rId30" xr:uid="{00000000-0004-0000-1B00-00001D000000}"/>
    <hyperlink ref="B35" r:id="rId31" xr:uid="{00000000-0004-0000-1B00-00001E000000}"/>
    <hyperlink ref="B36" r:id="rId32" xr:uid="{00000000-0004-0000-1B00-00001F000000}"/>
    <hyperlink ref="B37" r:id="rId33" xr:uid="{00000000-0004-0000-1B00-000020000000}"/>
    <hyperlink ref="B38" r:id="rId34" xr:uid="{00000000-0004-0000-1B00-000021000000}"/>
    <hyperlink ref="B39" r:id="rId35" xr:uid="{00000000-0004-0000-1B00-000022000000}"/>
    <hyperlink ref="B40" r:id="rId36" xr:uid="{00000000-0004-0000-1B00-000023000000}"/>
    <hyperlink ref="B41" r:id="rId37" xr:uid="{00000000-0004-0000-1B00-000024000000}"/>
    <hyperlink ref="B42" r:id="rId38" xr:uid="{00000000-0004-0000-1B00-000025000000}"/>
    <hyperlink ref="B43" r:id="rId39" xr:uid="{00000000-0004-0000-1B00-000026000000}"/>
    <hyperlink ref="B44" r:id="rId40" xr:uid="{00000000-0004-0000-1B00-000027000000}"/>
    <hyperlink ref="B45" r:id="rId41" xr:uid="{00000000-0004-0000-1B00-000028000000}"/>
    <hyperlink ref="B46" r:id="rId42" xr:uid="{00000000-0004-0000-1B00-000029000000}"/>
    <hyperlink ref="B47" r:id="rId43" xr:uid="{00000000-0004-0000-1B00-00002A000000}"/>
    <hyperlink ref="B48" r:id="rId44" xr:uid="{00000000-0004-0000-1B00-00002B000000}"/>
    <hyperlink ref="B49" r:id="rId45" xr:uid="{00000000-0004-0000-1B00-00002C000000}"/>
    <hyperlink ref="B50" r:id="rId46" xr:uid="{00000000-0004-0000-1B00-00002D000000}"/>
    <hyperlink ref="B51" r:id="rId47" xr:uid="{00000000-0004-0000-1B00-00002E000000}"/>
    <hyperlink ref="B52" r:id="rId48" xr:uid="{00000000-0004-0000-1B00-00002F000000}"/>
    <hyperlink ref="B53" r:id="rId49" xr:uid="{00000000-0004-0000-1B00-000030000000}"/>
    <hyperlink ref="B54" r:id="rId50" xr:uid="{00000000-0004-0000-1B00-000031000000}"/>
    <hyperlink ref="B55" r:id="rId51" xr:uid="{00000000-0004-0000-1B00-000032000000}"/>
    <hyperlink ref="B56" r:id="rId52" xr:uid="{00000000-0004-0000-1B00-000033000000}"/>
    <hyperlink ref="B57" r:id="rId53" xr:uid="{00000000-0004-0000-1B00-000034000000}"/>
    <hyperlink ref="B58" r:id="rId54" xr:uid="{00000000-0004-0000-1B00-000035000000}"/>
    <hyperlink ref="B59" r:id="rId55" xr:uid="{00000000-0004-0000-1B00-000036000000}"/>
    <hyperlink ref="B60" r:id="rId56" xr:uid="{00000000-0004-0000-1B00-000037000000}"/>
    <hyperlink ref="B61" r:id="rId57" xr:uid="{00000000-0004-0000-1B00-000038000000}"/>
    <hyperlink ref="B62" r:id="rId58" xr:uid="{00000000-0004-0000-1B00-000039000000}"/>
    <hyperlink ref="B63" r:id="rId59" xr:uid="{00000000-0004-0000-1B00-00003A000000}"/>
    <hyperlink ref="B64" r:id="rId60" xr:uid="{00000000-0004-0000-1B00-00003B000000}"/>
    <hyperlink ref="B65" r:id="rId61" xr:uid="{00000000-0004-0000-1B00-00003C000000}"/>
    <hyperlink ref="B66" r:id="rId62" xr:uid="{00000000-0004-0000-1B00-00003D000000}"/>
    <hyperlink ref="B67" r:id="rId63" xr:uid="{00000000-0004-0000-1B00-00003E000000}"/>
    <hyperlink ref="B68" r:id="rId64" xr:uid="{00000000-0004-0000-1B00-00003F000000}"/>
    <hyperlink ref="B69" r:id="rId65" xr:uid="{00000000-0004-0000-1B00-000040000000}"/>
    <hyperlink ref="B70" r:id="rId66" xr:uid="{00000000-0004-0000-1B00-000041000000}"/>
    <hyperlink ref="B71" r:id="rId67" xr:uid="{00000000-0004-0000-1B00-000042000000}"/>
    <hyperlink ref="B72" r:id="rId68" xr:uid="{00000000-0004-0000-1B00-000043000000}"/>
    <hyperlink ref="B73" r:id="rId69" xr:uid="{00000000-0004-0000-1B00-000044000000}"/>
    <hyperlink ref="B74" r:id="rId70" xr:uid="{00000000-0004-0000-1B00-000045000000}"/>
    <hyperlink ref="B75" r:id="rId71" xr:uid="{00000000-0004-0000-1B00-000046000000}"/>
    <hyperlink ref="B76" r:id="rId72" xr:uid="{00000000-0004-0000-1B00-000047000000}"/>
    <hyperlink ref="B77" r:id="rId73" xr:uid="{00000000-0004-0000-1B00-000048000000}"/>
    <hyperlink ref="B78" r:id="rId74" xr:uid="{00000000-0004-0000-1B00-000049000000}"/>
    <hyperlink ref="B79" r:id="rId75" xr:uid="{00000000-0004-0000-1B00-00004A000000}"/>
    <hyperlink ref="B80" r:id="rId76" xr:uid="{00000000-0004-0000-1B00-00004B000000}"/>
    <hyperlink ref="B81" r:id="rId77" xr:uid="{00000000-0004-0000-1B00-00004C000000}"/>
    <hyperlink ref="B82" r:id="rId78" xr:uid="{00000000-0004-0000-1B00-00004D000000}"/>
    <hyperlink ref="B83" r:id="rId79" xr:uid="{00000000-0004-0000-1B00-00004E000000}"/>
    <hyperlink ref="B84" r:id="rId80" xr:uid="{00000000-0004-0000-1B00-00004F000000}"/>
    <hyperlink ref="B85" r:id="rId81" xr:uid="{00000000-0004-0000-1B00-000050000000}"/>
    <hyperlink ref="B86" r:id="rId82" xr:uid="{00000000-0004-0000-1B00-000051000000}"/>
    <hyperlink ref="B87" r:id="rId83" xr:uid="{00000000-0004-0000-1B00-000052000000}"/>
    <hyperlink ref="B88" r:id="rId84" xr:uid="{00000000-0004-0000-1B00-000053000000}"/>
    <hyperlink ref="B89" r:id="rId85" xr:uid="{00000000-0004-0000-1B00-000054000000}"/>
    <hyperlink ref="B90" r:id="rId86" xr:uid="{00000000-0004-0000-1B00-000055000000}"/>
    <hyperlink ref="B91" r:id="rId87" xr:uid="{00000000-0004-0000-1B00-000056000000}"/>
    <hyperlink ref="B92" r:id="rId88" xr:uid="{00000000-0004-0000-1B00-000057000000}"/>
    <hyperlink ref="B93" r:id="rId89" xr:uid="{00000000-0004-0000-1B00-000058000000}"/>
    <hyperlink ref="B94" r:id="rId90" xr:uid="{00000000-0004-0000-1B00-000059000000}"/>
    <hyperlink ref="B95" r:id="rId91" xr:uid="{00000000-0004-0000-1B00-00005A000000}"/>
    <hyperlink ref="B96" r:id="rId92" xr:uid="{00000000-0004-0000-1B00-00005B000000}"/>
    <hyperlink ref="B97" r:id="rId93" xr:uid="{00000000-0004-0000-1B00-00005C000000}"/>
    <hyperlink ref="B98" r:id="rId94" xr:uid="{00000000-0004-0000-1B00-00005D000000}"/>
    <hyperlink ref="B99" r:id="rId95" xr:uid="{00000000-0004-0000-1B00-00005E000000}"/>
    <hyperlink ref="B100" r:id="rId96" xr:uid="{00000000-0004-0000-1B00-00005F000000}"/>
    <hyperlink ref="B101" r:id="rId97" xr:uid="{00000000-0004-0000-1B00-000060000000}"/>
    <hyperlink ref="B102" r:id="rId98" xr:uid="{00000000-0004-0000-1B00-000061000000}"/>
    <hyperlink ref="B103" r:id="rId99" xr:uid="{00000000-0004-0000-1B00-000062000000}"/>
    <hyperlink ref="B104" r:id="rId100" xr:uid="{00000000-0004-0000-1B00-000063000000}"/>
    <hyperlink ref="B105" r:id="rId101" xr:uid="{00000000-0004-0000-1B00-000064000000}"/>
    <hyperlink ref="B106" r:id="rId102" xr:uid="{00000000-0004-0000-1B00-000065000000}"/>
    <hyperlink ref="B107" r:id="rId103" xr:uid="{00000000-0004-0000-1B00-000066000000}"/>
    <hyperlink ref="B108" r:id="rId104" xr:uid="{00000000-0004-0000-1B00-000067000000}"/>
    <hyperlink ref="B112" r:id="rId105" xr:uid="{00000000-0004-0000-1B00-000068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8.83203125" customWidth="1"/>
    <col min="3" max="3" width="13.5" customWidth="1"/>
    <col min="4" max="4" width="14.83203125" customWidth="1"/>
    <col min="5" max="5" width="14.33203125" customWidth="1"/>
    <col min="11" max="11" width="13.83203125" customWidth="1"/>
  </cols>
  <sheetData>
    <row r="1" spans="1:23" ht="15.75" customHeight="1">
      <c r="A1" s="1" t="s">
        <v>51</v>
      </c>
      <c r="B1" s="36"/>
      <c r="C1" s="37"/>
      <c r="D1" s="7" t="s">
        <v>181</v>
      </c>
      <c r="E1" s="5"/>
      <c r="F1" s="5"/>
      <c r="G1" s="5"/>
      <c r="K1" s="1"/>
      <c r="M1" s="5"/>
      <c r="N1" s="5"/>
      <c r="S1" s="1"/>
      <c r="U1" s="5"/>
    </row>
    <row r="2" spans="1:23" ht="15.75" customHeight="1">
      <c r="A2" s="7" t="s">
        <v>182</v>
      </c>
      <c r="B2" s="38">
        <v>38481</v>
      </c>
      <c r="C2" s="37"/>
      <c r="D2" s="39">
        <f>SUM(D5:G105)</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2229</v>
      </c>
      <c r="B5" s="49" t="s">
        <v>1212</v>
      </c>
      <c r="C5" s="51" t="s">
        <v>199</v>
      </c>
      <c r="D5" s="54"/>
      <c r="E5" s="5"/>
      <c r="F5" s="5"/>
      <c r="G5" s="5"/>
      <c r="L5" s="43"/>
      <c r="M5" s="43"/>
      <c r="N5" s="42"/>
      <c r="O5" s="44"/>
      <c r="S5" s="42"/>
      <c r="T5" s="43"/>
      <c r="U5" s="43"/>
      <c r="V5" s="42"/>
      <c r="W5" s="44"/>
    </row>
    <row r="6" spans="1:23" ht="15.75" customHeight="1">
      <c r="A6" s="48" t="s">
        <v>2230</v>
      </c>
      <c r="B6" s="49" t="s">
        <v>2231</v>
      </c>
      <c r="C6" s="51" t="s">
        <v>195</v>
      </c>
      <c r="D6" s="54"/>
      <c r="E6" s="5"/>
      <c r="F6" s="5"/>
      <c r="G6" s="5"/>
      <c r="L6" s="50"/>
      <c r="M6" s="51"/>
      <c r="N6" s="5"/>
      <c r="S6" s="52"/>
      <c r="T6" s="50"/>
      <c r="U6" s="51"/>
    </row>
    <row r="7" spans="1:23" ht="15.75" customHeight="1">
      <c r="A7" s="48" t="s">
        <v>2232</v>
      </c>
      <c r="B7" s="49" t="s">
        <v>1796</v>
      </c>
      <c r="C7" s="51" t="s">
        <v>197</v>
      </c>
      <c r="D7" s="54"/>
      <c r="E7" s="5"/>
      <c r="F7" s="5"/>
      <c r="G7" s="5"/>
      <c r="K7" s="52"/>
      <c r="L7" s="50"/>
      <c r="M7" s="51"/>
      <c r="N7" s="5"/>
      <c r="S7" s="52"/>
      <c r="T7" s="50"/>
      <c r="U7" s="51"/>
    </row>
    <row r="8" spans="1:23" ht="15.75" customHeight="1">
      <c r="A8" s="48" t="s">
        <v>2233</v>
      </c>
      <c r="B8" s="49" t="s">
        <v>1220</v>
      </c>
      <c r="C8" s="51" t="s">
        <v>195</v>
      </c>
      <c r="D8" s="54"/>
      <c r="E8" s="5"/>
      <c r="F8" s="5"/>
      <c r="G8" s="5"/>
      <c r="K8" s="52"/>
      <c r="L8" s="50"/>
      <c r="M8" s="51"/>
      <c r="N8" s="51"/>
      <c r="S8" s="52"/>
      <c r="T8" s="50"/>
      <c r="U8" s="51"/>
    </row>
    <row r="9" spans="1:23" ht="15.75" customHeight="1">
      <c r="A9" s="48" t="s">
        <v>2234</v>
      </c>
      <c r="B9" s="49" t="s">
        <v>1935</v>
      </c>
      <c r="C9" s="51" t="s">
        <v>225</v>
      </c>
      <c r="D9" s="54"/>
      <c r="E9" s="5"/>
      <c r="F9" s="5"/>
      <c r="G9" s="5"/>
      <c r="K9" s="52"/>
      <c r="L9" s="50"/>
      <c r="M9" s="51"/>
      <c r="N9" s="51"/>
      <c r="S9" s="52"/>
      <c r="T9" s="50"/>
      <c r="U9" s="51"/>
    </row>
    <row r="10" spans="1:23" ht="15.75" customHeight="1">
      <c r="A10" s="48" t="s">
        <v>2235</v>
      </c>
      <c r="B10" s="49" t="s">
        <v>2236</v>
      </c>
      <c r="C10" s="51" t="s">
        <v>208</v>
      </c>
      <c r="D10" s="54"/>
      <c r="E10" s="5"/>
      <c r="F10" s="5"/>
      <c r="G10" s="5"/>
      <c r="K10" s="52"/>
      <c r="L10" s="50"/>
      <c r="M10" s="51"/>
      <c r="N10" s="5"/>
      <c r="S10" s="52"/>
      <c r="T10" s="50"/>
      <c r="U10" s="51"/>
    </row>
    <row r="11" spans="1:23" ht="15.75" customHeight="1">
      <c r="A11" s="48" t="s">
        <v>2237</v>
      </c>
      <c r="B11" s="49" t="s">
        <v>1224</v>
      </c>
      <c r="C11" s="51" t="s">
        <v>192</v>
      </c>
      <c r="D11" s="54"/>
      <c r="E11" s="5"/>
      <c r="F11" s="5"/>
      <c r="G11" s="5"/>
      <c r="K11" s="52"/>
      <c r="L11" s="50"/>
      <c r="M11" s="51"/>
      <c r="N11" s="51"/>
      <c r="S11" s="52"/>
      <c r="T11" s="50"/>
      <c r="U11" s="51"/>
    </row>
    <row r="12" spans="1:23" ht="15.75" customHeight="1">
      <c r="A12" s="48" t="s">
        <v>2238</v>
      </c>
      <c r="B12" s="49" t="s">
        <v>1806</v>
      </c>
      <c r="C12" s="51" t="s">
        <v>208</v>
      </c>
      <c r="D12" s="54"/>
      <c r="E12" s="5"/>
      <c r="F12" s="5"/>
      <c r="G12" s="5"/>
      <c r="K12" s="52"/>
      <c r="L12" s="50"/>
      <c r="M12" s="51"/>
      <c r="N12" s="51"/>
      <c r="S12" s="52"/>
      <c r="T12" s="50"/>
      <c r="U12" s="51"/>
    </row>
    <row r="13" spans="1:23" ht="15.75" customHeight="1">
      <c r="A13" s="48" t="s">
        <v>2239</v>
      </c>
      <c r="B13" s="49" t="s">
        <v>2128</v>
      </c>
      <c r="C13" s="51" t="s">
        <v>197</v>
      </c>
      <c r="D13" s="54"/>
      <c r="E13" s="5"/>
      <c r="F13" s="5"/>
      <c r="G13" s="5"/>
      <c r="K13" s="52"/>
      <c r="L13" s="50"/>
      <c r="M13" s="51"/>
      <c r="N13" s="5"/>
      <c r="S13" s="52"/>
      <c r="T13" s="50"/>
      <c r="U13" s="51"/>
    </row>
    <row r="14" spans="1:23" ht="15.75" customHeight="1">
      <c r="A14" s="48" t="s">
        <v>2240</v>
      </c>
      <c r="B14" s="49" t="s">
        <v>1228</v>
      </c>
      <c r="C14" s="51" t="s">
        <v>205</v>
      </c>
      <c r="D14" s="54"/>
      <c r="E14" s="5"/>
      <c r="F14" s="5"/>
      <c r="G14" s="5"/>
      <c r="K14" s="52"/>
      <c r="L14" s="50"/>
      <c r="M14" s="51"/>
      <c r="N14" s="51"/>
      <c r="S14" s="52"/>
      <c r="T14" s="50"/>
      <c r="U14" s="51"/>
    </row>
    <row r="15" spans="1:23" ht="15.75" customHeight="1">
      <c r="A15" s="48" t="s">
        <v>2241</v>
      </c>
      <c r="B15" s="49" t="s">
        <v>1232</v>
      </c>
      <c r="C15" s="51" t="s">
        <v>208</v>
      </c>
      <c r="D15" s="54"/>
      <c r="E15" s="5"/>
      <c r="F15" s="5"/>
      <c r="G15" s="5"/>
      <c r="K15" s="52"/>
      <c r="L15" s="50"/>
      <c r="M15" s="51"/>
      <c r="N15" s="51"/>
      <c r="S15" s="52"/>
      <c r="T15" s="50"/>
      <c r="U15" s="51"/>
    </row>
    <row r="16" spans="1:23" ht="15.75" customHeight="1">
      <c r="A16" s="48" t="s">
        <v>2242</v>
      </c>
      <c r="B16" s="49" t="s">
        <v>1199</v>
      </c>
      <c r="C16" s="51" t="s">
        <v>195</v>
      </c>
      <c r="D16" s="54"/>
      <c r="E16" s="5"/>
      <c r="F16" s="5"/>
      <c r="G16" s="5"/>
      <c r="K16" s="52"/>
      <c r="L16" s="50"/>
      <c r="M16" s="51"/>
      <c r="N16" s="51"/>
      <c r="S16" s="52"/>
      <c r="T16" s="50"/>
      <c r="U16" s="51"/>
    </row>
    <row r="17" spans="1:27" ht="15.75" customHeight="1">
      <c r="A17" s="48" t="s">
        <v>2243</v>
      </c>
      <c r="B17" s="49" t="s">
        <v>1839</v>
      </c>
      <c r="C17" s="51" t="s">
        <v>208</v>
      </c>
      <c r="D17" s="54"/>
      <c r="E17" s="5"/>
      <c r="F17" s="5"/>
      <c r="G17" s="5"/>
      <c r="K17" s="52"/>
      <c r="L17" s="50"/>
      <c r="M17" s="51"/>
      <c r="N17" s="51"/>
      <c r="S17" s="52"/>
      <c r="T17" s="50"/>
      <c r="U17" s="51"/>
    </row>
    <row r="18" spans="1:27" ht="15.75" customHeight="1">
      <c r="A18" s="48" t="s">
        <v>2244</v>
      </c>
      <c r="B18" s="49" t="s">
        <v>1935</v>
      </c>
      <c r="C18" s="51" t="s">
        <v>225</v>
      </c>
      <c r="D18" s="54"/>
      <c r="E18" s="5"/>
      <c r="F18" s="5"/>
      <c r="G18" s="5"/>
      <c r="M18" s="5"/>
      <c r="N18" s="5"/>
      <c r="U18" s="5"/>
      <c r="AA18" s="5"/>
    </row>
    <row r="19" spans="1:27" ht="15.75" customHeight="1">
      <c r="A19" s="48" t="s">
        <v>2245</v>
      </c>
      <c r="B19" s="49" t="s">
        <v>2236</v>
      </c>
      <c r="C19" s="51" t="s">
        <v>208</v>
      </c>
      <c r="D19" s="54"/>
      <c r="E19" s="5"/>
      <c r="F19" s="5"/>
      <c r="G19" s="5"/>
      <c r="K19" s="1"/>
      <c r="M19" s="5"/>
      <c r="N19" s="5"/>
      <c r="U19" s="5"/>
      <c r="AA19" s="5"/>
    </row>
    <row r="20" spans="1:27" ht="15.75" customHeight="1">
      <c r="A20" s="48" t="s">
        <v>2246</v>
      </c>
      <c r="B20" s="49" t="s">
        <v>1224</v>
      </c>
      <c r="C20" s="51" t="s">
        <v>192</v>
      </c>
      <c r="D20" s="54"/>
      <c r="E20" s="5"/>
      <c r="F20" s="5"/>
      <c r="G20" s="5"/>
      <c r="L20" s="40"/>
      <c r="M20" s="5"/>
      <c r="N20" s="5"/>
      <c r="AA20" s="5"/>
    </row>
    <row r="21" spans="1:27" ht="15.75" customHeight="1">
      <c r="A21" s="48" t="s">
        <v>2247</v>
      </c>
      <c r="B21" s="49" t="s">
        <v>1240</v>
      </c>
      <c r="C21" s="51" t="s">
        <v>225</v>
      </c>
      <c r="D21" s="54"/>
      <c r="E21" s="5"/>
      <c r="F21" s="5"/>
      <c r="G21" s="5"/>
      <c r="M21" s="5"/>
      <c r="N21" s="5"/>
      <c r="AA21" s="5"/>
    </row>
    <row r="22" spans="1:27" ht="15.75" customHeight="1">
      <c r="A22" s="48" t="s">
        <v>2248</v>
      </c>
      <c r="B22" s="49" t="s">
        <v>1824</v>
      </c>
      <c r="C22" s="51" t="s">
        <v>208</v>
      </c>
      <c r="D22" s="54"/>
      <c r="E22" s="5"/>
      <c r="F22" s="5"/>
      <c r="G22" s="5"/>
      <c r="K22" s="42"/>
      <c r="L22" s="45"/>
      <c r="M22" s="46"/>
      <c r="N22" s="47"/>
      <c r="AA22" s="5"/>
    </row>
    <row r="23" spans="1:27" ht="15.75" customHeight="1">
      <c r="A23" s="48" t="s">
        <v>2249</v>
      </c>
      <c r="B23" s="49" t="s">
        <v>342</v>
      </c>
      <c r="C23" s="51" t="s">
        <v>225</v>
      </c>
      <c r="D23" s="54"/>
      <c r="E23" s="5"/>
      <c r="F23" s="5"/>
      <c r="G23" s="5"/>
      <c r="K23" s="42"/>
      <c r="L23" s="43"/>
      <c r="M23" s="43"/>
      <c r="N23" s="42"/>
      <c r="O23" s="44"/>
      <c r="AA23" s="5"/>
    </row>
    <row r="24" spans="1:27" ht="15.75" customHeight="1">
      <c r="A24" s="48" t="s">
        <v>2250</v>
      </c>
      <c r="B24" s="49" t="s">
        <v>1372</v>
      </c>
      <c r="C24" s="51" t="s">
        <v>205</v>
      </c>
      <c r="D24" s="54"/>
      <c r="E24" s="5"/>
      <c r="F24" s="5"/>
      <c r="G24" s="5"/>
      <c r="K24" s="52"/>
      <c r="L24" s="50"/>
      <c r="M24" s="51"/>
      <c r="N24" s="5"/>
      <c r="AA24" s="5"/>
    </row>
    <row r="25" spans="1:27" ht="15.75" customHeight="1">
      <c r="A25" s="48" t="s">
        <v>2251</v>
      </c>
      <c r="B25" s="49" t="s">
        <v>1378</v>
      </c>
      <c r="C25" s="51" t="s">
        <v>197</v>
      </c>
      <c r="D25" s="54"/>
      <c r="E25" s="5"/>
      <c r="F25" s="5"/>
      <c r="G25" s="5"/>
      <c r="K25" s="52"/>
      <c r="L25" s="50"/>
      <c r="M25" s="51"/>
      <c r="N25" s="5"/>
      <c r="AA25" s="5"/>
    </row>
    <row r="26" spans="1:27" ht="15.75" customHeight="1">
      <c r="A26" s="48" t="s">
        <v>2252</v>
      </c>
      <c r="B26" s="49" t="s">
        <v>1237</v>
      </c>
      <c r="C26" s="51" t="s">
        <v>205</v>
      </c>
      <c r="D26" s="54"/>
      <c r="E26" s="5"/>
      <c r="F26" s="5"/>
      <c r="G26" s="5"/>
      <c r="K26" s="52"/>
      <c r="L26" s="50"/>
      <c r="M26" s="51"/>
      <c r="N26" s="51"/>
      <c r="AA26" s="5"/>
    </row>
    <row r="27" spans="1:27" ht="15.75" customHeight="1">
      <c r="A27" s="48" t="s">
        <v>2253</v>
      </c>
      <c r="B27" s="49" t="s">
        <v>1214</v>
      </c>
      <c r="C27" s="51" t="s">
        <v>199</v>
      </c>
      <c r="D27" s="54"/>
      <c r="E27" s="5"/>
      <c r="F27" s="51"/>
      <c r="G27" s="5"/>
      <c r="K27" s="52"/>
      <c r="L27" s="50"/>
      <c r="M27" s="51"/>
      <c r="N27" s="51"/>
      <c r="AA27" s="5"/>
    </row>
    <row r="28" spans="1:27" ht="15.75" customHeight="1">
      <c r="A28" s="48" t="s">
        <v>2254</v>
      </c>
      <c r="B28" s="49" t="s">
        <v>1790</v>
      </c>
      <c r="C28" s="51" t="s">
        <v>195</v>
      </c>
      <c r="D28" s="54"/>
      <c r="E28" s="5"/>
      <c r="F28" s="5"/>
      <c r="G28" s="5"/>
      <c r="J28" s="5"/>
      <c r="K28" s="52"/>
      <c r="L28" s="50"/>
      <c r="M28" s="51"/>
      <c r="N28" s="5"/>
      <c r="P28" s="5"/>
    </row>
    <row r="29" spans="1:27" ht="15.75" customHeight="1">
      <c r="A29" s="48" t="s">
        <v>2255</v>
      </c>
      <c r="B29" s="49" t="s">
        <v>1191</v>
      </c>
      <c r="C29" s="51" t="s">
        <v>199</v>
      </c>
      <c r="D29" s="54"/>
      <c r="E29" s="5"/>
      <c r="F29" s="5"/>
      <c r="G29" s="5"/>
      <c r="J29" s="5"/>
      <c r="K29" s="52"/>
      <c r="L29" s="50"/>
      <c r="M29" s="51"/>
      <c r="N29" s="51"/>
      <c r="P29" s="5"/>
    </row>
    <row r="30" spans="1:27" ht="15.75" customHeight="1">
      <c r="A30" s="48" t="s">
        <v>2256</v>
      </c>
      <c r="B30" s="49" t="s">
        <v>332</v>
      </c>
      <c r="C30" s="51" t="s">
        <v>197</v>
      </c>
      <c r="D30" s="54"/>
      <c r="E30" s="5"/>
      <c r="F30" s="5"/>
      <c r="G30" s="5"/>
      <c r="J30" s="5"/>
      <c r="K30" s="52"/>
      <c r="L30" s="50"/>
      <c r="M30" s="51"/>
      <c r="N30" s="5"/>
      <c r="P30" s="5"/>
    </row>
    <row r="31" spans="1:27" ht="15.75" customHeight="1">
      <c r="A31" s="48" t="s">
        <v>2257</v>
      </c>
      <c r="B31" s="49" t="s">
        <v>256</v>
      </c>
      <c r="C31" s="51" t="s">
        <v>192</v>
      </c>
      <c r="D31" s="54"/>
      <c r="E31" s="5"/>
      <c r="F31" s="5"/>
      <c r="G31" s="5"/>
      <c r="J31" s="5"/>
      <c r="K31" s="52"/>
      <c r="L31" s="50"/>
      <c r="M31" s="51"/>
      <c r="N31" s="51"/>
      <c r="P31" s="5"/>
    </row>
    <row r="32" spans="1:27" ht="15.75" customHeight="1">
      <c r="A32" s="48" t="s">
        <v>2258</v>
      </c>
      <c r="B32" s="49" t="s">
        <v>1188</v>
      </c>
      <c r="C32" s="51" t="s">
        <v>205</v>
      </c>
      <c r="D32" s="54"/>
      <c r="E32" s="5"/>
      <c r="F32" s="5"/>
      <c r="G32" s="5"/>
      <c r="J32" s="5"/>
      <c r="K32" s="52"/>
      <c r="L32" s="50"/>
      <c r="M32" s="51"/>
      <c r="N32" s="5"/>
      <c r="P32" s="5"/>
    </row>
    <row r="33" spans="1:16" ht="15.75" customHeight="1">
      <c r="A33" s="48" t="s">
        <v>2259</v>
      </c>
      <c r="B33" s="49" t="s">
        <v>1499</v>
      </c>
      <c r="C33" s="51" t="s">
        <v>195</v>
      </c>
      <c r="D33" s="54"/>
      <c r="E33" s="5"/>
      <c r="F33" s="5"/>
      <c r="G33" s="5"/>
      <c r="J33" s="5"/>
      <c r="K33" s="52"/>
      <c r="L33" s="50"/>
      <c r="M33" s="51"/>
      <c r="N33" s="5"/>
      <c r="P33" s="5"/>
    </row>
    <row r="34" spans="1:16" ht="15.75" customHeight="1">
      <c r="A34" s="48" t="s">
        <v>2260</v>
      </c>
      <c r="B34" s="49" t="s">
        <v>1499</v>
      </c>
      <c r="C34" s="51" t="s">
        <v>195</v>
      </c>
      <c r="D34" s="54"/>
      <c r="E34" s="5"/>
      <c r="F34" s="5"/>
      <c r="G34" s="5"/>
      <c r="J34" s="5"/>
      <c r="K34" s="52"/>
      <c r="L34" s="50"/>
      <c r="M34" s="51"/>
      <c r="N34" s="5"/>
      <c r="P34" s="5"/>
    </row>
    <row r="35" spans="1:16" ht="15.75" customHeight="1">
      <c r="A35" s="48" t="s">
        <v>2261</v>
      </c>
      <c r="B35" s="49" t="s">
        <v>1222</v>
      </c>
      <c r="C35" s="51" t="s">
        <v>225</v>
      </c>
      <c r="D35" s="54"/>
      <c r="E35" s="5"/>
      <c r="F35" s="5"/>
      <c r="G35" s="5"/>
      <c r="J35" s="5"/>
      <c r="K35" s="52"/>
      <c r="L35" s="50"/>
      <c r="M35" s="51"/>
      <c r="N35" s="51"/>
      <c r="P35" s="5"/>
    </row>
    <row r="36" spans="1:16" ht="15.75" customHeight="1">
      <c r="A36" s="48" t="s">
        <v>2262</v>
      </c>
      <c r="B36" s="49" t="s">
        <v>1407</v>
      </c>
      <c r="C36" s="51" t="s">
        <v>205</v>
      </c>
      <c r="D36" s="54"/>
      <c r="E36" s="5"/>
      <c r="F36" s="5"/>
      <c r="G36" s="5"/>
      <c r="J36" s="5"/>
      <c r="M36" s="5"/>
      <c r="N36" s="5"/>
      <c r="P36" s="5"/>
    </row>
    <row r="37" spans="1:16" ht="15.75" customHeight="1">
      <c r="A37" s="48" t="s">
        <v>2263</v>
      </c>
      <c r="B37" s="49" t="s">
        <v>1262</v>
      </c>
      <c r="C37" s="51" t="s">
        <v>195</v>
      </c>
      <c r="D37" s="51"/>
      <c r="E37" s="5"/>
      <c r="F37" s="5"/>
      <c r="G37" s="5"/>
      <c r="J37" s="5"/>
      <c r="M37" s="5"/>
      <c r="N37" s="5"/>
    </row>
    <row r="38" spans="1:16" ht="15.75" customHeight="1">
      <c r="A38" s="48" t="s">
        <v>2264</v>
      </c>
      <c r="B38" s="49" t="s">
        <v>1268</v>
      </c>
      <c r="C38" s="51" t="s">
        <v>197</v>
      </c>
      <c r="D38" s="51"/>
      <c r="E38" s="5"/>
      <c r="F38" s="5"/>
      <c r="G38" s="5"/>
      <c r="J38" s="5"/>
      <c r="M38" s="51"/>
      <c r="N38" s="51"/>
    </row>
    <row r="39" spans="1:16" ht="15.75" customHeight="1">
      <c r="A39" s="48" t="s">
        <v>2265</v>
      </c>
      <c r="B39" s="49" t="s">
        <v>1845</v>
      </c>
      <c r="C39" s="51" t="s">
        <v>197</v>
      </c>
      <c r="D39" s="54"/>
      <c r="E39" s="5"/>
      <c r="F39" s="5"/>
      <c r="G39" s="5"/>
      <c r="J39" s="5"/>
      <c r="M39" s="51"/>
      <c r="N39" s="51"/>
    </row>
    <row r="40" spans="1:16" ht="15.75" customHeight="1">
      <c r="A40" s="48" t="s">
        <v>2266</v>
      </c>
      <c r="B40" s="49" t="s">
        <v>1192</v>
      </c>
      <c r="C40" s="51" t="s">
        <v>208</v>
      </c>
      <c r="D40" s="54"/>
      <c r="E40" s="5"/>
      <c r="F40" s="5"/>
      <c r="G40" s="5"/>
      <c r="J40" s="5"/>
      <c r="M40" s="51"/>
      <c r="N40" s="51"/>
    </row>
    <row r="41" spans="1:16" ht="15.75" customHeight="1">
      <c r="A41" s="48" t="s">
        <v>2267</v>
      </c>
      <c r="B41" s="49" t="s">
        <v>1501</v>
      </c>
      <c r="C41" s="51" t="s">
        <v>192</v>
      </c>
      <c r="D41" s="54"/>
      <c r="E41" s="5"/>
      <c r="F41" s="5"/>
      <c r="G41" s="5"/>
      <c r="J41" s="5"/>
      <c r="M41" s="51"/>
      <c r="N41" s="51"/>
    </row>
    <row r="42" spans="1:16" ht="15.75" customHeight="1">
      <c r="A42" s="48" t="s">
        <v>2268</v>
      </c>
      <c r="B42" s="49" t="s">
        <v>249</v>
      </c>
      <c r="C42" s="51" t="s">
        <v>199</v>
      </c>
      <c r="D42" s="54"/>
      <c r="E42" s="5"/>
      <c r="F42" s="5"/>
      <c r="G42" s="5"/>
      <c r="J42" s="5"/>
      <c r="M42" s="51"/>
      <c r="N42" s="51"/>
    </row>
    <row r="43" spans="1:16" ht="15.75" customHeight="1">
      <c r="A43" s="48" t="s">
        <v>2269</v>
      </c>
      <c r="B43" s="49" t="s">
        <v>1503</v>
      </c>
      <c r="C43" s="51" t="s">
        <v>192</v>
      </c>
      <c r="D43" s="54"/>
      <c r="E43" s="5"/>
      <c r="F43" s="5"/>
      <c r="G43" s="5"/>
      <c r="J43" s="5"/>
      <c r="M43" s="51"/>
      <c r="N43" s="51"/>
    </row>
    <row r="44" spans="1:16" ht="15.75" customHeight="1">
      <c r="A44" s="48" t="s">
        <v>2270</v>
      </c>
      <c r="B44" s="49" t="s">
        <v>1860</v>
      </c>
      <c r="C44" s="51" t="s">
        <v>205</v>
      </c>
      <c r="D44" s="54"/>
      <c r="E44" s="5"/>
      <c r="F44" s="5"/>
      <c r="G44" s="5"/>
      <c r="J44" s="5"/>
      <c r="M44" s="51"/>
      <c r="N44" s="51"/>
    </row>
    <row r="45" spans="1:16" ht="15.75" customHeight="1">
      <c r="A45" s="48" t="s">
        <v>2271</v>
      </c>
      <c r="B45" s="49" t="s">
        <v>1280</v>
      </c>
      <c r="C45" s="51" t="s">
        <v>197</v>
      </c>
      <c r="D45" s="54"/>
      <c r="E45" s="5"/>
      <c r="F45" s="5"/>
      <c r="G45" s="5"/>
      <c r="J45" s="5"/>
      <c r="M45" s="51"/>
      <c r="N45" s="51"/>
      <c r="P45" s="5"/>
    </row>
    <row r="46" spans="1:16" ht="15.75" customHeight="1">
      <c r="A46" s="48" t="s">
        <v>2272</v>
      </c>
      <c r="B46" s="49" t="s">
        <v>1426</v>
      </c>
      <c r="C46" s="51" t="s">
        <v>205</v>
      </c>
      <c r="D46" s="54"/>
      <c r="E46" s="5"/>
      <c r="F46" s="5"/>
      <c r="G46" s="5"/>
      <c r="J46" s="5"/>
      <c r="M46" s="51"/>
      <c r="N46" s="51"/>
      <c r="P46" s="5"/>
    </row>
    <row r="47" spans="1:16" ht="15.75" customHeight="1">
      <c r="A47" s="48" t="s">
        <v>2273</v>
      </c>
      <c r="B47" s="49" t="s">
        <v>1400</v>
      </c>
      <c r="C47" s="51" t="s">
        <v>225</v>
      </c>
      <c r="D47" s="54"/>
      <c r="E47" s="5"/>
      <c r="F47" s="5"/>
      <c r="G47" s="5"/>
      <c r="J47" s="5"/>
      <c r="M47" s="5"/>
      <c r="N47" s="5"/>
      <c r="P47" s="5"/>
    </row>
    <row r="48" spans="1:16" ht="15.75" customHeight="1">
      <c r="A48" s="48" t="s">
        <v>2274</v>
      </c>
      <c r="B48" s="49" t="s">
        <v>1432</v>
      </c>
      <c r="C48" s="51" t="s">
        <v>205</v>
      </c>
      <c r="D48" s="54"/>
      <c r="E48" s="5"/>
      <c r="F48" s="5"/>
      <c r="G48" s="5"/>
      <c r="J48" s="5"/>
      <c r="M48" s="5"/>
      <c r="N48" s="5"/>
      <c r="P48" s="5"/>
    </row>
    <row r="49" spans="1:16" ht="15.75" customHeight="1">
      <c r="A49" s="48" t="s">
        <v>2275</v>
      </c>
      <c r="B49" s="49" t="s">
        <v>280</v>
      </c>
      <c r="C49" s="51" t="s">
        <v>197</v>
      </c>
      <c r="D49" s="54"/>
      <c r="E49" s="5"/>
      <c r="F49" s="5"/>
      <c r="G49" s="5"/>
      <c r="J49" s="5"/>
      <c r="M49" s="5"/>
      <c r="N49" s="5"/>
      <c r="P49" s="5"/>
    </row>
    <row r="50" spans="1:16" ht="15.75" customHeight="1">
      <c r="A50" s="48" t="s">
        <v>2276</v>
      </c>
      <c r="B50" s="49" t="s">
        <v>1437</v>
      </c>
      <c r="C50" s="51" t="s">
        <v>195</v>
      </c>
      <c r="D50" s="54"/>
      <c r="E50" s="5"/>
      <c r="F50" s="5"/>
      <c r="G50" s="5"/>
      <c r="J50" s="5"/>
      <c r="M50" s="5"/>
      <c r="N50" s="5"/>
      <c r="P50" s="5"/>
    </row>
    <row r="51" spans="1:16" ht="15.75" customHeight="1">
      <c r="A51" s="48" t="s">
        <v>2277</v>
      </c>
      <c r="B51" s="49" t="s">
        <v>1257</v>
      </c>
      <c r="C51" s="51" t="s">
        <v>192</v>
      </c>
      <c r="D51" s="54"/>
      <c r="E51" s="5"/>
      <c r="F51" s="5"/>
      <c r="G51" s="5"/>
      <c r="J51" s="5"/>
      <c r="M51" s="5"/>
      <c r="N51" s="5"/>
      <c r="P51" s="5"/>
    </row>
    <row r="52" spans="1:16" ht="15.75" customHeight="1">
      <c r="A52" s="48" t="s">
        <v>2278</v>
      </c>
      <c r="B52" s="49" t="s">
        <v>1257</v>
      </c>
      <c r="C52" s="51" t="s">
        <v>192</v>
      </c>
      <c r="D52" s="54"/>
      <c r="E52" s="5"/>
      <c r="F52" s="5"/>
      <c r="G52" s="5"/>
      <c r="J52" s="5"/>
      <c r="M52" s="5"/>
      <c r="N52" s="5"/>
      <c r="P52" s="5"/>
    </row>
    <row r="53" spans="1:16" ht="13">
      <c r="A53" s="48" t="s">
        <v>2279</v>
      </c>
      <c r="B53" s="49" t="s">
        <v>1873</v>
      </c>
      <c r="C53" s="51" t="s">
        <v>208</v>
      </c>
      <c r="D53" s="54"/>
      <c r="E53" s="5"/>
      <c r="F53" s="5"/>
      <c r="G53" s="5"/>
      <c r="J53" s="5"/>
      <c r="M53" s="5"/>
      <c r="N53" s="5"/>
      <c r="P53" s="5"/>
    </row>
    <row r="54" spans="1:16" ht="13">
      <c r="A54" s="48" t="s">
        <v>2280</v>
      </c>
      <c r="B54" s="49" t="s">
        <v>1873</v>
      </c>
      <c r="C54" s="51" t="s">
        <v>208</v>
      </c>
      <c r="D54" s="51"/>
      <c r="E54" s="5"/>
      <c r="F54" s="5"/>
      <c r="G54" s="5"/>
      <c r="J54" s="5"/>
      <c r="M54" s="5"/>
      <c r="N54" s="5"/>
      <c r="P54" s="5"/>
    </row>
    <row r="55" spans="1:16" ht="13">
      <c r="A55" s="48" t="s">
        <v>2281</v>
      </c>
      <c r="B55" s="49" t="s">
        <v>1875</v>
      </c>
      <c r="C55" s="51" t="s">
        <v>205</v>
      </c>
      <c r="D55" s="54"/>
      <c r="E55" s="5"/>
      <c r="F55" s="5"/>
      <c r="G55" s="5"/>
      <c r="J55" s="5"/>
      <c r="M55" s="5"/>
      <c r="N55" s="5"/>
      <c r="P55" s="5"/>
    </row>
    <row r="56" spans="1:16" ht="13">
      <c r="A56" s="48" t="s">
        <v>2282</v>
      </c>
      <c r="B56" s="49" t="s">
        <v>955</v>
      </c>
      <c r="C56" s="51" t="s">
        <v>225</v>
      </c>
      <c r="D56" s="54"/>
      <c r="E56" s="5"/>
      <c r="F56" s="5"/>
      <c r="G56" s="5"/>
      <c r="J56" s="5"/>
      <c r="M56" s="5"/>
      <c r="N56" s="5"/>
      <c r="P56" s="5"/>
    </row>
    <row r="57" spans="1:16" ht="13">
      <c r="A57" s="48" t="s">
        <v>2283</v>
      </c>
      <c r="B57" s="49" t="s">
        <v>1847</v>
      </c>
      <c r="C57" s="51" t="s">
        <v>208</v>
      </c>
      <c r="D57" s="54"/>
      <c r="E57" s="5"/>
      <c r="F57" s="5"/>
      <c r="G57" s="5"/>
      <c r="J57" s="5"/>
      <c r="M57" s="5"/>
      <c r="N57" s="5"/>
      <c r="P57" s="5"/>
    </row>
    <row r="58" spans="1:16" ht="13">
      <c r="A58" s="48" t="s">
        <v>2284</v>
      </c>
      <c r="B58" s="49" t="s">
        <v>1294</v>
      </c>
      <c r="C58" s="51" t="s">
        <v>225</v>
      </c>
      <c r="D58" s="54"/>
      <c r="E58" s="5"/>
      <c r="F58" s="5"/>
      <c r="G58" s="5"/>
      <c r="J58" s="5"/>
      <c r="M58" s="5"/>
      <c r="N58" s="5"/>
      <c r="P58" s="5"/>
    </row>
    <row r="59" spans="1:16" ht="13">
      <c r="A59" s="48" t="s">
        <v>2285</v>
      </c>
      <c r="B59" s="49" t="s">
        <v>1541</v>
      </c>
      <c r="C59" s="51" t="s">
        <v>225</v>
      </c>
      <c r="D59" s="54"/>
      <c r="E59" s="5"/>
      <c r="F59" s="5"/>
      <c r="G59" s="5"/>
      <c r="J59" s="5"/>
      <c r="M59" s="5"/>
      <c r="N59" s="5"/>
      <c r="P59" s="5"/>
    </row>
    <row r="60" spans="1:16" ht="13">
      <c r="A60" s="48" t="s">
        <v>2286</v>
      </c>
      <c r="B60" s="49" t="s">
        <v>1189</v>
      </c>
      <c r="C60" s="51" t="s">
        <v>208</v>
      </c>
      <c r="D60" s="54"/>
      <c r="E60" s="5"/>
      <c r="F60" s="5"/>
      <c r="G60" s="5"/>
      <c r="J60" s="5"/>
      <c r="M60" s="5"/>
      <c r="N60" s="5"/>
      <c r="P60" s="5"/>
    </row>
    <row r="61" spans="1:16" ht="13">
      <c r="A61" s="48" t="s">
        <v>2287</v>
      </c>
      <c r="B61" s="49" t="s">
        <v>1300</v>
      </c>
      <c r="C61" s="51" t="s">
        <v>199</v>
      </c>
      <c r="D61" s="54"/>
      <c r="E61" s="5"/>
      <c r="F61" s="5"/>
      <c r="G61" s="5"/>
      <c r="J61" s="5"/>
      <c r="M61" s="5"/>
      <c r="N61" s="5"/>
      <c r="P61" s="5"/>
    </row>
    <row r="62" spans="1:16" ht="13">
      <c r="A62" s="48" t="s">
        <v>2288</v>
      </c>
      <c r="B62" s="49" t="s">
        <v>1300</v>
      </c>
      <c r="C62" s="51" t="s">
        <v>199</v>
      </c>
      <c r="D62" s="54"/>
      <c r="E62" s="5"/>
      <c r="F62" s="5"/>
      <c r="G62" s="5"/>
      <c r="J62" s="5"/>
      <c r="M62" s="5"/>
      <c r="N62" s="5"/>
      <c r="P62" s="5"/>
    </row>
    <row r="63" spans="1:16" ht="13">
      <c r="A63" s="48" t="s">
        <v>2289</v>
      </c>
      <c r="B63" s="49" t="s">
        <v>222</v>
      </c>
      <c r="C63" s="51" t="s">
        <v>192</v>
      </c>
      <c r="D63" s="54"/>
      <c r="E63" s="5"/>
      <c r="F63" s="5"/>
      <c r="G63" s="5"/>
      <c r="J63" s="5"/>
      <c r="M63" s="5"/>
      <c r="N63" s="5"/>
      <c r="P63" s="5"/>
    </row>
    <row r="64" spans="1:16" ht="13">
      <c r="A64" s="48" t="s">
        <v>2290</v>
      </c>
      <c r="B64" s="49" t="s">
        <v>191</v>
      </c>
      <c r="C64" s="51" t="s">
        <v>192</v>
      </c>
      <c r="D64" s="54"/>
      <c r="E64" s="5"/>
      <c r="F64" s="5"/>
      <c r="G64" s="5"/>
      <c r="J64" s="5"/>
      <c r="M64" s="5"/>
      <c r="N64" s="5"/>
      <c r="P64" s="5"/>
    </row>
    <row r="65" spans="1:16" ht="13">
      <c r="A65" s="48" t="s">
        <v>2291</v>
      </c>
      <c r="B65" s="49" t="s">
        <v>1307</v>
      </c>
      <c r="C65" s="51" t="s">
        <v>195</v>
      </c>
      <c r="D65" s="54"/>
      <c r="E65" s="5"/>
      <c r="F65" s="5"/>
      <c r="G65" s="5"/>
      <c r="J65" s="5"/>
      <c r="M65" s="5"/>
      <c r="N65" s="5"/>
      <c r="P65" s="5"/>
    </row>
    <row r="66" spans="1:16" ht="13">
      <c r="A66" s="48" t="s">
        <v>2292</v>
      </c>
      <c r="B66" s="49" t="s">
        <v>354</v>
      </c>
      <c r="C66" s="51" t="s">
        <v>225</v>
      </c>
      <c r="D66" s="54"/>
      <c r="E66" s="5"/>
      <c r="F66" s="5"/>
      <c r="G66" s="5"/>
      <c r="J66" s="5"/>
      <c r="M66" s="5"/>
      <c r="N66" s="5"/>
      <c r="P66" s="5"/>
    </row>
    <row r="67" spans="1:16" ht="13">
      <c r="A67" s="48" t="s">
        <v>2293</v>
      </c>
      <c r="B67" s="49" t="s">
        <v>1311</v>
      </c>
      <c r="C67" s="51" t="s">
        <v>205</v>
      </c>
      <c r="D67" s="54"/>
      <c r="E67" s="5"/>
      <c r="F67" s="5"/>
      <c r="G67" s="5"/>
      <c r="J67" s="5"/>
      <c r="M67" s="5"/>
      <c r="N67" s="5"/>
      <c r="P67" s="5"/>
    </row>
    <row r="68" spans="1:16" ht="13">
      <c r="A68" s="48" t="s">
        <v>2294</v>
      </c>
      <c r="B68" s="49" t="s">
        <v>1550</v>
      </c>
      <c r="C68" s="51" t="s">
        <v>208</v>
      </c>
      <c r="D68" s="54"/>
      <c r="E68" s="5"/>
      <c r="F68" s="5"/>
      <c r="G68" s="5"/>
      <c r="J68" s="5"/>
      <c r="M68" s="5"/>
      <c r="N68" s="5"/>
      <c r="P68" s="5"/>
    </row>
    <row r="69" spans="1:16" ht="13">
      <c r="A69" s="48" t="s">
        <v>2295</v>
      </c>
      <c r="B69" s="49" t="s">
        <v>1584</v>
      </c>
      <c r="C69" s="51" t="s">
        <v>195</v>
      </c>
      <c r="D69" s="54"/>
      <c r="E69" s="5"/>
      <c r="F69" s="5"/>
      <c r="G69" s="5"/>
      <c r="J69" s="5"/>
      <c r="M69" s="5"/>
      <c r="N69" s="5"/>
      <c r="P69" s="5"/>
    </row>
    <row r="70" spans="1:16" ht="13">
      <c r="A70" s="48" t="s">
        <v>2296</v>
      </c>
      <c r="B70" s="49" t="s">
        <v>1584</v>
      </c>
      <c r="C70" s="51" t="s">
        <v>195</v>
      </c>
      <c r="D70" s="54"/>
      <c r="E70" s="5"/>
      <c r="F70" s="5"/>
      <c r="G70" s="5"/>
      <c r="J70" s="5"/>
      <c r="M70" s="5"/>
      <c r="N70" s="5"/>
      <c r="P70" s="5"/>
    </row>
    <row r="71" spans="1:16" ht="13">
      <c r="A71" s="48" t="s">
        <v>2297</v>
      </c>
      <c r="B71" s="49" t="s">
        <v>1587</v>
      </c>
      <c r="C71" s="51" t="s">
        <v>197</v>
      </c>
      <c r="D71" s="5"/>
      <c r="J71" s="5"/>
      <c r="M71" s="5"/>
      <c r="N71" s="5"/>
      <c r="P71" s="5"/>
    </row>
    <row r="72" spans="1:16" ht="13">
      <c r="A72" s="48" t="s">
        <v>2298</v>
      </c>
      <c r="B72" s="49" t="s">
        <v>1315</v>
      </c>
      <c r="C72" s="51" t="s">
        <v>197</v>
      </c>
      <c r="D72" s="54"/>
      <c r="E72" s="5"/>
      <c r="F72" s="5"/>
      <c r="G72" s="5"/>
      <c r="J72" s="5"/>
      <c r="M72" s="5"/>
      <c r="N72" s="5"/>
      <c r="P72" s="5"/>
    </row>
    <row r="73" spans="1:16" ht="13">
      <c r="A73" s="48" t="s">
        <v>2299</v>
      </c>
      <c r="B73" s="49" t="s">
        <v>1190</v>
      </c>
      <c r="C73" s="51" t="s">
        <v>199</v>
      </c>
      <c r="D73" s="54"/>
      <c r="E73" s="5"/>
      <c r="F73" s="5"/>
      <c r="G73" s="5"/>
      <c r="J73" s="5"/>
      <c r="M73" s="5"/>
      <c r="N73" s="5"/>
      <c r="P73" s="5"/>
    </row>
    <row r="74" spans="1:16" ht="13">
      <c r="A74" s="48" t="s">
        <v>2300</v>
      </c>
      <c r="B74" s="49" t="s">
        <v>1187</v>
      </c>
      <c r="C74" s="51" t="s">
        <v>205</v>
      </c>
      <c r="D74" s="54"/>
      <c r="E74" s="5"/>
      <c r="F74" s="5"/>
      <c r="G74" s="5"/>
      <c r="J74" s="5"/>
      <c r="M74" s="5"/>
      <c r="N74" s="5"/>
      <c r="P74" s="5"/>
    </row>
    <row r="75" spans="1:16" ht="13">
      <c r="A75" s="48" t="s">
        <v>2301</v>
      </c>
      <c r="B75" s="49" t="s">
        <v>298</v>
      </c>
      <c r="C75" s="51" t="s">
        <v>192</v>
      </c>
      <c r="D75" s="54"/>
      <c r="E75" s="5"/>
      <c r="F75" s="5"/>
      <c r="G75" s="5"/>
      <c r="J75" s="5"/>
      <c r="M75" s="5"/>
      <c r="N75" s="5"/>
      <c r="P75" s="5"/>
    </row>
    <row r="76" spans="1:16" ht="13">
      <c r="A76" s="48" t="s">
        <v>2302</v>
      </c>
      <c r="B76" s="49" t="s">
        <v>299</v>
      </c>
      <c r="C76" s="51" t="s">
        <v>199</v>
      </c>
      <c r="D76" s="51"/>
      <c r="E76" s="5"/>
      <c r="F76" s="5"/>
      <c r="G76" s="5"/>
      <c r="J76" s="5"/>
      <c r="M76" s="5"/>
      <c r="N76" s="5"/>
      <c r="P76" s="5"/>
    </row>
    <row r="77" spans="1:16" ht="13">
      <c r="A77" s="48" t="s">
        <v>2303</v>
      </c>
      <c r="B77" s="49" t="s">
        <v>1898</v>
      </c>
      <c r="C77" s="51" t="s">
        <v>197</v>
      </c>
      <c r="D77" s="54"/>
      <c r="E77" s="5"/>
      <c r="F77" s="5"/>
      <c r="G77" s="5"/>
      <c r="J77" s="5"/>
      <c r="M77" s="5"/>
      <c r="N77" s="5"/>
      <c r="P77" s="5"/>
    </row>
    <row r="78" spans="1:16" ht="13">
      <c r="A78" s="48" t="s">
        <v>2304</v>
      </c>
      <c r="B78" s="49" t="s">
        <v>1325</v>
      </c>
      <c r="C78" s="51" t="s">
        <v>197</v>
      </c>
      <c r="D78" s="51"/>
      <c r="E78" s="5"/>
      <c r="F78" s="5"/>
      <c r="G78" s="5"/>
      <c r="J78" s="5"/>
      <c r="M78" s="5"/>
      <c r="N78" s="5"/>
      <c r="P78" s="5"/>
    </row>
    <row r="79" spans="1:16" ht="13">
      <c r="A79" s="48" t="s">
        <v>2305</v>
      </c>
      <c r="B79" s="49" t="s">
        <v>2306</v>
      </c>
      <c r="C79" s="51" t="s">
        <v>229</v>
      </c>
      <c r="D79" s="54"/>
      <c r="E79" s="5"/>
      <c r="F79" s="5"/>
      <c r="G79" s="5"/>
      <c r="J79" s="5"/>
      <c r="M79" s="5"/>
      <c r="N79" s="5"/>
      <c r="P79" s="5"/>
    </row>
    <row r="80" spans="1:16" ht="13">
      <c r="A80" s="48" t="s">
        <v>2307</v>
      </c>
      <c r="B80" s="49" t="s">
        <v>1466</v>
      </c>
      <c r="C80" s="51" t="s">
        <v>206</v>
      </c>
      <c r="D80" s="54"/>
      <c r="E80" s="5"/>
      <c r="F80" s="5"/>
      <c r="G80" s="5"/>
      <c r="J80" s="5"/>
      <c r="M80" s="5"/>
      <c r="N80" s="5"/>
      <c r="P80" s="5"/>
    </row>
    <row r="81" spans="1:16" ht="13">
      <c r="A81" s="48" t="s">
        <v>2308</v>
      </c>
      <c r="B81" s="49" t="s">
        <v>1468</v>
      </c>
      <c r="C81" s="51" t="s">
        <v>1013</v>
      </c>
      <c r="D81" s="54"/>
      <c r="E81" s="5"/>
      <c r="F81" s="5"/>
      <c r="G81" s="5"/>
      <c r="J81" s="5"/>
      <c r="M81" s="5"/>
      <c r="N81" s="5"/>
      <c r="P81" s="5"/>
    </row>
    <row r="82" spans="1:16" ht="13">
      <c r="A82" s="48" t="s">
        <v>2309</v>
      </c>
      <c r="B82" s="49" t="s">
        <v>1332</v>
      </c>
      <c r="C82" s="51" t="s">
        <v>912</v>
      </c>
      <c r="D82" s="54"/>
      <c r="E82" s="5"/>
      <c r="F82" s="5"/>
      <c r="G82" s="5"/>
      <c r="J82" s="5"/>
      <c r="M82" s="5"/>
      <c r="N82" s="5"/>
      <c r="P82" s="5"/>
    </row>
    <row r="83" spans="1:16" ht="13">
      <c r="A83" s="48" t="s">
        <v>2310</v>
      </c>
      <c r="B83" s="49" t="s">
        <v>2311</v>
      </c>
      <c r="C83" s="51" t="s">
        <v>1013</v>
      </c>
      <c r="D83" s="54"/>
      <c r="E83" s="5"/>
      <c r="F83" s="5"/>
      <c r="G83" s="5"/>
      <c r="J83" s="5"/>
      <c r="M83" s="5"/>
      <c r="N83" s="5"/>
      <c r="P83" s="5"/>
    </row>
    <row r="84" spans="1:16" ht="13">
      <c r="A84" s="48" t="s">
        <v>2312</v>
      </c>
      <c r="B84" s="49" t="s">
        <v>1334</v>
      </c>
      <c r="C84" s="51" t="s">
        <v>912</v>
      </c>
      <c r="D84" s="54"/>
      <c r="E84" s="5"/>
      <c r="F84" s="5"/>
      <c r="G84" s="5"/>
      <c r="J84" s="5"/>
      <c r="M84" s="5"/>
      <c r="N84" s="5"/>
      <c r="P84" s="5"/>
    </row>
    <row r="85" spans="1:16" ht="13">
      <c r="A85" s="48" t="s">
        <v>2313</v>
      </c>
      <c r="B85" s="49" t="s">
        <v>1338</v>
      </c>
      <c r="C85" s="51" t="s">
        <v>206</v>
      </c>
      <c r="D85" s="54"/>
      <c r="E85" s="5"/>
      <c r="F85" s="5"/>
      <c r="G85" s="5"/>
      <c r="J85" s="5"/>
      <c r="M85" s="5"/>
      <c r="N85" s="5"/>
      <c r="P85" s="5"/>
    </row>
    <row r="86" spans="1:16" ht="13">
      <c r="A86" s="48" t="s">
        <v>2314</v>
      </c>
      <c r="B86" s="49" t="s">
        <v>1340</v>
      </c>
      <c r="C86" s="51" t="s">
        <v>1013</v>
      </c>
      <c r="D86" s="54"/>
      <c r="E86" s="5"/>
      <c r="F86" s="5"/>
      <c r="G86" s="5"/>
      <c r="J86" s="5"/>
      <c r="M86" s="5"/>
      <c r="N86" s="5"/>
      <c r="P86" s="5"/>
    </row>
    <row r="87" spans="1:16" ht="13">
      <c r="A87" s="48" t="s">
        <v>2315</v>
      </c>
      <c r="B87" s="49" t="s">
        <v>1470</v>
      </c>
      <c r="C87" s="51" t="s">
        <v>206</v>
      </c>
      <c r="D87" s="54"/>
      <c r="E87" s="5"/>
      <c r="F87" s="5"/>
      <c r="G87" s="5"/>
      <c r="J87" s="5"/>
      <c r="M87" s="5"/>
      <c r="N87" s="5"/>
      <c r="P87" s="5"/>
    </row>
    <row r="88" spans="1:16" ht="13">
      <c r="A88" s="48" t="s">
        <v>2316</v>
      </c>
      <c r="B88" s="49" t="s">
        <v>2317</v>
      </c>
      <c r="C88" s="51" t="s">
        <v>1013</v>
      </c>
      <c r="D88" s="54"/>
      <c r="E88" s="5"/>
      <c r="F88" s="5"/>
      <c r="G88" s="5"/>
      <c r="J88" s="5"/>
      <c r="M88" s="5"/>
      <c r="N88" s="5"/>
      <c r="P88" s="5"/>
    </row>
    <row r="89" spans="1:16" ht="13">
      <c r="A89" s="48" t="s">
        <v>2318</v>
      </c>
      <c r="B89" s="49" t="s">
        <v>1472</v>
      </c>
      <c r="C89" s="51" t="s">
        <v>1013</v>
      </c>
      <c r="D89" s="54"/>
      <c r="E89" s="5"/>
      <c r="F89" s="5"/>
      <c r="G89" s="5"/>
      <c r="J89" s="5"/>
      <c r="M89" s="5"/>
      <c r="N89" s="5"/>
      <c r="P89" s="5"/>
    </row>
    <row r="90" spans="1:16" ht="13">
      <c r="A90" s="48" t="s">
        <v>2319</v>
      </c>
      <c r="B90" s="49" t="s">
        <v>933</v>
      </c>
      <c r="C90" s="51" t="s">
        <v>317</v>
      </c>
      <c r="D90" s="54"/>
      <c r="E90" s="5"/>
      <c r="F90" s="5"/>
      <c r="G90" s="5"/>
      <c r="J90" s="5"/>
      <c r="M90" s="5"/>
      <c r="N90" s="5"/>
      <c r="P90" s="5"/>
    </row>
    <row r="91" spans="1:16" ht="13">
      <c r="A91" s="48" t="s">
        <v>2320</v>
      </c>
      <c r="B91" s="49" t="s">
        <v>1770</v>
      </c>
      <c r="C91" s="51" t="s">
        <v>317</v>
      </c>
      <c r="D91" s="54"/>
      <c r="E91" s="5"/>
      <c r="F91" s="5"/>
      <c r="G91" s="5"/>
      <c r="J91" s="5"/>
      <c r="M91" s="5"/>
      <c r="N91" s="5"/>
      <c r="P91" s="5"/>
    </row>
    <row r="92" spans="1:16" ht="13">
      <c r="A92" s="48" t="s">
        <v>2321</v>
      </c>
      <c r="B92" s="49" t="s">
        <v>798</v>
      </c>
      <c r="C92" s="51" t="s">
        <v>317</v>
      </c>
      <c r="D92" s="54"/>
      <c r="E92" s="5"/>
      <c r="F92" s="5"/>
      <c r="G92" s="5"/>
      <c r="J92" s="5"/>
      <c r="M92" s="5"/>
      <c r="N92" s="5"/>
      <c r="P92" s="5"/>
    </row>
    <row r="93" spans="1:16" ht="13">
      <c r="A93" s="48" t="s">
        <v>2322</v>
      </c>
      <c r="B93" s="49" t="s">
        <v>1479</v>
      </c>
      <c r="C93" s="51" t="s">
        <v>317</v>
      </c>
      <c r="D93" s="54"/>
      <c r="E93" s="5"/>
      <c r="F93" s="5"/>
      <c r="G93" s="5"/>
      <c r="J93" s="5"/>
      <c r="M93" s="5"/>
      <c r="N93" s="5"/>
      <c r="P93" s="5"/>
    </row>
    <row r="94" spans="1:16" ht="13">
      <c r="A94" s="48" t="s">
        <v>2323</v>
      </c>
      <c r="B94" s="49" t="s">
        <v>2324</v>
      </c>
      <c r="C94" s="51" t="s">
        <v>197</v>
      </c>
      <c r="D94" s="54"/>
      <c r="E94" s="5"/>
      <c r="F94" s="5"/>
      <c r="G94" s="5"/>
      <c r="J94" s="5"/>
      <c r="M94" s="5"/>
      <c r="N94" s="5"/>
      <c r="P94" s="5"/>
    </row>
    <row r="95" spans="1:16" ht="13">
      <c r="A95" s="48" t="s">
        <v>2325</v>
      </c>
      <c r="B95" s="49" t="s">
        <v>2326</v>
      </c>
      <c r="C95" s="51" t="s">
        <v>205</v>
      </c>
      <c r="D95" s="54"/>
      <c r="E95" s="5"/>
      <c r="F95" s="5"/>
      <c r="G95" s="5"/>
      <c r="J95" s="5"/>
      <c r="M95" s="5"/>
      <c r="N95" s="5"/>
      <c r="P95" s="5"/>
    </row>
    <row r="96" spans="1:16" ht="13">
      <c r="A96" s="48" t="s">
        <v>2327</v>
      </c>
      <c r="B96" s="49" t="s">
        <v>2328</v>
      </c>
      <c r="C96" s="51" t="s">
        <v>199</v>
      </c>
      <c r="D96" s="54"/>
      <c r="E96" s="5"/>
      <c r="F96" s="5"/>
      <c r="G96" s="5"/>
      <c r="J96" s="5"/>
      <c r="M96" s="5"/>
      <c r="N96" s="5"/>
      <c r="P96" s="5"/>
    </row>
    <row r="97" spans="1:16" ht="13">
      <c r="A97" s="48" t="s">
        <v>2329</v>
      </c>
      <c r="B97" s="49" t="s">
        <v>2330</v>
      </c>
      <c r="C97" s="51" t="s">
        <v>199</v>
      </c>
      <c r="D97" s="54"/>
      <c r="E97" s="5"/>
      <c r="F97" s="5"/>
      <c r="G97" s="5"/>
      <c r="J97" s="5"/>
      <c r="M97" s="5"/>
      <c r="N97" s="5"/>
      <c r="P97" s="5"/>
    </row>
    <row r="98" spans="1:16" ht="13">
      <c r="A98" s="48" t="s">
        <v>2331</v>
      </c>
      <c r="B98" s="49" t="s">
        <v>2332</v>
      </c>
      <c r="C98" s="51" t="s">
        <v>195</v>
      </c>
      <c r="D98" s="54"/>
      <c r="E98" s="5"/>
      <c r="F98" s="5"/>
      <c r="G98" s="5"/>
      <c r="J98" s="5"/>
      <c r="M98" s="5"/>
      <c r="N98" s="5"/>
      <c r="P98" s="5"/>
    </row>
    <row r="99" spans="1:16" ht="13">
      <c r="A99" s="48" t="s">
        <v>2333</v>
      </c>
      <c r="B99" s="49" t="s">
        <v>2334</v>
      </c>
      <c r="C99" s="51" t="s">
        <v>195</v>
      </c>
      <c r="D99" s="54"/>
      <c r="E99" s="5"/>
      <c r="F99" s="5"/>
      <c r="G99" s="5"/>
      <c r="J99" s="5"/>
      <c r="M99" s="5"/>
      <c r="N99" s="5"/>
      <c r="P99" s="5"/>
    </row>
    <row r="100" spans="1:16" ht="13">
      <c r="A100" s="48" t="s">
        <v>2335</v>
      </c>
      <c r="B100" s="49" t="s">
        <v>2336</v>
      </c>
      <c r="C100" s="51" t="s">
        <v>225</v>
      </c>
      <c r="D100" s="54"/>
      <c r="E100" s="5"/>
      <c r="F100" s="5"/>
      <c r="G100" s="5"/>
      <c r="J100" s="5"/>
      <c r="M100" s="5"/>
      <c r="N100" s="5"/>
      <c r="P100" s="5"/>
    </row>
    <row r="101" spans="1:16" ht="13">
      <c r="A101" s="48" t="s">
        <v>2337</v>
      </c>
      <c r="B101" s="49" t="s">
        <v>1486</v>
      </c>
      <c r="C101" s="51" t="s">
        <v>192</v>
      </c>
      <c r="D101" s="54"/>
      <c r="E101" s="5"/>
      <c r="F101" s="5"/>
      <c r="G101" s="5"/>
      <c r="J101" s="5"/>
      <c r="M101" s="5"/>
      <c r="N101" s="5"/>
      <c r="P101" s="5"/>
    </row>
    <row r="102" spans="1:16" ht="13">
      <c r="A102" s="48" t="s">
        <v>2338</v>
      </c>
      <c r="B102" s="49" t="s">
        <v>1925</v>
      </c>
      <c r="C102" s="51" t="s">
        <v>208</v>
      </c>
      <c r="D102" s="54"/>
      <c r="E102" s="5"/>
      <c r="F102" s="5"/>
      <c r="G102" s="5"/>
      <c r="J102" s="5"/>
      <c r="M102" s="5"/>
      <c r="N102" s="5"/>
      <c r="P102" s="5"/>
    </row>
    <row r="103" spans="1:16" ht="13">
      <c r="A103" s="48" t="s">
        <v>2339</v>
      </c>
      <c r="B103" s="49" t="s">
        <v>1927</v>
      </c>
      <c r="C103" s="51" t="s">
        <v>225</v>
      </c>
      <c r="D103" s="54"/>
      <c r="E103" s="5"/>
      <c r="F103" s="5"/>
      <c r="G103" s="5"/>
      <c r="J103" s="5"/>
      <c r="M103" s="5"/>
      <c r="N103" s="5"/>
      <c r="P103" s="5"/>
    </row>
    <row r="104" spans="1:16" ht="13">
      <c r="A104" s="48" t="s">
        <v>2340</v>
      </c>
      <c r="B104" s="49" t="s">
        <v>1929</v>
      </c>
      <c r="C104" s="51" t="s">
        <v>220</v>
      </c>
      <c r="D104" s="54"/>
      <c r="E104" s="5"/>
      <c r="F104" s="5"/>
      <c r="G104" s="5"/>
      <c r="J104" s="5"/>
      <c r="M104" s="5"/>
      <c r="N104" s="5"/>
      <c r="P104" s="5"/>
    </row>
    <row r="105" spans="1:16" ht="13">
      <c r="A105" s="48" t="s">
        <v>2341</v>
      </c>
      <c r="B105" s="49" t="s">
        <v>261</v>
      </c>
      <c r="C105" s="51" t="s">
        <v>197</v>
      </c>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4"/>
      <c r="E108" s="5"/>
      <c r="F108" s="5"/>
      <c r="G108" s="5"/>
      <c r="J108" s="5"/>
      <c r="M108" s="5"/>
      <c r="N108" s="5"/>
      <c r="P108" s="5"/>
    </row>
    <row r="109" spans="1:16" ht="13">
      <c r="A109" s="48"/>
      <c r="B109" s="50"/>
      <c r="C109" s="51"/>
      <c r="D109" s="54"/>
      <c r="E109" s="5"/>
      <c r="F109" s="5"/>
      <c r="G109" s="5"/>
      <c r="J109" s="5"/>
      <c r="M109" s="5"/>
      <c r="N109" s="5"/>
      <c r="P109" s="5"/>
    </row>
    <row r="110" spans="1:16" ht="13">
      <c r="A110" s="48"/>
      <c r="B110" s="50"/>
      <c r="C110" s="51"/>
      <c r="D110" s="54"/>
      <c r="E110" s="5"/>
      <c r="F110" s="5"/>
      <c r="G110" s="5"/>
      <c r="J110" s="5"/>
      <c r="M110" s="5"/>
      <c r="N110" s="5"/>
      <c r="P110" s="5"/>
    </row>
    <row r="111" spans="1:16" ht="13">
      <c r="C111" s="54"/>
      <c r="D111" s="54"/>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C00-000000000000}"/>
    <hyperlink ref="B6" r:id="rId2" xr:uid="{00000000-0004-0000-1C00-000001000000}"/>
    <hyperlink ref="B7" r:id="rId3" xr:uid="{00000000-0004-0000-1C00-000002000000}"/>
    <hyperlink ref="B8" r:id="rId4" xr:uid="{00000000-0004-0000-1C00-000003000000}"/>
    <hyperlink ref="B9" r:id="rId5" xr:uid="{00000000-0004-0000-1C00-000004000000}"/>
    <hyperlink ref="B10" r:id="rId6" xr:uid="{00000000-0004-0000-1C00-000005000000}"/>
    <hyperlink ref="B11" r:id="rId7" xr:uid="{00000000-0004-0000-1C00-000006000000}"/>
    <hyperlink ref="B12" r:id="rId8" xr:uid="{00000000-0004-0000-1C00-000007000000}"/>
    <hyperlink ref="B13" r:id="rId9" xr:uid="{00000000-0004-0000-1C00-000008000000}"/>
    <hyperlink ref="B14" r:id="rId10" xr:uid="{00000000-0004-0000-1C00-000009000000}"/>
    <hyperlink ref="B15" r:id="rId11" xr:uid="{00000000-0004-0000-1C00-00000A000000}"/>
    <hyperlink ref="B16" r:id="rId12" xr:uid="{00000000-0004-0000-1C00-00000B000000}"/>
    <hyperlink ref="B17" r:id="rId13" xr:uid="{00000000-0004-0000-1C00-00000C000000}"/>
    <hyperlink ref="B18" r:id="rId14" xr:uid="{00000000-0004-0000-1C00-00000D000000}"/>
    <hyperlink ref="B19" r:id="rId15" xr:uid="{00000000-0004-0000-1C00-00000E000000}"/>
    <hyperlink ref="B20" r:id="rId16" xr:uid="{00000000-0004-0000-1C00-00000F000000}"/>
    <hyperlink ref="B21" r:id="rId17" xr:uid="{00000000-0004-0000-1C00-000010000000}"/>
    <hyperlink ref="B22" r:id="rId18" xr:uid="{00000000-0004-0000-1C00-000011000000}"/>
    <hyperlink ref="B23" r:id="rId19" xr:uid="{00000000-0004-0000-1C00-000012000000}"/>
    <hyperlink ref="B24" r:id="rId20" xr:uid="{00000000-0004-0000-1C00-000013000000}"/>
    <hyperlink ref="B25" r:id="rId21" xr:uid="{00000000-0004-0000-1C00-000014000000}"/>
    <hyperlink ref="B26" r:id="rId22" xr:uid="{00000000-0004-0000-1C00-000015000000}"/>
    <hyperlink ref="B27" r:id="rId23" xr:uid="{00000000-0004-0000-1C00-000016000000}"/>
    <hyperlink ref="B28" r:id="rId24" xr:uid="{00000000-0004-0000-1C00-000017000000}"/>
    <hyperlink ref="B29" r:id="rId25" xr:uid="{00000000-0004-0000-1C00-000018000000}"/>
    <hyperlink ref="B30" r:id="rId26" xr:uid="{00000000-0004-0000-1C00-000019000000}"/>
    <hyperlink ref="B31" r:id="rId27" xr:uid="{00000000-0004-0000-1C00-00001A000000}"/>
    <hyperlink ref="B32" r:id="rId28" xr:uid="{00000000-0004-0000-1C00-00001B000000}"/>
    <hyperlink ref="B33" r:id="rId29" xr:uid="{00000000-0004-0000-1C00-00001C000000}"/>
    <hyperlink ref="B34" r:id="rId30" xr:uid="{00000000-0004-0000-1C00-00001D000000}"/>
    <hyperlink ref="B35" r:id="rId31" xr:uid="{00000000-0004-0000-1C00-00001E000000}"/>
    <hyperlink ref="B36" r:id="rId32" xr:uid="{00000000-0004-0000-1C00-00001F000000}"/>
    <hyperlink ref="B37" r:id="rId33" xr:uid="{00000000-0004-0000-1C00-000020000000}"/>
    <hyperlink ref="B38" r:id="rId34" xr:uid="{00000000-0004-0000-1C00-000021000000}"/>
    <hyperlink ref="B39" r:id="rId35" xr:uid="{00000000-0004-0000-1C00-000022000000}"/>
    <hyperlink ref="B40" r:id="rId36" xr:uid="{00000000-0004-0000-1C00-000023000000}"/>
    <hyperlink ref="B41" r:id="rId37" xr:uid="{00000000-0004-0000-1C00-000024000000}"/>
    <hyperlink ref="B42" r:id="rId38" xr:uid="{00000000-0004-0000-1C00-000025000000}"/>
    <hyperlink ref="B43" r:id="rId39" xr:uid="{00000000-0004-0000-1C00-000026000000}"/>
    <hyperlink ref="B44" r:id="rId40" xr:uid="{00000000-0004-0000-1C00-000027000000}"/>
    <hyperlink ref="B45" r:id="rId41" xr:uid="{00000000-0004-0000-1C00-000028000000}"/>
    <hyperlink ref="B46" r:id="rId42" xr:uid="{00000000-0004-0000-1C00-000029000000}"/>
    <hyperlink ref="B47" r:id="rId43" xr:uid="{00000000-0004-0000-1C00-00002A000000}"/>
    <hyperlink ref="B48" r:id="rId44" xr:uid="{00000000-0004-0000-1C00-00002B000000}"/>
    <hyperlink ref="B49" r:id="rId45" xr:uid="{00000000-0004-0000-1C00-00002C000000}"/>
    <hyperlink ref="B50" r:id="rId46" xr:uid="{00000000-0004-0000-1C00-00002D000000}"/>
    <hyperlink ref="B51" r:id="rId47" xr:uid="{00000000-0004-0000-1C00-00002E000000}"/>
    <hyperlink ref="B52" r:id="rId48" xr:uid="{00000000-0004-0000-1C00-00002F000000}"/>
    <hyperlink ref="B53" r:id="rId49" xr:uid="{00000000-0004-0000-1C00-000030000000}"/>
    <hyperlink ref="B54" r:id="rId50" xr:uid="{00000000-0004-0000-1C00-000031000000}"/>
    <hyperlink ref="B55" r:id="rId51" xr:uid="{00000000-0004-0000-1C00-000032000000}"/>
    <hyperlink ref="B56" r:id="rId52" xr:uid="{00000000-0004-0000-1C00-000033000000}"/>
    <hyperlink ref="B57" r:id="rId53" xr:uid="{00000000-0004-0000-1C00-000034000000}"/>
    <hyperlink ref="B58" r:id="rId54" xr:uid="{00000000-0004-0000-1C00-000035000000}"/>
    <hyperlink ref="B59" r:id="rId55" xr:uid="{00000000-0004-0000-1C00-000036000000}"/>
    <hyperlink ref="B60" r:id="rId56" xr:uid="{00000000-0004-0000-1C00-000037000000}"/>
    <hyperlink ref="B61" r:id="rId57" xr:uid="{00000000-0004-0000-1C00-000038000000}"/>
    <hyperlink ref="B62" r:id="rId58" xr:uid="{00000000-0004-0000-1C00-000039000000}"/>
    <hyperlink ref="B63" r:id="rId59" xr:uid="{00000000-0004-0000-1C00-00003A000000}"/>
    <hyperlink ref="B64" r:id="rId60" xr:uid="{00000000-0004-0000-1C00-00003B000000}"/>
    <hyperlink ref="B65" r:id="rId61" xr:uid="{00000000-0004-0000-1C00-00003C000000}"/>
    <hyperlink ref="B66" r:id="rId62" xr:uid="{00000000-0004-0000-1C00-00003D000000}"/>
    <hyperlink ref="B67" r:id="rId63" xr:uid="{00000000-0004-0000-1C00-00003E000000}"/>
    <hyperlink ref="B68" r:id="rId64" xr:uid="{00000000-0004-0000-1C00-00003F000000}"/>
    <hyperlink ref="B69" r:id="rId65" xr:uid="{00000000-0004-0000-1C00-000040000000}"/>
    <hyperlink ref="B70" r:id="rId66" xr:uid="{00000000-0004-0000-1C00-000041000000}"/>
    <hyperlink ref="B71" r:id="rId67" xr:uid="{00000000-0004-0000-1C00-000042000000}"/>
    <hyperlink ref="B72" r:id="rId68" xr:uid="{00000000-0004-0000-1C00-000043000000}"/>
    <hyperlink ref="B73" r:id="rId69" xr:uid="{00000000-0004-0000-1C00-000044000000}"/>
    <hyperlink ref="B74" r:id="rId70" xr:uid="{00000000-0004-0000-1C00-000045000000}"/>
    <hyperlink ref="B75" r:id="rId71" xr:uid="{00000000-0004-0000-1C00-000046000000}"/>
    <hyperlink ref="B76" r:id="rId72" xr:uid="{00000000-0004-0000-1C00-000047000000}"/>
    <hyperlink ref="B77" r:id="rId73" xr:uid="{00000000-0004-0000-1C00-000048000000}"/>
    <hyperlink ref="B78" r:id="rId74" xr:uid="{00000000-0004-0000-1C00-000049000000}"/>
    <hyperlink ref="B79" r:id="rId75" xr:uid="{00000000-0004-0000-1C00-00004A000000}"/>
    <hyperlink ref="B80" r:id="rId76" xr:uid="{00000000-0004-0000-1C00-00004B000000}"/>
    <hyperlink ref="B81" r:id="rId77" xr:uid="{00000000-0004-0000-1C00-00004C000000}"/>
    <hyperlink ref="B82" r:id="rId78" xr:uid="{00000000-0004-0000-1C00-00004D000000}"/>
    <hyperlink ref="B83" r:id="rId79" xr:uid="{00000000-0004-0000-1C00-00004E000000}"/>
    <hyperlink ref="B84" r:id="rId80" xr:uid="{00000000-0004-0000-1C00-00004F000000}"/>
    <hyperlink ref="B85" r:id="rId81" xr:uid="{00000000-0004-0000-1C00-000050000000}"/>
    <hyperlink ref="B86" r:id="rId82" xr:uid="{00000000-0004-0000-1C00-000051000000}"/>
    <hyperlink ref="B87" r:id="rId83" xr:uid="{00000000-0004-0000-1C00-000052000000}"/>
    <hyperlink ref="B88" r:id="rId84" xr:uid="{00000000-0004-0000-1C00-000053000000}"/>
    <hyperlink ref="B89" r:id="rId85" xr:uid="{00000000-0004-0000-1C00-000054000000}"/>
    <hyperlink ref="B90" r:id="rId86" xr:uid="{00000000-0004-0000-1C00-000055000000}"/>
    <hyperlink ref="B91" r:id="rId87" xr:uid="{00000000-0004-0000-1C00-000056000000}"/>
    <hyperlink ref="B92" r:id="rId88" xr:uid="{00000000-0004-0000-1C00-000057000000}"/>
    <hyperlink ref="B93" r:id="rId89" xr:uid="{00000000-0004-0000-1C00-000058000000}"/>
    <hyperlink ref="B94" r:id="rId90" xr:uid="{00000000-0004-0000-1C00-000059000000}"/>
    <hyperlink ref="B95" r:id="rId91" xr:uid="{00000000-0004-0000-1C00-00005A000000}"/>
    <hyperlink ref="B96" r:id="rId92" xr:uid="{00000000-0004-0000-1C00-00005B000000}"/>
    <hyperlink ref="B97" r:id="rId93" xr:uid="{00000000-0004-0000-1C00-00005C000000}"/>
    <hyperlink ref="B98" r:id="rId94" xr:uid="{00000000-0004-0000-1C00-00005D000000}"/>
    <hyperlink ref="B99" r:id="rId95" xr:uid="{00000000-0004-0000-1C00-00005E000000}"/>
    <hyperlink ref="B100" r:id="rId96" xr:uid="{00000000-0004-0000-1C00-00005F000000}"/>
    <hyperlink ref="B101" r:id="rId97" xr:uid="{00000000-0004-0000-1C00-000060000000}"/>
    <hyperlink ref="B102" r:id="rId98" xr:uid="{00000000-0004-0000-1C00-000061000000}"/>
    <hyperlink ref="B103" r:id="rId99" xr:uid="{00000000-0004-0000-1C00-000062000000}"/>
    <hyperlink ref="B104" r:id="rId100" xr:uid="{00000000-0004-0000-1C00-000063000000}"/>
    <hyperlink ref="B105" r:id="rId101" xr:uid="{00000000-0004-0000-1C00-000064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1.1640625" customWidth="1"/>
    <col min="3" max="3" width="13.5" customWidth="1"/>
    <col min="4" max="4" width="14.83203125" customWidth="1"/>
    <col min="5" max="5" width="14.33203125" customWidth="1"/>
    <col min="11" max="11" width="13.83203125" customWidth="1"/>
  </cols>
  <sheetData>
    <row r="1" spans="1:23" ht="15.75" customHeight="1">
      <c r="A1" s="1" t="s">
        <v>53</v>
      </c>
      <c r="B1" s="36"/>
      <c r="C1" s="37"/>
      <c r="D1" s="7" t="s">
        <v>181</v>
      </c>
      <c r="E1" s="5"/>
      <c r="F1" s="5"/>
      <c r="G1" s="5"/>
      <c r="K1" s="1"/>
      <c r="M1" s="5"/>
      <c r="N1" s="5"/>
      <c r="S1" s="1"/>
      <c r="U1" s="5"/>
    </row>
    <row r="2" spans="1:23" ht="15.75" customHeight="1">
      <c r="A2" s="7" t="s">
        <v>182</v>
      </c>
      <c r="B2" s="38">
        <v>38565</v>
      </c>
      <c r="C2" s="37"/>
      <c r="D2" s="39">
        <f>SUM(D5:G105)</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43482</v>
      </c>
      <c r="B5" s="49" t="s">
        <v>221</v>
      </c>
      <c r="C5" s="51" t="s">
        <v>199</v>
      </c>
      <c r="D5" s="54"/>
      <c r="E5" s="5"/>
      <c r="F5" s="5"/>
      <c r="G5" s="5"/>
      <c r="L5" s="43"/>
      <c r="M5" s="43"/>
      <c r="N5" s="42"/>
      <c r="O5" s="44"/>
      <c r="S5" s="42"/>
      <c r="T5" s="43"/>
      <c r="U5" s="43"/>
      <c r="V5" s="42"/>
      <c r="W5" s="44"/>
    </row>
    <row r="6" spans="1:23" ht="15.75" customHeight="1">
      <c r="A6" s="52">
        <v>43513</v>
      </c>
      <c r="B6" s="49" t="s">
        <v>324</v>
      </c>
      <c r="C6" s="51" t="s">
        <v>197</v>
      </c>
      <c r="D6" s="54"/>
      <c r="E6" s="5"/>
      <c r="F6" s="5"/>
      <c r="G6" s="5"/>
      <c r="L6" s="50"/>
      <c r="M6" s="51"/>
      <c r="N6" s="5"/>
      <c r="S6" s="52"/>
      <c r="T6" s="50"/>
      <c r="U6" s="51"/>
    </row>
    <row r="7" spans="1:23" ht="15.75" customHeight="1">
      <c r="A7" s="52">
        <v>43541</v>
      </c>
      <c r="B7" s="49" t="s">
        <v>972</v>
      </c>
      <c r="C7" s="51" t="s">
        <v>192</v>
      </c>
      <c r="D7" s="54"/>
      <c r="E7" s="5"/>
      <c r="F7" s="5"/>
      <c r="G7" s="5"/>
      <c r="K7" s="52"/>
      <c r="L7" s="50"/>
      <c r="M7" s="51"/>
      <c r="N7" s="5"/>
      <c r="S7" s="52"/>
      <c r="T7" s="50"/>
      <c r="U7" s="51"/>
    </row>
    <row r="8" spans="1:23" ht="15.75" customHeight="1">
      <c r="A8" s="52">
        <v>43572</v>
      </c>
      <c r="B8" s="49" t="s">
        <v>237</v>
      </c>
      <c r="C8" s="51" t="s">
        <v>208</v>
      </c>
      <c r="D8" s="54"/>
      <c r="E8" s="5"/>
      <c r="F8" s="5"/>
      <c r="G8" s="5"/>
      <c r="K8" s="52"/>
      <c r="L8" s="50"/>
      <c r="M8" s="51"/>
      <c r="N8" s="51"/>
      <c r="S8" s="52"/>
      <c r="T8" s="50"/>
      <c r="U8" s="51"/>
    </row>
    <row r="9" spans="1:23" ht="15.75" customHeight="1">
      <c r="A9" s="52">
        <v>43602</v>
      </c>
      <c r="B9" s="49" t="s">
        <v>344</v>
      </c>
      <c r="C9" s="51" t="s">
        <v>197</v>
      </c>
      <c r="D9" s="54"/>
      <c r="E9" s="5"/>
      <c r="F9" s="5"/>
      <c r="G9" s="5"/>
      <c r="K9" s="52"/>
      <c r="L9" s="50"/>
      <c r="M9" s="51"/>
      <c r="N9" s="51"/>
      <c r="S9" s="52"/>
      <c r="T9" s="50"/>
      <c r="U9" s="51"/>
    </row>
    <row r="10" spans="1:23" ht="15.75" customHeight="1">
      <c r="A10" s="52">
        <v>43633</v>
      </c>
      <c r="B10" s="49" t="s">
        <v>204</v>
      </c>
      <c r="C10" s="51" t="s">
        <v>205</v>
      </c>
      <c r="D10" s="54"/>
      <c r="E10" s="5"/>
      <c r="F10" s="5"/>
      <c r="G10" s="5"/>
      <c r="K10" s="52"/>
      <c r="L10" s="50"/>
      <c r="M10" s="51"/>
      <c r="N10" s="5"/>
      <c r="S10" s="52"/>
      <c r="T10" s="50"/>
      <c r="U10" s="51"/>
    </row>
    <row r="11" spans="1:23" ht="15.75" customHeight="1">
      <c r="A11" s="52">
        <v>43663</v>
      </c>
      <c r="B11" s="49" t="s">
        <v>264</v>
      </c>
      <c r="C11" s="51" t="s">
        <v>205</v>
      </c>
      <c r="D11" s="54"/>
      <c r="E11" s="5"/>
      <c r="F11" s="5"/>
      <c r="G11" s="5"/>
      <c r="K11" s="52"/>
      <c r="L11" s="50"/>
      <c r="M11" s="51"/>
      <c r="N11" s="51"/>
      <c r="S11" s="52"/>
      <c r="T11" s="50"/>
      <c r="U11" s="51"/>
    </row>
    <row r="12" spans="1:23" ht="15.75" customHeight="1">
      <c r="A12" s="52">
        <v>43694</v>
      </c>
      <c r="B12" s="49" t="s">
        <v>1604</v>
      </c>
      <c r="C12" s="51" t="s">
        <v>1013</v>
      </c>
      <c r="D12" s="54"/>
      <c r="E12" s="5"/>
      <c r="F12" s="5"/>
      <c r="G12" s="5"/>
      <c r="K12" s="52"/>
      <c r="L12" s="50"/>
      <c r="M12" s="51"/>
      <c r="N12" s="51"/>
      <c r="S12" s="52"/>
      <c r="T12" s="50"/>
      <c r="U12" s="51"/>
    </row>
    <row r="13" spans="1:23" ht="15.75" customHeight="1">
      <c r="A13" s="52">
        <v>43725</v>
      </c>
      <c r="B13" s="49" t="s">
        <v>1018</v>
      </c>
      <c r="C13" s="51" t="s">
        <v>1019</v>
      </c>
      <c r="D13" s="54"/>
      <c r="E13" s="5"/>
      <c r="F13" s="5"/>
      <c r="G13" s="5"/>
      <c r="K13" s="52"/>
      <c r="L13" s="50"/>
      <c r="M13" s="51"/>
      <c r="N13" s="5"/>
      <c r="S13" s="52"/>
      <c r="T13" s="50"/>
      <c r="U13" s="51"/>
    </row>
    <row r="14" spans="1:23" ht="15.75" customHeight="1">
      <c r="A14" s="52">
        <v>43755</v>
      </c>
      <c r="B14" s="49" t="s">
        <v>1154</v>
      </c>
      <c r="C14" s="51" t="s">
        <v>229</v>
      </c>
      <c r="D14" s="54"/>
      <c r="E14" s="5"/>
      <c r="F14" s="5"/>
      <c r="G14" s="5"/>
      <c r="K14" s="52"/>
      <c r="L14" s="50"/>
      <c r="M14" s="51"/>
      <c r="N14" s="51"/>
      <c r="S14" s="52"/>
      <c r="T14" s="50"/>
      <c r="U14" s="51"/>
    </row>
    <row r="15" spans="1:23" ht="15.75" customHeight="1">
      <c r="A15" s="52">
        <v>43786</v>
      </c>
      <c r="B15" s="49" t="s">
        <v>1606</v>
      </c>
      <c r="C15" s="51" t="s">
        <v>1013</v>
      </c>
      <c r="D15" s="54"/>
      <c r="E15" s="5"/>
      <c r="F15" s="5"/>
      <c r="G15" s="5"/>
      <c r="K15" s="52"/>
      <c r="L15" s="50"/>
      <c r="M15" s="51"/>
      <c r="N15" s="51"/>
      <c r="S15" s="52"/>
      <c r="T15" s="50"/>
      <c r="U15" s="51"/>
    </row>
    <row r="16" spans="1:23" ht="15.75" customHeight="1">
      <c r="A16" s="52">
        <v>43816</v>
      </c>
      <c r="B16" s="49" t="s">
        <v>276</v>
      </c>
      <c r="C16" s="51" t="s">
        <v>205</v>
      </c>
      <c r="D16" s="51"/>
      <c r="E16" s="5"/>
      <c r="F16" s="5"/>
      <c r="G16" s="5"/>
      <c r="K16" s="52"/>
      <c r="L16" s="50"/>
      <c r="M16" s="51"/>
      <c r="N16" s="51"/>
      <c r="S16" s="52"/>
      <c r="T16" s="50"/>
      <c r="U16" s="51"/>
    </row>
    <row r="17" spans="1:27" ht="15.75" customHeight="1">
      <c r="A17" s="48" t="s">
        <v>2342</v>
      </c>
      <c r="B17" s="49" t="s">
        <v>1432</v>
      </c>
      <c r="C17" s="51" t="s">
        <v>205</v>
      </c>
      <c r="D17" s="51"/>
      <c r="E17" s="5"/>
      <c r="F17" s="5"/>
      <c r="G17" s="5"/>
      <c r="K17" s="52"/>
      <c r="L17" s="50"/>
      <c r="M17" s="51"/>
      <c r="N17" s="51"/>
      <c r="S17" s="52"/>
      <c r="T17" s="50"/>
      <c r="U17" s="51"/>
    </row>
    <row r="18" spans="1:27" ht="15.75" customHeight="1">
      <c r="A18" s="48" t="s">
        <v>2343</v>
      </c>
      <c r="B18" s="49" t="s">
        <v>1847</v>
      </c>
      <c r="C18" s="51" t="s">
        <v>208</v>
      </c>
      <c r="D18" s="54"/>
      <c r="E18" s="5"/>
      <c r="F18" s="5"/>
      <c r="G18" s="5"/>
      <c r="M18" s="5"/>
      <c r="N18" s="5"/>
      <c r="U18" s="5"/>
      <c r="AA18" s="5"/>
    </row>
    <row r="19" spans="1:27" ht="15.75" customHeight="1">
      <c r="A19" s="48" t="s">
        <v>2344</v>
      </c>
      <c r="B19" s="49" t="s">
        <v>840</v>
      </c>
      <c r="C19" s="51" t="s">
        <v>225</v>
      </c>
      <c r="D19" s="54"/>
      <c r="E19" s="5"/>
      <c r="F19" s="5"/>
      <c r="G19" s="5"/>
      <c r="K19" s="1"/>
      <c r="M19" s="5"/>
      <c r="N19" s="5"/>
      <c r="U19" s="5"/>
      <c r="AA19" s="5"/>
    </row>
    <row r="20" spans="1:27" ht="15.75" customHeight="1">
      <c r="A20" s="48" t="s">
        <v>2345</v>
      </c>
      <c r="B20" s="49" t="s">
        <v>191</v>
      </c>
      <c r="C20" s="51" t="s">
        <v>192</v>
      </c>
      <c r="D20" s="54"/>
      <c r="E20" s="5"/>
      <c r="F20" s="5"/>
      <c r="G20" s="5"/>
      <c r="L20" s="40"/>
      <c r="M20" s="5"/>
      <c r="N20" s="5"/>
      <c r="AA20" s="5"/>
    </row>
    <row r="21" spans="1:27" ht="15.75" customHeight="1">
      <c r="A21" s="48" t="s">
        <v>2346</v>
      </c>
      <c r="B21" s="49" t="s">
        <v>2347</v>
      </c>
      <c r="C21" s="51" t="s">
        <v>195</v>
      </c>
      <c r="D21" s="54"/>
      <c r="E21" s="5"/>
      <c r="F21" s="5"/>
      <c r="G21" s="5"/>
      <c r="M21" s="5"/>
      <c r="N21" s="5"/>
      <c r="AA21" s="5"/>
    </row>
    <row r="22" spans="1:27" ht="15.75" customHeight="1">
      <c r="A22" s="48"/>
      <c r="B22" s="50"/>
      <c r="C22" s="51"/>
      <c r="D22" s="54"/>
      <c r="E22" s="5"/>
      <c r="F22" s="5"/>
      <c r="G22" s="5"/>
      <c r="K22" s="42"/>
      <c r="L22" s="45"/>
      <c r="M22" s="46"/>
      <c r="N22" s="47"/>
      <c r="AA22" s="5"/>
    </row>
    <row r="23" spans="1:27" ht="15.75" customHeight="1">
      <c r="A23" s="48"/>
      <c r="B23" s="50"/>
      <c r="C23" s="51"/>
      <c r="D23" s="54"/>
      <c r="E23" s="5"/>
      <c r="F23" s="5"/>
      <c r="G23" s="5"/>
      <c r="K23" s="42"/>
      <c r="L23" s="43"/>
      <c r="M23" s="43"/>
      <c r="N23" s="42"/>
      <c r="O23" s="44"/>
      <c r="AA23" s="5"/>
    </row>
    <row r="24" spans="1:27" ht="15.75" customHeight="1">
      <c r="A24" s="48"/>
      <c r="B24" s="50"/>
      <c r="C24" s="51"/>
      <c r="D24" s="54"/>
      <c r="E24" s="5"/>
      <c r="F24" s="5"/>
      <c r="G24" s="5"/>
      <c r="K24" s="52"/>
      <c r="L24" s="50"/>
      <c r="M24" s="51"/>
      <c r="N24" s="5"/>
      <c r="AA24" s="5"/>
    </row>
    <row r="25" spans="1:27" ht="15.75" customHeight="1">
      <c r="A25" s="48"/>
      <c r="B25" s="50"/>
      <c r="C25" s="51"/>
      <c r="D25" s="54"/>
      <c r="E25" s="5"/>
      <c r="F25" s="5"/>
      <c r="G25" s="5"/>
      <c r="K25" s="52"/>
      <c r="L25" s="50"/>
      <c r="M25" s="51"/>
      <c r="N25" s="5"/>
      <c r="AA25" s="5"/>
    </row>
    <row r="26" spans="1:27" ht="15.75" customHeight="1">
      <c r="A26" s="48"/>
      <c r="B26" s="50"/>
      <c r="C26" s="51"/>
      <c r="D26" s="54"/>
      <c r="E26" s="5"/>
      <c r="F26" s="5"/>
      <c r="G26" s="5"/>
      <c r="K26" s="52"/>
      <c r="L26" s="50"/>
      <c r="M26" s="51"/>
      <c r="N26" s="51"/>
      <c r="AA26" s="5"/>
    </row>
    <row r="27" spans="1:27" ht="15.75" customHeight="1">
      <c r="A27" s="48"/>
      <c r="B27" s="50"/>
      <c r="C27" s="51"/>
      <c r="D27" s="54"/>
      <c r="E27" s="5"/>
      <c r="F27" s="51"/>
      <c r="G27" s="5"/>
      <c r="K27" s="52"/>
      <c r="L27" s="50"/>
      <c r="M27" s="51"/>
      <c r="N27" s="51"/>
      <c r="AA27" s="5"/>
    </row>
    <row r="28" spans="1:27" ht="15.75" customHeight="1">
      <c r="A28" s="48"/>
      <c r="B28" s="50"/>
      <c r="C28" s="51"/>
      <c r="D28" s="54"/>
      <c r="E28" s="5"/>
      <c r="F28" s="5"/>
      <c r="G28" s="5"/>
      <c r="J28" s="5"/>
      <c r="K28" s="52"/>
      <c r="L28" s="50"/>
      <c r="M28" s="51"/>
      <c r="N28" s="5"/>
      <c r="P28" s="5"/>
    </row>
    <row r="29" spans="1:27" ht="15.75" customHeight="1">
      <c r="A29" s="48"/>
      <c r="B29" s="50"/>
      <c r="C29" s="51"/>
      <c r="D29" s="54"/>
      <c r="E29" s="5"/>
      <c r="F29" s="5"/>
      <c r="G29" s="5"/>
      <c r="J29" s="5"/>
      <c r="K29" s="52"/>
      <c r="L29" s="50"/>
      <c r="M29" s="51"/>
      <c r="N29" s="51"/>
      <c r="P29" s="5"/>
    </row>
    <row r="30" spans="1:27" ht="15.75" customHeight="1">
      <c r="A30" s="48"/>
      <c r="B30" s="50"/>
      <c r="C30" s="51"/>
      <c r="D30" s="54"/>
      <c r="E30" s="5"/>
      <c r="F30" s="5"/>
      <c r="G30" s="5"/>
      <c r="J30" s="5"/>
      <c r="K30" s="52"/>
      <c r="L30" s="50"/>
      <c r="M30" s="51"/>
      <c r="N30" s="5"/>
      <c r="P30" s="5"/>
    </row>
    <row r="31" spans="1:27" ht="15.75" customHeight="1">
      <c r="A31" s="48"/>
      <c r="B31" s="50"/>
      <c r="C31" s="51"/>
      <c r="D31" s="54"/>
      <c r="E31" s="5"/>
      <c r="F31" s="5"/>
      <c r="G31" s="5"/>
      <c r="J31" s="5"/>
      <c r="K31" s="52"/>
      <c r="L31" s="50"/>
      <c r="M31" s="51"/>
      <c r="N31" s="51"/>
      <c r="P31" s="5"/>
    </row>
    <row r="32" spans="1:27" ht="15.75" customHeight="1">
      <c r="A32" s="48"/>
      <c r="B32" s="50"/>
      <c r="C32" s="51"/>
      <c r="D32" s="54"/>
      <c r="E32" s="5"/>
      <c r="F32" s="5"/>
      <c r="G32" s="5"/>
      <c r="J32" s="5"/>
      <c r="K32" s="52"/>
      <c r="L32" s="50"/>
      <c r="M32" s="51"/>
      <c r="N32" s="5"/>
      <c r="P32" s="5"/>
    </row>
    <row r="33" spans="1:16" ht="15.75" customHeight="1">
      <c r="A33" s="48"/>
      <c r="B33" s="50"/>
      <c r="C33" s="51"/>
      <c r="D33" s="54"/>
      <c r="E33" s="5"/>
      <c r="F33" s="5"/>
      <c r="G33" s="5"/>
      <c r="J33" s="5"/>
      <c r="K33" s="52"/>
      <c r="L33" s="50"/>
      <c r="M33" s="51"/>
      <c r="N33" s="5"/>
      <c r="P33" s="5"/>
    </row>
    <row r="34" spans="1:16" ht="15.75" customHeight="1">
      <c r="A34" s="48"/>
      <c r="B34" s="50"/>
      <c r="C34" s="51"/>
      <c r="D34" s="54"/>
      <c r="E34" s="5"/>
      <c r="F34" s="5"/>
      <c r="G34" s="5"/>
      <c r="J34" s="5"/>
      <c r="K34" s="52"/>
      <c r="L34" s="50"/>
      <c r="M34" s="51"/>
      <c r="N34" s="5"/>
      <c r="P34" s="5"/>
    </row>
    <row r="35" spans="1:16" ht="15.75" customHeight="1">
      <c r="A35" s="48"/>
      <c r="B35" s="50"/>
      <c r="C35" s="51"/>
      <c r="D35" s="54"/>
      <c r="E35" s="5"/>
      <c r="F35" s="5"/>
      <c r="G35" s="5"/>
      <c r="J35" s="5"/>
      <c r="K35" s="52"/>
      <c r="L35" s="50"/>
      <c r="M35" s="51"/>
      <c r="N35" s="51"/>
      <c r="P35" s="5"/>
    </row>
    <row r="36" spans="1:16" ht="15.75" customHeight="1">
      <c r="A36" s="48"/>
      <c r="B36" s="50"/>
      <c r="C36" s="51"/>
      <c r="D36" s="54"/>
      <c r="E36" s="5"/>
      <c r="F36" s="5"/>
      <c r="G36" s="5"/>
      <c r="J36" s="5"/>
      <c r="M36" s="5"/>
      <c r="N36" s="5"/>
      <c r="P36" s="5"/>
    </row>
    <row r="37" spans="1:16" ht="15.75" customHeight="1">
      <c r="A37" s="48"/>
      <c r="B37" s="50"/>
      <c r="C37" s="51"/>
      <c r="D37" s="51"/>
      <c r="E37" s="5"/>
      <c r="F37" s="5"/>
      <c r="G37" s="5"/>
      <c r="J37" s="5"/>
      <c r="M37" s="5"/>
      <c r="N37" s="5"/>
    </row>
    <row r="38" spans="1:16" ht="15.75" customHeight="1">
      <c r="A38" s="48"/>
      <c r="B38" s="50"/>
      <c r="C38" s="51"/>
      <c r="D38" s="51"/>
      <c r="E38" s="5"/>
      <c r="F38" s="5"/>
      <c r="G38" s="5"/>
      <c r="J38" s="5"/>
      <c r="M38" s="51"/>
      <c r="N38" s="51"/>
    </row>
    <row r="39" spans="1:16" ht="15.75" customHeight="1">
      <c r="A39" s="48"/>
      <c r="B39" s="50"/>
      <c r="C39" s="51"/>
      <c r="D39" s="54"/>
      <c r="E39" s="5"/>
      <c r="F39" s="5"/>
      <c r="G39" s="5"/>
      <c r="J39" s="5"/>
      <c r="M39" s="51"/>
      <c r="N39" s="51"/>
    </row>
    <row r="40" spans="1:16" ht="15.75" customHeight="1">
      <c r="A40" s="48"/>
      <c r="B40" s="50"/>
      <c r="C40" s="51"/>
      <c r="D40" s="54"/>
      <c r="E40" s="5"/>
      <c r="F40" s="5"/>
      <c r="G40" s="5"/>
      <c r="J40" s="5"/>
      <c r="M40" s="51"/>
      <c r="N40" s="51"/>
    </row>
    <row r="41" spans="1:16" ht="15.75" customHeight="1">
      <c r="A41" s="48"/>
      <c r="B41" s="50"/>
      <c r="C41" s="51"/>
      <c r="D41" s="54"/>
      <c r="E41" s="5"/>
      <c r="F41" s="5"/>
      <c r="G41" s="5"/>
      <c r="J41" s="5"/>
      <c r="M41" s="51"/>
      <c r="N41" s="51"/>
    </row>
    <row r="42" spans="1:16" ht="15.75" customHeight="1">
      <c r="A42" s="48"/>
      <c r="B42" s="50"/>
      <c r="C42" s="51"/>
      <c r="D42" s="54"/>
      <c r="E42" s="5"/>
      <c r="F42" s="5"/>
      <c r="G42" s="5"/>
      <c r="J42" s="5"/>
      <c r="M42" s="51"/>
      <c r="N42" s="51"/>
    </row>
    <row r="43" spans="1:16" ht="15.75" customHeight="1">
      <c r="A43" s="48"/>
      <c r="B43" s="50"/>
      <c r="C43" s="51"/>
      <c r="D43" s="54"/>
      <c r="E43" s="5"/>
      <c r="F43" s="5"/>
      <c r="G43" s="5"/>
      <c r="J43" s="5"/>
      <c r="M43" s="51"/>
      <c r="N43" s="51"/>
    </row>
    <row r="44" spans="1:16" ht="15.75" customHeight="1">
      <c r="A44" s="48"/>
      <c r="B44" s="50"/>
      <c r="C44" s="51"/>
      <c r="D44" s="54"/>
      <c r="E44" s="5"/>
      <c r="F44" s="5"/>
      <c r="G44" s="5"/>
      <c r="J44" s="5"/>
      <c r="M44" s="51"/>
      <c r="N44" s="51"/>
    </row>
    <row r="45" spans="1:16" ht="15.75" customHeight="1">
      <c r="A45" s="48"/>
      <c r="B45" s="50"/>
      <c r="C45" s="51"/>
      <c r="D45" s="54"/>
      <c r="E45" s="5"/>
      <c r="F45" s="5"/>
      <c r="G45" s="5"/>
      <c r="J45" s="5"/>
      <c r="M45" s="51"/>
      <c r="N45" s="51"/>
      <c r="P45" s="5"/>
    </row>
    <row r="46" spans="1:16" ht="15.75" customHeight="1">
      <c r="A46" s="48"/>
      <c r="B46" s="50"/>
      <c r="C46" s="51"/>
      <c r="D46" s="54"/>
      <c r="E46" s="5"/>
      <c r="F46" s="5"/>
      <c r="G46" s="5"/>
      <c r="J46" s="5"/>
      <c r="M46" s="51"/>
      <c r="N46" s="51"/>
      <c r="P46" s="5"/>
    </row>
    <row r="47" spans="1:16" ht="15.75" customHeight="1">
      <c r="A47" s="48"/>
      <c r="B47" s="50"/>
      <c r="C47" s="51"/>
      <c r="D47" s="54"/>
      <c r="E47" s="5"/>
      <c r="F47" s="5"/>
      <c r="G47" s="5"/>
      <c r="J47" s="5"/>
      <c r="M47" s="5"/>
      <c r="N47" s="5"/>
      <c r="P47" s="5"/>
    </row>
    <row r="48" spans="1:16" ht="15.75" customHeight="1">
      <c r="A48" s="48"/>
      <c r="B48" s="50"/>
      <c r="C48" s="51"/>
      <c r="D48" s="54"/>
      <c r="E48" s="5"/>
      <c r="F48" s="5"/>
      <c r="G48" s="5"/>
      <c r="J48" s="5"/>
      <c r="M48" s="5"/>
      <c r="N48" s="5"/>
      <c r="P48" s="5"/>
    </row>
    <row r="49" spans="1:16" ht="15.75" customHeight="1">
      <c r="A49" s="48"/>
      <c r="B49" s="50"/>
      <c r="C49" s="51"/>
      <c r="D49" s="54"/>
      <c r="E49" s="5"/>
      <c r="F49" s="5"/>
      <c r="G49" s="5"/>
      <c r="J49" s="5"/>
      <c r="M49" s="5"/>
      <c r="N49" s="5"/>
      <c r="P49" s="5"/>
    </row>
    <row r="50" spans="1:16" ht="15.75" customHeight="1">
      <c r="A50" s="48"/>
      <c r="B50" s="50"/>
      <c r="C50" s="51"/>
      <c r="D50" s="54"/>
      <c r="E50" s="5"/>
      <c r="F50" s="5"/>
      <c r="G50" s="5"/>
      <c r="J50" s="5"/>
      <c r="M50" s="5"/>
      <c r="N50" s="5"/>
      <c r="P50" s="5"/>
    </row>
    <row r="51" spans="1:16" ht="15.75" customHeight="1">
      <c r="A51" s="48"/>
      <c r="B51" s="50"/>
      <c r="C51" s="51"/>
      <c r="D51" s="54"/>
      <c r="E51" s="5"/>
      <c r="F51" s="5"/>
      <c r="G51" s="5"/>
      <c r="J51" s="5"/>
      <c r="M51" s="5"/>
      <c r="N51" s="5"/>
      <c r="P51" s="5"/>
    </row>
    <row r="52" spans="1:16" ht="15.75" customHeight="1">
      <c r="A52" s="48"/>
      <c r="B52" s="50"/>
      <c r="C52" s="51"/>
      <c r="D52" s="54"/>
      <c r="E52" s="5"/>
      <c r="F52" s="5"/>
      <c r="G52" s="5"/>
      <c r="J52" s="5"/>
      <c r="M52" s="5"/>
      <c r="N52" s="5"/>
      <c r="P52" s="5"/>
    </row>
    <row r="53" spans="1:16" ht="13">
      <c r="A53" s="48"/>
      <c r="B53" s="50"/>
      <c r="C53" s="51"/>
      <c r="D53" s="54"/>
      <c r="E53" s="5"/>
      <c r="F53" s="5"/>
      <c r="G53" s="5"/>
      <c r="J53" s="5"/>
      <c r="M53" s="5"/>
      <c r="N53" s="5"/>
      <c r="P53" s="5"/>
    </row>
    <row r="54" spans="1:16" ht="13">
      <c r="A54" s="48"/>
      <c r="B54" s="50"/>
      <c r="C54" s="51"/>
      <c r="D54" s="51"/>
      <c r="E54" s="5"/>
      <c r="F54" s="5"/>
      <c r="G54" s="5"/>
      <c r="J54" s="5"/>
      <c r="M54" s="5"/>
      <c r="N54" s="5"/>
      <c r="P54" s="5"/>
    </row>
    <row r="55" spans="1:16" ht="13">
      <c r="A55" s="48"/>
      <c r="B55" s="50"/>
      <c r="C55" s="51"/>
      <c r="D55" s="54"/>
      <c r="E55" s="5"/>
      <c r="F55" s="5"/>
      <c r="G55" s="5"/>
      <c r="J55" s="5"/>
      <c r="M55" s="5"/>
      <c r="N55" s="5"/>
      <c r="P55" s="5"/>
    </row>
    <row r="56" spans="1:16" ht="13">
      <c r="A56" s="48"/>
      <c r="B56" s="50"/>
      <c r="C56" s="51"/>
      <c r="D56" s="54"/>
      <c r="E56" s="5"/>
      <c r="F56" s="5"/>
      <c r="G56" s="5"/>
      <c r="J56" s="5"/>
      <c r="M56" s="5"/>
      <c r="N56" s="5"/>
      <c r="P56" s="5"/>
    </row>
    <row r="57" spans="1:16" ht="13">
      <c r="A57" s="48"/>
      <c r="B57" s="50"/>
      <c r="C57" s="51"/>
      <c r="D57" s="54"/>
      <c r="E57" s="5"/>
      <c r="F57" s="5"/>
      <c r="G57" s="5"/>
      <c r="J57" s="5"/>
      <c r="M57" s="5"/>
      <c r="N57" s="5"/>
      <c r="P57" s="5"/>
    </row>
    <row r="58" spans="1:16" ht="13">
      <c r="A58" s="48"/>
      <c r="B58" s="50"/>
      <c r="C58" s="51"/>
      <c r="D58" s="54"/>
      <c r="E58" s="5"/>
      <c r="F58" s="5"/>
      <c r="G58" s="5"/>
      <c r="J58" s="5"/>
      <c r="M58" s="5"/>
      <c r="N58" s="5"/>
      <c r="P58" s="5"/>
    </row>
    <row r="59" spans="1:16" ht="13">
      <c r="A59" s="48"/>
      <c r="B59" s="50"/>
      <c r="C59" s="51"/>
      <c r="D59" s="54"/>
      <c r="E59" s="5"/>
      <c r="F59" s="5"/>
      <c r="G59" s="5"/>
      <c r="J59" s="5"/>
      <c r="M59" s="5"/>
      <c r="N59" s="5"/>
      <c r="P59" s="5"/>
    </row>
    <row r="60" spans="1:16" ht="13">
      <c r="A60" s="48"/>
      <c r="B60" s="50"/>
      <c r="C60" s="51"/>
      <c r="D60" s="54"/>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1"/>
      <c r="E76" s="5"/>
      <c r="F76" s="5"/>
      <c r="G76" s="5"/>
      <c r="J76" s="5"/>
      <c r="M76" s="5"/>
      <c r="N76" s="5"/>
      <c r="P76" s="5"/>
    </row>
    <row r="77" spans="1:16" ht="13">
      <c r="A77" s="48"/>
      <c r="B77" s="50"/>
      <c r="C77" s="51"/>
      <c r="D77" s="54"/>
      <c r="E77" s="5"/>
      <c r="F77" s="5"/>
      <c r="G77" s="5"/>
      <c r="J77" s="5"/>
      <c r="M77" s="5"/>
      <c r="N77" s="5"/>
      <c r="P77" s="5"/>
    </row>
    <row r="78" spans="1:16" ht="13">
      <c r="A78" s="48"/>
      <c r="B78" s="50"/>
      <c r="C78" s="51"/>
      <c r="D78" s="51"/>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4"/>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4"/>
      <c r="E108" s="5"/>
      <c r="F108" s="5"/>
      <c r="G108" s="5"/>
      <c r="J108" s="5"/>
      <c r="M108" s="5"/>
      <c r="N108" s="5"/>
      <c r="P108" s="5"/>
    </row>
    <row r="109" spans="1:16" ht="13">
      <c r="A109" s="48"/>
      <c r="B109" s="50"/>
      <c r="C109" s="51"/>
      <c r="D109" s="54"/>
      <c r="E109" s="5"/>
      <c r="F109" s="5"/>
      <c r="G109" s="5"/>
      <c r="J109" s="5"/>
      <c r="M109" s="5"/>
      <c r="N109" s="5"/>
      <c r="P109" s="5"/>
    </row>
    <row r="110" spans="1:16" ht="13">
      <c r="A110" s="48"/>
      <c r="B110" s="50"/>
      <c r="C110" s="51"/>
      <c r="D110" s="54"/>
      <c r="E110" s="5"/>
      <c r="F110" s="5"/>
      <c r="G110" s="5"/>
      <c r="J110" s="5"/>
      <c r="M110" s="5"/>
      <c r="N110" s="5"/>
      <c r="P110" s="5"/>
    </row>
    <row r="111" spans="1:16" ht="13">
      <c r="C111" s="54"/>
      <c r="D111" s="54"/>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D00-000000000000}"/>
    <hyperlink ref="B6" r:id="rId2" xr:uid="{00000000-0004-0000-1D00-000001000000}"/>
    <hyperlink ref="B7" r:id="rId3" xr:uid="{00000000-0004-0000-1D00-000002000000}"/>
    <hyperlink ref="B8" r:id="rId4" xr:uid="{00000000-0004-0000-1D00-000003000000}"/>
    <hyperlink ref="B9" r:id="rId5" xr:uid="{00000000-0004-0000-1D00-000004000000}"/>
    <hyperlink ref="B10" r:id="rId6" xr:uid="{00000000-0004-0000-1D00-000005000000}"/>
    <hyperlink ref="B11" r:id="rId7" xr:uid="{00000000-0004-0000-1D00-000006000000}"/>
    <hyperlink ref="B12" r:id="rId8" xr:uid="{00000000-0004-0000-1D00-000007000000}"/>
    <hyperlink ref="B13" r:id="rId9" xr:uid="{00000000-0004-0000-1D00-000008000000}"/>
    <hyperlink ref="B14" r:id="rId10" xr:uid="{00000000-0004-0000-1D00-000009000000}"/>
    <hyperlink ref="B15" r:id="rId11" xr:uid="{00000000-0004-0000-1D00-00000A000000}"/>
    <hyperlink ref="B16" r:id="rId12" xr:uid="{00000000-0004-0000-1D00-00000B000000}"/>
    <hyperlink ref="B17" r:id="rId13" xr:uid="{00000000-0004-0000-1D00-00000C000000}"/>
    <hyperlink ref="B18" r:id="rId14" xr:uid="{00000000-0004-0000-1D00-00000D000000}"/>
    <hyperlink ref="B19" r:id="rId15" xr:uid="{00000000-0004-0000-1D00-00000E000000}"/>
    <hyperlink ref="B20" r:id="rId16" xr:uid="{00000000-0004-0000-1D00-00000F000000}"/>
    <hyperlink ref="B21" r:id="rId17" xr:uid="{00000000-0004-0000-1D00-00001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4.33203125" customWidth="1"/>
    <col min="3" max="3" width="13.5" customWidth="1"/>
    <col min="4" max="4" width="14.83203125" customWidth="1"/>
    <col min="5" max="5" width="14.33203125" customWidth="1"/>
    <col min="11" max="11" width="13.83203125" customWidth="1"/>
  </cols>
  <sheetData>
    <row r="1" spans="1:23" ht="15.75" customHeight="1">
      <c r="A1" s="1" t="s">
        <v>55</v>
      </c>
      <c r="B1" s="36"/>
      <c r="C1" s="37"/>
      <c r="D1" s="7" t="s">
        <v>181</v>
      </c>
      <c r="E1" s="5"/>
      <c r="F1" s="5"/>
      <c r="G1" s="5"/>
      <c r="K1" s="1"/>
      <c r="M1" s="5"/>
      <c r="N1" s="5"/>
      <c r="S1" s="1"/>
      <c r="U1" s="5"/>
    </row>
    <row r="2" spans="1:23" ht="15.75" customHeight="1">
      <c r="A2" s="7" t="s">
        <v>182</v>
      </c>
      <c r="B2" s="38">
        <v>38586</v>
      </c>
      <c r="C2" s="37"/>
      <c r="D2" s="39">
        <f>SUM(D5:G121)</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2348</v>
      </c>
      <c r="B5" s="49" t="s">
        <v>766</v>
      </c>
      <c r="C5" s="51" t="s">
        <v>192</v>
      </c>
      <c r="D5" s="54"/>
      <c r="E5" s="5"/>
      <c r="F5" s="5"/>
      <c r="G5" s="5"/>
      <c r="L5" s="43"/>
      <c r="M5" s="43"/>
      <c r="N5" s="42"/>
      <c r="O5" s="44"/>
      <c r="S5" s="42"/>
      <c r="T5" s="43"/>
      <c r="U5" s="43"/>
      <c r="V5" s="42"/>
      <c r="W5" s="44"/>
    </row>
    <row r="6" spans="1:23" ht="15.75" customHeight="1">
      <c r="A6" s="48" t="s">
        <v>2349</v>
      </c>
      <c r="B6" s="49" t="s">
        <v>814</v>
      </c>
      <c r="C6" s="51" t="s">
        <v>205</v>
      </c>
      <c r="D6" s="54"/>
      <c r="E6" s="5"/>
      <c r="F6" s="5"/>
      <c r="G6" s="5"/>
      <c r="L6" s="50"/>
      <c r="M6" s="51"/>
      <c r="N6" s="5"/>
      <c r="S6" s="52"/>
      <c r="T6" s="50"/>
      <c r="U6" s="51"/>
    </row>
    <row r="7" spans="1:23" ht="15.75" customHeight="1">
      <c r="A7" s="48" t="s">
        <v>2350</v>
      </c>
      <c r="B7" s="49" t="s">
        <v>770</v>
      </c>
      <c r="C7" s="51" t="s">
        <v>205</v>
      </c>
      <c r="D7" s="54"/>
      <c r="E7" s="5"/>
      <c r="F7" s="5"/>
      <c r="G7" s="5"/>
      <c r="K7" s="52"/>
      <c r="L7" s="50"/>
      <c r="M7" s="51"/>
      <c r="N7" s="5"/>
      <c r="S7" s="52"/>
      <c r="T7" s="50"/>
      <c r="U7" s="51"/>
    </row>
    <row r="8" spans="1:23" ht="15.75" customHeight="1">
      <c r="A8" s="48" t="s">
        <v>2351</v>
      </c>
      <c r="B8" s="49" t="s">
        <v>772</v>
      </c>
      <c r="C8" s="51" t="s">
        <v>208</v>
      </c>
      <c r="D8" s="54"/>
      <c r="E8" s="5"/>
      <c r="F8" s="5"/>
      <c r="G8" s="5"/>
      <c r="K8" s="52"/>
      <c r="L8" s="50"/>
      <c r="M8" s="51"/>
      <c r="N8" s="51"/>
      <c r="S8" s="52"/>
      <c r="T8" s="50"/>
      <c r="U8" s="51"/>
    </row>
    <row r="9" spans="1:23" ht="15.75" customHeight="1">
      <c r="A9" s="48" t="s">
        <v>2352</v>
      </c>
      <c r="B9" s="49" t="s">
        <v>319</v>
      </c>
      <c r="C9" s="51" t="s">
        <v>199</v>
      </c>
      <c r="D9" s="54"/>
      <c r="E9" s="5"/>
      <c r="F9" s="5"/>
      <c r="G9" s="5"/>
      <c r="K9" s="52"/>
      <c r="L9" s="50"/>
      <c r="M9" s="51"/>
      <c r="N9" s="51"/>
      <c r="S9" s="52"/>
      <c r="T9" s="50"/>
      <c r="U9" s="51"/>
    </row>
    <row r="10" spans="1:23" ht="15.75" customHeight="1">
      <c r="A10" s="48" t="s">
        <v>2353</v>
      </c>
      <c r="B10" s="49" t="s">
        <v>937</v>
      </c>
      <c r="C10" s="51" t="s">
        <v>220</v>
      </c>
      <c r="D10" s="54"/>
      <c r="E10" s="5"/>
      <c r="F10" s="5"/>
      <c r="G10" s="5"/>
      <c r="K10" s="52"/>
      <c r="L10" s="50"/>
      <c r="M10" s="51"/>
      <c r="N10" s="5"/>
      <c r="S10" s="52"/>
      <c r="T10" s="50"/>
      <c r="U10" s="51"/>
    </row>
    <row r="11" spans="1:23" ht="15.75" customHeight="1">
      <c r="A11" s="48" t="s">
        <v>2354</v>
      </c>
      <c r="B11" s="49" t="s">
        <v>938</v>
      </c>
      <c r="C11" s="51" t="s">
        <v>199</v>
      </c>
      <c r="D11" s="54"/>
      <c r="E11" s="5"/>
      <c r="F11" s="5"/>
      <c r="G11" s="5"/>
      <c r="K11" s="52"/>
      <c r="L11" s="50"/>
      <c r="M11" s="51"/>
      <c r="N11" s="51"/>
      <c r="S11" s="52"/>
      <c r="T11" s="50"/>
      <c r="U11" s="51"/>
    </row>
    <row r="12" spans="1:23" ht="15.75" customHeight="1">
      <c r="A12" s="48" t="s">
        <v>2355</v>
      </c>
      <c r="B12" s="49" t="s">
        <v>320</v>
      </c>
      <c r="C12" s="51" t="s">
        <v>192</v>
      </c>
      <c r="D12" s="54"/>
      <c r="E12" s="5"/>
      <c r="F12" s="5"/>
      <c r="G12" s="5"/>
      <c r="K12" s="52"/>
      <c r="L12" s="50"/>
      <c r="M12" s="51"/>
      <c r="N12" s="51"/>
      <c r="S12" s="52"/>
      <c r="T12" s="50"/>
      <c r="U12" s="51"/>
    </row>
    <row r="13" spans="1:23" ht="15.75" customHeight="1">
      <c r="A13" s="48" t="s">
        <v>2356</v>
      </c>
      <c r="B13" s="49" t="s">
        <v>783</v>
      </c>
      <c r="C13" s="51" t="s">
        <v>205</v>
      </c>
      <c r="D13" s="54"/>
      <c r="E13" s="5"/>
      <c r="F13" s="5"/>
      <c r="G13" s="5"/>
      <c r="K13" s="52"/>
      <c r="L13" s="50"/>
      <c r="M13" s="51"/>
      <c r="N13" s="5"/>
      <c r="S13" s="52"/>
      <c r="T13" s="50"/>
      <c r="U13" s="51"/>
    </row>
    <row r="14" spans="1:23" ht="15.75" customHeight="1">
      <c r="A14" s="48" t="s">
        <v>2357</v>
      </c>
      <c r="B14" s="49" t="s">
        <v>975</v>
      </c>
      <c r="C14" s="51" t="s">
        <v>208</v>
      </c>
      <c r="D14" s="54"/>
      <c r="E14" s="5"/>
      <c r="F14" s="5"/>
      <c r="G14" s="5"/>
      <c r="K14" s="52"/>
      <c r="L14" s="50"/>
      <c r="M14" s="51"/>
      <c r="N14" s="51"/>
      <c r="S14" s="52"/>
      <c r="T14" s="50"/>
      <c r="U14" s="51"/>
    </row>
    <row r="15" spans="1:23" ht="15.75" customHeight="1">
      <c r="A15" s="48" t="s">
        <v>2358</v>
      </c>
      <c r="B15" s="49" t="s">
        <v>250</v>
      </c>
      <c r="C15" s="51" t="s">
        <v>225</v>
      </c>
      <c r="D15" s="54"/>
      <c r="E15" s="5"/>
      <c r="F15" s="5"/>
      <c r="G15" s="5"/>
      <c r="K15" s="52"/>
      <c r="L15" s="50"/>
      <c r="M15" s="51"/>
      <c r="N15" s="51"/>
      <c r="S15" s="52"/>
      <c r="T15" s="50"/>
      <c r="U15" s="51"/>
    </row>
    <row r="16" spans="1:23" ht="15.75" customHeight="1">
      <c r="A16" s="48" t="s">
        <v>2359</v>
      </c>
      <c r="B16" s="49" t="s">
        <v>971</v>
      </c>
      <c r="C16" s="51" t="s">
        <v>197</v>
      </c>
      <c r="D16" s="54"/>
      <c r="E16" s="5"/>
      <c r="F16" s="5"/>
      <c r="G16" s="5"/>
      <c r="K16" s="52"/>
      <c r="L16" s="50"/>
      <c r="M16" s="51"/>
      <c r="N16" s="51"/>
      <c r="S16" s="52"/>
      <c r="T16" s="50"/>
      <c r="U16" s="51"/>
    </row>
    <row r="17" spans="1:27" ht="15.75" customHeight="1">
      <c r="A17" s="48" t="s">
        <v>2360</v>
      </c>
      <c r="B17" s="49" t="s">
        <v>376</v>
      </c>
      <c r="C17" s="51" t="s">
        <v>208</v>
      </c>
      <c r="D17" s="54"/>
      <c r="E17" s="5"/>
      <c r="F17" s="5"/>
      <c r="G17" s="5"/>
      <c r="K17" s="52"/>
      <c r="L17" s="50"/>
      <c r="M17" s="51"/>
      <c r="N17" s="51"/>
      <c r="S17" s="52"/>
      <c r="T17" s="50"/>
      <c r="U17" s="51"/>
    </row>
    <row r="18" spans="1:27" ht="15.75" customHeight="1">
      <c r="A18" s="48" t="s">
        <v>2361</v>
      </c>
      <c r="B18" s="49" t="s">
        <v>789</v>
      </c>
      <c r="C18" s="51" t="s">
        <v>195</v>
      </c>
      <c r="D18" s="54"/>
      <c r="E18" s="5"/>
      <c r="F18" s="5"/>
      <c r="G18" s="5"/>
      <c r="M18" s="5"/>
      <c r="N18" s="5"/>
      <c r="U18" s="5"/>
      <c r="AA18" s="5"/>
    </row>
    <row r="19" spans="1:27" ht="15.75" customHeight="1">
      <c r="A19" s="48" t="s">
        <v>2362</v>
      </c>
      <c r="B19" s="49" t="s">
        <v>897</v>
      </c>
      <c r="C19" s="51" t="s">
        <v>225</v>
      </c>
      <c r="D19" s="54"/>
      <c r="E19" s="5"/>
      <c r="F19" s="5"/>
      <c r="G19" s="5"/>
      <c r="K19" s="1"/>
      <c r="M19" s="5"/>
      <c r="N19" s="5"/>
      <c r="U19" s="5"/>
      <c r="AA19" s="5"/>
    </row>
    <row r="20" spans="1:27" ht="15.75" customHeight="1">
      <c r="A20" s="48" t="s">
        <v>2363</v>
      </c>
      <c r="B20" s="49" t="s">
        <v>852</v>
      </c>
      <c r="C20" s="51" t="s">
        <v>205</v>
      </c>
      <c r="D20" s="54"/>
      <c r="E20" s="5"/>
      <c r="F20" s="5"/>
      <c r="G20" s="5"/>
      <c r="L20" s="40"/>
      <c r="M20" s="5"/>
      <c r="N20" s="5"/>
      <c r="AA20" s="5"/>
    </row>
    <row r="21" spans="1:27" ht="15.75" customHeight="1">
      <c r="A21" s="48" t="s">
        <v>2364</v>
      </c>
      <c r="B21" s="49" t="s">
        <v>795</v>
      </c>
      <c r="C21" s="51" t="s">
        <v>199</v>
      </c>
      <c r="D21" s="54"/>
      <c r="E21" s="5"/>
      <c r="F21" s="5"/>
      <c r="G21" s="5"/>
      <c r="M21" s="5"/>
      <c r="N21" s="5"/>
      <c r="AA21" s="5"/>
    </row>
    <row r="22" spans="1:27" ht="15.75" customHeight="1">
      <c r="A22" s="48" t="s">
        <v>2365</v>
      </c>
      <c r="B22" s="49" t="s">
        <v>944</v>
      </c>
      <c r="C22" s="51" t="s">
        <v>197</v>
      </c>
      <c r="D22" s="54"/>
      <c r="E22" s="5"/>
      <c r="F22" s="5"/>
      <c r="G22" s="5"/>
      <c r="K22" s="42"/>
      <c r="L22" s="45"/>
      <c r="M22" s="46"/>
      <c r="N22" s="47"/>
      <c r="AA22" s="5"/>
    </row>
    <row r="23" spans="1:27" ht="15.75" customHeight="1">
      <c r="A23" s="48" t="s">
        <v>2366</v>
      </c>
      <c r="B23" s="49" t="s">
        <v>326</v>
      </c>
      <c r="C23" s="51" t="s">
        <v>208</v>
      </c>
      <c r="D23" s="54"/>
      <c r="E23" s="5"/>
      <c r="F23" s="5"/>
      <c r="G23" s="5"/>
      <c r="K23" s="42"/>
      <c r="L23" s="43"/>
      <c r="M23" s="43"/>
      <c r="N23" s="42"/>
      <c r="O23" s="44"/>
      <c r="AA23" s="5"/>
    </row>
    <row r="24" spans="1:27" ht="15.75" customHeight="1">
      <c r="A24" s="48" t="s">
        <v>2367</v>
      </c>
      <c r="B24" s="49" t="s">
        <v>241</v>
      </c>
      <c r="C24" s="51" t="s">
        <v>197</v>
      </c>
      <c r="D24" s="54"/>
      <c r="E24" s="5"/>
      <c r="F24" s="5"/>
      <c r="G24" s="5"/>
      <c r="K24" s="52"/>
      <c r="L24" s="50"/>
      <c r="M24" s="51"/>
      <c r="N24" s="5"/>
      <c r="AA24" s="5"/>
    </row>
    <row r="25" spans="1:27" ht="15.75" customHeight="1">
      <c r="A25" s="48" t="s">
        <v>2368</v>
      </c>
      <c r="B25" s="49" t="s">
        <v>217</v>
      </c>
      <c r="C25" s="51" t="s">
        <v>197</v>
      </c>
      <c r="D25" s="54"/>
      <c r="E25" s="5"/>
      <c r="F25" s="5"/>
      <c r="G25" s="5"/>
      <c r="K25" s="52"/>
      <c r="L25" s="50"/>
      <c r="M25" s="51"/>
      <c r="N25" s="5"/>
      <c r="AA25" s="5"/>
    </row>
    <row r="26" spans="1:27" ht="15.75" customHeight="1">
      <c r="A26" s="48" t="s">
        <v>2369</v>
      </c>
      <c r="B26" s="49" t="s">
        <v>193</v>
      </c>
      <c r="C26" s="51" t="s">
        <v>192</v>
      </c>
      <c r="D26" s="54"/>
      <c r="E26" s="5"/>
      <c r="F26" s="5"/>
      <c r="G26" s="5"/>
      <c r="K26" s="52"/>
      <c r="L26" s="50"/>
      <c r="M26" s="51"/>
      <c r="N26" s="51"/>
      <c r="AA26" s="5"/>
    </row>
    <row r="27" spans="1:27" ht="15.75" customHeight="1">
      <c r="A27" s="48" t="s">
        <v>2370</v>
      </c>
      <c r="B27" s="49" t="s">
        <v>803</v>
      </c>
      <c r="C27" s="51" t="s">
        <v>192</v>
      </c>
      <c r="D27" s="54"/>
      <c r="E27" s="5"/>
      <c r="F27" s="51"/>
      <c r="G27" s="5"/>
      <c r="K27" s="52"/>
      <c r="L27" s="50"/>
      <c r="M27" s="51"/>
      <c r="N27" s="51"/>
      <c r="AA27" s="5"/>
    </row>
    <row r="28" spans="1:27" ht="15.75" customHeight="1">
      <c r="A28" s="48" t="s">
        <v>2371</v>
      </c>
      <c r="B28" s="49" t="s">
        <v>246</v>
      </c>
      <c r="C28" s="51" t="s">
        <v>225</v>
      </c>
      <c r="D28" s="54"/>
      <c r="E28" s="5"/>
      <c r="F28" s="5"/>
      <c r="G28" s="5"/>
      <c r="J28" s="5"/>
      <c r="K28" s="52"/>
      <c r="L28" s="50"/>
      <c r="M28" s="51"/>
      <c r="N28" s="5"/>
      <c r="P28" s="5"/>
    </row>
    <row r="29" spans="1:27" ht="15.75" customHeight="1">
      <c r="A29" s="48" t="s">
        <v>2372</v>
      </c>
      <c r="B29" s="49" t="s">
        <v>361</v>
      </c>
      <c r="C29" s="51" t="s">
        <v>225</v>
      </c>
      <c r="D29" s="54"/>
      <c r="E29" s="5"/>
      <c r="F29" s="5"/>
      <c r="G29" s="5"/>
      <c r="J29" s="5"/>
      <c r="K29" s="52"/>
      <c r="L29" s="50"/>
      <c r="M29" s="51"/>
      <c r="N29" s="51"/>
      <c r="P29" s="5"/>
    </row>
    <row r="30" spans="1:27" ht="15.75" customHeight="1">
      <c r="A30" s="48" t="s">
        <v>2373</v>
      </c>
      <c r="B30" s="49" t="s">
        <v>224</v>
      </c>
      <c r="C30" s="51" t="s">
        <v>225</v>
      </c>
      <c r="D30" s="54"/>
      <c r="E30" s="5"/>
      <c r="F30" s="5"/>
      <c r="G30" s="5"/>
      <c r="J30" s="5"/>
      <c r="K30" s="52"/>
      <c r="L30" s="50"/>
      <c r="M30" s="51"/>
      <c r="N30" s="5"/>
      <c r="P30" s="5"/>
    </row>
    <row r="31" spans="1:27" ht="15.75" customHeight="1">
      <c r="A31" s="48" t="s">
        <v>2374</v>
      </c>
      <c r="B31" s="49" t="s">
        <v>236</v>
      </c>
      <c r="C31" s="51" t="s">
        <v>199</v>
      </c>
      <c r="D31" s="54"/>
      <c r="E31" s="5"/>
      <c r="F31" s="5"/>
      <c r="G31" s="5"/>
      <c r="J31" s="5"/>
      <c r="K31" s="52"/>
      <c r="L31" s="50"/>
      <c r="M31" s="51"/>
      <c r="N31" s="51"/>
      <c r="P31" s="5"/>
    </row>
    <row r="32" spans="1:27" ht="15.75" customHeight="1">
      <c r="A32" s="48" t="s">
        <v>2375</v>
      </c>
      <c r="B32" s="49" t="s">
        <v>265</v>
      </c>
      <c r="C32" s="51" t="s">
        <v>208</v>
      </c>
      <c r="D32" s="54"/>
      <c r="E32" s="5"/>
      <c r="F32" s="5"/>
      <c r="G32" s="5"/>
      <c r="J32" s="5"/>
      <c r="K32" s="52"/>
      <c r="L32" s="50"/>
      <c r="M32" s="51"/>
      <c r="N32" s="5"/>
      <c r="P32" s="5"/>
    </row>
    <row r="33" spans="1:16" ht="15.75" customHeight="1">
      <c r="A33" s="48" t="s">
        <v>2376</v>
      </c>
      <c r="B33" s="49" t="s">
        <v>781</v>
      </c>
      <c r="C33" s="51" t="s">
        <v>195</v>
      </c>
      <c r="D33" s="54"/>
      <c r="E33" s="5"/>
      <c r="F33" s="5"/>
      <c r="G33" s="5"/>
      <c r="J33" s="5"/>
      <c r="K33" s="52"/>
      <c r="L33" s="50"/>
      <c r="M33" s="51"/>
      <c r="N33" s="5"/>
      <c r="P33" s="5"/>
    </row>
    <row r="34" spans="1:16" ht="15.75" customHeight="1">
      <c r="A34" s="48" t="s">
        <v>2377</v>
      </c>
      <c r="B34" s="49" t="s">
        <v>807</v>
      </c>
      <c r="C34" s="51" t="s">
        <v>808</v>
      </c>
      <c r="D34" s="54"/>
      <c r="E34" s="5"/>
      <c r="F34" s="5"/>
      <c r="G34" s="5"/>
      <c r="J34" s="5"/>
      <c r="K34" s="52"/>
      <c r="L34" s="50"/>
      <c r="M34" s="51"/>
      <c r="N34" s="5"/>
      <c r="P34" s="5"/>
    </row>
    <row r="35" spans="1:16" ht="15.75" customHeight="1">
      <c r="A35" s="48" t="s">
        <v>2378</v>
      </c>
      <c r="B35" s="49" t="s">
        <v>981</v>
      </c>
      <c r="C35" s="51" t="s">
        <v>208</v>
      </c>
      <c r="D35" s="54"/>
      <c r="E35" s="5"/>
      <c r="F35" s="5"/>
      <c r="G35" s="5"/>
      <c r="J35" s="5"/>
      <c r="K35" s="52"/>
      <c r="L35" s="50"/>
      <c r="M35" s="51"/>
      <c r="N35" s="51"/>
      <c r="P35" s="5"/>
    </row>
    <row r="36" spans="1:16" ht="15.75" customHeight="1">
      <c r="A36" s="48" t="s">
        <v>2379</v>
      </c>
      <c r="B36" s="49" t="s">
        <v>895</v>
      </c>
      <c r="C36" s="51" t="s">
        <v>197</v>
      </c>
      <c r="D36" s="54"/>
      <c r="E36" s="5"/>
      <c r="F36" s="5"/>
      <c r="G36" s="5"/>
      <c r="J36" s="5"/>
      <c r="M36" s="5"/>
      <c r="N36" s="5"/>
      <c r="P36" s="5"/>
    </row>
    <row r="37" spans="1:16" ht="15.75" customHeight="1">
      <c r="A37" s="48" t="s">
        <v>2380</v>
      </c>
      <c r="B37" s="49" t="s">
        <v>958</v>
      </c>
      <c r="C37" s="51" t="s">
        <v>225</v>
      </c>
      <c r="D37" s="54"/>
      <c r="E37" s="5"/>
      <c r="F37" s="5"/>
      <c r="G37" s="5"/>
      <c r="J37" s="5"/>
      <c r="M37" s="5"/>
      <c r="N37" s="5"/>
    </row>
    <row r="38" spans="1:16" ht="15.75" customHeight="1">
      <c r="A38" s="48" t="s">
        <v>2381</v>
      </c>
      <c r="B38" s="49" t="s">
        <v>812</v>
      </c>
      <c r="C38" s="51" t="s">
        <v>197</v>
      </c>
      <c r="D38" s="54"/>
      <c r="E38" s="5"/>
      <c r="F38" s="5"/>
      <c r="G38" s="5"/>
      <c r="J38" s="5"/>
      <c r="M38" s="51"/>
      <c r="N38" s="51"/>
    </row>
    <row r="39" spans="1:16" ht="15.75" customHeight="1">
      <c r="A39" s="48" t="s">
        <v>2382</v>
      </c>
      <c r="B39" s="49" t="s">
        <v>816</v>
      </c>
      <c r="C39" s="51" t="s">
        <v>205</v>
      </c>
      <c r="D39" s="54"/>
      <c r="E39" s="5"/>
      <c r="F39" s="5"/>
      <c r="G39" s="5"/>
      <c r="J39" s="5"/>
      <c r="M39" s="51"/>
      <c r="N39" s="51"/>
    </row>
    <row r="40" spans="1:16" ht="15.75" customHeight="1">
      <c r="A40" s="48" t="s">
        <v>2383</v>
      </c>
      <c r="B40" s="49" t="s">
        <v>318</v>
      </c>
      <c r="C40" s="51" t="s">
        <v>197</v>
      </c>
      <c r="D40" s="54"/>
      <c r="E40" s="5"/>
      <c r="F40" s="5"/>
      <c r="G40" s="5"/>
      <c r="J40" s="5"/>
      <c r="M40" s="51"/>
      <c r="N40" s="51"/>
    </row>
    <row r="41" spans="1:16" ht="15.75" customHeight="1">
      <c r="A41" s="48" t="s">
        <v>2384</v>
      </c>
      <c r="B41" s="49" t="s">
        <v>947</v>
      </c>
      <c r="C41" s="51" t="s">
        <v>208</v>
      </c>
      <c r="D41" s="54"/>
      <c r="E41" s="5"/>
      <c r="F41" s="5"/>
      <c r="G41" s="5"/>
      <c r="J41" s="5"/>
      <c r="M41" s="51"/>
      <c r="N41" s="51"/>
    </row>
    <row r="42" spans="1:16" ht="15.75" customHeight="1">
      <c r="A42" s="48" t="s">
        <v>2385</v>
      </c>
      <c r="B42" s="49" t="s">
        <v>820</v>
      </c>
      <c r="C42" s="51" t="s">
        <v>208</v>
      </c>
      <c r="D42" s="54"/>
      <c r="E42" s="5"/>
      <c r="F42" s="5"/>
      <c r="G42" s="5"/>
      <c r="J42" s="5"/>
      <c r="M42" s="51"/>
      <c r="N42" s="51"/>
    </row>
    <row r="43" spans="1:16" ht="15.75" customHeight="1">
      <c r="A43" s="48" t="s">
        <v>2386</v>
      </c>
      <c r="B43" s="49" t="s">
        <v>829</v>
      </c>
      <c r="C43" s="51" t="s">
        <v>197</v>
      </c>
      <c r="D43" s="54"/>
      <c r="E43" s="5"/>
      <c r="F43" s="5"/>
      <c r="G43" s="5"/>
      <c r="J43" s="5"/>
      <c r="M43" s="51"/>
      <c r="N43" s="51"/>
    </row>
    <row r="44" spans="1:16" ht="15.75" customHeight="1">
      <c r="A44" s="48" t="s">
        <v>2387</v>
      </c>
      <c r="B44" s="49" t="s">
        <v>831</v>
      </c>
      <c r="C44" s="51" t="s">
        <v>192</v>
      </c>
      <c r="D44" s="54"/>
      <c r="E44" s="5"/>
      <c r="F44" s="5"/>
      <c r="G44" s="5"/>
      <c r="J44" s="5"/>
      <c r="M44" s="51"/>
      <c r="N44" s="51"/>
    </row>
    <row r="45" spans="1:16" ht="15.75" customHeight="1">
      <c r="A45" s="48" t="s">
        <v>2388</v>
      </c>
      <c r="B45" s="49" t="s">
        <v>974</v>
      </c>
      <c r="C45" s="51" t="s">
        <v>199</v>
      </c>
      <c r="D45" s="54"/>
      <c r="E45" s="5"/>
      <c r="F45" s="5"/>
      <c r="G45" s="5"/>
      <c r="J45" s="5"/>
      <c r="M45" s="51"/>
      <c r="N45" s="51"/>
      <c r="P45" s="5"/>
    </row>
    <row r="46" spans="1:16" ht="15.75" customHeight="1">
      <c r="A46" s="48" t="s">
        <v>2389</v>
      </c>
      <c r="B46" s="49" t="s">
        <v>836</v>
      </c>
      <c r="C46" s="51" t="s">
        <v>197</v>
      </c>
      <c r="D46" s="54"/>
      <c r="E46" s="5"/>
      <c r="F46" s="5"/>
      <c r="G46" s="5"/>
      <c r="J46" s="5"/>
      <c r="M46" s="51"/>
      <c r="N46" s="51"/>
      <c r="P46" s="5"/>
    </row>
    <row r="47" spans="1:16" ht="15.75" customHeight="1">
      <c r="A47" s="48" t="s">
        <v>2390</v>
      </c>
      <c r="B47" s="49" t="s">
        <v>838</v>
      </c>
      <c r="C47" s="51" t="s">
        <v>197</v>
      </c>
      <c r="D47" s="54"/>
      <c r="E47" s="5"/>
      <c r="F47" s="5"/>
      <c r="G47" s="5"/>
      <c r="J47" s="5"/>
      <c r="M47" s="5"/>
      <c r="N47" s="5"/>
      <c r="P47" s="5"/>
    </row>
    <row r="48" spans="1:16" ht="15.75" customHeight="1">
      <c r="A48" s="48" t="s">
        <v>2391</v>
      </c>
      <c r="B48" s="49" t="s">
        <v>844</v>
      </c>
      <c r="C48" s="51" t="s">
        <v>225</v>
      </c>
      <c r="D48" s="54"/>
      <c r="E48" s="5"/>
      <c r="F48" s="5"/>
      <c r="G48" s="5"/>
      <c r="J48" s="5"/>
      <c r="M48" s="5"/>
      <c r="N48" s="5"/>
      <c r="P48" s="5"/>
    </row>
    <row r="49" spans="1:16" ht="15.75" customHeight="1">
      <c r="A49" s="48" t="s">
        <v>2392</v>
      </c>
      <c r="B49" s="49" t="s">
        <v>846</v>
      </c>
      <c r="C49" s="51" t="s">
        <v>199</v>
      </c>
      <c r="D49" s="51"/>
      <c r="E49" s="5"/>
      <c r="F49" s="5"/>
      <c r="G49" s="5"/>
      <c r="J49" s="5"/>
      <c r="M49" s="5"/>
      <c r="N49" s="5"/>
      <c r="P49" s="5"/>
    </row>
    <row r="50" spans="1:16" ht="15.75" customHeight="1">
      <c r="A50" s="48" t="s">
        <v>2393</v>
      </c>
      <c r="B50" s="49" t="s">
        <v>232</v>
      </c>
      <c r="C50" s="51" t="s">
        <v>205</v>
      </c>
      <c r="D50" s="54"/>
      <c r="E50" s="5"/>
      <c r="F50" s="5"/>
      <c r="G50" s="5"/>
      <c r="J50" s="5"/>
      <c r="M50" s="5"/>
      <c r="N50" s="5"/>
      <c r="P50" s="5"/>
    </row>
    <row r="51" spans="1:16" ht="15.75" customHeight="1">
      <c r="A51" s="48" t="s">
        <v>2394</v>
      </c>
      <c r="B51" s="49" t="s">
        <v>888</v>
      </c>
      <c r="C51" s="51" t="s">
        <v>205</v>
      </c>
      <c r="D51" s="51"/>
      <c r="E51" s="5"/>
      <c r="F51" s="5"/>
      <c r="G51" s="5"/>
      <c r="J51" s="5"/>
      <c r="M51" s="5"/>
      <c r="N51" s="5"/>
      <c r="P51" s="5"/>
    </row>
    <row r="52" spans="1:16" ht="15.75" customHeight="1">
      <c r="A52" s="48" t="s">
        <v>2395</v>
      </c>
      <c r="B52" s="49" t="s">
        <v>218</v>
      </c>
      <c r="C52" s="51" t="s">
        <v>197</v>
      </c>
      <c r="D52" s="54"/>
      <c r="E52" s="5"/>
      <c r="F52" s="5"/>
      <c r="G52" s="5"/>
      <c r="J52" s="5"/>
      <c r="M52" s="5"/>
      <c r="N52" s="5"/>
      <c r="P52" s="5"/>
    </row>
    <row r="53" spans="1:16" ht="13">
      <c r="A53" s="48" t="s">
        <v>2396</v>
      </c>
      <c r="B53" s="49" t="s">
        <v>855</v>
      </c>
      <c r="C53" s="51" t="s">
        <v>195</v>
      </c>
      <c r="D53" s="54"/>
      <c r="E53" s="5"/>
      <c r="F53" s="5"/>
      <c r="G53" s="5"/>
      <c r="J53" s="5"/>
      <c r="M53" s="5"/>
      <c r="N53" s="5"/>
      <c r="P53" s="5"/>
    </row>
    <row r="54" spans="1:16" ht="13">
      <c r="A54" s="48" t="s">
        <v>2397</v>
      </c>
      <c r="B54" s="49" t="s">
        <v>946</v>
      </c>
      <c r="C54" s="51" t="s">
        <v>205</v>
      </c>
      <c r="D54" s="54"/>
      <c r="E54" s="5"/>
      <c r="F54" s="5"/>
      <c r="G54" s="5"/>
      <c r="J54" s="5"/>
      <c r="M54" s="5"/>
      <c r="N54" s="5"/>
      <c r="P54" s="5"/>
    </row>
    <row r="55" spans="1:16" ht="13">
      <c r="A55" s="48" t="s">
        <v>2398</v>
      </c>
      <c r="B55" s="49" t="s">
        <v>857</v>
      </c>
      <c r="C55" s="51" t="s">
        <v>205</v>
      </c>
      <c r="D55" s="54"/>
      <c r="E55" s="5"/>
      <c r="F55" s="5"/>
      <c r="G55" s="5"/>
      <c r="J55" s="5"/>
      <c r="M55" s="5"/>
      <c r="N55" s="5"/>
      <c r="P55" s="5"/>
    </row>
    <row r="56" spans="1:16" ht="13">
      <c r="A56" s="48" t="s">
        <v>2399</v>
      </c>
      <c r="B56" s="49" t="s">
        <v>860</v>
      </c>
      <c r="C56" s="51" t="s">
        <v>192</v>
      </c>
      <c r="D56" s="54"/>
      <c r="E56" s="5"/>
      <c r="F56" s="5"/>
      <c r="G56" s="5"/>
      <c r="J56" s="5"/>
      <c r="M56" s="5"/>
      <c r="N56" s="5"/>
      <c r="P56" s="5"/>
    </row>
    <row r="57" spans="1:16" ht="13">
      <c r="A57" s="48" t="s">
        <v>2400</v>
      </c>
      <c r="B57" s="49" t="s">
        <v>244</v>
      </c>
      <c r="C57" s="51" t="s">
        <v>197</v>
      </c>
      <c r="D57" s="54"/>
      <c r="E57" s="5"/>
      <c r="F57" s="5"/>
      <c r="G57" s="5"/>
      <c r="J57" s="5"/>
      <c r="M57" s="5"/>
      <c r="N57" s="5"/>
      <c r="P57" s="5"/>
    </row>
    <row r="58" spans="1:16" ht="13">
      <c r="A58" s="48" t="s">
        <v>2401</v>
      </c>
      <c r="B58" s="49" t="s">
        <v>862</v>
      </c>
      <c r="C58" s="51" t="s">
        <v>199</v>
      </c>
      <c r="D58" s="54"/>
      <c r="E58" s="5"/>
      <c r="F58" s="5"/>
      <c r="G58" s="5"/>
      <c r="J58" s="5"/>
      <c r="M58" s="5"/>
      <c r="N58" s="5"/>
      <c r="P58" s="5"/>
    </row>
    <row r="59" spans="1:16" ht="13">
      <c r="A59" s="48" t="s">
        <v>2402</v>
      </c>
      <c r="B59" s="49" t="s">
        <v>203</v>
      </c>
      <c r="C59" s="51" t="s">
        <v>197</v>
      </c>
      <c r="D59" s="54"/>
      <c r="E59" s="5"/>
      <c r="F59" s="5"/>
      <c r="G59" s="5"/>
      <c r="J59" s="5"/>
      <c r="M59" s="5"/>
      <c r="N59" s="5"/>
      <c r="P59" s="5"/>
    </row>
    <row r="60" spans="1:16" ht="13">
      <c r="A60" s="48" t="s">
        <v>2403</v>
      </c>
      <c r="B60" s="49" t="s">
        <v>824</v>
      </c>
      <c r="C60" s="51" t="s">
        <v>192</v>
      </c>
      <c r="D60" s="54"/>
      <c r="E60" s="5"/>
      <c r="F60" s="5"/>
      <c r="G60" s="5"/>
      <c r="J60" s="5"/>
      <c r="M60" s="5"/>
      <c r="N60" s="5"/>
      <c r="P60" s="5"/>
    </row>
    <row r="61" spans="1:16" ht="13">
      <c r="A61" s="48" t="s">
        <v>2404</v>
      </c>
      <c r="B61" s="49" t="s">
        <v>867</v>
      </c>
      <c r="C61" s="51" t="s">
        <v>225</v>
      </c>
      <c r="D61" s="54"/>
      <c r="E61" s="5"/>
      <c r="F61" s="5"/>
      <c r="G61" s="5"/>
      <c r="J61" s="5"/>
      <c r="M61" s="5"/>
      <c r="N61" s="5"/>
      <c r="P61" s="5"/>
    </row>
    <row r="62" spans="1:16" ht="13">
      <c r="A62" s="48" t="s">
        <v>2405</v>
      </c>
      <c r="B62" s="49" t="s">
        <v>335</v>
      </c>
      <c r="C62" s="51" t="s">
        <v>205</v>
      </c>
      <c r="D62" s="54"/>
      <c r="E62" s="5"/>
      <c r="F62" s="5"/>
      <c r="G62" s="5"/>
      <c r="J62" s="5"/>
      <c r="M62" s="5"/>
      <c r="N62" s="5"/>
      <c r="P62" s="5"/>
    </row>
    <row r="63" spans="1:16" ht="13">
      <c r="A63" s="48" t="s">
        <v>2406</v>
      </c>
      <c r="B63" s="49" t="s">
        <v>869</v>
      </c>
      <c r="C63" s="51" t="s">
        <v>197</v>
      </c>
      <c r="D63" s="54"/>
      <c r="E63" s="5"/>
      <c r="F63" s="5"/>
      <c r="G63" s="5"/>
      <c r="J63" s="5"/>
      <c r="M63" s="5"/>
      <c r="N63" s="5"/>
      <c r="P63" s="5"/>
    </row>
    <row r="64" spans="1:16" ht="13">
      <c r="A64" s="48" t="s">
        <v>2407</v>
      </c>
      <c r="B64" s="49" t="s">
        <v>939</v>
      </c>
      <c r="C64" s="51" t="s">
        <v>199</v>
      </c>
      <c r="D64" s="54"/>
      <c r="E64" s="5"/>
      <c r="F64" s="5"/>
      <c r="G64" s="5"/>
      <c r="J64" s="5"/>
      <c r="M64" s="5"/>
      <c r="N64" s="5"/>
      <c r="P64" s="5"/>
    </row>
    <row r="65" spans="1:16" ht="13">
      <c r="A65" s="48" t="s">
        <v>2408</v>
      </c>
      <c r="B65" s="49" t="s">
        <v>955</v>
      </c>
      <c r="C65" s="51" t="s">
        <v>225</v>
      </c>
      <c r="D65" s="54"/>
      <c r="E65" s="5"/>
      <c r="F65" s="5"/>
      <c r="G65" s="5"/>
      <c r="J65" s="5"/>
      <c r="M65" s="5"/>
      <c r="N65" s="5"/>
      <c r="P65" s="5"/>
    </row>
    <row r="66" spans="1:16" ht="13">
      <c r="A66" s="48" t="s">
        <v>2409</v>
      </c>
      <c r="B66" s="49" t="s">
        <v>878</v>
      </c>
      <c r="C66" s="51" t="s">
        <v>192</v>
      </c>
      <c r="D66" s="54"/>
      <c r="E66" s="5"/>
      <c r="F66" s="5"/>
      <c r="G66" s="5"/>
      <c r="J66" s="5"/>
      <c r="M66" s="5"/>
      <c r="N66" s="5"/>
      <c r="P66" s="5"/>
    </row>
    <row r="67" spans="1:16" ht="13">
      <c r="A67" s="48" t="s">
        <v>2410</v>
      </c>
      <c r="B67" s="49" t="s">
        <v>881</v>
      </c>
      <c r="C67" s="51" t="s">
        <v>195</v>
      </c>
      <c r="D67" s="54"/>
      <c r="E67" s="5"/>
      <c r="F67" s="5"/>
      <c r="G67" s="5"/>
      <c r="J67" s="5"/>
      <c r="M67" s="5"/>
      <c r="N67" s="5"/>
      <c r="P67" s="5"/>
    </row>
    <row r="68" spans="1:16" ht="13">
      <c r="A68" s="48" t="s">
        <v>2411</v>
      </c>
      <c r="B68" s="49" t="s">
        <v>352</v>
      </c>
      <c r="C68" s="51" t="s">
        <v>205</v>
      </c>
      <c r="D68" s="54"/>
      <c r="E68" s="5"/>
      <c r="F68" s="5"/>
      <c r="G68" s="5"/>
      <c r="J68" s="5"/>
      <c r="M68" s="5"/>
      <c r="N68" s="5"/>
      <c r="P68" s="5"/>
    </row>
    <row r="69" spans="1:16" ht="13">
      <c r="A69" s="48" t="s">
        <v>2412</v>
      </c>
      <c r="B69" s="49" t="s">
        <v>288</v>
      </c>
      <c r="C69" s="51" t="s">
        <v>225</v>
      </c>
      <c r="D69" s="54"/>
      <c r="E69" s="5"/>
      <c r="F69" s="5"/>
      <c r="G69" s="5"/>
      <c r="J69" s="5"/>
      <c r="M69" s="5"/>
      <c r="N69" s="5"/>
      <c r="P69" s="5"/>
    </row>
    <row r="70" spans="1:16" ht="13">
      <c r="A70" s="48" t="s">
        <v>2413</v>
      </c>
      <c r="B70" s="49" t="s">
        <v>956</v>
      </c>
      <c r="C70" s="51" t="s">
        <v>205</v>
      </c>
      <c r="D70" s="54"/>
      <c r="E70" s="5"/>
      <c r="F70" s="5"/>
      <c r="G70" s="5"/>
      <c r="J70" s="5"/>
      <c r="M70" s="5"/>
      <c r="N70" s="5"/>
      <c r="P70" s="5"/>
    </row>
    <row r="71" spans="1:16" ht="13">
      <c r="A71" s="48" t="s">
        <v>2414</v>
      </c>
      <c r="B71" s="49" t="s">
        <v>290</v>
      </c>
      <c r="C71" s="51" t="s">
        <v>208</v>
      </c>
      <c r="D71" s="5"/>
      <c r="J71" s="5"/>
      <c r="M71" s="5"/>
      <c r="N71" s="5"/>
      <c r="P71" s="5"/>
    </row>
    <row r="72" spans="1:16" ht="13">
      <c r="A72" s="48" t="s">
        <v>2415</v>
      </c>
      <c r="B72" s="49" t="s">
        <v>270</v>
      </c>
      <c r="C72" s="51" t="s">
        <v>208</v>
      </c>
      <c r="D72" s="54"/>
      <c r="E72" s="5"/>
      <c r="F72" s="5"/>
      <c r="G72" s="5"/>
      <c r="J72" s="5"/>
      <c r="M72" s="5"/>
      <c r="N72" s="5"/>
      <c r="P72" s="5"/>
    </row>
    <row r="73" spans="1:16" ht="13">
      <c r="A73" s="48" t="s">
        <v>2416</v>
      </c>
      <c r="B73" s="49" t="s">
        <v>271</v>
      </c>
      <c r="C73" s="51" t="s">
        <v>197</v>
      </c>
      <c r="D73" s="54"/>
      <c r="E73" s="5"/>
      <c r="F73" s="5"/>
      <c r="G73" s="5"/>
      <c r="J73" s="5"/>
      <c r="M73" s="5"/>
      <c r="N73" s="5"/>
      <c r="P73" s="5"/>
    </row>
    <row r="74" spans="1:16" ht="13">
      <c r="A74" s="48" t="s">
        <v>2417</v>
      </c>
      <c r="B74" s="49" t="s">
        <v>948</v>
      </c>
      <c r="C74" s="51" t="s">
        <v>225</v>
      </c>
      <c r="D74" s="54"/>
      <c r="E74" s="5"/>
      <c r="F74" s="5"/>
      <c r="G74" s="5"/>
      <c r="J74" s="5"/>
      <c r="M74" s="5"/>
      <c r="N74" s="5"/>
      <c r="P74" s="5"/>
    </row>
    <row r="75" spans="1:16" ht="13">
      <c r="A75" s="48" t="s">
        <v>2418</v>
      </c>
      <c r="B75" s="49" t="s">
        <v>979</v>
      </c>
      <c r="C75" s="51" t="s">
        <v>208</v>
      </c>
      <c r="D75" s="54"/>
      <c r="E75" s="5"/>
      <c r="F75" s="5"/>
      <c r="G75" s="5"/>
      <c r="J75" s="5"/>
      <c r="M75" s="5"/>
      <c r="N75" s="5"/>
      <c r="P75" s="5"/>
    </row>
    <row r="76" spans="1:16" ht="13">
      <c r="A76" s="48" t="s">
        <v>2419</v>
      </c>
      <c r="B76" s="49" t="s">
        <v>387</v>
      </c>
      <c r="C76" s="51" t="s">
        <v>195</v>
      </c>
      <c r="D76" s="54"/>
      <c r="E76" s="5"/>
      <c r="F76" s="5"/>
      <c r="G76" s="5"/>
      <c r="J76" s="5"/>
      <c r="M76" s="5"/>
      <c r="N76" s="5"/>
      <c r="P76" s="5"/>
    </row>
    <row r="77" spans="1:16" ht="13">
      <c r="A77" s="48" t="s">
        <v>2420</v>
      </c>
      <c r="B77" s="49" t="s">
        <v>980</v>
      </c>
      <c r="C77" s="51" t="s">
        <v>199</v>
      </c>
      <c r="D77" s="54"/>
      <c r="E77" s="5"/>
      <c r="F77" s="5"/>
      <c r="G77" s="5"/>
      <c r="J77" s="5"/>
      <c r="M77" s="5"/>
      <c r="N77" s="5"/>
      <c r="P77" s="5"/>
    </row>
    <row r="78" spans="1:16" ht="13">
      <c r="A78" s="48" t="s">
        <v>2421</v>
      </c>
      <c r="B78" s="49" t="s">
        <v>891</v>
      </c>
      <c r="C78" s="51" t="s">
        <v>197</v>
      </c>
      <c r="D78" s="54"/>
      <c r="E78" s="5"/>
      <c r="F78" s="5"/>
      <c r="G78" s="5"/>
      <c r="J78" s="5"/>
      <c r="M78" s="5"/>
      <c r="N78" s="5"/>
      <c r="P78" s="5"/>
    </row>
    <row r="79" spans="1:16" ht="13">
      <c r="A79" s="48" t="s">
        <v>2422</v>
      </c>
      <c r="B79" s="49" t="s">
        <v>893</v>
      </c>
      <c r="C79" s="51" t="s">
        <v>205</v>
      </c>
      <c r="D79" s="54"/>
      <c r="E79" s="5"/>
      <c r="F79" s="5"/>
      <c r="G79" s="5"/>
      <c r="J79" s="5"/>
      <c r="M79" s="5"/>
      <c r="N79" s="5"/>
      <c r="P79" s="5"/>
    </row>
    <row r="80" spans="1:16" ht="13">
      <c r="A80" s="48" t="s">
        <v>2423</v>
      </c>
      <c r="B80" s="49" t="s">
        <v>899</v>
      </c>
      <c r="C80" s="51" t="s">
        <v>205</v>
      </c>
      <c r="D80" s="54"/>
      <c r="E80" s="5"/>
      <c r="F80" s="5"/>
      <c r="G80" s="5"/>
      <c r="J80" s="5"/>
      <c r="M80" s="5"/>
      <c r="N80" s="5"/>
      <c r="P80" s="5"/>
    </row>
    <row r="81" spans="1:16" ht="13">
      <c r="A81" s="48" t="s">
        <v>2424</v>
      </c>
      <c r="B81" s="49" t="s">
        <v>957</v>
      </c>
      <c r="C81" s="51" t="s">
        <v>197</v>
      </c>
      <c r="D81" s="54"/>
      <c r="E81" s="5"/>
      <c r="F81" s="5"/>
      <c r="G81" s="5"/>
      <c r="J81" s="5"/>
      <c r="M81" s="5"/>
      <c r="N81" s="5"/>
      <c r="P81" s="5"/>
    </row>
    <row r="82" spans="1:16" ht="13">
      <c r="A82" s="48" t="s">
        <v>2425</v>
      </c>
      <c r="B82" s="49" t="s">
        <v>903</v>
      </c>
      <c r="C82" s="51" t="s">
        <v>208</v>
      </c>
      <c r="D82" s="54"/>
      <c r="E82" s="5"/>
      <c r="F82" s="5"/>
      <c r="G82" s="5"/>
      <c r="J82" s="5"/>
      <c r="M82" s="5"/>
      <c r="N82" s="5"/>
      <c r="P82" s="5"/>
    </row>
    <row r="83" spans="1:16" ht="13">
      <c r="A83" s="48" t="s">
        <v>2426</v>
      </c>
      <c r="B83" s="49" t="s">
        <v>906</v>
      </c>
      <c r="C83" s="51" t="s">
        <v>225</v>
      </c>
      <c r="D83" s="54"/>
      <c r="E83" s="5"/>
      <c r="F83" s="5"/>
      <c r="G83" s="5"/>
      <c r="J83" s="5"/>
      <c r="M83" s="5"/>
      <c r="N83" s="5"/>
      <c r="P83" s="5"/>
    </row>
    <row r="84" spans="1:16" ht="13">
      <c r="A84" s="48" t="s">
        <v>2427</v>
      </c>
      <c r="B84" s="49" t="s">
        <v>2428</v>
      </c>
      <c r="C84" s="51" t="s">
        <v>912</v>
      </c>
      <c r="D84" s="54"/>
      <c r="E84" s="5"/>
      <c r="F84" s="5"/>
      <c r="G84" s="5"/>
      <c r="J84" s="5"/>
      <c r="M84" s="5"/>
      <c r="N84" s="5"/>
      <c r="P84" s="5"/>
    </row>
    <row r="85" spans="1:16" ht="13">
      <c r="A85" s="48" t="s">
        <v>2429</v>
      </c>
      <c r="B85" s="49" t="s">
        <v>1598</v>
      </c>
      <c r="C85" s="51" t="s">
        <v>206</v>
      </c>
      <c r="D85" s="54"/>
      <c r="E85" s="5"/>
      <c r="F85" s="5"/>
      <c r="G85" s="5"/>
      <c r="J85" s="5"/>
      <c r="M85" s="5"/>
      <c r="N85" s="5"/>
      <c r="P85" s="5"/>
    </row>
    <row r="86" spans="1:16" ht="13">
      <c r="A86" s="48" t="s">
        <v>2430</v>
      </c>
      <c r="B86" s="49" t="s">
        <v>1016</v>
      </c>
      <c r="C86" s="51" t="s">
        <v>206</v>
      </c>
      <c r="D86" s="54"/>
      <c r="E86" s="5"/>
      <c r="F86" s="5"/>
      <c r="G86" s="5"/>
      <c r="J86" s="5"/>
      <c r="M86" s="5"/>
      <c r="N86" s="5"/>
      <c r="P86" s="5"/>
    </row>
    <row r="87" spans="1:16" ht="13">
      <c r="A87" s="48" t="s">
        <v>2431</v>
      </c>
      <c r="B87" s="49" t="s">
        <v>2432</v>
      </c>
      <c r="C87" s="51" t="s">
        <v>912</v>
      </c>
      <c r="D87" s="54"/>
      <c r="E87" s="5"/>
      <c r="F87" s="5"/>
      <c r="G87" s="5"/>
      <c r="J87" s="5"/>
      <c r="M87" s="5"/>
      <c r="N87" s="5"/>
      <c r="P87" s="5"/>
    </row>
    <row r="88" spans="1:16" ht="13">
      <c r="A88" s="48" t="s">
        <v>2433</v>
      </c>
      <c r="B88" s="49" t="s">
        <v>1140</v>
      </c>
      <c r="C88" s="51" t="s">
        <v>206</v>
      </c>
      <c r="D88" s="54"/>
      <c r="E88" s="5"/>
      <c r="F88" s="5"/>
      <c r="G88" s="5"/>
      <c r="J88" s="5"/>
      <c r="M88" s="5"/>
      <c r="N88" s="5"/>
      <c r="P88" s="5"/>
    </row>
    <row r="89" spans="1:16" ht="13">
      <c r="A89" s="48" t="s">
        <v>2434</v>
      </c>
      <c r="B89" s="49" t="s">
        <v>2435</v>
      </c>
      <c r="C89" s="51" t="s">
        <v>912</v>
      </c>
      <c r="D89" s="54"/>
      <c r="E89" s="5"/>
      <c r="F89" s="5"/>
      <c r="G89" s="5"/>
      <c r="J89" s="5"/>
      <c r="M89" s="5"/>
      <c r="N89" s="5"/>
      <c r="P89" s="5"/>
    </row>
    <row r="90" spans="1:16" ht="13">
      <c r="A90" s="48" t="s">
        <v>2436</v>
      </c>
      <c r="B90" s="49" t="s">
        <v>2437</v>
      </c>
      <c r="C90" s="51" t="s">
        <v>1013</v>
      </c>
      <c r="D90" s="54"/>
      <c r="E90" s="5"/>
      <c r="F90" s="5"/>
      <c r="G90" s="5"/>
      <c r="J90" s="5"/>
      <c r="M90" s="5"/>
      <c r="N90" s="5"/>
      <c r="P90" s="5"/>
    </row>
    <row r="91" spans="1:16" ht="13">
      <c r="A91" s="48" t="s">
        <v>2438</v>
      </c>
      <c r="B91" s="49" t="s">
        <v>357</v>
      </c>
      <c r="C91" s="51" t="s">
        <v>206</v>
      </c>
      <c r="D91" s="51"/>
      <c r="E91" s="5"/>
      <c r="F91" s="5"/>
      <c r="G91" s="5"/>
      <c r="J91" s="5"/>
      <c r="M91" s="5"/>
      <c r="N91" s="5"/>
      <c r="P91" s="5"/>
    </row>
    <row r="92" spans="1:16" ht="13">
      <c r="A92" s="48" t="s">
        <v>2439</v>
      </c>
      <c r="B92" s="49" t="s">
        <v>1020</v>
      </c>
      <c r="C92" s="51" t="s">
        <v>206</v>
      </c>
      <c r="D92" s="54"/>
      <c r="E92" s="5"/>
      <c r="F92" s="5"/>
      <c r="G92" s="5"/>
      <c r="J92" s="5"/>
      <c r="M92" s="5"/>
      <c r="N92" s="5"/>
      <c r="P92" s="5"/>
    </row>
    <row r="93" spans="1:16" ht="13">
      <c r="A93" s="48" t="s">
        <v>2440</v>
      </c>
      <c r="B93" s="49" t="s">
        <v>1021</v>
      </c>
      <c r="C93" s="51" t="s">
        <v>1013</v>
      </c>
      <c r="D93" s="54"/>
      <c r="E93" s="5"/>
      <c r="F93" s="5"/>
      <c r="G93" s="5"/>
      <c r="J93" s="5"/>
      <c r="M93" s="5"/>
      <c r="N93" s="5"/>
      <c r="P93" s="5"/>
    </row>
    <row r="94" spans="1:16" ht="13">
      <c r="A94" s="48" t="s">
        <v>2441</v>
      </c>
      <c r="B94" s="49" t="s">
        <v>2442</v>
      </c>
      <c r="C94" s="51" t="s">
        <v>912</v>
      </c>
      <c r="D94" s="54"/>
      <c r="E94" s="5"/>
      <c r="F94" s="5"/>
      <c r="G94" s="5"/>
      <c r="J94" s="5"/>
      <c r="M94" s="5"/>
      <c r="N94" s="5"/>
      <c r="P94" s="5"/>
    </row>
    <row r="95" spans="1:16" ht="13">
      <c r="A95" s="48" t="s">
        <v>2443</v>
      </c>
      <c r="B95" s="49" t="s">
        <v>2444</v>
      </c>
      <c r="C95" s="51" t="s">
        <v>912</v>
      </c>
      <c r="D95" s="54"/>
      <c r="E95" s="5"/>
      <c r="F95" s="5"/>
      <c r="G95" s="5"/>
      <c r="J95" s="5"/>
      <c r="M95" s="5"/>
      <c r="N95" s="5"/>
      <c r="P95" s="5"/>
    </row>
    <row r="96" spans="1:16" ht="13">
      <c r="A96" s="48" t="s">
        <v>2445</v>
      </c>
      <c r="B96" s="49" t="s">
        <v>2446</v>
      </c>
      <c r="C96" s="51" t="s">
        <v>912</v>
      </c>
      <c r="D96" s="54"/>
      <c r="E96" s="5"/>
      <c r="F96" s="5"/>
      <c r="G96" s="5"/>
      <c r="J96" s="5"/>
      <c r="M96" s="5"/>
      <c r="N96" s="5"/>
      <c r="P96" s="5"/>
    </row>
    <row r="97" spans="1:16" ht="13">
      <c r="A97" s="48" t="s">
        <v>2447</v>
      </c>
      <c r="B97" s="49" t="s">
        <v>660</v>
      </c>
      <c r="C97" s="51" t="s">
        <v>206</v>
      </c>
      <c r="D97" s="54"/>
      <c r="E97" s="5"/>
      <c r="F97" s="5"/>
      <c r="G97" s="5"/>
      <c r="J97" s="5"/>
      <c r="M97" s="5"/>
      <c r="N97" s="5"/>
      <c r="P97" s="5"/>
    </row>
    <row r="98" spans="1:16" ht="13">
      <c r="A98" s="48" t="s">
        <v>2448</v>
      </c>
      <c r="B98" s="49" t="s">
        <v>390</v>
      </c>
      <c r="C98" s="51" t="s">
        <v>206</v>
      </c>
      <c r="D98" s="54"/>
      <c r="E98" s="5"/>
      <c r="F98" s="5"/>
      <c r="G98" s="5"/>
      <c r="J98" s="5"/>
      <c r="M98" s="5"/>
      <c r="N98" s="5"/>
      <c r="P98" s="5"/>
    </row>
    <row r="99" spans="1:16" ht="13">
      <c r="A99" s="48" t="s">
        <v>2449</v>
      </c>
      <c r="B99" s="49" t="s">
        <v>314</v>
      </c>
      <c r="C99" s="51" t="s">
        <v>206</v>
      </c>
      <c r="D99" s="54"/>
      <c r="E99" s="5"/>
      <c r="F99" s="5"/>
      <c r="G99" s="5"/>
      <c r="J99" s="5"/>
      <c r="M99" s="5"/>
      <c r="N99" s="5"/>
      <c r="P99" s="5"/>
    </row>
    <row r="100" spans="1:16" ht="13">
      <c r="A100" s="48" t="s">
        <v>2450</v>
      </c>
      <c r="B100" s="49" t="s">
        <v>933</v>
      </c>
      <c r="C100" s="51" t="s">
        <v>317</v>
      </c>
      <c r="D100" s="54"/>
      <c r="E100" s="5"/>
      <c r="F100" s="5"/>
      <c r="G100" s="5"/>
      <c r="J100" s="5"/>
      <c r="M100" s="5"/>
      <c r="N100" s="5"/>
      <c r="P100" s="5"/>
    </row>
    <row r="101" spans="1:16" ht="13">
      <c r="A101" s="48" t="s">
        <v>2451</v>
      </c>
      <c r="B101" s="49" t="s">
        <v>798</v>
      </c>
      <c r="C101" s="51" t="s">
        <v>317</v>
      </c>
      <c r="D101" s="54"/>
      <c r="E101" s="5"/>
      <c r="F101" s="5"/>
      <c r="G101" s="5"/>
      <c r="J101" s="5"/>
      <c r="M101" s="5"/>
      <c r="N101" s="5"/>
      <c r="P101" s="5"/>
    </row>
    <row r="102" spans="1:16" ht="13">
      <c r="A102" s="48" t="s">
        <v>2452</v>
      </c>
      <c r="B102" s="49" t="s">
        <v>1170</v>
      </c>
      <c r="C102" s="51" t="s">
        <v>317</v>
      </c>
      <c r="D102" s="54"/>
      <c r="E102" s="5"/>
      <c r="F102" s="5"/>
      <c r="G102" s="5"/>
      <c r="J102" s="5"/>
      <c r="M102" s="5"/>
      <c r="N102" s="5"/>
      <c r="P102" s="5"/>
    </row>
    <row r="103" spans="1:16" ht="13">
      <c r="A103" s="48" t="s">
        <v>2453</v>
      </c>
      <c r="B103" s="49" t="s">
        <v>1184</v>
      </c>
      <c r="C103" s="51" t="s">
        <v>317</v>
      </c>
      <c r="D103" s="54"/>
      <c r="E103" s="5"/>
      <c r="F103" s="5"/>
      <c r="G103" s="5"/>
      <c r="J103" s="5"/>
      <c r="M103" s="5"/>
      <c r="N103" s="5"/>
      <c r="P103" s="5"/>
    </row>
    <row r="104" spans="1:16" ht="13">
      <c r="A104" s="48" t="s">
        <v>2454</v>
      </c>
      <c r="B104" s="49" t="s">
        <v>1173</v>
      </c>
      <c r="C104" s="51" t="s">
        <v>317</v>
      </c>
      <c r="D104" s="54"/>
      <c r="E104" s="5"/>
      <c r="F104" s="5"/>
      <c r="G104" s="5"/>
      <c r="J104" s="5"/>
      <c r="M104" s="5"/>
      <c r="N104" s="5"/>
      <c r="P104" s="5"/>
    </row>
    <row r="105" spans="1:16" ht="13">
      <c r="A105" s="48" t="s">
        <v>2455</v>
      </c>
      <c r="B105" s="49" t="s">
        <v>2456</v>
      </c>
      <c r="C105" s="51" t="s">
        <v>197</v>
      </c>
      <c r="D105" s="54"/>
      <c r="E105" s="5"/>
      <c r="F105" s="5"/>
      <c r="G105" s="5"/>
      <c r="J105" s="5"/>
      <c r="M105" s="5"/>
      <c r="N105" s="5"/>
      <c r="P105" s="5"/>
    </row>
    <row r="106" spans="1:16" ht="13">
      <c r="A106" s="48" t="s">
        <v>2457</v>
      </c>
      <c r="B106" s="49" t="s">
        <v>2458</v>
      </c>
      <c r="C106" s="51" t="s">
        <v>195</v>
      </c>
      <c r="D106" s="54"/>
      <c r="E106" s="5"/>
      <c r="F106" s="5"/>
      <c r="G106" s="5"/>
      <c r="J106" s="5"/>
      <c r="M106" s="5"/>
      <c r="N106" s="5"/>
      <c r="P106" s="5"/>
    </row>
    <row r="107" spans="1:16" ht="13">
      <c r="A107" s="48" t="s">
        <v>2459</v>
      </c>
      <c r="B107" s="49" t="s">
        <v>2460</v>
      </c>
      <c r="C107" s="51" t="s">
        <v>208</v>
      </c>
      <c r="D107" s="54"/>
      <c r="E107" s="5"/>
      <c r="F107" s="5"/>
      <c r="G107" s="5"/>
      <c r="J107" s="5"/>
      <c r="M107" s="5"/>
      <c r="N107" s="5"/>
      <c r="P107" s="5"/>
    </row>
    <row r="108" spans="1:16" ht="13">
      <c r="A108" s="48" t="s">
        <v>2461</v>
      </c>
      <c r="B108" s="49" t="s">
        <v>2462</v>
      </c>
      <c r="C108" s="51" t="s">
        <v>199</v>
      </c>
      <c r="D108" s="54"/>
      <c r="E108" s="5"/>
      <c r="F108" s="5"/>
      <c r="G108" s="5"/>
      <c r="J108" s="5"/>
      <c r="M108" s="5"/>
      <c r="N108" s="5"/>
      <c r="P108" s="5"/>
    </row>
    <row r="109" spans="1:16" ht="13">
      <c r="A109" s="48" t="s">
        <v>2463</v>
      </c>
      <c r="B109" s="49" t="s">
        <v>2464</v>
      </c>
      <c r="C109" s="51" t="s">
        <v>197</v>
      </c>
      <c r="D109" s="54"/>
      <c r="E109" s="5"/>
      <c r="F109" s="5"/>
      <c r="G109" s="5"/>
      <c r="J109" s="5"/>
      <c r="M109" s="5"/>
      <c r="N109" s="5"/>
      <c r="P109" s="5"/>
    </row>
    <row r="110" spans="1:16" ht="13">
      <c r="A110" s="48" t="s">
        <v>2465</v>
      </c>
      <c r="B110" s="49" t="s">
        <v>2466</v>
      </c>
      <c r="C110" s="51" t="s">
        <v>205</v>
      </c>
      <c r="D110" s="54"/>
      <c r="E110" s="5"/>
      <c r="F110" s="5"/>
      <c r="G110" s="5"/>
      <c r="J110" s="5"/>
      <c r="M110" s="5"/>
      <c r="N110" s="5"/>
      <c r="P110" s="5"/>
    </row>
    <row r="111" spans="1:16" ht="13">
      <c r="A111" s="48" t="s">
        <v>2467</v>
      </c>
      <c r="B111" s="49" t="s">
        <v>2468</v>
      </c>
      <c r="C111" s="51" t="s">
        <v>208</v>
      </c>
      <c r="D111" s="54"/>
      <c r="E111" s="5"/>
      <c r="F111" s="5"/>
      <c r="G111" s="5"/>
      <c r="J111" s="5"/>
      <c r="M111" s="5"/>
      <c r="N111" s="5"/>
      <c r="P111" s="5"/>
    </row>
    <row r="112" spans="1:16" ht="13">
      <c r="A112" s="48" t="s">
        <v>2469</v>
      </c>
      <c r="B112" s="49" t="s">
        <v>2470</v>
      </c>
      <c r="C112" s="51" t="s">
        <v>220</v>
      </c>
      <c r="D112" s="54"/>
      <c r="E112" s="5"/>
      <c r="F112" s="5"/>
      <c r="G112" s="5"/>
      <c r="J112" s="5"/>
      <c r="M112" s="5"/>
      <c r="N112" s="5"/>
      <c r="P112" s="5"/>
    </row>
    <row r="113" spans="1:16" ht="13">
      <c r="A113" s="48" t="s">
        <v>2471</v>
      </c>
      <c r="B113" s="49" t="s">
        <v>2472</v>
      </c>
      <c r="C113" s="51" t="s">
        <v>220</v>
      </c>
      <c r="D113" s="54"/>
      <c r="E113" s="5"/>
      <c r="F113" s="5"/>
      <c r="G113" s="5"/>
      <c r="J113" s="5"/>
      <c r="M113" s="5"/>
      <c r="N113" s="5"/>
      <c r="P113" s="5"/>
    </row>
    <row r="114" spans="1:16" ht="13">
      <c r="A114" s="48" t="s">
        <v>2473</v>
      </c>
      <c r="B114" s="49" t="s">
        <v>1488</v>
      </c>
      <c r="C114" s="51" t="s">
        <v>199</v>
      </c>
      <c r="D114" s="54"/>
      <c r="E114" s="5"/>
      <c r="F114" s="5"/>
      <c r="G114" s="5"/>
      <c r="J114" s="5"/>
      <c r="M114" s="5"/>
      <c r="N114" s="5"/>
      <c r="P114" s="5"/>
    </row>
    <row r="115" spans="1:16" ht="13">
      <c r="A115" s="48" t="s">
        <v>2474</v>
      </c>
      <c r="B115" s="49" t="s">
        <v>2475</v>
      </c>
      <c r="C115" s="51" t="s">
        <v>808</v>
      </c>
      <c r="D115" s="54"/>
      <c r="E115" s="5"/>
      <c r="F115" s="5"/>
      <c r="G115" s="5"/>
      <c r="J115" s="5"/>
      <c r="M115" s="5"/>
      <c r="N115" s="5"/>
      <c r="P115" s="5"/>
    </row>
    <row r="116" spans="1:16" ht="13">
      <c r="A116" s="48" t="s">
        <v>2476</v>
      </c>
      <c r="B116" s="49" t="s">
        <v>2477</v>
      </c>
      <c r="C116" s="51" t="s">
        <v>808</v>
      </c>
      <c r="D116" s="54"/>
      <c r="E116" s="5"/>
      <c r="F116" s="5"/>
      <c r="G116" s="5"/>
      <c r="J116" s="5"/>
      <c r="M116" s="5"/>
      <c r="N116" s="5"/>
      <c r="P116" s="5"/>
    </row>
    <row r="117" spans="1:16" ht="13">
      <c r="A117" s="48" t="s">
        <v>2478</v>
      </c>
      <c r="B117" s="58" t="str">
        <f>HYPERLINK("https://bulbapedia.bulbagarden.net/wiki/Entei_%E2%98%86_(EX_Unseen_Forces_113)","Entei*")</f>
        <v>Entei*</v>
      </c>
      <c r="C117" s="51" t="s">
        <v>199</v>
      </c>
      <c r="D117" s="54"/>
      <c r="E117" s="5"/>
      <c r="F117" s="5"/>
      <c r="G117" s="5"/>
      <c r="J117" s="5"/>
      <c r="M117" s="5"/>
      <c r="N117" s="5"/>
      <c r="P117" s="5"/>
    </row>
    <row r="118" spans="1:16" ht="13">
      <c r="A118" s="48" t="s">
        <v>2479</v>
      </c>
      <c r="B118" s="58" t="str">
        <f>HYPERLINK("https://bulbapedia.bulbagarden.net/wiki/Raikou_%E2%98%86_(EX_Unseen_Forces_114)","Raikou*")</f>
        <v>Raikou*</v>
      </c>
      <c r="C118" s="51" t="s">
        <v>192</v>
      </c>
      <c r="D118" s="54"/>
      <c r="E118" s="5"/>
      <c r="F118" s="5"/>
      <c r="G118" s="5"/>
      <c r="J118" s="5"/>
      <c r="M118" s="5"/>
      <c r="N118" s="5"/>
      <c r="P118" s="5"/>
    </row>
    <row r="119" spans="1:16" ht="13">
      <c r="A119" s="48" t="s">
        <v>2480</v>
      </c>
      <c r="B119" s="58" t="str">
        <f>HYPERLINK("https://bulbapedia.bulbagarden.net/wiki/Suicune_%E2%98%86_(EX_Unseen_Forces_115)","Suicune*")</f>
        <v>Suicune*</v>
      </c>
      <c r="C119" s="51" t="s">
        <v>208</v>
      </c>
      <c r="D119" s="54"/>
      <c r="E119" s="5"/>
      <c r="F119" s="5"/>
      <c r="G119" s="5"/>
      <c r="J119" s="5"/>
      <c r="M119" s="5"/>
      <c r="N119" s="5"/>
      <c r="P119" s="5"/>
    </row>
    <row r="120" spans="1:16" ht="13">
      <c r="A120" s="48" t="s">
        <v>2481</v>
      </c>
      <c r="B120" s="49" t="s">
        <v>2482</v>
      </c>
      <c r="C120" s="51" t="s">
        <v>808</v>
      </c>
      <c r="D120" s="54"/>
      <c r="E120" s="5"/>
      <c r="F120" s="5"/>
      <c r="G120" s="5"/>
      <c r="J120" s="5"/>
      <c r="M120" s="5"/>
      <c r="N120" s="5"/>
      <c r="P120" s="5"/>
    </row>
    <row r="121" spans="1:16" ht="13">
      <c r="A121" s="48" t="s">
        <v>2483</v>
      </c>
      <c r="B121" s="49" t="s">
        <v>2347</v>
      </c>
      <c r="C121" s="51" t="s">
        <v>205</v>
      </c>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E00-000000000000}"/>
    <hyperlink ref="B6" r:id="rId2" xr:uid="{00000000-0004-0000-1E00-000001000000}"/>
    <hyperlink ref="B7" r:id="rId3" xr:uid="{00000000-0004-0000-1E00-000002000000}"/>
    <hyperlink ref="B8" r:id="rId4" xr:uid="{00000000-0004-0000-1E00-000003000000}"/>
    <hyperlink ref="B9" r:id="rId5" xr:uid="{00000000-0004-0000-1E00-000004000000}"/>
    <hyperlink ref="B10" r:id="rId6" xr:uid="{00000000-0004-0000-1E00-000005000000}"/>
    <hyperlink ref="B11" r:id="rId7" xr:uid="{00000000-0004-0000-1E00-000006000000}"/>
    <hyperlink ref="B12" r:id="rId8" xr:uid="{00000000-0004-0000-1E00-000007000000}"/>
    <hyperlink ref="B13" r:id="rId9" xr:uid="{00000000-0004-0000-1E00-000008000000}"/>
    <hyperlink ref="B14" r:id="rId10" xr:uid="{00000000-0004-0000-1E00-000009000000}"/>
    <hyperlink ref="B15" r:id="rId11" xr:uid="{00000000-0004-0000-1E00-00000A000000}"/>
    <hyperlink ref="B16" r:id="rId12" xr:uid="{00000000-0004-0000-1E00-00000B000000}"/>
    <hyperlink ref="B17" r:id="rId13" xr:uid="{00000000-0004-0000-1E00-00000C000000}"/>
    <hyperlink ref="B18" r:id="rId14" xr:uid="{00000000-0004-0000-1E00-00000D000000}"/>
    <hyperlink ref="B19" r:id="rId15" xr:uid="{00000000-0004-0000-1E00-00000E000000}"/>
    <hyperlink ref="B20" r:id="rId16" xr:uid="{00000000-0004-0000-1E00-00000F000000}"/>
    <hyperlink ref="B21" r:id="rId17" xr:uid="{00000000-0004-0000-1E00-000010000000}"/>
    <hyperlink ref="B22" r:id="rId18" xr:uid="{00000000-0004-0000-1E00-000011000000}"/>
    <hyperlink ref="B23" r:id="rId19" xr:uid="{00000000-0004-0000-1E00-000012000000}"/>
    <hyperlink ref="B24" r:id="rId20" xr:uid="{00000000-0004-0000-1E00-000013000000}"/>
    <hyperlink ref="B25" r:id="rId21" xr:uid="{00000000-0004-0000-1E00-000014000000}"/>
    <hyperlink ref="B26" r:id="rId22" xr:uid="{00000000-0004-0000-1E00-000015000000}"/>
    <hyperlink ref="B27" r:id="rId23" xr:uid="{00000000-0004-0000-1E00-000016000000}"/>
    <hyperlink ref="B28" r:id="rId24" xr:uid="{00000000-0004-0000-1E00-000017000000}"/>
    <hyperlink ref="B29" r:id="rId25" xr:uid="{00000000-0004-0000-1E00-000018000000}"/>
    <hyperlink ref="B30" r:id="rId26" xr:uid="{00000000-0004-0000-1E00-000019000000}"/>
    <hyperlink ref="B31" r:id="rId27" xr:uid="{00000000-0004-0000-1E00-00001A000000}"/>
    <hyperlink ref="B32" r:id="rId28" xr:uid="{00000000-0004-0000-1E00-00001B000000}"/>
    <hyperlink ref="B33" r:id="rId29" xr:uid="{00000000-0004-0000-1E00-00001C000000}"/>
    <hyperlink ref="B34" r:id="rId30" xr:uid="{00000000-0004-0000-1E00-00001D000000}"/>
    <hyperlink ref="B35" r:id="rId31" xr:uid="{00000000-0004-0000-1E00-00001E000000}"/>
    <hyperlink ref="B36" r:id="rId32" xr:uid="{00000000-0004-0000-1E00-00001F000000}"/>
    <hyperlink ref="B37" r:id="rId33" xr:uid="{00000000-0004-0000-1E00-000020000000}"/>
    <hyperlink ref="B38" r:id="rId34" xr:uid="{00000000-0004-0000-1E00-000021000000}"/>
    <hyperlink ref="B39" r:id="rId35" xr:uid="{00000000-0004-0000-1E00-000022000000}"/>
    <hyperlink ref="B40" r:id="rId36" xr:uid="{00000000-0004-0000-1E00-000023000000}"/>
    <hyperlink ref="B41" r:id="rId37" xr:uid="{00000000-0004-0000-1E00-000024000000}"/>
    <hyperlink ref="B42" r:id="rId38" xr:uid="{00000000-0004-0000-1E00-000025000000}"/>
    <hyperlink ref="B43" r:id="rId39" xr:uid="{00000000-0004-0000-1E00-000026000000}"/>
    <hyperlink ref="B44" r:id="rId40" xr:uid="{00000000-0004-0000-1E00-000027000000}"/>
    <hyperlink ref="B45" r:id="rId41" xr:uid="{00000000-0004-0000-1E00-000028000000}"/>
    <hyperlink ref="B46" r:id="rId42" xr:uid="{00000000-0004-0000-1E00-000029000000}"/>
    <hyperlink ref="B47" r:id="rId43" xr:uid="{00000000-0004-0000-1E00-00002A000000}"/>
    <hyperlink ref="B48" r:id="rId44" xr:uid="{00000000-0004-0000-1E00-00002B000000}"/>
    <hyperlink ref="B49" r:id="rId45" xr:uid="{00000000-0004-0000-1E00-00002C000000}"/>
    <hyperlink ref="B50" r:id="rId46" xr:uid="{00000000-0004-0000-1E00-00002D000000}"/>
    <hyperlink ref="B51" r:id="rId47" xr:uid="{00000000-0004-0000-1E00-00002E000000}"/>
    <hyperlink ref="B52" r:id="rId48" xr:uid="{00000000-0004-0000-1E00-00002F000000}"/>
    <hyperlink ref="B53" r:id="rId49" xr:uid="{00000000-0004-0000-1E00-000030000000}"/>
    <hyperlink ref="B54" r:id="rId50" xr:uid="{00000000-0004-0000-1E00-000031000000}"/>
    <hyperlink ref="B55" r:id="rId51" xr:uid="{00000000-0004-0000-1E00-000032000000}"/>
    <hyperlink ref="B56" r:id="rId52" xr:uid="{00000000-0004-0000-1E00-000033000000}"/>
    <hyperlink ref="B57" r:id="rId53" xr:uid="{00000000-0004-0000-1E00-000034000000}"/>
    <hyperlink ref="B58" r:id="rId54" xr:uid="{00000000-0004-0000-1E00-000035000000}"/>
    <hyperlink ref="B59" r:id="rId55" xr:uid="{00000000-0004-0000-1E00-000036000000}"/>
    <hyperlink ref="B60" r:id="rId56" xr:uid="{00000000-0004-0000-1E00-000037000000}"/>
    <hyperlink ref="B61" r:id="rId57" xr:uid="{00000000-0004-0000-1E00-000038000000}"/>
    <hyperlink ref="B62" r:id="rId58" xr:uid="{00000000-0004-0000-1E00-000039000000}"/>
    <hyperlink ref="B63" r:id="rId59" xr:uid="{00000000-0004-0000-1E00-00003A000000}"/>
    <hyperlink ref="B64" r:id="rId60" xr:uid="{00000000-0004-0000-1E00-00003B000000}"/>
    <hyperlink ref="B65" r:id="rId61" xr:uid="{00000000-0004-0000-1E00-00003C000000}"/>
    <hyperlink ref="B66" r:id="rId62" xr:uid="{00000000-0004-0000-1E00-00003D000000}"/>
    <hyperlink ref="B67" r:id="rId63" xr:uid="{00000000-0004-0000-1E00-00003E000000}"/>
    <hyperlink ref="B68" r:id="rId64" xr:uid="{00000000-0004-0000-1E00-00003F000000}"/>
    <hyperlink ref="B69" r:id="rId65" xr:uid="{00000000-0004-0000-1E00-000040000000}"/>
    <hyperlink ref="B70" r:id="rId66" xr:uid="{00000000-0004-0000-1E00-000041000000}"/>
    <hyperlink ref="B71" r:id="rId67" xr:uid="{00000000-0004-0000-1E00-000042000000}"/>
    <hyperlink ref="B72" r:id="rId68" xr:uid="{00000000-0004-0000-1E00-000043000000}"/>
    <hyperlink ref="B73" r:id="rId69" xr:uid="{00000000-0004-0000-1E00-000044000000}"/>
    <hyperlink ref="B74" r:id="rId70" xr:uid="{00000000-0004-0000-1E00-000045000000}"/>
    <hyperlink ref="B75" r:id="rId71" xr:uid="{00000000-0004-0000-1E00-000046000000}"/>
    <hyperlink ref="B76" r:id="rId72" xr:uid="{00000000-0004-0000-1E00-000047000000}"/>
    <hyperlink ref="B77" r:id="rId73" xr:uid="{00000000-0004-0000-1E00-000048000000}"/>
    <hyperlink ref="B78" r:id="rId74" xr:uid="{00000000-0004-0000-1E00-000049000000}"/>
    <hyperlink ref="B79" r:id="rId75" xr:uid="{00000000-0004-0000-1E00-00004A000000}"/>
    <hyperlink ref="B80" r:id="rId76" xr:uid="{00000000-0004-0000-1E00-00004B000000}"/>
    <hyperlink ref="B81" r:id="rId77" xr:uid="{00000000-0004-0000-1E00-00004C000000}"/>
    <hyperlink ref="B82" r:id="rId78" xr:uid="{00000000-0004-0000-1E00-00004D000000}"/>
    <hyperlink ref="B83" r:id="rId79" xr:uid="{00000000-0004-0000-1E00-00004E000000}"/>
    <hyperlink ref="B84" r:id="rId80" xr:uid="{00000000-0004-0000-1E00-00004F000000}"/>
    <hyperlink ref="B85" r:id="rId81" xr:uid="{00000000-0004-0000-1E00-000050000000}"/>
    <hyperlink ref="B86" r:id="rId82" xr:uid="{00000000-0004-0000-1E00-000051000000}"/>
    <hyperlink ref="B87" r:id="rId83" xr:uid="{00000000-0004-0000-1E00-000052000000}"/>
    <hyperlink ref="B88" r:id="rId84" xr:uid="{00000000-0004-0000-1E00-000053000000}"/>
    <hyperlink ref="B89" r:id="rId85" xr:uid="{00000000-0004-0000-1E00-000054000000}"/>
    <hyperlink ref="B90" r:id="rId86" xr:uid="{00000000-0004-0000-1E00-000055000000}"/>
    <hyperlink ref="B91" r:id="rId87" xr:uid="{00000000-0004-0000-1E00-000056000000}"/>
    <hyperlink ref="B92" r:id="rId88" xr:uid="{00000000-0004-0000-1E00-000057000000}"/>
    <hyperlink ref="B93" r:id="rId89" xr:uid="{00000000-0004-0000-1E00-000058000000}"/>
    <hyperlink ref="B94" r:id="rId90" xr:uid="{00000000-0004-0000-1E00-000059000000}"/>
    <hyperlink ref="B95" r:id="rId91" xr:uid="{00000000-0004-0000-1E00-00005A000000}"/>
    <hyperlink ref="B96" r:id="rId92" xr:uid="{00000000-0004-0000-1E00-00005B000000}"/>
    <hyperlink ref="B97" r:id="rId93" xr:uid="{00000000-0004-0000-1E00-00005C000000}"/>
    <hyperlink ref="B98" r:id="rId94" xr:uid="{00000000-0004-0000-1E00-00005D000000}"/>
    <hyperlink ref="B99" r:id="rId95" xr:uid="{00000000-0004-0000-1E00-00005E000000}"/>
    <hyperlink ref="B100" r:id="rId96" xr:uid="{00000000-0004-0000-1E00-00005F000000}"/>
    <hyperlink ref="B101" r:id="rId97" xr:uid="{00000000-0004-0000-1E00-000060000000}"/>
    <hyperlink ref="B102" r:id="rId98" xr:uid="{00000000-0004-0000-1E00-000061000000}"/>
    <hyperlink ref="B103" r:id="rId99" xr:uid="{00000000-0004-0000-1E00-000062000000}"/>
    <hyperlink ref="B104" r:id="rId100" xr:uid="{00000000-0004-0000-1E00-000063000000}"/>
    <hyperlink ref="B105" r:id="rId101" xr:uid="{00000000-0004-0000-1E00-000064000000}"/>
    <hyperlink ref="B106" r:id="rId102" xr:uid="{00000000-0004-0000-1E00-000065000000}"/>
    <hyperlink ref="B107" r:id="rId103" xr:uid="{00000000-0004-0000-1E00-000066000000}"/>
    <hyperlink ref="B108" r:id="rId104" xr:uid="{00000000-0004-0000-1E00-000067000000}"/>
    <hyperlink ref="B109" r:id="rId105" xr:uid="{00000000-0004-0000-1E00-000068000000}"/>
    <hyperlink ref="B110" r:id="rId106" xr:uid="{00000000-0004-0000-1E00-000069000000}"/>
    <hyperlink ref="B111" r:id="rId107" xr:uid="{00000000-0004-0000-1E00-00006A000000}"/>
    <hyperlink ref="B112" r:id="rId108" xr:uid="{00000000-0004-0000-1E00-00006B000000}"/>
    <hyperlink ref="B113" r:id="rId109" xr:uid="{00000000-0004-0000-1E00-00006C000000}"/>
    <hyperlink ref="B114" r:id="rId110" xr:uid="{00000000-0004-0000-1E00-00006D000000}"/>
    <hyperlink ref="B115" r:id="rId111" xr:uid="{00000000-0004-0000-1E00-00006E000000}"/>
    <hyperlink ref="B116" r:id="rId112" xr:uid="{00000000-0004-0000-1E00-00006F000000}"/>
    <hyperlink ref="B120" r:id="rId113" xr:uid="{00000000-0004-0000-1E00-000070000000}"/>
    <hyperlink ref="B121" r:id="rId114" xr:uid="{00000000-0004-0000-1E00-00007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5" customWidth="1"/>
    <col min="3" max="3" width="13.5" customWidth="1"/>
    <col min="4" max="4" width="14.83203125" customWidth="1"/>
    <col min="5" max="5" width="14.33203125" customWidth="1"/>
    <col min="11" max="11" width="13.83203125" customWidth="1"/>
  </cols>
  <sheetData>
    <row r="1" spans="1:23" ht="15.75" customHeight="1">
      <c r="A1" s="1" t="s">
        <v>57</v>
      </c>
      <c r="B1" s="36"/>
      <c r="C1" s="37"/>
      <c r="D1" s="7" t="s">
        <v>181</v>
      </c>
      <c r="E1" s="5"/>
      <c r="F1" s="5"/>
      <c r="G1" s="5"/>
      <c r="K1" s="1"/>
      <c r="M1" s="5"/>
      <c r="N1" s="5"/>
      <c r="S1" s="1"/>
      <c r="U1" s="5"/>
    </row>
    <row r="2" spans="1:23" ht="15.75" customHeight="1">
      <c r="A2" s="7" t="s">
        <v>182</v>
      </c>
      <c r="B2" s="38">
        <v>38656</v>
      </c>
      <c r="C2" s="37"/>
      <c r="D2" s="39">
        <f>SUM(D5:G118)</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2484</v>
      </c>
      <c r="B5" s="49" t="s">
        <v>2485</v>
      </c>
      <c r="C5" s="51" t="s">
        <v>2486</v>
      </c>
      <c r="D5" s="54"/>
      <c r="E5" s="5"/>
      <c r="F5" s="5"/>
      <c r="G5" s="5"/>
      <c r="L5" s="43"/>
      <c r="M5" s="43"/>
      <c r="N5" s="42"/>
      <c r="O5" s="44"/>
      <c r="S5" s="42"/>
      <c r="T5" s="43"/>
      <c r="U5" s="43"/>
      <c r="V5" s="42"/>
      <c r="W5" s="44"/>
    </row>
    <row r="6" spans="1:23" ht="15.75" customHeight="1">
      <c r="A6" s="48" t="s">
        <v>2487</v>
      </c>
      <c r="B6" s="49" t="s">
        <v>2488</v>
      </c>
      <c r="C6" s="51" t="s">
        <v>2486</v>
      </c>
      <c r="D6" s="54"/>
      <c r="E6" s="5"/>
      <c r="F6" s="5"/>
      <c r="G6" s="5"/>
      <c r="L6" s="50"/>
      <c r="M6" s="51"/>
      <c r="N6" s="5"/>
      <c r="S6" s="52"/>
      <c r="T6" s="50"/>
      <c r="U6" s="51"/>
    </row>
    <row r="7" spans="1:23" ht="15.75" customHeight="1">
      <c r="A7" s="48" t="s">
        <v>2489</v>
      </c>
      <c r="B7" s="49" t="s">
        <v>2490</v>
      </c>
      <c r="C7" s="51" t="s">
        <v>2491</v>
      </c>
      <c r="D7" s="54"/>
      <c r="E7" s="5"/>
      <c r="F7" s="5"/>
      <c r="G7" s="5"/>
      <c r="K7" s="52"/>
      <c r="L7" s="50"/>
      <c r="M7" s="51"/>
      <c r="N7" s="5"/>
      <c r="S7" s="52"/>
      <c r="T7" s="50"/>
      <c r="U7" s="51"/>
    </row>
    <row r="8" spans="1:23" ht="15.75" customHeight="1">
      <c r="A8" s="48" t="s">
        <v>2492</v>
      </c>
      <c r="B8" s="49" t="s">
        <v>2493</v>
      </c>
      <c r="C8" s="51" t="s">
        <v>1799</v>
      </c>
      <c r="D8" s="54"/>
      <c r="E8" s="5"/>
      <c r="F8" s="5"/>
      <c r="G8" s="5"/>
      <c r="K8" s="52"/>
      <c r="L8" s="50"/>
      <c r="M8" s="51"/>
      <c r="N8" s="51"/>
      <c r="S8" s="52"/>
      <c r="T8" s="50"/>
      <c r="U8" s="51"/>
    </row>
    <row r="9" spans="1:23" ht="15.75" customHeight="1">
      <c r="A9" s="48" t="s">
        <v>2494</v>
      </c>
      <c r="B9" s="49" t="s">
        <v>2495</v>
      </c>
      <c r="C9" s="51" t="s">
        <v>2496</v>
      </c>
      <c r="D9" s="54"/>
      <c r="E9" s="5"/>
      <c r="F9" s="5"/>
      <c r="G9" s="5"/>
      <c r="K9" s="52"/>
      <c r="L9" s="50"/>
      <c r="M9" s="51"/>
      <c r="N9" s="51"/>
      <c r="S9" s="52"/>
      <c r="T9" s="50"/>
      <c r="U9" s="51"/>
    </row>
    <row r="10" spans="1:23" ht="15.75" customHeight="1">
      <c r="A10" s="48" t="s">
        <v>2497</v>
      </c>
      <c r="B10" s="49" t="s">
        <v>2498</v>
      </c>
      <c r="C10" s="51" t="s">
        <v>1799</v>
      </c>
      <c r="D10" s="54"/>
      <c r="E10" s="5"/>
      <c r="F10" s="5"/>
      <c r="G10" s="5"/>
      <c r="K10" s="52"/>
      <c r="L10" s="50"/>
      <c r="M10" s="51"/>
      <c r="N10" s="5"/>
      <c r="S10" s="52"/>
      <c r="T10" s="50"/>
      <c r="U10" s="51"/>
    </row>
    <row r="11" spans="1:23" ht="15.75" customHeight="1">
      <c r="A11" s="48" t="s">
        <v>2499</v>
      </c>
      <c r="B11" s="49" t="s">
        <v>2500</v>
      </c>
      <c r="C11" s="51" t="s">
        <v>2491</v>
      </c>
      <c r="D11" s="54"/>
      <c r="E11" s="5"/>
      <c r="F11" s="5"/>
      <c r="G11" s="5"/>
      <c r="K11" s="52"/>
      <c r="L11" s="50"/>
      <c r="M11" s="51"/>
      <c r="N11" s="51"/>
      <c r="S11" s="52"/>
      <c r="T11" s="50"/>
      <c r="U11" s="51"/>
    </row>
    <row r="12" spans="1:23" ht="15.75" customHeight="1">
      <c r="A12" s="48" t="s">
        <v>2501</v>
      </c>
      <c r="B12" s="49" t="s">
        <v>2502</v>
      </c>
      <c r="C12" s="51" t="s">
        <v>2491</v>
      </c>
      <c r="D12" s="54"/>
      <c r="E12" s="5"/>
      <c r="F12" s="5"/>
      <c r="G12" s="5"/>
      <c r="K12" s="52"/>
      <c r="L12" s="50"/>
      <c r="M12" s="51"/>
      <c r="N12" s="51"/>
      <c r="S12" s="52"/>
      <c r="T12" s="50"/>
      <c r="U12" s="51"/>
    </row>
    <row r="13" spans="1:23" ht="15.75" customHeight="1">
      <c r="A13" s="48" t="s">
        <v>2503</v>
      </c>
      <c r="B13" s="49" t="s">
        <v>2504</v>
      </c>
      <c r="C13" s="51" t="s">
        <v>2491</v>
      </c>
      <c r="D13" s="54"/>
      <c r="E13" s="5"/>
      <c r="F13" s="5"/>
      <c r="G13" s="5"/>
      <c r="K13" s="52"/>
      <c r="L13" s="50"/>
      <c r="M13" s="51"/>
      <c r="N13" s="5"/>
      <c r="S13" s="52"/>
      <c r="T13" s="50"/>
      <c r="U13" s="51"/>
    </row>
    <row r="14" spans="1:23" ht="15.75" customHeight="1">
      <c r="A14" s="48" t="s">
        <v>2505</v>
      </c>
      <c r="B14" s="49" t="s">
        <v>2506</v>
      </c>
      <c r="C14" s="51" t="s">
        <v>2507</v>
      </c>
      <c r="D14" s="54"/>
      <c r="E14" s="5"/>
      <c r="F14" s="5"/>
      <c r="G14" s="5"/>
      <c r="K14" s="52"/>
      <c r="L14" s="50"/>
      <c r="M14" s="51"/>
      <c r="N14" s="51"/>
      <c r="S14" s="52"/>
      <c r="T14" s="50"/>
      <c r="U14" s="51"/>
    </row>
    <row r="15" spans="1:23" ht="15.75" customHeight="1">
      <c r="A15" s="48" t="s">
        <v>2508</v>
      </c>
      <c r="B15" s="49" t="s">
        <v>2509</v>
      </c>
      <c r="C15" s="51" t="s">
        <v>2491</v>
      </c>
      <c r="D15" s="54"/>
      <c r="E15" s="5"/>
      <c r="F15" s="5"/>
      <c r="G15" s="5"/>
      <c r="K15" s="52"/>
      <c r="L15" s="50"/>
      <c r="M15" s="51"/>
      <c r="N15" s="51"/>
      <c r="S15" s="52"/>
      <c r="T15" s="50"/>
      <c r="U15" s="51"/>
    </row>
    <row r="16" spans="1:23" ht="15.75" customHeight="1">
      <c r="A16" s="48" t="s">
        <v>2510</v>
      </c>
      <c r="B16" s="49" t="s">
        <v>2511</v>
      </c>
      <c r="C16" s="51" t="s">
        <v>2496</v>
      </c>
      <c r="D16" s="54"/>
      <c r="E16" s="5"/>
      <c r="F16" s="5"/>
      <c r="G16" s="5"/>
      <c r="K16" s="52"/>
      <c r="L16" s="50"/>
      <c r="M16" s="51"/>
      <c r="N16" s="51"/>
      <c r="S16" s="52"/>
      <c r="T16" s="50"/>
      <c r="U16" s="51"/>
    </row>
    <row r="17" spans="1:27" ht="15.75" customHeight="1">
      <c r="A17" s="48" t="s">
        <v>2512</v>
      </c>
      <c r="B17" s="49" t="s">
        <v>2513</v>
      </c>
      <c r="C17" s="51" t="s">
        <v>2491</v>
      </c>
      <c r="D17" s="54"/>
      <c r="E17" s="5"/>
      <c r="F17" s="5"/>
      <c r="G17" s="5"/>
      <c r="K17" s="52"/>
      <c r="L17" s="50"/>
      <c r="M17" s="51"/>
      <c r="N17" s="51"/>
      <c r="S17" s="52"/>
      <c r="T17" s="50"/>
      <c r="U17" s="51"/>
    </row>
    <row r="18" spans="1:27" ht="15.75" customHeight="1">
      <c r="A18" s="48" t="s">
        <v>2514</v>
      </c>
      <c r="B18" s="49" t="s">
        <v>2515</v>
      </c>
      <c r="C18" s="51" t="s">
        <v>2496</v>
      </c>
      <c r="D18" s="54"/>
      <c r="E18" s="5"/>
      <c r="F18" s="5"/>
      <c r="G18" s="5"/>
      <c r="M18" s="5"/>
      <c r="N18" s="5"/>
      <c r="U18" s="5"/>
      <c r="AA18" s="5"/>
    </row>
    <row r="19" spans="1:27" ht="15.75" customHeight="1">
      <c r="A19" s="48" t="s">
        <v>2516</v>
      </c>
      <c r="B19" s="49" t="s">
        <v>2517</v>
      </c>
      <c r="C19" s="51" t="s">
        <v>2518</v>
      </c>
      <c r="D19" s="54"/>
      <c r="E19" s="5"/>
      <c r="F19" s="5"/>
      <c r="G19" s="5"/>
      <c r="K19" s="1"/>
      <c r="M19" s="5"/>
      <c r="N19" s="5"/>
      <c r="U19" s="5"/>
      <c r="AA19" s="5"/>
    </row>
    <row r="20" spans="1:27" ht="15.75" customHeight="1">
      <c r="A20" s="48" t="s">
        <v>2519</v>
      </c>
      <c r="B20" s="49" t="s">
        <v>2520</v>
      </c>
      <c r="C20" s="51" t="s">
        <v>2496</v>
      </c>
      <c r="D20" s="54"/>
      <c r="E20" s="5"/>
      <c r="F20" s="5"/>
      <c r="G20" s="5"/>
      <c r="L20" s="40"/>
      <c r="M20" s="5"/>
      <c r="N20" s="5"/>
      <c r="AA20" s="5"/>
    </row>
    <row r="21" spans="1:27" ht="15.75" customHeight="1">
      <c r="A21" s="48" t="s">
        <v>2521</v>
      </c>
      <c r="B21" s="49" t="s">
        <v>2522</v>
      </c>
      <c r="C21" s="51" t="s">
        <v>2068</v>
      </c>
      <c r="D21" s="54"/>
      <c r="E21" s="5"/>
      <c r="F21" s="5"/>
      <c r="G21" s="5"/>
      <c r="M21" s="5"/>
      <c r="N21" s="5"/>
      <c r="AA21" s="5"/>
    </row>
    <row r="22" spans="1:27" ht="15.75" customHeight="1">
      <c r="A22" s="48" t="s">
        <v>2523</v>
      </c>
      <c r="B22" s="49" t="s">
        <v>2524</v>
      </c>
      <c r="C22" s="51" t="s">
        <v>2518</v>
      </c>
      <c r="D22" s="54"/>
      <c r="E22" s="5"/>
      <c r="F22" s="5"/>
      <c r="G22" s="5"/>
      <c r="K22" s="42"/>
      <c r="L22" s="45"/>
      <c r="M22" s="46"/>
      <c r="N22" s="47"/>
      <c r="AA22" s="5"/>
    </row>
    <row r="23" spans="1:27" ht="15.75" customHeight="1">
      <c r="A23" s="48" t="s">
        <v>2525</v>
      </c>
      <c r="B23" s="49" t="s">
        <v>2526</v>
      </c>
      <c r="C23" s="51" t="s">
        <v>2518</v>
      </c>
      <c r="D23" s="54"/>
      <c r="E23" s="5"/>
      <c r="F23" s="5"/>
      <c r="G23" s="5"/>
      <c r="K23" s="42"/>
      <c r="L23" s="43"/>
      <c r="M23" s="43"/>
      <c r="N23" s="42"/>
      <c r="O23" s="44"/>
      <c r="AA23" s="5"/>
    </row>
    <row r="24" spans="1:27" ht="15.75" customHeight="1">
      <c r="A24" s="48" t="s">
        <v>2527</v>
      </c>
      <c r="B24" s="49" t="s">
        <v>1398</v>
      </c>
      <c r="C24" s="51" t="s">
        <v>197</v>
      </c>
      <c r="D24" s="54"/>
      <c r="E24" s="5"/>
      <c r="F24" s="5"/>
      <c r="G24" s="5"/>
      <c r="K24" s="52"/>
      <c r="L24" s="50"/>
      <c r="M24" s="51"/>
      <c r="N24" s="5"/>
      <c r="AA24" s="5"/>
    </row>
    <row r="25" spans="1:27" ht="15.75" customHeight="1">
      <c r="A25" s="48" t="s">
        <v>2528</v>
      </c>
      <c r="B25" s="49" t="s">
        <v>2529</v>
      </c>
      <c r="C25" s="51" t="s">
        <v>192</v>
      </c>
      <c r="D25" s="54"/>
      <c r="E25" s="5"/>
      <c r="F25" s="5"/>
      <c r="G25" s="5"/>
      <c r="K25" s="52"/>
      <c r="L25" s="50"/>
      <c r="M25" s="51"/>
      <c r="N25" s="5"/>
      <c r="AA25" s="5"/>
    </row>
    <row r="26" spans="1:27" ht="15.75" customHeight="1">
      <c r="A26" s="48" t="s">
        <v>2530</v>
      </c>
      <c r="B26" s="49" t="s">
        <v>2531</v>
      </c>
      <c r="C26" s="51" t="s">
        <v>220</v>
      </c>
      <c r="D26" s="54"/>
      <c r="E26" s="5"/>
      <c r="F26" s="5"/>
      <c r="G26" s="5"/>
      <c r="K26" s="52"/>
      <c r="L26" s="50"/>
      <c r="M26" s="51"/>
      <c r="N26" s="51"/>
      <c r="AA26" s="5"/>
    </row>
    <row r="27" spans="1:27" ht="15.75" customHeight="1">
      <c r="A27" s="48" t="s">
        <v>2532</v>
      </c>
      <c r="B27" s="49" t="s">
        <v>362</v>
      </c>
      <c r="C27" s="51" t="s">
        <v>195</v>
      </c>
      <c r="D27" s="51"/>
      <c r="E27" s="5"/>
      <c r="F27" s="51"/>
      <c r="G27" s="5"/>
      <c r="K27" s="52"/>
      <c r="L27" s="50"/>
      <c r="M27" s="51"/>
      <c r="N27" s="51"/>
      <c r="AA27" s="5"/>
    </row>
    <row r="28" spans="1:27" ht="15.75" customHeight="1">
      <c r="A28" s="48" t="s">
        <v>2533</v>
      </c>
      <c r="B28" s="49" t="s">
        <v>2534</v>
      </c>
      <c r="C28" s="51" t="s">
        <v>2068</v>
      </c>
      <c r="D28" s="54"/>
      <c r="E28" s="5"/>
      <c r="F28" s="5"/>
      <c r="G28" s="5"/>
      <c r="J28" s="5"/>
      <c r="K28" s="52"/>
      <c r="L28" s="50"/>
      <c r="M28" s="51"/>
      <c r="N28" s="5"/>
      <c r="P28" s="5"/>
    </row>
    <row r="29" spans="1:27" ht="15.75" customHeight="1">
      <c r="A29" s="48" t="s">
        <v>2535</v>
      </c>
      <c r="B29" s="49" t="s">
        <v>971</v>
      </c>
      <c r="C29" s="51" t="s">
        <v>197</v>
      </c>
      <c r="D29" s="54"/>
      <c r="E29" s="5"/>
      <c r="F29" s="5"/>
      <c r="G29" s="5"/>
      <c r="J29" s="5"/>
      <c r="K29" s="52"/>
      <c r="L29" s="50"/>
      <c r="M29" s="51"/>
      <c r="N29" s="51"/>
      <c r="P29" s="5"/>
    </row>
    <row r="30" spans="1:27" ht="15.75" customHeight="1">
      <c r="A30" s="48" t="s">
        <v>2536</v>
      </c>
      <c r="B30" s="49" t="s">
        <v>1822</v>
      </c>
      <c r="C30" s="51" t="s">
        <v>208</v>
      </c>
      <c r="D30" s="54"/>
      <c r="E30" s="5"/>
      <c r="F30" s="5"/>
      <c r="G30" s="5"/>
      <c r="J30" s="5"/>
      <c r="K30" s="52"/>
      <c r="L30" s="50"/>
      <c r="M30" s="51"/>
      <c r="N30" s="5"/>
      <c r="P30" s="5"/>
    </row>
    <row r="31" spans="1:27" ht="15.75" customHeight="1">
      <c r="A31" s="48" t="s">
        <v>2537</v>
      </c>
      <c r="B31" s="49" t="s">
        <v>2538</v>
      </c>
      <c r="C31" s="51" t="s">
        <v>2507</v>
      </c>
      <c r="D31" s="54"/>
      <c r="E31" s="5"/>
      <c r="F31" s="5"/>
      <c r="G31" s="5"/>
      <c r="J31" s="5"/>
      <c r="K31" s="52"/>
      <c r="L31" s="50"/>
      <c r="M31" s="51"/>
      <c r="N31" s="51"/>
      <c r="P31" s="5"/>
    </row>
    <row r="32" spans="1:27" ht="15.75" customHeight="1">
      <c r="A32" s="48" t="s">
        <v>2539</v>
      </c>
      <c r="B32" s="49" t="s">
        <v>789</v>
      </c>
      <c r="C32" s="51" t="s">
        <v>208</v>
      </c>
      <c r="D32" s="54"/>
      <c r="E32" s="5"/>
      <c r="F32" s="5"/>
      <c r="G32" s="5"/>
      <c r="J32" s="5"/>
      <c r="K32" s="52"/>
      <c r="L32" s="50"/>
      <c r="M32" s="51"/>
      <c r="N32" s="5"/>
      <c r="P32" s="5"/>
    </row>
    <row r="33" spans="1:16" ht="15.75" customHeight="1">
      <c r="A33" s="48" t="s">
        <v>2540</v>
      </c>
      <c r="B33" s="49" t="s">
        <v>1826</v>
      </c>
      <c r="C33" s="51" t="s">
        <v>208</v>
      </c>
      <c r="D33" s="54"/>
      <c r="E33" s="5"/>
      <c r="F33" s="5"/>
      <c r="G33" s="5"/>
      <c r="J33" s="5"/>
      <c r="K33" s="52"/>
      <c r="L33" s="50"/>
      <c r="M33" s="51"/>
      <c r="N33" s="5"/>
      <c r="P33" s="5"/>
    </row>
    <row r="34" spans="1:16" ht="15.75" customHeight="1">
      <c r="A34" s="48" t="s">
        <v>2541</v>
      </c>
      <c r="B34" s="49" t="s">
        <v>2517</v>
      </c>
      <c r="C34" s="51" t="s">
        <v>2518</v>
      </c>
      <c r="D34" s="54"/>
      <c r="E34" s="5"/>
      <c r="F34" s="5"/>
      <c r="G34" s="5"/>
      <c r="J34" s="5"/>
      <c r="K34" s="52"/>
      <c r="L34" s="50"/>
      <c r="M34" s="51"/>
      <c r="N34" s="5"/>
      <c r="P34" s="5"/>
    </row>
    <row r="35" spans="1:16" ht="15.75" customHeight="1">
      <c r="A35" s="48" t="s">
        <v>2542</v>
      </c>
      <c r="B35" s="49" t="s">
        <v>1828</v>
      </c>
      <c r="C35" s="51" t="s">
        <v>199</v>
      </c>
      <c r="D35" s="54"/>
      <c r="E35" s="5"/>
      <c r="F35" s="5"/>
      <c r="G35" s="5"/>
      <c r="J35" s="5"/>
      <c r="K35" s="52"/>
      <c r="L35" s="50"/>
      <c r="M35" s="51"/>
      <c r="N35" s="51"/>
      <c r="P35" s="5"/>
    </row>
    <row r="36" spans="1:16" ht="15.75" customHeight="1">
      <c r="A36" s="48" t="s">
        <v>2543</v>
      </c>
      <c r="B36" s="49" t="s">
        <v>1280</v>
      </c>
      <c r="C36" s="51" t="s">
        <v>197</v>
      </c>
      <c r="D36" s="54"/>
      <c r="E36" s="5"/>
      <c r="F36" s="5"/>
      <c r="G36" s="5"/>
      <c r="J36" s="5"/>
      <c r="M36" s="5"/>
      <c r="N36" s="5"/>
      <c r="P36" s="5"/>
    </row>
    <row r="37" spans="1:16" ht="15.75" customHeight="1">
      <c r="A37" s="48" t="s">
        <v>2544</v>
      </c>
      <c r="B37" s="49" t="s">
        <v>378</v>
      </c>
      <c r="C37" s="51" t="s">
        <v>205</v>
      </c>
      <c r="D37" s="54"/>
      <c r="E37" s="5"/>
      <c r="F37" s="5"/>
      <c r="G37" s="5"/>
      <c r="J37" s="5"/>
      <c r="M37" s="5"/>
      <c r="N37" s="5"/>
    </row>
    <row r="38" spans="1:16" ht="15.75" customHeight="1">
      <c r="A38" s="48" t="s">
        <v>2545</v>
      </c>
      <c r="B38" s="49" t="s">
        <v>1834</v>
      </c>
      <c r="C38" s="51" t="s">
        <v>197</v>
      </c>
      <c r="D38" s="54"/>
      <c r="E38" s="5"/>
      <c r="F38" s="5"/>
      <c r="G38" s="5"/>
      <c r="J38" s="5"/>
      <c r="M38" s="51"/>
      <c r="N38" s="51"/>
    </row>
    <row r="39" spans="1:16" ht="15.75" customHeight="1">
      <c r="A39" s="48" t="s">
        <v>2546</v>
      </c>
      <c r="B39" s="49" t="s">
        <v>359</v>
      </c>
      <c r="C39" s="51" t="s">
        <v>197</v>
      </c>
      <c r="D39" s="54"/>
      <c r="E39" s="5"/>
      <c r="F39" s="5"/>
      <c r="G39" s="5"/>
      <c r="J39" s="5"/>
      <c r="M39" s="51"/>
      <c r="N39" s="51"/>
    </row>
    <row r="40" spans="1:16" ht="15.75" customHeight="1">
      <c r="A40" s="48" t="s">
        <v>2547</v>
      </c>
      <c r="B40" s="49" t="s">
        <v>2548</v>
      </c>
      <c r="C40" s="51" t="s">
        <v>205</v>
      </c>
      <c r="D40" s="54"/>
      <c r="E40" s="5"/>
      <c r="F40" s="5"/>
      <c r="G40" s="5"/>
      <c r="J40" s="5"/>
      <c r="M40" s="51"/>
      <c r="N40" s="51"/>
    </row>
    <row r="41" spans="1:16" ht="15.75" customHeight="1">
      <c r="A41" s="48" t="s">
        <v>2549</v>
      </c>
      <c r="B41" s="49" t="s">
        <v>2550</v>
      </c>
      <c r="C41" s="51" t="s">
        <v>199</v>
      </c>
      <c r="D41" s="51"/>
      <c r="E41" s="5"/>
      <c r="F41" s="5"/>
      <c r="G41" s="5"/>
      <c r="J41" s="5"/>
      <c r="M41" s="51"/>
      <c r="N41" s="51"/>
    </row>
    <row r="42" spans="1:16" ht="15.75" customHeight="1">
      <c r="A42" s="48" t="s">
        <v>2551</v>
      </c>
      <c r="B42" s="49" t="s">
        <v>2552</v>
      </c>
      <c r="C42" s="51" t="s">
        <v>195</v>
      </c>
      <c r="D42" s="54"/>
      <c r="E42" s="5"/>
      <c r="F42" s="5"/>
      <c r="G42" s="5"/>
      <c r="J42" s="5"/>
      <c r="M42" s="51"/>
      <c r="N42" s="51"/>
    </row>
    <row r="43" spans="1:16" ht="15.75" customHeight="1">
      <c r="A43" s="48" t="s">
        <v>2553</v>
      </c>
      <c r="B43" s="49" t="s">
        <v>2554</v>
      </c>
      <c r="C43" s="51" t="s">
        <v>192</v>
      </c>
      <c r="D43" s="54"/>
      <c r="E43" s="5"/>
      <c r="F43" s="5"/>
      <c r="G43" s="5"/>
      <c r="J43" s="5"/>
      <c r="M43" s="51"/>
      <c r="N43" s="51"/>
    </row>
    <row r="44" spans="1:16" ht="15.75" customHeight="1">
      <c r="A44" s="48" t="s">
        <v>2555</v>
      </c>
      <c r="B44" s="49" t="s">
        <v>2556</v>
      </c>
      <c r="C44" s="51" t="s">
        <v>208</v>
      </c>
      <c r="D44" s="54"/>
      <c r="E44" s="5"/>
      <c r="F44" s="5"/>
      <c r="G44" s="5"/>
      <c r="J44" s="5"/>
      <c r="M44" s="51"/>
      <c r="N44" s="51"/>
    </row>
    <row r="45" spans="1:16" ht="15.75" customHeight="1">
      <c r="A45" s="48" t="s">
        <v>2557</v>
      </c>
      <c r="B45" s="49" t="s">
        <v>2558</v>
      </c>
      <c r="C45" s="51" t="s">
        <v>192</v>
      </c>
      <c r="D45" s="54"/>
      <c r="E45" s="5"/>
      <c r="F45" s="5"/>
      <c r="G45" s="5"/>
      <c r="J45" s="5"/>
      <c r="M45" s="51"/>
      <c r="N45" s="51"/>
      <c r="P45" s="5"/>
    </row>
    <row r="46" spans="1:16" ht="15.75" customHeight="1">
      <c r="A46" s="48" t="s">
        <v>2559</v>
      </c>
      <c r="B46" s="49" t="s">
        <v>2558</v>
      </c>
      <c r="C46" s="51" t="s">
        <v>192</v>
      </c>
      <c r="D46" s="54"/>
      <c r="E46" s="5"/>
      <c r="F46" s="5"/>
      <c r="G46" s="5"/>
      <c r="J46" s="5"/>
      <c r="M46" s="51"/>
      <c r="N46" s="51"/>
      <c r="P46" s="5"/>
    </row>
    <row r="47" spans="1:16" ht="15.75" customHeight="1">
      <c r="A47" s="48" t="s">
        <v>2560</v>
      </c>
      <c r="B47" s="49" t="s">
        <v>368</v>
      </c>
      <c r="C47" s="51" t="s">
        <v>205</v>
      </c>
      <c r="D47" s="51"/>
      <c r="E47" s="5"/>
      <c r="F47" s="5"/>
      <c r="G47" s="5"/>
      <c r="J47" s="5"/>
      <c r="M47" s="5"/>
      <c r="N47" s="5"/>
      <c r="P47" s="5"/>
    </row>
    <row r="48" spans="1:16" ht="15.75" customHeight="1">
      <c r="A48" s="48" t="s">
        <v>2561</v>
      </c>
      <c r="B48" s="49" t="s">
        <v>1222</v>
      </c>
      <c r="C48" s="51" t="s">
        <v>225</v>
      </c>
      <c r="D48" s="54"/>
      <c r="E48" s="5"/>
      <c r="F48" s="5"/>
      <c r="G48" s="5"/>
      <c r="J48" s="5"/>
      <c r="M48" s="5"/>
      <c r="N48" s="5"/>
      <c r="P48" s="5"/>
    </row>
    <row r="49" spans="1:16" ht="15.75" customHeight="1">
      <c r="A49" s="48" t="s">
        <v>2562</v>
      </c>
      <c r="B49" s="49" t="s">
        <v>1407</v>
      </c>
      <c r="C49" s="51" t="s">
        <v>205</v>
      </c>
      <c r="D49" s="54"/>
      <c r="E49" s="5"/>
      <c r="F49" s="5"/>
      <c r="G49" s="5"/>
      <c r="J49" s="5"/>
      <c r="M49" s="5"/>
      <c r="N49" s="5"/>
      <c r="P49" s="5"/>
    </row>
    <row r="50" spans="1:16" ht="15.75" customHeight="1">
      <c r="A50" s="48" t="s">
        <v>2563</v>
      </c>
      <c r="B50" s="49" t="s">
        <v>266</v>
      </c>
      <c r="C50" s="51" t="s">
        <v>205</v>
      </c>
      <c r="D50" s="54"/>
      <c r="E50" s="5"/>
      <c r="F50" s="5"/>
      <c r="G50" s="5"/>
      <c r="J50" s="5"/>
      <c r="M50" s="5"/>
      <c r="N50" s="5"/>
      <c r="P50" s="5"/>
    </row>
    <row r="51" spans="1:16" ht="15.75" customHeight="1">
      <c r="A51" s="48" t="s">
        <v>2564</v>
      </c>
      <c r="B51" s="49" t="s">
        <v>1262</v>
      </c>
      <c r="C51" s="51" t="s">
        <v>195</v>
      </c>
      <c r="D51" s="54"/>
      <c r="E51" s="5"/>
      <c r="F51" s="5"/>
      <c r="G51" s="5"/>
      <c r="J51" s="5"/>
      <c r="M51" s="5"/>
      <c r="N51" s="5"/>
      <c r="P51" s="5"/>
    </row>
    <row r="52" spans="1:16" ht="15.75" customHeight="1">
      <c r="A52" s="48" t="s">
        <v>2565</v>
      </c>
      <c r="B52" s="49" t="s">
        <v>247</v>
      </c>
      <c r="C52" s="51" t="s">
        <v>192</v>
      </c>
      <c r="D52" s="54"/>
      <c r="E52" s="5"/>
      <c r="F52" s="5"/>
      <c r="G52" s="5"/>
      <c r="J52" s="5"/>
      <c r="M52" s="5"/>
      <c r="N52" s="5"/>
      <c r="P52" s="5"/>
    </row>
    <row r="53" spans="1:16" ht="13">
      <c r="A53" s="48" t="s">
        <v>2566</v>
      </c>
      <c r="B53" s="49" t="s">
        <v>2567</v>
      </c>
      <c r="C53" s="51" t="s">
        <v>192</v>
      </c>
      <c r="D53" s="54"/>
      <c r="E53" s="5"/>
      <c r="F53" s="5"/>
      <c r="G53" s="5"/>
      <c r="J53" s="5"/>
      <c r="M53" s="5"/>
      <c r="N53" s="5"/>
      <c r="P53" s="5"/>
    </row>
    <row r="54" spans="1:16" ht="13">
      <c r="A54" s="48" t="s">
        <v>2568</v>
      </c>
      <c r="B54" s="49" t="s">
        <v>340</v>
      </c>
      <c r="C54" s="51" t="s">
        <v>197</v>
      </c>
      <c r="D54" s="54"/>
      <c r="E54" s="5"/>
      <c r="F54" s="5"/>
      <c r="G54" s="5"/>
      <c r="J54" s="5"/>
      <c r="M54" s="5"/>
      <c r="N54" s="5"/>
      <c r="P54" s="5"/>
    </row>
    <row r="55" spans="1:16" ht="13">
      <c r="A55" s="48" t="s">
        <v>2569</v>
      </c>
      <c r="B55" s="49" t="s">
        <v>2570</v>
      </c>
      <c r="C55" s="51" t="s">
        <v>199</v>
      </c>
      <c r="D55" s="54"/>
      <c r="E55" s="5"/>
      <c r="F55" s="5"/>
      <c r="G55" s="5"/>
      <c r="J55" s="5"/>
      <c r="M55" s="5"/>
      <c r="N55" s="5"/>
      <c r="P55" s="5"/>
    </row>
    <row r="56" spans="1:16" ht="13">
      <c r="A56" s="48" t="s">
        <v>2571</v>
      </c>
      <c r="B56" s="49" t="s">
        <v>235</v>
      </c>
      <c r="C56" s="51" t="s">
        <v>199</v>
      </c>
      <c r="D56" s="54"/>
      <c r="E56" s="5"/>
      <c r="F56" s="5"/>
      <c r="G56" s="5"/>
      <c r="J56" s="5"/>
      <c r="M56" s="5"/>
      <c r="N56" s="5"/>
      <c r="P56" s="5"/>
    </row>
    <row r="57" spans="1:16" ht="13">
      <c r="A57" s="48" t="s">
        <v>2572</v>
      </c>
      <c r="B57" s="49" t="s">
        <v>2573</v>
      </c>
      <c r="C57" s="51" t="s">
        <v>199</v>
      </c>
      <c r="D57" s="54"/>
      <c r="E57" s="5"/>
      <c r="F57" s="5"/>
      <c r="G57" s="5"/>
      <c r="J57" s="5"/>
      <c r="M57" s="5"/>
      <c r="N57" s="5"/>
      <c r="P57" s="5"/>
    </row>
    <row r="58" spans="1:16" ht="13">
      <c r="A58" s="48" t="s">
        <v>2574</v>
      </c>
      <c r="B58" s="49" t="s">
        <v>2573</v>
      </c>
      <c r="C58" s="51" t="s">
        <v>199</v>
      </c>
      <c r="D58" s="54"/>
      <c r="E58" s="5"/>
      <c r="F58" s="5"/>
      <c r="G58" s="5"/>
      <c r="J58" s="5"/>
      <c r="M58" s="5"/>
      <c r="N58" s="5"/>
      <c r="P58" s="5"/>
    </row>
    <row r="59" spans="1:16" ht="13">
      <c r="A59" s="48" t="s">
        <v>2575</v>
      </c>
      <c r="B59" s="49" t="s">
        <v>787</v>
      </c>
      <c r="C59" s="51" t="s">
        <v>220</v>
      </c>
      <c r="D59" s="54"/>
      <c r="E59" s="5"/>
      <c r="F59" s="5"/>
      <c r="G59" s="5"/>
      <c r="J59" s="5"/>
      <c r="M59" s="5"/>
      <c r="N59" s="5"/>
      <c r="P59" s="5"/>
    </row>
    <row r="60" spans="1:16" ht="13">
      <c r="A60" s="48" t="s">
        <v>2576</v>
      </c>
      <c r="B60" s="49" t="s">
        <v>1426</v>
      </c>
      <c r="C60" s="51" t="s">
        <v>205</v>
      </c>
      <c r="D60" s="54"/>
      <c r="E60" s="5"/>
      <c r="F60" s="5"/>
      <c r="G60" s="5"/>
      <c r="J60" s="5"/>
      <c r="M60" s="5"/>
      <c r="N60" s="5"/>
      <c r="P60" s="5"/>
    </row>
    <row r="61" spans="1:16" ht="13">
      <c r="A61" s="48" t="s">
        <v>2577</v>
      </c>
      <c r="B61" s="49" t="s">
        <v>2578</v>
      </c>
      <c r="C61" s="51" t="s">
        <v>199</v>
      </c>
      <c r="D61" s="51"/>
      <c r="E61" s="5"/>
      <c r="F61" s="5"/>
      <c r="G61" s="5"/>
      <c r="J61" s="5"/>
      <c r="M61" s="5"/>
      <c r="N61" s="5"/>
      <c r="P61" s="5"/>
    </row>
    <row r="62" spans="1:16" ht="13">
      <c r="A62" s="48" t="s">
        <v>2579</v>
      </c>
      <c r="B62" s="49" t="s">
        <v>2578</v>
      </c>
      <c r="C62" s="51" t="s">
        <v>199</v>
      </c>
      <c r="D62" s="54"/>
      <c r="E62" s="5"/>
      <c r="F62" s="5"/>
      <c r="G62" s="5"/>
      <c r="J62" s="5"/>
      <c r="M62" s="5"/>
      <c r="N62" s="5"/>
      <c r="P62" s="5"/>
    </row>
    <row r="63" spans="1:16" ht="13">
      <c r="A63" s="48" t="s">
        <v>2580</v>
      </c>
      <c r="B63" s="49" t="s">
        <v>2581</v>
      </c>
      <c r="C63" s="51" t="s">
        <v>192</v>
      </c>
      <c r="D63" s="54"/>
      <c r="E63" s="5"/>
      <c r="F63" s="5"/>
      <c r="G63" s="5"/>
      <c r="J63" s="5"/>
      <c r="M63" s="5"/>
      <c r="N63" s="5"/>
      <c r="P63" s="5"/>
    </row>
    <row r="64" spans="1:16" ht="13">
      <c r="A64" s="48" t="s">
        <v>2582</v>
      </c>
      <c r="B64" s="49" t="s">
        <v>347</v>
      </c>
      <c r="C64" s="51" t="s">
        <v>225</v>
      </c>
      <c r="D64" s="54"/>
      <c r="E64" s="5"/>
      <c r="F64" s="5"/>
      <c r="G64" s="5"/>
      <c r="J64" s="5"/>
      <c r="M64" s="5"/>
      <c r="N64" s="5"/>
      <c r="P64" s="5"/>
    </row>
    <row r="65" spans="1:16" ht="13">
      <c r="A65" s="48" t="s">
        <v>2583</v>
      </c>
      <c r="B65" s="49" t="s">
        <v>2550</v>
      </c>
      <c r="C65" s="51" t="s">
        <v>199</v>
      </c>
      <c r="D65" s="54"/>
      <c r="E65" s="5"/>
      <c r="F65" s="5"/>
      <c r="G65" s="5"/>
      <c r="J65" s="5"/>
      <c r="M65" s="5"/>
      <c r="N65" s="5"/>
      <c r="P65" s="5"/>
    </row>
    <row r="66" spans="1:16" ht="13">
      <c r="A66" s="48" t="s">
        <v>2584</v>
      </c>
      <c r="B66" s="49" t="s">
        <v>2585</v>
      </c>
      <c r="C66" s="51" t="s">
        <v>225</v>
      </c>
      <c r="D66" s="54"/>
      <c r="E66" s="5"/>
      <c r="F66" s="5"/>
      <c r="G66" s="5"/>
      <c r="J66" s="5"/>
      <c r="M66" s="5"/>
      <c r="N66" s="5"/>
      <c r="P66" s="5"/>
    </row>
    <row r="67" spans="1:16" ht="13">
      <c r="A67" s="48" t="s">
        <v>2586</v>
      </c>
      <c r="B67" s="49" t="s">
        <v>2554</v>
      </c>
      <c r="C67" s="51" t="s">
        <v>192</v>
      </c>
      <c r="D67" s="54"/>
      <c r="E67" s="5"/>
      <c r="F67" s="5"/>
      <c r="G67" s="5"/>
      <c r="J67" s="5"/>
      <c r="M67" s="5"/>
      <c r="N67" s="5"/>
      <c r="P67" s="5"/>
    </row>
    <row r="68" spans="1:16" ht="13">
      <c r="A68" s="48" t="s">
        <v>2587</v>
      </c>
      <c r="B68" s="49" t="s">
        <v>2556</v>
      </c>
      <c r="C68" s="51" t="s">
        <v>208</v>
      </c>
      <c r="D68" s="54"/>
      <c r="E68" s="5"/>
      <c r="F68" s="5"/>
      <c r="G68" s="5"/>
      <c r="J68" s="5"/>
      <c r="M68" s="5"/>
      <c r="N68" s="5"/>
      <c r="P68" s="5"/>
    </row>
    <row r="69" spans="1:16" ht="13">
      <c r="A69" s="48" t="s">
        <v>2588</v>
      </c>
      <c r="B69" s="49" t="s">
        <v>2589</v>
      </c>
      <c r="C69" s="51" t="s">
        <v>192</v>
      </c>
      <c r="D69" s="54"/>
      <c r="E69" s="5"/>
      <c r="F69" s="5"/>
      <c r="G69" s="5"/>
      <c r="J69" s="5"/>
      <c r="M69" s="5"/>
      <c r="N69" s="5"/>
      <c r="P69" s="5"/>
    </row>
    <row r="70" spans="1:16" ht="13">
      <c r="A70" s="48" t="s">
        <v>2590</v>
      </c>
      <c r="B70" s="49" t="s">
        <v>2589</v>
      </c>
      <c r="C70" s="51" t="s">
        <v>192</v>
      </c>
      <c r="D70" s="54"/>
      <c r="E70" s="5"/>
      <c r="F70" s="5"/>
      <c r="G70" s="5"/>
      <c r="J70" s="5"/>
      <c r="M70" s="5"/>
      <c r="N70" s="5"/>
      <c r="P70" s="5"/>
    </row>
    <row r="71" spans="1:16" ht="13">
      <c r="A71" s="48" t="s">
        <v>2591</v>
      </c>
      <c r="B71" s="49" t="s">
        <v>281</v>
      </c>
      <c r="C71" s="51" t="s">
        <v>195</v>
      </c>
      <c r="D71" s="5"/>
      <c r="J71" s="5"/>
      <c r="M71" s="5"/>
      <c r="N71" s="5"/>
      <c r="P71" s="5"/>
    </row>
    <row r="72" spans="1:16" ht="13">
      <c r="A72" s="48" t="s">
        <v>2592</v>
      </c>
      <c r="B72" s="49" t="s">
        <v>2593</v>
      </c>
      <c r="C72" s="51" t="s">
        <v>220</v>
      </c>
      <c r="D72" s="54"/>
      <c r="E72" s="5"/>
      <c r="F72" s="5"/>
      <c r="G72" s="5"/>
      <c r="J72" s="5"/>
      <c r="M72" s="5"/>
      <c r="N72" s="5"/>
      <c r="P72" s="5"/>
    </row>
    <row r="73" spans="1:16" ht="13">
      <c r="A73" s="48" t="s">
        <v>2594</v>
      </c>
      <c r="B73" s="49" t="s">
        <v>203</v>
      </c>
      <c r="C73" s="51" t="s">
        <v>197</v>
      </c>
      <c r="D73" s="54"/>
      <c r="E73" s="5"/>
      <c r="F73" s="5"/>
      <c r="G73" s="5"/>
      <c r="J73" s="5"/>
      <c r="M73" s="5"/>
      <c r="N73" s="5"/>
      <c r="P73" s="5"/>
    </row>
    <row r="74" spans="1:16" ht="13">
      <c r="A74" s="48" t="s">
        <v>2595</v>
      </c>
      <c r="B74" s="49" t="s">
        <v>2596</v>
      </c>
      <c r="C74" s="51" t="s">
        <v>220</v>
      </c>
      <c r="D74" s="54"/>
      <c r="E74" s="5"/>
      <c r="F74" s="5"/>
      <c r="G74" s="5"/>
      <c r="J74" s="5"/>
      <c r="M74" s="5"/>
      <c r="N74" s="5"/>
      <c r="P74" s="5"/>
    </row>
    <row r="75" spans="1:16" ht="13">
      <c r="A75" s="48" t="s">
        <v>2597</v>
      </c>
      <c r="B75" s="49" t="s">
        <v>2598</v>
      </c>
      <c r="C75" s="51" t="s">
        <v>192</v>
      </c>
      <c r="D75" s="51"/>
      <c r="E75" s="5"/>
      <c r="F75" s="5"/>
      <c r="G75" s="5"/>
      <c r="J75" s="5"/>
      <c r="M75" s="5"/>
      <c r="N75" s="5"/>
      <c r="P75" s="5"/>
    </row>
    <row r="76" spans="1:16" ht="13">
      <c r="A76" s="48" t="s">
        <v>2599</v>
      </c>
      <c r="B76" s="49" t="s">
        <v>283</v>
      </c>
      <c r="C76" s="51" t="s">
        <v>205</v>
      </c>
      <c r="D76" s="54"/>
      <c r="E76" s="5"/>
      <c r="F76" s="51"/>
      <c r="G76" s="5"/>
      <c r="J76" s="5"/>
      <c r="M76" s="5"/>
      <c r="N76" s="5"/>
      <c r="P76" s="5"/>
    </row>
    <row r="77" spans="1:16" ht="13">
      <c r="A77" s="48" t="s">
        <v>2600</v>
      </c>
      <c r="B77" s="49" t="s">
        <v>2601</v>
      </c>
      <c r="C77" s="51" t="s">
        <v>199</v>
      </c>
      <c r="D77" s="54"/>
      <c r="E77" s="5"/>
      <c r="F77" s="5"/>
      <c r="G77" s="5"/>
      <c r="J77" s="5"/>
      <c r="M77" s="5"/>
      <c r="N77" s="5"/>
      <c r="P77" s="5"/>
    </row>
    <row r="78" spans="1:16" ht="13">
      <c r="A78" s="48" t="s">
        <v>2602</v>
      </c>
      <c r="B78" s="49" t="s">
        <v>285</v>
      </c>
      <c r="C78" s="51" t="s">
        <v>192</v>
      </c>
      <c r="D78" s="51"/>
      <c r="E78" s="5"/>
      <c r="F78" s="51"/>
      <c r="G78" s="5"/>
      <c r="J78" s="5"/>
      <c r="M78" s="5"/>
      <c r="N78" s="5"/>
      <c r="P78" s="5"/>
    </row>
    <row r="79" spans="1:16" ht="13">
      <c r="A79" s="48" t="s">
        <v>2603</v>
      </c>
      <c r="B79" s="49" t="s">
        <v>1294</v>
      </c>
      <c r="C79" s="51" t="s">
        <v>225</v>
      </c>
      <c r="D79" s="54"/>
      <c r="E79" s="5"/>
      <c r="F79" s="5"/>
      <c r="G79" s="5"/>
      <c r="J79" s="5"/>
      <c r="M79" s="5"/>
      <c r="N79" s="5"/>
      <c r="P79" s="5"/>
    </row>
    <row r="80" spans="1:16" ht="13">
      <c r="A80" s="48" t="s">
        <v>2604</v>
      </c>
      <c r="B80" s="49" t="s">
        <v>215</v>
      </c>
      <c r="C80" s="51" t="s">
        <v>208</v>
      </c>
      <c r="D80" s="54"/>
      <c r="E80" s="5"/>
      <c r="F80" s="5"/>
      <c r="G80" s="5"/>
      <c r="J80" s="5"/>
      <c r="M80" s="5"/>
      <c r="N80" s="5"/>
      <c r="P80" s="5"/>
    </row>
    <row r="81" spans="1:16" ht="13">
      <c r="A81" s="48" t="s">
        <v>2605</v>
      </c>
      <c r="B81" s="49" t="s">
        <v>202</v>
      </c>
      <c r="C81" s="51" t="s">
        <v>197</v>
      </c>
      <c r="D81" s="51"/>
      <c r="E81" s="5"/>
      <c r="F81" s="5"/>
      <c r="G81" s="5"/>
      <c r="J81" s="5"/>
      <c r="M81" s="5"/>
      <c r="N81" s="5"/>
      <c r="P81" s="5"/>
    </row>
    <row r="82" spans="1:16" ht="13">
      <c r="A82" s="48" t="s">
        <v>2606</v>
      </c>
      <c r="B82" s="49" t="s">
        <v>291</v>
      </c>
      <c r="C82" s="51" t="s">
        <v>199</v>
      </c>
      <c r="D82" s="54"/>
      <c r="E82" s="5"/>
      <c r="F82" s="5"/>
      <c r="G82" s="5"/>
      <c r="J82" s="5"/>
      <c r="M82" s="5"/>
      <c r="N82" s="5"/>
      <c r="P82" s="5"/>
    </row>
    <row r="83" spans="1:16" ht="13">
      <c r="A83" s="48" t="s">
        <v>2607</v>
      </c>
      <c r="B83" s="49" t="s">
        <v>1303</v>
      </c>
      <c r="C83" s="51" t="s">
        <v>808</v>
      </c>
      <c r="D83" s="54"/>
      <c r="E83" s="5"/>
      <c r="F83" s="5"/>
      <c r="G83" s="5"/>
      <c r="J83" s="5"/>
      <c r="M83" s="5"/>
      <c r="N83" s="5"/>
      <c r="P83" s="5"/>
    </row>
    <row r="84" spans="1:16" ht="13">
      <c r="A84" s="48" t="s">
        <v>2608</v>
      </c>
      <c r="B84" s="49" t="s">
        <v>271</v>
      </c>
      <c r="C84" s="51" t="s">
        <v>197</v>
      </c>
      <c r="D84" s="54"/>
      <c r="E84" s="5"/>
      <c r="F84" s="5"/>
      <c r="G84" s="5"/>
      <c r="J84" s="5"/>
      <c r="M84" s="5"/>
      <c r="N84" s="5"/>
      <c r="P84" s="5"/>
    </row>
    <row r="85" spans="1:16" ht="13">
      <c r="A85" s="48" t="s">
        <v>2609</v>
      </c>
      <c r="B85" s="49" t="s">
        <v>1307</v>
      </c>
      <c r="C85" s="51" t="s">
        <v>195</v>
      </c>
      <c r="D85" s="54"/>
      <c r="E85" s="5"/>
      <c r="F85" s="5"/>
      <c r="G85" s="5"/>
      <c r="J85" s="5"/>
      <c r="M85" s="5"/>
      <c r="N85" s="5"/>
      <c r="P85" s="5"/>
    </row>
    <row r="86" spans="1:16" ht="13">
      <c r="A86" s="48" t="s">
        <v>2610</v>
      </c>
      <c r="B86" s="49" t="s">
        <v>293</v>
      </c>
      <c r="C86" s="51" t="s">
        <v>225</v>
      </c>
      <c r="D86" s="54"/>
      <c r="E86" s="5"/>
      <c r="F86" s="5"/>
      <c r="G86" s="5"/>
      <c r="J86" s="5"/>
      <c r="M86" s="5"/>
      <c r="N86" s="5"/>
      <c r="P86" s="5"/>
    </row>
    <row r="87" spans="1:16" ht="13">
      <c r="A87" s="48" t="s">
        <v>2611</v>
      </c>
      <c r="B87" s="49" t="s">
        <v>387</v>
      </c>
      <c r="C87" s="51" t="s">
        <v>208</v>
      </c>
      <c r="D87" s="54"/>
      <c r="E87" s="5"/>
      <c r="F87" s="5"/>
      <c r="G87" s="5"/>
      <c r="J87" s="5"/>
      <c r="M87" s="5"/>
      <c r="N87" s="5"/>
      <c r="P87" s="5"/>
    </row>
    <row r="88" spans="1:16" ht="13">
      <c r="A88" s="48" t="s">
        <v>2612</v>
      </c>
      <c r="B88" s="49" t="s">
        <v>296</v>
      </c>
      <c r="C88" s="51" t="s">
        <v>208</v>
      </c>
      <c r="D88" s="51"/>
      <c r="E88" s="5"/>
      <c r="F88" s="5"/>
      <c r="G88" s="5"/>
      <c r="J88" s="5"/>
      <c r="M88" s="5"/>
      <c r="N88" s="5"/>
      <c r="P88" s="5"/>
    </row>
    <row r="89" spans="1:16" ht="13">
      <c r="A89" s="48" t="s">
        <v>2613</v>
      </c>
      <c r="B89" s="49" t="s">
        <v>296</v>
      </c>
      <c r="C89" s="51" t="s">
        <v>208</v>
      </c>
      <c r="D89" s="54"/>
      <c r="E89" s="5"/>
      <c r="F89" s="5"/>
      <c r="G89" s="5"/>
      <c r="J89" s="5"/>
      <c r="M89" s="5"/>
      <c r="N89" s="5"/>
      <c r="P89" s="5"/>
    </row>
    <row r="90" spans="1:16" ht="13">
      <c r="A90" s="48" t="s">
        <v>2614</v>
      </c>
      <c r="B90" s="49" t="s">
        <v>1315</v>
      </c>
      <c r="C90" s="51" t="s">
        <v>197</v>
      </c>
      <c r="D90" s="54"/>
      <c r="E90" s="5"/>
      <c r="F90" s="5"/>
      <c r="G90" s="5"/>
      <c r="J90" s="5"/>
      <c r="M90" s="5"/>
      <c r="N90" s="5"/>
      <c r="P90" s="5"/>
    </row>
    <row r="91" spans="1:16" ht="13">
      <c r="A91" s="48" t="s">
        <v>2615</v>
      </c>
      <c r="B91" s="49" t="s">
        <v>300</v>
      </c>
      <c r="C91" s="51" t="s">
        <v>205</v>
      </c>
      <c r="D91" s="54"/>
      <c r="E91" s="5"/>
      <c r="F91" s="5"/>
      <c r="G91" s="5"/>
      <c r="J91" s="5"/>
      <c r="M91" s="5"/>
      <c r="N91" s="5"/>
      <c r="P91" s="5"/>
    </row>
    <row r="92" spans="1:16" ht="13">
      <c r="A92" s="48" t="s">
        <v>2616</v>
      </c>
      <c r="B92" s="49" t="s">
        <v>389</v>
      </c>
      <c r="C92" s="51" t="s">
        <v>205</v>
      </c>
      <c r="D92" s="54"/>
      <c r="E92" s="5"/>
      <c r="F92" s="5"/>
      <c r="G92" s="5"/>
      <c r="J92" s="5"/>
      <c r="M92" s="5"/>
      <c r="N92" s="5"/>
      <c r="P92" s="5"/>
    </row>
    <row r="93" spans="1:16" ht="13">
      <c r="A93" s="48" t="s">
        <v>2617</v>
      </c>
      <c r="B93" s="49" t="s">
        <v>1015</v>
      </c>
      <c r="C93" s="51" t="s">
        <v>206</v>
      </c>
      <c r="D93" s="54"/>
      <c r="E93" s="5"/>
      <c r="F93" s="5"/>
      <c r="G93" s="5"/>
      <c r="J93" s="5"/>
      <c r="M93" s="5"/>
      <c r="N93" s="5"/>
      <c r="P93" s="5"/>
    </row>
    <row r="94" spans="1:16" ht="13">
      <c r="A94" s="48" t="s">
        <v>2618</v>
      </c>
      <c r="B94" s="49" t="s">
        <v>2029</v>
      </c>
      <c r="C94" s="51" t="s">
        <v>206</v>
      </c>
      <c r="D94" s="54"/>
      <c r="E94" s="5"/>
      <c r="F94" s="5"/>
      <c r="G94" s="5"/>
      <c r="J94" s="5"/>
      <c r="M94" s="5"/>
      <c r="N94" s="5"/>
      <c r="P94" s="5"/>
    </row>
    <row r="95" spans="1:16" ht="13">
      <c r="A95" s="48" t="s">
        <v>2619</v>
      </c>
      <c r="B95" s="49" t="s">
        <v>2620</v>
      </c>
      <c r="C95" s="51" t="s">
        <v>1013</v>
      </c>
      <c r="D95" s="54"/>
      <c r="E95" s="5"/>
      <c r="F95" s="5"/>
      <c r="G95" s="5"/>
      <c r="J95" s="5"/>
      <c r="M95" s="5"/>
      <c r="N95" s="5"/>
      <c r="P95" s="5"/>
    </row>
    <row r="96" spans="1:16" ht="13">
      <c r="A96" s="48" t="s">
        <v>2621</v>
      </c>
      <c r="B96" s="49" t="s">
        <v>2622</v>
      </c>
      <c r="C96" s="51" t="s">
        <v>1013</v>
      </c>
      <c r="D96" s="54"/>
      <c r="E96" s="5"/>
      <c r="F96" s="5"/>
      <c r="G96" s="5"/>
      <c r="J96" s="5"/>
      <c r="M96" s="5"/>
      <c r="N96" s="5"/>
      <c r="P96" s="5"/>
    </row>
    <row r="97" spans="1:16" ht="13">
      <c r="A97" s="48" t="s">
        <v>2623</v>
      </c>
      <c r="B97" s="49" t="s">
        <v>2624</v>
      </c>
      <c r="C97" s="51" t="s">
        <v>1013</v>
      </c>
      <c r="D97" s="54"/>
      <c r="E97" s="5"/>
      <c r="F97" s="5"/>
      <c r="G97" s="5"/>
      <c r="J97" s="5"/>
      <c r="M97" s="5"/>
      <c r="N97" s="5"/>
      <c r="P97" s="5"/>
    </row>
    <row r="98" spans="1:16" ht="13">
      <c r="A98" s="48" t="s">
        <v>2625</v>
      </c>
      <c r="B98" s="49" t="s">
        <v>2626</v>
      </c>
      <c r="C98" s="51" t="s">
        <v>229</v>
      </c>
      <c r="D98" s="51"/>
      <c r="E98" s="5"/>
      <c r="F98" s="5"/>
      <c r="G98" s="5"/>
      <c r="J98" s="5"/>
      <c r="M98" s="5"/>
      <c r="N98" s="5"/>
      <c r="P98" s="5"/>
    </row>
    <row r="99" spans="1:16" ht="13">
      <c r="A99" s="48" t="s">
        <v>2627</v>
      </c>
      <c r="B99" s="49" t="s">
        <v>2628</v>
      </c>
      <c r="C99" s="51" t="s">
        <v>1013</v>
      </c>
      <c r="D99" s="54"/>
      <c r="E99" s="5"/>
      <c r="F99" s="5"/>
      <c r="G99" s="5"/>
      <c r="J99" s="5"/>
      <c r="M99" s="5"/>
      <c r="N99" s="5"/>
      <c r="P99" s="5"/>
    </row>
    <row r="100" spans="1:16" ht="13">
      <c r="A100" s="48" t="s">
        <v>2629</v>
      </c>
      <c r="B100" s="49" t="s">
        <v>2630</v>
      </c>
      <c r="C100" s="51" t="s">
        <v>229</v>
      </c>
      <c r="D100" s="54"/>
      <c r="E100" s="5"/>
      <c r="F100" s="5"/>
      <c r="G100" s="5"/>
      <c r="J100" s="5"/>
      <c r="M100" s="5"/>
      <c r="N100" s="5"/>
      <c r="P100" s="5"/>
    </row>
    <row r="101" spans="1:16" ht="13">
      <c r="A101" s="48" t="s">
        <v>2631</v>
      </c>
      <c r="B101" s="49" t="s">
        <v>2632</v>
      </c>
      <c r="C101" s="51" t="s">
        <v>1013</v>
      </c>
      <c r="D101" s="54"/>
      <c r="E101" s="5"/>
      <c r="F101" s="5"/>
      <c r="G101" s="5"/>
      <c r="J101" s="5"/>
      <c r="M101" s="5"/>
      <c r="N101" s="5"/>
      <c r="P101" s="5"/>
    </row>
    <row r="102" spans="1:16" ht="13">
      <c r="A102" s="48" t="s">
        <v>2633</v>
      </c>
      <c r="B102" s="49" t="s">
        <v>2634</v>
      </c>
      <c r="C102" s="51" t="s">
        <v>206</v>
      </c>
      <c r="D102" s="54"/>
      <c r="E102" s="5"/>
      <c r="F102" s="5"/>
      <c r="G102" s="5"/>
      <c r="J102" s="5"/>
      <c r="M102" s="5"/>
      <c r="N102" s="5"/>
      <c r="P102" s="5"/>
    </row>
    <row r="103" spans="1:16" ht="13">
      <c r="A103" s="48" t="s">
        <v>2635</v>
      </c>
      <c r="B103" s="49" t="s">
        <v>658</v>
      </c>
      <c r="C103" s="51" t="s">
        <v>206</v>
      </c>
      <c r="D103" s="51"/>
      <c r="E103" s="5"/>
      <c r="F103" s="5"/>
      <c r="G103" s="5"/>
      <c r="J103" s="5"/>
      <c r="M103" s="5"/>
      <c r="N103" s="5"/>
      <c r="P103" s="5"/>
    </row>
    <row r="104" spans="1:16" ht="13">
      <c r="A104" s="48" t="s">
        <v>2636</v>
      </c>
      <c r="B104" s="49" t="s">
        <v>925</v>
      </c>
      <c r="C104" s="51" t="s">
        <v>206</v>
      </c>
      <c r="D104" s="54"/>
      <c r="E104" s="5"/>
      <c r="F104" s="5"/>
      <c r="G104" s="5"/>
      <c r="J104" s="5"/>
      <c r="M104" s="5"/>
      <c r="N104" s="5"/>
      <c r="P104" s="5"/>
    </row>
    <row r="105" spans="1:16" ht="13">
      <c r="A105" s="48" t="s">
        <v>2637</v>
      </c>
      <c r="B105" s="49" t="s">
        <v>314</v>
      </c>
      <c r="C105" s="51" t="s">
        <v>206</v>
      </c>
      <c r="D105" s="54"/>
      <c r="E105" s="5"/>
      <c r="F105" s="5"/>
      <c r="G105" s="5"/>
      <c r="J105" s="5"/>
      <c r="M105" s="5"/>
      <c r="N105" s="5"/>
      <c r="P105" s="5"/>
    </row>
    <row r="106" spans="1:16" ht="13">
      <c r="A106" s="48" t="s">
        <v>2638</v>
      </c>
      <c r="B106" s="49" t="s">
        <v>315</v>
      </c>
      <c r="C106" s="51" t="s">
        <v>206</v>
      </c>
      <c r="D106" s="51"/>
      <c r="E106" s="5"/>
      <c r="F106" s="5"/>
      <c r="G106" s="5"/>
      <c r="J106" s="5"/>
      <c r="M106" s="5"/>
      <c r="N106" s="5"/>
      <c r="P106" s="5"/>
    </row>
    <row r="107" spans="1:16" ht="13">
      <c r="A107" s="48" t="s">
        <v>2639</v>
      </c>
      <c r="B107" s="49" t="s">
        <v>933</v>
      </c>
      <c r="C107" s="51" t="s">
        <v>317</v>
      </c>
      <c r="D107" s="54"/>
      <c r="E107" s="5"/>
      <c r="F107" s="5"/>
      <c r="G107" s="5"/>
      <c r="J107" s="5"/>
      <c r="M107" s="5"/>
      <c r="N107" s="5"/>
      <c r="P107" s="5"/>
    </row>
    <row r="108" spans="1:16" ht="13">
      <c r="A108" s="48" t="s">
        <v>2640</v>
      </c>
      <c r="B108" s="49" t="s">
        <v>2641</v>
      </c>
      <c r="C108" s="51" t="s">
        <v>317</v>
      </c>
      <c r="D108" s="54"/>
      <c r="E108" s="5"/>
      <c r="F108" s="5"/>
      <c r="G108" s="5"/>
      <c r="J108" s="5"/>
      <c r="M108" s="5"/>
      <c r="N108" s="5"/>
      <c r="P108" s="5"/>
    </row>
    <row r="109" spans="1:16" ht="13">
      <c r="A109" s="48" t="s">
        <v>2642</v>
      </c>
      <c r="B109" s="49" t="s">
        <v>2643</v>
      </c>
      <c r="C109" s="51" t="s">
        <v>317</v>
      </c>
      <c r="D109" s="54"/>
      <c r="E109" s="5"/>
      <c r="F109" s="5"/>
      <c r="G109" s="5"/>
      <c r="J109" s="5"/>
      <c r="M109" s="5"/>
      <c r="N109" s="5"/>
      <c r="P109" s="5"/>
    </row>
    <row r="110" spans="1:16" ht="13">
      <c r="A110" s="48" t="s">
        <v>2644</v>
      </c>
      <c r="B110" s="49" t="s">
        <v>2645</v>
      </c>
      <c r="C110" s="51" t="s">
        <v>317</v>
      </c>
      <c r="D110" s="54"/>
      <c r="E110" s="5"/>
      <c r="F110" s="5"/>
      <c r="G110" s="5"/>
      <c r="J110" s="5"/>
      <c r="M110" s="5"/>
      <c r="N110" s="5"/>
      <c r="P110" s="5"/>
    </row>
    <row r="111" spans="1:16" ht="13">
      <c r="A111" s="48" t="s">
        <v>2646</v>
      </c>
      <c r="B111" s="49" t="s">
        <v>798</v>
      </c>
      <c r="C111" s="51" t="s">
        <v>317</v>
      </c>
      <c r="D111" s="54"/>
      <c r="E111" s="5"/>
      <c r="F111" s="5"/>
      <c r="G111" s="5"/>
      <c r="J111" s="5"/>
      <c r="M111" s="5"/>
      <c r="N111" s="5"/>
      <c r="P111" s="5"/>
    </row>
    <row r="112" spans="1:16" ht="13">
      <c r="A112" s="48" t="s">
        <v>2647</v>
      </c>
      <c r="B112" s="49" t="s">
        <v>2648</v>
      </c>
      <c r="C112" s="51" t="s">
        <v>199</v>
      </c>
      <c r="D112" s="54"/>
      <c r="E112" s="5"/>
      <c r="F112" s="5"/>
      <c r="G112" s="5"/>
      <c r="J112" s="5"/>
      <c r="M112" s="5"/>
      <c r="N112" s="5"/>
      <c r="P112" s="5"/>
    </row>
    <row r="113" spans="1:16" ht="13">
      <c r="A113" s="48" t="s">
        <v>2649</v>
      </c>
      <c r="B113" s="49" t="s">
        <v>2650</v>
      </c>
      <c r="C113" s="51" t="s">
        <v>192</v>
      </c>
      <c r="D113" s="54"/>
      <c r="E113" s="5"/>
      <c r="F113" s="5"/>
      <c r="G113" s="5"/>
      <c r="J113" s="5"/>
      <c r="M113" s="5"/>
      <c r="N113" s="5"/>
      <c r="P113" s="5"/>
    </row>
    <row r="114" spans="1:16" ht="13">
      <c r="A114" s="48" t="s">
        <v>2651</v>
      </c>
      <c r="B114" s="49" t="s">
        <v>2652</v>
      </c>
      <c r="C114" s="51" t="s">
        <v>208</v>
      </c>
      <c r="D114" s="54"/>
      <c r="E114" s="5"/>
      <c r="F114" s="5"/>
      <c r="G114" s="5"/>
      <c r="J114" s="5"/>
      <c r="M114" s="5"/>
      <c r="N114" s="5"/>
      <c r="P114" s="5"/>
    </row>
    <row r="115" spans="1:16" ht="13">
      <c r="A115" s="48" t="s">
        <v>2653</v>
      </c>
      <c r="B115" s="58" t="str">
        <f>HYPERLINK("https://bulbapedia.bulbagarden.net/wiki/Groudon_%E2%98%86_(EX_Delta_Species_111)","Groudon*")</f>
        <v>Groudon*</v>
      </c>
      <c r="C115" s="51" t="s">
        <v>225</v>
      </c>
      <c r="D115" s="54"/>
      <c r="E115" s="5"/>
      <c r="F115" s="5"/>
      <c r="G115" s="5"/>
      <c r="J115" s="5"/>
      <c r="M115" s="5"/>
      <c r="N115" s="5"/>
      <c r="P115" s="5"/>
    </row>
    <row r="116" spans="1:16" ht="13">
      <c r="A116" s="48" t="s">
        <v>2654</v>
      </c>
      <c r="B116" s="58" t="str">
        <f>HYPERLINK("https://bulbapedia.bulbagarden.net/wiki/Kyogre_%E2%98%86_(EX_Delta_Species_112)","Kyogre*")</f>
        <v>Kyogre*</v>
      </c>
      <c r="C116" s="51" t="s">
        <v>208</v>
      </c>
      <c r="D116" s="54"/>
      <c r="E116" s="5"/>
      <c r="F116" s="5"/>
      <c r="G116" s="5"/>
      <c r="J116" s="5"/>
      <c r="M116" s="5"/>
      <c r="N116" s="5"/>
      <c r="P116" s="5"/>
    </row>
    <row r="117" spans="1:16" ht="13">
      <c r="A117" s="48" t="s">
        <v>2655</v>
      </c>
      <c r="B117" s="58" t="str">
        <f>HYPERLINK("https://bulbapedia.bulbagarden.net/wiki/Metagross_%E2%98%86_(EX_Delta_Species_113)","Metagross*")</f>
        <v>Metagross*</v>
      </c>
      <c r="C117" s="51" t="s">
        <v>220</v>
      </c>
      <c r="D117" s="54"/>
      <c r="E117" s="5"/>
      <c r="F117" s="5"/>
      <c r="G117" s="5"/>
      <c r="J117" s="5"/>
      <c r="M117" s="5"/>
      <c r="N117" s="5"/>
      <c r="P117" s="5"/>
    </row>
    <row r="118" spans="1:16" ht="13">
      <c r="A118" s="48" t="s">
        <v>2656</v>
      </c>
      <c r="B118" s="49" t="s">
        <v>768</v>
      </c>
      <c r="C118" s="51" t="s">
        <v>208</v>
      </c>
      <c r="D118" s="54"/>
      <c r="E118" s="5"/>
      <c r="F118" s="5"/>
      <c r="G118" s="5"/>
      <c r="J118" s="5"/>
      <c r="M118" s="5"/>
      <c r="N118" s="5"/>
      <c r="P118" s="5"/>
    </row>
    <row r="119" spans="1:16" ht="13">
      <c r="A119" s="48"/>
      <c r="B119" s="53"/>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1F00-000000000000}"/>
    <hyperlink ref="B6" r:id="rId2" xr:uid="{00000000-0004-0000-1F00-000001000000}"/>
    <hyperlink ref="B7" r:id="rId3" xr:uid="{00000000-0004-0000-1F00-000002000000}"/>
    <hyperlink ref="B8" r:id="rId4" xr:uid="{00000000-0004-0000-1F00-000003000000}"/>
    <hyperlink ref="B9" r:id="rId5" xr:uid="{00000000-0004-0000-1F00-000004000000}"/>
    <hyperlink ref="B10" r:id="rId6" xr:uid="{00000000-0004-0000-1F00-000005000000}"/>
    <hyperlink ref="B11" r:id="rId7" xr:uid="{00000000-0004-0000-1F00-000006000000}"/>
    <hyperlink ref="B12" r:id="rId8" xr:uid="{00000000-0004-0000-1F00-000007000000}"/>
    <hyperlink ref="B13" r:id="rId9" xr:uid="{00000000-0004-0000-1F00-000008000000}"/>
    <hyperlink ref="B14" r:id="rId10" xr:uid="{00000000-0004-0000-1F00-000009000000}"/>
    <hyperlink ref="B15" r:id="rId11" xr:uid="{00000000-0004-0000-1F00-00000A000000}"/>
    <hyperlink ref="B16" r:id="rId12" xr:uid="{00000000-0004-0000-1F00-00000B000000}"/>
    <hyperlink ref="B17" r:id="rId13" xr:uid="{00000000-0004-0000-1F00-00000C000000}"/>
    <hyperlink ref="B18" r:id="rId14" xr:uid="{00000000-0004-0000-1F00-00000D000000}"/>
    <hyperlink ref="B19" r:id="rId15" xr:uid="{00000000-0004-0000-1F00-00000E000000}"/>
    <hyperlink ref="B20" r:id="rId16" xr:uid="{00000000-0004-0000-1F00-00000F000000}"/>
    <hyperlink ref="B21" r:id="rId17" xr:uid="{00000000-0004-0000-1F00-000010000000}"/>
    <hyperlink ref="B22" r:id="rId18" xr:uid="{00000000-0004-0000-1F00-000011000000}"/>
    <hyperlink ref="B23" r:id="rId19" xr:uid="{00000000-0004-0000-1F00-000012000000}"/>
    <hyperlink ref="B24" r:id="rId20" xr:uid="{00000000-0004-0000-1F00-000013000000}"/>
    <hyperlink ref="B25" r:id="rId21" xr:uid="{00000000-0004-0000-1F00-000014000000}"/>
    <hyperlink ref="B26" r:id="rId22" xr:uid="{00000000-0004-0000-1F00-000015000000}"/>
    <hyperlink ref="B27" r:id="rId23" xr:uid="{00000000-0004-0000-1F00-000016000000}"/>
    <hyperlink ref="B28" r:id="rId24" xr:uid="{00000000-0004-0000-1F00-000017000000}"/>
    <hyperlink ref="B29" r:id="rId25" xr:uid="{00000000-0004-0000-1F00-000018000000}"/>
    <hyperlink ref="B30" r:id="rId26" xr:uid="{00000000-0004-0000-1F00-000019000000}"/>
    <hyperlink ref="B31" r:id="rId27" xr:uid="{00000000-0004-0000-1F00-00001A000000}"/>
    <hyperlink ref="B32" r:id="rId28" xr:uid="{00000000-0004-0000-1F00-00001B000000}"/>
    <hyperlink ref="B33" r:id="rId29" xr:uid="{00000000-0004-0000-1F00-00001C000000}"/>
    <hyperlink ref="B34" r:id="rId30" xr:uid="{00000000-0004-0000-1F00-00001D000000}"/>
    <hyperlink ref="B35" r:id="rId31" xr:uid="{00000000-0004-0000-1F00-00001E000000}"/>
    <hyperlink ref="B36" r:id="rId32" xr:uid="{00000000-0004-0000-1F00-00001F000000}"/>
    <hyperlink ref="B37" r:id="rId33" xr:uid="{00000000-0004-0000-1F00-000020000000}"/>
    <hyperlink ref="B38" r:id="rId34" xr:uid="{00000000-0004-0000-1F00-000021000000}"/>
    <hyperlink ref="B39" r:id="rId35" xr:uid="{00000000-0004-0000-1F00-000022000000}"/>
    <hyperlink ref="B40" r:id="rId36" xr:uid="{00000000-0004-0000-1F00-000023000000}"/>
    <hyperlink ref="B41" r:id="rId37" xr:uid="{00000000-0004-0000-1F00-000024000000}"/>
    <hyperlink ref="B42" r:id="rId38" xr:uid="{00000000-0004-0000-1F00-000025000000}"/>
    <hyperlink ref="B43" r:id="rId39" xr:uid="{00000000-0004-0000-1F00-000026000000}"/>
    <hyperlink ref="B44" r:id="rId40" xr:uid="{00000000-0004-0000-1F00-000027000000}"/>
    <hyperlink ref="B45" r:id="rId41" xr:uid="{00000000-0004-0000-1F00-000028000000}"/>
    <hyperlink ref="B46" r:id="rId42" xr:uid="{00000000-0004-0000-1F00-000029000000}"/>
    <hyperlink ref="B47" r:id="rId43" xr:uid="{00000000-0004-0000-1F00-00002A000000}"/>
    <hyperlink ref="B48" r:id="rId44" xr:uid="{00000000-0004-0000-1F00-00002B000000}"/>
    <hyperlink ref="B49" r:id="rId45" xr:uid="{00000000-0004-0000-1F00-00002C000000}"/>
    <hyperlink ref="B50" r:id="rId46" xr:uid="{00000000-0004-0000-1F00-00002D000000}"/>
    <hyperlink ref="B51" r:id="rId47" xr:uid="{00000000-0004-0000-1F00-00002E000000}"/>
    <hyperlink ref="B52" r:id="rId48" xr:uid="{00000000-0004-0000-1F00-00002F000000}"/>
    <hyperlink ref="B53" r:id="rId49" xr:uid="{00000000-0004-0000-1F00-000030000000}"/>
    <hyperlink ref="B54" r:id="rId50" xr:uid="{00000000-0004-0000-1F00-000031000000}"/>
    <hyperlink ref="B55" r:id="rId51" xr:uid="{00000000-0004-0000-1F00-000032000000}"/>
    <hyperlink ref="B56" r:id="rId52" xr:uid="{00000000-0004-0000-1F00-000033000000}"/>
    <hyperlink ref="B57" r:id="rId53" xr:uid="{00000000-0004-0000-1F00-000034000000}"/>
    <hyperlink ref="B58" r:id="rId54" xr:uid="{00000000-0004-0000-1F00-000035000000}"/>
    <hyperlink ref="B59" r:id="rId55" xr:uid="{00000000-0004-0000-1F00-000036000000}"/>
    <hyperlink ref="B60" r:id="rId56" xr:uid="{00000000-0004-0000-1F00-000037000000}"/>
    <hyperlink ref="B61" r:id="rId57" xr:uid="{00000000-0004-0000-1F00-000038000000}"/>
    <hyperlink ref="B62" r:id="rId58" xr:uid="{00000000-0004-0000-1F00-000039000000}"/>
    <hyperlink ref="B63" r:id="rId59" xr:uid="{00000000-0004-0000-1F00-00003A000000}"/>
    <hyperlink ref="B64" r:id="rId60" xr:uid="{00000000-0004-0000-1F00-00003B000000}"/>
    <hyperlink ref="B65" r:id="rId61" xr:uid="{00000000-0004-0000-1F00-00003C000000}"/>
    <hyperlink ref="B66" r:id="rId62" xr:uid="{00000000-0004-0000-1F00-00003D000000}"/>
    <hyperlink ref="B67" r:id="rId63" xr:uid="{00000000-0004-0000-1F00-00003E000000}"/>
    <hyperlink ref="B68" r:id="rId64" xr:uid="{00000000-0004-0000-1F00-00003F000000}"/>
    <hyperlink ref="B69" r:id="rId65" xr:uid="{00000000-0004-0000-1F00-000040000000}"/>
    <hyperlink ref="B70" r:id="rId66" xr:uid="{00000000-0004-0000-1F00-000041000000}"/>
    <hyperlink ref="B71" r:id="rId67" xr:uid="{00000000-0004-0000-1F00-000042000000}"/>
    <hyperlink ref="B72" r:id="rId68" xr:uid="{00000000-0004-0000-1F00-000043000000}"/>
    <hyperlink ref="B73" r:id="rId69" xr:uid="{00000000-0004-0000-1F00-000044000000}"/>
    <hyperlink ref="B74" r:id="rId70" xr:uid="{00000000-0004-0000-1F00-000045000000}"/>
    <hyperlink ref="B75" r:id="rId71" xr:uid="{00000000-0004-0000-1F00-000046000000}"/>
    <hyperlink ref="B76" r:id="rId72" xr:uid="{00000000-0004-0000-1F00-000047000000}"/>
    <hyperlink ref="B77" r:id="rId73" xr:uid="{00000000-0004-0000-1F00-000048000000}"/>
    <hyperlink ref="B78" r:id="rId74" xr:uid="{00000000-0004-0000-1F00-000049000000}"/>
    <hyperlink ref="B79" r:id="rId75" xr:uid="{00000000-0004-0000-1F00-00004A000000}"/>
    <hyperlink ref="B80" r:id="rId76" xr:uid="{00000000-0004-0000-1F00-00004B000000}"/>
    <hyperlink ref="B81" r:id="rId77" xr:uid="{00000000-0004-0000-1F00-00004C000000}"/>
    <hyperlink ref="B82" r:id="rId78" xr:uid="{00000000-0004-0000-1F00-00004D000000}"/>
    <hyperlink ref="B83" r:id="rId79" xr:uid="{00000000-0004-0000-1F00-00004E000000}"/>
    <hyperlink ref="B84" r:id="rId80" xr:uid="{00000000-0004-0000-1F00-00004F000000}"/>
    <hyperlink ref="B85" r:id="rId81" xr:uid="{00000000-0004-0000-1F00-000050000000}"/>
    <hyperlink ref="B86" r:id="rId82" xr:uid="{00000000-0004-0000-1F00-000051000000}"/>
    <hyperlink ref="B87" r:id="rId83" xr:uid="{00000000-0004-0000-1F00-000052000000}"/>
    <hyperlink ref="B88" r:id="rId84" xr:uid="{00000000-0004-0000-1F00-000053000000}"/>
    <hyperlink ref="B89" r:id="rId85" xr:uid="{00000000-0004-0000-1F00-000054000000}"/>
    <hyperlink ref="B90" r:id="rId86" xr:uid="{00000000-0004-0000-1F00-000055000000}"/>
    <hyperlink ref="B91" r:id="rId87" xr:uid="{00000000-0004-0000-1F00-000056000000}"/>
    <hyperlink ref="B92" r:id="rId88" xr:uid="{00000000-0004-0000-1F00-000057000000}"/>
    <hyperlink ref="B93" r:id="rId89" xr:uid="{00000000-0004-0000-1F00-000058000000}"/>
    <hyperlink ref="B94" r:id="rId90" xr:uid="{00000000-0004-0000-1F00-000059000000}"/>
    <hyperlink ref="B95" r:id="rId91" xr:uid="{00000000-0004-0000-1F00-00005A000000}"/>
    <hyperlink ref="B96" r:id="rId92" xr:uid="{00000000-0004-0000-1F00-00005B000000}"/>
    <hyperlink ref="B97" r:id="rId93" xr:uid="{00000000-0004-0000-1F00-00005C000000}"/>
    <hyperlink ref="B98" r:id="rId94" xr:uid="{00000000-0004-0000-1F00-00005D000000}"/>
    <hyperlink ref="B99" r:id="rId95" xr:uid="{00000000-0004-0000-1F00-00005E000000}"/>
    <hyperlink ref="B100" r:id="rId96" xr:uid="{00000000-0004-0000-1F00-00005F000000}"/>
    <hyperlink ref="B101" r:id="rId97" xr:uid="{00000000-0004-0000-1F00-000060000000}"/>
    <hyperlink ref="B102" r:id="rId98" xr:uid="{00000000-0004-0000-1F00-000061000000}"/>
    <hyperlink ref="B103" r:id="rId99" xr:uid="{00000000-0004-0000-1F00-000062000000}"/>
    <hyperlink ref="B104" r:id="rId100" xr:uid="{00000000-0004-0000-1F00-000063000000}"/>
    <hyperlink ref="B105" r:id="rId101" xr:uid="{00000000-0004-0000-1F00-000064000000}"/>
    <hyperlink ref="B106" r:id="rId102" xr:uid="{00000000-0004-0000-1F00-000065000000}"/>
    <hyperlink ref="B107" r:id="rId103" xr:uid="{00000000-0004-0000-1F00-000066000000}"/>
    <hyperlink ref="B108" r:id="rId104" xr:uid="{00000000-0004-0000-1F00-000067000000}"/>
    <hyperlink ref="B109" r:id="rId105" xr:uid="{00000000-0004-0000-1F00-000068000000}"/>
    <hyperlink ref="B110" r:id="rId106" xr:uid="{00000000-0004-0000-1F00-000069000000}"/>
    <hyperlink ref="B111" r:id="rId107" xr:uid="{00000000-0004-0000-1F00-00006A000000}"/>
    <hyperlink ref="B112" r:id="rId108" xr:uid="{00000000-0004-0000-1F00-00006B000000}"/>
    <hyperlink ref="B113" r:id="rId109" xr:uid="{00000000-0004-0000-1F00-00006C000000}"/>
    <hyperlink ref="B114" r:id="rId110" xr:uid="{00000000-0004-0000-1F00-00006D000000}"/>
    <hyperlink ref="B118" r:id="rId111" xr:uid="{00000000-0004-0000-1F00-00006E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4.33203125" customWidth="1"/>
    <col min="3" max="3" width="13.5" customWidth="1"/>
    <col min="4" max="4" width="14.83203125" customWidth="1"/>
    <col min="5" max="5" width="14.33203125" customWidth="1"/>
    <col min="11" max="11" width="13.83203125" customWidth="1"/>
  </cols>
  <sheetData>
    <row r="1" spans="1:23" ht="15.75" customHeight="1">
      <c r="A1" s="1" t="s">
        <v>59</v>
      </c>
      <c r="B1" s="36"/>
      <c r="C1" s="37"/>
      <c r="D1" s="7" t="s">
        <v>181</v>
      </c>
      <c r="E1" s="5"/>
      <c r="F1" s="5"/>
      <c r="G1" s="5"/>
      <c r="K1" s="1"/>
      <c r="M1" s="5"/>
      <c r="N1" s="5"/>
      <c r="S1" s="1"/>
      <c r="U1" s="5"/>
    </row>
    <row r="2" spans="1:23" ht="15.75" customHeight="1">
      <c r="A2" s="7" t="s">
        <v>182</v>
      </c>
      <c r="B2" s="38">
        <v>38761</v>
      </c>
      <c r="C2" s="37"/>
      <c r="D2" s="39">
        <f>SUM(D5:G97)</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2657</v>
      </c>
      <c r="B5" s="49" t="s">
        <v>358</v>
      </c>
      <c r="C5" s="51" t="s">
        <v>197</v>
      </c>
      <c r="D5" s="54"/>
      <c r="E5" s="5"/>
      <c r="F5" s="5"/>
      <c r="G5" s="5"/>
      <c r="L5" s="43"/>
      <c r="M5" s="43"/>
      <c r="N5" s="42"/>
      <c r="O5" s="44"/>
      <c r="S5" s="42"/>
      <c r="T5" s="43"/>
      <c r="U5" s="43"/>
      <c r="V5" s="42"/>
      <c r="W5" s="44"/>
    </row>
    <row r="6" spans="1:23" ht="15.75" customHeight="1">
      <c r="A6" s="48" t="s">
        <v>2658</v>
      </c>
      <c r="B6" s="49" t="s">
        <v>1208</v>
      </c>
      <c r="C6" s="51" t="s">
        <v>220</v>
      </c>
      <c r="D6" s="54"/>
      <c r="E6" s="5"/>
      <c r="F6" s="5"/>
      <c r="G6" s="5"/>
      <c r="L6" s="50"/>
      <c r="M6" s="51"/>
      <c r="N6" s="5"/>
      <c r="S6" s="52"/>
      <c r="T6" s="50"/>
      <c r="U6" s="51"/>
    </row>
    <row r="7" spans="1:23" ht="15.75" customHeight="1">
      <c r="A7" s="48" t="s">
        <v>2659</v>
      </c>
      <c r="B7" s="49" t="s">
        <v>1359</v>
      </c>
      <c r="C7" s="51" t="s">
        <v>205</v>
      </c>
      <c r="D7" s="54"/>
      <c r="E7" s="5"/>
      <c r="F7" s="5"/>
      <c r="G7" s="5"/>
      <c r="K7" s="52"/>
      <c r="L7" s="50"/>
      <c r="M7" s="51"/>
      <c r="N7" s="5"/>
      <c r="S7" s="52"/>
      <c r="T7" s="50"/>
      <c r="U7" s="51"/>
    </row>
    <row r="8" spans="1:23" ht="15.75" customHeight="1">
      <c r="A8" s="48" t="s">
        <v>2660</v>
      </c>
      <c r="B8" s="49" t="s">
        <v>1216</v>
      </c>
      <c r="C8" s="51" t="s">
        <v>197</v>
      </c>
      <c r="D8" s="54"/>
      <c r="E8" s="5"/>
      <c r="F8" s="5"/>
      <c r="G8" s="5"/>
      <c r="K8" s="52"/>
      <c r="L8" s="50"/>
      <c r="M8" s="51"/>
      <c r="N8" s="51"/>
      <c r="S8" s="52"/>
      <c r="T8" s="50"/>
      <c r="U8" s="51"/>
    </row>
    <row r="9" spans="1:23" ht="15.75" customHeight="1">
      <c r="A9" s="48" t="s">
        <v>2661</v>
      </c>
      <c r="B9" s="49" t="s">
        <v>360</v>
      </c>
      <c r="C9" s="51" t="s">
        <v>195</v>
      </c>
      <c r="D9" s="54"/>
      <c r="E9" s="5"/>
      <c r="F9" s="51"/>
      <c r="G9" s="5"/>
      <c r="K9" s="52"/>
      <c r="L9" s="50"/>
      <c r="M9" s="51"/>
      <c r="N9" s="51"/>
      <c r="S9" s="52"/>
      <c r="T9" s="50"/>
      <c r="U9" s="51"/>
    </row>
    <row r="10" spans="1:23" ht="15.75" customHeight="1">
      <c r="A10" s="48" t="s">
        <v>2662</v>
      </c>
      <c r="B10" s="49" t="s">
        <v>370</v>
      </c>
      <c r="C10" s="51" t="s">
        <v>225</v>
      </c>
      <c r="D10" s="54"/>
      <c r="E10" s="5"/>
      <c r="F10" s="5"/>
      <c r="G10" s="5"/>
      <c r="K10" s="52"/>
      <c r="L10" s="50"/>
      <c r="M10" s="51"/>
      <c r="N10" s="5"/>
      <c r="S10" s="52"/>
      <c r="T10" s="50"/>
      <c r="U10" s="51"/>
    </row>
    <row r="11" spans="1:23" ht="15.75" customHeight="1">
      <c r="A11" s="48" t="s">
        <v>2663</v>
      </c>
      <c r="B11" s="49" t="s">
        <v>363</v>
      </c>
      <c r="C11" s="51" t="s">
        <v>225</v>
      </c>
      <c r="D11" s="54"/>
      <c r="E11" s="5"/>
      <c r="F11" s="5"/>
      <c r="G11" s="5"/>
      <c r="K11" s="52"/>
      <c r="L11" s="50"/>
      <c r="M11" s="51"/>
      <c r="N11" s="51"/>
      <c r="S11" s="52"/>
      <c r="T11" s="50"/>
      <c r="U11" s="51"/>
    </row>
    <row r="12" spans="1:23" ht="15.75" customHeight="1">
      <c r="A12" s="48" t="s">
        <v>2664</v>
      </c>
      <c r="B12" s="49" t="s">
        <v>364</v>
      </c>
      <c r="C12" s="51" t="s">
        <v>208</v>
      </c>
      <c r="D12" s="54"/>
      <c r="E12" s="5"/>
      <c r="F12" s="5"/>
      <c r="G12" s="5"/>
      <c r="K12" s="52"/>
      <c r="L12" s="50"/>
      <c r="M12" s="51"/>
      <c r="N12" s="51"/>
      <c r="S12" s="52"/>
      <c r="T12" s="50"/>
      <c r="U12" s="51"/>
    </row>
    <row r="13" spans="1:23" ht="15.75" customHeight="1">
      <c r="A13" s="48" t="s">
        <v>2665</v>
      </c>
      <c r="B13" s="49" t="s">
        <v>230</v>
      </c>
      <c r="C13" s="51" t="s">
        <v>225</v>
      </c>
      <c r="D13" s="54"/>
      <c r="E13" s="5"/>
      <c r="F13" s="5"/>
      <c r="G13" s="5"/>
      <c r="K13" s="52"/>
      <c r="L13" s="50"/>
      <c r="M13" s="51"/>
      <c r="N13" s="5"/>
      <c r="S13" s="52"/>
      <c r="T13" s="50"/>
      <c r="U13" s="51"/>
    </row>
    <row r="14" spans="1:23" ht="15.75" customHeight="1">
      <c r="A14" s="48" t="s">
        <v>2666</v>
      </c>
      <c r="B14" s="49" t="s">
        <v>201</v>
      </c>
      <c r="C14" s="51" t="s">
        <v>195</v>
      </c>
      <c r="D14" s="54"/>
      <c r="E14" s="5"/>
      <c r="F14" s="5"/>
      <c r="G14" s="5"/>
      <c r="K14" s="52"/>
      <c r="L14" s="50"/>
      <c r="M14" s="51"/>
      <c r="N14" s="51"/>
      <c r="S14" s="52"/>
      <c r="T14" s="50"/>
      <c r="U14" s="51"/>
    </row>
    <row r="15" spans="1:23" ht="15.75" customHeight="1">
      <c r="A15" s="48" t="s">
        <v>2667</v>
      </c>
      <c r="B15" s="49" t="s">
        <v>365</v>
      </c>
      <c r="C15" s="51" t="s">
        <v>205</v>
      </c>
      <c r="D15" s="54"/>
      <c r="E15" s="5"/>
      <c r="F15" s="5"/>
      <c r="G15" s="5"/>
      <c r="K15" s="52"/>
      <c r="L15" s="50"/>
      <c r="M15" s="51"/>
      <c r="N15" s="51"/>
      <c r="S15" s="52"/>
      <c r="T15" s="50"/>
      <c r="U15" s="51"/>
    </row>
    <row r="16" spans="1:23" ht="15.75" customHeight="1">
      <c r="A16" s="48" t="s">
        <v>2668</v>
      </c>
      <c r="B16" s="49" t="s">
        <v>1374</v>
      </c>
      <c r="C16" s="51" t="s">
        <v>808</v>
      </c>
      <c r="D16" s="54"/>
      <c r="E16" s="5"/>
      <c r="F16" s="5"/>
      <c r="G16" s="5"/>
      <c r="K16" s="52"/>
      <c r="L16" s="50"/>
      <c r="M16" s="51"/>
      <c r="N16" s="51"/>
      <c r="S16" s="52"/>
      <c r="T16" s="50"/>
      <c r="U16" s="51"/>
    </row>
    <row r="17" spans="1:27" ht="15.75" customHeight="1">
      <c r="A17" s="48" t="s">
        <v>2669</v>
      </c>
      <c r="B17" s="49" t="s">
        <v>328</v>
      </c>
      <c r="C17" s="51" t="s">
        <v>205</v>
      </c>
      <c r="D17" s="54"/>
      <c r="E17" s="5"/>
      <c r="F17" s="5"/>
      <c r="G17" s="5"/>
      <c r="K17" s="52"/>
      <c r="L17" s="50"/>
      <c r="M17" s="51"/>
      <c r="N17" s="51"/>
      <c r="S17" s="52"/>
      <c r="T17" s="50"/>
      <c r="U17" s="51"/>
    </row>
    <row r="18" spans="1:27" ht="15.75" customHeight="1">
      <c r="A18" s="48" t="s">
        <v>2670</v>
      </c>
      <c r="B18" s="49" t="s">
        <v>1234</v>
      </c>
      <c r="C18" s="51" t="s">
        <v>208</v>
      </c>
      <c r="D18" s="54"/>
      <c r="E18" s="5"/>
      <c r="F18" s="5"/>
      <c r="G18" s="5"/>
      <c r="M18" s="5"/>
      <c r="N18" s="5"/>
      <c r="U18" s="5"/>
      <c r="AA18" s="5"/>
    </row>
    <row r="19" spans="1:27" ht="15.75" customHeight="1">
      <c r="A19" s="48" t="s">
        <v>2671</v>
      </c>
      <c r="B19" s="49" t="s">
        <v>1491</v>
      </c>
      <c r="C19" s="51" t="s">
        <v>808</v>
      </c>
      <c r="D19" s="54"/>
      <c r="E19" s="5"/>
      <c r="F19" s="5"/>
      <c r="G19" s="5"/>
      <c r="K19" s="1"/>
      <c r="M19" s="5"/>
      <c r="N19" s="5"/>
      <c r="U19" s="5"/>
      <c r="AA19" s="5"/>
    </row>
    <row r="20" spans="1:27" ht="15.75" customHeight="1">
      <c r="A20" s="48" t="s">
        <v>2672</v>
      </c>
      <c r="B20" s="49" t="s">
        <v>865</v>
      </c>
      <c r="C20" s="51" t="s">
        <v>195</v>
      </c>
      <c r="D20" s="54"/>
      <c r="E20" s="5"/>
      <c r="F20" s="5"/>
      <c r="G20" s="5"/>
      <c r="L20" s="40"/>
      <c r="M20" s="5"/>
      <c r="N20" s="5"/>
      <c r="AA20" s="5"/>
    </row>
    <row r="21" spans="1:27" ht="15.75" customHeight="1">
      <c r="A21" s="48" t="s">
        <v>2673</v>
      </c>
      <c r="B21" s="49" t="s">
        <v>1814</v>
      </c>
      <c r="C21" s="51" t="s">
        <v>208</v>
      </c>
      <c r="D21" s="51"/>
      <c r="E21" s="5"/>
      <c r="F21" s="5"/>
      <c r="G21" s="5"/>
      <c r="M21" s="5"/>
      <c r="N21" s="5"/>
      <c r="AA21" s="5"/>
    </row>
    <row r="22" spans="1:27" ht="15.75" customHeight="1">
      <c r="A22" s="48" t="s">
        <v>2674</v>
      </c>
      <c r="B22" s="49" t="s">
        <v>1816</v>
      </c>
      <c r="C22" s="51" t="s">
        <v>208</v>
      </c>
      <c r="D22" s="54"/>
      <c r="E22" s="5"/>
      <c r="F22" s="5"/>
      <c r="G22" s="5"/>
      <c r="K22" s="42"/>
      <c r="L22" s="45"/>
      <c r="M22" s="46"/>
      <c r="N22" s="47"/>
      <c r="AA22" s="5"/>
    </row>
    <row r="23" spans="1:27" ht="15.75" customHeight="1">
      <c r="A23" s="48" t="s">
        <v>2675</v>
      </c>
      <c r="B23" s="49" t="s">
        <v>831</v>
      </c>
      <c r="C23" s="51" t="s">
        <v>192</v>
      </c>
      <c r="D23" s="54"/>
      <c r="E23" s="5"/>
      <c r="F23" s="5"/>
      <c r="G23" s="5"/>
      <c r="K23" s="42"/>
      <c r="L23" s="43"/>
      <c r="M23" s="43"/>
      <c r="N23" s="42"/>
      <c r="O23" s="44"/>
      <c r="AA23" s="5"/>
    </row>
    <row r="24" spans="1:27" ht="15.75" customHeight="1">
      <c r="A24" s="48" t="s">
        <v>2676</v>
      </c>
      <c r="B24" s="49" t="s">
        <v>1366</v>
      </c>
      <c r="C24" s="51" t="s">
        <v>195</v>
      </c>
      <c r="D24" s="54"/>
      <c r="E24" s="5"/>
      <c r="F24" s="5"/>
      <c r="G24" s="5"/>
      <c r="K24" s="52"/>
      <c r="L24" s="50"/>
      <c r="M24" s="51"/>
      <c r="N24" s="5"/>
      <c r="AA24" s="5"/>
    </row>
    <row r="25" spans="1:27" ht="15.75" customHeight="1">
      <c r="A25" s="48" t="s">
        <v>2677</v>
      </c>
      <c r="B25" s="49" t="s">
        <v>231</v>
      </c>
      <c r="C25" s="51" t="s">
        <v>199</v>
      </c>
      <c r="D25" s="54"/>
      <c r="E25" s="5"/>
      <c r="F25" s="5"/>
      <c r="G25" s="5"/>
      <c r="K25" s="52"/>
      <c r="L25" s="50"/>
      <c r="M25" s="51"/>
      <c r="N25" s="5"/>
      <c r="AA25" s="5"/>
    </row>
    <row r="26" spans="1:27" ht="15.75" customHeight="1">
      <c r="A26" s="48" t="s">
        <v>2678</v>
      </c>
      <c r="B26" s="49" t="s">
        <v>247</v>
      </c>
      <c r="C26" s="51" t="s">
        <v>192</v>
      </c>
      <c r="D26" s="54"/>
      <c r="E26" s="5"/>
      <c r="F26" s="5"/>
      <c r="G26" s="5"/>
      <c r="K26" s="52"/>
      <c r="L26" s="50"/>
      <c r="M26" s="51"/>
      <c r="N26" s="51"/>
      <c r="AA26" s="5"/>
    </row>
    <row r="27" spans="1:27" ht="15.75" customHeight="1">
      <c r="A27" s="48" t="s">
        <v>2679</v>
      </c>
      <c r="B27" s="49" t="s">
        <v>373</v>
      </c>
      <c r="C27" s="51" t="s">
        <v>208</v>
      </c>
      <c r="D27" s="54"/>
      <c r="E27" s="5"/>
      <c r="F27" s="51"/>
      <c r="G27" s="5"/>
      <c r="K27" s="52"/>
      <c r="L27" s="50"/>
      <c r="M27" s="51"/>
      <c r="N27" s="51"/>
      <c r="AA27" s="5"/>
    </row>
    <row r="28" spans="1:27" ht="15.75" customHeight="1">
      <c r="A28" s="48" t="s">
        <v>2680</v>
      </c>
      <c r="B28" s="49" t="s">
        <v>325</v>
      </c>
      <c r="C28" s="51" t="s">
        <v>205</v>
      </c>
      <c r="D28" s="54"/>
      <c r="E28" s="5"/>
      <c r="F28" s="5"/>
      <c r="G28" s="5"/>
      <c r="J28" s="5"/>
      <c r="K28" s="52"/>
      <c r="L28" s="50"/>
      <c r="M28" s="51"/>
      <c r="N28" s="5"/>
      <c r="P28" s="5"/>
    </row>
    <row r="29" spans="1:27" ht="15.75" customHeight="1">
      <c r="A29" s="48" t="s">
        <v>2681</v>
      </c>
      <c r="B29" s="49" t="s">
        <v>1376</v>
      </c>
      <c r="C29" s="51" t="s">
        <v>225</v>
      </c>
      <c r="D29" s="54"/>
      <c r="E29" s="5"/>
      <c r="F29" s="5"/>
      <c r="G29" s="5"/>
      <c r="J29" s="5"/>
      <c r="K29" s="52"/>
      <c r="L29" s="50"/>
      <c r="M29" s="51"/>
      <c r="N29" s="51"/>
      <c r="P29" s="5"/>
    </row>
    <row r="30" spans="1:27" ht="15.75" customHeight="1">
      <c r="A30" s="48" t="s">
        <v>2682</v>
      </c>
      <c r="B30" s="49" t="s">
        <v>1857</v>
      </c>
      <c r="C30" s="51" t="s">
        <v>197</v>
      </c>
      <c r="D30" s="54"/>
      <c r="E30" s="5"/>
      <c r="F30" s="5"/>
      <c r="G30" s="5"/>
      <c r="J30" s="5"/>
      <c r="K30" s="52"/>
      <c r="L30" s="50"/>
      <c r="M30" s="51"/>
      <c r="N30" s="5"/>
      <c r="P30" s="5"/>
    </row>
    <row r="31" spans="1:27" ht="15.75" customHeight="1">
      <c r="A31" s="48" t="s">
        <v>2683</v>
      </c>
      <c r="B31" s="49" t="s">
        <v>1511</v>
      </c>
      <c r="C31" s="51" t="s">
        <v>199</v>
      </c>
      <c r="D31" s="54"/>
      <c r="E31" s="5"/>
      <c r="F31" s="5"/>
      <c r="G31" s="5"/>
      <c r="J31" s="5"/>
      <c r="K31" s="52"/>
      <c r="L31" s="50"/>
      <c r="M31" s="51"/>
      <c r="N31" s="51"/>
      <c r="P31" s="5"/>
    </row>
    <row r="32" spans="1:27" ht="15.75" customHeight="1">
      <c r="A32" s="48" t="s">
        <v>2684</v>
      </c>
      <c r="B32" s="49" t="s">
        <v>945</v>
      </c>
      <c r="C32" s="51" t="s">
        <v>195</v>
      </c>
      <c r="D32" s="54"/>
      <c r="E32" s="5"/>
      <c r="F32" s="5"/>
      <c r="G32" s="5"/>
      <c r="J32" s="5"/>
      <c r="K32" s="52"/>
      <c r="L32" s="50"/>
      <c r="M32" s="51"/>
      <c r="N32" s="5"/>
      <c r="P32" s="5"/>
    </row>
    <row r="33" spans="1:16" ht="15.75" customHeight="1">
      <c r="A33" s="48" t="s">
        <v>2685</v>
      </c>
      <c r="B33" s="49" t="s">
        <v>1393</v>
      </c>
      <c r="C33" s="51" t="s">
        <v>225</v>
      </c>
      <c r="D33" s="54"/>
      <c r="E33" s="5"/>
      <c r="F33" s="5"/>
      <c r="G33" s="5"/>
      <c r="J33" s="5"/>
      <c r="K33" s="52"/>
      <c r="L33" s="50"/>
      <c r="M33" s="51"/>
      <c r="N33" s="5"/>
      <c r="P33" s="5"/>
    </row>
    <row r="34" spans="1:16" ht="15.75" customHeight="1">
      <c r="A34" s="48" t="s">
        <v>2686</v>
      </c>
      <c r="B34" s="49" t="s">
        <v>1252</v>
      </c>
      <c r="C34" s="51" t="s">
        <v>205</v>
      </c>
      <c r="D34" s="54"/>
      <c r="E34" s="5"/>
      <c r="F34" s="5"/>
      <c r="G34" s="5"/>
      <c r="J34" s="5"/>
      <c r="K34" s="52"/>
      <c r="L34" s="50"/>
      <c r="M34" s="51"/>
      <c r="N34" s="5"/>
      <c r="P34" s="5"/>
    </row>
    <row r="35" spans="1:16" ht="15.75" customHeight="1">
      <c r="A35" s="48" t="s">
        <v>2687</v>
      </c>
      <c r="B35" s="49" t="s">
        <v>954</v>
      </c>
      <c r="C35" s="51" t="s">
        <v>197</v>
      </c>
      <c r="D35" s="54"/>
      <c r="E35" s="5"/>
      <c r="F35" s="5"/>
      <c r="G35" s="5"/>
      <c r="J35" s="5"/>
      <c r="K35" s="52"/>
      <c r="L35" s="50"/>
      <c r="M35" s="51"/>
      <c r="N35" s="51"/>
      <c r="P35" s="5"/>
    </row>
    <row r="36" spans="1:16" ht="15.75" customHeight="1">
      <c r="A36" s="48" t="s">
        <v>2688</v>
      </c>
      <c r="B36" s="49" t="s">
        <v>256</v>
      </c>
      <c r="C36" s="51" t="s">
        <v>192</v>
      </c>
      <c r="D36" s="51"/>
      <c r="E36" s="5"/>
      <c r="F36" s="5"/>
      <c r="G36" s="5"/>
      <c r="J36" s="5"/>
      <c r="M36" s="5"/>
      <c r="N36" s="5"/>
      <c r="P36" s="5"/>
    </row>
    <row r="37" spans="1:16" ht="15.75" customHeight="1">
      <c r="A37" s="48" t="s">
        <v>2689</v>
      </c>
      <c r="B37" s="49" t="s">
        <v>826</v>
      </c>
      <c r="C37" s="51" t="s">
        <v>197</v>
      </c>
      <c r="D37" s="54"/>
      <c r="E37" s="5"/>
      <c r="F37" s="5"/>
      <c r="G37" s="5"/>
      <c r="J37" s="5"/>
      <c r="M37" s="5"/>
      <c r="N37" s="5"/>
    </row>
    <row r="38" spans="1:16" ht="15.75" customHeight="1">
      <c r="A38" s="48" t="s">
        <v>2690</v>
      </c>
      <c r="B38" s="49" t="s">
        <v>371</v>
      </c>
      <c r="C38" s="51" t="s">
        <v>225</v>
      </c>
      <c r="D38" s="54"/>
      <c r="E38" s="5"/>
      <c r="F38" s="5"/>
      <c r="G38" s="5"/>
      <c r="J38" s="5"/>
      <c r="M38" s="51"/>
      <c r="N38" s="51"/>
    </row>
    <row r="39" spans="1:16" ht="15.75" customHeight="1">
      <c r="A39" s="48" t="s">
        <v>2691</v>
      </c>
      <c r="B39" s="49" t="s">
        <v>263</v>
      </c>
      <c r="C39" s="51" t="s">
        <v>195</v>
      </c>
      <c r="D39" s="54"/>
      <c r="E39" s="5"/>
      <c r="F39" s="5"/>
      <c r="G39" s="5"/>
      <c r="J39" s="5"/>
      <c r="M39" s="51"/>
      <c r="N39" s="51"/>
    </row>
    <row r="40" spans="1:16" ht="15.75" customHeight="1">
      <c r="A40" s="48" t="s">
        <v>2692</v>
      </c>
      <c r="B40" s="49" t="s">
        <v>383</v>
      </c>
      <c r="C40" s="51" t="s">
        <v>225</v>
      </c>
      <c r="D40" s="54"/>
      <c r="E40" s="5"/>
      <c r="F40" s="5"/>
      <c r="G40" s="5"/>
      <c r="J40" s="5"/>
      <c r="M40" s="51"/>
      <c r="N40" s="51"/>
    </row>
    <row r="41" spans="1:16" ht="15.75" customHeight="1">
      <c r="A41" s="48" t="s">
        <v>2693</v>
      </c>
      <c r="B41" s="49" t="s">
        <v>1383</v>
      </c>
      <c r="C41" s="51" t="s">
        <v>197</v>
      </c>
      <c r="D41" s="54"/>
      <c r="E41" s="5"/>
      <c r="F41" s="5"/>
      <c r="G41" s="5"/>
      <c r="J41" s="5"/>
      <c r="M41" s="51"/>
      <c r="N41" s="51"/>
    </row>
    <row r="42" spans="1:16" ht="15.75" customHeight="1">
      <c r="A42" s="48" t="s">
        <v>2694</v>
      </c>
      <c r="B42" s="49" t="s">
        <v>1265</v>
      </c>
      <c r="C42" s="51" t="s">
        <v>220</v>
      </c>
      <c r="D42" s="54"/>
      <c r="E42" s="5"/>
      <c r="F42" s="5"/>
      <c r="G42" s="5"/>
      <c r="J42" s="5"/>
      <c r="M42" s="51"/>
      <c r="N42" s="51"/>
    </row>
    <row r="43" spans="1:16" ht="15.75" customHeight="1">
      <c r="A43" s="48" t="s">
        <v>2695</v>
      </c>
      <c r="B43" s="49" t="s">
        <v>267</v>
      </c>
      <c r="C43" s="51" t="s">
        <v>225</v>
      </c>
      <c r="D43" s="54"/>
      <c r="E43" s="5"/>
      <c r="F43" s="5"/>
      <c r="G43" s="5"/>
      <c r="J43" s="5"/>
      <c r="M43" s="51"/>
      <c r="N43" s="51"/>
    </row>
    <row r="44" spans="1:16" ht="15.75" customHeight="1">
      <c r="A44" s="48" t="s">
        <v>2696</v>
      </c>
      <c r="B44" s="49" t="s">
        <v>227</v>
      </c>
      <c r="C44" s="51" t="s">
        <v>195</v>
      </c>
      <c r="D44" s="54"/>
      <c r="E44" s="5"/>
      <c r="F44" s="5"/>
      <c r="G44" s="5"/>
      <c r="J44" s="5"/>
      <c r="M44" s="51"/>
      <c r="N44" s="51"/>
    </row>
    <row r="45" spans="1:16" ht="15.75" customHeight="1">
      <c r="A45" s="48" t="s">
        <v>2697</v>
      </c>
      <c r="B45" s="49" t="s">
        <v>1420</v>
      </c>
      <c r="C45" s="51" t="s">
        <v>808</v>
      </c>
      <c r="D45" s="54"/>
      <c r="E45" s="5"/>
      <c r="F45" s="5"/>
      <c r="G45" s="5"/>
      <c r="J45" s="5"/>
      <c r="M45" s="51"/>
      <c r="N45" s="51"/>
      <c r="P45" s="5"/>
    </row>
    <row r="46" spans="1:16" ht="15.75" customHeight="1">
      <c r="A46" s="48" t="s">
        <v>2698</v>
      </c>
      <c r="B46" s="49" t="s">
        <v>1505</v>
      </c>
      <c r="C46" s="51" t="s">
        <v>205</v>
      </c>
      <c r="D46" s="54"/>
      <c r="E46" s="5"/>
      <c r="F46" s="5"/>
      <c r="G46" s="5"/>
      <c r="J46" s="5"/>
      <c r="M46" s="51"/>
      <c r="N46" s="51"/>
      <c r="P46" s="5"/>
    </row>
    <row r="47" spans="1:16" ht="15.75" customHeight="1">
      <c r="A47" s="48" t="s">
        <v>2699</v>
      </c>
      <c r="B47" s="49" t="s">
        <v>1855</v>
      </c>
      <c r="C47" s="51" t="s">
        <v>208</v>
      </c>
      <c r="D47" s="51"/>
      <c r="E47" s="5"/>
      <c r="F47" s="5"/>
      <c r="G47" s="5"/>
      <c r="J47" s="5"/>
      <c r="M47" s="5"/>
      <c r="N47" s="5"/>
      <c r="P47" s="5"/>
    </row>
    <row r="48" spans="1:16" ht="15.75" customHeight="1">
      <c r="A48" s="48" t="s">
        <v>2700</v>
      </c>
      <c r="B48" s="49" t="s">
        <v>297</v>
      </c>
      <c r="C48" s="51" t="s">
        <v>205</v>
      </c>
      <c r="D48" s="51"/>
      <c r="E48" s="5"/>
      <c r="F48" s="5"/>
      <c r="G48" s="5"/>
      <c r="J48" s="5"/>
      <c r="M48" s="5"/>
      <c r="N48" s="5"/>
      <c r="P48" s="5"/>
    </row>
    <row r="49" spans="1:16" ht="15.75" customHeight="1">
      <c r="A49" s="48" t="s">
        <v>2701</v>
      </c>
      <c r="B49" s="49" t="s">
        <v>377</v>
      </c>
      <c r="C49" s="51" t="s">
        <v>208</v>
      </c>
      <c r="D49" s="54"/>
      <c r="E49" s="5"/>
      <c r="F49" s="5"/>
      <c r="G49" s="5"/>
      <c r="J49" s="5"/>
      <c r="M49" s="5"/>
      <c r="N49" s="5"/>
      <c r="P49" s="5"/>
    </row>
    <row r="50" spans="1:16" ht="15.75" customHeight="1">
      <c r="A50" s="48" t="s">
        <v>2702</v>
      </c>
      <c r="B50" s="49" t="s">
        <v>1524</v>
      </c>
      <c r="C50" s="51" t="s">
        <v>197</v>
      </c>
      <c r="D50" s="54"/>
      <c r="E50" s="5"/>
      <c r="F50" s="5"/>
      <c r="G50" s="5"/>
      <c r="J50" s="5"/>
      <c r="M50" s="5"/>
      <c r="N50" s="5"/>
      <c r="P50" s="5"/>
    </row>
    <row r="51" spans="1:16" ht="15.75" customHeight="1">
      <c r="A51" s="48" t="s">
        <v>2703</v>
      </c>
      <c r="B51" s="49" t="s">
        <v>345</v>
      </c>
      <c r="C51" s="51" t="s">
        <v>205</v>
      </c>
      <c r="D51" s="54"/>
      <c r="E51" s="5"/>
      <c r="F51" s="5"/>
      <c r="G51" s="5"/>
      <c r="J51" s="5"/>
      <c r="M51" s="5"/>
      <c r="N51" s="5"/>
      <c r="P51" s="5"/>
    </row>
    <row r="52" spans="1:16" ht="15.75" customHeight="1">
      <c r="A52" s="48" t="s">
        <v>2704</v>
      </c>
      <c r="B52" s="49" t="s">
        <v>1250</v>
      </c>
      <c r="C52" s="51" t="s">
        <v>220</v>
      </c>
      <c r="D52" s="54"/>
      <c r="E52" s="5"/>
      <c r="F52" s="5"/>
      <c r="G52" s="5"/>
      <c r="J52" s="5"/>
      <c r="M52" s="5"/>
      <c r="N52" s="5"/>
      <c r="P52" s="5"/>
    </row>
    <row r="53" spans="1:16" ht="13">
      <c r="A53" s="48" t="s">
        <v>2705</v>
      </c>
      <c r="B53" s="49" t="s">
        <v>346</v>
      </c>
      <c r="C53" s="51" t="s">
        <v>205</v>
      </c>
      <c r="D53" s="54"/>
      <c r="E53" s="5"/>
      <c r="F53" s="5"/>
      <c r="G53" s="5"/>
      <c r="J53" s="5"/>
      <c r="M53" s="5"/>
      <c r="N53" s="5"/>
      <c r="P53" s="5"/>
    </row>
    <row r="54" spans="1:16" ht="13">
      <c r="A54" s="48" t="s">
        <v>2706</v>
      </c>
      <c r="B54" s="49" t="s">
        <v>860</v>
      </c>
      <c r="C54" s="51" t="s">
        <v>192</v>
      </c>
      <c r="D54" s="54"/>
      <c r="E54" s="5"/>
      <c r="F54" s="5"/>
      <c r="G54" s="5"/>
      <c r="J54" s="5"/>
      <c r="M54" s="5"/>
      <c r="N54" s="5"/>
      <c r="P54" s="5"/>
    </row>
    <row r="55" spans="1:16" ht="13">
      <c r="A55" s="48" t="s">
        <v>2707</v>
      </c>
      <c r="B55" s="49" t="s">
        <v>1869</v>
      </c>
      <c r="C55" s="51" t="s">
        <v>208</v>
      </c>
      <c r="D55" s="54"/>
      <c r="E55" s="5"/>
      <c r="F55" s="51"/>
      <c r="G55" s="5"/>
      <c r="J55" s="5"/>
      <c r="M55" s="5"/>
      <c r="N55" s="5"/>
      <c r="P55" s="5"/>
    </row>
    <row r="56" spans="1:16" ht="13">
      <c r="A56" s="48" t="s">
        <v>2708</v>
      </c>
      <c r="B56" s="49" t="s">
        <v>282</v>
      </c>
      <c r="C56" s="51" t="s">
        <v>195</v>
      </c>
      <c r="D56" s="51"/>
      <c r="E56" s="5"/>
      <c r="F56" s="5"/>
      <c r="G56" s="5"/>
      <c r="J56" s="5"/>
      <c r="M56" s="5"/>
      <c r="N56" s="5"/>
      <c r="P56" s="5"/>
    </row>
    <row r="57" spans="1:16" ht="13">
      <c r="A57" s="48" t="s">
        <v>2709</v>
      </c>
      <c r="B57" s="49" t="s">
        <v>380</v>
      </c>
      <c r="C57" s="51" t="s">
        <v>225</v>
      </c>
      <c r="D57" s="54"/>
      <c r="E57" s="5"/>
      <c r="F57" s="5"/>
      <c r="G57" s="5"/>
      <c r="J57" s="5"/>
      <c r="M57" s="5"/>
      <c r="N57" s="5"/>
      <c r="P57" s="5"/>
    </row>
    <row r="58" spans="1:16" ht="13">
      <c r="A58" s="48" t="s">
        <v>2710</v>
      </c>
      <c r="B58" s="49" t="s">
        <v>381</v>
      </c>
      <c r="C58" s="51" t="s">
        <v>205</v>
      </c>
      <c r="D58" s="54"/>
      <c r="E58" s="5"/>
      <c r="F58" s="5"/>
      <c r="G58" s="5"/>
      <c r="J58" s="5"/>
      <c r="M58" s="5"/>
      <c r="N58" s="5"/>
      <c r="P58" s="5"/>
    </row>
    <row r="59" spans="1:16" ht="13">
      <c r="A59" s="48" t="s">
        <v>2711</v>
      </c>
      <c r="B59" s="49" t="s">
        <v>262</v>
      </c>
      <c r="C59" s="51" t="s">
        <v>199</v>
      </c>
      <c r="D59" s="54"/>
      <c r="E59" s="5"/>
      <c r="F59" s="5"/>
      <c r="G59" s="5"/>
      <c r="J59" s="5"/>
      <c r="M59" s="5"/>
      <c r="N59" s="5"/>
      <c r="P59" s="5"/>
    </row>
    <row r="60" spans="1:16" ht="13">
      <c r="A60" s="48" t="s">
        <v>2712</v>
      </c>
      <c r="B60" s="49" t="s">
        <v>1412</v>
      </c>
      <c r="C60" s="51" t="s">
        <v>205</v>
      </c>
      <c r="D60" s="54"/>
      <c r="E60" s="5"/>
      <c r="F60" s="5"/>
      <c r="G60" s="5"/>
      <c r="J60" s="5"/>
      <c r="M60" s="5"/>
      <c r="N60" s="5"/>
      <c r="P60" s="5"/>
    </row>
    <row r="61" spans="1:16" ht="13">
      <c r="A61" s="48" t="s">
        <v>2713</v>
      </c>
      <c r="B61" s="49" t="s">
        <v>284</v>
      </c>
      <c r="C61" s="51" t="s">
        <v>225</v>
      </c>
      <c r="D61" s="54"/>
      <c r="E61" s="5"/>
      <c r="F61" s="5"/>
      <c r="G61" s="5"/>
      <c r="J61" s="5"/>
      <c r="M61" s="5"/>
      <c r="N61" s="5"/>
      <c r="P61" s="5"/>
    </row>
    <row r="62" spans="1:16" ht="13">
      <c r="A62" s="48" t="s">
        <v>2714</v>
      </c>
      <c r="B62" s="49" t="s">
        <v>805</v>
      </c>
      <c r="C62" s="51" t="s">
        <v>199</v>
      </c>
      <c r="D62" s="51"/>
      <c r="E62" s="5"/>
      <c r="F62" s="5"/>
      <c r="G62" s="5"/>
      <c r="J62" s="5"/>
      <c r="M62" s="5"/>
      <c r="N62" s="5"/>
      <c r="P62" s="5"/>
    </row>
    <row r="63" spans="1:16" ht="13">
      <c r="A63" s="48" t="s">
        <v>2715</v>
      </c>
      <c r="B63" s="49" t="s">
        <v>285</v>
      </c>
      <c r="C63" s="51" t="s">
        <v>192</v>
      </c>
      <c r="D63" s="51"/>
      <c r="E63" s="5"/>
      <c r="F63" s="5"/>
      <c r="G63" s="5"/>
      <c r="J63" s="5"/>
      <c r="M63" s="5"/>
      <c r="N63" s="5"/>
      <c r="P63" s="5"/>
    </row>
    <row r="64" spans="1:16" ht="13">
      <c r="A64" s="48" t="s">
        <v>2716</v>
      </c>
      <c r="B64" s="49" t="s">
        <v>385</v>
      </c>
      <c r="C64" s="51" t="s">
        <v>208</v>
      </c>
      <c r="D64" s="54"/>
      <c r="E64" s="5"/>
      <c r="F64" s="5"/>
      <c r="G64" s="5"/>
      <c r="J64" s="5"/>
      <c r="M64" s="5"/>
      <c r="N64" s="5"/>
      <c r="P64" s="5"/>
    </row>
    <row r="65" spans="1:16" ht="13">
      <c r="A65" s="48" t="s">
        <v>2717</v>
      </c>
      <c r="B65" s="49" t="s">
        <v>1454</v>
      </c>
      <c r="C65" s="51" t="s">
        <v>205</v>
      </c>
      <c r="D65" s="51"/>
      <c r="E65" s="5"/>
      <c r="F65" s="5"/>
      <c r="G65" s="5"/>
      <c r="J65" s="5"/>
      <c r="M65" s="5"/>
      <c r="N65" s="5"/>
      <c r="P65" s="5"/>
    </row>
    <row r="66" spans="1:16" ht="13">
      <c r="A66" s="48" t="s">
        <v>2718</v>
      </c>
      <c r="B66" s="49" t="s">
        <v>886</v>
      </c>
      <c r="C66" s="51" t="s">
        <v>197</v>
      </c>
      <c r="D66" s="54"/>
      <c r="E66" s="5"/>
      <c r="F66" s="5"/>
      <c r="G66" s="5"/>
      <c r="J66" s="5"/>
      <c r="M66" s="5"/>
      <c r="N66" s="5"/>
      <c r="P66" s="5"/>
    </row>
    <row r="67" spans="1:16" ht="13">
      <c r="A67" s="48" t="s">
        <v>2719</v>
      </c>
      <c r="B67" s="49" t="s">
        <v>1548</v>
      </c>
      <c r="C67" s="51" t="s">
        <v>195</v>
      </c>
      <c r="D67" s="54"/>
      <c r="E67" s="5"/>
      <c r="F67" s="5"/>
      <c r="G67" s="5"/>
      <c r="J67" s="5"/>
      <c r="M67" s="5"/>
      <c r="N67" s="5"/>
      <c r="P67" s="5"/>
    </row>
    <row r="68" spans="1:16" ht="13">
      <c r="A68" s="48" t="s">
        <v>2720</v>
      </c>
      <c r="B68" s="49" t="s">
        <v>1276</v>
      </c>
      <c r="C68" s="51" t="s">
        <v>197</v>
      </c>
      <c r="D68" s="51"/>
      <c r="E68" s="5"/>
      <c r="F68" s="5"/>
      <c r="G68" s="5"/>
      <c r="J68" s="5"/>
      <c r="M68" s="5"/>
      <c r="N68" s="5"/>
      <c r="P68" s="5"/>
    </row>
    <row r="69" spans="1:16" ht="13">
      <c r="A69" s="48" t="s">
        <v>2721</v>
      </c>
      <c r="B69" s="49" t="s">
        <v>1888</v>
      </c>
      <c r="C69" s="51" t="s">
        <v>208</v>
      </c>
      <c r="D69" s="54"/>
      <c r="E69" s="5"/>
      <c r="F69" s="5"/>
      <c r="G69" s="5"/>
      <c r="J69" s="5"/>
      <c r="M69" s="5"/>
      <c r="N69" s="5"/>
      <c r="P69" s="5"/>
    </row>
    <row r="70" spans="1:16" ht="13">
      <c r="A70" s="48" t="s">
        <v>2722</v>
      </c>
      <c r="B70" s="49" t="s">
        <v>388</v>
      </c>
      <c r="C70" s="51" t="s">
        <v>208</v>
      </c>
      <c r="D70" s="51"/>
      <c r="E70" s="5"/>
      <c r="F70" s="5"/>
      <c r="G70" s="5"/>
      <c r="J70" s="5"/>
      <c r="M70" s="5"/>
      <c r="N70" s="5"/>
      <c r="P70" s="5"/>
    </row>
    <row r="71" spans="1:16" ht="13">
      <c r="A71" s="48" t="s">
        <v>2723</v>
      </c>
      <c r="B71" s="49" t="s">
        <v>1461</v>
      </c>
      <c r="C71" s="51" t="s">
        <v>225</v>
      </c>
      <c r="D71" s="5"/>
      <c r="J71" s="5"/>
      <c r="M71" s="5"/>
      <c r="N71" s="5"/>
      <c r="P71" s="5"/>
    </row>
    <row r="72" spans="1:16" ht="13">
      <c r="A72" s="48" t="s">
        <v>2724</v>
      </c>
      <c r="B72" s="49" t="s">
        <v>298</v>
      </c>
      <c r="C72" s="51" t="s">
        <v>192</v>
      </c>
      <c r="D72" s="54"/>
      <c r="E72" s="5"/>
      <c r="F72" s="51"/>
      <c r="G72" s="5"/>
      <c r="J72" s="5"/>
      <c r="M72" s="5"/>
      <c r="N72" s="5"/>
      <c r="P72" s="5"/>
    </row>
    <row r="73" spans="1:16" ht="13">
      <c r="A73" s="48" t="s">
        <v>2725</v>
      </c>
      <c r="B73" s="49" t="s">
        <v>1284</v>
      </c>
      <c r="C73" s="51" t="s">
        <v>208</v>
      </c>
      <c r="D73" s="54"/>
      <c r="E73" s="5"/>
      <c r="F73" s="5"/>
      <c r="G73" s="5"/>
      <c r="J73" s="5"/>
      <c r="M73" s="5"/>
      <c r="N73" s="5"/>
      <c r="P73" s="5"/>
    </row>
    <row r="74" spans="1:16" ht="13">
      <c r="A74" s="48" t="s">
        <v>2726</v>
      </c>
      <c r="B74" s="49" t="s">
        <v>1323</v>
      </c>
      <c r="C74" s="51" t="s">
        <v>205</v>
      </c>
      <c r="D74" s="54"/>
      <c r="E74" s="5"/>
      <c r="F74" s="5"/>
      <c r="G74" s="5"/>
      <c r="J74" s="5"/>
      <c r="M74" s="5"/>
      <c r="N74" s="5"/>
      <c r="P74" s="5"/>
    </row>
    <row r="75" spans="1:16" ht="13">
      <c r="A75" s="48" t="s">
        <v>2727</v>
      </c>
      <c r="B75" s="49" t="s">
        <v>1428</v>
      </c>
      <c r="C75" s="51" t="s">
        <v>195</v>
      </c>
      <c r="D75" s="54"/>
      <c r="E75" s="5"/>
      <c r="F75" s="5"/>
      <c r="G75" s="5"/>
      <c r="J75" s="5"/>
      <c r="M75" s="5"/>
      <c r="N75" s="5"/>
      <c r="P75" s="5"/>
    </row>
    <row r="76" spans="1:16" ht="13">
      <c r="A76" s="48" t="s">
        <v>2728</v>
      </c>
      <c r="B76" s="49" t="s">
        <v>2729</v>
      </c>
      <c r="C76" s="51" t="s">
        <v>229</v>
      </c>
      <c r="D76" s="54"/>
      <c r="E76" s="5"/>
      <c r="F76" s="5"/>
      <c r="G76" s="5"/>
      <c r="J76" s="5"/>
      <c r="M76" s="5"/>
      <c r="N76" s="5"/>
      <c r="P76" s="5"/>
    </row>
    <row r="77" spans="1:16" ht="13">
      <c r="A77" s="48" t="s">
        <v>2730</v>
      </c>
      <c r="B77" s="49" t="s">
        <v>2731</v>
      </c>
      <c r="C77" s="51" t="s">
        <v>1013</v>
      </c>
      <c r="D77" s="54"/>
      <c r="E77" s="5"/>
      <c r="F77" s="5"/>
      <c r="G77" s="5"/>
      <c r="J77" s="5"/>
      <c r="M77" s="5"/>
      <c r="N77" s="5"/>
      <c r="P77" s="5"/>
    </row>
    <row r="78" spans="1:16" ht="13">
      <c r="A78" s="48" t="s">
        <v>2732</v>
      </c>
      <c r="B78" s="49" t="s">
        <v>2733</v>
      </c>
      <c r="C78" s="51" t="s">
        <v>229</v>
      </c>
      <c r="D78" s="54"/>
      <c r="E78" s="5"/>
      <c r="F78" s="5"/>
      <c r="G78" s="5"/>
      <c r="J78" s="5"/>
      <c r="M78" s="5"/>
      <c r="N78" s="5"/>
      <c r="P78" s="5"/>
    </row>
    <row r="79" spans="1:16" ht="13">
      <c r="A79" s="48" t="s">
        <v>2734</v>
      </c>
      <c r="B79" s="49" t="s">
        <v>2735</v>
      </c>
      <c r="C79" s="51" t="s">
        <v>229</v>
      </c>
      <c r="D79" s="54"/>
      <c r="E79" s="5"/>
      <c r="F79" s="5"/>
      <c r="G79" s="5"/>
      <c r="J79" s="5"/>
      <c r="M79" s="5"/>
      <c r="N79" s="5"/>
      <c r="P79" s="5"/>
    </row>
    <row r="80" spans="1:16" ht="13">
      <c r="A80" s="48" t="s">
        <v>2736</v>
      </c>
      <c r="B80" s="49" t="s">
        <v>2737</v>
      </c>
      <c r="C80" s="51" t="s">
        <v>229</v>
      </c>
      <c r="D80" s="54"/>
      <c r="E80" s="5"/>
      <c r="F80" s="5"/>
      <c r="G80" s="5"/>
      <c r="J80" s="5"/>
      <c r="M80" s="5"/>
      <c r="N80" s="5"/>
      <c r="P80" s="5"/>
    </row>
    <row r="81" spans="1:16" ht="13">
      <c r="A81" s="48" t="s">
        <v>2738</v>
      </c>
      <c r="B81" s="49" t="s">
        <v>2739</v>
      </c>
      <c r="C81" s="51" t="s">
        <v>229</v>
      </c>
      <c r="D81" s="54"/>
      <c r="E81" s="5"/>
      <c r="F81" s="5"/>
      <c r="G81" s="5"/>
      <c r="J81" s="5"/>
      <c r="M81" s="5"/>
      <c r="N81" s="5"/>
      <c r="P81" s="5"/>
    </row>
    <row r="82" spans="1:16" ht="13">
      <c r="A82" s="48" t="s">
        <v>2740</v>
      </c>
      <c r="B82" s="49" t="s">
        <v>1474</v>
      </c>
      <c r="C82" s="51" t="s">
        <v>206</v>
      </c>
      <c r="D82" s="51"/>
      <c r="E82" s="5"/>
      <c r="F82" s="5"/>
      <c r="G82" s="5"/>
      <c r="J82" s="5"/>
      <c r="M82" s="5"/>
      <c r="N82" s="5"/>
      <c r="P82" s="5"/>
    </row>
    <row r="83" spans="1:16" ht="13">
      <c r="A83" s="48" t="s">
        <v>2741</v>
      </c>
      <c r="B83" s="49" t="s">
        <v>391</v>
      </c>
      <c r="C83" s="51" t="s">
        <v>206</v>
      </c>
      <c r="D83" s="54"/>
      <c r="E83" s="5"/>
      <c r="F83" s="51"/>
      <c r="G83" s="5"/>
      <c r="J83" s="5"/>
      <c r="M83" s="5"/>
      <c r="N83" s="5"/>
      <c r="P83" s="5"/>
    </row>
    <row r="84" spans="1:16" ht="13">
      <c r="A84" s="48" t="s">
        <v>2742</v>
      </c>
      <c r="B84" s="49" t="s">
        <v>1477</v>
      </c>
      <c r="C84" s="51" t="s">
        <v>206</v>
      </c>
      <c r="D84" s="54"/>
      <c r="E84" s="5"/>
      <c r="F84" s="5"/>
      <c r="G84" s="5"/>
      <c r="J84" s="5"/>
      <c r="M84" s="5"/>
      <c r="N84" s="5"/>
      <c r="P84" s="5"/>
    </row>
    <row r="85" spans="1:16" ht="13">
      <c r="A85" s="48" t="s">
        <v>2743</v>
      </c>
      <c r="B85" s="49" t="s">
        <v>524</v>
      </c>
      <c r="C85" s="51" t="s">
        <v>317</v>
      </c>
      <c r="D85" s="54"/>
      <c r="E85" s="5"/>
      <c r="F85" s="5"/>
      <c r="G85" s="5"/>
      <c r="J85" s="5"/>
      <c r="M85" s="5"/>
      <c r="N85" s="5"/>
      <c r="P85" s="5"/>
    </row>
    <row r="86" spans="1:16" ht="13">
      <c r="A86" s="48" t="s">
        <v>2744</v>
      </c>
      <c r="B86" s="49" t="s">
        <v>2745</v>
      </c>
      <c r="C86" s="51" t="s">
        <v>317</v>
      </c>
      <c r="D86" s="54"/>
      <c r="E86" s="5"/>
      <c r="F86" s="5"/>
      <c r="G86" s="5"/>
      <c r="J86" s="5"/>
      <c r="M86" s="5"/>
      <c r="N86" s="5"/>
      <c r="P86" s="5"/>
    </row>
    <row r="87" spans="1:16" ht="13">
      <c r="A87" s="48" t="s">
        <v>2746</v>
      </c>
      <c r="B87" s="49" t="s">
        <v>2747</v>
      </c>
      <c r="C87" s="51" t="s">
        <v>199</v>
      </c>
      <c r="D87" s="54"/>
      <c r="E87" s="5"/>
      <c r="F87" s="5"/>
      <c r="G87" s="5"/>
      <c r="J87" s="5"/>
      <c r="M87" s="5"/>
      <c r="N87" s="5"/>
      <c r="P87" s="5"/>
    </row>
    <row r="88" spans="1:16" ht="13">
      <c r="A88" s="48" t="s">
        <v>2748</v>
      </c>
      <c r="B88" s="49" t="s">
        <v>2749</v>
      </c>
      <c r="C88" s="51" t="s">
        <v>225</v>
      </c>
      <c r="D88" s="54"/>
      <c r="E88" s="5"/>
      <c r="F88" s="5"/>
      <c r="G88" s="5"/>
      <c r="J88" s="5"/>
      <c r="M88" s="5"/>
      <c r="N88" s="5"/>
      <c r="P88" s="5"/>
    </row>
    <row r="89" spans="1:16" ht="13">
      <c r="A89" s="48" t="s">
        <v>2750</v>
      </c>
      <c r="B89" s="49" t="s">
        <v>2751</v>
      </c>
      <c r="C89" s="51" t="s">
        <v>195</v>
      </c>
      <c r="D89" s="54"/>
      <c r="E89" s="5"/>
      <c r="F89" s="5"/>
      <c r="G89" s="5"/>
      <c r="J89" s="5"/>
      <c r="M89" s="5"/>
      <c r="N89" s="5"/>
      <c r="P89" s="5"/>
    </row>
    <row r="90" spans="1:16" ht="13">
      <c r="A90" s="48" t="s">
        <v>2752</v>
      </c>
      <c r="B90" s="49" t="s">
        <v>2753</v>
      </c>
      <c r="C90" s="51" t="s">
        <v>205</v>
      </c>
      <c r="D90" s="54"/>
      <c r="E90" s="5"/>
      <c r="F90" s="5"/>
      <c r="G90" s="5"/>
      <c r="J90" s="5"/>
      <c r="M90" s="5"/>
      <c r="N90" s="5"/>
      <c r="P90" s="5"/>
    </row>
    <row r="91" spans="1:16" ht="13">
      <c r="A91" s="48" t="s">
        <v>2754</v>
      </c>
      <c r="B91" s="49" t="s">
        <v>2755</v>
      </c>
      <c r="C91" s="51" t="s">
        <v>197</v>
      </c>
      <c r="D91" s="54"/>
      <c r="E91" s="5"/>
      <c r="F91" s="5"/>
      <c r="G91" s="5"/>
      <c r="J91" s="5"/>
      <c r="M91" s="5"/>
      <c r="N91" s="5"/>
      <c r="P91" s="5"/>
    </row>
    <row r="92" spans="1:16" ht="13">
      <c r="A92" s="48" t="s">
        <v>2756</v>
      </c>
      <c r="B92" s="49" t="s">
        <v>2757</v>
      </c>
      <c r="C92" s="51" t="s">
        <v>195</v>
      </c>
      <c r="D92" s="54"/>
      <c r="E92" s="5"/>
      <c r="F92" s="5"/>
      <c r="G92" s="5"/>
      <c r="J92" s="5"/>
      <c r="M92" s="5"/>
      <c r="N92" s="5"/>
      <c r="P92" s="5"/>
    </row>
    <row r="93" spans="1:16" ht="13">
      <c r="A93" s="48" t="s">
        <v>2758</v>
      </c>
      <c r="B93" s="49" t="s">
        <v>2759</v>
      </c>
      <c r="C93" s="51" t="s">
        <v>208</v>
      </c>
      <c r="D93" s="54"/>
      <c r="E93" s="5"/>
      <c r="F93" s="5"/>
      <c r="G93" s="5"/>
      <c r="J93" s="5"/>
      <c r="M93" s="5"/>
      <c r="N93" s="5"/>
      <c r="P93" s="5"/>
    </row>
    <row r="94" spans="1:16" ht="13">
      <c r="A94" s="48" t="s">
        <v>2760</v>
      </c>
      <c r="B94" s="58" t="str">
        <f>HYPERLINK("https://bulbapedia.bulbagarden.net/wiki/Regice_%E2%98%86_(EX_Legend_Maker_90)","Regice*")</f>
        <v>Regice*</v>
      </c>
      <c r="C94" s="51" t="s">
        <v>208</v>
      </c>
      <c r="D94" s="54"/>
      <c r="E94" s="5"/>
      <c r="F94" s="5"/>
      <c r="G94" s="5"/>
      <c r="J94" s="5"/>
      <c r="M94" s="5"/>
      <c r="N94" s="5"/>
      <c r="P94" s="5"/>
    </row>
    <row r="95" spans="1:16" ht="13">
      <c r="A95" s="48" t="s">
        <v>2761</v>
      </c>
      <c r="B95" s="58" t="str">
        <f>HYPERLINK("https://bulbapedia.bulbagarden.net/wiki/Regirock_%E2%98%86_(EX_Legend_Maker_91)","Regirock*")</f>
        <v>Regirock*</v>
      </c>
      <c r="C95" s="51" t="s">
        <v>225</v>
      </c>
      <c r="D95" s="54"/>
      <c r="E95" s="5"/>
      <c r="F95" s="5"/>
      <c r="G95" s="5"/>
      <c r="J95" s="5"/>
      <c r="M95" s="5"/>
      <c r="N95" s="5"/>
      <c r="P95" s="5"/>
    </row>
    <row r="96" spans="1:16" ht="13">
      <c r="A96" s="48" t="s">
        <v>2762</v>
      </c>
      <c r="B96" s="58" t="str">
        <f>HYPERLINK("https://bulbapedia.bulbagarden.net/wiki/Registeel_%E2%98%86_(EX_Legend_Maker_92)","Registeel*")</f>
        <v>Registeel*</v>
      </c>
      <c r="C96" s="51" t="s">
        <v>220</v>
      </c>
      <c r="D96" s="54"/>
      <c r="E96" s="5"/>
      <c r="F96" s="5"/>
      <c r="G96" s="5"/>
      <c r="J96" s="5"/>
      <c r="M96" s="5"/>
      <c r="N96" s="5"/>
      <c r="P96" s="5"/>
    </row>
    <row r="97" spans="1:16" ht="13">
      <c r="A97" s="48" t="s">
        <v>2763</v>
      </c>
      <c r="B97" s="49" t="s">
        <v>1205</v>
      </c>
      <c r="C97" s="51" t="s">
        <v>220</v>
      </c>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4"/>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4"/>
      <c r="E108" s="5"/>
      <c r="F108" s="5"/>
      <c r="G108" s="5"/>
      <c r="J108" s="5"/>
      <c r="M108" s="5"/>
      <c r="N108" s="5"/>
      <c r="P108" s="5"/>
    </row>
    <row r="109" spans="1:16" ht="13">
      <c r="A109" s="48"/>
      <c r="B109" s="50"/>
      <c r="C109" s="51"/>
      <c r="D109" s="54"/>
      <c r="E109" s="5"/>
      <c r="F109" s="5"/>
      <c r="G109" s="5"/>
      <c r="J109" s="5"/>
      <c r="M109" s="5"/>
      <c r="N109" s="5"/>
      <c r="P109" s="5"/>
    </row>
    <row r="110" spans="1:16" ht="13">
      <c r="A110" s="48"/>
      <c r="B110" s="50"/>
      <c r="C110" s="51"/>
      <c r="D110" s="54"/>
      <c r="E110" s="5"/>
      <c r="F110" s="5"/>
      <c r="G110" s="5"/>
      <c r="J110" s="5"/>
      <c r="M110" s="5"/>
      <c r="N110" s="5"/>
      <c r="P110" s="5"/>
    </row>
    <row r="111" spans="1:16" ht="13">
      <c r="C111" s="54"/>
      <c r="D111" s="54"/>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000-000000000000}"/>
    <hyperlink ref="B6" r:id="rId2" xr:uid="{00000000-0004-0000-2000-000001000000}"/>
    <hyperlink ref="B7" r:id="rId3" xr:uid="{00000000-0004-0000-2000-000002000000}"/>
    <hyperlink ref="B8" r:id="rId4" xr:uid="{00000000-0004-0000-2000-000003000000}"/>
    <hyperlink ref="B9" r:id="rId5" xr:uid="{00000000-0004-0000-2000-000004000000}"/>
    <hyperlink ref="B10" r:id="rId6" xr:uid="{00000000-0004-0000-2000-000005000000}"/>
    <hyperlink ref="B11" r:id="rId7" xr:uid="{00000000-0004-0000-2000-000006000000}"/>
    <hyperlink ref="B12" r:id="rId8" xr:uid="{00000000-0004-0000-2000-000007000000}"/>
    <hyperlink ref="B13" r:id="rId9" xr:uid="{00000000-0004-0000-2000-000008000000}"/>
    <hyperlink ref="B14" r:id="rId10" xr:uid="{00000000-0004-0000-2000-000009000000}"/>
    <hyperlink ref="B15" r:id="rId11" xr:uid="{00000000-0004-0000-2000-00000A000000}"/>
    <hyperlink ref="B16" r:id="rId12" xr:uid="{00000000-0004-0000-2000-00000B000000}"/>
    <hyperlink ref="B17" r:id="rId13" xr:uid="{00000000-0004-0000-2000-00000C000000}"/>
    <hyperlink ref="B18" r:id="rId14" xr:uid="{00000000-0004-0000-2000-00000D000000}"/>
    <hyperlink ref="B19" r:id="rId15" xr:uid="{00000000-0004-0000-2000-00000E000000}"/>
    <hyperlink ref="B20" r:id="rId16" xr:uid="{00000000-0004-0000-2000-00000F000000}"/>
    <hyperlink ref="B21" r:id="rId17" xr:uid="{00000000-0004-0000-2000-000010000000}"/>
    <hyperlink ref="B22" r:id="rId18" xr:uid="{00000000-0004-0000-2000-000011000000}"/>
    <hyperlink ref="B23" r:id="rId19" xr:uid="{00000000-0004-0000-2000-000012000000}"/>
    <hyperlink ref="B24" r:id="rId20" xr:uid="{00000000-0004-0000-2000-000013000000}"/>
    <hyperlink ref="B25" r:id="rId21" xr:uid="{00000000-0004-0000-2000-000014000000}"/>
    <hyperlink ref="B26" r:id="rId22" xr:uid="{00000000-0004-0000-2000-000015000000}"/>
    <hyperlink ref="B27" r:id="rId23" xr:uid="{00000000-0004-0000-2000-000016000000}"/>
    <hyperlink ref="B28" r:id="rId24" xr:uid="{00000000-0004-0000-2000-000017000000}"/>
    <hyperlink ref="B29" r:id="rId25" xr:uid="{00000000-0004-0000-2000-000018000000}"/>
    <hyperlink ref="B30" r:id="rId26" xr:uid="{00000000-0004-0000-2000-000019000000}"/>
    <hyperlink ref="B31" r:id="rId27" xr:uid="{00000000-0004-0000-2000-00001A000000}"/>
    <hyperlink ref="B32" r:id="rId28" xr:uid="{00000000-0004-0000-2000-00001B000000}"/>
    <hyperlink ref="B33" r:id="rId29" xr:uid="{00000000-0004-0000-2000-00001C000000}"/>
    <hyperlink ref="B34" r:id="rId30" xr:uid="{00000000-0004-0000-2000-00001D000000}"/>
    <hyperlink ref="B35" r:id="rId31" xr:uid="{00000000-0004-0000-2000-00001E000000}"/>
    <hyperlink ref="B36" r:id="rId32" xr:uid="{00000000-0004-0000-2000-00001F000000}"/>
    <hyperlink ref="B37" r:id="rId33" xr:uid="{00000000-0004-0000-2000-000020000000}"/>
    <hyperlink ref="B38" r:id="rId34" xr:uid="{00000000-0004-0000-2000-000021000000}"/>
    <hyperlink ref="B39" r:id="rId35" xr:uid="{00000000-0004-0000-2000-000022000000}"/>
    <hyperlink ref="B40" r:id="rId36" xr:uid="{00000000-0004-0000-2000-000023000000}"/>
    <hyperlink ref="B41" r:id="rId37" xr:uid="{00000000-0004-0000-2000-000024000000}"/>
    <hyperlink ref="B42" r:id="rId38" xr:uid="{00000000-0004-0000-2000-000025000000}"/>
    <hyperlink ref="B43" r:id="rId39" xr:uid="{00000000-0004-0000-2000-000026000000}"/>
    <hyperlink ref="B44" r:id="rId40" xr:uid="{00000000-0004-0000-2000-000027000000}"/>
    <hyperlink ref="B45" r:id="rId41" xr:uid="{00000000-0004-0000-2000-000028000000}"/>
    <hyperlink ref="B46" r:id="rId42" xr:uid="{00000000-0004-0000-2000-000029000000}"/>
    <hyperlink ref="B47" r:id="rId43" xr:uid="{00000000-0004-0000-2000-00002A000000}"/>
    <hyperlink ref="B48" r:id="rId44" xr:uid="{00000000-0004-0000-2000-00002B000000}"/>
    <hyperlink ref="B49" r:id="rId45" xr:uid="{00000000-0004-0000-2000-00002C000000}"/>
    <hyperlink ref="B50" r:id="rId46" xr:uid="{00000000-0004-0000-2000-00002D000000}"/>
    <hyperlink ref="B51" r:id="rId47" xr:uid="{00000000-0004-0000-2000-00002E000000}"/>
    <hyperlink ref="B52" r:id="rId48" xr:uid="{00000000-0004-0000-2000-00002F000000}"/>
    <hyperlink ref="B53" r:id="rId49" xr:uid="{00000000-0004-0000-2000-000030000000}"/>
    <hyperlink ref="B54" r:id="rId50" xr:uid="{00000000-0004-0000-2000-000031000000}"/>
    <hyperlink ref="B55" r:id="rId51" xr:uid="{00000000-0004-0000-2000-000032000000}"/>
    <hyperlink ref="B56" r:id="rId52" xr:uid="{00000000-0004-0000-2000-000033000000}"/>
    <hyperlink ref="B57" r:id="rId53" xr:uid="{00000000-0004-0000-2000-000034000000}"/>
    <hyperlink ref="B58" r:id="rId54" xr:uid="{00000000-0004-0000-2000-000035000000}"/>
    <hyperlink ref="B59" r:id="rId55" xr:uid="{00000000-0004-0000-2000-000036000000}"/>
    <hyperlink ref="B60" r:id="rId56" xr:uid="{00000000-0004-0000-2000-000037000000}"/>
    <hyperlink ref="B61" r:id="rId57" xr:uid="{00000000-0004-0000-2000-000038000000}"/>
    <hyperlink ref="B62" r:id="rId58" xr:uid="{00000000-0004-0000-2000-000039000000}"/>
    <hyperlink ref="B63" r:id="rId59" xr:uid="{00000000-0004-0000-2000-00003A000000}"/>
    <hyperlink ref="B64" r:id="rId60" xr:uid="{00000000-0004-0000-2000-00003B000000}"/>
    <hyperlink ref="B65" r:id="rId61" xr:uid="{00000000-0004-0000-2000-00003C000000}"/>
    <hyperlink ref="B66" r:id="rId62" xr:uid="{00000000-0004-0000-2000-00003D000000}"/>
    <hyperlink ref="B67" r:id="rId63" xr:uid="{00000000-0004-0000-2000-00003E000000}"/>
    <hyperlink ref="B68" r:id="rId64" xr:uid="{00000000-0004-0000-2000-00003F000000}"/>
    <hyperlink ref="B69" r:id="rId65" xr:uid="{00000000-0004-0000-2000-000040000000}"/>
    <hyperlink ref="B70" r:id="rId66" xr:uid="{00000000-0004-0000-2000-000041000000}"/>
    <hyperlink ref="B71" r:id="rId67" xr:uid="{00000000-0004-0000-2000-000042000000}"/>
    <hyperlink ref="B72" r:id="rId68" xr:uid="{00000000-0004-0000-2000-000043000000}"/>
    <hyperlink ref="B73" r:id="rId69" xr:uid="{00000000-0004-0000-2000-000044000000}"/>
    <hyperlink ref="B74" r:id="rId70" xr:uid="{00000000-0004-0000-2000-000045000000}"/>
    <hyperlink ref="B75" r:id="rId71" xr:uid="{00000000-0004-0000-2000-000046000000}"/>
    <hyperlink ref="B76" r:id="rId72" xr:uid="{00000000-0004-0000-2000-000047000000}"/>
    <hyperlink ref="B77" r:id="rId73" xr:uid="{00000000-0004-0000-2000-000048000000}"/>
    <hyperlink ref="B78" r:id="rId74" xr:uid="{00000000-0004-0000-2000-000049000000}"/>
    <hyperlink ref="B79" r:id="rId75" xr:uid="{00000000-0004-0000-2000-00004A000000}"/>
    <hyperlink ref="B80" r:id="rId76" xr:uid="{00000000-0004-0000-2000-00004B000000}"/>
    <hyperlink ref="B81" r:id="rId77" xr:uid="{00000000-0004-0000-2000-00004C000000}"/>
    <hyperlink ref="B82" r:id="rId78" xr:uid="{00000000-0004-0000-2000-00004D000000}"/>
    <hyperlink ref="B83" r:id="rId79" xr:uid="{00000000-0004-0000-2000-00004E000000}"/>
    <hyperlink ref="B84" r:id="rId80" xr:uid="{00000000-0004-0000-2000-00004F000000}"/>
    <hyperlink ref="B85" r:id="rId81" xr:uid="{00000000-0004-0000-2000-000050000000}"/>
    <hyperlink ref="B86" r:id="rId82" xr:uid="{00000000-0004-0000-2000-000051000000}"/>
    <hyperlink ref="B87" r:id="rId83" xr:uid="{00000000-0004-0000-2000-000052000000}"/>
    <hyperlink ref="B88" r:id="rId84" xr:uid="{00000000-0004-0000-2000-000053000000}"/>
    <hyperlink ref="B89" r:id="rId85" xr:uid="{00000000-0004-0000-2000-000054000000}"/>
    <hyperlink ref="B90" r:id="rId86" xr:uid="{00000000-0004-0000-2000-000055000000}"/>
    <hyperlink ref="B91" r:id="rId87" xr:uid="{00000000-0004-0000-2000-000056000000}"/>
    <hyperlink ref="B92" r:id="rId88" xr:uid="{00000000-0004-0000-2000-000057000000}"/>
    <hyperlink ref="B93" r:id="rId89" xr:uid="{00000000-0004-0000-2000-000058000000}"/>
    <hyperlink ref="B97" r:id="rId90" xr:uid="{00000000-0004-0000-2000-000059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3.1640625" customWidth="1"/>
    <col min="2" max="2" width="22.1640625" customWidth="1"/>
    <col min="3" max="3" width="13.5" customWidth="1"/>
    <col min="4" max="4" width="14.83203125" customWidth="1"/>
    <col min="5" max="5" width="14.33203125" customWidth="1"/>
    <col min="11" max="11" width="13.83203125" customWidth="1"/>
  </cols>
  <sheetData>
    <row r="1" spans="1:23" ht="15.75" customHeight="1">
      <c r="A1" s="1" t="s">
        <v>61</v>
      </c>
      <c r="B1" s="36"/>
      <c r="C1" s="37"/>
      <c r="D1" s="7" t="s">
        <v>181</v>
      </c>
      <c r="E1" s="5"/>
      <c r="F1" s="5"/>
      <c r="G1" s="5"/>
      <c r="K1" s="1"/>
      <c r="M1" s="5"/>
      <c r="N1" s="5"/>
      <c r="S1" s="1"/>
      <c r="U1" s="5"/>
    </row>
    <row r="2" spans="1:23" ht="15.75" customHeight="1">
      <c r="A2" s="7" t="s">
        <v>182</v>
      </c>
      <c r="B2" s="38">
        <v>38777</v>
      </c>
      <c r="C2" s="37"/>
      <c r="D2" s="39">
        <f>SUM(D5:G24)</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43477</v>
      </c>
      <c r="B5" s="49" t="s">
        <v>1197</v>
      </c>
      <c r="C5" s="51" t="s">
        <v>195</v>
      </c>
      <c r="D5" s="51"/>
      <c r="E5" s="5"/>
      <c r="F5" s="5"/>
      <c r="G5" s="5"/>
      <c r="L5" s="43"/>
      <c r="M5" s="43"/>
      <c r="N5" s="42"/>
      <c r="O5" s="44"/>
      <c r="S5" s="42"/>
      <c r="T5" s="43"/>
      <c r="U5" s="43"/>
      <c r="V5" s="42"/>
      <c r="W5" s="44"/>
    </row>
    <row r="6" spans="1:23" ht="15.75" customHeight="1">
      <c r="A6" s="52">
        <v>43508</v>
      </c>
      <c r="B6" s="49" t="s">
        <v>1257</v>
      </c>
      <c r="C6" s="51" t="s">
        <v>192</v>
      </c>
      <c r="D6" s="51"/>
      <c r="E6" s="5"/>
      <c r="F6" s="5"/>
      <c r="G6" s="5"/>
      <c r="L6" s="50"/>
      <c r="M6" s="51"/>
      <c r="N6" s="5"/>
      <c r="S6" s="52"/>
      <c r="T6" s="50"/>
      <c r="U6" s="51"/>
    </row>
    <row r="7" spans="1:23" ht="15.75" customHeight="1">
      <c r="A7" s="52">
        <v>43536</v>
      </c>
      <c r="B7" s="49" t="s">
        <v>1499</v>
      </c>
      <c r="C7" s="51" t="s">
        <v>195</v>
      </c>
      <c r="D7" s="51"/>
      <c r="E7" s="5"/>
      <c r="F7" s="5"/>
      <c r="G7" s="5"/>
      <c r="K7" s="52"/>
      <c r="L7" s="50"/>
      <c r="M7" s="51"/>
      <c r="N7" s="5"/>
      <c r="S7" s="52"/>
      <c r="T7" s="50"/>
      <c r="U7" s="51"/>
    </row>
    <row r="8" spans="1:23" ht="15.75" customHeight="1">
      <c r="A8" s="52">
        <v>43567</v>
      </c>
      <c r="B8" s="49" t="s">
        <v>202</v>
      </c>
      <c r="C8" s="51" t="s">
        <v>197</v>
      </c>
      <c r="D8" s="51"/>
      <c r="E8" s="5"/>
      <c r="F8" s="5"/>
      <c r="G8" s="5"/>
      <c r="K8" s="52"/>
      <c r="L8" s="50"/>
      <c r="M8" s="51"/>
      <c r="N8" s="51"/>
      <c r="S8" s="52"/>
      <c r="T8" s="50"/>
      <c r="U8" s="51"/>
    </row>
    <row r="9" spans="1:23" ht="15.75" customHeight="1">
      <c r="A9" s="52">
        <v>43597</v>
      </c>
      <c r="B9" s="49" t="s">
        <v>1198</v>
      </c>
      <c r="C9" s="51" t="s">
        <v>195</v>
      </c>
      <c r="D9" s="51"/>
      <c r="E9" s="5"/>
      <c r="F9" s="5"/>
      <c r="G9" s="5"/>
      <c r="K9" s="52"/>
      <c r="L9" s="50"/>
      <c r="M9" s="51"/>
      <c r="N9" s="51"/>
      <c r="S9" s="52"/>
      <c r="T9" s="50"/>
      <c r="U9" s="51"/>
    </row>
    <row r="10" spans="1:23" ht="15.75" customHeight="1">
      <c r="A10" s="52">
        <v>43628</v>
      </c>
      <c r="B10" s="49" t="s">
        <v>1503</v>
      </c>
      <c r="C10" s="51" t="s">
        <v>192</v>
      </c>
      <c r="D10" s="51"/>
      <c r="E10" s="5"/>
      <c r="F10" s="5"/>
      <c r="G10" s="5"/>
      <c r="K10" s="52"/>
      <c r="L10" s="50"/>
      <c r="M10" s="51"/>
      <c r="N10" s="5"/>
      <c r="S10" s="52"/>
      <c r="T10" s="50"/>
      <c r="U10" s="51"/>
    </row>
    <row r="11" spans="1:23" ht="15.75" customHeight="1">
      <c r="A11" s="52">
        <v>43658</v>
      </c>
      <c r="B11" s="49" t="s">
        <v>1584</v>
      </c>
      <c r="C11" s="51" t="s">
        <v>195</v>
      </c>
      <c r="D11" s="51"/>
      <c r="E11" s="5"/>
      <c r="F11" s="5"/>
      <c r="G11" s="5"/>
      <c r="K11" s="52"/>
      <c r="L11" s="50"/>
      <c r="M11" s="51"/>
      <c r="N11" s="51"/>
      <c r="S11" s="52"/>
      <c r="T11" s="50"/>
      <c r="U11" s="51"/>
    </row>
    <row r="12" spans="1:23" ht="15.75" customHeight="1">
      <c r="A12" s="52">
        <v>43689</v>
      </c>
      <c r="B12" s="49" t="s">
        <v>390</v>
      </c>
      <c r="C12" s="51" t="s">
        <v>206</v>
      </c>
      <c r="D12" s="51"/>
      <c r="E12" s="5"/>
      <c r="F12" s="5"/>
      <c r="G12" s="5"/>
      <c r="K12" s="52"/>
      <c r="L12" s="50"/>
      <c r="M12" s="51"/>
      <c r="N12" s="51"/>
      <c r="S12" s="52"/>
      <c r="T12" s="50"/>
      <c r="U12" s="51"/>
    </row>
    <row r="13" spans="1:23" ht="15.75" customHeight="1">
      <c r="A13" s="52">
        <v>43720</v>
      </c>
      <c r="B13" s="49" t="s">
        <v>314</v>
      </c>
      <c r="C13" s="51" t="s">
        <v>206</v>
      </c>
      <c r="D13" s="51"/>
      <c r="E13" s="5"/>
      <c r="F13" s="5"/>
      <c r="G13" s="5"/>
      <c r="K13" s="52"/>
      <c r="L13" s="50"/>
      <c r="M13" s="51"/>
      <c r="N13" s="5"/>
      <c r="S13" s="52"/>
      <c r="T13" s="50"/>
      <c r="U13" s="51"/>
    </row>
    <row r="14" spans="1:23" ht="15.75" customHeight="1">
      <c r="A14" s="52">
        <v>43750</v>
      </c>
      <c r="B14" s="49" t="s">
        <v>2198</v>
      </c>
      <c r="C14" s="51" t="s">
        <v>1013</v>
      </c>
      <c r="D14" s="51"/>
      <c r="E14" s="5"/>
      <c r="F14" s="5"/>
      <c r="G14" s="5"/>
      <c r="K14" s="52"/>
      <c r="L14" s="50"/>
      <c r="M14" s="51"/>
      <c r="N14" s="51"/>
      <c r="S14" s="52"/>
      <c r="T14" s="50"/>
      <c r="U14" s="51"/>
    </row>
    <row r="15" spans="1:23" ht="15.75" customHeight="1">
      <c r="A15" s="52">
        <v>43477</v>
      </c>
      <c r="B15" s="49" t="s">
        <v>198</v>
      </c>
      <c r="C15" s="51" t="s">
        <v>199</v>
      </c>
      <c r="D15" s="51"/>
      <c r="E15" s="5"/>
      <c r="F15" s="5"/>
      <c r="G15" s="5"/>
      <c r="K15" s="52"/>
      <c r="L15" s="50"/>
      <c r="M15" s="51"/>
      <c r="N15" s="51"/>
      <c r="S15" s="52"/>
      <c r="T15" s="50"/>
      <c r="U15" s="51"/>
    </row>
    <row r="16" spans="1:23" ht="15.75" customHeight="1">
      <c r="A16" s="52">
        <v>43508</v>
      </c>
      <c r="B16" s="49" t="s">
        <v>278</v>
      </c>
      <c r="C16" s="51" t="s">
        <v>199</v>
      </c>
      <c r="D16" s="51"/>
      <c r="E16" s="5"/>
      <c r="F16" s="5"/>
      <c r="G16" s="5"/>
      <c r="K16" s="52"/>
      <c r="L16" s="50"/>
      <c r="M16" s="51"/>
      <c r="N16" s="51"/>
      <c r="S16" s="52"/>
      <c r="T16" s="50"/>
      <c r="U16" s="51"/>
    </row>
    <row r="17" spans="1:27" ht="15.75" customHeight="1">
      <c r="A17" s="52">
        <v>43536</v>
      </c>
      <c r="B17" s="49" t="s">
        <v>258</v>
      </c>
      <c r="C17" s="51" t="s">
        <v>199</v>
      </c>
      <c r="D17" s="51"/>
      <c r="E17" s="5"/>
      <c r="F17" s="5"/>
      <c r="G17" s="5"/>
      <c r="K17" s="52"/>
      <c r="L17" s="50"/>
      <c r="M17" s="51"/>
      <c r="N17" s="51"/>
      <c r="S17" s="52"/>
      <c r="T17" s="50"/>
      <c r="U17" s="51"/>
    </row>
    <row r="18" spans="1:27" ht="15.75" customHeight="1">
      <c r="A18" s="52">
        <v>43567</v>
      </c>
      <c r="B18" s="49" t="s">
        <v>262</v>
      </c>
      <c r="C18" s="51" t="s">
        <v>199</v>
      </c>
      <c r="D18" s="51"/>
      <c r="E18" s="5"/>
      <c r="F18" s="5"/>
      <c r="G18" s="5"/>
      <c r="M18" s="5"/>
      <c r="N18" s="5"/>
      <c r="U18" s="5"/>
      <c r="AA18" s="5"/>
    </row>
    <row r="19" spans="1:27" ht="15.75" customHeight="1">
      <c r="A19" s="52">
        <v>43597</v>
      </c>
      <c r="B19" s="49" t="s">
        <v>878</v>
      </c>
      <c r="C19" s="51" t="s">
        <v>192</v>
      </c>
      <c r="D19" s="51"/>
      <c r="E19" s="5"/>
      <c r="F19" s="5"/>
      <c r="G19" s="5"/>
      <c r="K19" s="1"/>
      <c r="M19" s="5"/>
      <c r="N19" s="5"/>
      <c r="U19" s="5"/>
      <c r="AA19" s="5"/>
    </row>
    <row r="20" spans="1:27" ht="15.75" customHeight="1">
      <c r="A20" s="52">
        <v>43628</v>
      </c>
      <c r="B20" s="49" t="s">
        <v>1501</v>
      </c>
      <c r="C20" s="51" t="s">
        <v>192</v>
      </c>
      <c r="D20" s="51"/>
      <c r="E20" s="5"/>
      <c r="F20" s="5"/>
      <c r="G20" s="5"/>
      <c r="L20" s="40"/>
      <c r="M20" s="5"/>
      <c r="N20" s="5"/>
      <c r="AA20" s="5"/>
    </row>
    <row r="21" spans="1:27" ht="15.75" customHeight="1">
      <c r="A21" s="52">
        <v>43658</v>
      </c>
      <c r="B21" s="49" t="s">
        <v>299</v>
      </c>
      <c r="C21" s="51" t="s">
        <v>199</v>
      </c>
      <c r="D21" s="51"/>
      <c r="E21" s="5"/>
      <c r="F21" s="5"/>
      <c r="G21" s="5"/>
      <c r="M21" s="5"/>
      <c r="N21" s="5"/>
      <c r="AA21" s="5"/>
    </row>
    <row r="22" spans="1:27" ht="15.75" customHeight="1">
      <c r="A22" s="52">
        <v>43689</v>
      </c>
      <c r="B22" s="49" t="s">
        <v>2024</v>
      </c>
      <c r="C22" s="51" t="s">
        <v>1013</v>
      </c>
      <c r="D22" s="51"/>
      <c r="E22" s="5"/>
      <c r="F22" s="5"/>
      <c r="G22" s="5"/>
      <c r="K22" s="42"/>
      <c r="L22" s="45"/>
      <c r="M22" s="46"/>
      <c r="N22" s="47"/>
      <c r="AA22" s="5"/>
    </row>
    <row r="23" spans="1:27" ht="15.75" customHeight="1">
      <c r="A23" s="52">
        <v>43720</v>
      </c>
      <c r="B23" s="49" t="s">
        <v>390</v>
      </c>
      <c r="C23" s="51" t="s">
        <v>206</v>
      </c>
      <c r="D23" s="51"/>
      <c r="E23" s="5"/>
      <c r="F23" s="5"/>
      <c r="G23" s="5"/>
      <c r="K23" s="42"/>
      <c r="L23" s="43"/>
      <c r="M23" s="43"/>
      <c r="N23" s="42"/>
      <c r="O23" s="44"/>
      <c r="AA23" s="5"/>
    </row>
    <row r="24" spans="1:27" ht="15.75" customHeight="1">
      <c r="A24" s="52">
        <v>43750</v>
      </c>
      <c r="B24" s="49" t="s">
        <v>314</v>
      </c>
      <c r="C24" s="51" t="s">
        <v>206</v>
      </c>
      <c r="D24" s="51"/>
      <c r="E24" s="5"/>
      <c r="F24" s="5"/>
      <c r="G24" s="5"/>
      <c r="K24" s="52"/>
      <c r="L24" s="50"/>
      <c r="M24" s="51"/>
      <c r="N24" s="5"/>
      <c r="AA24" s="5"/>
    </row>
    <row r="25" spans="1:27" ht="15.75" customHeight="1">
      <c r="A25" s="48"/>
      <c r="B25" s="50"/>
      <c r="C25" s="51"/>
      <c r="D25" s="54"/>
      <c r="E25" s="5"/>
      <c r="F25" s="5"/>
      <c r="G25" s="5"/>
      <c r="K25" s="52"/>
      <c r="L25" s="50"/>
      <c r="M25" s="51"/>
      <c r="N25" s="5"/>
      <c r="AA25" s="5"/>
    </row>
    <row r="26" spans="1:27" ht="15.75" customHeight="1">
      <c r="A26" s="48"/>
      <c r="B26" s="50"/>
      <c r="C26" s="51"/>
      <c r="D26" s="54"/>
      <c r="E26" s="5"/>
      <c r="F26" s="5"/>
      <c r="G26" s="5"/>
      <c r="K26" s="52"/>
      <c r="L26" s="50"/>
      <c r="M26" s="51"/>
      <c r="N26" s="51"/>
      <c r="AA26" s="5"/>
    </row>
    <row r="27" spans="1:27" ht="15.75" customHeight="1">
      <c r="A27" s="48"/>
      <c r="B27" s="50"/>
      <c r="C27" s="51"/>
      <c r="D27" s="54"/>
      <c r="E27" s="5"/>
      <c r="F27" s="51"/>
      <c r="G27" s="5"/>
      <c r="K27" s="52"/>
      <c r="L27" s="50"/>
      <c r="M27" s="51"/>
      <c r="N27" s="51"/>
      <c r="AA27" s="5"/>
    </row>
    <row r="28" spans="1:27" ht="15.75" customHeight="1">
      <c r="A28" s="48"/>
      <c r="B28" s="50"/>
      <c r="C28" s="51"/>
      <c r="D28" s="54"/>
      <c r="E28" s="5"/>
      <c r="F28" s="5"/>
      <c r="G28" s="5"/>
      <c r="J28" s="5"/>
      <c r="K28" s="52"/>
      <c r="L28" s="50"/>
      <c r="M28" s="51"/>
      <c r="N28" s="5"/>
      <c r="P28" s="5"/>
    </row>
    <row r="29" spans="1:27" ht="15.75" customHeight="1">
      <c r="A29" s="48"/>
      <c r="B29" s="50"/>
      <c r="C29" s="51"/>
      <c r="D29" s="54"/>
      <c r="E29" s="5"/>
      <c r="F29" s="5"/>
      <c r="G29" s="5"/>
      <c r="J29" s="5"/>
      <c r="K29" s="52"/>
      <c r="L29" s="50"/>
      <c r="M29" s="51"/>
      <c r="N29" s="51"/>
      <c r="P29" s="5"/>
    </row>
    <row r="30" spans="1:27" ht="15.75" customHeight="1">
      <c r="A30" s="48"/>
      <c r="B30" s="50"/>
      <c r="C30" s="51"/>
      <c r="D30" s="54"/>
      <c r="E30" s="5"/>
      <c r="F30" s="5"/>
      <c r="G30" s="5"/>
      <c r="J30" s="5"/>
      <c r="K30" s="52"/>
      <c r="L30" s="50"/>
      <c r="M30" s="51"/>
      <c r="N30" s="5"/>
      <c r="P30" s="5"/>
    </row>
    <row r="31" spans="1:27" ht="15.75" customHeight="1">
      <c r="A31" s="48"/>
      <c r="B31" s="50"/>
      <c r="C31" s="51"/>
      <c r="D31" s="54"/>
      <c r="E31" s="5"/>
      <c r="F31" s="5"/>
      <c r="G31" s="5"/>
      <c r="J31" s="5"/>
      <c r="K31" s="52"/>
      <c r="L31" s="50"/>
      <c r="M31" s="51"/>
      <c r="N31" s="51"/>
      <c r="P31" s="5"/>
    </row>
    <row r="32" spans="1:27" ht="15.75" customHeight="1">
      <c r="A32" s="48"/>
      <c r="B32" s="50"/>
      <c r="C32" s="51"/>
      <c r="D32" s="54"/>
      <c r="E32" s="5"/>
      <c r="F32" s="5"/>
      <c r="G32" s="5"/>
      <c r="J32" s="5"/>
      <c r="K32" s="52"/>
      <c r="L32" s="50"/>
      <c r="M32" s="51"/>
      <c r="N32" s="5"/>
      <c r="P32" s="5"/>
    </row>
    <row r="33" spans="1:16" ht="15.75" customHeight="1">
      <c r="A33" s="48"/>
      <c r="B33" s="50"/>
      <c r="C33" s="51"/>
      <c r="D33" s="54"/>
      <c r="E33" s="5"/>
      <c r="F33" s="5"/>
      <c r="G33" s="5"/>
      <c r="J33" s="5"/>
      <c r="K33" s="52"/>
      <c r="L33" s="50"/>
      <c r="M33" s="51"/>
      <c r="N33" s="5"/>
      <c r="P33" s="5"/>
    </row>
    <row r="34" spans="1:16" ht="15.75" customHeight="1">
      <c r="A34" s="48"/>
      <c r="B34" s="50"/>
      <c r="C34" s="51"/>
      <c r="D34" s="54"/>
      <c r="E34" s="5"/>
      <c r="F34" s="5"/>
      <c r="G34" s="5"/>
      <c r="J34" s="5"/>
      <c r="K34" s="52"/>
      <c r="L34" s="50"/>
      <c r="M34" s="51"/>
      <c r="N34" s="5"/>
      <c r="P34" s="5"/>
    </row>
    <row r="35" spans="1:16" ht="15.75" customHeight="1">
      <c r="A35" s="48"/>
      <c r="B35" s="50"/>
      <c r="C35" s="51"/>
      <c r="D35" s="54"/>
      <c r="E35" s="5"/>
      <c r="F35" s="5"/>
      <c r="G35" s="5"/>
      <c r="J35" s="5"/>
      <c r="K35" s="52"/>
      <c r="L35" s="50"/>
      <c r="M35" s="51"/>
      <c r="N35" s="51"/>
      <c r="P35" s="5"/>
    </row>
    <row r="36" spans="1:16" ht="15.75" customHeight="1">
      <c r="A36" s="48"/>
      <c r="B36" s="50"/>
      <c r="C36" s="51"/>
      <c r="D36" s="54"/>
      <c r="E36" s="5"/>
      <c r="F36" s="5"/>
      <c r="G36" s="5"/>
      <c r="J36" s="5"/>
      <c r="M36" s="5"/>
      <c r="N36" s="5"/>
      <c r="P36" s="5"/>
    </row>
    <row r="37" spans="1:16" ht="15.75" customHeight="1">
      <c r="A37" s="48"/>
      <c r="B37" s="50"/>
      <c r="C37" s="51"/>
      <c r="D37" s="54"/>
      <c r="E37" s="5"/>
      <c r="F37" s="5"/>
      <c r="G37" s="5"/>
      <c r="J37" s="5"/>
      <c r="M37" s="5"/>
      <c r="N37" s="5"/>
    </row>
    <row r="38" spans="1:16" ht="15.75" customHeight="1">
      <c r="A38" s="48"/>
      <c r="B38" s="50"/>
      <c r="C38" s="51"/>
      <c r="D38" s="54"/>
      <c r="E38" s="5"/>
      <c r="F38" s="5"/>
      <c r="G38" s="5"/>
      <c r="J38" s="5"/>
      <c r="M38" s="51"/>
      <c r="N38" s="51"/>
    </row>
    <row r="39" spans="1:16" ht="15.75" customHeight="1">
      <c r="A39" s="48"/>
      <c r="B39" s="50"/>
      <c r="C39" s="51"/>
      <c r="D39" s="54"/>
      <c r="E39" s="5"/>
      <c r="F39" s="5"/>
      <c r="G39" s="5"/>
      <c r="J39" s="5"/>
      <c r="M39" s="51"/>
      <c r="N39" s="51"/>
    </row>
    <row r="40" spans="1:16" ht="15.75" customHeight="1">
      <c r="A40" s="48"/>
      <c r="B40" s="50"/>
      <c r="C40" s="51"/>
      <c r="D40" s="54"/>
      <c r="E40" s="5"/>
      <c r="F40" s="5"/>
      <c r="G40" s="5"/>
      <c r="J40" s="5"/>
      <c r="M40" s="51"/>
      <c r="N40" s="51"/>
    </row>
    <row r="41" spans="1:16" ht="15.75" customHeight="1">
      <c r="A41" s="48"/>
      <c r="B41" s="50"/>
      <c r="C41" s="51"/>
      <c r="D41" s="54"/>
      <c r="E41" s="5"/>
      <c r="F41" s="5"/>
      <c r="G41" s="5"/>
      <c r="J41" s="5"/>
      <c r="M41" s="51"/>
      <c r="N41" s="51"/>
    </row>
    <row r="42" spans="1:16" ht="15.75" customHeight="1">
      <c r="A42" s="48"/>
      <c r="B42" s="50"/>
      <c r="C42" s="51"/>
      <c r="D42" s="54"/>
      <c r="E42" s="5"/>
      <c r="F42" s="5"/>
      <c r="G42" s="5"/>
      <c r="J42" s="5"/>
      <c r="M42" s="51"/>
      <c r="N42" s="51"/>
    </row>
    <row r="43" spans="1:16" ht="15.75" customHeight="1">
      <c r="A43" s="48"/>
      <c r="B43" s="50"/>
      <c r="C43" s="51"/>
      <c r="D43" s="54"/>
      <c r="E43" s="5"/>
      <c r="F43" s="5"/>
      <c r="G43" s="5"/>
      <c r="J43" s="5"/>
      <c r="M43" s="51"/>
      <c r="N43" s="51"/>
    </row>
    <row r="44" spans="1:16" ht="15.75" customHeight="1">
      <c r="A44" s="48"/>
      <c r="B44" s="50"/>
      <c r="C44" s="51"/>
      <c r="D44" s="54"/>
      <c r="E44" s="5"/>
      <c r="F44" s="5"/>
      <c r="G44" s="5"/>
      <c r="J44" s="5"/>
      <c r="M44" s="51"/>
      <c r="N44" s="51"/>
    </row>
    <row r="45" spans="1:16" ht="15.75" customHeight="1">
      <c r="A45" s="48"/>
      <c r="B45" s="50"/>
      <c r="C45" s="51"/>
      <c r="D45" s="54"/>
      <c r="E45" s="5"/>
      <c r="F45" s="5"/>
      <c r="G45" s="5"/>
      <c r="J45" s="5"/>
      <c r="M45" s="51"/>
      <c r="N45" s="51"/>
      <c r="P45" s="5"/>
    </row>
    <row r="46" spans="1:16" ht="15.75" customHeight="1">
      <c r="A46" s="48"/>
      <c r="B46" s="50"/>
      <c r="C46" s="51"/>
      <c r="D46" s="54"/>
      <c r="E46" s="5"/>
      <c r="F46" s="5"/>
      <c r="G46" s="5"/>
      <c r="J46" s="5"/>
      <c r="M46" s="51"/>
      <c r="N46" s="51"/>
      <c r="P46" s="5"/>
    </row>
    <row r="47" spans="1:16" ht="15.75" customHeight="1">
      <c r="A47" s="48"/>
      <c r="B47" s="50"/>
      <c r="C47" s="51"/>
      <c r="D47" s="54"/>
      <c r="E47" s="5"/>
      <c r="F47" s="5"/>
      <c r="G47" s="5"/>
      <c r="J47" s="5"/>
      <c r="M47" s="5"/>
      <c r="N47" s="5"/>
      <c r="P47" s="5"/>
    </row>
    <row r="48" spans="1:16" ht="15.75" customHeight="1">
      <c r="A48" s="48"/>
      <c r="B48" s="50"/>
      <c r="C48" s="51"/>
      <c r="D48" s="54"/>
      <c r="E48" s="5"/>
      <c r="F48" s="5"/>
      <c r="G48" s="5"/>
      <c r="J48" s="5"/>
      <c r="M48" s="5"/>
      <c r="N48" s="5"/>
      <c r="P48" s="5"/>
    </row>
    <row r="49" spans="1:16" ht="15.75" customHeight="1">
      <c r="A49" s="48"/>
      <c r="B49" s="50"/>
      <c r="C49" s="51"/>
      <c r="D49" s="54"/>
      <c r="E49" s="5"/>
      <c r="F49" s="5"/>
      <c r="G49" s="5"/>
      <c r="J49" s="5"/>
      <c r="M49" s="5"/>
      <c r="N49" s="5"/>
      <c r="P49" s="5"/>
    </row>
    <row r="50" spans="1:16" ht="15.75" customHeight="1">
      <c r="A50" s="48"/>
      <c r="B50" s="50"/>
      <c r="C50" s="51"/>
      <c r="D50" s="54"/>
      <c r="E50" s="5"/>
      <c r="F50" s="5"/>
      <c r="G50" s="5"/>
      <c r="J50" s="5"/>
      <c r="M50" s="5"/>
      <c r="N50" s="5"/>
      <c r="P50" s="5"/>
    </row>
    <row r="51" spans="1:16" ht="15.75" customHeight="1">
      <c r="A51" s="48"/>
      <c r="B51" s="50"/>
      <c r="C51" s="51"/>
      <c r="D51" s="54"/>
      <c r="E51" s="5"/>
      <c r="F51" s="5"/>
      <c r="G51" s="5"/>
      <c r="J51" s="5"/>
      <c r="M51" s="5"/>
      <c r="N51" s="5"/>
      <c r="P51" s="5"/>
    </row>
    <row r="52" spans="1:16" ht="15.75" customHeight="1">
      <c r="A52" s="48"/>
      <c r="B52" s="50"/>
      <c r="C52" s="51"/>
      <c r="D52" s="54"/>
      <c r="E52" s="5"/>
      <c r="F52" s="5"/>
      <c r="G52" s="5"/>
      <c r="J52" s="5"/>
      <c r="M52" s="5"/>
      <c r="N52" s="5"/>
      <c r="P52" s="5"/>
    </row>
    <row r="53" spans="1:16" ht="13">
      <c r="A53" s="48"/>
      <c r="B53" s="50"/>
      <c r="C53" s="51"/>
      <c r="D53" s="54"/>
      <c r="E53" s="5"/>
      <c r="F53" s="5"/>
      <c r="G53" s="5"/>
      <c r="J53" s="5"/>
      <c r="M53" s="5"/>
      <c r="N53" s="5"/>
      <c r="P53" s="5"/>
    </row>
    <row r="54" spans="1:16" ht="13">
      <c r="A54" s="48"/>
      <c r="B54" s="50"/>
      <c r="C54" s="51"/>
      <c r="D54" s="54"/>
      <c r="E54" s="5"/>
      <c r="F54" s="5"/>
      <c r="G54" s="5"/>
      <c r="J54" s="5"/>
      <c r="M54" s="5"/>
      <c r="N54" s="5"/>
      <c r="P54" s="5"/>
    </row>
    <row r="55" spans="1:16" ht="13">
      <c r="A55" s="48"/>
      <c r="B55" s="50"/>
      <c r="C55" s="51"/>
      <c r="D55" s="54"/>
      <c r="E55" s="5"/>
      <c r="F55" s="5"/>
      <c r="G55" s="5"/>
      <c r="J55" s="5"/>
      <c r="M55" s="5"/>
      <c r="N55" s="5"/>
      <c r="P55" s="5"/>
    </row>
    <row r="56" spans="1:16" ht="13">
      <c r="A56" s="48"/>
      <c r="B56" s="50"/>
      <c r="C56" s="51"/>
      <c r="D56" s="54"/>
      <c r="E56" s="5"/>
      <c r="F56" s="5"/>
      <c r="G56" s="5"/>
      <c r="J56" s="5"/>
      <c r="M56" s="5"/>
      <c r="N56" s="5"/>
      <c r="P56" s="5"/>
    </row>
    <row r="57" spans="1:16" ht="13">
      <c r="A57" s="48"/>
      <c r="B57" s="50"/>
      <c r="C57" s="51"/>
      <c r="D57" s="54"/>
      <c r="E57" s="5"/>
      <c r="F57" s="5"/>
      <c r="G57" s="5"/>
      <c r="J57" s="5"/>
      <c r="M57" s="5"/>
      <c r="N57" s="5"/>
      <c r="P57" s="5"/>
    </row>
    <row r="58" spans="1:16" ht="13">
      <c r="A58" s="48"/>
      <c r="B58" s="50"/>
      <c r="C58" s="51"/>
      <c r="D58" s="54"/>
      <c r="E58" s="5"/>
      <c r="F58" s="5"/>
      <c r="G58" s="5"/>
      <c r="J58" s="5"/>
      <c r="M58" s="5"/>
      <c r="N58" s="5"/>
      <c r="P58" s="5"/>
    </row>
    <row r="59" spans="1:16" ht="13">
      <c r="A59" s="48"/>
      <c r="B59" s="50"/>
      <c r="C59" s="51"/>
      <c r="D59" s="54"/>
      <c r="E59" s="5"/>
      <c r="F59" s="5"/>
      <c r="G59" s="5"/>
      <c r="J59" s="5"/>
      <c r="M59" s="5"/>
      <c r="N59" s="5"/>
      <c r="P59" s="5"/>
    </row>
    <row r="60" spans="1:16" ht="13">
      <c r="A60" s="48"/>
      <c r="B60" s="50"/>
      <c r="C60" s="51"/>
      <c r="D60" s="54"/>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1"/>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100-000000000000}"/>
    <hyperlink ref="B6" r:id="rId2" xr:uid="{00000000-0004-0000-2100-000001000000}"/>
    <hyperlink ref="B7" r:id="rId3" xr:uid="{00000000-0004-0000-2100-000002000000}"/>
    <hyperlink ref="B8" r:id="rId4" xr:uid="{00000000-0004-0000-2100-000003000000}"/>
    <hyperlink ref="B9" r:id="rId5" xr:uid="{00000000-0004-0000-2100-000004000000}"/>
    <hyperlink ref="B10" r:id="rId6" xr:uid="{00000000-0004-0000-2100-000005000000}"/>
    <hyperlink ref="B11" r:id="rId7" xr:uid="{00000000-0004-0000-2100-000006000000}"/>
    <hyperlink ref="B12" r:id="rId8" xr:uid="{00000000-0004-0000-2100-000007000000}"/>
    <hyperlink ref="B13" r:id="rId9" xr:uid="{00000000-0004-0000-2100-000008000000}"/>
    <hyperlink ref="B14" r:id="rId10" xr:uid="{00000000-0004-0000-2100-000009000000}"/>
    <hyperlink ref="B15" r:id="rId11" xr:uid="{00000000-0004-0000-2100-00000A000000}"/>
    <hyperlink ref="B16" r:id="rId12" xr:uid="{00000000-0004-0000-2100-00000B000000}"/>
    <hyperlink ref="B17" r:id="rId13" xr:uid="{00000000-0004-0000-2100-00000C000000}"/>
    <hyperlink ref="B18" r:id="rId14" xr:uid="{00000000-0004-0000-2100-00000D000000}"/>
    <hyperlink ref="B19" r:id="rId15" xr:uid="{00000000-0004-0000-2100-00000E000000}"/>
    <hyperlink ref="B20" r:id="rId16" xr:uid="{00000000-0004-0000-2100-00000F000000}"/>
    <hyperlink ref="B21" r:id="rId17" xr:uid="{00000000-0004-0000-2100-000010000000}"/>
    <hyperlink ref="B22" r:id="rId18" xr:uid="{00000000-0004-0000-2100-000011000000}"/>
    <hyperlink ref="B23" r:id="rId19" xr:uid="{00000000-0004-0000-2100-000012000000}"/>
    <hyperlink ref="B24" r:id="rId20" xr:uid="{00000000-0004-0000-2100-000013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2.1640625" customWidth="1"/>
    <col min="3" max="3" width="13.5" customWidth="1"/>
    <col min="4" max="4" width="14.83203125" customWidth="1"/>
    <col min="5" max="5" width="14.33203125" customWidth="1"/>
    <col min="11" max="11" width="13.83203125" customWidth="1"/>
  </cols>
  <sheetData>
    <row r="1" spans="1:23" ht="15.75" customHeight="1">
      <c r="A1" s="1" t="s">
        <v>62</v>
      </c>
      <c r="B1" s="36"/>
      <c r="C1" s="37"/>
      <c r="D1" s="7" t="s">
        <v>181</v>
      </c>
      <c r="E1" s="5"/>
      <c r="F1" s="5"/>
      <c r="G1" s="5"/>
      <c r="K1" s="1"/>
      <c r="M1" s="5"/>
      <c r="N1" s="5"/>
      <c r="S1" s="1"/>
      <c r="U1" s="5"/>
    </row>
    <row r="2" spans="1:23" ht="15.75" customHeight="1">
      <c r="A2" s="7" t="s">
        <v>182</v>
      </c>
      <c r="B2" s="38">
        <v>38840</v>
      </c>
      <c r="C2" s="37"/>
      <c r="D2" s="39">
        <f>SUM(D5:G109)</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661</v>
      </c>
      <c r="B5" s="49" t="s">
        <v>2764</v>
      </c>
      <c r="C5" s="51" t="s">
        <v>2507</v>
      </c>
      <c r="D5" s="54"/>
      <c r="E5" s="5"/>
      <c r="F5" s="5"/>
      <c r="G5" s="5"/>
      <c r="L5" s="43"/>
      <c r="M5" s="43"/>
      <c r="N5" s="42"/>
      <c r="O5" s="44"/>
      <c r="S5" s="42"/>
      <c r="T5" s="43"/>
      <c r="U5" s="43"/>
      <c r="V5" s="42"/>
      <c r="W5" s="44"/>
    </row>
    <row r="6" spans="1:23" ht="15.75" customHeight="1">
      <c r="A6" s="48" t="s">
        <v>662</v>
      </c>
      <c r="B6" s="49" t="s">
        <v>2765</v>
      </c>
      <c r="C6" s="51" t="s">
        <v>2068</v>
      </c>
      <c r="D6" s="54"/>
      <c r="E6" s="5"/>
      <c r="F6" s="5"/>
      <c r="G6" s="5"/>
      <c r="L6" s="50"/>
      <c r="M6" s="51"/>
      <c r="N6" s="5"/>
      <c r="S6" s="52"/>
      <c r="T6" s="50"/>
      <c r="U6" s="51"/>
    </row>
    <row r="7" spans="1:23" ht="15.75" customHeight="1">
      <c r="A7" s="48" t="s">
        <v>663</v>
      </c>
      <c r="B7" s="49" t="s">
        <v>2766</v>
      </c>
      <c r="C7" s="51" t="s">
        <v>808</v>
      </c>
      <c r="D7" s="54"/>
      <c r="E7" s="5"/>
      <c r="F7" s="5"/>
      <c r="G7" s="5"/>
      <c r="K7" s="52"/>
      <c r="L7" s="50"/>
      <c r="M7" s="51"/>
      <c r="N7" s="5"/>
      <c r="S7" s="52"/>
      <c r="T7" s="50"/>
      <c r="U7" s="51"/>
    </row>
    <row r="8" spans="1:23" ht="15.75" customHeight="1">
      <c r="A8" s="48" t="s">
        <v>664</v>
      </c>
      <c r="B8" s="49" t="s">
        <v>2767</v>
      </c>
      <c r="C8" s="51" t="s">
        <v>220</v>
      </c>
      <c r="D8" s="54"/>
      <c r="E8" s="5"/>
      <c r="F8" s="5"/>
      <c r="G8" s="5"/>
      <c r="K8" s="52"/>
      <c r="L8" s="50"/>
      <c r="M8" s="51"/>
      <c r="N8" s="51"/>
      <c r="S8" s="52"/>
      <c r="T8" s="50"/>
      <c r="U8" s="51"/>
    </row>
    <row r="9" spans="1:23" ht="15.75" customHeight="1">
      <c r="A9" s="48" t="s">
        <v>665</v>
      </c>
      <c r="B9" s="49" t="s">
        <v>2768</v>
      </c>
      <c r="C9" s="51" t="s">
        <v>197</v>
      </c>
      <c r="D9" s="54"/>
      <c r="E9" s="5"/>
      <c r="F9" s="5"/>
      <c r="G9" s="5"/>
      <c r="K9" s="52"/>
      <c r="L9" s="50"/>
      <c r="M9" s="51"/>
      <c r="N9" s="51"/>
      <c r="S9" s="52"/>
      <c r="T9" s="50"/>
      <c r="U9" s="51"/>
    </row>
    <row r="10" spans="1:23" ht="15.75" customHeight="1">
      <c r="A10" s="48" t="s">
        <v>666</v>
      </c>
      <c r="B10" s="49" t="s">
        <v>2769</v>
      </c>
      <c r="C10" s="51" t="s">
        <v>192</v>
      </c>
      <c r="D10" s="54"/>
      <c r="E10" s="5"/>
      <c r="F10" s="5"/>
      <c r="G10" s="5"/>
      <c r="K10" s="52"/>
      <c r="L10" s="50"/>
      <c r="M10" s="51"/>
      <c r="N10" s="5"/>
      <c r="S10" s="52"/>
      <c r="T10" s="50"/>
      <c r="U10" s="51"/>
    </row>
    <row r="11" spans="1:23" ht="15.75" customHeight="1">
      <c r="A11" s="48" t="s">
        <v>667</v>
      </c>
      <c r="B11" s="49" t="s">
        <v>2770</v>
      </c>
      <c r="C11" s="51" t="s">
        <v>2486</v>
      </c>
      <c r="D11" s="54"/>
      <c r="E11" s="5"/>
      <c r="F11" s="5"/>
      <c r="G11" s="5"/>
      <c r="K11" s="52"/>
      <c r="L11" s="50"/>
      <c r="M11" s="51"/>
      <c r="N11" s="51"/>
      <c r="S11" s="52"/>
      <c r="T11" s="50"/>
      <c r="U11" s="51"/>
    </row>
    <row r="12" spans="1:23" ht="15.75" customHeight="1">
      <c r="A12" s="48" t="s">
        <v>668</v>
      </c>
      <c r="B12" s="49" t="s">
        <v>2771</v>
      </c>
      <c r="C12" s="51" t="s">
        <v>2491</v>
      </c>
      <c r="D12" s="54"/>
      <c r="E12" s="5"/>
      <c r="F12" s="5"/>
      <c r="G12" s="5"/>
      <c r="K12" s="52"/>
      <c r="L12" s="50"/>
      <c r="M12" s="51"/>
      <c r="N12" s="51"/>
      <c r="S12" s="52"/>
      <c r="T12" s="50"/>
      <c r="U12" s="51"/>
    </row>
    <row r="13" spans="1:23" ht="15.75" customHeight="1">
      <c r="A13" s="48" t="s">
        <v>669</v>
      </c>
      <c r="B13" s="49" t="s">
        <v>2772</v>
      </c>
      <c r="C13" s="51" t="s">
        <v>192</v>
      </c>
      <c r="D13" s="54"/>
      <c r="E13" s="5"/>
      <c r="F13" s="5"/>
      <c r="G13" s="5"/>
      <c r="K13" s="52"/>
      <c r="L13" s="50"/>
      <c r="M13" s="51"/>
      <c r="N13" s="5"/>
      <c r="S13" s="52"/>
      <c r="T13" s="50"/>
      <c r="U13" s="51"/>
    </row>
    <row r="14" spans="1:23" ht="15.75" customHeight="1">
      <c r="A14" s="48" t="s">
        <v>670</v>
      </c>
      <c r="B14" s="49" t="s">
        <v>2773</v>
      </c>
      <c r="C14" s="51" t="s">
        <v>2496</v>
      </c>
      <c r="D14" s="54"/>
      <c r="E14" s="5"/>
      <c r="F14" s="5"/>
      <c r="G14" s="5"/>
      <c r="K14" s="52"/>
      <c r="L14" s="50"/>
      <c r="M14" s="51"/>
      <c r="N14" s="51"/>
      <c r="S14" s="52"/>
      <c r="T14" s="50"/>
      <c r="U14" s="51"/>
    </row>
    <row r="15" spans="1:23" ht="15.75" customHeight="1">
      <c r="A15" s="48" t="s">
        <v>671</v>
      </c>
      <c r="B15" s="49" t="s">
        <v>2502</v>
      </c>
      <c r="C15" s="51" t="s">
        <v>199</v>
      </c>
      <c r="D15" s="54"/>
      <c r="E15" s="5"/>
      <c r="F15" s="5"/>
      <c r="G15" s="5"/>
      <c r="K15" s="52"/>
      <c r="L15" s="50"/>
      <c r="M15" s="51"/>
      <c r="N15" s="51"/>
      <c r="S15" s="52"/>
      <c r="T15" s="50"/>
      <c r="U15" s="51"/>
    </row>
    <row r="16" spans="1:23" ht="15.75" customHeight="1">
      <c r="A16" s="48" t="s">
        <v>672</v>
      </c>
      <c r="B16" s="49" t="s">
        <v>2504</v>
      </c>
      <c r="C16" s="51" t="s">
        <v>208</v>
      </c>
      <c r="D16" s="54"/>
      <c r="E16" s="5"/>
      <c r="F16" s="5"/>
      <c r="G16" s="5"/>
      <c r="K16" s="52"/>
      <c r="L16" s="50"/>
      <c r="M16" s="51"/>
      <c r="N16" s="51"/>
      <c r="S16" s="52"/>
      <c r="T16" s="50"/>
      <c r="U16" s="51"/>
    </row>
    <row r="17" spans="1:27" ht="15.75" customHeight="1">
      <c r="A17" s="48" t="s">
        <v>673</v>
      </c>
      <c r="B17" s="49" t="s">
        <v>2774</v>
      </c>
      <c r="C17" s="51" t="s">
        <v>195</v>
      </c>
      <c r="D17" s="54"/>
      <c r="E17" s="5"/>
      <c r="F17" s="5"/>
      <c r="G17" s="5"/>
      <c r="K17" s="52"/>
      <c r="L17" s="50"/>
      <c r="M17" s="51"/>
      <c r="N17" s="51"/>
      <c r="S17" s="52"/>
      <c r="T17" s="50"/>
      <c r="U17" s="51"/>
    </row>
    <row r="18" spans="1:27" ht="15.75" customHeight="1">
      <c r="A18" s="48" t="s">
        <v>674</v>
      </c>
      <c r="B18" s="49" t="s">
        <v>2775</v>
      </c>
      <c r="C18" s="51" t="s">
        <v>2491</v>
      </c>
      <c r="D18" s="54"/>
      <c r="E18" s="5"/>
      <c r="F18" s="5"/>
      <c r="G18" s="5"/>
      <c r="M18" s="5"/>
      <c r="N18" s="5"/>
      <c r="U18" s="5"/>
      <c r="AA18" s="5"/>
    </row>
    <row r="19" spans="1:27" ht="15.75" customHeight="1">
      <c r="A19" s="48" t="s">
        <v>675</v>
      </c>
      <c r="B19" s="49" t="s">
        <v>2776</v>
      </c>
      <c r="C19" s="51" t="s">
        <v>220</v>
      </c>
      <c r="D19" s="54"/>
      <c r="E19" s="5"/>
      <c r="F19" s="5"/>
      <c r="G19" s="5"/>
      <c r="K19" s="1"/>
      <c r="M19" s="5"/>
      <c r="N19" s="5"/>
      <c r="U19" s="5"/>
      <c r="AA19" s="5"/>
    </row>
    <row r="20" spans="1:27" ht="15.75" customHeight="1">
      <c r="A20" s="48" t="s">
        <v>676</v>
      </c>
      <c r="B20" s="49" t="s">
        <v>2513</v>
      </c>
      <c r="C20" s="51" t="s">
        <v>2518</v>
      </c>
      <c r="D20" s="54"/>
      <c r="E20" s="5"/>
      <c r="F20" s="5"/>
      <c r="G20" s="5"/>
      <c r="L20" s="40"/>
      <c r="M20" s="5"/>
      <c r="N20" s="5"/>
      <c r="AA20" s="5"/>
    </row>
    <row r="21" spans="1:27" ht="15.75" customHeight="1">
      <c r="A21" s="48" t="s">
        <v>677</v>
      </c>
      <c r="B21" s="49" t="s">
        <v>2777</v>
      </c>
      <c r="C21" s="51" t="s">
        <v>1799</v>
      </c>
      <c r="D21" s="54"/>
      <c r="E21" s="5"/>
      <c r="F21" s="51"/>
      <c r="G21" s="5"/>
      <c r="M21" s="5"/>
      <c r="N21" s="5"/>
      <c r="AA21" s="5"/>
    </row>
    <row r="22" spans="1:27" ht="15.75" customHeight="1">
      <c r="A22" s="48" t="s">
        <v>678</v>
      </c>
      <c r="B22" s="49" t="s">
        <v>1491</v>
      </c>
      <c r="C22" s="51" t="s">
        <v>808</v>
      </c>
      <c r="D22" s="54"/>
      <c r="E22" s="5"/>
      <c r="F22" s="5"/>
      <c r="G22" s="5"/>
      <c r="K22" s="42"/>
      <c r="L22" s="45"/>
      <c r="M22" s="46"/>
      <c r="N22" s="47"/>
      <c r="AA22" s="5"/>
    </row>
    <row r="23" spans="1:27" ht="15.75" customHeight="1">
      <c r="A23" s="48" t="s">
        <v>679</v>
      </c>
      <c r="B23" s="49" t="s">
        <v>2778</v>
      </c>
      <c r="C23" s="51" t="s">
        <v>208</v>
      </c>
      <c r="D23" s="54"/>
      <c r="E23" s="5"/>
      <c r="F23" s="5"/>
      <c r="G23" s="5"/>
      <c r="K23" s="42"/>
      <c r="L23" s="43"/>
      <c r="M23" s="43"/>
      <c r="N23" s="42"/>
      <c r="O23" s="44"/>
      <c r="AA23" s="5"/>
    </row>
    <row r="24" spans="1:27" ht="15.75" customHeight="1">
      <c r="A24" s="48" t="s">
        <v>680</v>
      </c>
      <c r="B24" s="49" t="s">
        <v>1212</v>
      </c>
      <c r="C24" s="51" t="s">
        <v>199</v>
      </c>
      <c r="D24" s="54"/>
      <c r="E24" s="5"/>
      <c r="F24" s="5"/>
      <c r="G24" s="5"/>
      <c r="K24" s="52"/>
      <c r="L24" s="50"/>
      <c r="M24" s="51"/>
      <c r="N24" s="5"/>
      <c r="AA24" s="5"/>
    </row>
    <row r="25" spans="1:27" ht="15.75" customHeight="1">
      <c r="A25" s="48" t="s">
        <v>681</v>
      </c>
      <c r="B25" s="49" t="s">
        <v>2502</v>
      </c>
      <c r="C25" s="51" t="s">
        <v>199</v>
      </c>
      <c r="D25" s="51"/>
      <c r="E25" s="5"/>
      <c r="F25" s="5"/>
      <c r="G25" s="5"/>
      <c r="K25" s="52"/>
      <c r="L25" s="50"/>
      <c r="M25" s="51"/>
      <c r="N25" s="5"/>
      <c r="AA25" s="5"/>
    </row>
    <row r="26" spans="1:27" ht="15.75" customHeight="1">
      <c r="A26" s="48" t="s">
        <v>682</v>
      </c>
      <c r="B26" s="49" t="s">
        <v>2504</v>
      </c>
      <c r="C26" s="51" t="s">
        <v>208</v>
      </c>
      <c r="D26" s="54"/>
      <c r="E26" s="5"/>
      <c r="F26" s="5"/>
      <c r="G26" s="5"/>
      <c r="K26" s="52"/>
      <c r="L26" s="50"/>
      <c r="M26" s="51"/>
      <c r="N26" s="51"/>
      <c r="AA26" s="5"/>
    </row>
    <row r="27" spans="1:27" ht="15.75" customHeight="1">
      <c r="A27" s="48" t="s">
        <v>683</v>
      </c>
      <c r="B27" s="49" t="s">
        <v>1368</v>
      </c>
      <c r="C27" s="51" t="s">
        <v>220</v>
      </c>
      <c r="D27" s="54"/>
      <c r="E27" s="5"/>
      <c r="F27" s="51"/>
      <c r="G27" s="5"/>
      <c r="K27" s="52"/>
      <c r="L27" s="50"/>
      <c r="M27" s="51"/>
      <c r="N27" s="51"/>
      <c r="AA27" s="5"/>
    </row>
    <row r="28" spans="1:27" ht="15.75" customHeight="1">
      <c r="A28" s="48" t="s">
        <v>684</v>
      </c>
      <c r="B28" s="49" t="s">
        <v>2511</v>
      </c>
      <c r="C28" s="51" t="s">
        <v>192</v>
      </c>
      <c r="D28" s="54"/>
      <c r="E28" s="5"/>
      <c r="F28" s="51"/>
      <c r="G28" s="5"/>
      <c r="J28" s="5"/>
      <c r="K28" s="52"/>
      <c r="L28" s="50"/>
      <c r="M28" s="51"/>
      <c r="N28" s="5"/>
      <c r="P28" s="5"/>
    </row>
    <row r="29" spans="1:27" ht="15.75" customHeight="1">
      <c r="A29" s="48" t="s">
        <v>685</v>
      </c>
      <c r="B29" s="49" t="s">
        <v>1240</v>
      </c>
      <c r="C29" s="51" t="s">
        <v>225</v>
      </c>
      <c r="D29" s="54"/>
      <c r="E29" s="5"/>
      <c r="F29" s="5"/>
      <c r="G29" s="5"/>
      <c r="J29" s="5"/>
      <c r="K29" s="52"/>
      <c r="L29" s="50"/>
      <c r="M29" s="51"/>
      <c r="N29" s="51"/>
      <c r="P29" s="5"/>
    </row>
    <row r="30" spans="1:27" ht="15.75" customHeight="1">
      <c r="A30" s="48" t="s">
        <v>686</v>
      </c>
      <c r="B30" s="49" t="s">
        <v>2513</v>
      </c>
      <c r="C30" s="51" t="s">
        <v>199</v>
      </c>
      <c r="D30" s="54"/>
      <c r="E30" s="5"/>
      <c r="F30" s="5"/>
      <c r="G30" s="5"/>
      <c r="J30" s="5"/>
      <c r="K30" s="52"/>
      <c r="L30" s="50"/>
      <c r="M30" s="51"/>
      <c r="N30" s="5"/>
      <c r="P30" s="5"/>
    </row>
    <row r="31" spans="1:27" ht="15.75" customHeight="1">
      <c r="A31" s="48" t="s">
        <v>687</v>
      </c>
      <c r="B31" s="49" t="s">
        <v>2779</v>
      </c>
      <c r="C31" s="51" t="s">
        <v>208</v>
      </c>
      <c r="D31" s="54"/>
      <c r="E31" s="5"/>
      <c r="F31" s="5"/>
      <c r="G31" s="5"/>
      <c r="J31" s="5"/>
      <c r="K31" s="52"/>
      <c r="L31" s="50"/>
      <c r="M31" s="51"/>
      <c r="N31" s="51"/>
      <c r="P31" s="5"/>
    </row>
    <row r="32" spans="1:27" ht="15.75" customHeight="1">
      <c r="A32" s="48" t="s">
        <v>688</v>
      </c>
      <c r="B32" s="49" t="s">
        <v>2780</v>
      </c>
      <c r="C32" s="51" t="s">
        <v>225</v>
      </c>
      <c r="D32" s="54"/>
      <c r="E32" s="5"/>
      <c r="F32" s="5"/>
      <c r="G32" s="5"/>
      <c r="J32" s="5"/>
      <c r="K32" s="52"/>
      <c r="L32" s="50"/>
      <c r="M32" s="51"/>
      <c r="N32" s="5"/>
      <c r="P32" s="5"/>
    </row>
    <row r="33" spans="1:16" ht="15.75" customHeight="1">
      <c r="A33" s="48" t="s">
        <v>689</v>
      </c>
      <c r="B33" s="49" t="s">
        <v>2781</v>
      </c>
      <c r="C33" s="51" t="s">
        <v>220</v>
      </c>
      <c r="D33" s="54"/>
      <c r="E33" s="5"/>
      <c r="F33" s="5"/>
      <c r="G33" s="5"/>
      <c r="J33" s="5"/>
      <c r="K33" s="52"/>
      <c r="L33" s="50"/>
      <c r="M33" s="51"/>
      <c r="N33" s="5"/>
      <c r="P33" s="5"/>
    </row>
    <row r="34" spans="1:16" ht="15.75" customHeight="1">
      <c r="A34" s="48" t="s">
        <v>690</v>
      </c>
      <c r="B34" s="49" t="s">
        <v>1824</v>
      </c>
      <c r="C34" s="51" t="s">
        <v>208</v>
      </c>
      <c r="D34" s="54"/>
      <c r="E34" s="5"/>
      <c r="F34" s="5"/>
      <c r="G34" s="5"/>
      <c r="J34" s="5"/>
      <c r="K34" s="52"/>
      <c r="L34" s="50"/>
      <c r="M34" s="51"/>
      <c r="N34" s="5"/>
      <c r="P34" s="5"/>
    </row>
    <row r="35" spans="1:16" ht="15.75" customHeight="1">
      <c r="A35" s="48" t="s">
        <v>691</v>
      </c>
      <c r="B35" s="49" t="s">
        <v>1370</v>
      </c>
      <c r="C35" s="51" t="s">
        <v>808</v>
      </c>
      <c r="D35" s="54"/>
      <c r="E35" s="5"/>
      <c r="F35" s="5"/>
      <c r="G35" s="5"/>
      <c r="J35" s="5"/>
      <c r="K35" s="52"/>
      <c r="L35" s="50"/>
      <c r="M35" s="51"/>
      <c r="N35" s="51"/>
      <c r="P35" s="5"/>
    </row>
    <row r="36" spans="1:16" ht="15.75" customHeight="1">
      <c r="A36" s="48" t="s">
        <v>692</v>
      </c>
      <c r="B36" s="49" t="s">
        <v>1372</v>
      </c>
      <c r="C36" s="51" t="s">
        <v>205</v>
      </c>
      <c r="D36" s="54"/>
      <c r="E36" s="5"/>
      <c r="F36" s="5"/>
      <c r="G36" s="5"/>
      <c r="J36" s="5"/>
      <c r="M36" s="5"/>
      <c r="N36" s="5"/>
      <c r="P36" s="5"/>
    </row>
    <row r="37" spans="1:16" ht="15.75" customHeight="1">
      <c r="A37" s="48" t="s">
        <v>693</v>
      </c>
      <c r="B37" s="49" t="s">
        <v>1511</v>
      </c>
      <c r="C37" s="51" t="s">
        <v>199</v>
      </c>
      <c r="D37" s="54"/>
      <c r="E37" s="5"/>
      <c r="F37" s="5"/>
      <c r="G37" s="5"/>
      <c r="J37" s="5"/>
      <c r="M37" s="5"/>
      <c r="N37" s="5"/>
    </row>
    <row r="38" spans="1:16" ht="15.75" customHeight="1">
      <c r="A38" s="48" t="s">
        <v>694</v>
      </c>
      <c r="B38" s="49" t="s">
        <v>1378</v>
      </c>
      <c r="C38" s="51" t="s">
        <v>197</v>
      </c>
      <c r="D38" s="54"/>
      <c r="E38" s="5"/>
      <c r="F38" s="5"/>
      <c r="G38" s="5"/>
      <c r="J38" s="5"/>
      <c r="M38" s="51"/>
      <c r="N38" s="51"/>
    </row>
    <row r="39" spans="1:16" ht="15.75" customHeight="1">
      <c r="A39" s="48" t="s">
        <v>695</v>
      </c>
      <c r="B39" s="49" t="s">
        <v>2782</v>
      </c>
      <c r="C39" s="51" t="s">
        <v>199</v>
      </c>
      <c r="D39" s="54"/>
      <c r="E39" s="5"/>
      <c r="F39" s="5"/>
      <c r="G39" s="5"/>
      <c r="J39" s="5"/>
      <c r="M39" s="51"/>
      <c r="N39" s="51"/>
    </row>
    <row r="40" spans="1:16" ht="15.75" customHeight="1">
      <c r="A40" s="48" t="s">
        <v>696</v>
      </c>
      <c r="B40" s="49" t="s">
        <v>1214</v>
      </c>
      <c r="C40" s="51" t="s">
        <v>199</v>
      </c>
      <c r="D40" s="54"/>
      <c r="E40" s="5"/>
      <c r="F40" s="5"/>
      <c r="G40" s="5"/>
      <c r="J40" s="5"/>
      <c r="M40" s="51"/>
      <c r="N40" s="51"/>
    </row>
    <row r="41" spans="1:16" ht="15.75" customHeight="1">
      <c r="A41" s="48" t="s">
        <v>697</v>
      </c>
      <c r="B41" s="49" t="s">
        <v>2783</v>
      </c>
      <c r="C41" s="51" t="s">
        <v>220</v>
      </c>
      <c r="D41" s="54"/>
      <c r="E41" s="5"/>
      <c r="F41" s="5"/>
      <c r="G41" s="5"/>
      <c r="J41" s="5"/>
      <c r="M41" s="51"/>
      <c r="N41" s="51"/>
    </row>
    <row r="42" spans="1:16" ht="15.75" customHeight="1">
      <c r="A42" s="48" t="s">
        <v>698</v>
      </c>
      <c r="B42" s="49" t="s">
        <v>1790</v>
      </c>
      <c r="C42" s="51" t="s">
        <v>195</v>
      </c>
      <c r="D42" s="54"/>
      <c r="E42" s="5"/>
      <c r="F42" s="5"/>
      <c r="G42" s="5"/>
      <c r="J42" s="5"/>
      <c r="M42" s="51"/>
      <c r="N42" s="51"/>
    </row>
    <row r="43" spans="1:16" ht="15.75" customHeight="1">
      <c r="A43" s="48" t="s">
        <v>699</v>
      </c>
      <c r="B43" s="49" t="s">
        <v>1191</v>
      </c>
      <c r="C43" s="51" t="s">
        <v>199</v>
      </c>
      <c r="D43" s="54"/>
      <c r="E43" s="5"/>
      <c r="F43" s="5"/>
      <c r="G43" s="5"/>
      <c r="J43" s="5"/>
      <c r="M43" s="51"/>
      <c r="N43" s="51"/>
    </row>
    <row r="44" spans="1:16" ht="15.75" customHeight="1">
      <c r="A44" s="48" t="s">
        <v>700</v>
      </c>
      <c r="B44" s="49" t="s">
        <v>801</v>
      </c>
      <c r="C44" s="51" t="s">
        <v>225</v>
      </c>
      <c r="D44" s="54"/>
      <c r="E44" s="5"/>
      <c r="F44" s="5"/>
      <c r="G44" s="5"/>
      <c r="J44" s="5"/>
      <c r="M44" s="51"/>
      <c r="N44" s="51"/>
    </row>
    <row r="45" spans="1:16" ht="15.75" customHeight="1">
      <c r="A45" s="48" t="s">
        <v>701</v>
      </c>
      <c r="B45" s="49" t="s">
        <v>2784</v>
      </c>
      <c r="C45" s="51" t="s">
        <v>225</v>
      </c>
      <c r="D45" s="54"/>
      <c r="E45" s="5"/>
      <c r="F45" s="5"/>
      <c r="G45" s="5"/>
      <c r="J45" s="5"/>
      <c r="M45" s="51"/>
      <c r="N45" s="51"/>
      <c r="P45" s="5"/>
    </row>
    <row r="46" spans="1:16" ht="15.75" customHeight="1">
      <c r="A46" s="48" t="s">
        <v>702</v>
      </c>
      <c r="B46" s="49" t="s">
        <v>2785</v>
      </c>
      <c r="C46" s="51" t="s">
        <v>195</v>
      </c>
      <c r="D46" s="51"/>
      <c r="E46" s="5"/>
      <c r="F46" s="5"/>
      <c r="G46" s="5"/>
      <c r="J46" s="5"/>
      <c r="M46" s="51"/>
      <c r="N46" s="51"/>
      <c r="P46" s="5"/>
    </row>
    <row r="47" spans="1:16" ht="15.75" customHeight="1">
      <c r="A47" s="48" t="s">
        <v>703</v>
      </c>
      <c r="B47" s="49" t="s">
        <v>2786</v>
      </c>
      <c r="C47" s="51" t="s">
        <v>192</v>
      </c>
      <c r="D47" s="51"/>
      <c r="E47" s="5"/>
      <c r="F47" s="5"/>
      <c r="G47" s="5"/>
      <c r="J47" s="5"/>
      <c r="M47" s="5"/>
      <c r="N47" s="5"/>
      <c r="P47" s="5"/>
    </row>
    <row r="48" spans="1:16" ht="15.75" customHeight="1">
      <c r="A48" s="48" t="s">
        <v>704</v>
      </c>
      <c r="B48" s="49" t="s">
        <v>2787</v>
      </c>
      <c r="C48" s="51" t="s">
        <v>197</v>
      </c>
      <c r="D48" s="51"/>
      <c r="E48" s="5"/>
      <c r="F48" s="5"/>
      <c r="G48" s="5"/>
      <c r="J48" s="5"/>
      <c r="M48" s="5"/>
      <c r="N48" s="5"/>
      <c r="P48" s="5"/>
    </row>
    <row r="49" spans="1:16" ht="15.75" customHeight="1">
      <c r="A49" s="48" t="s">
        <v>705</v>
      </c>
      <c r="B49" s="49" t="s">
        <v>1265</v>
      </c>
      <c r="C49" s="51" t="s">
        <v>220</v>
      </c>
      <c r="D49" s="54"/>
      <c r="E49" s="5"/>
      <c r="F49" s="5"/>
      <c r="G49" s="5"/>
      <c r="J49" s="5"/>
      <c r="M49" s="5"/>
      <c r="N49" s="5"/>
      <c r="P49" s="5"/>
    </row>
    <row r="50" spans="1:16" ht="15.75" customHeight="1">
      <c r="A50" s="48" t="s">
        <v>706</v>
      </c>
      <c r="B50" s="49" t="s">
        <v>1224</v>
      </c>
      <c r="C50" s="51" t="s">
        <v>192</v>
      </c>
      <c r="D50" s="54"/>
      <c r="E50" s="5"/>
      <c r="F50" s="5"/>
      <c r="G50" s="5"/>
      <c r="J50" s="5"/>
      <c r="M50" s="5"/>
      <c r="N50" s="5"/>
      <c r="P50" s="5"/>
    </row>
    <row r="51" spans="1:16" ht="15.75" customHeight="1">
      <c r="A51" s="48" t="s">
        <v>707</v>
      </c>
      <c r="B51" s="49" t="s">
        <v>1818</v>
      </c>
      <c r="C51" s="51" t="s">
        <v>205</v>
      </c>
      <c r="D51" s="54"/>
      <c r="E51" s="5"/>
      <c r="F51" s="5"/>
      <c r="G51" s="5"/>
      <c r="J51" s="5"/>
      <c r="M51" s="5"/>
      <c r="N51" s="5"/>
      <c r="P51" s="5"/>
    </row>
    <row r="52" spans="1:16" ht="15.75" customHeight="1">
      <c r="A52" s="48" t="s">
        <v>708</v>
      </c>
      <c r="B52" s="49" t="s">
        <v>2788</v>
      </c>
      <c r="C52" s="51" t="s">
        <v>2068</v>
      </c>
      <c r="D52" s="54"/>
      <c r="E52" s="5"/>
      <c r="F52" s="5"/>
      <c r="G52" s="5"/>
      <c r="J52" s="5"/>
      <c r="M52" s="5"/>
      <c r="N52" s="5"/>
      <c r="P52" s="5"/>
    </row>
    <row r="53" spans="1:16" ht="13">
      <c r="A53" s="48" t="s">
        <v>709</v>
      </c>
      <c r="B53" s="49" t="s">
        <v>2789</v>
      </c>
      <c r="C53" s="51" t="s">
        <v>192</v>
      </c>
      <c r="D53" s="54"/>
      <c r="E53" s="5"/>
      <c r="F53" s="5"/>
      <c r="G53" s="5"/>
      <c r="J53" s="5"/>
      <c r="M53" s="5"/>
      <c r="N53" s="5"/>
      <c r="P53" s="5"/>
    </row>
    <row r="54" spans="1:16" ht="13">
      <c r="A54" s="48" t="s">
        <v>710</v>
      </c>
      <c r="B54" s="49" t="s">
        <v>2790</v>
      </c>
      <c r="C54" s="51" t="s">
        <v>199</v>
      </c>
      <c r="D54" s="54"/>
      <c r="E54" s="5"/>
      <c r="F54" s="5"/>
      <c r="G54" s="5"/>
      <c r="J54" s="5"/>
      <c r="M54" s="5"/>
      <c r="N54" s="5"/>
      <c r="P54" s="5"/>
    </row>
    <row r="55" spans="1:16" ht="13">
      <c r="A55" s="48" t="s">
        <v>711</v>
      </c>
      <c r="B55" s="49" t="s">
        <v>251</v>
      </c>
      <c r="C55" s="51" t="s">
        <v>2791</v>
      </c>
      <c r="D55" s="54"/>
      <c r="E55" s="5"/>
      <c r="F55" s="5"/>
      <c r="G55" s="5"/>
      <c r="J55" s="5"/>
      <c r="M55" s="5"/>
      <c r="N55" s="5"/>
      <c r="P55" s="5"/>
    </row>
    <row r="56" spans="1:16" ht="13">
      <c r="A56" s="48" t="s">
        <v>712</v>
      </c>
      <c r="B56" s="49" t="s">
        <v>2792</v>
      </c>
      <c r="C56" s="51" t="s">
        <v>199</v>
      </c>
      <c r="D56" s="54"/>
      <c r="E56" s="5"/>
      <c r="F56" s="5"/>
      <c r="G56" s="5"/>
      <c r="J56" s="5"/>
      <c r="M56" s="5"/>
      <c r="N56" s="5"/>
      <c r="P56" s="5"/>
    </row>
    <row r="57" spans="1:16" ht="13">
      <c r="A57" s="48" t="s">
        <v>713</v>
      </c>
      <c r="B57" s="49" t="s">
        <v>2793</v>
      </c>
      <c r="C57" s="51" t="s">
        <v>225</v>
      </c>
      <c r="D57" s="54"/>
      <c r="E57" s="5"/>
      <c r="F57" s="5"/>
      <c r="G57" s="5"/>
      <c r="J57" s="5"/>
      <c r="M57" s="5"/>
      <c r="N57" s="5"/>
      <c r="P57" s="5"/>
    </row>
    <row r="58" spans="1:16" ht="13">
      <c r="A58" s="48" t="s">
        <v>714</v>
      </c>
      <c r="B58" s="49" t="s">
        <v>2794</v>
      </c>
      <c r="C58" s="51" t="s">
        <v>205</v>
      </c>
      <c r="D58" s="54"/>
      <c r="E58" s="5"/>
      <c r="F58" s="5"/>
      <c r="G58" s="5"/>
      <c r="J58" s="5"/>
      <c r="M58" s="5"/>
      <c r="N58" s="5"/>
      <c r="P58" s="5"/>
    </row>
    <row r="59" spans="1:16" ht="13">
      <c r="A59" s="48" t="s">
        <v>715</v>
      </c>
      <c r="B59" s="49" t="s">
        <v>1555</v>
      </c>
      <c r="C59" s="51" t="s">
        <v>225</v>
      </c>
      <c r="D59" s="54"/>
      <c r="E59" s="5"/>
      <c r="F59" s="5"/>
      <c r="G59" s="5"/>
      <c r="J59" s="5"/>
      <c r="M59" s="5"/>
      <c r="N59" s="5"/>
      <c r="P59" s="5"/>
    </row>
    <row r="60" spans="1:16" ht="13">
      <c r="A60" s="48" t="s">
        <v>716</v>
      </c>
      <c r="B60" s="49" t="s">
        <v>945</v>
      </c>
      <c r="C60" s="51" t="s">
        <v>195</v>
      </c>
      <c r="D60" s="54"/>
      <c r="E60" s="5"/>
      <c r="F60" s="5"/>
      <c r="G60" s="5"/>
      <c r="J60" s="5"/>
      <c r="M60" s="5"/>
      <c r="N60" s="5"/>
      <c r="P60" s="5"/>
    </row>
    <row r="61" spans="1:16" ht="13">
      <c r="A61" s="48" t="s">
        <v>717</v>
      </c>
      <c r="B61" s="49" t="s">
        <v>2795</v>
      </c>
      <c r="C61" s="51" t="s">
        <v>220</v>
      </c>
      <c r="D61" s="51"/>
      <c r="E61" s="5"/>
      <c r="F61" s="5"/>
      <c r="G61" s="5"/>
      <c r="J61" s="5"/>
      <c r="M61" s="5"/>
      <c r="N61" s="5"/>
      <c r="P61" s="5"/>
    </row>
    <row r="62" spans="1:16" ht="13">
      <c r="A62" s="48" t="s">
        <v>718</v>
      </c>
      <c r="B62" s="49" t="s">
        <v>1250</v>
      </c>
      <c r="C62" s="51" t="s">
        <v>220</v>
      </c>
      <c r="D62" s="54"/>
      <c r="E62" s="5"/>
      <c r="F62" s="5"/>
      <c r="G62" s="5"/>
      <c r="J62" s="5"/>
      <c r="M62" s="5"/>
      <c r="N62" s="5"/>
      <c r="P62" s="5"/>
    </row>
    <row r="63" spans="1:16" ht="13">
      <c r="A63" s="48" t="s">
        <v>719</v>
      </c>
      <c r="B63" s="49" t="s">
        <v>1400</v>
      </c>
      <c r="C63" s="51" t="s">
        <v>195</v>
      </c>
      <c r="D63" s="54"/>
      <c r="E63" s="5"/>
      <c r="F63" s="5"/>
      <c r="G63" s="5"/>
      <c r="J63" s="5"/>
      <c r="M63" s="5"/>
      <c r="N63" s="5"/>
      <c r="P63" s="5"/>
    </row>
    <row r="64" spans="1:16" ht="13">
      <c r="A64" s="48" t="s">
        <v>720</v>
      </c>
      <c r="B64" s="49" t="s">
        <v>1559</v>
      </c>
      <c r="C64" s="51" t="s">
        <v>225</v>
      </c>
      <c r="D64" s="54"/>
      <c r="E64" s="5"/>
      <c r="F64" s="5"/>
      <c r="G64" s="5"/>
      <c r="J64" s="5"/>
      <c r="M64" s="5"/>
      <c r="N64" s="5"/>
      <c r="P64" s="5"/>
    </row>
    <row r="65" spans="1:16" ht="13">
      <c r="A65" s="48" t="s">
        <v>721</v>
      </c>
      <c r="B65" s="49" t="s">
        <v>2796</v>
      </c>
      <c r="C65" s="51" t="s">
        <v>225</v>
      </c>
      <c r="D65" s="54"/>
      <c r="E65" s="5"/>
      <c r="F65" s="5"/>
      <c r="G65" s="5"/>
      <c r="J65" s="5"/>
      <c r="M65" s="5"/>
      <c r="N65" s="5"/>
      <c r="P65" s="5"/>
    </row>
    <row r="66" spans="1:16" ht="13">
      <c r="A66" s="48" t="s">
        <v>722</v>
      </c>
      <c r="B66" s="49" t="s">
        <v>1561</v>
      </c>
      <c r="C66" s="51" t="s">
        <v>208</v>
      </c>
      <c r="D66" s="54"/>
      <c r="E66" s="5"/>
      <c r="F66" s="5"/>
      <c r="G66" s="5"/>
      <c r="J66" s="5"/>
      <c r="M66" s="5"/>
      <c r="N66" s="5"/>
      <c r="P66" s="5"/>
    </row>
    <row r="67" spans="1:16" ht="13">
      <c r="A67" s="48" t="s">
        <v>723</v>
      </c>
      <c r="B67" s="49" t="s">
        <v>1561</v>
      </c>
      <c r="C67" s="51" t="s">
        <v>208</v>
      </c>
      <c r="D67" s="54"/>
      <c r="E67" s="5"/>
      <c r="F67" s="5"/>
      <c r="G67" s="5"/>
      <c r="J67" s="5"/>
      <c r="M67" s="5"/>
      <c r="N67" s="5"/>
      <c r="P67" s="5"/>
    </row>
    <row r="68" spans="1:16" ht="13">
      <c r="A68" s="48" t="s">
        <v>724</v>
      </c>
      <c r="B68" s="49" t="s">
        <v>1257</v>
      </c>
      <c r="C68" s="51" t="s">
        <v>192</v>
      </c>
      <c r="D68" s="51"/>
      <c r="E68" s="5"/>
      <c r="F68" s="5"/>
      <c r="G68" s="5"/>
      <c r="J68" s="5"/>
      <c r="M68" s="5"/>
      <c r="N68" s="5"/>
      <c r="P68" s="5"/>
    </row>
    <row r="69" spans="1:16" ht="13">
      <c r="A69" s="48" t="s">
        <v>725</v>
      </c>
      <c r="B69" s="49" t="s">
        <v>2797</v>
      </c>
      <c r="C69" s="51" t="s">
        <v>225</v>
      </c>
      <c r="D69" s="54"/>
      <c r="E69" s="5"/>
      <c r="F69" s="5"/>
      <c r="G69" s="5"/>
      <c r="J69" s="5"/>
      <c r="M69" s="5"/>
      <c r="N69" s="5"/>
      <c r="P69" s="5"/>
    </row>
    <row r="70" spans="1:16" ht="13">
      <c r="A70" s="48" t="s">
        <v>726</v>
      </c>
      <c r="B70" s="49" t="s">
        <v>2798</v>
      </c>
      <c r="C70" s="51" t="s">
        <v>199</v>
      </c>
      <c r="D70" s="51"/>
      <c r="E70" s="5"/>
      <c r="F70" s="5"/>
      <c r="G70" s="5"/>
      <c r="J70" s="5"/>
      <c r="M70" s="5"/>
      <c r="N70" s="5"/>
      <c r="P70" s="5"/>
    </row>
    <row r="71" spans="1:16" ht="13">
      <c r="A71" s="48" t="s">
        <v>727</v>
      </c>
      <c r="B71" s="49" t="s">
        <v>2799</v>
      </c>
      <c r="C71" s="51" t="s">
        <v>192</v>
      </c>
      <c r="D71" s="51"/>
      <c r="J71" s="5"/>
      <c r="M71" s="5"/>
      <c r="N71" s="5"/>
      <c r="P71" s="5"/>
    </row>
    <row r="72" spans="1:16" ht="13">
      <c r="A72" s="48" t="s">
        <v>728</v>
      </c>
      <c r="B72" s="49" t="s">
        <v>2800</v>
      </c>
      <c r="C72" s="51" t="s">
        <v>808</v>
      </c>
      <c r="D72" s="54"/>
      <c r="E72" s="5"/>
      <c r="F72" s="5"/>
      <c r="G72" s="5"/>
      <c r="J72" s="5"/>
      <c r="M72" s="5"/>
      <c r="N72" s="5"/>
      <c r="P72" s="5"/>
    </row>
    <row r="73" spans="1:16" ht="13">
      <c r="A73" s="48" t="s">
        <v>729</v>
      </c>
      <c r="B73" s="49" t="s">
        <v>2801</v>
      </c>
      <c r="C73" s="51" t="s">
        <v>220</v>
      </c>
      <c r="D73" s="51"/>
      <c r="E73" s="5"/>
      <c r="F73" s="5"/>
      <c r="G73" s="5"/>
      <c r="J73" s="5"/>
      <c r="M73" s="5"/>
      <c r="N73" s="5"/>
      <c r="P73" s="5"/>
    </row>
    <row r="74" spans="1:16" ht="13">
      <c r="A74" s="48" t="s">
        <v>730</v>
      </c>
      <c r="B74" s="49" t="s">
        <v>2802</v>
      </c>
      <c r="C74" s="51" t="s">
        <v>199</v>
      </c>
      <c r="D74" s="51"/>
      <c r="E74" s="5"/>
      <c r="F74" s="5"/>
      <c r="G74" s="5"/>
      <c r="J74" s="5"/>
      <c r="M74" s="5"/>
      <c r="N74" s="5"/>
      <c r="P74" s="5"/>
    </row>
    <row r="75" spans="1:16" ht="13">
      <c r="A75" s="48" t="s">
        <v>731</v>
      </c>
      <c r="B75" s="49" t="s">
        <v>2803</v>
      </c>
      <c r="C75" s="51" t="s">
        <v>2068</v>
      </c>
      <c r="D75" s="51"/>
      <c r="E75" s="5"/>
      <c r="F75" s="5"/>
      <c r="G75" s="5"/>
      <c r="J75" s="5"/>
      <c r="M75" s="5"/>
      <c r="N75" s="5"/>
      <c r="P75" s="5"/>
    </row>
    <row r="76" spans="1:16" ht="13">
      <c r="A76" s="48" t="s">
        <v>732</v>
      </c>
      <c r="B76" s="49" t="s">
        <v>1300</v>
      </c>
      <c r="C76" s="51" t="s">
        <v>199</v>
      </c>
      <c r="D76" s="54"/>
      <c r="E76" s="5"/>
      <c r="F76" s="5"/>
      <c r="G76" s="5"/>
      <c r="J76" s="5"/>
      <c r="M76" s="5"/>
      <c r="N76" s="5"/>
      <c r="P76" s="5"/>
    </row>
    <row r="77" spans="1:16" ht="13">
      <c r="A77" s="48" t="s">
        <v>733</v>
      </c>
      <c r="B77" s="49" t="s">
        <v>2804</v>
      </c>
      <c r="C77" s="51" t="s">
        <v>208</v>
      </c>
      <c r="D77" s="54"/>
      <c r="E77" s="5"/>
      <c r="F77" s="5"/>
      <c r="G77" s="5"/>
      <c r="J77" s="5"/>
      <c r="M77" s="5"/>
      <c r="N77" s="5"/>
      <c r="P77" s="5"/>
    </row>
    <row r="78" spans="1:16" ht="13">
      <c r="A78" s="48" t="s">
        <v>734</v>
      </c>
      <c r="B78" s="49" t="s">
        <v>2805</v>
      </c>
      <c r="C78" s="51" t="s">
        <v>195</v>
      </c>
      <c r="D78" s="54"/>
      <c r="E78" s="5"/>
      <c r="F78" s="5"/>
      <c r="G78" s="5"/>
      <c r="J78" s="5"/>
      <c r="M78" s="5"/>
      <c r="N78" s="5"/>
      <c r="P78" s="5"/>
    </row>
    <row r="79" spans="1:16" ht="13">
      <c r="A79" s="48" t="s">
        <v>735</v>
      </c>
      <c r="B79" s="49" t="s">
        <v>840</v>
      </c>
      <c r="C79" s="51" t="s">
        <v>225</v>
      </c>
      <c r="D79" s="54"/>
      <c r="E79" s="5"/>
      <c r="F79" s="5"/>
      <c r="G79" s="5"/>
      <c r="J79" s="5"/>
      <c r="M79" s="5"/>
      <c r="N79" s="5"/>
      <c r="P79" s="5"/>
    </row>
    <row r="80" spans="1:16" ht="13">
      <c r="A80" s="48" t="s">
        <v>736</v>
      </c>
      <c r="B80" s="49" t="s">
        <v>2806</v>
      </c>
      <c r="C80" s="51" t="s">
        <v>220</v>
      </c>
      <c r="D80" s="54"/>
      <c r="E80" s="5"/>
      <c r="F80" s="5"/>
      <c r="G80" s="5"/>
      <c r="J80" s="5"/>
      <c r="M80" s="5"/>
      <c r="N80" s="5"/>
      <c r="P80" s="5"/>
    </row>
    <row r="81" spans="1:16" ht="13">
      <c r="A81" s="48" t="s">
        <v>737</v>
      </c>
      <c r="B81" s="49" t="s">
        <v>2807</v>
      </c>
      <c r="C81" s="51" t="s">
        <v>192</v>
      </c>
      <c r="D81" s="54"/>
      <c r="E81" s="5"/>
      <c r="F81" s="5"/>
      <c r="G81" s="5"/>
      <c r="J81" s="5"/>
      <c r="M81" s="5"/>
      <c r="N81" s="5"/>
      <c r="P81" s="5"/>
    </row>
    <row r="82" spans="1:16" ht="13">
      <c r="A82" s="48" t="s">
        <v>738</v>
      </c>
      <c r="B82" s="49" t="s">
        <v>191</v>
      </c>
      <c r="C82" s="51" t="s">
        <v>192</v>
      </c>
      <c r="D82" s="54"/>
      <c r="E82" s="5"/>
      <c r="F82" s="5"/>
      <c r="G82" s="5"/>
      <c r="J82" s="5"/>
      <c r="M82" s="5"/>
      <c r="N82" s="5"/>
      <c r="P82" s="5"/>
    </row>
    <row r="83" spans="1:16" ht="13">
      <c r="A83" s="48" t="s">
        <v>739</v>
      </c>
      <c r="B83" s="49" t="s">
        <v>1205</v>
      </c>
      <c r="C83" s="51" t="s">
        <v>220</v>
      </c>
      <c r="D83" s="54"/>
      <c r="E83" s="5"/>
      <c r="F83" s="5"/>
      <c r="G83" s="5"/>
      <c r="J83" s="5"/>
      <c r="M83" s="5"/>
      <c r="N83" s="5"/>
      <c r="P83" s="5"/>
    </row>
    <row r="84" spans="1:16" ht="13">
      <c r="A84" s="48" t="s">
        <v>740</v>
      </c>
      <c r="B84" s="49" t="s">
        <v>1303</v>
      </c>
      <c r="C84" s="51" t="s">
        <v>808</v>
      </c>
      <c r="D84" s="54"/>
      <c r="E84" s="5"/>
      <c r="F84" s="5"/>
      <c r="G84" s="5"/>
      <c r="J84" s="5"/>
      <c r="M84" s="5"/>
      <c r="N84" s="5"/>
      <c r="P84" s="5"/>
    </row>
    <row r="85" spans="1:16" ht="13">
      <c r="A85" s="48" t="s">
        <v>741</v>
      </c>
      <c r="B85" s="49" t="s">
        <v>2808</v>
      </c>
      <c r="C85" s="51" t="s">
        <v>192</v>
      </c>
      <c r="D85" s="51"/>
      <c r="E85" s="5"/>
      <c r="F85" s="5"/>
      <c r="G85" s="5"/>
      <c r="J85" s="5"/>
      <c r="M85" s="5"/>
      <c r="N85" s="5"/>
      <c r="P85" s="5"/>
    </row>
    <row r="86" spans="1:16" ht="13">
      <c r="A86" s="48" t="s">
        <v>742</v>
      </c>
      <c r="B86" s="49" t="s">
        <v>1891</v>
      </c>
      <c r="C86" s="51" t="s">
        <v>205</v>
      </c>
      <c r="D86" s="51"/>
      <c r="E86" s="5"/>
      <c r="F86" s="5"/>
      <c r="G86" s="5"/>
      <c r="J86" s="5"/>
      <c r="M86" s="5"/>
      <c r="N86" s="5"/>
      <c r="P86" s="5"/>
    </row>
    <row r="87" spans="1:16" ht="13">
      <c r="A87" s="48" t="s">
        <v>743</v>
      </c>
      <c r="B87" s="49" t="s">
        <v>1190</v>
      </c>
      <c r="C87" s="51" t="s">
        <v>199</v>
      </c>
      <c r="D87" s="51"/>
      <c r="E87" s="5"/>
      <c r="F87" s="5"/>
      <c r="G87" s="5"/>
      <c r="J87" s="5"/>
      <c r="M87" s="5"/>
      <c r="N87" s="5"/>
      <c r="P87" s="5"/>
    </row>
    <row r="88" spans="1:16" ht="13">
      <c r="A88" s="48" t="s">
        <v>744</v>
      </c>
      <c r="B88" s="49" t="s">
        <v>2809</v>
      </c>
      <c r="C88" s="51" t="s">
        <v>205</v>
      </c>
      <c r="D88" s="54"/>
      <c r="E88" s="5"/>
      <c r="F88" s="5"/>
      <c r="G88" s="5"/>
      <c r="J88" s="5"/>
      <c r="M88" s="5"/>
      <c r="N88" s="5"/>
      <c r="P88" s="5"/>
    </row>
    <row r="89" spans="1:16" ht="13">
      <c r="A89" s="48" t="s">
        <v>745</v>
      </c>
      <c r="B89" s="49" t="s">
        <v>2810</v>
      </c>
      <c r="C89" s="51" t="s">
        <v>1013</v>
      </c>
      <c r="D89" s="54"/>
      <c r="E89" s="5"/>
      <c r="F89" s="5"/>
      <c r="G89" s="5"/>
      <c r="J89" s="5"/>
      <c r="M89" s="5"/>
      <c r="N89" s="5"/>
      <c r="P89" s="5"/>
    </row>
    <row r="90" spans="1:16" ht="13">
      <c r="A90" s="48" t="s">
        <v>746</v>
      </c>
      <c r="B90" s="49" t="s">
        <v>2811</v>
      </c>
      <c r="C90" s="51" t="s">
        <v>206</v>
      </c>
      <c r="D90" s="54"/>
      <c r="E90" s="5"/>
      <c r="F90" s="5"/>
      <c r="G90" s="5"/>
      <c r="J90" s="5"/>
      <c r="M90" s="5"/>
      <c r="N90" s="5"/>
      <c r="P90" s="5"/>
    </row>
    <row r="91" spans="1:16" ht="13">
      <c r="A91" s="48" t="s">
        <v>747</v>
      </c>
      <c r="B91" s="49" t="s">
        <v>2812</v>
      </c>
      <c r="C91" s="51" t="s">
        <v>229</v>
      </c>
      <c r="D91" s="54"/>
      <c r="E91" s="5"/>
      <c r="F91" s="5"/>
      <c r="G91" s="5"/>
      <c r="J91" s="5"/>
      <c r="M91" s="5"/>
      <c r="N91" s="5"/>
      <c r="P91" s="5"/>
    </row>
    <row r="92" spans="1:16" ht="13">
      <c r="A92" s="48" t="s">
        <v>748</v>
      </c>
      <c r="B92" s="49" t="s">
        <v>2311</v>
      </c>
      <c r="C92" s="51" t="s">
        <v>1013</v>
      </c>
      <c r="D92" s="54"/>
      <c r="E92" s="5"/>
      <c r="F92" s="5"/>
      <c r="G92" s="5"/>
      <c r="J92" s="5"/>
      <c r="M92" s="5"/>
      <c r="N92" s="5"/>
      <c r="P92" s="5"/>
    </row>
    <row r="93" spans="1:16" ht="13">
      <c r="A93" s="48" t="s">
        <v>749</v>
      </c>
      <c r="B93" s="49" t="s">
        <v>2198</v>
      </c>
      <c r="C93" s="51" t="s">
        <v>1013</v>
      </c>
      <c r="D93" s="54"/>
      <c r="E93" s="5"/>
      <c r="F93" s="5"/>
      <c r="G93" s="5"/>
      <c r="J93" s="5"/>
      <c r="M93" s="5"/>
      <c r="N93" s="5"/>
      <c r="P93" s="5"/>
    </row>
    <row r="94" spans="1:16" ht="13">
      <c r="A94" s="48" t="s">
        <v>750</v>
      </c>
      <c r="B94" s="49" t="s">
        <v>1470</v>
      </c>
      <c r="C94" s="51" t="s">
        <v>206</v>
      </c>
      <c r="D94" s="54"/>
      <c r="E94" s="5"/>
      <c r="F94" s="5"/>
      <c r="G94" s="5"/>
      <c r="J94" s="5"/>
      <c r="M94" s="5"/>
      <c r="N94" s="5"/>
      <c r="P94" s="5"/>
    </row>
    <row r="95" spans="1:16" ht="13">
      <c r="A95" s="48" t="s">
        <v>751</v>
      </c>
      <c r="B95" s="49" t="s">
        <v>1474</v>
      </c>
      <c r="C95" s="51" t="s">
        <v>206</v>
      </c>
      <c r="D95" s="51"/>
      <c r="E95" s="5"/>
      <c r="F95" s="5"/>
      <c r="G95" s="5"/>
      <c r="J95" s="5"/>
      <c r="M95" s="5"/>
      <c r="N95" s="5"/>
      <c r="P95" s="5"/>
    </row>
    <row r="96" spans="1:16" ht="13">
      <c r="A96" s="48" t="s">
        <v>752</v>
      </c>
      <c r="B96" s="49" t="s">
        <v>391</v>
      </c>
      <c r="C96" s="51" t="s">
        <v>206</v>
      </c>
      <c r="D96" s="51"/>
      <c r="E96" s="5"/>
      <c r="F96" s="5"/>
      <c r="G96" s="5"/>
      <c r="J96" s="5"/>
      <c r="M96" s="5"/>
      <c r="N96" s="5"/>
      <c r="P96" s="5"/>
    </row>
    <row r="97" spans="1:16" ht="13">
      <c r="A97" s="48" t="s">
        <v>753</v>
      </c>
      <c r="B97" s="49" t="s">
        <v>1477</v>
      </c>
      <c r="C97" s="51" t="s">
        <v>206</v>
      </c>
      <c r="D97" s="54"/>
      <c r="E97" s="5"/>
      <c r="F97" s="5"/>
      <c r="G97" s="5"/>
      <c r="J97" s="5"/>
      <c r="M97" s="5"/>
      <c r="N97" s="5"/>
      <c r="P97" s="5"/>
    </row>
    <row r="98" spans="1:16" ht="13">
      <c r="A98" s="48" t="s">
        <v>754</v>
      </c>
      <c r="B98" s="49" t="s">
        <v>933</v>
      </c>
      <c r="C98" s="51" t="s">
        <v>317</v>
      </c>
      <c r="D98" s="54"/>
      <c r="E98" s="5"/>
      <c r="F98" s="5"/>
      <c r="G98" s="5"/>
      <c r="J98" s="5"/>
      <c r="M98" s="5"/>
      <c r="N98" s="5"/>
      <c r="P98" s="5"/>
    </row>
    <row r="99" spans="1:16" ht="13">
      <c r="A99" s="48" t="s">
        <v>755</v>
      </c>
      <c r="B99" s="49" t="s">
        <v>798</v>
      </c>
      <c r="C99" s="51" t="s">
        <v>317</v>
      </c>
      <c r="D99" s="54"/>
      <c r="E99" s="5"/>
      <c r="F99" s="5"/>
      <c r="G99" s="5"/>
      <c r="J99" s="5"/>
      <c r="M99" s="5"/>
      <c r="N99" s="5"/>
      <c r="P99" s="5"/>
    </row>
    <row r="100" spans="1:16" ht="13">
      <c r="A100" s="48" t="s">
        <v>756</v>
      </c>
      <c r="B100" s="49" t="s">
        <v>1479</v>
      </c>
      <c r="C100" s="51" t="s">
        <v>317</v>
      </c>
      <c r="D100" s="54"/>
      <c r="E100" s="5"/>
      <c r="F100" s="5"/>
      <c r="G100" s="5"/>
      <c r="J100" s="5"/>
      <c r="M100" s="5"/>
      <c r="N100" s="5"/>
      <c r="P100" s="5"/>
    </row>
    <row r="101" spans="1:16" ht="13">
      <c r="A101" s="48" t="s">
        <v>757</v>
      </c>
      <c r="B101" s="49" t="s">
        <v>2081</v>
      </c>
      <c r="C101" s="51" t="s">
        <v>317</v>
      </c>
      <c r="D101" s="54"/>
      <c r="E101" s="5"/>
      <c r="F101" s="5"/>
      <c r="G101" s="5"/>
      <c r="J101" s="5"/>
      <c r="M101" s="5"/>
      <c r="N101" s="5"/>
      <c r="P101" s="5"/>
    </row>
    <row r="102" spans="1:16" ht="13">
      <c r="A102" s="48" t="s">
        <v>758</v>
      </c>
      <c r="B102" s="49" t="s">
        <v>2813</v>
      </c>
      <c r="C102" s="51" t="s">
        <v>317</v>
      </c>
      <c r="D102" s="54"/>
      <c r="E102" s="5"/>
      <c r="F102" s="5"/>
      <c r="G102" s="5"/>
      <c r="J102" s="5"/>
      <c r="M102" s="5"/>
      <c r="N102" s="5"/>
      <c r="P102" s="5"/>
    </row>
    <row r="103" spans="1:16" ht="13">
      <c r="A103" s="48" t="s">
        <v>759</v>
      </c>
      <c r="B103" s="49" t="s">
        <v>2814</v>
      </c>
      <c r="C103" s="51" t="s">
        <v>208</v>
      </c>
      <c r="D103" s="54"/>
      <c r="E103" s="5"/>
      <c r="F103" s="5"/>
      <c r="G103" s="5"/>
      <c r="J103" s="5"/>
      <c r="M103" s="5"/>
      <c r="N103" s="5"/>
      <c r="P103" s="5"/>
    </row>
    <row r="104" spans="1:16" ht="13">
      <c r="A104" s="48" t="s">
        <v>760</v>
      </c>
      <c r="B104" s="49" t="s">
        <v>2757</v>
      </c>
      <c r="C104" s="51" t="s">
        <v>195</v>
      </c>
      <c r="D104" s="54"/>
      <c r="E104" s="5"/>
      <c r="F104" s="5"/>
      <c r="G104" s="5"/>
      <c r="J104" s="5"/>
      <c r="M104" s="5"/>
      <c r="N104" s="5"/>
      <c r="P104" s="5"/>
    </row>
    <row r="105" spans="1:16" ht="13">
      <c r="A105" s="48" t="s">
        <v>761</v>
      </c>
      <c r="B105" s="49" t="s">
        <v>2815</v>
      </c>
      <c r="C105" s="51" t="s">
        <v>808</v>
      </c>
      <c r="D105" s="54"/>
      <c r="E105" s="5"/>
      <c r="F105" s="5"/>
      <c r="G105" s="5"/>
      <c r="J105" s="5"/>
      <c r="M105" s="5"/>
      <c r="N105" s="5"/>
      <c r="P105" s="5"/>
    </row>
    <row r="106" spans="1:16" ht="13">
      <c r="A106" s="48" t="s">
        <v>762</v>
      </c>
      <c r="B106" s="58" t="str">
        <f>HYPERLINK("https://bulbapedia.bulbagarden.net/wiki/Gyarados_%E2%98%86_%CE%B4_(EX_Holon_Phantoms_102)","Gyarados*  δ")</f>
        <v>Gyarados*  δ</v>
      </c>
      <c r="C106" s="51" t="s">
        <v>199</v>
      </c>
      <c r="D106" s="54"/>
      <c r="E106" s="5"/>
      <c r="F106" s="5"/>
      <c r="G106" s="5"/>
      <c r="J106" s="5"/>
      <c r="M106" s="5"/>
      <c r="N106" s="5"/>
      <c r="P106" s="5"/>
    </row>
    <row r="107" spans="1:16" ht="13">
      <c r="A107" s="48" t="s">
        <v>763</v>
      </c>
      <c r="B107" s="58" t="str">
        <f>HYPERLINK("https://bulbapedia.bulbagarden.net/wiki/Mewtwo_%E2%98%86_(EX_Holon_Phantoms_103)","Mewtwo*")</f>
        <v>Mewtwo*</v>
      </c>
      <c r="C107" s="51" t="s">
        <v>195</v>
      </c>
      <c r="D107" s="54"/>
      <c r="E107" s="5"/>
      <c r="F107" s="5"/>
      <c r="G107" s="5"/>
      <c r="J107" s="5"/>
      <c r="M107" s="5"/>
      <c r="N107" s="5"/>
      <c r="P107" s="5"/>
    </row>
    <row r="108" spans="1:16" ht="13">
      <c r="A108" s="48" t="s">
        <v>764</v>
      </c>
      <c r="B108" s="58" t="str">
        <f>HYPERLINK("https://bulbapedia.bulbagarden.net/wiki/Pikachu_%E2%98%86_(EX_Holon_Phantoms_104)","Pikachu*")</f>
        <v>Pikachu*</v>
      </c>
      <c r="C108" s="51" t="s">
        <v>192</v>
      </c>
      <c r="D108" s="54"/>
      <c r="E108" s="5"/>
      <c r="F108" s="5"/>
      <c r="G108" s="5"/>
      <c r="J108" s="5"/>
      <c r="M108" s="5"/>
      <c r="N108" s="5"/>
      <c r="P108" s="5"/>
    </row>
    <row r="109" spans="1:16" ht="13">
      <c r="A109" s="48" t="s">
        <v>2816</v>
      </c>
      <c r="B109" s="49" t="s">
        <v>201</v>
      </c>
      <c r="C109" s="51" t="s">
        <v>195</v>
      </c>
      <c r="D109" s="54"/>
      <c r="E109" s="5"/>
      <c r="F109" s="5"/>
      <c r="G109" s="5"/>
      <c r="J109" s="5"/>
      <c r="M109" s="5"/>
      <c r="N109" s="5"/>
      <c r="P109" s="5"/>
    </row>
    <row r="110" spans="1:16" ht="13">
      <c r="D110" s="54"/>
      <c r="E110" s="5"/>
      <c r="F110" s="5"/>
      <c r="G110" s="5"/>
      <c r="J110" s="5"/>
      <c r="M110" s="5"/>
      <c r="N110" s="5"/>
      <c r="P110" s="5"/>
    </row>
    <row r="111" spans="1:16" ht="13">
      <c r="A111" s="48"/>
      <c r="B111" s="50"/>
      <c r="C111" s="51"/>
      <c r="D111" s="54"/>
      <c r="E111" s="5"/>
      <c r="F111" s="5"/>
      <c r="G111" s="5"/>
      <c r="J111" s="5"/>
      <c r="M111" s="5"/>
      <c r="N111" s="5"/>
      <c r="P111" s="5"/>
    </row>
    <row r="112" spans="1:16" ht="13">
      <c r="A112" s="48"/>
      <c r="B112" s="50"/>
      <c r="C112" s="51"/>
      <c r="D112" s="54"/>
      <c r="E112" s="5"/>
      <c r="F112" s="5"/>
      <c r="G112" s="5"/>
      <c r="J112" s="5"/>
      <c r="M112" s="5"/>
      <c r="N112" s="5"/>
      <c r="P112" s="5"/>
    </row>
    <row r="113" spans="1:16" ht="13">
      <c r="A113" s="48"/>
      <c r="B113" s="50"/>
      <c r="C113" s="51"/>
      <c r="D113" s="54"/>
      <c r="E113" s="5"/>
      <c r="F113" s="5"/>
      <c r="G113" s="5"/>
      <c r="J113" s="5"/>
      <c r="M113" s="5"/>
      <c r="N113" s="5"/>
      <c r="P113" s="5"/>
    </row>
    <row r="114" spans="1:16" ht="13">
      <c r="A114" s="48"/>
      <c r="B114" s="50"/>
      <c r="C114" s="51"/>
      <c r="D114" s="54"/>
      <c r="E114" s="5"/>
      <c r="F114" s="5"/>
      <c r="G114" s="5"/>
      <c r="J114" s="5"/>
      <c r="M114" s="5"/>
      <c r="N114" s="5"/>
      <c r="P114" s="5"/>
    </row>
    <row r="115" spans="1:16" ht="13">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200-000000000000}"/>
    <hyperlink ref="B6" r:id="rId2" xr:uid="{00000000-0004-0000-2200-000001000000}"/>
    <hyperlink ref="B7" r:id="rId3" xr:uid="{00000000-0004-0000-2200-000002000000}"/>
    <hyperlink ref="B8" r:id="rId4" xr:uid="{00000000-0004-0000-2200-000003000000}"/>
    <hyperlink ref="B9" r:id="rId5" xr:uid="{00000000-0004-0000-2200-000004000000}"/>
    <hyperlink ref="B10" r:id="rId6" xr:uid="{00000000-0004-0000-2200-000005000000}"/>
    <hyperlink ref="B11" r:id="rId7" xr:uid="{00000000-0004-0000-2200-000006000000}"/>
    <hyperlink ref="B12" r:id="rId8" xr:uid="{00000000-0004-0000-2200-000007000000}"/>
    <hyperlink ref="B13" r:id="rId9" xr:uid="{00000000-0004-0000-2200-000008000000}"/>
    <hyperlink ref="B14" r:id="rId10" xr:uid="{00000000-0004-0000-2200-000009000000}"/>
    <hyperlink ref="B15" r:id="rId11" xr:uid="{00000000-0004-0000-2200-00000A000000}"/>
    <hyperlink ref="B16" r:id="rId12" xr:uid="{00000000-0004-0000-2200-00000B000000}"/>
    <hyperlink ref="B17" r:id="rId13" xr:uid="{00000000-0004-0000-2200-00000C000000}"/>
    <hyperlink ref="B18" r:id="rId14" xr:uid="{00000000-0004-0000-2200-00000D000000}"/>
    <hyperlink ref="B19" r:id="rId15" xr:uid="{00000000-0004-0000-2200-00000E000000}"/>
    <hyperlink ref="B20" r:id="rId16" xr:uid="{00000000-0004-0000-2200-00000F000000}"/>
    <hyperlink ref="B21" r:id="rId17" xr:uid="{00000000-0004-0000-2200-000010000000}"/>
    <hyperlink ref="B22" r:id="rId18" xr:uid="{00000000-0004-0000-2200-000011000000}"/>
    <hyperlink ref="B23" r:id="rId19" xr:uid="{00000000-0004-0000-2200-000012000000}"/>
    <hyperlink ref="B24" r:id="rId20" xr:uid="{00000000-0004-0000-2200-000013000000}"/>
    <hyperlink ref="B25" r:id="rId21" xr:uid="{00000000-0004-0000-2200-000014000000}"/>
    <hyperlink ref="B26" r:id="rId22" xr:uid="{00000000-0004-0000-2200-000015000000}"/>
    <hyperlink ref="B27" r:id="rId23" xr:uid="{00000000-0004-0000-2200-000016000000}"/>
    <hyperlink ref="B28" r:id="rId24" xr:uid="{00000000-0004-0000-2200-000017000000}"/>
    <hyperlink ref="B29" r:id="rId25" xr:uid="{00000000-0004-0000-2200-000018000000}"/>
    <hyperlink ref="B30" r:id="rId26" xr:uid="{00000000-0004-0000-2200-000019000000}"/>
    <hyperlink ref="B31" r:id="rId27" xr:uid="{00000000-0004-0000-2200-00001A000000}"/>
    <hyperlink ref="B32" r:id="rId28" xr:uid="{00000000-0004-0000-2200-00001B000000}"/>
    <hyperlink ref="B33" r:id="rId29" xr:uid="{00000000-0004-0000-2200-00001C000000}"/>
    <hyperlink ref="B34" r:id="rId30" xr:uid="{00000000-0004-0000-2200-00001D000000}"/>
    <hyperlink ref="B35" r:id="rId31" xr:uid="{00000000-0004-0000-2200-00001E000000}"/>
    <hyperlink ref="B36" r:id="rId32" xr:uid="{00000000-0004-0000-2200-00001F000000}"/>
    <hyperlink ref="B37" r:id="rId33" xr:uid="{00000000-0004-0000-2200-000020000000}"/>
    <hyperlink ref="B38" r:id="rId34" xr:uid="{00000000-0004-0000-2200-000021000000}"/>
    <hyperlink ref="B39" r:id="rId35" xr:uid="{00000000-0004-0000-2200-000022000000}"/>
    <hyperlink ref="B40" r:id="rId36" xr:uid="{00000000-0004-0000-2200-000023000000}"/>
    <hyperlink ref="B41" r:id="rId37" xr:uid="{00000000-0004-0000-2200-000024000000}"/>
    <hyperlink ref="B42" r:id="rId38" xr:uid="{00000000-0004-0000-2200-000025000000}"/>
    <hyperlink ref="B43" r:id="rId39" xr:uid="{00000000-0004-0000-2200-000026000000}"/>
    <hyperlink ref="B44" r:id="rId40" xr:uid="{00000000-0004-0000-2200-000027000000}"/>
    <hyperlink ref="B45" r:id="rId41" xr:uid="{00000000-0004-0000-2200-000028000000}"/>
    <hyperlink ref="B46" r:id="rId42" xr:uid="{00000000-0004-0000-2200-000029000000}"/>
    <hyperlink ref="B47" r:id="rId43" xr:uid="{00000000-0004-0000-2200-00002A000000}"/>
    <hyperlink ref="B48" r:id="rId44" xr:uid="{00000000-0004-0000-2200-00002B000000}"/>
    <hyperlink ref="B49" r:id="rId45" xr:uid="{00000000-0004-0000-2200-00002C000000}"/>
    <hyperlink ref="B50" r:id="rId46" xr:uid="{00000000-0004-0000-2200-00002D000000}"/>
    <hyperlink ref="B51" r:id="rId47" xr:uid="{00000000-0004-0000-2200-00002E000000}"/>
    <hyperlink ref="B52" r:id="rId48" xr:uid="{00000000-0004-0000-2200-00002F000000}"/>
    <hyperlink ref="B53" r:id="rId49" xr:uid="{00000000-0004-0000-2200-000030000000}"/>
    <hyperlink ref="B54" r:id="rId50" xr:uid="{00000000-0004-0000-2200-000031000000}"/>
    <hyperlink ref="B55" r:id="rId51" xr:uid="{00000000-0004-0000-2200-000032000000}"/>
    <hyperlink ref="B56" r:id="rId52" xr:uid="{00000000-0004-0000-2200-000033000000}"/>
    <hyperlink ref="B57" r:id="rId53" xr:uid="{00000000-0004-0000-2200-000034000000}"/>
    <hyperlink ref="B58" r:id="rId54" xr:uid="{00000000-0004-0000-2200-000035000000}"/>
    <hyperlink ref="B59" r:id="rId55" xr:uid="{00000000-0004-0000-2200-000036000000}"/>
    <hyperlink ref="B60" r:id="rId56" xr:uid="{00000000-0004-0000-2200-000037000000}"/>
    <hyperlink ref="B61" r:id="rId57" xr:uid="{00000000-0004-0000-2200-000038000000}"/>
    <hyperlink ref="B62" r:id="rId58" xr:uid="{00000000-0004-0000-2200-000039000000}"/>
    <hyperlink ref="B63" r:id="rId59" xr:uid="{00000000-0004-0000-2200-00003A000000}"/>
    <hyperlink ref="B64" r:id="rId60" xr:uid="{00000000-0004-0000-2200-00003B000000}"/>
    <hyperlink ref="B65" r:id="rId61" xr:uid="{00000000-0004-0000-2200-00003C000000}"/>
    <hyperlink ref="B66" r:id="rId62" xr:uid="{00000000-0004-0000-2200-00003D000000}"/>
    <hyperlink ref="B67" r:id="rId63" xr:uid="{00000000-0004-0000-2200-00003E000000}"/>
    <hyperlink ref="B68" r:id="rId64" xr:uid="{00000000-0004-0000-2200-00003F000000}"/>
    <hyperlink ref="B69" r:id="rId65" xr:uid="{00000000-0004-0000-2200-000040000000}"/>
    <hyperlink ref="B70" r:id="rId66" xr:uid="{00000000-0004-0000-2200-000041000000}"/>
    <hyperlink ref="B71" r:id="rId67" xr:uid="{00000000-0004-0000-2200-000042000000}"/>
    <hyperlink ref="B72" r:id="rId68" xr:uid="{00000000-0004-0000-2200-000043000000}"/>
    <hyperlink ref="B73" r:id="rId69" xr:uid="{00000000-0004-0000-2200-000044000000}"/>
    <hyperlink ref="B74" r:id="rId70" xr:uid="{00000000-0004-0000-2200-000045000000}"/>
    <hyperlink ref="B75" r:id="rId71" xr:uid="{00000000-0004-0000-2200-000046000000}"/>
    <hyperlink ref="B76" r:id="rId72" xr:uid="{00000000-0004-0000-2200-000047000000}"/>
    <hyperlink ref="B77" r:id="rId73" xr:uid="{00000000-0004-0000-2200-000048000000}"/>
    <hyperlink ref="B78" r:id="rId74" xr:uid="{00000000-0004-0000-2200-000049000000}"/>
    <hyperlink ref="B79" r:id="rId75" xr:uid="{00000000-0004-0000-2200-00004A000000}"/>
    <hyperlink ref="B80" r:id="rId76" xr:uid="{00000000-0004-0000-2200-00004B000000}"/>
    <hyperlink ref="B81" r:id="rId77" xr:uid="{00000000-0004-0000-2200-00004C000000}"/>
    <hyperlink ref="B82" r:id="rId78" xr:uid="{00000000-0004-0000-2200-00004D000000}"/>
    <hyperlink ref="B83" r:id="rId79" xr:uid="{00000000-0004-0000-2200-00004E000000}"/>
    <hyperlink ref="B84" r:id="rId80" xr:uid="{00000000-0004-0000-2200-00004F000000}"/>
    <hyperlink ref="B85" r:id="rId81" xr:uid="{00000000-0004-0000-2200-000050000000}"/>
    <hyperlink ref="B86" r:id="rId82" xr:uid="{00000000-0004-0000-2200-000051000000}"/>
    <hyperlink ref="B87" r:id="rId83" xr:uid="{00000000-0004-0000-2200-000052000000}"/>
    <hyperlink ref="B88" r:id="rId84" xr:uid="{00000000-0004-0000-2200-000053000000}"/>
    <hyperlink ref="B89" r:id="rId85" xr:uid="{00000000-0004-0000-2200-000054000000}"/>
    <hyperlink ref="B90" r:id="rId86" xr:uid="{00000000-0004-0000-2200-000055000000}"/>
    <hyperlink ref="B91" r:id="rId87" xr:uid="{00000000-0004-0000-2200-000056000000}"/>
    <hyperlink ref="B92" r:id="rId88" xr:uid="{00000000-0004-0000-2200-000057000000}"/>
    <hyperlink ref="B93" r:id="rId89" xr:uid="{00000000-0004-0000-2200-000058000000}"/>
    <hyperlink ref="B94" r:id="rId90" xr:uid="{00000000-0004-0000-2200-000059000000}"/>
    <hyperlink ref="B95" r:id="rId91" xr:uid="{00000000-0004-0000-2200-00005A000000}"/>
    <hyperlink ref="B96" r:id="rId92" xr:uid="{00000000-0004-0000-2200-00005B000000}"/>
    <hyperlink ref="B97" r:id="rId93" xr:uid="{00000000-0004-0000-2200-00005C000000}"/>
    <hyperlink ref="B98" r:id="rId94" xr:uid="{00000000-0004-0000-2200-00005D000000}"/>
    <hyperlink ref="B99" r:id="rId95" xr:uid="{00000000-0004-0000-2200-00005E000000}"/>
    <hyperlink ref="B100" r:id="rId96" xr:uid="{00000000-0004-0000-2200-00005F000000}"/>
    <hyperlink ref="B101" r:id="rId97" xr:uid="{00000000-0004-0000-2200-000060000000}"/>
    <hyperlink ref="B102" r:id="rId98" xr:uid="{00000000-0004-0000-2200-000061000000}"/>
    <hyperlink ref="B103" r:id="rId99" xr:uid="{00000000-0004-0000-2200-000062000000}"/>
    <hyperlink ref="B104" r:id="rId100" xr:uid="{00000000-0004-0000-2200-000063000000}"/>
    <hyperlink ref="B105" r:id="rId101" xr:uid="{00000000-0004-0000-2200-000064000000}"/>
    <hyperlink ref="B109" r:id="rId102" xr:uid="{00000000-0004-0000-2200-000065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1640625" customWidth="1"/>
    <col min="3" max="3" width="13.5" customWidth="1"/>
    <col min="4" max="4" width="14.83203125" customWidth="1"/>
    <col min="5" max="5" width="14.33203125" customWidth="1"/>
    <col min="11" max="11" width="13.83203125" customWidth="1"/>
  </cols>
  <sheetData>
    <row r="1" spans="1:23" ht="15.75" customHeight="1">
      <c r="A1" s="1" t="s">
        <v>63</v>
      </c>
      <c r="B1" s="36"/>
      <c r="C1" s="37"/>
      <c r="D1" s="7" t="s">
        <v>181</v>
      </c>
      <c r="E1" s="5"/>
      <c r="F1" s="5"/>
      <c r="G1" s="5"/>
      <c r="K1" s="1"/>
      <c r="M1" s="5"/>
      <c r="N1" s="5"/>
      <c r="S1" s="1"/>
      <c r="U1" s="5"/>
    </row>
    <row r="2" spans="1:23" ht="15.75" customHeight="1">
      <c r="A2" s="7" t="s">
        <v>182</v>
      </c>
      <c r="B2" s="38">
        <v>38959</v>
      </c>
      <c r="C2" s="37"/>
      <c r="D2" s="39">
        <f>SUM(D5:G104)</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1354</v>
      </c>
      <c r="B5" s="49" t="s">
        <v>1788</v>
      </c>
      <c r="C5" s="51" t="s">
        <v>195</v>
      </c>
      <c r="D5" s="54"/>
      <c r="E5" s="5"/>
      <c r="F5" s="5"/>
      <c r="G5" s="5"/>
      <c r="L5" s="43"/>
      <c r="M5" s="43"/>
      <c r="N5" s="42"/>
      <c r="O5" s="44"/>
      <c r="S5" s="42"/>
      <c r="T5" s="43"/>
      <c r="U5" s="43"/>
      <c r="V5" s="42"/>
      <c r="W5" s="44"/>
    </row>
    <row r="6" spans="1:23" ht="15.75" customHeight="1">
      <c r="A6" s="48" t="s">
        <v>1356</v>
      </c>
      <c r="B6" s="49" t="s">
        <v>2817</v>
      </c>
      <c r="C6" s="51" t="s">
        <v>2507</v>
      </c>
      <c r="D6" s="54"/>
      <c r="E6" s="5"/>
      <c r="F6" s="5"/>
      <c r="G6" s="5"/>
      <c r="L6" s="50"/>
      <c r="M6" s="51"/>
      <c r="N6" s="5"/>
      <c r="S6" s="52"/>
      <c r="T6" s="50"/>
      <c r="U6" s="51"/>
    </row>
    <row r="7" spans="1:23" ht="15.75" customHeight="1">
      <c r="A7" s="48" t="s">
        <v>1358</v>
      </c>
      <c r="B7" s="49" t="s">
        <v>1214</v>
      </c>
      <c r="C7" s="51" t="s">
        <v>199</v>
      </c>
      <c r="D7" s="54"/>
      <c r="E7" s="5"/>
      <c r="F7" s="5"/>
      <c r="G7" s="5"/>
      <c r="K7" s="52"/>
      <c r="L7" s="50"/>
      <c r="M7" s="51"/>
      <c r="N7" s="5"/>
      <c r="S7" s="52"/>
      <c r="T7" s="50"/>
      <c r="U7" s="51"/>
    </row>
    <row r="8" spans="1:23" ht="15.75" customHeight="1">
      <c r="A8" s="48" t="s">
        <v>1360</v>
      </c>
      <c r="B8" s="49" t="s">
        <v>2818</v>
      </c>
      <c r="C8" s="51" t="s">
        <v>2491</v>
      </c>
      <c r="D8" s="54"/>
      <c r="E8" s="5"/>
      <c r="F8" s="5"/>
      <c r="G8" s="5"/>
      <c r="K8" s="52"/>
      <c r="L8" s="50"/>
      <c r="M8" s="51"/>
      <c r="N8" s="51"/>
      <c r="S8" s="52"/>
      <c r="T8" s="50"/>
      <c r="U8" s="51"/>
    </row>
    <row r="9" spans="1:23" ht="15.75" customHeight="1">
      <c r="A9" s="48" t="s">
        <v>1362</v>
      </c>
      <c r="B9" s="49" t="s">
        <v>255</v>
      </c>
      <c r="C9" s="51" t="s">
        <v>225</v>
      </c>
      <c r="D9" s="54"/>
      <c r="E9" s="5"/>
      <c r="F9" s="5"/>
      <c r="G9" s="5"/>
      <c r="K9" s="52"/>
      <c r="L9" s="50"/>
      <c r="M9" s="51"/>
      <c r="N9" s="51"/>
      <c r="S9" s="52"/>
      <c r="T9" s="50"/>
      <c r="U9" s="51"/>
    </row>
    <row r="10" spans="1:23" ht="15.75" customHeight="1">
      <c r="A10" s="48" t="s">
        <v>1363</v>
      </c>
      <c r="B10" s="49" t="s">
        <v>2819</v>
      </c>
      <c r="C10" s="51" t="s">
        <v>199</v>
      </c>
      <c r="D10" s="54"/>
      <c r="E10" s="5"/>
      <c r="F10" s="5"/>
      <c r="G10" s="5"/>
      <c r="K10" s="52"/>
      <c r="L10" s="50"/>
      <c r="M10" s="51"/>
      <c r="N10" s="5"/>
      <c r="S10" s="52"/>
      <c r="T10" s="50"/>
      <c r="U10" s="51"/>
    </row>
    <row r="11" spans="1:23" ht="15.75" customHeight="1">
      <c r="A11" s="48" t="s">
        <v>1364</v>
      </c>
      <c r="B11" s="49" t="s">
        <v>1847</v>
      </c>
      <c r="C11" s="51" t="s">
        <v>208</v>
      </c>
      <c r="D11" s="54"/>
      <c r="E11" s="5"/>
      <c r="F11" s="5"/>
      <c r="G11" s="5"/>
      <c r="K11" s="52"/>
      <c r="L11" s="50"/>
      <c r="M11" s="51"/>
      <c r="N11" s="51"/>
      <c r="S11" s="52"/>
      <c r="T11" s="50"/>
      <c r="U11" s="51"/>
    </row>
    <row r="12" spans="1:23" ht="15.75" customHeight="1">
      <c r="A12" s="48" t="s">
        <v>1365</v>
      </c>
      <c r="B12" s="49" t="s">
        <v>1224</v>
      </c>
      <c r="C12" s="51" t="s">
        <v>192</v>
      </c>
      <c r="D12" s="54"/>
      <c r="E12" s="5"/>
      <c r="F12" s="5"/>
      <c r="G12" s="5"/>
      <c r="K12" s="52"/>
      <c r="L12" s="50"/>
      <c r="M12" s="51"/>
      <c r="N12" s="51"/>
      <c r="S12" s="52"/>
      <c r="T12" s="50"/>
      <c r="U12" s="51"/>
    </row>
    <row r="13" spans="1:23" ht="15.75" customHeight="1">
      <c r="A13" s="48" t="s">
        <v>1367</v>
      </c>
      <c r="B13" s="49" t="s">
        <v>1368</v>
      </c>
      <c r="C13" s="51" t="s">
        <v>220</v>
      </c>
      <c r="D13" s="54"/>
      <c r="E13" s="5"/>
      <c r="F13" s="5"/>
      <c r="G13" s="5"/>
      <c r="K13" s="52"/>
      <c r="L13" s="50"/>
      <c r="M13" s="51"/>
      <c r="N13" s="5"/>
      <c r="S13" s="52"/>
      <c r="T13" s="50"/>
      <c r="U13" s="51"/>
    </row>
    <row r="14" spans="1:23" ht="15.75" customHeight="1">
      <c r="A14" s="48" t="s">
        <v>1369</v>
      </c>
      <c r="B14" s="49" t="s">
        <v>1370</v>
      </c>
      <c r="C14" s="51" t="s">
        <v>808</v>
      </c>
      <c r="D14" s="54"/>
      <c r="E14" s="5"/>
      <c r="F14" s="51"/>
      <c r="G14" s="5"/>
      <c r="K14" s="52"/>
      <c r="L14" s="50"/>
      <c r="M14" s="51"/>
      <c r="N14" s="51"/>
      <c r="S14" s="52"/>
      <c r="T14" s="50"/>
      <c r="U14" s="51"/>
    </row>
    <row r="15" spans="1:23" ht="15.75" customHeight="1">
      <c r="A15" s="48" t="s">
        <v>1371</v>
      </c>
      <c r="B15" s="49" t="s">
        <v>1860</v>
      </c>
      <c r="C15" s="51" t="s">
        <v>205</v>
      </c>
      <c r="D15" s="54"/>
      <c r="E15" s="5"/>
      <c r="F15" s="5"/>
      <c r="G15" s="5"/>
      <c r="K15" s="52"/>
      <c r="L15" s="50"/>
      <c r="M15" s="51"/>
      <c r="N15" s="51"/>
      <c r="S15" s="52"/>
      <c r="T15" s="50"/>
      <c r="U15" s="51"/>
    </row>
    <row r="16" spans="1:23" ht="15.75" customHeight="1">
      <c r="A16" s="48" t="s">
        <v>1373</v>
      </c>
      <c r="B16" s="49" t="s">
        <v>344</v>
      </c>
      <c r="C16" s="51" t="s">
        <v>197</v>
      </c>
      <c r="D16" s="54"/>
      <c r="E16" s="5"/>
      <c r="F16" s="5"/>
      <c r="G16" s="5"/>
      <c r="K16" s="52"/>
      <c r="L16" s="50"/>
      <c r="M16" s="51"/>
      <c r="N16" s="51"/>
      <c r="S16" s="52"/>
      <c r="T16" s="50"/>
      <c r="U16" s="51"/>
    </row>
    <row r="17" spans="1:27" ht="15.75" customHeight="1">
      <c r="A17" s="48" t="s">
        <v>1375</v>
      </c>
      <c r="B17" s="49" t="s">
        <v>330</v>
      </c>
      <c r="C17" s="51" t="s">
        <v>197</v>
      </c>
      <c r="D17" s="54"/>
      <c r="E17" s="5"/>
      <c r="F17" s="5"/>
      <c r="G17" s="5"/>
      <c r="K17" s="52"/>
      <c r="L17" s="50"/>
      <c r="M17" s="51"/>
      <c r="N17" s="51"/>
      <c r="S17" s="52"/>
      <c r="T17" s="50"/>
      <c r="U17" s="51"/>
    </row>
    <row r="18" spans="1:27" ht="15.75" customHeight="1">
      <c r="A18" s="48" t="s">
        <v>1377</v>
      </c>
      <c r="B18" s="49" t="s">
        <v>240</v>
      </c>
      <c r="C18" s="51" t="s">
        <v>208</v>
      </c>
      <c r="D18" s="54"/>
      <c r="E18" s="5"/>
      <c r="F18" s="5"/>
      <c r="G18" s="5"/>
      <c r="M18" s="5"/>
      <c r="N18" s="5"/>
      <c r="U18" s="5"/>
      <c r="AA18" s="5"/>
    </row>
    <row r="19" spans="1:27" ht="15.75" customHeight="1">
      <c r="A19" s="48" t="s">
        <v>1379</v>
      </c>
      <c r="B19" s="49" t="s">
        <v>2820</v>
      </c>
      <c r="C19" s="51" t="s">
        <v>225</v>
      </c>
      <c r="D19" s="54"/>
      <c r="E19" s="5"/>
      <c r="F19" s="5"/>
      <c r="G19" s="5"/>
      <c r="K19" s="1"/>
      <c r="M19" s="5"/>
      <c r="N19" s="5"/>
      <c r="U19" s="5"/>
      <c r="AA19" s="5"/>
    </row>
    <row r="20" spans="1:27" ht="15.75" customHeight="1">
      <c r="A20" s="48" t="s">
        <v>1380</v>
      </c>
      <c r="B20" s="49" t="s">
        <v>1191</v>
      </c>
      <c r="C20" s="51" t="s">
        <v>225</v>
      </c>
      <c r="D20" s="54"/>
      <c r="E20" s="5"/>
      <c r="F20" s="51"/>
      <c r="G20" s="5"/>
      <c r="L20" s="40"/>
      <c r="M20" s="5"/>
      <c r="N20" s="5"/>
      <c r="AA20" s="5"/>
    </row>
    <row r="21" spans="1:27" ht="15.75" customHeight="1">
      <c r="A21" s="48" t="s">
        <v>1381</v>
      </c>
      <c r="B21" s="49" t="s">
        <v>1361</v>
      </c>
      <c r="C21" s="51" t="s">
        <v>195</v>
      </c>
      <c r="D21" s="54"/>
      <c r="E21" s="5"/>
      <c r="F21" s="5"/>
      <c r="G21" s="5"/>
      <c r="M21" s="5"/>
      <c r="N21" s="5"/>
      <c r="AA21" s="5"/>
    </row>
    <row r="22" spans="1:27" ht="15.75" customHeight="1">
      <c r="A22" s="48" t="s">
        <v>1382</v>
      </c>
      <c r="B22" s="49" t="s">
        <v>2821</v>
      </c>
      <c r="C22" s="51" t="s">
        <v>192</v>
      </c>
      <c r="D22" s="54"/>
      <c r="E22" s="5"/>
      <c r="F22" s="5"/>
      <c r="G22" s="5"/>
      <c r="K22" s="42"/>
      <c r="L22" s="45"/>
      <c r="M22" s="46"/>
      <c r="N22" s="47"/>
      <c r="AA22" s="5"/>
    </row>
    <row r="23" spans="1:27" ht="15.75" customHeight="1">
      <c r="A23" s="48" t="s">
        <v>1384</v>
      </c>
      <c r="B23" s="49" t="s">
        <v>2822</v>
      </c>
      <c r="C23" s="51" t="s">
        <v>195</v>
      </c>
      <c r="D23" s="54"/>
      <c r="E23" s="5"/>
      <c r="F23" s="5"/>
      <c r="G23" s="5"/>
      <c r="K23" s="42"/>
      <c r="L23" s="43"/>
      <c r="M23" s="43"/>
      <c r="N23" s="42"/>
      <c r="O23" s="44"/>
      <c r="AA23" s="5"/>
    </row>
    <row r="24" spans="1:27" ht="15.75" customHeight="1">
      <c r="A24" s="48" t="s">
        <v>1385</v>
      </c>
      <c r="B24" s="49" t="s">
        <v>1499</v>
      </c>
      <c r="C24" s="51" t="s">
        <v>195</v>
      </c>
      <c r="D24" s="54"/>
      <c r="E24" s="5"/>
      <c r="F24" s="51"/>
      <c r="G24" s="5"/>
      <c r="K24" s="52"/>
      <c r="L24" s="50"/>
      <c r="M24" s="51"/>
      <c r="N24" s="5"/>
      <c r="AA24" s="5"/>
    </row>
    <row r="25" spans="1:27" ht="15.75" customHeight="1">
      <c r="A25" s="48" t="s">
        <v>1386</v>
      </c>
      <c r="B25" s="49" t="s">
        <v>223</v>
      </c>
      <c r="C25" s="51" t="s">
        <v>197</v>
      </c>
      <c r="D25" s="54"/>
      <c r="E25" s="5"/>
      <c r="F25" s="5"/>
      <c r="G25" s="5"/>
      <c r="K25" s="52"/>
      <c r="L25" s="50"/>
      <c r="M25" s="51"/>
      <c r="N25" s="5"/>
      <c r="AA25" s="5"/>
    </row>
    <row r="26" spans="1:27" ht="15.75" customHeight="1">
      <c r="A26" s="48" t="s">
        <v>1387</v>
      </c>
      <c r="B26" s="49" t="s">
        <v>2823</v>
      </c>
      <c r="C26" s="51" t="s">
        <v>2496</v>
      </c>
      <c r="D26" s="54"/>
      <c r="E26" s="5"/>
      <c r="F26" s="5"/>
      <c r="G26" s="5"/>
      <c r="K26" s="52"/>
      <c r="L26" s="50"/>
      <c r="M26" s="51"/>
      <c r="N26" s="51"/>
      <c r="AA26" s="5"/>
    </row>
    <row r="27" spans="1:27" ht="15.75" customHeight="1">
      <c r="A27" s="48" t="s">
        <v>1388</v>
      </c>
      <c r="B27" s="49" t="s">
        <v>1845</v>
      </c>
      <c r="C27" s="51" t="s">
        <v>197</v>
      </c>
      <c r="D27" s="54"/>
      <c r="E27" s="5"/>
      <c r="F27" s="51"/>
      <c r="G27" s="5"/>
      <c r="K27" s="52"/>
      <c r="L27" s="50"/>
      <c r="M27" s="51"/>
      <c r="N27" s="51"/>
      <c r="AA27" s="5"/>
    </row>
    <row r="28" spans="1:27" ht="15.75" customHeight="1">
      <c r="A28" s="48" t="s">
        <v>1389</v>
      </c>
      <c r="B28" s="49" t="s">
        <v>1192</v>
      </c>
      <c r="C28" s="51" t="s">
        <v>208</v>
      </c>
      <c r="D28" s="54"/>
      <c r="E28" s="5"/>
      <c r="F28" s="5"/>
      <c r="G28" s="5"/>
      <c r="J28" s="5"/>
      <c r="K28" s="52"/>
      <c r="L28" s="50"/>
      <c r="M28" s="51"/>
      <c r="N28" s="5"/>
      <c r="P28" s="5"/>
    </row>
    <row r="29" spans="1:27" ht="15.75" customHeight="1">
      <c r="A29" s="48" t="s">
        <v>1390</v>
      </c>
      <c r="B29" s="49" t="s">
        <v>1802</v>
      </c>
      <c r="C29" s="51" t="s">
        <v>225</v>
      </c>
      <c r="D29" s="54"/>
      <c r="E29" s="5"/>
      <c r="F29" s="5"/>
      <c r="G29" s="5"/>
      <c r="J29" s="5"/>
      <c r="K29" s="52"/>
      <c r="L29" s="50"/>
      <c r="M29" s="51"/>
      <c r="N29" s="51"/>
      <c r="P29" s="5"/>
    </row>
    <row r="30" spans="1:27" ht="15.75" customHeight="1">
      <c r="A30" s="48" t="s">
        <v>1391</v>
      </c>
      <c r="B30" s="49" t="s">
        <v>2824</v>
      </c>
      <c r="C30" s="51" t="s">
        <v>192</v>
      </c>
      <c r="D30" s="54"/>
      <c r="E30" s="5"/>
      <c r="F30" s="5"/>
      <c r="G30" s="5"/>
      <c r="J30" s="5"/>
      <c r="K30" s="52"/>
      <c r="L30" s="50"/>
      <c r="M30" s="51"/>
      <c r="N30" s="5"/>
      <c r="P30" s="5"/>
    </row>
    <row r="31" spans="1:27" ht="15.75" customHeight="1">
      <c r="A31" s="48" t="s">
        <v>1392</v>
      </c>
      <c r="B31" s="49" t="s">
        <v>1232</v>
      </c>
      <c r="C31" s="51" t="s">
        <v>225</v>
      </c>
      <c r="D31" s="54"/>
      <c r="E31" s="5"/>
      <c r="F31" s="5"/>
      <c r="G31" s="5"/>
      <c r="J31" s="5"/>
      <c r="K31" s="52"/>
      <c r="L31" s="50"/>
      <c r="M31" s="51"/>
      <c r="N31" s="51"/>
      <c r="P31" s="5"/>
    </row>
    <row r="32" spans="1:27" ht="15.75" customHeight="1">
      <c r="A32" s="48" t="s">
        <v>1394</v>
      </c>
      <c r="B32" s="49" t="s">
        <v>204</v>
      </c>
      <c r="C32" s="51" t="s">
        <v>205</v>
      </c>
      <c r="D32" s="54"/>
      <c r="E32" s="5"/>
      <c r="F32" s="5"/>
      <c r="G32" s="5"/>
      <c r="J32" s="5"/>
      <c r="K32" s="52"/>
      <c r="L32" s="50"/>
      <c r="M32" s="51"/>
      <c r="N32" s="5"/>
      <c r="P32" s="5"/>
    </row>
    <row r="33" spans="1:16" ht="15.75" customHeight="1">
      <c r="A33" s="48" t="s">
        <v>1395</v>
      </c>
      <c r="B33" s="49" t="s">
        <v>258</v>
      </c>
      <c r="C33" s="51" t="s">
        <v>199</v>
      </c>
      <c r="D33" s="54"/>
      <c r="E33" s="5"/>
      <c r="F33" s="5"/>
      <c r="G33" s="5"/>
      <c r="J33" s="5"/>
      <c r="K33" s="52"/>
      <c r="L33" s="50"/>
      <c r="M33" s="51"/>
      <c r="N33" s="5"/>
      <c r="P33" s="5"/>
    </row>
    <row r="34" spans="1:16" ht="15.75" customHeight="1">
      <c r="A34" s="48" t="s">
        <v>1396</v>
      </c>
      <c r="B34" s="49" t="s">
        <v>2825</v>
      </c>
      <c r="C34" s="51" t="s">
        <v>192</v>
      </c>
      <c r="D34" s="54"/>
      <c r="E34" s="5"/>
      <c r="F34" s="5"/>
      <c r="G34" s="5"/>
      <c r="J34" s="5"/>
      <c r="K34" s="52"/>
      <c r="L34" s="50"/>
      <c r="M34" s="51"/>
      <c r="N34" s="5"/>
      <c r="P34" s="5"/>
    </row>
    <row r="35" spans="1:16" ht="15.75" customHeight="1">
      <c r="A35" s="48" t="s">
        <v>1397</v>
      </c>
      <c r="B35" s="49" t="s">
        <v>1191</v>
      </c>
      <c r="C35" s="51" t="s">
        <v>199</v>
      </c>
      <c r="D35" s="54"/>
      <c r="E35" s="5"/>
      <c r="F35" s="5"/>
      <c r="G35" s="5"/>
      <c r="J35" s="5"/>
      <c r="K35" s="52"/>
      <c r="L35" s="50"/>
      <c r="M35" s="51"/>
      <c r="N35" s="51"/>
      <c r="P35" s="5"/>
    </row>
    <row r="36" spans="1:16" ht="15.75" customHeight="1">
      <c r="A36" s="48" t="s">
        <v>1399</v>
      </c>
      <c r="B36" s="49" t="s">
        <v>1188</v>
      </c>
      <c r="C36" s="51" t="s">
        <v>205</v>
      </c>
      <c r="D36" s="51"/>
      <c r="E36" s="5"/>
      <c r="F36" s="5"/>
      <c r="G36" s="5"/>
      <c r="J36" s="5"/>
      <c r="M36" s="5"/>
      <c r="N36" s="5"/>
      <c r="P36" s="5"/>
    </row>
    <row r="37" spans="1:16" ht="15.75" customHeight="1">
      <c r="A37" s="48" t="s">
        <v>1401</v>
      </c>
      <c r="B37" s="49" t="s">
        <v>1875</v>
      </c>
      <c r="C37" s="51" t="s">
        <v>205</v>
      </c>
      <c r="D37" s="54"/>
      <c r="E37" s="5"/>
      <c r="F37" s="5"/>
      <c r="G37" s="5"/>
      <c r="J37" s="5"/>
      <c r="M37" s="5"/>
      <c r="N37" s="5"/>
    </row>
    <row r="38" spans="1:16" ht="15.75" customHeight="1">
      <c r="A38" s="48" t="s">
        <v>1402</v>
      </c>
      <c r="B38" s="49" t="s">
        <v>264</v>
      </c>
      <c r="C38" s="51" t="s">
        <v>205</v>
      </c>
      <c r="D38" s="54"/>
      <c r="E38" s="5"/>
      <c r="F38" s="5"/>
      <c r="G38" s="5"/>
      <c r="J38" s="5"/>
      <c r="M38" s="51"/>
      <c r="N38" s="51"/>
    </row>
    <row r="39" spans="1:16" ht="15.75" customHeight="1">
      <c r="A39" s="48" t="s">
        <v>1403</v>
      </c>
      <c r="B39" s="49" t="s">
        <v>264</v>
      </c>
      <c r="C39" s="51" t="s">
        <v>205</v>
      </c>
      <c r="D39" s="51"/>
      <c r="E39" s="5"/>
      <c r="F39" s="5"/>
      <c r="G39" s="5"/>
      <c r="J39" s="5"/>
      <c r="M39" s="51"/>
      <c r="N39" s="51"/>
    </row>
    <row r="40" spans="1:16" ht="15.75" customHeight="1">
      <c r="A40" s="48" t="s">
        <v>1404</v>
      </c>
      <c r="B40" s="49" t="s">
        <v>1265</v>
      </c>
      <c r="C40" s="51" t="s">
        <v>220</v>
      </c>
      <c r="D40" s="51"/>
      <c r="E40" s="5"/>
      <c r="F40" s="5"/>
      <c r="G40" s="5"/>
      <c r="J40" s="5"/>
      <c r="M40" s="51"/>
      <c r="N40" s="51"/>
    </row>
    <row r="41" spans="1:16" ht="15.75" customHeight="1">
      <c r="A41" s="48" t="s">
        <v>1405</v>
      </c>
      <c r="B41" s="49" t="s">
        <v>1416</v>
      </c>
      <c r="C41" s="51" t="s">
        <v>208</v>
      </c>
      <c r="D41" s="54"/>
      <c r="E41" s="5"/>
      <c r="F41" s="5"/>
      <c r="G41" s="5"/>
      <c r="J41" s="5"/>
      <c r="M41" s="51"/>
      <c r="N41" s="51"/>
    </row>
    <row r="42" spans="1:16" ht="15.75" customHeight="1">
      <c r="A42" s="48" t="s">
        <v>1406</v>
      </c>
      <c r="B42" s="49" t="s">
        <v>1192</v>
      </c>
      <c r="C42" s="51" t="s">
        <v>225</v>
      </c>
      <c r="D42" s="54"/>
      <c r="E42" s="5"/>
      <c r="F42" s="5"/>
      <c r="G42" s="5"/>
      <c r="J42" s="5"/>
      <c r="M42" s="51"/>
      <c r="N42" s="51"/>
    </row>
    <row r="43" spans="1:16" ht="15.75" customHeight="1">
      <c r="A43" s="48" t="s">
        <v>1408</v>
      </c>
      <c r="B43" s="49" t="s">
        <v>1420</v>
      </c>
      <c r="C43" s="51" t="s">
        <v>808</v>
      </c>
      <c r="D43" s="54"/>
      <c r="E43" s="5"/>
      <c r="F43" s="5"/>
      <c r="G43" s="5"/>
      <c r="J43" s="5"/>
      <c r="M43" s="51"/>
      <c r="N43" s="51"/>
    </row>
    <row r="44" spans="1:16" ht="15.75" customHeight="1">
      <c r="A44" s="48" t="s">
        <v>1409</v>
      </c>
      <c r="B44" s="49" t="s">
        <v>1548</v>
      </c>
      <c r="C44" s="51" t="s">
        <v>195</v>
      </c>
      <c r="D44" s="54"/>
      <c r="E44" s="5"/>
      <c r="F44" s="5"/>
      <c r="G44" s="5"/>
      <c r="J44" s="5"/>
      <c r="M44" s="51"/>
      <c r="N44" s="51"/>
    </row>
    <row r="45" spans="1:16" ht="15.75" customHeight="1">
      <c r="A45" s="48" t="s">
        <v>1410</v>
      </c>
      <c r="B45" s="49" t="s">
        <v>1276</v>
      </c>
      <c r="C45" s="51" t="s">
        <v>197</v>
      </c>
      <c r="D45" s="54"/>
      <c r="E45" s="5"/>
      <c r="F45" s="5"/>
      <c r="G45" s="5"/>
      <c r="J45" s="5"/>
      <c r="M45" s="51"/>
      <c r="N45" s="51"/>
      <c r="P45" s="5"/>
    </row>
    <row r="46" spans="1:16" ht="15.75" customHeight="1">
      <c r="A46" s="48" t="s">
        <v>1411</v>
      </c>
      <c r="B46" s="49" t="s">
        <v>274</v>
      </c>
      <c r="C46" s="51" t="s">
        <v>208</v>
      </c>
      <c r="D46" s="51"/>
      <c r="E46" s="5"/>
      <c r="F46" s="5"/>
      <c r="G46" s="5"/>
      <c r="J46" s="5"/>
      <c r="M46" s="51"/>
      <c r="N46" s="51"/>
      <c r="P46" s="5"/>
    </row>
    <row r="47" spans="1:16" ht="15.75" customHeight="1">
      <c r="A47" s="48" t="s">
        <v>1413</v>
      </c>
      <c r="B47" s="49" t="s">
        <v>274</v>
      </c>
      <c r="C47" s="51" t="s">
        <v>208</v>
      </c>
      <c r="D47" s="51"/>
      <c r="E47" s="5"/>
      <c r="F47" s="5"/>
      <c r="G47" s="5"/>
      <c r="J47" s="5"/>
      <c r="M47" s="5"/>
      <c r="N47" s="5"/>
      <c r="P47" s="5"/>
    </row>
    <row r="48" spans="1:16" ht="15.75" customHeight="1">
      <c r="A48" s="48" t="s">
        <v>1414</v>
      </c>
      <c r="B48" s="49" t="s">
        <v>1250</v>
      </c>
      <c r="C48" s="51" t="s">
        <v>220</v>
      </c>
      <c r="D48" s="54"/>
      <c r="E48" s="5"/>
      <c r="F48" s="5"/>
      <c r="G48" s="5"/>
      <c r="J48" s="5"/>
      <c r="M48" s="5"/>
      <c r="N48" s="5"/>
      <c r="P48" s="5"/>
    </row>
    <row r="49" spans="1:16" ht="15.75" customHeight="1">
      <c r="A49" s="48" t="s">
        <v>1415</v>
      </c>
      <c r="B49" s="49" t="s">
        <v>276</v>
      </c>
      <c r="C49" s="51" t="s">
        <v>205</v>
      </c>
      <c r="D49" s="54"/>
      <c r="E49" s="5"/>
      <c r="F49" s="5"/>
      <c r="G49" s="5"/>
      <c r="J49" s="5"/>
      <c r="M49" s="5"/>
      <c r="N49" s="5"/>
      <c r="P49" s="5"/>
    </row>
    <row r="50" spans="1:16" ht="15.75" customHeight="1">
      <c r="A50" s="48" t="s">
        <v>1417</v>
      </c>
      <c r="B50" s="49" t="s">
        <v>276</v>
      </c>
      <c r="C50" s="51" t="s">
        <v>205</v>
      </c>
      <c r="D50" s="51"/>
      <c r="E50" s="5"/>
      <c r="F50" s="5"/>
      <c r="G50" s="5"/>
      <c r="J50" s="5"/>
      <c r="M50" s="5"/>
      <c r="N50" s="5"/>
      <c r="P50" s="5"/>
    </row>
    <row r="51" spans="1:16" ht="15.75" customHeight="1">
      <c r="A51" s="48" t="s">
        <v>1418</v>
      </c>
      <c r="B51" s="49" t="s">
        <v>1432</v>
      </c>
      <c r="C51" s="51" t="s">
        <v>205</v>
      </c>
      <c r="D51" s="54"/>
      <c r="E51" s="5"/>
      <c r="F51" s="5"/>
      <c r="G51" s="5"/>
      <c r="J51" s="5"/>
      <c r="M51" s="5"/>
      <c r="N51" s="5"/>
      <c r="P51" s="5"/>
    </row>
    <row r="52" spans="1:16" ht="15.75" customHeight="1">
      <c r="A52" s="48" t="s">
        <v>1419</v>
      </c>
      <c r="B52" s="49" t="s">
        <v>278</v>
      </c>
      <c r="C52" s="51" t="s">
        <v>199</v>
      </c>
      <c r="D52" s="54"/>
      <c r="E52" s="5"/>
      <c r="F52" s="5"/>
      <c r="G52" s="5"/>
      <c r="J52" s="5"/>
      <c r="M52" s="5"/>
      <c r="N52" s="5"/>
      <c r="P52" s="5"/>
    </row>
    <row r="53" spans="1:16" ht="13">
      <c r="A53" s="48" t="s">
        <v>1421</v>
      </c>
      <c r="B53" s="49" t="s">
        <v>2826</v>
      </c>
      <c r="C53" s="51" t="s">
        <v>192</v>
      </c>
      <c r="D53" s="54"/>
      <c r="E53" s="5"/>
      <c r="F53" s="5"/>
      <c r="G53" s="5"/>
      <c r="J53" s="5"/>
      <c r="M53" s="5"/>
      <c r="N53" s="5"/>
      <c r="P53" s="5"/>
    </row>
    <row r="54" spans="1:16" ht="13">
      <c r="A54" s="48" t="s">
        <v>1422</v>
      </c>
      <c r="B54" s="49" t="s">
        <v>279</v>
      </c>
      <c r="C54" s="51" t="s">
        <v>225</v>
      </c>
      <c r="D54" s="54"/>
      <c r="E54" s="5"/>
      <c r="F54" s="5"/>
      <c r="G54" s="5"/>
      <c r="J54" s="5"/>
      <c r="M54" s="5"/>
      <c r="N54" s="5"/>
      <c r="P54" s="5"/>
    </row>
    <row r="55" spans="1:16" ht="13">
      <c r="A55" s="48" t="s">
        <v>1423</v>
      </c>
      <c r="B55" s="49" t="s">
        <v>1437</v>
      </c>
      <c r="C55" s="51" t="s">
        <v>195</v>
      </c>
      <c r="D55" s="54"/>
      <c r="E55" s="5"/>
      <c r="F55" s="5"/>
      <c r="G55" s="5"/>
      <c r="J55" s="5"/>
      <c r="M55" s="5"/>
      <c r="N55" s="5"/>
      <c r="P55" s="5"/>
    </row>
    <row r="56" spans="1:16" ht="13">
      <c r="A56" s="48" t="s">
        <v>1424</v>
      </c>
      <c r="B56" s="49" t="s">
        <v>1257</v>
      </c>
      <c r="C56" s="51" t="s">
        <v>192</v>
      </c>
      <c r="D56" s="51"/>
      <c r="E56" s="5"/>
      <c r="F56" s="5"/>
      <c r="G56" s="5"/>
      <c r="J56" s="5"/>
      <c r="M56" s="5"/>
      <c r="N56" s="5"/>
      <c r="P56" s="5"/>
    </row>
    <row r="57" spans="1:16" ht="13">
      <c r="A57" s="48" t="s">
        <v>1425</v>
      </c>
      <c r="B57" s="49" t="s">
        <v>200</v>
      </c>
      <c r="C57" s="51" t="s">
        <v>197</v>
      </c>
      <c r="D57" s="54"/>
      <c r="E57" s="5"/>
      <c r="F57" s="5"/>
      <c r="G57" s="5"/>
      <c r="J57" s="5"/>
      <c r="M57" s="5"/>
      <c r="N57" s="5"/>
      <c r="P57" s="5"/>
    </row>
    <row r="58" spans="1:16" ht="13">
      <c r="A58" s="48" t="s">
        <v>1427</v>
      </c>
      <c r="B58" s="49" t="s">
        <v>384</v>
      </c>
      <c r="C58" s="51" t="s">
        <v>208</v>
      </c>
      <c r="D58" s="54"/>
      <c r="E58" s="5"/>
      <c r="F58" s="5"/>
      <c r="G58" s="5"/>
      <c r="J58" s="5"/>
      <c r="M58" s="5"/>
      <c r="N58" s="5"/>
      <c r="P58" s="5"/>
    </row>
    <row r="59" spans="1:16" ht="13">
      <c r="A59" s="48" t="s">
        <v>1429</v>
      </c>
      <c r="B59" s="49" t="s">
        <v>1443</v>
      </c>
      <c r="C59" s="51" t="s">
        <v>208</v>
      </c>
      <c r="D59" s="51"/>
      <c r="E59" s="5"/>
      <c r="F59" s="5"/>
      <c r="G59" s="5"/>
      <c r="J59" s="5"/>
      <c r="M59" s="5"/>
      <c r="N59" s="5"/>
      <c r="P59" s="5"/>
    </row>
    <row r="60" spans="1:16" ht="13">
      <c r="A60" s="48" t="s">
        <v>1430</v>
      </c>
      <c r="B60" s="49" t="s">
        <v>1541</v>
      </c>
      <c r="C60" s="51" t="s">
        <v>225</v>
      </c>
      <c r="D60" s="54"/>
      <c r="E60" s="5"/>
      <c r="F60" s="5"/>
      <c r="G60" s="5"/>
      <c r="J60" s="5"/>
      <c r="M60" s="5"/>
      <c r="N60" s="5"/>
      <c r="P60" s="5"/>
    </row>
    <row r="61" spans="1:16" ht="13">
      <c r="A61" s="48" t="s">
        <v>1431</v>
      </c>
      <c r="B61" s="49" t="s">
        <v>1189</v>
      </c>
      <c r="C61" s="51" t="s">
        <v>208</v>
      </c>
      <c r="D61" s="54"/>
      <c r="E61" s="5"/>
      <c r="F61" s="5"/>
      <c r="G61" s="5"/>
      <c r="J61" s="5"/>
      <c r="M61" s="5"/>
      <c r="N61" s="5"/>
      <c r="P61" s="5"/>
    </row>
    <row r="62" spans="1:16" ht="13">
      <c r="A62" s="48" t="s">
        <v>1433</v>
      </c>
      <c r="B62" s="49" t="s">
        <v>1189</v>
      </c>
      <c r="C62" s="51" t="s">
        <v>208</v>
      </c>
      <c r="D62" s="54"/>
      <c r="E62" s="5"/>
      <c r="F62" s="5"/>
      <c r="G62" s="5"/>
      <c r="J62" s="5"/>
      <c r="M62" s="5"/>
      <c r="N62" s="5"/>
      <c r="P62" s="5"/>
    </row>
    <row r="63" spans="1:16" ht="13">
      <c r="A63" s="48" t="s">
        <v>1434</v>
      </c>
      <c r="B63" s="49" t="s">
        <v>1300</v>
      </c>
      <c r="C63" s="51" t="s">
        <v>199</v>
      </c>
      <c r="D63" s="51"/>
      <c r="E63" s="5"/>
      <c r="F63" s="5"/>
      <c r="G63" s="5"/>
      <c r="J63" s="5"/>
      <c r="M63" s="5"/>
      <c r="N63" s="5"/>
      <c r="P63" s="5"/>
    </row>
    <row r="64" spans="1:16" ht="13">
      <c r="A64" s="48" t="s">
        <v>1435</v>
      </c>
      <c r="B64" s="49" t="s">
        <v>1454</v>
      </c>
      <c r="C64" s="51" t="s">
        <v>205</v>
      </c>
      <c r="D64" s="51"/>
      <c r="E64" s="5"/>
      <c r="F64" s="5"/>
      <c r="G64" s="5"/>
      <c r="J64" s="5"/>
      <c r="M64" s="5"/>
      <c r="N64" s="5"/>
      <c r="P64" s="5"/>
    </row>
    <row r="65" spans="1:16" ht="13">
      <c r="A65" s="48" t="s">
        <v>1436</v>
      </c>
      <c r="B65" s="49" t="s">
        <v>355</v>
      </c>
      <c r="C65" s="51" t="s">
        <v>197</v>
      </c>
      <c r="D65" s="54"/>
      <c r="E65" s="5"/>
      <c r="F65" s="5"/>
      <c r="G65" s="5"/>
      <c r="J65" s="5"/>
      <c r="M65" s="5"/>
      <c r="N65" s="5"/>
      <c r="P65" s="5"/>
    </row>
    <row r="66" spans="1:16" ht="13">
      <c r="A66" s="48" t="s">
        <v>1438</v>
      </c>
      <c r="B66" s="49" t="s">
        <v>1584</v>
      </c>
      <c r="C66" s="51" t="s">
        <v>195</v>
      </c>
      <c r="D66" s="54"/>
      <c r="E66" s="5"/>
      <c r="F66" s="5"/>
      <c r="G66" s="5"/>
      <c r="J66" s="5"/>
      <c r="M66" s="5"/>
      <c r="N66" s="5"/>
      <c r="P66" s="5"/>
    </row>
    <row r="67" spans="1:16" ht="13">
      <c r="A67" s="48" t="s">
        <v>1439</v>
      </c>
      <c r="B67" s="49" t="s">
        <v>294</v>
      </c>
      <c r="C67" s="51" t="s">
        <v>208</v>
      </c>
      <c r="D67" s="51"/>
      <c r="E67" s="5"/>
      <c r="F67" s="5"/>
      <c r="G67" s="5"/>
      <c r="J67" s="5"/>
      <c r="M67" s="5"/>
      <c r="N67" s="5"/>
      <c r="P67" s="5"/>
    </row>
    <row r="68" spans="1:16" ht="13">
      <c r="A68" s="48" t="s">
        <v>1440</v>
      </c>
      <c r="B68" s="49" t="s">
        <v>294</v>
      </c>
      <c r="C68" s="51" t="s">
        <v>208</v>
      </c>
      <c r="D68" s="54"/>
      <c r="E68" s="5"/>
      <c r="F68" s="5"/>
      <c r="G68" s="5"/>
      <c r="J68" s="5"/>
      <c r="M68" s="5"/>
      <c r="N68" s="5"/>
      <c r="P68" s="5"/>
    </row>
    <row r="69" spans="1:16" ht="13">
      <c r="A69" s="48" t="s">
        <v>1441</v>
      </c>
      <c r="B69" s="49" t="s">
        <v>1190</v>
      </c>
      <c r="C69" s="51" t="s">
        <v>199</v>
      </c>
      <c r="D69" s="54"/>
      <c r="E69" s="5"/>
      <c r="F69" s="5"/>
      <c r="G69" s="5"/>
      <c r="J69" s="5"/>
      <c r="M69" s="5"/>
      <c r="N69" s="5"/>
      <c r="P69" s="5"/>
    </row>
    <row r="70" spans="1:16" ht="13">
      <c r="A70" s="48" t="s">
        <v>1442</v>
      </c>
      <c r="B70" s="49" t="s">
        <v>1190</v>
      </c>
      <c r="C70" s="51" t="s">
        <v>199</v>
      </c>
      <c r="D70" s="51"/>
      <c r="E70" s="5"/>
      <c r="F70" s="5"/>
      <c r="G70" s="5"/>
      <c r="J70" s="5"/>
      <c r="M70" s="5"/>
      <c r="N70" s="5"/>
      <c r="P70" s="5"/>
    </row>
    <row r="71" spans="1:16" ht="13">
      <c r="A71" s="48" t="s">
        <v>1444</v>
      </c>
      <c r="B71" s="49" t="s">
        <v>1187</v>
      </c>
      <c r="C71" s="51" t="s">
        <v>205</v>
      </c>
      <c r="D71" s="51"/>
      <c r="J71" s="5"/>
      <c r="M71" s="5"/>
      <c r="N71" s="5"/>
      <c r="P71" s="5"/>
    </row>
    <row r="72" spans="1:16" ht="13">
      <c r="A72" s="48" t="s">
        <v>1445</v>
      </c>
      <c r="B72" s="49" t="s">
        <v>2827</v>
      </c>
      <c r="C72" s="51" t="s">
        <v>195</v>
      </c>
      <c r="D72" s="54"/>
      <c r="E72" s="5"/>
      <c r="F72" s="5"/>
      <c r="G72" s="5"/>
      <c r="J72" s="5"/>
      <c r="M72" s="5"/>
      <c r="N72" s="5"/>
      <c r="P72" s="5"/>
    </row>
    <row r="73" spans="1:16" ht="13">
      <c r="A73" s="48" t="s">
        <v>1446</v>
      </c>
      <c r="B73" s="49" t="s">
        <v>1898</v>
      </c>
      <c r="C73" s="51" t="s">
        <v>197</v>
      </c>
      <c r="D73" s="54"/>
      <c r="E73" s="5"/>
      <c r="F73" s="5"/>
      <c r="G73" s="5"/>
      <c r="J73" s="5"/>
      <c r="M73" s="5"/>
      <c r="N73" s="5"/>
      <c r="P73" s="5"/>
    </row>
    <row r="74" spans="1:16" ht="13">
      <c r="A74" s="48" t="s">
        <v>1447</v>
      </c>
      <c r="B74" s="49" t="s">
        <v>1321</v>
      </c>
      <c r="C74" s="51" t="s">
        <v>208</v>
      </c>
      <c r="D74" s="54"/>
      <c r="E74" s="5"/>
      <c r="F74" s="5"/>
      <c r="G74" s="5"/>
      <c r="J74" s="5"/>
      <c r="M74" s="5"/>
      <c r="N74" s="5"/>
      <c r="P74" s="5"/>
    </row>
    <row r="75" spans="1:16" ht="13">
      <c r="A75" s="48" t="s">
        <v>1448</v>
      </c>
      <c r="B75" s="49" t="s">
        <v>1012</v>
      </c>
      <c r="C75" s="51" t="s">
        <v>1013</v>
      </c>
      <c r="D75" s="54"/>
      <c r="E75" s="5"/>
      <c r="F75" s="5"/>
      <c r="G75" s="5"/>
      <c r="J75" s="5"/>
      <c r="M75" s="5"/>
      <c r="N75" s="5"/>
      <c r="P75" s="5"/>
    </row>
    <row r="76" spans="1:16" ht="13">
      <c r="A76" s="48" t="s">
        <v>1449</v>
      </c>
      <c r="B76" s="49" t="s">
        <v>2828</v>
      </c>
      <c r="C76" s="51" t="s">
        <v>1013</v>
      </c>
      <c r="D76" s="54"/>
      <c r="E76" s="5"/>
      <c r="F76" s="5"/>
      <c r="G76" s="5"/>
      <c r="J76" s="5"/>
      <c r="M76" s="5"/>
      <c r="N76" s="5"/>
      <c r="P76" s="5"/>
    </row>
    <row r="77" spans="1:16" ht="13">
      <c r="A77" s="48" t="s">
        <v>1450</v>
      </c>
      <c r="B77" s="49" t="s">
        <v>2024</v>
      </c>
      <c r="C77" s="51" t="s">
        <v>1013</v>
      </c>
      <c r="D77" s="54"/>
      <c r="E77" s="5"/>
      <c r="F77" s="5"/>
      <c r="G77" s="5"/>
      <c r="J77" s="5"/>
      <c r="M77" s="5"/>
      <c r="N77" s="5"/>
      <c r="P77" s="5"/>
    </row>
    <row r="78" spans="1:16" ht="13">
      <c r="A78" s="48" t="s">
        <v>1451</v>
      </c>
      <c r="B78" s="49" t="s">
        <v>2829</v>
      </c>
      <c r="C78" s="51" t="s">
        <v>912</v>
      </c>
      <c r="D78" s="54"/>
      <c r="E78" s="5"/>
      <c r="F78" s="5"/>
      <c r="G78" s="5"/>
      <c r="J78" s="5"/>
      <c r="M78" s="5"/>
      <c r="N78" s="5"/>
      <c r="P78" s="5"/>
    </row>
    <row r="79" spans="1:16" ht="13">
      <c r="A79" s="48" t="s">
        <v>1452</v>
      </c>
      <c r="B79" s="49" t="s">
        <v>2830</v>
      </c>
      <c r="C79" s="51" t="s">
        <v>229</v>
      </c>
      <c r="D79" s="54"/>
      <c r="E79" s="5"/>
      <c r="F79" s="5"/>
      <c r="G79" s="5"/>
      <c r="J79" s="5"/>
      <c r="M79" s="5"/>
      <c r="N79" s="5"/>
      <c r="P79" s="5"/>
    </row>
    <row r="80" spans="1:16" ht="13">
      <c r="A80" s="48" t="s">
        <v>1453</v>
      </c>
      <c r="B80" s="49" t="s">
        <v>1178</v>
      </c>
      <c r="C80" s="51" t="s">
        <v>912</v>
      </c>
      <c r="D80" s="51"/>
      <c r="E80" s="5"/>
      <c r="F80" s="5"/>
      <c r="G80" s="5"/>
      <c r="J80" s="5"/>
      <c r="M80" s="5"/>
      <c r="N80" s="5"/>
      <c r="P80" s="5"/>
    </row>
    <row r="81" spans="1:16" ht="13">
      <c r="A81" s="48" t="s">
        <v>1455</v>
      </c>
      <c r="B81" s="49" t="s">
        <v>1466</v>
      </c>
      <c r="C81" s="51" t="s">
        <v>206</v>
      </c>
      <c r="D81" s="54"/>
      <c r="E81" s="5"/>
      <c r="F81" s="5"/>
      <c r="G81" s="5"/>
      <c r="J81" s="5"/>
      <c r="M81" s="5"/>
      <c r="N81" s="5"/>
      <c r="P81" s="5"/>
    </row>
    <row r="82" spans="1:16" ht="13">
      <c r="A82" s="48" t="s">
        <v>1456</v>
      </c>
      <c r="B82" s="49" t="s">
        <v>1015</v>
      </c>
      <c r="C82" s="51" t="s">
        <v>206</v>
      </c>
      <c r="D82" s="51"/>
      <c r="E82" s="5"/>
      <c r="F82" s="5"/>
      <c r="G82" s="5"/>
      <c r="J82" s="5"/>
      <c r="M82" s="5"/>
      <c r="N82" s="5"/>
      <c r="P82" s="5"/>
    </row>
    <row r="83" spans="1:16" ht="13">
      <c r="A83" s="48" t="s">
        <v>1457</v>
      </c>
      <c r="B83" s="49" t="s">
        <v>2831</v>
      </c>
      <c r="C83" s="51" t="s">
        <v>229</v>
      </c>
      <c r="D83" s="51"/>
      <c r="E83" s="5"/>
      <c r="F83" s="5"/>
      <c r="G83" s="5"/>
      <c r="J83" s="5"/>
      <c r="M83" s="5"/>
      <c r="N83" s="5"/>
      <c r="P83" s="5"/>
    </row>
    <row r="84" spans="1:16" ht="13">
      <c r="A84" s="48" t="s">
        <v>1458</v>
      </c>
      <c r="B84" s="49" t="s">
        <v>1149</v>
      </c>
      <c r="C84" s="51" t="s">
        <v>912</v>
      </c>
      <c r="D84" s="54"/>
      <c r="E84" s="5"/>
      <c r="F84" s="5"/>
      <c r="G84" s="5"/>
      <c r="J84" s="5"/>
      <c r="M84" s="5"/>
      <c r="N84" s="5"/>
      <c r="P84" s="5"/>
    </row>
    <row r="85" spans="1:16" ht="13">
      <c r="A85" s="48" t="s">
        <v>1459</v>
      </c>
      <c r="B85" s="49" t="s">
        <v>2832</v>
      </c>
      <c r="C85" s="51" t="s">
        <v>912</v>
      </c>
      <c r="D85" s="54"/>
      <c r="E85" s="5"/>
      <c r="F85" s="5"/>
      <c r="G85" s="5"/>
      <c r="J85" s="5"/>
      <c r="M85" s="5"/>
      <c r="N85" s="5"/>
      <c r="P85" s="5"/>
    </row>
    <row r="86" spans="1:16" ht="13">
      <c r="A86" s="48" t="s">
        <v>1460</v>
      </c>
      <c r="B86" s="49" t="s">
        <v>357</v>
      </c>
      <c r="C86" s="51" t="s">
        <v>206</v>
      </c>
      <c r="D86" s="54"/>
      <c r="E86" s="5"/>
      <c r="F86" s="5"/>
      <c r="G86" s="5"/>
      <c r="J86" s="5"/>
      <c r="M86" s="5"/>
      <c r="N86" s="5"/>
      <c r="P86" s="5"/>
    </row>
    <row r="87" spans="1:16" ht="13">
      <c r="A87" s="48" t="s">
        <v>1462</v>
      </c>
      <c r="B87" s="49" t="s">
        <v>1338</v>
      </c>
      <c r="C87" s="51" t="s">
        <v>206</v>
      </c>
      <c r="D87" s="51"/>
      <c r="E87" s="5"/>
      <c r="F87" s="5"/>
      <c r="G87" s="5"/>
      <c r="J87" s="5"/>
      <c r="M87" s="5"/>
      <c r="N87" s="5"/>
      <c r="P87" s="5"/>
    </row>
    <row r="88" spans="1:16" ht="13">
      <c r="A88" s="48" t="s">
        <v>1463</v>
      </c>
      <c r="B88" s="49" t="s">
        <v>660</v>
      </c>
      <c r="C88" s="51" t="s">
        <v>206</v>
      </c>
      <c r="D88" s="54"/>
      <c r="E88" s="5"/>
      <c r="F88" s="5"/>
      <c r="G88" s="5"/>
      <c r="J88" s="5"/>
      <c r="M88" s="5"/>
      <c r="N88" s="5"/>
      <c r="P88" s="5"/>
    </row>
    <row r="89" spans="1:16" ht="13">
      <c r="A89" s="48" t="s">
        <v>1464</v>
      </c>
      <c r="B89" s="49" t="s">
        <v>2833</v>
      </c>
      <c r="C89" s="51" t="s">
        <v>206</v>
      </c>
      <c r="D89" s="54"/>
      <c r="E89" s="5"/>
      <c r="F89" s="5"/>
      <c r="G89" s="5"/>
      <c r="J89" s="5"/>
      <c r="M89" s="5"/>
      <c r="N89" s="5"/>
      <c r="P89" s="5"/>
    </row>
    <row r="90" spans="1:16" ht="13">
      <c r="A90" s="48" t="s">
        <v>1465</v>
      </c>
      <c r="B90" s="49" t="s">
        <v>390</v>
      </c>
      <c r="C90" s="51" t="s">
        <v>206</v>
      </c>
      <c r="D90" s="51"/>
      <c r="E90" s="5"/>
      <c r="F90" s="5"/>
      <c r="G90" s="5"/>
      <c r="J90" s="5"/>
      <c r="M90" s="5"/>
      <c r="N90" s="5"/>
      <c r="P90" s="5"/>
    </row>
    <row r="91" spans="1:16" ht="13">
      <c r="A91" s="48" t="s">
        <v>1467</v>
      </c>
      <c r="B91" s="49" t="s">
        <v>314</v>
      </c>
      <c r="C91" s="51" t="s">
        <v>206</v>
      </c>
      <c r="D91" s="54"/>
      <c r="E91" s="5"/>
      <c r="F91" s="5"/>
      <c r="G91" s="5"/>
      <c r="J91" s="5"/>
      <c r="M91" s="5"/>
      <c r="N91" s="5"/>
      <c r="P91" s="5"/>
    </row>
    <row r="92" spans="1:16" ht="13">
      <c r="A92" s="48" t="s">
        <v>1469</v>
      </c>
      <c r="B92" s="49" t="s">
        <v>1770</v>
      </c>
      <c r="C92" s="51" t="s">
        <v>317</v>
      </c>
      <c r="D92" s="54"/>
      <c r="E92" s="5"/>
      <c r="F92" s="5"/>
      <c r="G92" s="5"/>
      <c r="J92" s="5"/>
      <c r="M92" s="5"/>
      <c r="N92" s="5"/>
      <c r="P92" s="5"/>
    </row>
    <row r="93" spans="1:16" ht="13">
      <c r="A93" s="48" t="s">
        <v>1471</v>
      </c>
      <c r="B93" s="49" t="s">
        <v>1482</v>
      </c>
      <c r="C93" s="51" t="s">
        <v>220</v>
      </c>
      <c r="D93" s="54"/>
      <c r="E93" s="5"/>
      <c r="F93" s="5"/>
      <c r="G93" s="5"/>
      <c r="J93" s="5"/>
      <c r="M93" s="5"/>
      <c r="N93" s="5"/>
      <c r="P93" s="5"/>
    </row>
    <row r="94" spans="1:16" ht="13">
      <c r="A94" s="48" t="s">
        <v>1473</v>
      </c>
      <c r="B94" s="49" t="s">
        <v>1772</v>
      </c>
      <c r="C94" s="51" t="s">
        <v>225</v>
      </c>
      <c r="D94" s="54"/>
      <c r="E94" s="5"/>
      <c r="F94" s="5"/>
      <c r="G94" s="5"/>
      <c r="J94" s="5"/>
      <c r="M94" s="5"/>
      <c r="N94" s="5"/>
      <c r="P94" s="5"/>
    </row>
    <row r="95" spans="1:16" ht="13">
      <c r="A95" s="48" t="s">
        <v>1475</v>
      </c>
      <c r="B95" s="49" t="s">
        <v>2834</v>
      </c>
      <c r="C95" s="51" t="s">
        <v>197</v>
      </c>
      <c r="D95" s="54"/>
      <c r="E95" s="5"/>
      <c r="F95" s="5"/>
      <c r="G95" s="5"/>
      <c r="J95" s="5"/>
      <c r="M95" s="5"/>
      <c r="N95" s="5"/>
      <c r="P95" s="5"/>
    </row>
    <row r="96" spans="1:16" ht="13">
      <c r="A96" s="48" t="s">
        <v>1476</v>
      </c>
      <c r="B96" s="49" t="s">
        <v>2835</v>
      </c>
      <c r="C96" s="51" t="s">
        <v>197</v>
      </c>
      <c r="D96" s="54"/>
      <c r="E96" s="5"/>
      <c r="F96" s="5"/>
      <c r="G96" s="5"/>
      <c r="J96" s="5"/>
      <c r="M96" s="5"/>
      <c r="N96" s="5"/>
      <c r="P96" s="5"/>
    </row>
    <row r="97" spans="1:16" ht="13">
      <c r="A97" s="48" t="s">
        <v>1478</v>
      </c>
      <c r="B97" s="49" t="s">
        <v>1186</v>
      </c>
      <c r="C97" s="51" t="s">
        <v>225</v>
      </c>
      <c r="D97" s="54"/>
      <c r="E97" s="5"/>
      <c r="F97" s="5"/>
      <c r="G97" s="5"/>
      <c r="J97" s="5"/>
      <c r="M97" s="5"/>
      <c r="N97" s="5"/>
      <c r="P97" s="5"/>
    </row>
    <row r="98" spans="1:16" ht="13">
      <c r="A98" s="48" t="s">
        <v>1480</v>
      </c>
      <c r="B98" s="49" t="s">
        <v>2836</v>
      </c>
      <c r="C98" s="51" t="s">
        <v>195</v>
      </c>
      <c r="D98" s="54"/>
      <c r="E98" s="5"/>
      <c r="F98" s="5"/>
      <c r="G98" s="5"/>
      <c r="J98" s="5"/>
      <c r="M98" s="5"/>
      <c r="N98" s="5"/>
      <c r="P98" s="5"/>
    </row>
    <row r="99" spans="1:16" ht="13">
      <c r="A99" s="48" t="s">
        <v>1481</v>
      </c>
      <c r="B99" s="49" t="s">
        <v>1185</v>
      </c>
      <c r="C99" s="51" t="s">
        <v>208</v>
      </c>
      <c r="D99" s="54"/>
      <c r="E99" s="5"/>
      <c r="F99" s="5"/>
      <c r="G99" s="5"/>
      <c r="J99" s="5"/>
      <c r="M99" s="5"/>
      <c r="N99" s="5"/>
      <c r="P99" s="5"/>
    </row>
    <row r="100" spans="1:16" ht="13">
      <c r="A100" s="48" t="s">
        <v>1483</v>
      </c>
      <c r="B100" s="49" t="s">
        <v>2837</v>
      </c>
      <c r="C100" s="51" t="s">
        <v>195</v>
      </c>
      <c r="D100" s="54"/>
      <c r="E100" s="5"/>
      <c r="F100" s="5"/>
      <c r="G100" s="5"/>
      <c r="J100" s="5"/>
      <c r="M100" s="5"/>
      <c r="N100" s="5"/>
      <c r="P100" s="5"/>
    </row>
    <row r="101" spans="1:16" ht="13">
      <c r="A101" s="48" t="s">
        <v>1484</v>
      </c>
      <c r="B101" s="49" t="s">
        <v>2838</v>
      </c>
      <c r="C101" s="51" t="s">
        <v>808</v>
      </c>
      <c r="D101" s="54"/>
      <c r="E101" s="5"/>
      <c r="F101" s="5"/>
      <c r="G101" s="5"/>
      <c r="J101" s="5"/>
      <c r="M101" s="5"/>
      <c r="N101" s="5"/>
      <c r="P101" s="5"/>
    </row>
    <row r="102" spans="1:16" ht="13">
      <c r="A102" s="48" t="s">
        <v>1485</v>
      </c>
      <c r="B102" s="49" t="s">
        <v>1784</v>
      </c>
      <c r="C102" s="51" t="s">
        <v>208</v>
      </c>
      <c r="D102" s="54"/>
      <c r="E102" s="5"/>
      <c r="F102" s="5"/>
      <c r="G102" s="5"/>
      <c r="J102" s="5"/>
      <c r="M102" s="5"/>
      <c r="N102" s="5"/>
      <c r="P102" s="5"/>
    </row>
    <row r="103" spans="1:16" ht="13">
      <c r="A103" s="48" t="s">
        <v>1487</v>
      </c>
      <c r="B103" s="58" t="str">
        <f>HYPERLINK("https://bulbapedia.bulbagarden.net/wiki/Alakazam_%E2%98%86_(EX_Crystal_Guardians_99)","Alakazam*")</f>
        <v>Alakazam*</v>
      </c>
      <c r="C103" s="51" t="s">
        <v>195</v>
      </c>
      <c r="D103" s="54"/>
      <c r="E103" s="5"/>
      <c r="F103" s="5"/>
      <c r="G103" s="5"/>
      <c r="J103" s="5"/>
      <c r="M103" s="5"/>
      <c r="N103" s="5"/>
      <c r="P103" s="5"/>
    </row>
    <row r="104" spans="1:16" ht="13">
      <c r="A104" s="48" t="s">
        <v>1489</v>
      </c>
      <c r="B104" s="58" t="str">
        <f>HYPERLINK("https://bulbapedia.bulbagarden.net/wiki/Celebi_%E2%98%86_(EX_Crystal_Guardians_100)","Celebi*")</f>
        <v>Celebi*</v>
      </c>
      <c r="C104" s="51" t="s">
        <v>205</v>
      </c>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300-000000000000}"/>
    <hyperlink ref="B6" r:id="rId2" xr:uid="{00000000-0004-0000-2300-000001000000}"/>
    <hyperlink ref="B7" r:id="rId3" xr:uid="{00000000-0004-0000-2300-000002000000}"/>
    <hyperlink ref="B8" r:id="rId4" xr:uid="{00000000-0004-0000-2300-000003000000}"/>
    <hyperlink ref="B9" r:id="rId5" xr:uid="{00000000-0004-0000-2300-000004000000}"/>
    <hyperlink ref="B10" r:id="rId6" xr:uid="{00000000-0004-0000-2300-000005000000}"/>
    <hyperlink ref="B11" r:id="rId7" xr:uid="{00000000-0004-0000-2300-000006000000}"/>
    <hyperlink ref="B12" r:id="rId8" xr:uid="{00000000-0004-0000-2300-000007000000}"/>
    <hyperlink ref="B13" r:id="rId9" xr:uid="{00000000-0004-0000-2300-000008000000}"/>
    <hyperlink ref="B14" r:id="rId10" xr:uid="{00000000-0004-0000-2300-000009000000}"/>
    <hyperlink ref="B15" r:id="rId11" xr:uid="{00000000-0004-0000-2300-00000A000000}"/>
    <hyperlink ref="B16" r:id="rId12" xr:uid="{00000000-0004-0000-2300-00000B000000}"/>
    <hyperlink ref="B17" r:id="rId13" xr:uid="{00000000-0004-0000-2300-00000C000000}"/>
    <hyperlink ref="B18" r:id="rId14" xr:uid="{00000000-0004-0000-2300-00000D000000}"/>
    <hyperlink ref="B19" r:id="rId15" xr:uid="{00000000-0004-0000-2300-00000E000000}"/>
    <hyperlink ref="B20" r:id="rId16" xr:uid="{00000000-0004-0000-2300-00000F000000}"/>
    <hyperlink ref="B21" r:id="rId17" xr:uid="{00000000-0004-0000-2300-000010000000}"/>
    <hyperlink ref="B22" r:id="rId18" xr:uid="{00000000-0004-0000-2300-000011000000}"/>
    <hyperlink ref="B23" r:id="rId19" xr:uid="{00000000-0004-0000-2300-000012000000}"/>
    <hyperlink ref="B24" r:id="rId20" xr:uid="{00000000-0004-0000-2300-000013000000}"/>
    <hyperlink ref="B25" r:id="rId21" xr:uid="{00000000-0004-0000-2300-000014000000}"/>
    <hyperlink ref="B26" r:id="rId22" xr:uid="{00000000-0004-0000-2300-000015000000}"/>
    <hyperlink ref="B27" r:id="rId23" xr:uid="{00000000-0004-0000-2300-000016000000}"/>
    <hyperlink ref="B28" r:id="rId24" xr:uid="{00000000-0004-0000-2300-000017000000}"/>
    <hyperlink ref="B29" r:id="rId25" xr:uid="{00000000-0004-0000-2300-000018000000}"/>
    <hyperlink ref="B30" r:id="rId26" xr:uid="{00000000-0004-0000-2300-000019000000}"/>
    <hyperlink ref="B31" r:id="rId27" xr:uid="{00000000-0004-0000-2300-00001A000000}"/>
    <hyperlink ref="B32" r:id="rId28" xr:uid="{00000000-0004-0000-2300-00001B000000}"/>
    <hyperlink ref="B33" r:id="rId29" xr:uid="{00000000-0004-0000-2300-00001C000000}"/>
    <hyperlink ref="B34" r:id="rId30" xr:uid="{00000000-0004-0000-2300-00001D000000}"/>
    <hyperlink ref="B35" r:id="rId31" xr:uid="{00000000-0004-0000-2300-00001E000000}"/>
    <hyperlink ref="B36" r:id="rId32" xr:uid="{00000000-0004-0000-2300-00001F000000}"/>
    <hyperlink ref="B37" r:id="rId33" xr:uid="{00000000-0004-0000-2300-000020000000}"/>
    <hyperlink ref="B38" r:id="rId34" xr:uid="{00000000-0004-0000-2300-000021000000}"/>
    <hyperlink ref="B39" r:id="rId35" xr:uid="{00000000-0004-0000-2300-000022000000}"/>
    <hyperlink ref="B40" r:id="rId36" xr:uid="{00000000-0004-0000-2300-000023000000}"/>
    <hyperlink ref="B41" r:id="rId37" xr:uid="{00000000-0004-0000-2300-000024000000}"/>
    <hyperlink ref="B42" r:id="rId38" xr:uid="{00000000-0004-0000-2300-000025000000}"/>
    <hyperlink ref="B43" r:id="rId39" xr:uid="{00000000-0004-0000-2300-000026000000}"/>
    <hyperlink ref="B44" r:id="rId40" xr:uid="{00000000-0004-0000-2300-000027000000}"/>
    <hyperlink ref="B45" r:id="rId41" xr:uid="{00000000-0004-0000-2300-000028000000}"/>
    <hyperlink ref="B46" r:id="rId42" xr:uid="{00000000-0004-0000-2300-000029000000}"/>
    <hyperlink ref="B47" r:id="rId43" xr:uid="{00000000-0004-0000-2300-00002A000000}"/>
    <hyperlink ref="B48" r:id="rId44" xr:uid="{00000000-0004-0000-2300-00002B000000}"/>
    <hyperlink ref="B49" r:id="rId45" xr:uid="{00000000-0004-0000-2300-00002C000000}"/>
    <hyperlink ref="B50" r:id="rId46" xr:uid="{00000000-0004-0000-2300-00002D000000}"/>
    <hyperlink ref="B51" r:id="rId47" xr:uid="{00000000-0004-0000-2300-00002E000000}"/>
    <hyperlink ref="B52" r:id="rId48" xr:uid="{00000000-0004-0000-2300-00002F000000}"/>
    <hyperlink ref="B53" r:id="rId49" xr:uid="{00000000-0004-0000-2300-000030000000}"/>
    <hyperlink ref="B54" r:id="rId50" xr:uid="{00000000-0004-0000-2300-000031000000}"/>
    <hyperlink ref="B55" r:id="rId51" xr:uid="{00000000-0004-0000-2300-000032000000}"/>
    <hyperlink ref="B56" r:id="rId52" xr:uid="{00000000-0004-0000-2300-000033000000}"/>
    <hyperlink ref="B57" r:id="rId53" xr:uid="{00000000-0004-0000-2300-000034000000}"/>
    <hyperlink ref="B58" r:id="rId54" xr:uid="{00000000-0004-0000-2300-000035000000}"/>
    <hyperlink ref="B59" r:id="rId55" xr:uid="{00000000-0004-0000-2300-000036000000}"/>
    <hyperlink ref="B60" r:id="rId56" xr:uid="{00000000-0004-0000-2300-000037000000}"/>
    <hyperlink ref="B61" r:id="rId57" xr:uid="{00000000-0004-0000-2300-000038000000}"/>
    <hyperlink ref="B62" r:id="rId58" xr:uid="{00000000-0004-0000-2300-000039000000}"/>
    <hyperlink ref="B63" r:id="rId59" xr:uid="{00000000-0004-0000-2300-00003A000000}"/>
    <hyperlink ref="B64" r:id="rId60" xr:uid="{00000000-0004-0000-2300-00003B000000}"/>
    <hyperlink ref="B65" r:id="rId61" xr:uid="{00000000-0004-0000-2300-00003C000000}"/>
    <hyperlink ref="B66" r:id="rId62" xr:uid="{00000000-0004-0000-2300-00003D000000}"/>
    <hyperlink ref="B67" r:id="rId63" xr:uid="{00000000-0004-0000-2300-00003E000000}"/>
    <hyperlink ref="B68" r:id="rId64" xr:uid="{00000000-0004-0000-2300-00003F000000}"/>
    <hyperlink ref="B69" r:id="rId65" xr:uid="{00000000-0004-0000-2300-000040000000}"/>
    <hyperlink ref="B70" r:id="rId66" xr:uid="{00000000-0004-0000-2300-000041000000}"/>
    <hyperlink ref="B71" r:id="rId67" xr:uid="{00000000-0004-0000-2300-000042000000}"/>
    <hyperlink ref="B72" r:id="rId68" xr:uid="{00000000-0004-0000-2300-000043000000}"/>
    <hyperlink ref="B73" r:id="rId69" xr:uid="{00000000-0004-0000-2300-000044000000}"/>
    <hyperlink ref="B74" r:id="rId70" xr:uid="{00000000-0004-0000-2300-000045000000}"/>
    <hyperlink ref="B75" r:id="rId71" xr:uid="{00000000-0004-0000-2300-000046000000}"/>
    <hyperlink ref="B76" r:id="rId72" xr:uid="{00000000-0004-0000-2300-000047000000}"/>
    <hyperlink ref="B77" r:id="rId73" xr:uid="{00000000-0004-0000-2300-000048000000}"/>
    <hyperlink ref="B78" r:id="rId74" xr:uid="{00000000-0004-0000-2300-000049000000}"/>
    <hyperlink ref="B79" r:id="rId75" xr:uid="{00000000-0004-0000-2300-00004A000000}"/>
    <hyperlink ref="B80" r:id="rId76" xr:uid="{00000000-0004-0000-2300-00004B000000}"/>
    <hyperlink ref="B81" r:id="rId77" xr:uid="{00000000-0004-0000-2300-00004C000000}"/>
    <hyperlink ref="B82" r:id="rId78" xr:uid="{00000000-0004-0000-2300-00004D000000}"/>
    <hyperlink ref="B83" r:id="rId79" xr:uid="{00000000-0004-0000-2300-00004E000000}"/>
    <hyperlink ref="B84" r:id="rId80" xr:uid="{00000000-0004-0000-2300-00004F000000}"/>
    <hyperlink ref="B85" r:id="rId81" xr:uid="{00000000-0004-0000-2300-000050000000}"/>
    <hyperlink ref="B86" r:id="rId82" xr:uid="{00000000-0004-0000-2300-000051000000}"/>
    <hyperlink ref="B87" r:id="rId83" xr:uid="{00000000-0004-0000-2300-000052000000}"/>
    <hyperlink ref="B88" r:id="rId84" xr:uid="{00000000-0004-0000-2300-000053000000}"/>
    <hyperlink ref="B89" r:id="rId85" xr:uid="{00000000-0004-0000-2300-000054000000}"/>
    <hyperlink ref="B90" r:id="rId86" xr:uid="{00000000-0004-0000-2300-000055000000}"/>
    <hyperlink ref="B91" r:id="rId87" xr:uid="{00000000-0004-0000-2300-000056000000}"/>
    <hyperlink ref="B92" r:id="rId88" xr:uid="{00000000-0004-0000-2300-000057000000}"/>
    <hyperlink ref="B93" r:id="rId89" xr:uid="{00000000-0004-0000-2300-000058000000}"/>
    <hyperlink ref="B94" r:id="rId90" xr:uid="{00000000-0004-0000-2300-000059000000}"/>
    <hyperlink ref="B95" r:id="rId91" xr:uid="{00000000-0004-0000-2300-00005A000000}"/>
    <hyperlink ref="B96" r:id="rId92" xr:uid="{00000000-0004-0000-2300-00005B000000}"/>
    <hyperlink ref="B97" r:id="rId93" xr:uid="{00000000-0004-0000-2300-00005C000000}"/>
    <hyperlink ref="B98" r:id="rId94" xr:uid="{00000000-0004-0000-2300-00005D000000}"/>
    <hyperlink ref="B99" r:id="rId95" xr:uid="{00000000-0004-0000-2300-00005E000000}"/>
    <hyperlink ref="B100" r:id="rId96" xr:uid="{00000000-0004-0000-2300-00005F000000}"/>
    <hyperlink ref="B101" r:id="rId97" xr:uid="{00000000-0004-0000-2300-000060000000}"/>
    <hyperlink ref="B102" r:id="rId98" xr:uid="{00000000-0004-0000-2300-00006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4.6640625" customWidth="1"/>
    <col min="3" max="3" width="13.5" customWidth="1"/>
    <col min="4" max="4" width="14.83203125" customWidth="1"/>
    <col min="5" max="5" width="14.33203125" customWidth="1"/>
    <col min="11" max="11" width="13.83203125" customWidth="1"/>
  </cols>
  <sheetData>
    <row r="1" spans="1:23" ht="15.75" customHeight="1">
      <c r="A1" s="1" t="s">
        <v>64</v>
      </c>
      <c r="B1" s="36"/>
      <c r="C1" s="37"/>
      <c r="D1" s="7" t="s">
        <v>181</v>
      </c>
      <c r="E1" s="5"/>
      <c r="F1" s="5"/>
      <c r="G1" s="5"/>
      <c r="K1" s="1"/>
      <c r="M1" s="5"/>
      <c r="N1" s="5"/>
      <c r="S1" s="1"/>
      <c r="U1" s="5"/>
    </row>
    <row r="2" spans="1:23" ht="15.75" customHeight="1">
      <c r="A2" s="7" t="s">
        <v>182</v>
      </c>
      <c r="B2" s="38">
        <v>39029</v>
      </c>
      <c r="C2" s="37"/>
      <c r="D2" s="39">
        <f>SUM(D5:G105)</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1787</v>
      </c>
      <c r="B5" s="49" t="s">
        <v>2839</v>
      </c>
      <c r="C5" s="51" t="s">
        <v>197</v>
      </c>
      <c r="D5" s="54"/>
      <c r="E5" s="5"/>
      <c r="F5" s="5"/>
      <c r="G5" s="5"/>
      <c r="L5" s="43"/>
      <c r="M5" s="43"/>
      <c r="N5" s="42"/>
      <c r="O5" s="44"/>
      <c r="S5" s="42"/>
      <c r="T5" s="43"/>
      <c r="U5" s="43"/>
      <c r="V5" s="42"/>
      <c r="W5" s="44"/>
    </row>
    <row r="6" spans="1:23" ht="15.75" customHeight="1">
      <c r="A6" s="48" t="s">
        <v>1789</v>
      </c>
      <c r="B6" s="49" t="s">
        <v>2840</v>
      </c>
      <c r="C6" s="51" t="s">
        <v>192</v>
      </c>
      <c r="D6" s="54"/>
      <c r="E6" s="5"/>
      <c r="F6" s="5"/>
      <c r="G6" s="5"/>
      <c r="L6" s="50"/>
      <c r="M6" s="51"/>
      <c r="N6" s="5"/>
      <c r="S6" s="52"/>
      <c r="T6" s="50"/>
      <c r="U6" s="51"/>
    </row>
    <row r="7" spans="1:23" ht="15.75" customHeight="1">
      <c r="A7" s="48" t="s">
        <v>1791</v>
      </c>
      <c r="B7" s="49" t="s">
        <v>2841</v>
      </c>
      <c r="C7" s="51" t="s">
        <v>199</v>
      </c>
      <c r="D7" s="54"/>
      <c r="E7" s="5"/>
      <c r="F7" s="5"/>
      <c r="G7" s="5"/>
      <c r="K7" s="52"/>
      <c r="L7" s="50"/>
      <c r="M7" s="51"/>
      <c r="N7" s="5"/>
      <c r="S7" s="52"/>
      <c r="T7" s="50"/>
      <c r="U7" s="51"/>
    </row>
    <row r="8" spans="1:23" ht="15.75" customHeight="1">
      <c r="A8" s="48" t="s">
        <v>1792</v>
      </c>
      <c r="B8" s="49" t="s">
        <v>2842</v>
      </c>
      <c r="C8" s="51" t="s">
        <v>225</v>
      </c>
      <c r="D8" s="54"/>
      <c r="E8" s="5"/>
      <c r="F8" s="5"/>
      <c r="G8" s="5"/>
      <c r="K8" s="52"/>
      <c r="L8" s="50"/>
      <c r="M8" s="51"/>
      <c r="N8" s="51"/>
      <c r="S8" s="52"/>
      <c r="T8" s="50"/>
      <c r="U8" s="51"/>
    </row>
    <row r="9" spans="1:23" ht="15.75" customHeight="1">
      <c r="A9" s="48" t="s">
        <v>1794</v>
      </c>
      <c r="B9" s="49" t="s">
        <v>2843</v>
      </c>
      <c r="C9" s="51" t="s">
        <v>199</v>
      </c>
      <c r="D9" s="54"/>
      <c r="E9" s="5"/>
      <c r="F9" s="5"/>
      <c r="G9" s="5"/>
      <c r="K9" s="52"/>
      <c r="L9" s="50"/>
      <c r="M9" s="51"/>
      <c r="N9" s="51"/>
      <c r="S9" s="52"/>
      <c r="T9" s="50"/>
      <c r="U9" s="51"/>
    </row>
    <row r="10" spans="1:23" ht="15.75" customHeight="1">
      <c r="A10" s="48" t="s">
        <v>1795</v>
      </c>
      <c r="B10" s="49" t="s">
        <v>2844</v>
      </c>
      <c r="C10" s="51" t="s">
        <v>808</v>
      </c>
      <c r="D10" s="54"/>
      <c r="E10" s="5"/>
      <c r="F10" s="5"/>
      <c r="G10" s="5"/>
      <c r="K10" s="52"/>
      <c r="L10" s="50"/>
      <c r="M10" s="51"/>
      <c r="N10" s="5"/>
      <c r="S10" s="52"/>
      <c r="T10" s="50"/>
      <c r="U10" s="51"/>
    </row>
    <row r="11" spans="1:23" ht="15.75" customHeight="1">
      <c r="A11" s="48" t="s">
        <v>1797</v>
      </c>
      <c r="B11" s="49" t="s">
        <v>2845</v>
      </c>
      <c r="C11" s="51" t="s">
        <v>220</v>
      </c>
      <c r="D11" s="54"/>
      <c r="E11" s="5"/>
      <c r="F11" s="5"/>
      <c r="G11" s="5"/>
      <c r="K11" s="52"/>
      <c r="L11" s="50"/>
      <c r="M11" s="51"/>
      <c r="N11" s="51"/>
      <c r="S11" s="52"/>
      <c r="T11" s="50"/>
      <c r="U11" s="51"/>
    </row>
    <row r="12" spans="1:23" ht="15.75" customHeight="1">
      <c r="A12" s="48" t="s">
        <v>1798</v>
      </c>
      <c r="B12" s="49" t="s">
        <v>2846</v>
      </c>
      <c r="C12" s="51" t="s">
        <v>195</v>
      </c>
      <c r="D12" s="54"/>
      <c r="E12" s="5"/>
      <c r="F12" s="5"/>
      <c r="G12" s="5"/>
      <c r="K12" s="52"/>
      <c r="L12" s="50"/>
      <c r="M12" s="51"/>
      <c r="N12" s="51"/>
      <c r="S12" s="52"/>
      <c r="T12" s="50"/>
      <c r="U12" s="51"/>
    </row>
    <row r="13" spans="1:23" ht="15.75" customHeight="1">
      <c r="A13" s="48" t="s">
        <v>1800</v>
      </c>
      <c r="B13" s="49" t="s">
        <v>2847</v>
      </c>
      <c r="C13" s="51" t="s">
        <v>225</v>
      </c>
      <c r="D13" s="54"/>
      <c r="E13" s="5"/>
      <c r="F13" s="5"/>
      <c r="G13" s="5"/>
      <c r="K13" s="52"/>
      <c r="L13" s="50"/>
      <c r="M13" s="51"/>
      <c r="N13" s="5"/>
      <c r="S13" s="52"/>
      <c r="T13" s="50"/>
      <c r="U13" s="51"/>
    </row>
    <row r="14" spans="1:23" ht="15.75" customHeight="1">
      <c r="A14" s="48" t="s">
        <v>1801</v>
      </c>
      <c r="B14" s="49" t="s">
        <v>2848</v>
      </c>
      <c r="C14" s="51" t="s">
        <v>205</v>
      </c>
      <c r="D14" s="54"/>
      <c r="E14" s="5"/>
      <c r="F14" s="51"/>
      <c r="G14" s="5"/>
      <c r="K14" s="52"/>
      <c r="L14" s="50"/>
      <c r="M14" s="51"/>
      <c r="N14" s="51"/>
      <c r="S14" s="52"/>
      <c r="T14" s="50"/>
      <c r="U14" s="51"/>
    </row>
    <row r="15" spans="1:23" ht="15.75" customHeight="1">
      <c r="A15" s="48" t="s">
        <v>1803</v>
      </c>
      <c r="B15" s="49" t="s">
        <v>2849</v>
      </c>
      <c r="C15" s="51" t="s">
        <v>208</v>
      </c>
      <c r="D15" s="54"/>
      <c r="E15" s="5"/>
      <c r="F15" s="5"/>
      <c r="G15" s="5"/>
      <c r="K15" s="52"/>
      <c r="L15" s="50"/>
      <c r="M15" s="51"/>
      <c r="N15" s="51"/>
      <c r="S15" s="52"/>
      <c r="T15" s="50"/>
      <c r="U15" s="51"/>
    </row>
    <row r="16" spans="1:23" ht="15.75" customHeight="1">
      <c r="A16" s="48" t="s">
        <v>1805</v>
      </c>
      <c r="B16" s="49" t="s">
        <v>2850</v>
      </c>
      <c r="C16" s="51" t="s">
        <v>195</v>
      </c>
      <c r="D16" s="54"/>
      <c r="E16" s="5"/>
      <c r="F16" s="5"/>
      <c r="G16" s="5"/>
      <c r="K16" s="52"/>
      <c r="L16" s="50"/>
      <c r="M16" s="51"/>
      <c r="N16" s="51"/>
      <c r="S16" s="52"/>
      <c r="T16" s="50"/>
      <c r="U16" s="51"/>
    </row>
    <row r="17" spans="1:27" ht="15.75" customHeight="1">
      <c r="A17" s="48" t="s">
        <v>1807</v>
      </c>
      <c r="B17" s="49" t="s">
        <v>2851</v>
      </c>
      <c r="C17" s="51" t="s">
        <v>199</v>
      </c>
      <c r="D17" s="54"/>
      <c r="E17" s="5"/>
      <c r="F17" s="5"/>
      <c r="G17" s="5"/>
      <c r="K17" s="52"/>
      <c r="L17" s="50"/>
      <c r="M17" s="51"/>
      <c r="N17" s="51"/>
      <c r="S17" s="52"/>
      <c r="T17" s="50"/>
      <c r="U17" s="51"/>
    </row>
    <row r="18" spans="1:27" ht="15.75" customHeight="1">
      <c r="A18" s="48" t="s">
        <v>1808</v>
      </c>
      <c r="B18" s="49" t="s">
        <v>2852</v>
      </c>
      <c r="C18" s="51" t="s">
        <v>225</v>
      </c>
      <c r="D18" s="51"/>
      <c r="E18" s="5"/>
      <c r="F18" s="5"/>
      <c r="G18" s="5"/>
      <c r="M18" s="5"/>
      <c r="N18" s="5"/>
      <c r="U18" s="5"/>
      <c r="AA18" s="5"/>
    </row>
    <row r="19" spans="1:27" ht="15.75" customHeight="1">
      <c r="A19" s="48" t="s">
        <v>1809</v>
      </c>
      <c r="B19" s="49" t="s">
        <v>2853</v>
      </c>
      <c r="C19" s="51" t="s">
        <v>197</v>
      </c>
      <c r="D19" s="54"/>
      <c r="E19" s="5"/>
      <c r="F19" s="5"/>
      <c r="G19" s="5"/>
      <c r="K19" s="1"/>
      <c r="M19" s="5"/>
      <c r="N19" s="5"/>
      <c r="U19" s="5"/>
      <c r="AA19" s="5"/>
    </row>
    <row r="20" spans="1:27" ht="15.75" customHeight="1">
      <c r="A20" s="48" t="s">
        <v>1811</v>
      </c>
      <c r="B20" s="49" t="s">
        <v>2854</v>
      </c>
      <c r="C20" s="51" t="s">
        <v>192</v>
      </c>
      <c r="D20" s="51"/>
      <c r="E20" s="5"/>
      <c r="F20" s="51"/>
      <c r="G20" s="5"/>
      <c r="L20" s="40"/>
      <c r="M20" s="5"/>
      <c r="N20" s="5"/>
      <c r="AA20" s="5"/>
    </row>
    <row r="21" spans="1:27" ht="15.75" customHeight="1">
      <c r="A21" s="48" t="s">
        <v>1812</v>
      </c>
      <c r="B21" s="49" t="s">
        <v>2855</v>
      </c>
      <c r="C21" s="51" t="s">
        <v>199</v>
      </c>
      <c r="D21" s="54"/>
      <c r="E21" s="5"/>
      <c r="F21" s="5"/>
      <c r="G21" s="5"/>
      <c r="M21" s="5"/>
      <c r="N21" s="5"/>
      <c r="AA21" s="5"/>
    </row>
    <row r="22" spans="1:27" ht="15.75" customHeight="1">
      <c r="A22" s="48" t="s">
        <v>1813</v>
      </c>
      <c r="B22" s="49" t="s">
        <v>2856</v>
      </c>
      <c r="C22" s="51" t="s">
        <v>220</v>
      </c>
      <c r="D22" s="54"/>
      <c r="E22" s="5"/>
      <c r="F22" s="5"/>
      <c r="G22" s="5"/>
      <c r="K22" s="42"/>
      <c r="L22" s="45"/>
      <c r="M22" s="46"/>
      <c r="N22" s="47"/>
      <c r="AA22" s="5"/>
    </row>
    <row r="23" spans="1:27" ht="15.75" customHeight="1">
      <c r="A23" s="48" t="s">
        <v>1815</v>
      </c>
      <c r="B23" s="49" t="s">
        <v>2857</v>
      </c>
      <c r="C23" s="51" t="s">
        <v>195</v>
      </c>
      <c r="D23" s="54"/>
      <c r="E23" s="5"/>
      <c r="F23" s="5"/>
      <c r="G23" s="5"/>
      <c r="K23" s="42"/>
      <c r="L23" s="43"/>
      <c r="M23" s="43"/>
      <c r="N23" s="42"/>
      <c r="O23" s="44"/>
      <c r="AA23" s="5"/>
    </row>
    <row r="24" spans="1:27" ht="15.75" customHeight="1">
      <c r="A24" s="48" t="s">
        <v>1817</v>
      </c>
      <c r="B24" s="49" t="s">
        <v>2858</v>
      </c>
      <c r="C24" s="51" t="s">
        <v>192</v>
      </c>
      <c r="D24" s="51"/>
      <c r="E24" s="5"/>
      <c r="F24" s="51"/>
      <c r="G24" s="5"/>
      <c r="K24" s="52"/>
      <c r="L24" s="50"/>
      <c r="M24" s="51"/>
      <c r="N24" s="5"/>
      <c r="AA24" s="5"/>
    </row>
    <row r="25" spans="1:27" ht="15.75" customHeight="1">
      <c r="A25" s="48" t="s">
        <v>1819</v>
      </c>
      <c r="B25" s="49" t="s">
        <v>2859</v>
      </c>
      <c r="C25" s="51" t="s">
        <v>205</v>
      </c>
      <c r="D25" s="54"/>
      <c r="E25" s="5"/>
      <c r="F25" s="5"/>
      <c r="G25" s="5"/>
      <c r="K25" s="52"/>
      <c r="L25" s="50"/>
      <c r="M25" s="51"/>
      <c r="N25" s="5"/>
      <c r="AA25" s="5"/>
    </row>
    <row r="26" spans="1:27" ht="15.75" customHeight="1">
      <c r="A26" s="48" t="s">
        <v>1820</v>
      </c>
      <c r="B26" s="49" t="s">
        <v>2792</v>
      </c>
      <c r="C26" s="51" t="s">
        <v>225</v>
      </c>
      <c r="D26" s="51"/>
      <c r="E26" s="5"/>
      <c r="F26" s="51"/>
      <c r="G26" s="5"/>
      <c r="K26" s="52"/>
      <c r="L26" s="50"/>
      <c r="M26" s="51"/>
      <c r="N26" s="51"/>
      <c r="AA26" s="5"/>
    </row>
    <row r="27" spans="1:27" ht="15.75" customHeight="1">
      <c r="A27" s="48" t="s">
        <v>1821</v>
      </c>
      <c r="B27" s="49" t="s">
        <v>2860</v>
      </c>
      <c r="C27" s="51" t="s">
        <v>220</v>
      </c>
      <c r="D27" s="51"/>
      <c r="E27" s="5"/>
      <c r="F27" s="51"/>
      <c r="G27" s="5"/>
      <c r="K27" s="52"/>
      <c r="L27" s="50"/>
      <c r="M27" s="51"/>
      <c r="N27" s="51"/>
      <c r="AA27" s="5"/>
    </row>
    <row r="28" spans="1:27" ht="15.75" customHeight="1">
      <c r="A28" s="48" t="s">
        <v>1823</v>
      </c>
      <c r="B28" s="49" t="s">
        <v>2794</v>
      </c>
      <c r="C28" s="51" t="s">
        <v>195</v>
      </c>
      <c r="D28" s="54"/>
      <c r="E28" s="5"/>
      <c r="F28" s="5"/>
      <c r="G28" s="5"/>
      <c r="J28" s="5"/>
      <c r="K28" s="52"/>
      <c r="L28" s="50"/>
      <c r="M28" s="51"/>
      <c r="N28" s="5"/>
      <c r="P28" s="5"/>
    </row>
    <row r="29" spans="1:27" ht="15.75" customHeight="1">
      <c r="A29" s="48" t="s">
        <v>1825</v>
      </c>
      <c r="B29" s="49" t="s">
        <v>2861</v>
      </c>
      <c r="C29" s="51" t="s">
        <v>808</v>
      </c>
      <c r="D29" s="54"/>
      <c r="E29" s="5"/>
      <c r="F29" s="5"/>
      <c r="G29" s="5"/>
      <c r="J29" s="5"/>
      <c r="K29" s="52"/>
      <c r="L29" s="50"/>
      <c r="M29" s="51"/>
      <c r="N29" s="51"/>
      <c r="P29" s="5"/>
    </row>
    <row r="30" spans="1:27" ht="15.75" customHeight="1">
      <c r="A30" s="48" t="s">
        <v>1827</v>
      </c>
      <c r="B30" s="49" t="s">
        <v>2862</v>
      </c>
      <c r="C30" s="51" t="s">
        <v>225</v>
      </c>
      <c r="D30" s="51"/>
      <c r="E30" s="5"/>
      <c r="F30" s="5"/>
      <c r="G30" s="5"/>
      <c r="J30" s="5"/>
      <c r="K30" s="52"/>
      <c r="L30" s="50"/>
      <c r="M30" s="51"/>
      <c r="N30" s="5"/>
      <c r="P30" s="5"/>
    </row>
    <row r="31" spans="1:27" ht="15.75" customHeight="1">
      <c r="A31" s="48" t="s">
        <v>1829</v>
      </c>
      <c r="B31" s="49" t="s">
        <v>2863</v>
      </c>
      <c r="C31" s="51" t="s">
        <v>192</v>
      </c>
      <c r="D31" s="51"/>
      <c r="E31" s="5"/>
      <c r="F31" s="5"/>
      <c r="G31" s="5"/>
      <c r="J31" s="5"/>
      <c r="K31" s="52"/>
      <c r="L31" s="50"/>
      <c r="M31" s="51"/>
      <c r="N31" s="51"/>
      <c r="P31" s="5"/>
    </row>
    <row r="32" spans="1:27" ht="15.75" customHeight="1">
      <c r="A32" s="48" t="s">
        <v>1831</v>
      </c>
      <c r="B32" s="49" t="s">
        <v>2558</v>
      </c>
      <c r="C32" s="51" t="s">
        <v>205</v>
      </c>
      <c r="D32" s="54"/>
      <c r="E32" s="5"/>
      <c r="F32" s="5"/>
      <c r="G32" s="5"/>
      <c r="J32" s="5"/>
      <c r="K32" s="52"/>
      <c r="L32" s="50"/>
      <c r="M32" s="51"/>
      <c r="N32" s="5"/>
      <c r="P32" s="5"/>
    </row>
    <row r="33" spans="1:16" ht="15.75" customHeight="1">
      <c r="A33" s="48" t="s">
        <v>1832</v>
      </c>
      <c r="B33" s="49" t="s">
        <v>2864</v>
      </c>
      <c r="C33" s="51" t="s">
        <v>225</v>
      </c>
      <c r="D33" s="54"/>
      <c r="E33" s="5"/>
      <c r="F33" s="5"/>
      <c r="G33" s="5"/>
      <c r="J33" s="5"/>
      <c r="K33" s="52"/>
      <c r="L33" s="50"/>
      <c r="M33" s="51"/>
      <c r="N33" s="5"/>
      <c r="P33" s="5"/>
    </row>
    <row r="34" spans="1:16" ht="15.75" customHeight="1">
      <c r="A34" s="48" t="s">
        <v>1833</v>
      </c>
      <c r="B34" s="49" t="s">
        <v>2865</v>
      </c>
      <c r="C34" s="51" t="s">
        <v>197</v>
      </c>
      <c r="D34" s="54"/>
      <c r="E34" s="5"/>
      <c r="F34" s="5"/>
      <c r="G34" s="5"/>
      <c r="J34" s="5"/>
      <c r="K34" s="52"/>
      <c r="L34" s="50"/>
      <c r="M34" s="51"/>
      <c r="N34" s="5"/>
      <c r="P34" s="5"/>
    </row>
    <row r="35" spans="1:16" ht="15.75" customHeight="1">
      <c r="A35" s="48" t="s">
        <v>1835</v>
      </c>
      <c r="B35" s="49" t="s">
        <v>2798</v>
      </c>
      <c r="C35" s="51" t="s">
        <v>225</v>
      </c>
      <c r="D35" s="51"/>
      <c r="E35" s="5"/>
      <c r="F35" s="5"/>
      <c r="G35" s="5"/>
      <c r="J35" s="5"/>
      <c r="K35" s="52"/>
      <c r="L35" s="50"/>
      <c r="M35" s="51"/>
      <c r="N35" s="51"/>
      <c r="P35" s="5"/>
    </row>
    <row r="36" spans="1:16" ht="15.75" customHeight="1">
      <c r="A36" s="48" t="s">
        <v>1836</v>
      </c>
      <c r="B36" s="49" t="s">
        <v>1262</v>
      </c>
      <c r="C36" s="51" t="s">
        <v>195</v>
      </c>
      <c r="D36" s="54"/>
      <c r="E36" s="5"/>
      <c r="F36" s="5"/>
      <c r="G36" s="5"/>
      <c r="J36" s="5"/>
      <c r="M36" s="5"/>
      <c r="N36" s="5"/>
      <c r="P36" s="5"/>
    </row>
    <row r="37" spans="1:16" ht="15.75" customHeight="1">
      <c r="A37" s="48" t="s">
        <v>1837</v>
      </c>
      <c r="B37" s="49" t="s">
        <v>2866</v>
      </c>
      <c r="C37" s="51" t="s">
        <v>199</v>
      </c>
      <c r="D37" s="54"/>
      <c r="E37" s="5"/>
      <c r="F37" s="5"/>
      <c r="G37" s="5"/>
      <c r="J37" s="5"/>
      <c r="M37" s="5"/>
      <c r="N37" s="5"/>
    </row>
    <row r="38" spans="1:16" ht="15.75" customHeight="1">
      <c r="A38" s="48" t="s">
        <v>1838</v>
      </c>
      <c r="B38" s="49" t="s">
        <v>2867</v>
      </c>
      <c r="C38" s="51" t="s">
        <v>220</v>
      </c>
      <c r="D38" s="54"/>
      <c r="E38" s="5"/>
      <c r="F38" s="5"/>
      <c r="G38" s="5"/>
      <c r="J38" s="5"/>
      <c r="M38" s="51"/>
      <c r="N38" s="51"/>
    </row>
    <row r="39" spans="1:16" ht="15.75" customHeight="1">
      <c r="A39" s="48" t="s">
        <v>1840</v>
      </c>
      <c r="B39" s="49" t="s">
        <v>2868</v>
      </c>
      <c r="C39" s="51" t="s">
        <v>808</v>
      </c>
      <c r="D39" s="54"/>
      <c r="E39" s="5"/>
      <c r="F39" s="5"/>
      <c r="G39" s="5"/>
      <c r="J39" s="5"/>
      <c r="M39" s="51"/>
      <c r="N39" s="51"/>
    </row>
    <row r="40" spans="1:16" ht="15.75" customHeight="1">
      <c r="A40" s="48" t="s">
        <v>1841</v>
      </c>
      <c r="B40" s="49" t="s">
        <v>2869</v>
      </c>
      <c r="C40" s="51" t="s">
        <v>195</v>
      </c>
      <c r="D40" s="54"/>
      <c r="E40" s="5"/>
      <c r="F40" s="5"/>
      <c r="G40" s="5"/>
      <c r="J40" s="5"/>
      <c r="M40" s="51"/>
      <c r="N40" s="51"/>
    </row>
    <row r="41" spans="1:16" ht="15.75" customHeight="1">
      <c r="A41" s="48" t="s">
        <v>1842</v>
      </c>
      <c r="B41" s="49" t="s">
        <v>2792</v>
      </c>
      <c r="C41" s="51" t="s">
        <v>225</v>
      </c>
      <c r="D41" s="54"/>
      <c r="E41" s="5"/>
      <c r="F41" s="5"/>
      <c r="G41" s="5"/>
      <c r="J41" s="5"/>
      <c r="M41" s="51"/>
      <c r="N41" s="51"/>
    </row>
    <row r="42" spans="1:16" ht="15.75" customHeight="1">
      <c r="A42" s="48" t="s">
        <v>1843</v>
      </c>
      <c r="B42" s="49" t="s">
        <v>2573</v>
      </c>
      <c r="C42" s="51" t="s">
        <v>208</v>
      </c>
      <c r="D42" s="54"/>
      <c r="E42" s="5"/>
      <c r="F42" s="5"/>
      <c r="G42" s="5"/>
      <c r="J42" s="5"/>
      <c r="M42" s="51"/>
      <c r="N42" s="51"/>
    </row>
    <row r="43" spans="1:16" ht="15.75" customHeight="1">
      <c r="A43" s="48" t="s">
        <v>1844</v>
      </c>
      <c r="B43" s="49" t="s">
        <v>2870</v>
      </c>
      <c r="C43" s="51" t="s">
        <v>195</v>
      </c>
      <c r="D43" s="54"/>
      <c r="E43" s="5"/>
      <c r="F43" s="5"/>
      <c r="G43" s="5"/>
      <c r="J43" s="5"/>
      <c r="M43" s="51"/>
      <c r="N43" s="51"/>
    </row>
    <row r="44" spans="1:16" ht="15.75" customHeight="1">
      <c r="A44" s="48" t="s">
        <v>1846</v>
      </c>
      <c r="B44" s="49" t="s">
        <v>2871</v>
      </c>
      <c r="C44" s="51" t="s">
        <v>199</v>
      </c>
      <c r="D44" s="51"/>
      <c r="E44" s="5"/>
      <c r="F44" s="5"/>
      <c r="G44" s="5"/>
      <c r="J44" s="5"/>
      <c r="M44" s="51"/>
      <c r="N44" s="51"/>
    </row>
    <row r="45" spans="1:16" ht="15.75" customHeight="1">
      <c r="A45" s="48" t="s">
        <v>1848</v>
      </c>
      <c r="B45" s="49" t="s">
        <v>2872</v>
      </c>
      <c r="C45" s="51" t="s">
        <v>208</v>
      </c>
      <c r="D45" s="54"/>
      <c r="E45" s="5"/>
      <c r="F45" s="5"/>
      <c r="G45" s="5"/>
      <c r="J45" s="5"/>
      <c r="M45" s="51"/>
      <c r="N45" s="51"/>
      <c r="P45" s="5"/>
    </row>
    <row r="46" spans="1:16" ht="15.75" customHeight="1">
      <c r="A46" s="48" t="s">
        <v>1849</v>
      </c>
      <c r="B46" s="49" t="s">
        <v>2794</v>
      </c>
      <c r="C46" s="51" t="s">
        <v>195</v>
      </c>
      <c r="D46" s="54"/>
      <c r="E46" s="5"/>
      <c r="F46" s="5"/>
      <c r="G46" s="5"/>
      <c r="J46" s="5"/>
      <c r="M46" s="51"/>
      <c r="N46" s="51"/>
      <c r="P46" s="5"/>
    </row>
    <row r="47" spans="1:16" ht="15.75" customHeight="1">
      <c r="A47" s="48" t="s">
        <v>1850</v>
      </c>
      <c r="B47" s="49" t="s">
        <v>2578</v>
      </c>
      <c r="C47" s="51" t="s">
        <v>208</v>
      </c>
      <c r="D47" s="51"/>
      <c r="E47" s="5"/>
      <c r="F47" s="5"/>
      <c r="G47" s="5"/>
      <c r="J47" s="5"/>
      <c r="M47" s="5"/>
      <c r="N47" s="5"/>
      <c r="P47" s="5"/>
    </row>
    <row r="48" spans="1:16" ht="15.75" customHeight="1">
      <c r="A48" s="48" t="s">
        <v>1851</v>
      </c>
      <c r="B48" s="49" t="s">
        <v>2873</v>
      </c>
      <c r="C48" s="51" t="s">
        <v>225</v>
      </c>
      <c r="D48" s="54"/>
      <c r="E48" s="5"/>
      <c r="F48" s="5"/>
      <c r="G48" s="5"/>
      <c r="J48" s="5"/>
      <c r="M48" s="5"/>
      <c r="N48" s="5"/>
      <c r="P48" s="5"/>
    </row>
    <row r="49" spans="1:16" ht="15.75" customHeight="1">
      <c r="A49" s="48" t="s">
        <v>1852</v>
      </c>
      <c r="B49" s="49" t="s">
        <v>2874</v>
      </c>
      <c r="C49" s="51" t="s">
        <v>195</v>
      </c>
      <c r="D49" s="54"/>
      <c r="E49" s="5"/>
      <c r="F49" s="5"/>
      <c r="G49" s="5"/>
      <c r="J49" s="5"/>
      <c r="M49" s="5"/>
      <c r="N49" s="5"/>
      <c r="P49" s="5"/>
    </row>
    <row r="50" spans="1:16" ht="15.75" customHeight="1">
      <c r="A50" s="48" t="s">
        <v>1853</v>
      </c>
      <c r="B50" s="49" t="s">
        <v>2589</v>
      </c>
      <c r="C50" s="51" t="s">
        <v>205</v>
      </c>
      <c r="D50" s="51"/>
      <c r="E50" s="5"/>
      <c r="F50" s="5"/>
      <c r="G50" s="5"/>
      <c r="J50" s="5"/>
      <c r="M50" s="5"/>
      <c r="N50" s="5"/>
      <c r="P50" s="5"/>
    </row>
    <row r="51" spans="1:16" ht="15.75" customHeight="1">
      <c r="A51" s="48" t="s">
        <v>1854</v>
      </c>
      <c r="B51" s="49" t="s">
        <v>2875</v>
      </c>
      <c r="C51" s="51" t="s">
        <v>199</v>
      </c>
      <c r="D51" s="51"/>
      <c r="E51" s="5"/>
      <c r="F51" s="5"/>
      <c r="G51" s="5"/>
      <c r="J51" s="5"/>
      <c r="M51" s="5"/>
      <c r="N51" s="5"/>
      <c r="P51" s="5"/>
    </row>
    <row r="52" spans="1:16" ht="15.75" customHeight="1">
      <c r="A52" s="48" t="s">
        <v>1856</v>
      </c>
      <c r="B52" s="49" t="s">
        <v>2876</v>
      </c>
      <c r="C52" s="51" t="s">
        <v>225</v>
      </c>
      <c r="D52" s="54"/>
      <c r="E52" s="5"/>
      <c r="F52" s="5"/>
      <c r="G52" s="5"/>
      <c r="J52" s="5"/>
      <c r="M52" s="5"/>
      <c r="N52" s="5"/>
      <c r="P52" s="5"/>
    </row>
    <row r="53" spans="1:16" ht="13">
      <c r="A53" s="48" t="s">
        <v>1858</v>
      </c>
      <c r="B53" s="49" t="s">
        <v>2877</v>
      </c>
      <c r="C53" s="51" t="s">
        <v>199</v>
      </c>
      <c r="D53" s="51"/>
      <c r="E53" s="5"/>
      <c r="F53" s="5"/>
      <c r="G53" s="5"/>
      <c r="J53" s="5"/>
      <c r="M53" s="5"/>
      <c r="N53" s="5"/>
      <c r="P53" s="5"/>
    </row>
    <row r="54" spans="1:16" ht="13">
      <c r="A54" s="48" t="s">
        <v>1859</v>
      </c>
      <c r="B54" s="49" t="s">
        <v>2798</v>
      </c>
      <c r="C54" s="51" t="s">
        <v>225</v>
      </c>
      <c r="D54" s="51"/>
      <c r="E54" s="5"/>
      <c r="F54" s="5"/>
      <c r="G54" s="5"/>
      <c r="J54" s="5"/>
      <c r="M54" s="5"/>
      <c r="N54" s="5"/>
      <c r="P54" s="5"/>
    </row>
    <row r="55" spans="1:16" ht="13">
      <c r="A55" s="48" t="s">
        <v>1861</v>
      </c>
      <c r="B55" s="49" t="s">
        <v>955</v>
      </c>
      <c r="C55" s="51" t="s">
        <v>225</v>
      </c>
      <c r="D55" s="51"/>
      <c r="E55" s="5"/>
      <c r="F55" s="5"/>
      <c r="G55" s="5"/>
      <c r="J55" s="5"/>
      <c r="M55" s="5"/>
      <c r="N55" s="5"/>
      <c r="P55" s="5"/>
    </row>
    <row r="56" spans="1:16" ht="13">
      <c r="A56" s="48" t="s">
        <v>1862</v>
      </c>
      <c r="B56" s="49" t="s">
        <v>2601</v>
      </c>
      <c r="C56" s="51" t="s">
        <v>192</v>
      </c>
      <c r="D56" s="51"/>
      <c r="E56" s="5"/>
      <c r="F56" s="5"/>
      <c r="G56" s="5"/>
      <c r="J56" s="5"/>
      <c r="M56" s="5"/>
      <c r="N56" s="5"/>
      <c r="P56" s="5"/>
    </row>
    <row r="57" spans="1:16" ht="13">
      <c r="A57" s="48" t="s">
        <v>1863</v>
      </c>
      <c r="B57" s="49" t="s">
        <v>2878</v>
      </c>
      <c r="C57" s="51" t="s">
        <v>220</v>
      </c>
      <c r="D57" s="54"/>
      <c r="E57" s="5"/>
      <c r="F57" s="5"/>
      <c r="G57" s="5"/>
      <c r="J57" s="5"/>
      <c r="M57" s="5"/>
      <c r="N57" s="5"/>
      <c r="P57" s="5"/>
    </row>
    <row r="58" spans="1:16" ht="13">
      <c r="A58" s="48" t="s">
        <v>1864</v>
      </c>
      <c r="B58" s="49" t="s">
        <v>2879</v>
      </c>
      <c r="C58" s="51" t="s">
        <v>197</v>
      </c>
      <c r="D58" s="51"/>
      <c r="E58" s="5"/>
      <c r="F58" s="5"/>
      <c r="G58" s="5"/>
      <c r="J58" s="5"/>
      <c r="M58" s="5"/>
      <c r="N58" s="5"/>
      <c r="P58" s="5"/>
    </row>
    <row r="59" spans="1:16" ht="13">
      <c r="A59" s="48" t="s">
        <v>1865</v>
      </c>
      <c r="B59" s="49" t="s">
        <v>2880</v>
      </c>
      <c r="C59" s="51" t="s">
        <v>808</v>
      </c>
      <c r="D59" s="51"/>
      <c r="E59" s="5"/>
      <c r="F59" s="5"/>
      <c r="G59" s="5"/>
      <c r="J59" s="5"/>
      <c r="M59" s="5"/>
      <c r="N59" s="5"/>
      <c r="P59" s="5"/>
    </row>
    <row r="60" spans="1:16" ht="13">
      <c r="A60" s="48" t="s">
        <v>1866</v>
      </c>
      <c r="B60" s="49" t="s">
        <v>2881</v>
      </c>
      <c r="C60" s="51" t="s">
        <v>220</v>
      </c>
      <c r="D60" s="54"/>
      <c r="E60" s="5"/>
      <c r="F60" s="5"/>
      <c r="G60" s="5"/>
      <c r="J60" s="5"/>
      <c r="M60" s="5"/>
      <c r="N60" s="5"/>
      <c r="P60" s="5"/>
    </row>
    <row r="61" spans="1:16" ht="13">
      <c r="A61" s="48" t="s">
        <v>1867</v>
      </c>
      <c r="B61" s="49" t="s">
        <v>2882</v>
      </c>
      <c r="C61" s="51" t="s">
        <v>808</v>
      </c>
      <c r="D61" s="54"/>
      <c r="E61" s="5"/>
      <c r="F61" s="5"/>
      <c r="G61" s="5"/>
      <c r="J61" s="5"/>
      <c r="M61" s="5"/>
      <c r="N61" s="5"/>
      <c r="P61" s="5"/>
    </row>
    <row r="62" spans="1:16" ht="13">
      <c r="A62" s="48" t="s">
        <v>1868</v>
      </c>
      <c r="B62" s="49" t="s">
        <v>948</v>
      </c>
      <c r="C62" s="51" t="s">
        <v>225</v>
      </c>
      <c r="D62" s="54"/>
      <c r="E62" s="5"/>
      <c r="F62" s="5"/>
      <c r="G62" s="5"/>
      <c r="J62" s="5"/>
      <c r="M62" s="5"/>
      <c r="N62" s="5"/>
      <c r="P62" s="5"/>
    </row>
    <row r="63" spans="1:16" ht="13">
      <c r="A63" s="48" t="s">
        <v>1870</v>
      </c>
      <c r="B63" s="49" t="s">
        <v>2570</v>
      </c>
      <c r="C63" s="51" t="s">
        <v>192</v>
      </c>
      <c r="D63" s="51"/>
      <c r="E63" s="5"/>
      <c r="F63" s="5"/>
      <c r="G63" s="5"/>
      <c r="J63" s="5"/>
      <c r="M63" s="5"/>
      <c r="N63" s="5"/>
      <c r="P63" s="5"/>
    </row>
    <row r="64" spans="1:16" ht="13">
      <c r="A64" s="48" t="s">
        <v>1871</v>
      </c>
      <c r="B64" s="49" t="s">
        <v>1307</v>
      </c>
      <c r="C64" s="51" t="s">
        <v>195</v>
      </c>
      <c r="D64" s="54"/>
      <c r="E64" s="5"/>
      <c r="F64" s="5"/>
      <c r="G64" s="5"/>
      <c r="J64" s="5"/>
      <c r="M64" s="5"/>
      <c r="N64" s="5"/>
      <c r="P64" s="5"/>
    </row>
    <row r="65" spans="1:16" ht="13">
      <c r="A65" s="48" t="s">
        <v>1872</v>
      </c>
      <c r="B65" s="49" t="s">
        <v>2883</v>
      </c>
      <c r="C65" s="51" t="s">
        <v>199</v>
      </c>
      <c r="D65" s="54"/>
      <c r="E65" s="5"/>
      <c r="F65" s="5"/>
      <c r="G65" s="5"/>
      <c r="J65" s="5"/>
      <c r="M65" s="5"/>
      <c r="N65" s="5"/>
      <c r="P65" s="5"/>
    </row>
    <row r="66" spans="1:16" ht="13">
      <c r="A66" s="48" t="s">
        <v>1874</v>
      </c>
      <c r="B66" s="49" t="s">
        <v>2884</v>
      </c>
      <c r="C66" s="51" t="s">
        <v>197</v>
      </c>
      <c r="D66" s="51"/>
      <c r="E66" s="5"/>
      <c r="F66" s="5"/>
      <c r="G66" s="5"/>
      <c r="J66" s="5"/>
      <c r="M66" s="5"/>
      <c r="N66" s="5"/>
      <c r="P66" s="5"/>
    </row>
    <row r="67" spans="1:16" ht="13">
      <c r="A67" s="48" t="s">
        <v>1876</v>
      </c>
      <c r="B67" s="49" t="s">
        <v>2885</v>
      </c>
      <c r="C67" s="51" t="s">
        <v>225</v>
      </c>
      <c r="D67" s="51"/>
      <c r="E67" s="5"/>
      <c r="F67" s="5"/>
      <c r="G67" s="5"/>
      <c r="J67" s="5"/>
      <c r="M67" s="5"/>
      <c r="N67" s="5"/>
      <c r="P67" s="5"/>
    </row>
    <row r="68" spans="1:16" ht="13">
      <c r="A68" s="48" t="s">
        <v>1877</v>
      </c>
      <c r="B68" s="49" t="s">
        <v>2886</v>
      </c>
      <c r="C68" s="51" t="s">
        <v>199</v>
      </c>
      <c r="D68" s="54"/>
      <c r="E68" s="5"/>
      <c r="F68" s="5"/>
      <c r="G68" s="5"/>
      <c r="J68" s="5"/>
      <c r="M68" s="5"/>
      <c r="N68" s="5"/>
      <c r="P68" s="5"/>
    </row>
    <row r="69" spans="1:16" ht="13">
      <c r="A69" s="48" t="s">
        <v>1878</v>
      </c>
      <c r="B69" s="49" t="s">
        <v>2887</v>
      </c>
      <c r="C69" s="51" t="s">
        <v>208</v>
      </c>
      <c r="D69" s="54"/>
      <c r="E69" s="5"/>
      <c r="F69" s="5"/>
      <c r="G69" s="5"/>
      <c r="J69" s="5"/>
      <c r="M69" s="5"/>
      <c r="N69" s="5"/>
      <c r="P69" s="5"/>
    </row>
    <row r="70" spans="1:16" ht="13">
      <c r="A70" s="48" t="s">
        <v>1879</v>
      </c>
      <c r="B70" s="49" t="s">
        <v>2888</v>
      </c>
      <c r="C70" s="51" t="s">
        <v>199</v>
      </c>
      <c r="D70" s="51"/>
      <c r="E70" s="5"/>
      <c r="F70" s="5"/>
      <c r="G70" s="5"/>
      <c r="J70" s="5"/>
      <c r="M70" s="5"/>
      <c r="N70" s="5"/>
      <c r="P70" s="5"/>
    </row>
    <row r="71" spans="1:16" ht="13">
      <c r="A71" s="48" t="s">
        <v>1880</v>
      </c>
      <c r="B71" s="49" t="s">
        <v>2889</v>
      </c>
      <c r="C71" s="51" t="s">
        <v>192</v>
      </c>
      <c r="D71" s="51"/>
      <c r="J71" s="5"/>
      <c r="M71" s="5"/>
      <c r="N71" s="5"/>
      <c r="P71" s="5"/>
    </row>
    <row r="72" spans="1:16" ht="13">
      <c r="A72" s="48" t="s">
        <v>1881</v>
      </c>
      <c r="B72" s="49" t="s">
        <v>2809</v>
      </c>
      <c r="C72" s="51" t="s">
        <v>195</v>
      </c>
      <c r="D72" s="51"/>
      <c r="E72" s="5"/>
      <c r="F72" s="5"/>
      <c r="G72" s="5"/>
      <c r="J72" s="5"/>
      <c r="M72" s="5"/>
      <c r="N72" s="5"/>
      <c r="P72" s="5"/>
    </row>
    <row r="73" spans="1:16" ht="13">
      <c r="A73" s="48" t="s">
        <v>1882</v>
      </c>
      <c r="B73" s="49" t="s">
        <v>2809</v>
      </c>
      <c r="C73" s="51" t="s">
        <v>195</v>
      </c>
      <c r="D73" s="54"/>
      <c r="E73" s="5"/>
      <c r="F73" s="51"/>
      <c r="G73" s="5"/>
      <c r="J73" s="5"/>
      <c r="M73" s="5"/>
      <c r="N73" s="5"/>
      <c r="P73" s="5"/>
    </row>
    <row r="74" spans="1:16" ht="13">
      <c r="A74" s="48" t="s">
        <v>1883</v>
      </c>
      <c r="B74" s="49" t="s">
        <v>2890</v>
      </c>
      <c r="C74" s="51" t="s">
        <v>195</v>
      </c>
      <c r="D74" s="51"/>
      <c r="E74" s="5"/>
      <c r="F74" s="5"/>
      <c r="G74" s="5"/>
      <c r="J74" s="5"/>
      <c r="M74" s="5"/>
      <c r="N74" s="5"/>
      <c r="P74" s="5"/>
    </row>
    <row r="75" spans="1:16" ht="13">
      <c r="A75" s="48" t="s">
        <v>1884</v>
      </c>
      <c r="B75" s="49" t="s">
        <v>2891</v>
      </c>
      <c r="C75" s="51" t="s">
        <v>205</v>
      </c>
      <c r="D75" s="51"/>
      <c r="E75" s="5"/>
      <c r="F75" s="5"/>
      <c r="G75" s="5"/>
      <c r="J75" s="5"/>
      <c r="M75" s="5"/>
      <c r="N75" s="5"/>
      <c r="P75" s="5"/>
    </row>
    <row r="76" spans="1:16" ht="13">
      <c r="A76" s="48" t="s">
        <v>1885</v>
      </c>
      <c r="B76" s="49" t="s">
        <v>1596</v>
      </c>
      <c r="C76" s="51" t="s">
        <v>912</v>
      </c>
      <c r="D76" s="51"/>
      <c r="E76" s="5"/>
      <c r="F76" s="5"/>
      <c r="G76" s="5"/>
      <c r="J76" s="5"/>
      <c r="M76" s="5"/>
      <c r="N76" s="5"/>
      <c r="P76" s="5"/>
    </row>
    <row r="77" spans="1:16" ht="13">
      <c r="A77" s="48" t="s">
        <v>1886</v>
      </c>
      <c r="B77" s="49" t="s">
        <v>1014</v>
      </c>
      <c r="C77" s="51" t="s">
        <v>1013</v>
      </c>
      <c r="D77" s="51"/>
      <c r="E77" s="5"/>
      <c r="F77" s="5"/>
      <c r="G77" s="5"/>
      <c r="J77" s="5"/>
      <c r="M77" s="5"/>
      <c r="N77" s="5"/>
      <c r="P77" s="5"/>
    </row>
    <row r="78" spans="1:16" ht="13">
      <c r="A78" s="48" t="s">
        <v>1887</v>
      </c>
      <c r="B78" s="49" t="s">
        <v>2892</v>
      </c>
      <c r="C78" s="51" t="s">
        <v>229</v>
      </c>
      <c r="D78" s="54"/>
      <c r="E78" s="5"/>
      <c r="F78" s="5"/>
      <c r="G78" s="5"/>
      <c r="J78" s="5"/>
      <c r="M78" s="5"/>
      <c r="N78" s="5"/>
      <c r="P78" s="5"/>
    </row>
    <row r="79" spans="1:16" ht="13">
      <c r="A79" s="48" t="s">
        <v>1889</v>
      </c>
      <c r="B79" s="49" t="s">
        <v>2624</v>
      </c>
      <c r="C79" s="51" t="s">
        <v>1013</v>
      </c>
      <c r="D79" s="54"/>
      <c r="E79" s="5"/>
      <c r="F79" s="5"/>
      <c r="G79" s="5"/>
      <c r="J79" s="5"/>
      <c r="M79" s="5"/>
      <c r="N79" s="5"/>
      <c r="P79" s="5"/>
    </row>
    <row r="80" spans="1:16" ht="13">
      <c r="A80" s="48" t="s">
        <v>1890</v>
      </c>
      <c r="B80" s="49" t="s">
        <v>2893</v>
      </c>
      <c r="C80" s="51" t="s">
        <v>1013</v>
      </c>
      <c r="D80" s="54"/>
      <c r="E80" s="5"/>
      <c r="F80" s="5"/>
      <c r="G80" s="5"/>
      <c r="J80" s="5"/>
      <c r="M80" s="5"/>
      <c r="N80" s="5"/>
      <c r="P80" s="5"/>
    </row>
    <row r="81" spans="1:16" ht="13">
      <c r="A81" s="48" t="s">
        <v>1892</v>
      </c>
      <c r="B81" s="49" t="s">
        <v>2311</v>
      </c>
      <c r="C81" s="51" t="s">
        <v>1013</v>
      </c>
      <c r="D81" s="54"/>
      <c r="E81" s="5"/>
      <c r="F81" s="5"/>
      <c r="G81" s="5"/>
      <c r="J81" s="5"/>
      <c r="M81" s="5"/>
      <c r="N81" s="5"/>
      <c r="P81" s="5"/>
    </row>
    <row r="82" spans="1:16" ht="13">
      <c r="A82" s="48" t="s">
        <v>1893</v>
      </c>
      <c r="B82" s="49" t="s">
        <v>985</v>
      </c>
      <c r="C82" s="51" t="s">
        <v>206</v>
      </c>
      <c r="D82" s="54"/>
      <c r="E82" s="5"/>
      <c r="F82" s="5"/>
      <c r="G82" s="5"/>
      <c r="J82" s="5"/>
      <c r="M82" s="5"/>
      <c r="N82" s="5"/>
      <c r="P82" s="5"/>
    </row>
    <row r="83" spans="1:16" ht="13">
      <c r="A83" s="48" t="s">
        <v>1894</v>
      </c>
      <c r="B83" s="49" t="s">
        <v>1021</v>
      </c>
      <c r="C83" s="51" t="s">
        <v>1013</v>
      </c>
      <c r="D83" s="51"/>
      <c r="E83" s="5"/>
      <c r="F83" s="5"/>
      <c r="G83" s="5"/>
      <c r="J83" s="5"/>
      <c r="M83" s="5"/>
      <c r="N83" s="5"/>
      <c r="P83" s="5"/>
    </row>
    <row r="84" spans="1:16" ht="13">
      <c r="A84" s="48" t="s">
        <v>1895</v>
      </c>
      <c r="B84" s="49" t="s">
        <v>1022</v>
      </c>
      <c r="C84" s="51" t="s">
        <v>1013</v>
      </c>
      <c r="D84" s="54"/>
      <c r="E84" s="5"/>
      <c r="F84" s="5"/>
      <c r="G84" s="5"/>
      <c r="J84" s="5"/>
      <c r="M84" s="5"/>
      <c r="N84" s="5"/>
      <c r="P84" s="5"/>
    </row>
    <row r="85" spans="1:16" ht="13">
      <c r="A85" s="48" t="s">
        <v>1896</v>
      </c>
      <c r="B85" s="49" t="s">
        <v>1023</v>
      </c>
      <c r="C85" s="51" t="s">
        <v>912</v>
      </c>
      <c r="D85" s="51"/>
      <c r="E85" s="5"/>
      <c r="F85" s="5"/>
      <c r="G85" s="5"/>
      <c r="J85" s="5"/>
      <c r="M85" s="5"/>
      <c r="N85" s="5"/>
      <c r="P85" s="5"/>
    </row>
    <row r="86" spans="1:16" ht="13">
      <c r="A86" s="48" t="s">
        <v>1897</v>
      </c>
      <c r="B86" s="49" t="s">
        <v>1606</v>
      </c>
      <c r="C86" s="51" t="s">
        <v>1013</v>
      </c>
      <c r="D86" s="51"/>
      <c r="E86" s="5"/>
      <c r="F86" s="5"/>
      <c r="G86" s="5"/>
      <c r="J86" s="5"/>
      <c r="M86" s="5"/>
      <c r="N86" s="5"/>
      <c r="P86" s="5"/>
    </row>
    <row r="87" spans="1:16" ht="13">
      <c r="A87" s="48" t="s">
        <v>1899</v>
      </c>
      <c r="B87" s="49" t="s">
        <v>315</v>
      </c>
      <c r="C87" s="51" t="s">
        <v>206</v>
      </c>
      <c r="D87" s="54"/>
      <c r="E87" s="5"/>
      <c r="F87" s="5"/>
      <c r="G87" s="5"/>
      <c r="J87" s="5"/>
      <c r="M87" s="5"/>
      <c r="N87" s="5"/>
      <c r="P87" s="5"/>
    </row>
    <row r="88" spans="1:16" ht="13">
      <c r="A88" s="48" t="s">
        <v>1900</v>
      </c>
      <c r="B88" s="49" t="s">
        <v>2641</v>
      </c>
      <c r="C88" s="51" t="s">
        <v>317</v>
      </c>
      <c r="D88" s="54"/>
      <c r="E88" s="5"/>
      <c r="F88" s="5"/>
      <c r="G88" s="5"/>
      <c r="J88" s="5"/>
      <c r="M88" s="5"/>
      <c r="N88" s="5"/>
      <c r="P88" s="5"/>
    </row>
    <row r="89" spans="1:16" ht="13">
      <c r="A89" s="48" t="s">
        <v>1902</v>
      </c>
      <c r="B89" s="49" t="s">
        <v>2643</v>
      </c>
      <c r="C89" s="51" t="s">
        <v>317</v>
      </c>
      <c r="D89" s="54"/>
      <c r="E89" s="5"/>
      <c r="F89" s="5"/>
      <c r="G89" s="5"/>
      <c r="J89" s="5"/>
      <c r="M89" s="5"/>
      <c r="N89" s="5"/>
      <c r="P89" s="5"/>
    </row>
    <row r="90" spans="1:16" ht="13">
      <c r="A90" s="48" t="s">
        <v>1904</v>
      </c>
      <c r="B90" s="49" t="s">
        <v>2645</v>
      </c>
      <c r="C90" s="51" t="s">
        <v>317</v>
      </c>
      <c r="D90" s="54"/>
      <c r="E90" s="5"/>
      <c r="F90" s="5"/>
      <c r="G90" s="5"/>
      <c r="J90" s="5"/>
      <c r="M90" s="5"/>
      <c r="N90" s="5"/>
      <c r="P90" s="5"/>
    </row>
    <row r="91" spans="1:16" ht="13">
      <c r="A91" s="48" t="s">
        <v>1906</v>
      </c>
      <c r="B91" s="49" t="s">
        <v>1170</v>
      </c>
      <c r="C91" s="51" t="s">
        <v>317</v>
      </c>
      <c r="D91" s="54"/>
      <c r="E91" s="5"/>
      <c r="F91" s="5"/>
      <c r="G91" s="5"/>
      <c r="J91" s="5"/>
      <c r="M91" s="5"/>
      <c r="N91" s="5"/>
      <c r="P91" s="5"/>
    </row>
    <row r="92" spans="1:16" ht="13">
      <c r="A92" s="48" t="s">
        <v>1908</v>
      </c>
      <c r="B92" s="49" t="s">
        <v>2813</v>
      </c>
      <c r="C92" s="51" t="s">
        <v>317</v>
      </c>
      <c r="D92" s="54"/>
      <c r="E92" s="5"/>
      <c r="F92" s="5"/>
      <c r="G92" s="5"/>
      <c r="J92" s="5"/>
      <c r="M92" s="5"/>
      <c r="N92" s="5"/>
      <c r="P92" s="5"/>
    </row>
    <row r="93" spans="1:16" ht="13">
      <c r="A93" s="48" t="s">
        <v>1910</v>
      </c>
      <c r="B93" s="49" t="s">
        <v>2206</v>
      </c>
      <c r="C93" s="51" t="s">
        <v>317</v>
      </c>
      <c r="D93" s="54"/>
      <c r="E93" s="5"/>
      <c r="F93" s="5"/>
      <c r="G93" s="5"/>
      <c r="J93" s="5"/>
      <c r="M93" s="5"/>
      <c r="N93" s="5"/>
      <c r="P93" s="5"/>
    </row>
    <row r="94" spans="1:16" ht="13">
      <c r="A94" s="48" t="s">
        <v>1912</v>
      </c>
      <c r="B94" s="49" t="s">
        <v>2894</v>
      </c>
      <c r="C94" s="51" t="s">
        <v>208</v>
      </c>
      <c r="D94" s="54"/>
      <c r="E94" s="5"/>
      <c r="F94" s="5"/>
      <c r="G94" s="5"/>
      <c r="J94" s="5"/>
      <c r="M94" s="5"/>
      <c r="N94" s="5"/>
      <c r="P94" s="5"/>
    </row>
    <row r="95" spans="1:16" ht="13">
      <c r="A95" s="48" t="s">
        <v>1914</v>
      </c>
      <c r="B95" s="49" t="s">
        <v>2895</v>
      </c>
      <c r="C95" s="51" t="s">
        <v>205</v>
      </c>
      <c r="D95" s="54"/>
      <c r="E95" s="5"/>
      <c r="F95" s="5"/>
      <c r="G95" s="5"/>
      <c r="J95" s="5"/>
      <c r="M95" s="5"/>
      <c r="N95" s="5"/>
      <c r="P95" s="5"/>
    </row>
    <row r="96" spans="1:16" ht="13">
      <c r="A96" s="48" t="s">
        <v>1916</v>
      </c>
      <c r="B96" s="49" t="s">
        <v>2896</v>
      </c>
      <c r="C96" s="51" t="s">
        <v>195</v>
      </c>
      <c r="D96" s="54"/>
      <c r="E96" s="5"/>
      <c r="F96" s="5"/>
      <c r="G96" s="5"/>
      <c r="J96" s="5"/>
      <c r="M96" s="5"/>
      <c r="N96" s="5"/>
      <c r="P96" s="5"/>
    </row>
    <row r="97" spans="1:16" ht="13">
      <c r="A97" s="48" t="s">
        <v>1918</v>
      </c>
      <c r="B97" s="49" t="s">
        <v>2897</v>
      </c>
      <c r="C97" s="51" t="s">
        <v>199</v>
      </c>
      <c r="D97" s="54"/>
      <c r="E97" s="5"/>
      <c r="F97" s="5"/>
      <c r="G97" s="5"/>
      <c r="J97" s="5"/>
      <c r="M97" s="5"/>
      <c r="N97" s="5"/>
      <c r="P97" s="5"/>
    </row>
    <row r="98" spans="1:16" ht="13">
      <c r="A98" s="48" t="s">
        <v>1919</v>
      </c>
      <c r="B98" s="49" t="s">
        <v>2898</v>
      </c>
      <c r="C98" s="51" t="s">
        <v>225</v>
      </c>
      <c r="D98" s="54"/>
      <c r="E98" s="5"/>
      <c r="F98" s="5"/>
      <c r="G98" s="5"/>
      <c r="J98" s="5"/>
      <c r="M98" s="5"/>
      <c r="N98" s="5"/>
      <c r="P98" s="5"/>
    </row>
    <row r="99" spans="1:16" ht="13">
      <c r="A99" s="48" t="s">
        <v>1920</v>
      </c>
      <c r="B99" s="49" t="s">
        <v>2899</v>
      </c>
      <c r="C99" s="51" t="s">
        <v>199</v>
      </c>
      <c r="D99" s="54"/>
      <c r="E99" s="5"/>
      <c r="F99" s="5"/>
      <c r="G99" s="5"/>
      <c r="J99" s="5"/>
      <c r="M99" s="5"/>
      <c r="N99" s="5"/>
      <c r="P99" s="5"/>
    </row>
    <row r="100" spans="1:16" ht="13">
      <c r="A100" s="48" t="s">
        <v>1922</v>
      </c>
      <c r="B100" s="49" t="s">
        <v>2900</v>
      </c>
      <c r="C100" s="51" t="s">
        <v>208</v>
      </c>
      <c r="D100" s="54"/>
      <c r="E100" s="5"/>
      <c r="F100" s="5"/>
      <c r="G100" s="5"/>
      <c r="J100" s="5"/>
      <c r="M100" s="5"/>
      <c r="N100" s="5"/>
      <c r="P100" s="5"/>
    </row>
    <row r="101" spans="1:16" ht="13">
      <c r="A101" s="48" t="s">
        <v>1924</v>
      </c>
      <c r="B101" s="49" t="s">
        <v>2901</v>
      </c>
      <c r="C101" s="51" t="s">
        <v>192</v>
      </c>
      <c r="D101" s="54"/>
      <c r="E101" s="5"/>
      <c r="F101" s="5"/>
      <c r="G101" s="5"/>
      <c r="J101" s="5"/>
      <c r="M101" s="5"/>
      <c r="N101" s="5"/>
      <c r="P101" s="5"/>
    </row>
    <row r="102" spans="1:16" ht="13">
      <c r="A102" s="48" t="s">
        <v>1926</v>
      </c>
      <c r="B102" s="49" t="s">
        <v>2902</v>
      </c>
      <c r="C102" s="51" t="s">
        <v>208</v>
      </c>
      <c r="D102" s="54"/>
      <c r="E102" s="5"/>
      <c r="F102" s="5"/>
      <c r="G102" s="5"/>
      <c r="J102" s="5"/>
      <c r="M102" s="5"/>
      <c r="N102" s="5"/>
      <c r="P102" s="5"/>
    </row>
    <row r="103" spans="1:16" ht="13">
      <c r="A103" s="48" t="s">
        <v>1928</v>
      </c>
      <c r="B103" s="49" t="s">
        <v>2903</v>
      </c>
      <c r="C103" s="51" t="s">
        <v>192</v>
      </c>
      <c r="D103" s="54"/>
      <c r="E103" s="5"/>
      <c r="F103" s="5"/>
      <c r="G103" s="5"/>
      <c r="J103" s="5"/>
      <c r="M103" s="5"/>
      <c r="N103" s="5"/>
      <c r="P103" s="5"/>
    </row>
    <row r="104" spans="1:16" ht="13">
      <c r="A104" s="48" t="s">
        <v>1930</v>
      </c>
      <c r="B104" s="58" t="str">
        <f>HYPERLINK("https://bulbapedia.bulbagarden.net/wiki/Charizard_%E2%98%86_%CE%B4_(EX_Dragon_Frontiers_100)","Charizard*  δ")</f>
        <v>Charizard*  δ</v>
      </c>
      <c r="C104" s="51" t="s">
        <v>808</v>
      </c>
      <c r="D104" s="54"/>
      <c r="E104" s="5"/>
      <c r="F104" s="5"/>
      <c r="G104" s="5"/>
      <c r="J104" s="5"/>
      <c r="M104" s="5"/>
      <c r="N104" s="5"/>
      <c r="P104" s="5"/>
    </row>
    <row r="105" spans="1:16" ht="13">
      <c r="A105" s="48" t="s">
        <v>1932</v>
      </c>
      <c r="B105" s="58" t="str">
        <f>HYPERLINK("https://bulbapedia.bulbagarden.net/wiki/Mew_%E2%98%86_%CE%B4_(EX_Dragon_Frontiers_101)","Mew*  δ")</f>
        <v>Mew*  δ</v>
      </c>
      <c r="C105" s="51" t="s">
        <v>208</v>
      </c>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400-000000000000}"/>
    <hyperlink ref="B6" r:id="rId2" xr:uid="{00000000-0004-0000-2400-000001000000}"/>
    <hyperlink ref="B7" r:id="rId3" xr:uid="{00000000-0004-0000-2400-000002000000}"/>
    <hyperlink ref="B8" r:id="rId4" xr:uid="{00000000-0004-0000-2400-000003000000}"/>
    <hyperlink ref="B9" r:id="rId5" xr:uid="{00000000-0004-0000-2400-000004000000}"/>
    <hyperlink ref="B10" r:id="rId6" xr:uid="{00000000-0004-0000-2400-000005000000}"/>
    <hyperlink ref="B11" r:id="rId7" xr:uid="{00000000-0004-0000-2400-000006000000}"/>
    <hyperlink ref="B12" r:id="rId8" xr:uid="{00000000-0004-0000-2400-000007000000}"/>
    <hyperlink ref="B13" r:id="rId9" xr:uid="{00000000-0004-0000-2400-000008000000}"/>
    <hyperlink ref="B14" r:id="rId10" xr:uid="{00000000-0004-0000-2400-000009000000}"/>
    <hyperlink ref="B15" r:id="rId11" xr:uid="{00000000-0004-0000-2400-00000A000000}"/>
    <hyperlink ref="B16" r:id="rId12" xr:uid="{00000000-0004-0000-2400-00000B000000}"/>
    <hyperlink ref="B17" r:id="rId13" xr:uid="{00000000-0004-0000-2400-00000C000000}"/>
    <hyperlink ref="B18" r:id="rId14" xr:uid="{00000000-0004-0000-2400-00000D000000}"/>
    <hyperlink ref="B19" r:id="rId15" xr:uid="{00000000-0004-0000-2400-00000E000000}"/>
    <hyperlink ref="B20" r:id="rId16" xr:uid="{00000000-0004-0000-2400-00000F000000}"/>
    <hyperlink ref="B21" r:id="rId17" xr:uid="{00000000-0004-0000-2400-000010000000}"/>
    <hyperlink ref="B22" r:id="rId18" xr:uid="{00000000-0004-0000-2400-000011000000}"/>
    <hyperlink ref="B23" r:id="rId19" xr:uid="{00000000-0004-0000-2400-000012000000}"/>
    <hyperlink ref="B24" r:id="rId20" xr:uid="{00000000-0004-0000-2400-000013000000}"/>
    <hyperlink ref="B25" r:id="rId21" xr:uid="{00000000-0004-0000-2400-000014000000}"/>
    <hyperlink ref="B26" r:id="rId22" xr:uid="{00000000-0004-0000-2400-000015000000}"/>
    <hyperlink ref="B27" r:id="rId23" xr:uid="{00000000-0004-0000-2400-000016000000}"/>
    <hyperlink ref="B28" r:id="rId24" xr:uid="{00000000-0004-0000-2400-000017000000}"/>
    <hyperlink ref="B29" r:id="rId25" xr:uid="{00000000-0004-0000-2400-000018000000}"/>
    <hyperlink ref="B30" r:id="rId26" xr:uid="{00000000-0004-0000-2400-000019000000}"/>
    <hyperlink ref="B31" r:id="rId27" xr:uid="{00000000-0004-0000-2400-00001A000000}"/>
    <hyperlink ref="B32" r:id="rId28" xr:uid="{00000000-0004-0000-2400-00001B000000}"/>
    <hyperlink ref="B33" r:id="rId29" xr:uid="{00000000-0004-0000-2400-00001C000000}"/>
    <hyperlink ref="B34" r:id="rId30" xr:uid="{00000000-0004-0000-2400-00001D000000}"/>
    <hyperlink ref="B35" r:id="rId31" xr:uid="{00000000-0004-0000-2400-00001E000000}"/>
    <hyperlink ref="B36" r:id="rId32" xr:uid="{00000000-0004-0000-2400-00001F000000}"/>
    <hyperlink ref="B37" r:id="rId33" xr:uid="{00000000-0004-0000-2400-000020000000}"/>
    <hyperlink ref="B38" r:id="rId34" xr:uid="{00000000-0004-0000-2400-000021000000}"/>
    <hyperlink ref="B39" r:id="rId35" xr:uid="{00000000-0004-0000-2400-000022000000}"/>
    <hyperlink ref="B40" r:id="rId36" xr:uid="{00000000-0004-0000-2400-000023000000}"/>
    <hyperlink ref="B41" r:id="rId37" xr:uid="{00000000-0004-0000-2400-000024000000}"/>
    <hyperlink ref="B42" r:id="rId38" xr:uid="{00000000-0004-0000-2400-000025000000}"/>
    <hyperlink ref="B43" r:id="rId39" xr:uid="{00000000-0004-0000-2400-000026000000}"/>
    <hyperlink ref="B44" r:id="rId40" xr:uid="{00000000-0004-0000-2400-000027000000}"/>
    <hyperlink ref="B45" r:id="rId41" xr:uid="{00000000-0004-0000-2400-000028000000}"/>
    <hyperlink ref="B46" r:id="rId42" xr:uid="{00000000-0004-0000-2400-000029000000}"/>
    <hyperlink ref="B47" r:id="rId43" xr:uid="{00000000-0004-0000-2400-00002A000000}"/>
    <hyperlink ref="B48" r:id="rId44" xr:uid="{00000000-0004-0000-2400-00002B000000}"/>
    <hyperlink ref="B49" r:id="rId45" xr:uid="{00000000-0004-0000-2400-00002C000000}"/>
    <hyperlink ref="B50" r:id="rId46" xr:uid="{00000000-0004-0000-2400-00002D000000}"/>
    <hyperlink ref="B51" r:id="rId47" xr:uid="{00000000-0004-0000-2400-00002E000000}"/>
    <hyperlink ref="B52" r:id="rId48" xr:uid="{00000000-0004-0000-2400-00002F000000}"/>
    <hyperlink ref="B53" r:id="rId49" xr:uid="{00000000-0004-0000-2400-000030000000}"/>
    <hyperlink ref="B54" r:id="rId50" xr:uid="{00000000-0004-0000-2400-000031000000}"/>
    <hyperlink ref="B55" r:id="rId51" xr:uid="{00000000-0004-0000-2400-000032000000}"/>
    <hyperlink ref="B56" r:id="rId52" xr:uid="{00000000-0004-0000-2400-000033000000}"/>
    <hyperlink ref="B57" r:id="rId53" xr:uid="{00000000-0004-0000-2400-000034000000}"/>
    <hyperlink ref="B58" r:id="rId54" xr:uid="{00000000-0004-0000-2400-000035000000}"/>
    <hyperlink ref="B59" r:id="rId55" xr:uid="{00000000-0004-0000-2400-000036000000}"/>
    <hyperlink ref="B60" r:id="rId56" xr:uid="{00000000-0004-0000-2400-000037000000}"/>
    <hyperlink ref="B61" r:id="rId57" xr:uid="{00000000-0004-0000-2400-000038000000}"/>
    <hyperlink ref="B62" r:id="rId58" xr:uid="{00000000-0004-0000-2400-000039000000}"/>
    <hyperlink ref="B63" r:id="rId59" xr:uid="{00000000-0004-0000-2400-00003A000000}"/>
    <hyperlink ref="B64" r:id="rId60" xr:uid="{00000000-0004-0000-2400-00003B000000}"/>
    <hyperlink ref="B65" r:id="rId61" xr:uid="{00000000-0004-0000-2400-00003C000000}"/>
    <hyperlink ref="B66" r:id="rId62" xr:uid="{00000000-0004-0000-2400-00003D000000}"/>
    <hyperlink ref="B67" r:id="rId63" xr:uid="{00000000-0004-0000-2400-00003E000000}"/>
    <hyperlink ref="B68" r:id="rId64" xr:uid="{00000000-0004-0000-2400-00003F000000}"/>
    <hyperlink ref="B69" r:id="rId65" xr:uid="{00000000-0004-0000-2400-000040000000}"/>
    <hyperlink ref="B70" r:id="rId66" xr:uid="{00000000-0004-0000-2400-000041000000}"/>
    <hyperlink ref="B71" r:id="rId67" xr:uid="{00000000-0004-0000-2400-000042000000}"/>
    <hyperlink ref="B72" r:id="rId68" xr:uid="{00000000-0004-0000-2400-000043000000}"/>
    <hyperlink ref="B73" r:id="rId69" xr:uid="{00000000-0004-0000-2400-000044000000}"/>
    <hyperlink ref="B74" r:id="rId70" xr:uid="{00000000-0004-0000-2400-000045000000}"/>
    <hyperlink ref="B75" r:id="rId71" xr:uid="{00000000-0004-0000-2400-000046000000}"/>
    <hyperlink ref="B76" r:id="rId72" xr:uid="{00000000-0004-0000-2400-000047000000}"/>
    <hyperlink ref="B77" r:id="rId73" xr:uid="{00000000-0004-0000-2400-000048000000}"/>
    <hyperlink ref="B78" r:id="rId74" xr:uid="{00000000-0004-0000-2400-000049000000}"/>
    <hyperlink ref="B79" r:id="rId75" xr:uid="{00000000-0004-0000-2400-00004A000000}"/>
    <hyperlink ref="B80" r:id="rId76" xr:uid="{00000000-0004-0000-2400-00004B000000}"/>
    <hyperlink ref="B81" r:id="rId77" xr:uid="{00000000-0004-0000-2400-00004C000000}"/>
    <hyperlink ref="B82" r:id="rId78" xr:uid="{00000000-0004-0000-2400-00004D000000}"/>
    <hyperlink ref="B83" r:id="rId79" xr:uid="{00000000-0004-0000-2400-00004E000000}"/>
    <hyperlink ref="B84" r:id="rId80" xr:uid="{00000000-0004-0000-2400-00004F000000}"/>
    <hyperlink ref="B85" r:id="rId81" xr:uid="{00000000-0004-0000-2400-000050000000}"/>
    <hyperlink ref="B86" r:id="rId82" xr:uid="{00000000-0004-0000-2400-000051000000}"/>
    <hyperlink ref="B87" r:id="rId83" xr:uid="{00000000-0004-0000-2400-000052000000}"/>
    <hyperlink ref="B88" r:id="rId84" xr:uid="{00000000-0004-0000-2400-000053000000}"/>
    <hyperlink ref="B89" r:id="rId85" xr:uid="{00000000-0004-0000-2400-000054000000}"/>
    <hyperlink ref="B90" r:id="rId86" xr:uid="{00000000-0004-0000-2400-000055000000}"/>
    <hyperlink ref="B91" r:id="rId87" xr:uid="{00000000-0004-0000-2400-000056000000}"/>
    <hyperlink ref="B92" r:id="rId88" xr:uid="{00000000-0004-0000-2400-000057000000}"/>
    <hyperlink ref="B93" r:id="rId89" xr:uid="{00000000-0004-0000-2400-000058000000}"/>
    <hyperlink ref="B94" r:id="rId90" xr:uid="{00000000-0004-0000-2400-000059000000}"/>
    <hyperlink ref="B95" r:id="rId91" xr:uid="{00000000-0004-0000-2400-00005A000000}"/>
    <hyperlink ref="B96" r:id="rId92" xr:uid="{00000000-0004-0000-2400-00005B000000}"/>
    <hyperlink ref="B97" r:id="rId93" xr:uid="{00000000-0004-0000-2400-00005C000000}"/>
    <hyperlink ref="B98" r:id="rId94" xr:uid="{00000000-0004-0000-2400-00005D000000}"/>
    <hyperlink ref="B99" r:id="rId95" xr:uid="{00000000-0004-0000-2400-00005E000000}"/>
    <hyperlink ref="B100" r:id="rId96" xr:uid="{00000000-0004-0000-2400-00005F000000}"/>
    <hyperlink ref="B101" r:id="rId97" xr:uid="{00000000-0004-0000-2400-000060000000}"/>
    <hyperlink ref="B102" r:id="rId98" xr:uid="{00000000-0004-0000-2400-000061000000}"/>
    <hyperlink ref="B103" r:id="rId99" xr:uid="{00000000-0004-0000-2400-000062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2.1640625" customWidth="1"/>
    <col min="3" max="3" width="13.5" customWidth="1"/>
    <col min="4" max="4" width="14.83203125" customWidth="1"/>
    <col min="5" max="5" width="14.33203125" customWidth="1"/>
    <col min="11" max="11" width="13.83203125" customWidth="1"/>
  </cols>
  <sheetData>
    <row r="1" spans="1:23" ht="15.75" customHeight="1">
      <c r="A1" s="1" t="s">
        <v>65</v>
      </c>
      <c r="B1" s="36"/>
      <c r="C1" s="37"/>
      <c r="D1" s="7" t="s">
        <v>181</v>
      </c>
      <c r="E1" s="5"/>
      <c r="F1" s="5"/>
      <c r="G1" s="5"/>
      <c r="K1" s="1"/>
      <c r="M1" s="5"/>
      <c r="N1" s="5"/>
      <c r="S1" s="1"/>
      <c r="U1" s="5"/>
    </row>
    <row r="2" spans="1:23" ht="15.75" customHeight="1">
      <c r="A2" s="7" t="s">
        <v>182</v>
      </c>
      <c r="B2" s="38">
        <v>39127</v>
      </c>
      <c r="C2" s="37"/>
      <c r="D2" s="39">
        <f>SUM(D5:G106)</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2904</v>
      </c>
      <c r="B5" s="49" t="s">
        <v>1208</v>
      </c>
      <c r="C5" s="51" t="s">
        <v>220</v>
      </c>
      <c r="D5" s="54"/>
      <c r="E5" s="5"/>
      <c r="F5" s="51"/>
      <c r="G5" s="5"/>
      <c r="L5" s="43"/>
      <c r="M5" s="43"/>
      <c r="N5" s="42"/>
      <c r="O5" s="44"/>
      <c r="S5" s="42"/>
      <c r="T5" s="43"/>
      <c r="U5" s="43"/>
      <c r="V5" s="42"/>
      <c r="W5" s="44"/>
    </row>
    <row r="6" spans="1:23" ht="15.75" customHeight="1">
      <c r="A6" s="48" t="s">
        <v>2905</v>
      </c>
      <c r="B6" s="49" t="s">
        <v>1493</v>
      </c>
      <c r="C6" s="51" t="s">
        <v>197</v>
      </c>
      <c r="D6" s="54"/>
      <c r="E6" s="5"/>
      <c r="F6" s="5"/>
      <c r="G6" s="5"/>
      <c r="L6" s="50"/>
      <c r="M6" s="51"/>
      <c r="N6" s="5"/>
      <c r="S6" s="52"/>
      <c r="T6" s="50"/>
      <c r="U6" s="51"/>
    </row>
    <row r="7" spans="1:23" ht="15.75" customHeight="1">
      <c r="A7" s="48" t="s">
        <v>2906</v>
      </c>
      <c r="B7" s="49" t="s">
        <v>1355</v>
      </c>
      <c r="C7" s="51" t="s">
        <v>225</v>
      </c>
      <c r="D7" s="54"/>
      <c r="E7" s="5"/>
      <c r="F7" s="5"/>
      <c r="G7" s="5"/>
      <c r="K7" s="52"/>
      <c r="L7" s="50"/>
      <c r="M7" s="51"/>
      <c r="N7" s="5"/>
      <c r="S7" s="52"/>
      <c r="T7" s="50"/>
      <c r="U7" s="51"/>
    </row>
    <row r="8" spans="1:23" ht="15.75" customHeight="1">
      <c r="A8" s="48" t="s">
        <v>2907</v>
      </c>
      <c r="B8" s="49" t="s">
        <v>1788</v>
      </c>
      <c r="C8" s="51" t="s">
        <v>195</v>
      </c>
      <c r="D8" s="54"/>
      <c r="E8" s="5"/>
      <c r="F8" s="5"/>
      <c r="G8" s="5"/>
      <c r="K8" s="52"/>
      <c r="L8" s="50"/>
      <c r="M8" s="51"/>
      <c r="N8" s="51"/>
      <c r="S8" s="52"/>
      <c r="T8" s="50"/>
      <c r="U8" s="51"/>
    </row>
    <row r="9" spans="1:23" ht="15.75" customHeight="1">
      <c r="A9" s="48" t="s">
        <v>2908</v>
      </c>
      <c r="B9" s="49" t="s">
        <v>1212</v>
      </c>
      <c r="C9" s="51" t="s">
        <v>199</v>
      </c>
      <c r="D9" s="54"/>
      <c r="E9" s="5"/>
      <c r="F9" s="5"/>
      <c r="G9" s="5"/>
      <c r="K9" s="52"/>
      <c r="L9" s="50"/>
      <c r="M9" s="51"/>
      <c r="N9" s="51"/>
      <c r="S9" s="52"/>
      <c r="T9" s="50"/>
      <c r="U9" s="51"/>
    </row>
    <row r="10" spans="1:23" ht="15.75" customHeight="1">
      <c r="A10" s="48" t="s">
        <v>2909</v>
      </c>
      <c r="B10" s="49" t="s">
        <v>243</v>
      </c>
      <c r="C10" s="51" t="s">
        <v>199</v>
      </c>
      <c r="D10" s="54"/>
      <c r="E10" s="5"/>
      <c r="F10" s="5"/>
      <c r="G10" s="5"/>
      <c r="K10" s="52"/>
      <c r="L10" s="50"/>
      <c r="M10" s="51"/>
      <c r="N10" s="5"/>
      <c r="S10" s="52"/>
      <c r="T10" s="50"/>
      <c r="U10" s="51"/>
    </row>
    <row r="11" spans="1:23" ht="15.75" customHeight="1">
      <c r="A11" s="48" t="s">
        <v>2910</v>
      </c>
      <c r="B11" s="49" t="s">
        <v>1359</v>
      </c>
      <c r="C11" s="51" t="s">
        <v>205</v>
      </c>
      <c r="D11" s="54"/>
      <c r="E11" s="5"/>
      <c r="F11" s="5"/>
      <c r="G11" s="5"/>
      <c r="K11" s="52"/>
      <c r="L11" s="50"/>
      <c r="M11" s="51"/>
      <c r="N11" s="51"/>
      <c r="S11" s="52"/>
      <c r="T11" s="50"/>
      <c r="U11" s="51"/>
    </row>
    <row r="12" spans="1:23" ht="15.75" customHeight="1">
      <c r="A12" s="48" t="s">
        <v>2911</v>
      </c>
      <c r="B12" s="49" t="s">
        <v>1216</v>
      </c>
      <c r="C12" s="51" t="s">
        <v>197</v>
      </c>
      <c r="D12" s="54"/>
      <c r="E12" s="5"/>
      <c r="F12" s="5"/>
      <c r="G12" s="5"/>
      <c r="K12" s="52"/>
      <c r="L12" s="50"/>
      <c r="M12" s="51"/>
      <c r="N12" s="51"/>
      <c r="S12" s="52"/>
      <c r="T12" s="50"/>
      <c r="U12" s="51"/>
    </row>
    <row r="13" spans="1:23" ht="15.75" customHeight="1">
      <c r="A13" s="48" t="s">
        <v>2912</v>
      </c>
      <c r="B13" s="49" t="s">
        <v>1220</v>
      </c>
      <c r="C13" s="51" t="s">
        <v>195</v>
      </c>
      <c r="D13" s="54"/>
      <c r="E13" s="5"/>
      <c r="F13" s="5"/>
      <c r="G13" s="5"/>
      <c r="K13" s="52"/>
      <c r="L13" s="50"/>
      <c r="M13" s="51"/>
      <c r="N13" s="5"/>
      <c r="S13" s="52"/>
      <c r="T13" s="50"/>
      <c r="U13" s="51"/>
    </row>
    <row r="14" spans="1:23" ht="15.75" customHeight="1">
      <c r="A14" s="48" t="s">
        <v>2913</v>
      </c>
      <c r="B14" s="49" t="s">
        <v>363</v>
      </c>
      <c r="C14" s="51" t="s">
        <v>225</v>
      </c>
      <c r="D14" s="54"/>
      <c r="E14" s="5"/>
      <c r="F14" s="5"/>
      <c r="G14" s="5"/>
      <c r="K14" s="52"/>
      <c r="L14" s="50"/>
      <c r="M14" s="51"/>
      <c r="N14" s="51"/>
      <c r="S14" s="52"/>
      <c r="T14" s="50"/>
      <c r="U14" s="51"/>
    </row>
    <row r="15" spans="1:23" ht="15.75" customHeight="1">
      <c r="A15" s="48" t="s">
        <v>2914</v>
      </c>
      <c r="B15" s="49" t="s">
        <v>230</v>
      </c>
      <c r="C15" s="51" t="s">
        <v>225</v>
      </c>
      <c r="D15" s="54"/>
      <c r="E15" s="5"/>
      <c r="F15" s="5"/>
      <c r="G15" s="5"/>
      <c r="K15" s="52"/>
      <c r="L15" s="50"/>
      <c r="M15" s="51"/>
      <c r="N15" s="51"/>
      <c r="S15" s="52"/>
      <c r="T15" s="50"/>
      <c r="U15" s="51"/>
    </row>
    <row r="16" spans="1:23" ht="15.75" customHeight="1">
      <c r="A16" s="48" t="s">
        <v>2915</v>
      </c>
      <c r="B16" s="49" t="s">
        <v>251</v>
      </c>
      <c r="C16" s="51" t="s">
        <v>192</v>
      </c>
      <c r="D16" s="54"/>
      <c r="E16" s="5"/>
      <c r="F16" s="5"/>
      <c r="G16" s="5"/>
      <c r="K16" s="52"/>
      <c r="L16" s="50"/>
      <c r="M16" s="51"/>
      <c r="N16" s="51"/>
      <c r="S16" s="52"/>
      <c r="T16" s="50"/>
      <c r="U16" s="51"/>
    </row>
    <row r="17" spans="1:27" ht="15.75" customHeight="1">
      <c r="A17" s="48" t="s">
        <v>2916</v>
      </c>
      <c r="B17" s="49" t="s">
        <v>1230</v>
      </c>
      <c r="C17" s="51" t="s">
        <v>197</v>
      </c>
      <c r="D17" s="54"/>
      <c r="E17" s="5"/>
      <c r="F17" s="5"/>
      <c r="G17" s="5"/>
      <c r="K17" s="52"/>
      <c r="L17" s="50"/>
      <c r="M17" s="51"/>
      <c r="N17" s="51"/>
      <c r="S17" s="52"/>
      <c r="T17" s="50"/>
      <c r="U17" s="51"/>
    </row>
    <row r="18" spans="1:27" ht="15.75" customHeight="1">
      <c r="A18" s="48" t="s">
        <v>2917</v>
      </c>
      <c r="B18" s="49" t="s">
        <v>1361</v>
      </c>
      <c r="C18" s="51" t="s">
        <v>195</v>
      </c>
      <c r="D18" s="54"/>
      <c r="E18" s="5"/>
      <c r="F18" s="51"/>
      <c r="G18" s="5"/>
      <c r="M18" s="5"/>
      <c r="N18" s="5"/>
      <c r="U18" s="5"/>
      <c r="AA18" s="5"/>
    </row>
    <row r="19" spans="1:27" ht="15.75" customHeight="1">
      <c r="A19" s="48" t="s">
        <v>2918</v>
      </c>
      <c r="B19" s="49" t="s">
        <v>831</v>
      </c>
      <c r="C19" s="51" t="s">
        <v>192</v>
      </c>
      <c r="D19" s="54"/>
      <c r="E19" s="5"/>
      <c r="F19" s="51"/>
      <c r="G19" s="5"/>
      <c r="K19" s="1"/>
      <c r="M19" s="5"/>
      <c r="N19" s="5"/>
      <c r="U19" s="5"/>
      <c r="AA19" s="5"/>
    </row>
    <row r="20" spans="1:27" ht="15.75" customHeight="1">
      <c r="A20" s="48" t="s">
        <v>2919</v>
      </c>
      <c r="B20" s="49" t="s">
        <v>247</v>
      </c>
      <c r="C20" s="51" t="s">
        <v>192</v>
      </c>
      <c r="D20" s="54"/>
      <c r="E20" s="5"/>
      <c r="F20" s="5"/>
      <c r="G20" s="5"/>
      <c r="L20" s="40"/>
      <c r="M20" s="5"/>
      <c r="N20" s="5"/>
      <c r="AA20" s="5"/>
    </row>
    <row r="21" spans="1:27" ht="15.75" customHeight="1">
      <c r="A21" s="48" t="s">
        <v>2920</v>
      </c>
      <c r="B21" s="49" t="s">
        <v>1368</v>
      </c>
      <c r="C21" s="51" t="s">
        <v>220</v>
      </c>
      <c r="D21" s="54"/>
      <c r="E21" s="5"/>
      <c r="F21" s="5"/>
      <c r="G21" s="5"/>
      <c r="M21" s="5"/>
      <c r="N21" s="5"/>
      <c r="AA21" s="5"/>
    </row>
    <row r="22" spans="1:27" ht="15.75" customHeight="1">
      <c r="A22" s="48" t="s">
        <v>2921</v>
      </c>
      <c r="B22" s="49" t="s">
        <v>1226</v>
      </c>
      <c r="C22" s="51" t="s">
        <v>808</v>
      </c>
      <c r="D22" s="54"/>
      <c r="E22" s="5"/>
      <c r="F22" s="5"/>
      <c r="G22" s="5"/>
      <c r="K22" s="42"/>
      <c r="L22" s="45"/>
      <c r="M22" s="46"/>
      <c r="N22" s="47"/>
      <c r="AA22" s="5"/>
    </row>
    <row r="23" spans="1:27" ht="15.75" customHeight="1">
      <c r="A23" s="48" t="s">
        <v>2922</v>
      </c>
      <c r="B23" s="49" t="s">
        <v>249</v>
      </c>
      <c r="C23" s="51" t="s">
        <v>199</v>
      </c>
      <c r="D23" s="54"/>
      <c r="E23" s="5"/>
      <c r="F23" s="5"/>
      <c r="G23" s="5"/>
      <c r="K23" s="42"/>
      <c r="L23" s="43"/>
      <c r="M23" s="43"/>
      <c r="N23" s="42"/>
      <c r="O23" s="44"/>
      <c r="AA23" s="5"/>
    </row>
    <row r="24" spans="1:27" ht="15.75" customHeight="1">
      <c r="A24" s="48" t="s">
        <v>2923</v>
      </c>
      <c r="B24" s="49" t="s">
        <v>373</v>
      </c>
      <c r="C24" s="51" t="s">
        <v>208</v>
      </c>
      <c r="D24" s="54"/>
      <c r="E24" s="5"/>
      <c r="F24" s="5"/>
      <c r="G24" s="5"/>
      <c r="K24" s="52"/>
      <c r="L24" s="50"/>
      <c r="M24" s="51"/>
      <c r="N24" s="5"/>
      <c r="AA24" s="5"/>
    </row>
    <row r="25" spans="1:27" ht="15.75" customHeight="1">
      <c r="A25" s="48" t="s">
        <v>2924</v>
      </c>
      <c r="B25" s="49" t="s">
        <v>222</v>
      </c>
      <c r="C25" s="51" t="s">
        <v>192</v>
      </c>
      <c r="D25" s="54"/>
      <c r="E25" s="5"/>
      <c r="F25" s="5"/>
      <c r="G25" s="5"/>
      <c r="K25" s="52"/>
      <c r="L25" s="50"/>
      <c r="M25" s="51"/>
      <c r="N25" s="5"/>
      <c r="AA25" s="5"/>
    </row>
    <row r="26" spans="1:27" ht="15.75" customHeight="1">
      <c r="A26" s="48" t="s">
        <v>2925</v>
      </c>
      <c r="B26" s="49" t="s">
        <v>1370</v>
      </c>
      <c r="C26" s="51" t="s">
        <v>195</v>
      </c>
      <c r="D26" s="54"/>
      <c r="E26" s="5"/>
      <c r="F26" s="5"/>
      <c r="G26" s="5"/>
      <c r="K26" s="52"/>
      <c r="L26" s="50"/>
      <c r="M26" s="51"/>
      <c r="N26" s="51"/>
      <c r="AA26" s="5"/>
    </row>
    <row r="27" spans="1:27" ht="15.75" customHeight="1">
      <c r="A27" s="48" t="s">
        <v>2926</v>
      </c>
      <c r="B27" s="49" t="s">
        <v>1372</v>
      </c>
      <c r="C27" s="51" t="s">
        <v>205</v>
      </c>
      <c r="D27" s="54"/>
      <c r="E27" s="5"/>
      <c r="F27" s="51"/>
      <c r="G27" s="5"/>
      <c r="K27" s="52"/>
      <c r="L27" s="50"/>
      <c r="M27" s="51"/>
      <c r="N27" s="51"/>
      <c r="AA27" s="5"/>
    </row>
    <row r="28" spans="1:27" ht="15.75" customHeight="1">
      <c r="A28" s="48" t="s">
        <v>2927</v>
      </c>
      <c r="B28" s="49" t="s">
        <v>945</v>
      </c>
      <c r="C28" s="51" t="s">
        <v>195</v>
      </c>
      <c r="D28" s="54"/>
      <c r="E28" s="5"/>
      <c r="F28" s="5"/>
      <c r="G28" s="5"/>
      <c r="J28" s="5"/>
      <c r="K28" s="52"/>
      <c r="L28" s="50"/>
      <c r="M28" s="51"/>
      <c r="N28" s="5"/>
      <c r="P28" s="5"/>
    </row>
    <row r="29" spans="1:27" ht="15.75" customHeight="1">
      <c r="A29" s="48" t="s">
        <v>2928</v>
      </c>
      <c r="B29" s="49" t="s">
        <v>1378</v>
      </c>
      <c r="C29" s="51" t="s">
        <v>197</v>
      </c>
      <c r="D29" s="54"/>
      <c r="E29" s="5"/>
      <c r="F29" s="5"/>
      <c r="G29" s="5"/>
      <c r="J29" s="5"/>
      <c r="K29" s="52"/>
      <c r="L29" s="50"/>
      <c r="M29" s="51"/>
      <c r="N29" s="51"/>
      <c r="P29" s="5"/>
    </row>
    <row r="30" spans="1:27" ht="15.75" customHeight="1">
      <c r="A30" s="48" t="s">
        <v>2929</v>
      </c>
      <c r="B30" s="49" t="s">
        <v>1393</v>
      </c>
      <c r="C30" s="51" t="s">
        <v>225</v>
      </c>
      <c r="D30" s="51"/>
      <c r="E30" s="5"/>
      <c r="F30" s="5"/>
      <c r="G30" s="5"/>
      <c r="J30" s="5"/>
      <c r="K30" s="52"/>
      <c r="L30" s="50"/>
      <c r="M30" s="51"/>
      <c r="N30" s="5"/>
      <c r="P30" s="5"/>
    </row>
    <row r="31" spans="1:27" ht="15.75" customHeight="1">
      <c r="A31" s="48" t="s">
        <v>2930</v>
      </c>
      <c r="B31" s="49" t="s">
        <v>1357</v>
      </c>
      <c r="C31" s="51" t="s">
        <v>808</v>
      </c>
      <c r="D31" s="51"/>
      <c r="E31" s="5"/>
      <c r="F31" s="5"/>
      <c r="G31" s="5"/>
      <c r="J31" s="5"/>
      <c r="K31" s="52"/>
      <c r="L31" s="50"/>
      <c r="M31" s="51"/>
      <c r="N31" s="51"/>
      <c r="P31" s="5"/>
    </row>
    <row r="32" spans="1:27" ht="15.75" customHeight="1">
      <c r="A32" s="48" t="s">
        <v>2931</v>
      </c>
      <c r="B32" s="49" t="s">
        <v>258</v>
      </c>
      <c r="C32" s="51" t="s">
        <v>199</v>
      </c>
      <c r="D32" s="54"/>
      <c r="E32" s="5"/>
      <c r="F32" s="5"/>
      <c r="G32" s="5"/>
      <c r="J32" s="5"/>
      <c r="K32" s="52"/>
      <c r="L32" s="50"/>
      <c r="M32" s="51"/>
      <c r="N32" s="5"/>
      <c r="P32" s="5"/>
    </row>
    <row r="33" spans="1:16" ht="15.75" customHeight="1">
      <c r="A33" s="48" t="s">
        <v>2932</v>
      </c>
      <c r="B33" s="49" t="s">
        <v>1191</v>
      </c>
      <c r="C33" s="51" t="s">
        <v>199</v>
      </c>
      <c r="D33" s="54"/>
      <c r="E33" s="5"/>
      <c r="F33" s="5"/>
      <c r="G33" s="5"/>
      <c r="J33" s="5"/>
      <c r="K33" s="52"/>
      <c r="L33" s="50"/>
      <c r="M33" s="51"/>
      <c r="N33" s="5"/>
      <c r="P33" s="5"/>
    </row>
    <row r="34" spans="1:16" ht="15.75" customHeight="1">
      <c r="A34" s="48" t="s">
        <v>2933</v>
      </c>
      <c r="B34" s="49" t="s">
        <v>1839</v>
      </c>
      <c r="C34" s="51" t="s">
        <v>208</v>
      </c>
      <c r="D34" s="54"/>
      <c r="E34" s="5"/>
      <c r="F34" s="5"/>
      <c r="G34" s="5"/>
      <c r="J34" s="5"/>
      <c r="K34" s="52"/>
      <c r="L34" s="50"/>
      <c r="M34" s="51"/>
      <c r="N34" s="5"/>
      <c r="P34" s="5"/>
    </row>
    <row r="35" spans="1:16" ht="15.75" customHeight="1">
      <c r="A35" s="48" t="s">
        <v>2934</v>
      </c>
      <c r="B35" s="49" t="s">
        <v>1262</v>
      </c>
      <c r="C35" s="51" t="s">
        <v>195</v>
      </c>
      <c r="D35" s="54"/>
      <c r="E35" s="5"/>
      <c r="F35" s="5"/>
      <c r="G35" s="5"/>
      <c r="J35" s="5"/>
      <c r="K35" s="52"/>
      <c r="L35" s="50"/>
      <c r="M35" s="51"/>
      <c r="N35" s="51"/>
      <c r="P35" s="5"/>
    </row>
    <row r="36" spans="1:16" ht="15.75" customHeight="1">
      <c r="A36" s="48" t="s">
        <v>2935</v>
      </c>
      <c r="B36" s="49" t="s">
        <v>1265</v>
      </c>
      <c r="C36" s="51" t="s">
        <v>220</v>
      </c>
      <c r="D36" s="54"/>
      <c r="E36" s="5"/>
      <c r="F36" s="5"/>
      <c r="G36" s="5"/>
      <c r="J36" s="5"/>
      <c r="M36" s="5"/>
      <c r="N36" s="5"/>
      <c r="P36" s="5"/>
    </row>
    <row r="37" spans="1:16" ht="15.75" customHeight="1">
      <c r="A37" s="48" t="s">
        <v>2936</v>
      </c>
      <c r="B37" s="49" t="s">
        <v>267</v>
      </c>
      <c r="C37" s="51" t="s">
        <v>225</v>
      </c>
      <c r="D37" s="51"/>
      <c r="E37" s="5"/>
      <c r="F37" s="5"/>
      <c r="G37" s="5"/>
      <c r="J37" s="5"/>
      <c r="M37" s="5"/>
      <c r="N37" s="5"/>
    </row>
    <row r="38" spans="1:16" ht="15.75" customHeight="1">
      <c r="A38" s="48" t="s">
        <v>2937</v>
      </c>
      <c r="B38" s="49" t="s">
        <v>1802</v>
      </c>
      <c r="C38" s="51" t="s">
        <v>225</v>
      </c>
      <c r="D38" s="54"/>
      <c r="E38" s="5"/>
      <c r="F38" s="5"/>
      <c r="G38" s="5"/>
      <c r="J38" s="5"/>
      <c r="M38" s="51"/>
      <c r="N38" s="51"/>
    </row>
    <row r="39" spans="1:16" ht="15.75" customHeight="1">
      <c r="A39" s="48" t="s">
        <v>2938</v>
      </c>
      <c r="B39" s="49" t="s">
        <v>1198</v>
      </c>
      <c r="C39" s="51" t="s">
        <v>220</v>
      </c>
      <c r="D39" s="54"/>
      <c r="E39" s="5"/>
      <c r="F39" s="5"/>
      <c r="G39" s="5"/>
      <c r="J39" s="5"/>
      <c r="M39" s="51"/>
      <c r="N39" s="51"/>
    </row>
    <row r="40" spans="1:16" ht="15.75" customHeight="1">
      <c r="A40" s="48" t="s">
        <v>2939</v>
      </c>
      <c r="B40" s="49" t="s">
        <v>1420</v>
      </c>
      <c r="C40" s="51" t="s">
        <v>808</v>
      </c>
      <c r="D40" s="51"/>
      <c r="E40" s="5"/>
      <c r="F40" s="5"/>
      <c r="G40" s="5"/>
      <c r="J40" s="5"/>
      <c r="M40" s="51"/>
      <c r="N40" s="51"/>
    </row>
    <row r="41" spans="1:16" ht="15.75" customHeight="1">
      <c r="A41" s="48" t="s">
        <v>2940</v>
      </c>
      <c r="B41" s="49" t="s">
        <v>1855</v>
      </c>
      <c r="C41" s="51" t="s">
        <v>208</v>
      </c>
      <c r="D41" s="54"/>
      <c r="E41" s="5"/>
      <c r="F41" s="5"/>
      <c r="G41" s="5"/>
      <c r="J41" s="5"/>
      <c r="M41" s="51"/>
      <c r="N41" s="51"/>
    </row>
    <row r="42" spans="1:16" ht="15.75" customHeight="1">
      <c r="A42" s="48" t="s">
        <v>2941</v>
      </c>
      <c r="B42" s="49" t="s">
        <v>1246</v>
      </c>
      <c r="C42" s="51" t="s">
        <v>808</v>
      </c>
      <c r="D42" s="54"/>
      <c r="E42" s="5"/>
      <c r="F42" s="5"/>
      <c r="G42" s="5"/>
      <c r="J42" s="5"/>
      <c r="M42" s="51"/>
      <c r="N42" s="51"/>
    </row>
    <row r="43" spans="1:16" ht="15.75" customHeight="1">
      <c r="A43" s="48" t="s">
        <v>2942</v>
      </c>
      <c r="B43" s="49" t="s">
        <v>1521</v>
      </c>
      <c r="C43" s="51" t="s">
        <v>197</v>
      </c>
      <c r="D43" s="54"/>
      <c r="E43" s="5"/>
      <c r="F43" s="5"/>
      <c r="G43" s="5"/>
      <c r="J43" s="5"/>
      <c r="M43" s="51"/>
      <c r="N43" s="51"/>
    </row>
    <row r="44" spans="1:16" ht="15.75" customHeight="1">
      <c r="A44" s="48" t="s">
        <v>2943</v>
      </c>
      <c r="B44" s="49" t="s">
        <v>1524</v>
      </c>
      <c r="C44" s="51" t="s">
        <v>197</v>
      </c>
      <c r="D44" s="51"/>
      <c r="E44" s="5"/>
      <c r="F44" s="5"/>
      <c r="G44" s="5"/>
      <c r="J44" s="5"/>
      <c r="M44" s="51"/>
      <c r="N44" s="51"/>
    </row>
    <row r="45" spans="1:16" ht="15.75" customHeight="1">
      <c r="A45" s="48" t="s">
        <v>2944</v>
      </c>
      <c r="B45" s="49" t="s">
        <v>1282</v>
      </c>
      <c r="C45" s="51" t="s">
        <v>197</v>
      </c>
      <c r="D45" s="51"/>
      <c r="E45" s="5"/>
      <c r="F45" s="5"/>
      <c r="G45" s="5"/>
      <c r="J45" s="5"/>
      <c r="M45" s="51"/>
      <c r="N45" s="51"/>
      <c r="P45" s="5"/>
    </row>
    <row r="46" spans="1:16" ht="15.75" customHeight="1">
      <c r="A46" s="48" t="s">
        <v>2945</v>
      </c>
      <c r="B46" s="49" t="s">
        <v>1250</v>
      </c>
      <c r="C46" s="51" t="s">
        <v>220</v>
      </c>
      <c r="D46" s="51"/>
      <c r="E46" s="5"/>
      <c r="F46" s="5"/>
      <c r="G46" s="5"/>
      <c r="J46" s="5"/>
      <c r="M46" s="51"/>
      <c r="N46" s="51"/>
      <c r="P46" s="5"/>
    </row>
    <row r="47" spans="1:16" ht="15.75" customHeight="1">
      <c r="A47" s="48" t="s">
        <v>2946</v>
      </c>
      <c r="B47" s="49" t="s">
        <v>1526</v>
      </c>
      <c r="C47" s="51" t="s">
        <v>197</v>
      </c>
      <c r="D47" s="51"/>
      <c r="E47" s="5"/>
      <c r="F47" s="5"/>
      <c r="G47" s="5"/>
      <c r="J47" s="5"/>
      <c r="M47" s="5"/>
      <c r="N47" s="5"/>
      <c r="P47" s="5"/>
    </row>
    <row r="48" spans="1:16" ht="15.75" customHeight="1">
      <c r="A48" s="48" t="s">
        <v>2947</v>
      </c>
      <c r="B48" s="49" t="s">
        <v>1400</v>
      </c>
      <c r="C48" s="51" t="s">
        <v>195</v>
      </c>
      <c r="D48" s="51"/>
      <c r="E48" s="5"/>
      <c r="F48" s="5"/>
      <c r="G48" s="5"/>
      <c r="J48" s="5"/>
      <c r="M48" s="5"/>
      <c r="N48" s="5"/>
      <c r="P48" s="5"/>
    </row>
    <row r="49" spans="1:16" ht="15.75" customHeight="1">
      <c r="A49" s="48" t="s">
        <v>2948</v>
      </c>
      <c r="B49" s="49" t="s">
        <v>1197</v>
      </c>
      <c r="C49" s="51" t="s">
        <v>220</v>
      </c>
      <c r="D49" s="54"/>
      <c r="E49" s="5"/>
      <c r="F49" s="5"/>
      <c r="G49" s="5"/>
      <c r="J49" s="5"/>
      <c r="M49" s="5"/>
      <c r="N49" s="5"/>
      <c r="P49" s="5"/>
    </row>
    <row r="50" spans="1:16" ht="15.75" customHeight="1">
      <c r="A50" s="48" t="s">
        <v>2949</v>
      </c>
      <c r="B50" s="49" t="s">
        <v>1432</v>
      </c>
      <c r="C50" s="51" t="s">
        <v>205</v>
      </c>
      <c r="D50" s="51"/>
      <c r="E50" s="5"/>
      <c r="F50" s="5"/>
      <c r="G50" s="5"/>
      <c r="J50" s="5"/>
      <c r="M50" s="5"/>
      <c r="N50" s="5"/>
      <c r="P50" s="5"/>
    </row>
    <row r="51" spans="1:16" ht="15.75" customHeight="1">
      <c r="A51" s="48" t="s">
        <v>2950</v>
      </c>
      <c r="B51" s="49" t="s">
        <v>1288</v>
      </c>
      <c r="C51" s="51" t="s">
        <v>808</v>
      </c>
      <c r="D51" s="54"/>
      <c r="E51" s="5"/>
      <c r="F51" s="5"/>
      <c r="G51" s="5"/>
      <c r="J51" s="5"/>
      <c r="M51" s="5"/>
      <c r="N51" s="5"/>
      <c r="P51" s="5"/>
    </row>
    <row r="52" spans="1:16" ht="15.75" customHeight="1">
      <c r="A52" s="48" t="s">
        <v>2951</v>
      </c>
      <c r="B52" s="49" t="s">
        <v>278</v>
      </c>
      <c r="C52" s="51" t="s">
        <v>199</v>
      </c>
      <c r="D52" s="54"/>
      <c r="E52" s="5"/>
      <c r="F52" s="5"/>
      <c r="G52" s="5"/>
      <c r="J52" s="5"/>
      <c r="M52" s="5"/>
      <c r="N52" s="5"/>
      <c r="P52" s="5"/>
    </row>
    <row r="53" spans="1:16" ht="13">
      <c r="A53" s="48" t="s">
        <v>2952</v>
      </c>
      <c r="B53" s="49" t="s">
        <v>860</v>
      </c>
      <c r="C53" s="51" t="s">
        <v>192</v>
      </c>
      <c r="D53" s="51"/>
      <c r="E53" s="5"/>
      <c r="F53" s="5"/>
      <c r="G53" s="5"/>
      <c r="J53" s="5"/>
      <c r="M53" s="5"/>
      <c r="N53" s="5"/>
      <c r="P53" s="5"/>
    </row>
    <row r="54" spans="1:16" ht="13">
      <c r="A54" s="48" t="s">
        <v>2953</v>
      </c>
      <c r="B54" s="49" t="s">
        <v>1437</v>
      </c>
      <c r="C54" s="51" t="s">
        <v>195</v>
      </c>
      <c r="D54" s="54"/>
      <c r="E54" s="5"/>
      <c r="F54" s="5"/>
      <c r="G54" s="5"/>
      <c r="J54" s="5"/>
      <c r="M54" s="5"/>
      <c r="N54" s="5"/>
      <c r="P54" s="5"/>
    </row>
    <row r="55" spans="1:16" ht="13">
      <c r="A55" s="48" t="s">
        <v>2954</v>
      </c>
      <c r="B55" s="49" t="s">
        <v>383</v>
      </c>
      <c r="C55" s="51" t="s">
        <v>225</v>
      </c>
      <c r="D55" s="51"/>
      <c r="E55" s="5"/>
      <c r="F55" s="5"/>
      <c r="G55" s="5"/>
      <c r="J55" s="5"/>
      <c r="M55" s="5"/>
      <c r="N55" s="5"/>
      <c r="P55" s="5"/>
    </row>
    <row r="56" spans="1:16" ht="13">
      <c r="A56" s="48" t="s">
        <v>2955</v>
      </c>
      <c r="B56" s="49" t="s">
        <v>1412</v>
      </c>
      <c r="C56" s="51" t="s">
        <v>205</v>
      </c>
      <c r="D56" s="54"/>
      <c r="E56" s="5"/>
      <c r="F56" s="5"/>
      <c r="G56" s="5"/>
      <c r="J56" s="5"/>
      <c r="M56" s="5"/>
      <c r="N56" s="5"/>
      <c r="P56" s="5"/>
    </row>
    <row r="57" spans="1:16" ht="13">
      <c r="A57" s="48" t="s">
        <v>2956</v>
      </c>
      <c r="B57" s="49" t="s">
        <v>284</v>
      </c>
      <c r="C57" s="51" t="s">
        <v>225</v>
      </c>
      <c r="D57" s="51"/>
      <c r="E57" s="5"/>
      <c r="F57" s="5"/>
      <c r="G57" s="5"/>
      <c r="J57" s="5"/>
      <c r="M57" s="5"/>
      <c r="N57" s="5"/>
      <c r="P57" s="5"/>
    </row>
    <row r="58" spans="1:16" ht="13">
      <c r="A58" s="48" t="s">
        <v>2957</v>
      </c>
      <c r="B58" s="49" t="s">
        <v>285</v>
      </c>
      <c r="C58" s="51" t="s">
        <v>192</v>
      </c>
      <c r="D58" s="54"/>
      <c r="E58" s="5"/>
      <c r="F58" s="5"/>
      <c r="G58" s="5"/>
      <c r="J58" s="5"/>
      <c r="M58" s="5"/>
      <c r="N58" s="5"/>
      <c r="P58" s="5"/>
    </row>
    <row r="59" spans="1:16" ht="13">
      <c r="A59" s="48" t="s">
        <v>2958</v>
      </c>
      <c r="B59" s="49" t="s">
        <v>1541</v>
      </c>
      <c r="C59" s="51" t="s">
        <v>225</v>
      </c>
      <c r="D59" s="54"/>
      <c r="E59" s="5"/>
      <c r="F59" s="5"/>
      <c r="G59" s="5"/>
      <c r="J59" s="5"/>
      <c r="M59" s="5"/>
      <c r="N59" s="5"/>
      <c r="P59" s="5"/>
    </row>
    <row r="60" spans="1:16" ht="13">
      <c r="A60" s="48" t="s">
        <v>2959</v>
      </c>
      <c r="B60" s="49" t="s">
        <v>385</v>
      </c>
      <c r="C60" s="51" t="s">
        <v>208</v>
      </c>
      <c r="D60" s="54"/>
      <c r="E60" s="5"/>
      <c r="F60" s="5"/>
      <c r="G60" s="5"/>
      <c r="J60" s="5"/>
      <c r="M60" s="5"/>
      <c r="N60" s="5"/>
      <c r="P60" s="5"/>
    </row>
    <row r="61" spans="1:16" ht="13">
      <c r="A61" s="48" t="s">
        <v>2960</v>
      </c>
      <c r="B61" s="49" t="s">
        <v>191</v>
      </c>
      <c r="C61" s="51" t="s">
        <v>192</v>
      </c>
      <c r="D61" s="54"/>
      <c r="E61" s="5"/>
      <c r="F61" s="5"/>
      <c r="G61" s="5"/>
      <c r="J61" s="5"/>
      <c r="M61" s="5"/>
      <c r="N61" s="5"/>
      <c r="P61" s="5"/>
    </row>
    <row r="62" spans="1:16" ht="13">
      <c r="A62" s="48" t="s">
        <v>2961</v>
      </c>
      <c r="B62" s="49" t="s">
        <v>1303</v>
      </c>
      <c r="C62" s="51" t="s">
        <v>808</v>
      </c>
      <c r="D62" s="54"/>
      <c r="E62" s="5"/>
      <c r="F62" s="5"/>
      <c r="G62" s="5"/>
      <c r="J62" s="5"/>
      <c r="M62" s="5"/>
      <c r="N62" s="5"/>
      <c r="P62" s="5"/>
    </row>
    <row r="63" spans="1:16" ht="13">
      <c r="A63" s="48" t="s">
        <v>2962</v>
      </c>
      <c r="B63" s="49" t="s">
        <v>1307</v>
      </c>
      <c r="C63" s="51" t="s">
        <v>195</v>
      </c>
      <c r="D63" s="54"/>
      <c r="E63" s="5"/>
      <c r="F63" s="5"/>
      <c r="G63" s="5"/>
      <c r="J63" s="5"/>
      <c r="M63" s="5"/>
      <c r="N63" s="5"/>
      <c r="P63" s="5"/>
    </row>
    <row r="64" spans="1:16" ht="13">
      <c r="A64" s="48" t="s">
        <v>2963</v>
      </c>
      <c r="B64" s="49" t="s">
        <v>1454</v>
      </c>
      <c r="C64" s="51" t="s">
        <v>205</v>
      </c>
      <c r="D64" s="51"/>
      <c r="E64" s="5"/>
      <c r="F64" s="5"/>
      <c r="G64" s="5"/>
      <c r="J64" s="5"/>
      <c r="M64" s="5"/>
      <c r="N64" s="5"/>
      <c r="P64" s="5"/>
    </row>
    <row r="65" spans="1:16" ht="13">
      <c r="A65" s="48" t="s">
        <v>2964</v>
      </c>
      <c r="B65" s="49" t="s">
        <v>1548</v>
      </c>
      <c r="C65" s="51" t="s">
        <v>195</v>
      </c>
      <c r="D65" s="51"/>
      <c r="E65" s="5"/>
      <c r="F65" s="5"/>
      <c r="G65" s="5"/>
      <c r="J65" s="5"/>
      <c r="M65" s="5"/>
      <c r="N65" s="5"/>
      <c r="P65" s="5"/>
    </row>
    <row r="66" spans="1:16" ht="13">
      <c r="A66" s="48" t="s">
        <v>2965</v>
      </c>
      <c r="B66" s="49" t="s">
        <v>1276</v>
      </c>
      <c r="C66" s="51" t="s">
        <v>197</v>
      </c>
      <c r="D66" s="51"/>
      <c r="E66" s="5"/>
      <c r="F66" s="5"/>
      <c r="G66" s="5"/>
      <c r="J66" s="5"/>
      <c r="M66" s="5"/>
      <c r="N66" s="5"/>
      <c r="P66" s="5"/>
    </row>
    <row r="67" spans="1:16" ht="13">
      <c r="A67" s="48" t="s">
        <v>2966</v>
      </c>
      <c r="B67" s="49" t="s">
        <v>1278</v>
      </c>
      <c r="C67" s="51" t="s">
        <v>197</v>
      </c>
      <c r="D67" s="51"/>
      <c r="E67" s="5"/>
      <c r="F67" s="5"/>
      <c r="G67" s="5"/>
      <c r="J67" s="5"/>
      <c r="M67" s="5"/>
      <c r="N67" s="5"/>
      <c r="P67" s="5"/>
    </row>
    <row r="68" spans="1:16" ht="13">
      <c r="A68" s="48" t="s">
        <v>2967</v>
      </c>
      <c r="B68" s="49" t="s">
        <v>1550</v>
      </c>
      <c r="C68" s="51" t="s">
        <v>208</v>
      </c>
      <c r="D68" s="51"/>
      <c r="E68" s="5"/>
      <c r="F68" s="5"/>
      <c r="G68" s="5"/>
      <c r="J68" s="5"/>
      <c r="M68" s="5"/>
      <c r="N68" s="5"/>
      <c r="P68" s="5"/>
    </row>
    <row r="69" spans="1:16" ht="13">
      <c r="A69" s="48" t="s">
        <v>2968</v>
      </c>
      <c r="B69" s="49" t="s">
        <v>1888</v>
      </c>
      <c r="C69" s="51" t="s">
        <v>208</v>
      </c>
      <c r="D69" s="51"/>
      <c r="E69" s="5"/>
      <c r="F69" s="5"/>
      <c r="G69" s="5"/>
      <c r="J69" s="5"/>
      <c r="M69" s="5"/>
      <c r="N69" s="5"/>
      <c r="P69" s="5"/>
    </row>
    <row r="70" spans="1:16" ht="13">
      <c r="A70" s="48" t="s">
        <v>2969</v>
      </c>
      <c r="B70" s="49" t="s">
        <v>1587</v>
      </c>
      <c r="C70" s="51" t="s">
        <v>197</v>
      </c>
      <c r="D70" s="54"/>
      <c r="E70" s="5"/>
      <c r="F70" s="5"/>
      <c r="G70" s="5"/>
      <c r="J70" s="5"/>
      <c r="M70" s="5"/>
      <c r="N70" s="5"/>
      <c r="P70" s="5"/>
    </row>
    <row r="71" spans="1:16" ht="13">
      <c r="A71" s="48" t="s">
        <v>2970</v>
      </c>
      <c r="B71" s="49" t="s">
        <v>1190</v>
      </c>
      <c r="C71" s="51" t="s">
        <v>199</v>
      </c>
      <c r="D71" s="51"/>
      <c r="J71" s="5"/>
      <c r="M71" s="5"/>
      <c r="N71" s="5"/>
      <c r="P71" s="5"/>
    </row>
    <row r="72" spans="1:16" ht="13">
      <c r="A72" s="48" t="s">
        <v>2971</v>
      </c>
      <c r="B72" s="49" t="s">
        <v>1461</v>
      </c>
      <c r="C72" s="51" t="s">
        <v>225</v>
      </c>
      <c r="D72" s="54"/>
      <c r="E72" s="5"/>
      <c r="F72" s="5"/>
      <c r="G72" s="5"/>
      <c r="J72" s="5"/>
      <c r="M72" s="5"/>
      <c r="N72" s="5"/>
      <c r="P72" s="5"/>
    </row>
    <row r="73" spans="1:16" ht="13">
      <c r="A73" s="48" t="s">
        <v>2972</v>
      </c>
      <c r="B73" s="49" t="s">
        <v>299</v>
      </c>
      <c r="C73" s="51" t="s">
        <v>199</v>
      </c>
      <c r="D73" s="54"/>
      <c r="E73" s="5"/>
      <c r="F73" s="5"/>
      <c r="G73" s="5"/>
      <c r="J73" s="5"/>
      <c r="M73" s="5"/>
      <c r="N73" s="5"/>
      <c r="P73" s="5"/>
    </row>
    <row r="74" spans="1:16" ht="13">
      <c r="A74" s="48" t="s">
        <v>2973</v>
      </c>
      <c r="B74" s="49" t="s">
        <v>1428</v>
      </c>
      <c r="C74" s="51" t="s">
        <v>195</v>
      </c>
      <c r="D74" s="54"/>
      <c r="E74" s="5"/>
      <c r="F74" s="5"/>
      <c r="G74" s="5"/>
      <c r="J74" s="5"/>
      <c r="M74" s="5"/>
      <c r="N74" s="5"/>
      <c r="P74" s="5"/>
    </row>
    <row r="75" spans="1:16" ht="13">
      <c r="A75" s="48" t="s">
        <v>2974</v>
      </c>
      <c r="B75" s="49" t="s">
        <v>2306</v>
      </c>
      <c r="C75" s="51" t="s">
        <v>229</v>
      </c>
      <c r="D75" s="54"/>
      <c r="E75" s="5"/>
      <c r="F75" s="5"/>
      <c r="G75" s="5"/>
      <c r="J75" s="5"/>
      <c r="M75" s="5"/>
      <c r="N75" s="5"/>
      <c r="P75" s="5"/>
    </row>
    <row r="76" spans="1:16" ht="13">
      <c r="A76" s="48" t="s">
        <v>2975</v>
      </c>
      <c r="B76" s="49" t="s">
        <v>2976</v>
      </c>
      <c r="C76" s="51" t="s">
        <v>229</v>
      </c>
      <c r="D76" s="54"/>
      <c r="E76" s="5"/>
      <c r="F76" s="5"/>
      <c r="G76" s="5"/>
      <c r="J76" s="5"/>
      <c r="M76" s="5"/>
      <c r="N76" s="5"/>
      <c r="P76" s="5"/>
    </row>
    <row r="77" spans="1:16" ht="13">
      <c r="A77" s="48" t="s">
        <v>2977</v>
      </c>
      <c r="B77" s="49" t="s">
        <v>1598</v>
      </c>
      <c r="C77" s="51" t="s">
        <v>206</v>
      </c>
      <c r="D77" s="54"/>
      <c r="E77" s="5"/>
      <c r="F77" s="5"/>
      <c r="G77" s="5"/>
      <c r="J77" s="5"/>
      <c r="M77" s="5"/>
      <c r="N77" s="5"/>
      <c r="P77" s="5"/>
    </row>
    <row r="78" spans="1:16" ht="13">
      <c r="A78" s="48" t="s">
        <v>2978</v>
      </c>
      <c r="B78" s="49" t="s">
        <v>1016</v>
      </c>
      <c r="C78" s="51" t="s">
        <v>206</v>
      </c>
      <c r="D78" s="54"/>
      <c r="E78" s="5"/>
      <c r="F78" s="5"/>
      <c r="G78" s="5"/>
      <c r="J78" s="5"/>
      <c r="M78" s="5"/>
      <c r="N78" s="5"/>
      <c r="P78" s="5"/>
    </row>
    <row r="79" spans="1:16" ht="13">
      <c r="A79" s="48" t="s">
        <v>2979</v>
      </c>
      <c r="B79" s="49" t="s">
        <v>1140</v>
      </c>
      <c r="C79" s="51" t="s">
        <v>206</v>
      </c>
      <c r="D79" s="54"/>
      <c r="E79" s="5"/>
      <c r="F79" s="5"/>
      <c r="G79" s="5"/>
      <c r="J79" s="5"/>
      <c r="M79" s="5"/>
      <c r="N79" s="5"/>
      <c r="P79" s="5"/>
    </row>
    <row r="80" spans="1:16" ht="13">
      <c r="A80" s="48" t="s">
        <v>2980</v>
      </c>
      <c r="B80" s="49" t="s">
        <v>2981</v>
      </c>
      <c r="C80" s="51" t="s">
        <v>229</v>
      </c>
      <c r="D80" s="54"/>
      <c r="E80" s="5"/>
      <c r="F80" s="5"/>
      <c r="G80" s="5"/>
      <c r="J80" s="5"/>
      <c r="M80" s="5"/>
      <c r="N80" s="5"/>
      <c r="P80" s="5"/>
    </row>
    <row r="81" spans="1:16" ht="13">
      <c r="A81" s="48" t="s">
        <v>2982</v>
      </c>
      <c r="B81" s="49" t="s">
        <v>2029</v>
      </c>
      <c r="C81" s="51" t="s">
        <v>206</v>
      </c>
      <c r="D81" s="54"/>
      <c r="E81" s="5"/>
      <c r="F81" s="5"/>
      <c r="G81" s="5"/>
      <c r="J81" s="5"/>
      <c r="M81" s="5"/>
      <c r="N81" s="5"/>
      <c r="P81" s="5"/>
    </row>
    <row r="82" spans="1:16" ht="13">
      <c r="A82" s="48" t="s">
        <v>2983</v>
      </c>
      <c r="B82" s="49" t="s">
        <v>658</v>
      </c>
      <c r="C82" s="51" t="s">
        <v>206</v>
      </c>
      <c r="D82" s="54"/>
      <c r="E82" s="5"/>
      <c r="F82" s="5"/>
      <c r="G82" s="5"/>
      <c r="J82" s="5"/>
      <c r="M82" s="5"/>
      <c r="N82" s="5"/>
      <c r="P82" s="5"/>
    </row>
    <row r="83" spans="1:16" ht="13">
      <c r="A83" s="48" t="s">
        <v>2984</v>
      </c>
      <c r="B83" s="49" t="s">
        <v>2985</v>
      </c>
      <c r="C83" s="51" t="s">
        <v>229</v>
      </c>
      <c r="D83" s="54"/>
      <c r="E83" s="5"/>
      <c r="F83" s="5"/>
      <c r="G83" s="5"/>
      <c r="J83" s="5"/>
      <c r="M83" s="5"/>
      <c r="N83" s="5"/>
      <c r="P83" s="5"/>
    </row>
    <row r="84" spans="1:16" ht="13">
      <c r="A84" s="48" t="s">
        <v>2986</v>
      </c>
      <c r="B84" s="49" t="s">
        <v>1340</v>
      </c>
      <c r="C84" s="51" t="s">
        <v>1013</v>
      </c>
      <c r="D84" s="54"/>
      <c r="E84" s="5"/>
      <c r="F84" s="51"/>
      <c r="G84" s="5"/>
      <c r="J84" s="5"/>
      <c r="M84" s="5"/>
      <c r="N84" s="5"/>
      <c r="P84" s="5"/>
    </row>
    <row r="85" spans="1:16" ht="13">
      <c r="A85" s="48" t="s">
        <v>2987</v>
      </c>
      <c r="B85" s="49" t="s">
        <v>2317</v>
      </c>
      <c r="C85" s="51" t="s">
        <v>1013</v>
      </c>
      <c r="D85" s="54"/>
      <c r="E85" s="5"/>
      <c r="F85" s="5"/>
      <c r="G85" s="5"/>
      <c r="J85" s="5"/>
      <c r="M85" s="5"/>
      <c r="N85" s="5"/>
      <c r="P85" s="5"/>
    </row>
    <row r="86" spans="1:16" ht="13">
      <c r="A86" s="48" t="s">
        <v>2988</v>
      </c>
      <c r="B86" s="49" t="s">
        <v>2989</v>
      </c>
      <c r="C86" s="51" t="s">
        <v>229</v>
      </c>
      <c r="D86" s="51"/>
      <c r="E86" s="5"/>
      <c r="F86" s="5"/>
      <c r="G86" s="5"/>
      <c r="J86" s="5"/>
      <c r="M86" s="5"/>
      <c r="N86" s="5"/>
      <c r="P86" s="5"/>
    </row>
    <row r="87" spans="1:16" ht="13">
      <c r="A87" s="48" t="s">
        <v>2990</v>
      </c>
      <c r="B87" s="49" t="s">
        <v>1917</v>
      </c>
      <c r="C87" s="51" t="s">
        <v>1013</v>
      </c>
      <c r="D87" s="54"/>
      <c r="E87" s="5"/>
      <c r="F87" s="5"/>
      <c r="G87" s="5"/>
      <c r="J87" s="5"/>
      <c r="M87" s="5"/>
      <c r="N87" s="5"/>
      <c r="P87" s="5"/>
    </row>
    <row r="88" spans="1:16" ht="13">
      <c r="A88" s="48" t="s">
        <v>2991</v>
      </c>
      <c r="B88" s="49" t="s">
        <v>1474</v>
      </c>
      <c r="C88" s="51" t="s">
        <v>206</v>
      </c>
      <c r="D88" s="51"/>
      <c r="E88" s="5"/>
      <c r="F88" s="5"/>
      <c r="G88" s="5"/>
      <c r="J88" s="5"/>
      <c r="M88" s="5"/>
      <c r="N88" s="5"/>
      <c r="P88" s="5"/>
    </row>
    <row r="89" spans="1:16" ht="13">
      <c r="A89" s="48" t="s">
        <v>2992</v>
      </c>
      <c r="B89" s="49" t="s">
        <v>391</v>
      </c>
      <c r="C89" s="51" t="s">
        <v>206</v>
      </c>
      <c r="D89" s="54"/>
      <c r="E89" s="5"/>
      <c r="F89" s="5"/>
      <c r="G89" s="5"/>
      <c r="J89" s="5"/>
      <c r="M89" s="5"/>
      <c r="N89" s="5"/>
      <c r="P89" s="5"/>
    </row>
    <row r="90" spans="1:16" ht="13">
      <c r="A90" s="48" t="s">
        <v>2993</v>
      </c>
      <c r="B90" s="49" t="s">
        <v>1477</v>
      </c>
      <c r="C90" s="51" t="s">
        <v>206</v>
      </c>
      <c r="D90" s="51"/>
      <c r="E90" s="5"/>
      <c r="F90" s="5"/>
      <c r="G90" s="5"/>
      <c r="J90" s="5"/>
      <c r="M90" s="5"/>
      <c r="N90" s="5"/>
      <c r="P90" s="5"/>
    </row>
    <row r="91" spans="1:16" ht="13">
      <c r="A91" s="48" t="s">
        <v>2994</v>
      </c>
      <c r="B91" s="49" t="s">
        <v>933</v>
      </c>
      <c r="C91" s="51" t="s">
        <v>317</v>
      </c>
      <c r="D91" s="54"/>
      <c r="E91" s="5"/>
      <c r="F91" s="5"/>
      <c r="G91" s="5"/>
      <c r="J91" s="5"/>
      <c r="M91" s="5"/>
      <c r="N91" s="5"/>
      <c r="P91" s="5"/>
    </row>
    <row r="92" spans="1:16" ht="13">
      <c r="A92" s="48" t="s">
        <v>2995</v>
      </c>
      <c r="B92" s="49" t="s">
        <v>798</v>
      </c>
      <c r="C92" s="51" t="s">
        <v>317</v>
      </c>
      <c r="D92" s="54"/>
      <c r="E92" s="5"/>
      <c r="F92" s="5"/>
      <c r="G92" s="5"/>
      <c r="J92" s="5"/>
      <c r="M92" s="5"/>
      <c r="N92" s="5"/>
      <c r="P92" s="5"/>
    </row>
    <row r="93" spans="1:16" ht="13">
      <c r="A93" s="48" t="s">
        <v>2996</v>
      </c>
      <c r="B93" s="49" t="s">
        <v>1479</v>
      </c>
      <c r="C93" s="51" t="s">
        <v>317</v>
      </c>
      <c r="D93" s="54"/>
      <c r="E93" s="5"/>
      <c r="F93" s="5"/>
      <c r="G93" s="5"/>
      <c r="J93" s="5"/>
      <c r="M93" s="5"/>
      <c r="N93" s="5"/>
      <c r="P93" s="5"/>
    </row>
    <row r="94" spans="1:16" ht="13">
      <c r="A94" s="48" t="s">
        <v>2997</v>
      </c>
      <c r="B94" s="49" t="s">
        <v>1184</v>
      </c>
      <c r="C94" s="51" t="s">
        <v>317</v>
      </c>
      <c r="D94" s="54"/>
      <c r="E94" s="5"/>
      <c r="F94" s="5"/>
      <c r="G94" s="5"/>
      <c r="J94" s="5"/>
      <c r="M94" s="5"/>
      <c r="N94" s="5"/>
      <c r="P94" s="5"/>
    </row>
    <row r="95" spans="1:16" ht="13">
      <c r="A95" s="48" t="s">
        <v>2998</v>
      </c>
      <c r="B95" s="49" t="s">
        <v>1173</v>
      </c>
      <c r="C95" s="51" t="s">
        <v>317</v>
      </c>
      <c r="D95" s="54"/>
      <c r="E95" s="5"/>
      <c r="F95" s="5"/>
      <c r="G95" s="5"/>
      <c r="J95" s="5"/>
      <c r="M95" s="5"/>
      <c r="N95" s="5"/>
      <c r="P95" s="5"/>
    </row>
    <row r="96" spans="1:16" ht="13">
      <c r="A96" s="48" t="s">
        <v>2999</v>
      </c>
      <c r="B96" s="49" t="s">
        <v>3000</v>
      </c>
      <c r="C96" s="51" t="s">
        <v>808</v>
      </c>
      <c r="D96" s="54"/>
      <c r="E96" s="5"/>
      <c r="F96" s="5"/>
      <c r="G96" s="5"/>
      <c r="J96" s="5"/>
      <c r="M96" s="5"/>
      <c r="N96" s="5"/>
      <c r="P96" s="5"/>
    </row>
    <row r="97" spans="1:16" ht="13">
      <c r="A97" s="48" t="s">
        <v>3001</v>
      </c>
      <c r="B97" s="49" t="s">
        <v>3002</v>
      </c>
      <c r="C97" s="51" t="s">
        <v>195</v>
      </c>
      <c r="D97" s="54"/>
      <c r="E97" s="5"/>
      <c r="F97" s="5"/>
      <c r="G97" s="5"/>
      <c r="J97" s="5"/>
      <c r="M97" s="5"/>
      <c r="N97" s="5"/>
      <c r="P97" s="5"/>
    </row>
    <row r="98" spans="1:16" ht="13">
      <c r="A98" s="48" t="s">
        <v>3003</v>
      </c>
      <c r="B98" s="49" t="s">
        <v>2755</v>
      </c>
      <c r="C98" s="51" t="s">
        <v>197</v>
      </c>
      <c r="D98" s="54"/>
      <c r="E98" s="5"/>
      <c r="F98" s="5"/>
      <c r="G98" s="5"/>
      <c r="J98" s="5"/>
      <c r="M98" s="5"/>
      <c r="N98" s="5"/>
      <c r="P98" s="5"/>
    </row>
    <row r="99" spans="1:16" ht="13">
      <c r="A99" s="48" t="s">
        <v>3004</v>
      </c>
      <c r="B99" s="49" t="s">
        <v>1921</v>
      </c>
      <c r="C99" s="51" t="s">
        <v>220</v>
      </c>
      <c r="D99" s="54"/>
      <c r="E99" s="5"/>
      <c r="F99" s="5"/>
      <c r="G99" s="5"/>
      <c r="J99" s="5"/>
      <c r="M99" s="5"/>
      <c r="N99" s="5"/>
      <c r="P99" s="5"/>
    </row>
    <row r="100" spans="1:16" ht="13">
      <c r="A100" s="48" t="s">
        <v>3005</v>
      </c>
      <c r="B100" s="49" t="s">
        <v>2221</v>
      </c>
      <c r="C100" s="51" t="s">
        <v>197</v>
      </c>
      <c r="D100" s="54"/>
      <c r="E100" s="5"/>
      <c r="F100" s="5"/>
      <c r="G100" s="5"/>
      <c r="J100" s="5"/>
      <c r="M100" s="5"/>
      <c r="N100" s="5"/>
      <c r="P100" s="5"/>
    </row>
    <row r="101" spans="1:16" ht="13">
      <c r="A101" s="48" t="s">
        <v>3006</v>
      </c>
      <c r="B101" s="49" t="s">
        <v>2838</v>
      </c>
      <c r="C101" s="51" t="s">
        <v>808</v>
      </c>
      <c r="D101" s="54"/>
      <c r="E101" s="5"/>
      <c r="F101" s="5"/>
      <c r="G101" s="5"/>
      <c r="J101" s="5"/>
      <c r="M101" s="5"/>
      <c r="N101" s="5"/>
      <c r="P101" s="5"/>
    </row>
    <row r="102" spans="1:16" ht="13">
      <c r="A102" s="48" t="s">
        <v>3007</v>
      </c>
      <c r="B102" s="49" t="s">
        <v>3008</v>
      </c>
      <c r="C102" s="51" t="s">
        <v>220</v>
      </c>
      <c r="D102" s="54"/>
      <c r="E102" s="5"/>
      <c r="F102" s="5"/>
      <c r="G102" s="5"/>
      <c r="J102" s="5"/>
      <c r="M102" s="5"/>
      <c r="N102" s="5"/>
      <c r="P102" s="5"/>
    </row>
    <row r="103" spans="1:16" ht="13">
      <c r="A103" s="48" t="s">
        <v>3009</v>
      </c>
      <c r="B103" s="49" t="s">
        <v>2759</v>
      </c>
      <c r="C103" s="51" t="s">
        <v>208</v>
      </c>
      <c r="D103" s="54"/>
      <c r="E103" s="5"/>
      <c r="F103" s="5"/>
      <c r="G103" s="5"/>
      <c r="J103" s="5"/>
      <c r="M103" s="5"/>
      <c r="N103" s="5"/>
      <c r="P103" s="5"/>
    </row>
    <row r="104" spans="1:16" ht="13">
      <c r="A104" s="48" t="s">
        <v>3010</v>
      </c>
      <c r="B104" s="58" t="str">
        <f>HYPERLINK("https://bulbapedia.bulbagarden.net/wiki/Flareon_%E2%98%86_(EX_Power_Keepers_100)","Flareon*")</f>
        <v>Flareon*</v>
      </c>
      <c r="C104" s="51" t="s">
        <v>199</v>
      </c>
      <c r="D104" s="54"/>
      <c r="E104" s="5"/>
      <c r="F104" s="5"/>
      <c r="G104" s="5"/>
      <c r="J104" s="5"/>
      <c r="M104" s="5"/>
      <c r="N104" s="5"/>
      <c r="P104" s="5"/>
    </row>
    <row r="105" spans="1:16" ht="13">
      <c r="A105" s="48" t="s">
        <v>3011</v>
      </c>
      <c r="B105" s="58" t="str">
        <f>HYPERLINK("https://bulbapedia.bulbagarden.net/wiki/Jolteon_%E2%98%86_(EX_Power_Keepers_101)","Jolteon*")</f>
        <v>Jolteon*</v>
      </c>
      <c r="C105" s="51" t="s">
        <v>208</v>
      </c>
      <c r="D105" s="54"/>
      <c r="E105" s="5"/>
      <c r="F105" s="5"/>
      <c r="G105" s="5"/>
      <c r="J105" s="5"/>
      <c r="M105" s="5"/>
      <c r="N105" s="5"/>
      <c r="P105" s="5"/>
    </row>
    <row r="106" spans="1:16" ht="13">
      <c r="A106" s="48" t="s">
        <v>3012</v>
      </c>
      <c r="B106" s="58" t="str">
        <f>HYPERLINK("https://bulbapedia.bulbagarden.net/wiki/Vaporeon_%E2%98%86_(EX_Power_Keepers_102)","Vaporeon*")</f>
        <v>Vaporeon*</v>
      </c>
      <c r="C106" s="51" t="s">
        <v>192</v>
      </c>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4"/>
      <c r="E108" s="5"/>
      <c r="F108" s="5"/>
      <c r="G108" s="5"/>
      <c r="J108" s="5"/>
      <c r="M108" s="5"/>
      <c r="N108" s="5"/>
      <c r="P108" s="5"/>
    </row>
    <row r="109" spans="1:16" ht="13">
      <c r="A109" s="48"/>
      <c r="B109" s="50"/>
      <c r="C109" s="51"/>
      <c r="D109" s="54"/>
      <c r="E109" s="5"/>
      <c r="F109" s="5"/>
      <c r="G109" s="5"/>
      <c r="J109" s="5"/>
      <c r="M109" s="5"/>
      <c r="N109" s="5"/>
      <c r="P109" s="5"/>
    </row>
    <row r="110" spans="1:16" ht="13">
      <c r="A110" s="48"/>
      <c r="B110" s="50"/>
      <c r="C110" s="51"/>
      <c r="D110" s="54"/>
      <c r="E110" s="5"/>
      <c r="F110" s="5"/>
      <c r="G110" s="5"/>
      <c r="J110" s="5"/>
      <c r="M110" s="5"/>
      <c r="N110" s="5"/>
      <c r="P110" s="5"/>
    </row>
    <row r="111" spans="1:16" ht="13">
      <c r="A111" s="48"/>
      <c r="B111" s="50"/>
      <c r="C111" s="51"/>
      <c r="D111" s="54"/>
      <c r="E111" s="5"/>
      <c r="F111" s="5"/>
      <c r="G111" s="5"/>
      <c r="J111" s="5"/>
      <c r="M111" s="5"/>
      <c r="N111" s="5"/>
      <c r="P111" s="5"/>
    </row>
    <row r="112" spans="1:16" ht="13">
      <c r="A112" s="48"/>
      <c r="B112" s="50"/>
      <c r="C112" s="51"/>
      <c r="D112" s="54"/>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500-000000000000}"/>
    <hyperlink ref="B6" r:id="rId2" xr:uid="{00000000-0004-0000-2500-000001000000}"/>
    <hyperlink ref="B7" r:id="rId3" xr:uid="{00000000-0004-0000-2500-000002000000}"/>
    <hyperlink ref="B8" r:id="rId4" xr:uid="{00000000-0004-0000-2500-000003000000}"/>
    <hyperlink ref="B9" r:id="rId5" xr:uid="{00000000-0004-0000-2500-000004000000}"/>
    <hyperlink ref="B10" r:id="rId6" xr:uid="{00000000-0004-0000-2500-000005000000}"/>
    <hyperlink ref="B11" r:id="rId7" xr:uid="{00000000-0004-0000-2500-000006000000}"/>
    <hyperlink ref="B12" r:id="rId8" xr:uid="{00000000-0004-0000-2500-000007000000}"/>
    <hyperlink ref="B13" r:id="rId9" xr:uid="{00000000-0004-0000-2500-000008000000}"/>
    <hyperlink ref="B14" r:id="rId10" xr:uid="{00000000-0004-0000-2500-000009000000}"/>
    <hyperlink ref="B15" r:id="rId11" xr:uid="{00000000-0004-0000-2500-00000A000000}"/>
    <hyperlink ref="B16" r:id="rId12" xr:uid="{00000000-0004-0000-2500-00000B000000}"/>
    <hyperlink ref="B17" r:id="rId13" xr:uid="{00000000-0004-0000-2500-00000C000000}"/>
    <hyperlink ref="B18" r:id="rId14" xr:uid="{00000000-0004-0000-2500-00000D000000}"/>
    <hyperlink ref="B19" r:id="rId15" xr:uid="{00000000-0004-0000-2500-00000E000000}"/>
    <hyperlink ref="B20" r:id="rId16" xr:uid="{00000000-0004-0000-2500-00000F000000}"/>
    <hyperlink ref="B21" r:id="rId17" xr:uid="{00000000-0004-0000-2500-000010000000}"/>
    <hyperlink ref="B22" r:id="rId18" xr:uid="{00000000-0004-0000-2500-000011000000}"/>
    <hyperlink ref="B23" r:id="rId19" xr:uid="{00000000-0004-0000-2500-000012000000}"/>
    <hyperlink ref="B24" r:id="rId20" xr:uid="{00000000-0004-0000-2500-000013000000}"/>
    <hyperlink ref="B25" r:id="rId21" xr:uid="{00000000-0004-0000-2500-000014000000}"/>
    <hyperlink ref="B26" r:id="rId22" xr:uid="{00000000-0004-0000-2500-000015000000}"/>
    <hyperlink ref="B27" r:id="rId23" xr:uid="{00000000-0004-0000-2500-000016000000}"/>
    <hyperlink ref="B28" r:id="rId24" xr:uid="{00000000-0004-0000-2500-000017000000}"/>
    <hyperlink ref="B29" r:id="rId25" xr:uid="{00000000-0004-0000-2500-000018000000}"/>
    <hyperlink ref="B30" r:id="rId26" xr:uid="{00000000-0004-0000-2500-000019000000}"/>
    <hyperlink ref="B31" r:id="rId27" xr:uid="{00000000-0004-0000-2500-00001A000000}"/>
    <hyperlink ref="B32" r:id="rId28" xr:uid="{00000000-0004-0000-2500-00001B000000}"/>
    <hyperlink ref="B33" r:id="rId29" xr:uid="{00000000-0004-0000-2500-00001C000000}"/>
    <hyperlink ref="B34" r:id="rId30" xr:uid="{00000000-0004-0000-2500-00001D000000}"/>
    <hyperlink ref="B35" r:id="rId31" xr:uid="{00000000-0004-0000-2500-00001E000000}"/>
    <hyperlink ref="B36" r:id="rId32" xr:uid="{00000000-0004-0000-2500-00001F000000}"/>
    <hyperlink ref="B37" r:id="rId33" xr:uid="{00000000-0004-0000-2500-000020000000}"/>
    <hyperlink ref="B38" r:id="rId34" xr:uid="{00000000-0004-0000-2500-000021000000}"/>
    <hyperlink ref="B39" r:id="rId35" xr:uid="{00000000-0004-0000-2500-000022000000}"/>
    <hyperlink ref="B40" r:id="rId36" xr:uid="{00000000-0004-0000-2500-000023000000}"/>
    <hyperlink ref="B41" r:id="rId37" xr:uid="{00000000-0004-0000-2500-000024000000}"/>
    <hyperlink ref="B42" r:id="rId38" xr:uid="{00000000-0004-0000-2500-000025000000}"/>
    <hyperlink ref="B43" r:id="rId39" xr:uid="{00000000-0004-0000-2500-000026000000}"/>
    <hyperlink ref="B44" r:id="rId40" xr:uid="{00000000-0004-0000-2500-000027000000}"/>
    <hyperlink ref="B45" r:id="rId41" xr:uid="{00000000-0004-0000-2500-000028000000}"/>
    <hyperlink ref="B46" r:id="rId42" xr:uid="{00000000-0004-0000-2500-000029000000}"/>
    <hyperlink ref="B47" r:id="rId43" xr:uid="{00000000-0004-0000-2500-00002A000000}"/>
    <hyperlink ref="B48" r:id="rId44" xr:uid="{00000000-0004-0000-2500-00002B000000}"/>
    <hyperlink ref="B49" r:id="rId45" xr:uid="{00000000-0004-0000-2500-00002C000000}"/>
    <hyperlink ref="B50" r:id="rId46" xr:uid="{00000000-0004-0000-2500-00002D000000}"/>
    <hyperlink ref="B51" r:id="rId47" xr:uid="{00000000-0004-0000-2500-00002E000000}"/>
    <hyperlink ref="B52" r:id="rId48" xr:uid="{00000000-0004-0000-2500-00002F000000}"/>
    <hyperlink ref="B53" r:id="rId49" xr:uid="{00000000-0004-0000-2500-000030000000}"/>
    <hyperlink ref="B54" r:id="rId50" xr:uid="{00000000-0004-0000-2500-000031000000}"/>
    <hyperlink ref="B55" r:id="rId51" xr:uid="{00000000-0004-0000-2500-000032000000}"/>
    <hyperlink ref="B56" r:id="rId52" xr:uid="{00000000-0004-0000-2500-000033000000}"/>
    <hyperlink ref="B57" r:id="rId53" xr:uid="{00000000-0004-0000-2500-000034000000}"/>
    <hyperlink ref="B58" r:id="rId54" xr:uid="{00000000-0004-0000-2500-000035000000}"/>
    <hyperlink ref="B59" r:id="rId55" xr:uid="{00000000-0004-0000-2500-000036000000}"/>
    <hyperlink ref="B60" r:id="rId56" xr:uid="{00000000-0004-0000-2500-000037000000}"/>
    <hyperlink ref="B61" r:id="rId57" xr:uid="{00000000-0004-0000-2500-000038000000}"/>
    <hyperlink ref="B62" r:id="rId58" xr:uid="{00000000-0004-0000-2500-000039000000}"/>
    <hyperlink ref="B63" r:id="rId59" xr:uid="{00000000-0004-0000-2500-00003A000000}"/>
    <hyperlink ref="B64" r:id="rId60" xr:uid="{00000000-0004-0000-2500-00003B000000}"/>
    <hyperlink ref="B65" r:id="rId61" xr:uid="{00000000-0004-0000-2500-00003C000000}"/>
    <hyperlink ref="B66" r:id="rId62" xr:uid="{00000000-0004-0000-2500-00003D000000}"/>
    <hyperlink ref="B67" r:id="rId63" xr:uid="{00000000-0004-0000-2500-00003E000000}"/>
    <hyperlink ref="B68" r:id="rId64" xr:uid="{00000000-0004-0000-2500-00003F000000}"/>
    <hyperlink ref="B69" r:id="rId65" xr:uid="{00000000-0004-0000-2500-000040000000}"/>
    <hyperlink ref="B70" r:id="rId66" xr:uid="{00000000-0004-0000-2500-000041000000}"/>
    <hyperlink ref="B71" r:id="rId67" xr:uid="{00000000-0004-0000-2500-000042000000}"/>
    <hyperlink ref="B72" r:id="rId68" xr:uid="{00000000-0004-0000-2500-000043000000}"/>
    <hyperlink ref="B73" r:id="rId69" xr:uid="{00000000-0004-0000-2500-000044000000}"/>
    <hyperlink ref="B74" r:id="rId70" xr:uid="{00000000-0004-0000-2500-000045000000}"/>
    <hyperlink ref="B75" r:id="rId71" xr:uid="{00000000-0004-0000-2500-000046000000}"/>
    <hyperlink ref="B76" r:id="rId72" xr:uid="{00000000-0004-0000-2500-000047000000}"/>
    <hyperlink ref="B77" r:id="rId73" xr:uid="{00000000-0004-0000-2500-000048000000}"/>
    <hyperlink ref="B78" r:id="rId74" xr:uid="{00000000-0004-0000-2500-000049000000}"/>
    <hyperlink ref="B79" r:id="rId75" xr:uid="{00000000-0004-0000-2500-00004A000000}"/>
    <hyperlink ref="B80" r:id="rId76" xr:uid="{00000000-0004-0000-2500-00004B000000}"/>
    <hyperlink ref="B81" r:id="rId77" xr:uid="{00000000-0004-0000-2500-00004C000000}"/>
    <hyperlink ref="B82" r:id="rId78" xr:uid="{00000000-0004-0000-2500-00004D000000}"/>
    <hyperlink ref="B83" r:id="rId79" xr:uid="{00000000-0004-0000-2500-00004E000000}"/>
    <hyperlink ref="B84" r:id="rId80" xr:uid="{00000000-0004-0000-2500-00004F000000}"/>
    <hyperlink ref="B85" r:id="rId81" xr:uid="{00000000-0004-0000-2500-000050000000}"/>
    <hyperlink ref="B86" r:id="rId82" xr:uid="{00000000-0004-0000-2500-000051000000}"/>
    <hyperlink ref="B87" r:id="rId83" xr:uid="{00000000-0004-0000-2500-000052000000}"/>
    <hyperlink ref="B88" r:id="rId84" xr:uid="{00000000-0004-0000-2500-000053000000}"/>
    <hyperlink ref="B89" r:id="rId85" xr:uid="{00000000-0004-0000-2500-000054000000}"/>
    <hyperlink ref="B90" r:id="rId86" xr:uid="{00000000-0004-0000-2500-000055000000}"/>
    <hyperlink ref="B91" r:id="rId87" xr:uid="{00000000-0004-0000-2500-000056000000}"/>
    <hyperlink ref="B92" r:id="rId88" xr:uid="{00000000-0004-0000-2500-000057000000}"/>
    <hyperlink ref="B93" r:id="rId89" xr:uid="{00000000-0004-0000-2500-000058000000}"/>
    <hyperlink ref="B94" r:id="rId90" xr:uid="{00000000-0004-0000-2500-000059000000}"/>
    <hyperlink ref="B95" r:id="rId91" xr:uid="{00000000-0004-0000-2500-00005A000000}"/>
    <hyperlink ref="B96" r:id="rId92" xr:uid="{00000000-0004-0000-2500-00005B000000}"/>
    <hyperlink ref="B97" r:id="rId93" xr:uid="{00000000-0004-0000-2500-00005C000000}"/>
    <hyperlink ref="B98" r:id="rId94" xr:uid="{00000000-0004-0000-2500-00005D000000}"/>
    <hyperlink ref="B99" r:id="rId95" xr:uid="{00000000-0004-0000-2500-00005E000000}"/>
    <hyperlink ref="B100" r:id="rId96" xr:uid="{00000000-0004-0000-2500-00005F000000}"/>
    <hyperlink ref="B101" r:id="rId97" xr:uid="{00000000-0004-0000-2500-000060000000}"/>
    <hyperlink ref="B102" r:id="rId98" xr:uid="{00000000-0004-0000-2500-000061000000}"/>
    <hyperlink ref="B103" r:id="rId99" xr:uid="{00000000-0004-0000-2500-000062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2.1640625" customWidth="1"/>
    <col min="3" max="3" width="13.5" customWidth="1"/>
    <col min="4" max="4" width="14.83203125" customWidth="1"/>
    <col min="5" max="5" width="14.33203125" customWidth="1"/>
    <col min="11" max="11" width="13.83203125" customWidth="1"/>
  </cols>
  <sheetData>
    <row r="1" spans="1:23" ht="15.75" customHeight="1">
      <c r="A1" s="1" t="s">
        <v>66</v>
      </c>
      <c r="B1" s="36"/>
      <c r="C1" s="37"/>
      <c r="D1" s="7" t="s">
        <v>181</v>
      </c>
      <c r="E1" s="5"/>
      <c r="F1" s="5"/>
      <c r="G1" s="5"/>
      <c r="K1" s="1"/>
      <c r="M1" s="5"/>
      <c r="N1" s="5"/>
      <c r="S1" s="1"/>
      <c r="U1" s="5"/>
    </row>
    <row r="2" spans="1:23" ht="15.75" customHeight="1">
      <c r="A2" s="7" t="s">
        <v>182</v>
      </c>
      <c r="B2" s="38">
        <v>39142</v>
      </c>
      <c r="C2" s="37"/>
      <c r="D2" s="39">
        <f>SUM(D5:G21)</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43482</v>
      </c>
      <c r="B5" s="49" t="s">
        <v>236</v>
      </c>
      <c r="C5" s="51" t="s">
        <v>199</v>
      </c>
      <c r="D5" s="54"/>
      <c r="E5" s="5"/>
      <c r="F5" s="51"/>
      <c r="G5" s="5"/>
      <c r="L5" s="43"/>
      <c r="M5" s="43"/>
      <c r="N5" s="42"/>
      <c r="O5" s="44"/>
      <c r="S5" s="42"/>
      <c r="T5" s="43"/>
      <c r="U5" s="43"/>
      <c r="V5" s="42"/>
      <c r="W5" s="44"/>
    </row>
    <row r="6" spans="1:23" ht="15.75" customHeight="1">
      <c r="A6" s="52">
        <v>43513</v>
      </c>
      <c r="B6" s="49" t="s">
        <v>781</v>
      </c>
      <c r="C6" s="51" t="s">
        <v>195</v>
      </c>
      <c r="D6" s="54"/>
      <c r="E6" s="5"/>
      <c r="F6" s="5"/>
      <c r="G6" s="5"/>
      <c r="L6" s="50"/>
      <c r="M6" s="51"/>
      <c r="N6" s="5"/>
      <c r="S6" s="52"/>
      <c r="T6" s="50"/>
      <c r="U6" s="51"/>
    </row>
    <row r="7" spans="1:23" ht="15.75" customHeight="1">
      <c r="A7" s="52">
        <v>43541</v>
      </c>
      <c r="B7" s="49" t="s">
        <v>3013</v>
      </c>
      <c r="C7" s="51" t="s">
        <v>199</v>
      </c>
      <c r="D7" s="54"/>
      <c r="E7" s="5"/>
      <c r="F7" s="5"/>
      <c r="G7" s="5"/>
      <c r="K7" s="52"/>
      <c r="L7" s="50"/>
      <c r="M7" s="51"/>
      <c r="N7" s="5"/>
      <c r="S7" s="52"/>
      <c r="T7" s="50"/>
      <c r="U7" s="51"/>
    </row>
    <row r="8" spans="1:23" ht="15.75" customHeight="1">
      <c r="A8" s="52">
        <v>43572</v>
      </c>
      <c r="B8" s="49" t="s">
        <v>1770</v>
      </c>
      <c r="C8" s="51" t="s">
        <v>317</v>
      </c>
      <c r="D8" s="54"/>
      <c r="E8" s="5"/>
      <c r="F8" s="5"/>
      <c r="G8" s="5"/>
      <c r="K8" s="52"/>
      <c r="L8" s="50"/>
      <c r="M8" s="51"/>
      <c r="N8" s="51"/>
      <c r="S8" s="52"/>
      <c r="T8" s="50"/>
      <c r="U8" s="51"/>
    </row>
    <row r="9" spans="1:23" ht="15.75" customHeight="1">
      <c r="A9" s="52">
        <v>43602</v>
      </c>
      <c r="B9" s="49" t="s">
        <v>2825</v>
      </c>
      <c r="C9" s="51" t="s">
        <v>192</v>
      </c>
      <c r="D9" s="54"/>
      <c r="E9" s="5"/>
      <c r="F9" s="5"/>
      <c r="G9" s="5"/>
      <c r="K9" s="52"/>
      <c r="L9" s="50"/>
      <c r="M9" s="51"/>
      <c r="N9" s="51"/>
      <c r="S9" s="52"/>
      <c r="T9" s="50"/>
      <c r="U9" s="51"/>
    </row>
    <row r="10" spans="1:23" ht="15.75" customHeight="1">
      <c r="A10" s="52">
        <v>43633</v>
      </c>
      <c r="B10" s="49" t="s">
        <v>1012</v>
      </c>
      <c r="C10" s="51" t="s">
        <v>1013</v>
      </c>
      <c r="D10" s="54"/>
      <c r="E10" s="5"/>
      <c r="F10" s="5"/>
      <c r="G10" s="5"/>
      <c r="K10" s="52"/>
      <c r="L10" s="50"/>
      <c r="M10" s="51"/>
      <c r="N10" s="5"/>
      <c r="S10" s="52"/>
      <c r="T10" s="50"/>
      <c r="U10" s="51"/>
    </row>
    <row r="11" spans="1:23" ht="15.75" customHeight="1">
      <c r="A11" s="52">
        <v>43663</v>
      </c>
      <c r="B11" s="49" t="s">
        <v>1470</v>
      </c>
      <c r="C11" s="51" t="s">
        <v>206</v>
      </c>
      <c r="D11" s="54"/>
      <c r="E11" s="5"/>
      <c r="F11" s="5"/>
      <c r="G11" s="5"/>
      <c r="K11" s="52"/>
      <c r="L11" s="50"/>
      <c r="M11" s="51"/>
      <c r="N11" s="51"/>
      <c r="S11" s="52"/>
      <c r="T11" s="50"/>
      <c r="U11" s="51"/>
    </row>
    <row r="12" spans="1:23" ht="15.75" customHeight="1">
      <c r="A12" s="52">
        <v>43694</v>
      </c>
      <c r="B12" s="49" t="s">
        <v>1170</v>
      </c>
      <c r="C12" s="51" t="s">
        <v>317</v>
      </c>
      <c r="D12" s="54"/>
      <c r="E12" s="5"/>
      <c r="F12" s="5"/>
      <c r="G12" s="5"/>
      <c r="K12" s="52"/>
      <c r="L12" s="50"/>
      <c r="M12" s="51"/>
      <c r="N12" s="51"/>
      <c r="S12" s="52"/>
      <c r="T12" s="50"/>
      <c r="U12" s="51"/>
    </row>
    <row r="13" spans="1:23" ht="15.75" customHeight="1">
      <c r="A13" s="52">
        <v>43725</v>
      </c>
      <c r="B13" s="49" t="s">
        <v>2813</v>
      </c>
      <c r="C13" s="51" t="s">
        <v>317</v>
      </c>
      <c r="D13" s="54"/>
      <c r="E13" s="5"/>
      <c r="F13" s="5"/>
      <c r="G13" s="5"/>
      <c r="K13" s="52"/>
      <c r="L13" s="50"/>
      <c r="M13" s="51"/>
      <c r="N13" s="5"/>
      <c r="S13" s="52"/>
      <c r="T13" s="50"/>
      <c r="U13" s="51"/>
    </row>
    <row r="14" spans="1:23" ht="15.75" customHeight="1">
      <c r="A14" s="52">
        <v>43755</v>
      </c>
      <c r="B14" s="49" t="s">
        <v>2826</v>
      </c>
      <c r="C14" s="51" t="s">
        <v>192</v>
      </c>
      <c r="D14" s="54"/>
      <c r="E14" s="5"/>
      <c r="F14" s="5"/>
      <c r="G14" s="5"/>
      <c r="K14" s="52"/>
      <c r="L14" s="50"/>
      <c r="M14" s="51"/>
      <c r="N14" s="51"/>
      <c r="S14" s="52"/>
      <c r="T14" s="50"/>
      <c r="U14" s="51"/>
    </row>
    <row r="15" spans="1:23" ht="15.75" customHeight="1">
      <c r="A15" s="52">
        <v>43786</v>
      </c>
      <c r="B15" s="49" t="s">
        <v>2803</v>
      </c>
      <c r="C15" s="51" t="s">
        <v>808</v>
      </c>
      <c r="D15" s="54"/>
      <c r="E15" s="5"/>
      <c r="F15" s="5"/>
      <c r="G15" s="5"/>
      <c r="K15" s="52"/>
      <c r="L15" s="50"/>
      <c r="M15" s="51"/>
      <c r="N15" s="51"/>
      <c r="S15" s="52"/>
      <c r="T15" s="50"/>
      <c r="U15" s="51"/>
    </row>
    <row r="16" spans="1:23" ht="15.75" customHeight="1">
      <c r="A16" s="52">
        <v>43816</v>
      </c>
      <c r="B16" s="49" t="s">
        <v>191</v>
      </c>
      <c r="C16" s="51" t="s">
        <v>192</v>
      </c>
      <c r="D16" s="54"/>
      <c r="E16" s="5"/>
      <c r="F16" s="5"/>
      <c r="G16" s="5"/>
      <c r="K16" s="52"/>
      <c r="L16" s="50"/>
      <c r="M16" s="51"/>
      <c r="N16" s="51"/>
      <c r="S16" s="52"/>
      <c r="T16" s="50"/>
      <c r="U16" s="51"/>
    </row>
    <row r="17" spans="1:27" ht="15.75" customHeight="1">
      <c r="A17" s="48" t="s">
        <v>2342</v>
      </c>
      <c r="B17" s="49" t="s">
        <v>1205</v>
      </c>
      <c r="C17" s="51" t="s">
        <v>220</v>
      </c>
      <c r="D17" s="54"/>
      <c r="E17" s="5"/>
      <c r="F17" s="5"/>
      <c r="G17" s="5"/>
      <c r="K17" s="52"/>
      <c r="L17" s="50"/>
      <c r="M17" s="51"/>
      <c r="N17" s="51"/>
      <c r="S17" s="52"/>
      <c r="T17" s="50"/>
      <c r="U17" s="51"/>
    </row>
    <row r="18" spans="1:27" ht="15.75" customHeight="1">
      <c r="A18" s="48" t="s">
        <v>2343</v>
      </c>
      <c r="B18" s="49" t="s">
        <v>2824</v>
      </c>
      <c r="C18" s="51" t="s">
        <v>192</v>
      </c>
      <c r="D18" s="54"/>
      <c r="E18" s="5"/>
      <c r="F18" s="51"/>
      <c r="G18" s="5"/>
      <c r="M18" s="5"/>
      <c r="N18" s="5"/>
      <c r="U18" s="5"/>
      <c r="AA18" s="5"/>
    </row>
    <row r="19" spans="1:27" ht="15.75" customHeight="1">
      <c r="A19" s="48" t="s">
        <v>2344</v>
      </c>
      <c r="B19" s="49" t="s">
        <v>3014</v>
      </c>
      <c r="C19" s="51" t="s">
        <v>220</v>
      </c>
      <c r="D19" s="54"/>
      <c r="E19" s="5"/>
      <c r="F19" s="5"/>
      <c r="G19" s="5"/>
      <c r="K19" s="1"/>
      <c r="M19" s="5"/>
      <c r="N19" s="5"/>
      <c r="U19" s="5"/>
      <c r="AA19" s="5"/>
    </row>
    <row r="20" spans="1:27" ht="15.75" customHeight="1">
      <c r="A20" s="48" t="s">
        <v>2345</v>
      </c>
      <c r="B20" s="58" t="str">
        <f>HYPERLINK("https://bulbapedia.bulbagarden.net/wiki/Espeon_%E2%98%86_(POP_Series_5_16)","Espeon*")</f>
        <v>Espeon*</v>
      </c>
      <c r="C20" s="51" t="s">
        <v>195</v>
      </c>
      <c r="D20" s="54"/>
      <c r="E20" s="5"/>
      <c r="F20" s="5"/>
      <c r="G20" s="5"/>
      <c r="L20" s="40"/>
      <c r="M20" s="5"/>
      <c r="N20" s="5"/>
      <c r="AA20" s="5"/>
    </row>
    <row r="21" spans="1:27" ht="15.75" customHeight="1">
      <c r="A21" s="48" t="s">
        <v>2346</v>
      </c>
      <c r="B21" s="58" t="str">
        <f>HYPERLINK("https://bulbapedia.bulbagarden.net/wiki/Umbreon_%E2%98%86_(POP_Series_5_17)","Umbreon*")</f>
        <v>Umbreon*</v>
      </c>
      <c r="C21" s="51" t="s">
        <v>808</v>
      </c>
      <c r="D21" s="54"/>
      <c r="E21" s="5"/>
      <c r="F21" s="5"/>
      <c r="G21" s="5"/>
      <c r="M21" s="5"/>
      <c r="N21" s="5"/>
      <c r="AA21" s="5"/>
    </row>
    <row r="22" spans="1:27" ht="15.75" customHeight="1">
      <c r="A22" s="52"/>
      <c r="B22" s="50"/>
      <c r="C22" s="51"/>
      <c r="D22" s="51"/>
      <c r="E22" s="5"/>
      <c r="F22" s="5"/>
      <c r="G22" s="5"/>
      <c r="K22" s="42"/>
      <c r="L22" s="45"/>
      <c r="M22" s="46"/>
      <c r="N22" s="47"/>
      <c r="AA22" s="5"/>
    </row>
    <row r="23" spans="1:27" ht="15.75" customHeight="1">
      <c r="A23" s="52"/>
      <c r="B23" s="50"/>
      <c r="C23" s="51"/>
      <c r="D23" s="51"/>
      <c r="E23" s="5"/>
      <c r="F23" s="5"/>
      <c r="G23" s="5"/>
      <c r="K23" s="42"/>
      <c r="L23" s="43"/>
      <c r="M23" s="43"/>
      <c r="N23" s="42"/>
      <c r="O23" s="44"/>
      <c r="AA23" s="5"/>
    </row>
    <row r="24" spans="1:27" ht="15.75" customHeight="1">
      <c r="A24" s="52"/>
      <c r="B24" s="50"/>
      <c r="C24" s="51"/>
      <c r="D24" s="51"/>
      <c r="E24" s="5"/>
      <c r="F24" s="5"/>
      <c r="G24" s="5"/>
      <c r="K24" s="52"/>
      <c r="L24" s="50"/>
      <c r="M24" s="51"/>
      <c r="N24" s="5"/>
      <c r="AA24" s="5"/>
    </row>
    <row r="25" spans="1:27" ht="15.75" customHeight="1">
      <c r="A25" s="48"/>
      <c r="B25" s="50"/>
      <c r="C25" s="51"/>
      <c r="D25" s="54"/>
      <c r="E25" s="5"/>
      <c r="F25" s="5"/>
      <c r="G25" s="5"/>
      <c r="K25" s="52"/>
      <c r="L25" s="50"/>
      <c r="M25" s="51"/>
      <c r="N25" s="5"/>
      <c r="AA25" s="5"/>
    </row>
    <row r="26" spans="1:27" ht="15.75" customHeight="1">
      <c r="A26" s="48"/>
      <c r="B26" s="50"/>
      <c r="C26" s="51"/>
      <c r="D26" s="54"/>
      <c r="E26" s="5"/>
      <c r="F26" s="5"/>
      <c r="G26" s="5"/>
      <c r="K26" s="52"/>
      <c r="L26" s="50"/>
      <c r="M26" s="51"/>
      <c r="N26" s="51"/>
      <c r="AA26" s="5"/>
    </row>
    <row r="27" spans="1:27" ht="15.75" customHeight="1">
      <c r="A27" s="48"/>
      <c r="B27" s="50"/>
      <c r="C27" s="51"/>
      <c r="D27" s="54"/>
      <c r="E27" s="5"/>
      <c r="F27" s="51"/>
      <c r="G27" s="5"/>
      <c r="K27" s="52"/>
      <c r="L27" s="50"/>
      <c r="M27" s="51"/>
      <c r="N27" s="51"/>
      <c r="AA27" s="5"/>
    </row>
    <row r="28" spans="1:27" ht="15.75" customHeight="1">
      <c r="A28" s="48"/>
      <c r="B28" s="50"/>
      <c r="C28" s="51"/>
      <c r="D28" s="54"/>
      <c r="E28" s="5"/>
      <c r="F28" s="5"/>
      <c r="G28" s="5"/>
      <c r="J28" s="5"/>
      <c r="K28" s="52"/>
      <c r="L28" s="50"/>
      <c r="M28" s="51"/>
      <c r="N28" s="5"/>
      <c r="P28" s="5"/>
    </row>
    <row r="29" spans="1:27" ht="15.75" customHeight="1">
      <c r="A29" s="48"/>
      <c r="B29" s="50"/>
      <c r="C29" s="51"/>
      <c r="D29" s="54"/>
      <c r="E29" s="5"/>
      <c r="F29" s="5"/>
      <c r="G29" s="5"/>
      <c r="J29" s="5"/>
      <c r="K29" s="52"/>
      <c r="L29" s="50"/>
      <c r="M29" s="51"/>
      <c r="N29" s="51"/>
      <c r="P29" s="5"/>
    </row>
    <row r="30" spans="1:27" ht="15.75" customHeight="1">
      <c r="A30" s="48"/>
      <c r="B30" s="50"/>
      <c r="C30" s="51"/>
      <c r="D30" s="54"/>
      <c r="E30" s="5"/>
      <c r="F30" s="5"/>
      <c r="G30" s="5"/>
      <c r="J30" s="5"/>
      <c r="K30" s="52"/>
      <c r="L30" s="50"/>
      <c r="M30" s="51"/>
      <c r="N30" s="5"/>
      <c r="P30" s="5"/>
    </row>
    <row r="31" spans="1:27" ht="15.75" customHeight="1">
      <c r="A31" s="48"/>
      <c r="B31" s="50"/>
      <c r="C31" s="51"/>
      <c r="D31" s="54"/>
      <c r="E31" s="5"/>
      <c r="F31" s="5"/>
      <c r="G31" s="5"/>
      <c r="J31" s="5"/>
      <c r="K31" s="52"/>
      <c r="L31" s="50"/>
      <c r="M31" s="51"/>
      <c r="N31" s="51"/>
      <c r="P31" s="5"/>
    </row>
    <row r="32" spans="1:27" ht="15.75" customHeight="1">
      <c r="A32" s="48"/>
      <c r="B32" s="50"/>
      <c r="C32" s="51"/>
      <c r="D32" s="54"/>
      <c r="E32" s="5"/>
      <c r="F32" s="5"/>
      <c r="G32" s="5"/>
      <c r="J32" s="5"/>
      <c r="K32" s="52"/>
      <c r="L32" s="50"/>
      <c r="M32" s="51"/>
      <c r="N32" s="5"/>
      <c r="P32" s="5"/>
    </row>
    <row r="33" spans="1:16" ht="15.75" customHeight="1">
      <c r="A33" s="48"/>
      <c r="B33" s="50"/>
      <c r="C33" s="51"/>
      <c r="D33" s="54"/>
      <c r="E33" s="5"/>
      <c r="F33" s="5"/>
      <c r="G33" s="5"/>
      <c r="J33" s="5"/>
      <c r="K33" s="52"/>
      <c r="L33" s="50"/>
      <c r="M33" s="51"/>
      <c r="N33" s="5"/>
      <c r="P33" s="5"/>
    </row>
    <row r="34" spans="1:16" ht="15.75" customHeight="1">
      <c r="A34" s="48"/>
      <c r="B34" s="50"/>
      <c r="C34" s="51"/>
      <c r="D34" s="54"/>
      <c r="E34" s="5"/>
      <c r="F34" s="5"/>
      <c r="G34" s="5"/>
      <c r="J34" s="5"/>
      <c r="K34" s="52"/>
      <c r="L34" s="50"/>
      <c r="M34" s="51"/>
      <c r="N34" s="5"/>
      <c r="P34" s="5"/>
    </row>
    <row r="35" spans="1:16" ht="15.75" customHeight="1">
      <c r="A35" s="48"/>
      <c r="B35" s="50"/>
      <c r="C35" s="51"/>
      <c r="D35" s="54"/>
      <c r="E35" s="5"/>
      <c r="F35" s="5"/>
      <c r="G35" s="5"/>
      <c r="J35" s="5"/>
      <c r="K35" s="52"/>
      <c r="L35" s="50"/>
      <c r="M35" s="51"/>
      <c r="N35" s="51"/>
      <c r="P35" s="5"/>
    </row>
    <row r="36" spans="1:16" ht="15.75" customHeight="1">
      <c r="A36" s="48"/>
      <c r="B36" s="50"/>
      <c r="C36" s="51"/>
      <c r="D36" s="54"/>
      <c r="E36" s="5"/>
      <c r="F36" s="5"/>
      <c r="G36" s="5"/>
      <c r="J36" s="5"/>
      <c r="M36" s="5"/>
      <c r="N36" s="5"/>
      <c r="P36" s="5"/>
    </row>
    <row r="37" spans="1:16" ht="15.75" customHeight="1">
      <c r="A37" s="48"/>
      <c r="B37" s="50"/>
      <c r="C37" s="51"/>
      <c r="D37" s="54"/>
      <c r="E37" s="5"/>
      <c r="F37" s="5"/>
      <c r="G37" s="5"/>
      <c r="J37" s="5"/>
      <c r="M37" s="5"/>
      <c r="N37" s="5"/>
    </row>
    <row r="38" spans="1:16" ht="15.75" customHeight="1">
      <c r="A38" s="48"/>
      <c r="B38" s="50"/>
      <c r="C38" s="51"/>
      <c r="D38" s="54"/>
      <c r="E38" s="5"/>
      <c r="F38" s="5"/>
      <c r="G38" s="5"/>
      <c r="J38" s="5"/>
      <c r="M38" s="51"/>
      <c r="N38" s="51"/>
    </row>
    <row r="39" spans="1:16" ht="15.75" customHeight="1">
      <c r="A39" s="48"/>
      <c r="B39" s="50"/>
      <c r="C39" s="51"/>
      <c r="D39" s="54"/>
      <c r="E39" s="5"/>
      <c r="F39" s="5"/>
      <c r="G39" s="5"/>
      <c r="J39" s="5"/>
      <c r="M39" s="51"/>
      <c r="N39" s="51"/>
    </row>
    <row r="40" spans="1:16" ht="15.75" customHeight="1">
      <c r="A40" s="48"/>
      <c r="B40" s="50"/>
      <c r="C40" s="51"/>
      <c r="D40" s="54"/>
      <c r="E40" s="5"/>
      <c r="F40" s="5"/>
      <c r="G40" s="5"/>
      <c r="J40" s="5"/>
      <c r="M40" s="51"/>
      <c r="N40" s="51"/>
    </row>
    <row r="41" spans="1:16" ht="15.75" customHeight="1">
      <c r="A41" s="48"/>
      <c r="B41" s="50"/>
      <c r="C41" s="51"/>
      <c r="D41" s="54"/>
      <c r="E41" s="5"/>
      <c r="F41" s="5"/>
      <c r="G41" s="5"/>
      <c r="J41" s="5"/>
      <c r="M41" s="51"/>
      <c r="N41" s="51"/>
    </row>
    <row r="42" spans="1:16" ht="15.75" customHeight="1">
      <c r="A42" s="48"/>
      <c r="B42" s="50"/>
      <c r="C42" s="51"/>
      <c r="D42" s="54"/>
      <c r="E42" s="5"/>
      <c r="F42" s="5"/>
      <c r="G42" s="5"/>
      <c r="J42" s="5"/>
      <c r="M42" s="51"/>
      <c r="N42" s="51"/>
    </row>
    <row r="43" spans="1:16" ht="15.75" customHeight="1">
      <c r="A43" s="48"/>
      <c r="B43" s="50"/>
      <c r="C43" s="51"/>
      <c r="D43" s="54"/>
      <c r="E43" s="5"/>
      <c r="F43" s="5"/>
      <c r="G43" s="5"/>
      <c r="J43" s="5"/>
      <c r="M43" s="51"/>
      <c r="N43" s="51"/>
    </row>
    <row r="44" spans="1:16" ht="15.75" customHeight="1">
      <c r="A44" s="48"/>
      <c r="B44" s="50"/>
      <c r="C44" s="51"/>
      <c r="D44" s="54"/>
      <c r="E44" s="5"/>
      <c r="F44" s="5"/>
      <c r="G44" s="5"/>
      <c r="J44" s="5"/>
      <c r="M44" s="51"/>
      <c r="N44" s="51"/>
    </row>
    <row r="45" spans="1:16" ht="15.75" customHeight="1">
      <c r="A45" s="48"/>
      <c r="B45" s="50"/>
      <c r="C45" s="51"/>
      <c r="D45" s="54"/>
      <c r="E45" s="5"/>
      <c r="F45" s="5"/>
      <c r="G45" s="5"/>
      <c r="J45" s="5"/>
      <c r="M45" s="51"/>
      <c r="N45" s="51"/>
      <c r="P45" s="5"/>
    </row>
    <row r="46" spans="1:16" ht="15.75" customHeight="1">
      <c r="A46" s="48"/>
      <c r="B46" s="50"/>
      <c r="C46" s="51"/>
      <c r="D46" s="54"/>
      <c r="E46" s="5"/>
      <c r="F46" s="5"/>
      <c r="G46" s="5"/>
      <c r="J46" s="5"/>
      <c r="M46" s="51"/>
      <c r="N46" s="51"/>
      <c r="P46" s="5"/>
    </row>
    <row r="47" spans="1:16" ht="15.75" customHeight="1">
      <c r="A47" s="48"/>
      <c r="B47" s="50"/>
      <c r="C47" s="51"/>
      <c r="D47" s="54"/>
      <c r="E47" s="5"/>
      <c r="F47" s="5"/>
      <c r="G47" s="5"/>
      <c r="J47" s="5"/>
      <c r="M47" s="5"/>
      <c r="N47" s="5"/>
      <c r="P47" s="5"/>
    </row>
    <row r="48" spans="1:16" ht="15.75" customHeight="1">
      <c r="A48" s="48"/>
      <c r="B48" s="50"/>
      <c r="C48" s="51"/>
      <c r="D48" s="54"/>
      <c r="E48" s="5"/>
      <c r="F48" s="5"/>
      <c r="G48" s="5"/>
      <c r="J48" s="5"/>
      <c r="M48" s="5"/>
      <c r="N48" s="5"/>
      <c r="P48" s="5"/>
    </row>
    <row r="49" spans="1:16" ht="15.75" customHeight="1">
      <c r="A49" s="48"/>
      <c r="B49" s="50"/>
      <c r="C49" s="51"/>
      <c r="D49" s="54"/>
      <c r="E49" s="5"/>
      <c r="F49" s="5"/>
      <c r="G49" s="5"/>
      <c r="J49" s="5"/>
      <c r="M49" s="5"/>
      <c r="N49" s="5"/>
      <c r="P49" s="5"/>
    </row>
    <row r="50" spans="1:16" ht="15.75" customHeight="1">
      <c r="A50" s="48"/>
      <c r="B50" s="50"/>
      <c r="C50" s="51"/>
      <c r="D50" s="54"/>
      <c r="E50" s="5"/>
      <c r="F50" s="5"/>
      <c r="G50" s="5"/>
      <c r="J50" s="5"/>
      <c r="M50" s="5"/>
      <c r="N50" s="5"/>
      <c r="P50" s="5"/>
    </row>
    <row r="51" spans="1:16" ht="15.75" customHeight="1">
      <c r="A51" s="48"/>
      <c r="B51" s="50"/>
      <c r="C51" s="51"/>
      <c r="D51" s="54"/>
      <c r="E51" s="5"/>
      <c r="F51" s="5"/>
      <c r="G51" s="5"/>
      <c r="J51" s="5"/>
      <c r="M51" s="5"/>
      <c r="N51" s="5"/>
      <c r="P51" s="5"/>
    </row>
    <row r="52" spans="1:16" ht="15.75" customHeight="1">
      <c r="A52" s="48"/>
      <c r="B52" s="50"/>
      <c r="C52" s="51"/>
      <c r="D52" s="54"/>
      <c r="E52" s="5"/>
      <c r="F52" s="5"/>
      <c r="G52" s="5"/>
      <c r="J52" s="5"/>
      <c r="M52" s="5"/>
      <c r="N52" s="5"/>
      <c r="P52" s="5"/>
    </row>
    <row r="53" spans="1:16" ht="13">
      <c r="A53" s="48"/>
      <c r="B53" s="50"/>
      <c r="C53" s="51"/>
      <c r="D53" s="54"/>
      <c r="E53" s="5"/>
      <c r="F53" s="5"/>
      <c r="G53" s="5"/>
      <c r="J53" s="5"/>
      <c r="M53" s="5"/>
      <c r="N53" s="5"/>
      <c r="P53" s="5"/>
    </row>
    <row r="54" spans="1:16" ht="13">
      <c r="A54" s="48"/>
      <c r="B54" s="50"/>
      <c r="C54" s="51"/>
      <c r="D54" s="54"/>
      <c r="E54" s="5"/>
      <c r="F54" s="5"/>
      <c r="G54" s="5"/>
      <c r="J54" s="5"/>
      <c r="M54" s="5"/>
      <c r="N54" s="5"/>
      <c r="P54" s="5"/>
    </row>
    <row r="55" spans="1:16" ht="13">
      <c r="A55" s="48"/>
      <c r="B55" s="50"/>
      <c r="C55" s="51"/>
      <c r="D55" s="54"/>
      <c r="E55" s="5"/>
      <c r="F55" s="5"/>
      <c r="G55" s="5"/>
      <c r="J55" s="5"/>
      <c r="M55" s="5"/>
      <c r="N55" s="5"/>
      <c r="P55" s="5"/>
    </row>
    <row r="56" spans="1:16" ht="13">
      <c r="A56" s="48"/>
      <c r="B56" s="50"/>
      <c r="C56" s="51"/>
      <c r="D56" s="54"/>
      <c r="E56" s="5"/>
      <c r="F56" s="5"/>
      <c r="G56" s="5"/>
      <c r="J56" s="5"/>
      <c r="M56" s="5"/>
      <c r="N56" s="5"/>
      <c r="P56" s="5"/>
    </row>
    <row r="57" spans="1:16" ht="13">
      <c r="A57" s="48"/>
      <c r="B57" s="50"/>
      <c r="C57" s="51"/>
      <c r="D57" s="54"/>
      <c r="E57" s="5"/>
      <c r="F57" s="5"/>
      <c r="G57" s="5"/>
      <c r="J57" s="5"/>
      <c r="M57" s="5"/>
      <c r="N57" s="5"/>
      <c r="P57" s="5"/>
    </row>
    <row r="58" spans="1:16" ht="13">
      <c r="A58" s="48"/>
      <c r="B58" s="50"/>
      <c r="C58" s="51"/>
      <c r="D58" s="54"/>
      <c r="E58" s="5"/>
      <c r="F58" s="5"/>
      <c r="G58" s="5"/>
      <c r="J58" s="5"/>
      <c r="M58" s="5"/>
      <c r="N58" s="5"/>
      <c r="P58" s="5"/>
    </row>
    <row r="59" spans="1:16" ht="13">
      <c r="A59" s="48"/>
      <c r="B59" s="50"/>
      <c r="C59" s="51"/>
      <c r="D59" s="54"/>
      <c r="E59" s="5"/>
      <c r="F59" s="5"/>
      <c r="G59" s="5"/>
      <c r="J59" s="5"/>
      <c r="M59" s="5"/>
      <c r="N59" s="5"/>
      <c r="P59" s="5"/>
    </row>
    <row r="60" spans="1:16" ht="13">
      <c r="A60" s="48"/>
      <c r="B60" s="50"/>
      <c r="C60" s="51"/>
      <c r="D60" s="54"/>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1"/>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600-000000000000}"/>
    <hyperlink ref="B6" r:id="rId2" xr:uid="{00000000-0004-0000-2600-000001000000}"/>
    <hyperlink ref="B7" r:id="rId3" xr:uid="{00000000-0004-0000-2600-000002000000}"/>
    <hyperlink ref="B8" r:id="rId4" xr:uid="{00000000-0004-0000-2600-000003000000}"/>
    <hyperlink ref="B9" r:id="rId5" xr:uid="{00000000-0004-0000-2600-000004000000}"/>
    <hyperlink ref="B10" r:id="rId6" xr:uid="{00000000-0004-0000-2600-000005000000}"/>
    <hyperlink ref="B11" r:id="rId7" xr:uid="{00000000-0004-0000-2600-000006000000}"/>
    <hyperlink ref="B12" r:id="rId8" xr:uid="{00000000-0004-0000-2600-000007000000}"/>
    <hyperlink ref="B13" r:id="rId9" xr:uid="{00000000-0004-0000-2600-000008000000}"/>
    <hyperlink ref="B14" r:id="rId10" xr:uid="{00000000-0004-0000-2600-000009000000}"/>
    <hyperlink ref="B15" r:id="rId11" xr:uid="{00000000-0004-0000-2600-00000A000000}"/>
    <hyperlink ref="B16" r:id="rId12" xr:uid="{00000000-0004-0000-2600-00000B000000}"/>
    <hyperlink ref="B17" r:id="rId13" xr:uid="{00000000-0004-0000-2600-00000C000000}"/>
    <hyperlink ref="B18" r:id="rId14" xr:uid="{00000000-0004-0000-2600-00000D000000}"/>
    <hyperlink ref="B19" r:id="rId15" xr:uid="{00000000-0004-0000-2600-00000E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 customWidth="1"/>
    <col min="3" max="3" width="13.5" customWidth="1"/>
    <col min="4" max="4" width="14.83203125" customWidth="1"/>
    <col min="5" max="5" width="14.33203125" customWidth="1"/>
    <col min="11" max="11" width="13.83203125" customWidth="1"/>
  </cols>
  <sheetData>
    <row r="1" spans="1:23" ht="15.75" customHeight="1">
      <c r="A1" s="1" t="s">
        <v>13</v>
      </c>
      <c r="B1" s="36"/>
      <c r="C1" s="37"/>
      <c r="D1" s="7" t="s">
        <v>181</v>
      </c>
      <c r="E1" s="5"/>
      <c r="F1" s="5"/>
      <c r="G1" s="5"/>
      <c r="K1" s="1"/>
      <c r="M1" s="5"/>
      <c r="N1" s="5"/>
      <c r="S1" s="1"/>
      <c r="U1" s="5"/>
    </row>
    <row r="2" spans="1:23" ht="15.75" customHeight="1">
      <c r="A2" s="7" t="s">
        <v>182</v>
      </c>
      <c r="B2" s="38">
        <v>39203</v>
      </c>
      <c r="C2" s="37"/>
      <c r="D2" s="39">
        <f>SUM(D5:G60)</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3015</v>
      </c>
      <c r="B5" s="49" t="s">
        <v>3016</v>
      </c>
      <c r="C5" s="51" t="s">
        <v>205</v>
      </c>
      <c r="D5" s="7"/>
      <c r="E5" s="5"/>
      <c r="F5" s="5"/>
      <c r="G5" s="5"/>
      <c r="L5" s="43"/>
      <c r="M5" s="43"/>
      <c r="N5" s="42"/>
      <c r="O5" s="44"/>
      <c r="S5" s="42"/>
      <c r="T5" s="43"/>
      <c r="U5" s="43"/>
      <c r="V5" s="42"/>
      <c r="W5" s="44"/>
    </row>
    <row r="6" spans="1:23" ht="15.75" customHeight="1">
      <c r="A6" s="48" t="s">
        <v>3017</v>
      </c>
      <c r="B6" s="49" t="s">
        <v>3018</v>
      </c>
      <c r="C6" s="51" t="s">
        <v>199</v>
      </c>
      <c r="D6" s="7"/>
      <c r="E6" s="5"/>
      <c r="F6" s="5"/>
      <c r="G6" s="5"/>
      <c r="L6" s="50"/>
      <c r="M6" s="51"/>
      <c r="N6" s="5"/>
      <c r="S6" s="52"/>
      <c r="T6" s="50"/>
      <c r="U6" s="51"/>
    </row>
    <row r="7" spans="1:23" ht="15.75" customHeight="1">
      <c r="A7" s="48" t="s">
        <v>3019</v>
      </c>
      <c r="B7" s="49" t="s">
        <v>3020</v>
      </c>
      <c r="C7" s="51" t="s">
        <v>208</v>
      </c>
      <c r="D7" s="7"/>
      <c r="E7" s="5"/>
      <c r="F7" s="5"/>
      <c r="G7" s="5"/>
      <c r="K7" s="52"/>
      <c r="L7" s="50"/>
      <c r="M7" s="51"/>
      <c r="N7" s="5"/>
      <c r="S7" s="52"/>
      <c r="T7" s="50"/>
      <c r="U7" s="51"/>
    </row>
    <row r="8" spans="1:23" ht="15.75" customHeight="1">
      <c r="A8" s="48" t="s">
        <v>3021</v>
      </c>
      <c r="B8" s="49" t="s">
        <v>3022</v>
      </c>
      <c r="C8" s="51" t="s">
        <v>192</v>
      </c>
      <c r="D8" s="7"/>
      <c r="E8" s="5"/>
      <c r="F8" s="5"/>
      <c r="G8" s="5"/>
      <c r="K8" s="52"/>
      <c r="L8" s="50"/>
      <c r="M8" s="51"/>
      <c r="N8" s="51"/>
      <c r="S8" s="52"/>
      <c r="T8" s="50"/>
      <c r="U8" s="51"/>
    </row>
    <row r="9" spans="1:23" ht="15.75" customHeight="1">
      <c r="A9" s="48" t="s">
        <v>3023</v>
      </c>
      <c r="B9" s="58" t="str">
        <f>HYPERLINK("https://bulbapedia.bulbagarden.net/wiki/Tropical_Wind_(DP_Promo_5)","Tropical Wind")</f>
        <v>Tropical Wind</v>
      </c>
      <c r="C9" s="51" t="s">
        <v>206</v>
      </c>
      <c r="D9" s="7"/>
      <c r="E9" s="5"/>
      <c r="F9" s="5"/>
      <c r="G9" s="5"/>
      <c r="K9" s="52"/>
      <c r="L9" s="50"/>
      <c r="M9" s="51"/>
      <c r="N9" s="51"/>
      <c r="S9" s="52"/>
      <c r="T9" s="50"/>
      <c r="U9" s="51"/>
    </row>
    <row r="10" spans="1:23" ht="15.75" customHeight="1">
      <c r="A10" s="48" t="s">
        <v>3024</v>
      </c>
      <c r="B10" s="49" t="s">
        <v>3025</v>
      </c>
      <c r="C10" s="51" t="s">
        <v>197</v>
      </c>
      <c r="D10" s="7"/>
      <c r="E10" s="5"/>
      <c r="F10" s="5"/>
      <c r="G10" s="5"/>
      <c r="K10" s="52"/>
      <c r="L10" s="50"/>
      <c r="M10" s="51"/>
      <c r="N10" s="5"/>
      <c r="S10" s="52"/>
      <c r="T10" s="50"/>
      <c r="U10" s="51"/>
    </row>
    <row r="11" spans="1:23" ht="15.75" customHeight="1">
      <c r="A11" s="48" t="s">
        <v>3026</v>
      </c>
      <c r="B11" s="49" t="s">
        <v>3027</v>
      </c>
      <c r="C11" s="51" t="s">
        <v>225</v>
      </c>
      <c r="D11" s="7"/>
      <c r="E11" s="5"/>
      <c r="F11" s="5"/>
      <c r="G11" s="5"/>
      <c r="K11" s="52"/>
      <c r="L11" s="50"/>
      <c r="M11" s="51"/>
      <c r="N11" s="51"/>
      <c r="S11" s="52"/>
      <c r="T11" s="50"/>
      <c r="U11" s="51"/>
    </row>
    <row r="12" spans="1:23" ht="15.75" customHeight="1">
      <c r="A12" s="48" t="s">
        <v>3028</v>
      </c>
      <c r="B12" s="49" t="s">
        <v>3029</v>
      </c>
      <c r="C12" s="51" t="s">
        <v>220</v>
      </c>
      <c r="D12" s="7"/>
      <c r="E12" s="5"/>
      <c r="F12" s="5"/>
      <c r="G12" s="5"/>
      <c r="K12" s="52"/>
      <c r="L12" s="50"/>
      <c r="M12" s="51"/>
      <c r="N12" s="51"/>
      <c r="S12" s="52"/>
      <c r="T12" s="50"/>
      <c r="U12" s="51"/>
    </row>
    <row r="13" spans="1:23" ht="15.75" customHeight="1">
      <c r="A13" s="48" t="s">
        <v>3030</v>
      </c>
      <c r="B13" s="49" t="s">
        <v>3031</v>
      </c>
      <c r="C13" s="51" t="s">
        <v>205</v>
      </c>
      <c r="D13" s="7"/>
      <c r="E13" s="5"/>
      <c r="F13" s="5"/>
      <c r="G13" s="5"/>
      <c r="K13" s="52"/>
      <c r="L13" s="50"/>
      <c r="M13" s="51"/>
      <c r="N13" s="5"/>
      <c r="S13" s="52"/>
      <c r="T13" s="50"/>
      <c r="U13" s="51"/>
    </row>
    <row r="14" spans="1:23" ht="15.75" customHeight="1">
      <c r="A14" s="48" t="s">
        <v>3032</v>
      </c>
      <c r="B14" s="49" t="s">
        <v>3033</v>
      </c>
      <c r="C14" s="51" t="s">
        <v>199</v>
      </c>
      <c r="D14" s="7"/>
      <c r="E14" s="5"/>
      <c r="F14" s="5"/>
      <c r="G14" s="5"/>
      <c r="K14" s="52"/>
      <c r="L14" s="50"/>
      <c r="M14" s="51"/>
      <c r="N14" s="51"/>
      <c r="S14" s="52"/>
      <c r="T14" s="50"/>
      <c r="U14" s="51"/>
    </row>
    <row r="15" spans="1:23" ht="15.75" customHeight="1">
      <c r="A15" s="48" t="s">
        <v>3034</v>
      </c>
      <c r="B15" s="49" t="s">
        <v>3035</v>
      </c>
      <c r="C15" s="51" t="s">
        <v>208</v>
      </c>
      <c r="D15" s="7"/>
      <c r="E15" s="5"/>
      <c r="F15" s="5"/>
      <c r="G15" s="5"/>
      <c r="K15" s="52"/>
      <c r="L15" s="50"/>
      <c r="M15" s="51"/>
      <c r="N15" s="51"/>
      <c r="S15" s="52"/>
      <c r="T15" s="50"/>
      <c r="U15" s="51"/>
    </row>
    <row r="16" spans="1:23" ht="15.75" customHeight="1">
      <c r="A16" s="48" t="s">
        <v>3036</v>
      </c>
      <c r="B16" s="49" t="s">
        <v>3037</v>
      </c>
      <c r="C16" s="51" t="s">
        <v>225</v>
      </c>
      <c r="D16" s="7"/>
      <c r="E16" s="5"/>
      <c r="F16" s="5"/>
      <c r="G16" s="5"/>
      <c r="K16" s="52"/>
      <c r="L16" s="50"/>
      <c r="M16" s="51"/>
      <c r="N16" s="51"/>
      <c r="S16" s="52"/>
      <c r="T16" s="50"/>
      <c r="U16" s="51"/>
    </row>
    <row r="17" spans="1:27" ht="15.75" customHeight="1">
      <c r="A17" s="48" t="s">
        <v>3038</v>
      </c>
      <c r="B17" s="49" t="s">
        <v>3039</v>
      </c>
      <c r="C17" s="51" t="s">
        <v>208</v>
      </c>
      <c r="D17" s="7"/>
      <c r="E17" s="5"/>
      <c r="F17" s="5"/>
      <c r="G17" s="5"/>
      <c r="K17" s="52"/>
      <c r="L17" s="50"/>
      <c r="M17" s="51"/>
      <c r="N17" s="51"/>
      <c r="S17" s="52"/>
      <c r="T17" s="50"/>
      <c r="U17" s="51"/>
    </row>
    <row r="18" spans="1:27" ht="15.75" customHeight="1">
      <c r="A18" s="48" t="s">
        <v>3040</v>
      </c>
      <c r="B18" s="49" t="s">
        <v>3041</v>
      </c>
      <c r="C18" s="51" t="s">
        <v>197</v>
      </c>
      <c r="D18" s="7"/>
      <c r="E18" s="5"/>
      <c r="F18" s="5"/>
      <c r="G18" s="5"/>
      <c r="M18" s="5"/>
      <c r="N18" s="5"/>
      <c r="U18" s="5"/>
      <c r="AA18" s="5"/>
    </row>
    <row r="19" spans="1:27" ht="15.75" customHeight="1">
      <c r="A19" s="48" t="s">
        <v>3042</v>
      </c>
      <c r="B19" s="49" t="s">
        <v>3043</v>
      </c>
      <c r="C19" s="51" t="s">
        <v>192</v>
      </c>
      <c r="D19" s="7"/>
      <c r="E19" s="5"/>
      <c r="F19" s="5"/>
      <c r="G19" s="5"/>
      <c r="K19" s="1"/>
      <c r="M19" s="5"/>
      <c r="N19" s="5"/>
      <c r="U19" s="5"/>
      <c r="AA19" s="5"/>
    </row>
    <row r="20" spans="1:27" ht="15.75" customHeight="1">
      <c r="A20" s="48" t="s">
        <v>3044</v>
      </c>
      <c r="B20" s="49" t="s">
        <v>191</v>
      </c>
      <c r="C20" s="51" t="s">
        <v>192</v>
      </c>
      <c r="D20" s="7"/>
      <c r="E20" s="5"/>
      <c r="F20" s="5"/>
      <c r="G20" s="5"/>
      <c r="L20" s="40"/>
      <c r="M20" s="5"/>
      <c r="N20" s="5"/>
      <c r="AA20" s="5"/>
    </row>
    <row r="21" spans="1:27" ht="15.75" customHeight="1">
      <c r="A21" s="48" t="s">
        <v>3045</v>
      </c>
      <c r="B21" s="49" t="s">
        <v>3046</v>
      </c>
      <c r="C21" s="51" t="s">
        <v>220</v>
      </c>
      <c r="D21" s="7"/>
      <c r="E21" s="5"/>
      <c r="F21" s="5"/>
      <c r="G21" s="5"/>
      <c r="M21" s="5"/>
      <c r="N21" s="5"/>
      <c r="AA21" s="5"/>
    </row>
    <row r="22" spans="1:27" ht="15.75" customHeight="1">
      <c r="A22" s="48" t="s">
        <v>3047</v>
      </c>
      <c r="B22" s="49" t="s">
        <v>3048</v>
      </c>
      <c r="C22" s="51" t="s">
        <v>208</v>
      </c>
      <c r="D22" s="7"/>
      <c r="E22" s="5"/>
      <c r="F22" s="5"/>
      <c r="G22" s="5"/>
      <c r="K22" s="42"/>
      <c r="L22" s="45"/>
      <c r="M22" s="46"/>
      <c r="N22" s="47"/>
      <c r="AA22" s="5"/>
    </row>
    <row r="23" spans="1:27" ht="15.75" customHeight="1">
      <c r="A23" s="48" t="s">
        <v>3049</v>
      </c>
      <c r="B23" s="49" t="s">
        <v>3050</v>
      </c>
      <c r="C23" s="51" t="s">
        <v>808</v>
      </c>
      <c r="D23" s="7"/>
      <c r="E23" s="5"/>
      <c r="F23" s="5"/>
      <c r="G23" s="5"/>
      <c r="K23" s="42"/>
      <c r="L23" s="43"/>
      <c r="M23" s="43"/>
      <c r="N23" s="42"/>
      <c r="O23" s="44"/>
      <c r="AA23" s="5"/>
    </row>
    <row r="24" spans="1:27" ht="15.75" customHeight="1">
      <c r="A24" s="48" t="s">
        <v>3051</v>
      </c>
      <c r="B24" s="49" t="s">
        <v>3052</v>
      </c>
      <c r="C24" s="51" t="s">
        <v>199</v>
      </c>
      <c r="D24" s="7"/>
      <c r="E24" s="5"/>
      <c r="F24" s="5"/>
      <c r="G24" s="5"/>
      <c r="K24" s="52"/>
      <c r="L24" s="50"/>
      <c r="M24" s="51"/>
      <c r="N24" s="5"/>
      <c r="AA24" s="5"/>
    </row>
    <row r="25" spans="1:27" ht="15.75" customHeight="1">
      <c r="A25" s="48" t="s">
        <v>3053</v>
      </c>
      <c r="B25" s="49" t="s">
        <v>251</v>
      </c>
      <c r="C25" s="51" t="s">
        <v>192</v>
      </c>
      <c r="D25" s="7"/>
      <c r="E25" s="5"/>
      <c r="F25" s="5"/>
      <c r="G25" s="5"/>
      <c r="K25" s="52"/>
      <c r="L25" s="50"/>
      <c r="M25" s="51"/>
      <c r="N25" s="5"/>
      <c r="AA25" s="5"/>
    </row>
    <row r="26" spans="1:27" ht="15.75" customHeight="1">
      <c r="A26" s="48" t="s">
        <v>3054</v>
      </c>
      <c r="B26" s="49" t="s">
        <v>3055</v>
      </c>
      <c r="C26" s="51" t="s">
        <v>195</v>
      </c>
      <c r="D26" s="7"/>
      <c r="E26" s="5"/>
      <c r="F26" s="5"/>
      <c r="G26" s="5"/>
      <c r="K26" s="52"/>
      <c r="L26" s="50"/>
      <c r="M26" s="51"/>
      <c r="N26" s="51"/>
      <c r="AA26" s="5"/>
    </row>
    <row r="27" spans="1:27" ht="15.75" customHeight="1">
      <c r="A27" s="48" t="s">
        <v>3056</v>
      </c>
      <c r="B27" s="49" t="s">
        <v>3057</v>
      </c>
      <c r="C27" s="51" t="s">
        <v>197</v>
      </c>
      <c r="D27" s="7"/>
      <c r="E27" s="5"/>
      <c r="F27" s="51"/>
      <c r="G27" s="5"/>
      <c r="K27" s="52"/>
      <c r="L27" s="50"/>
      <c r="M27" s="51"/>
      <c r="N27" s="51"/>
      <c r="AA27" s="5"/>
    </row>
    <row r="28" spans="1:27" ht="15.75" customHeight="1">
      <c r="A28" s="48" t="s">
        <v>3058</v>
      </c>
      <c r="B28" s="49" t="s">
        <v>3059</v>
      </c>
      <c r="C28" s="51" t="s">
        <v>808</v>
      </c>
      <c r="D28" s="7"/>
      <c r="E28" s="5"/>
      <c r="F28" s="5"/>
      <c r="G28" s="5"/>
      <c r="J28" s="5"/>
      <c r="K28" s="52"/>
      <c r="L28" s="50"/>
      <c r="M28" s="51"/>
      <c r="N28" s="5"/>
      <c r="P28" s="5"/>
    </row>
    <row r="29" spans="1:27" ht="15.75" customHeight="1">
      <c r="A29" s="48" t="s">
        <v>3060</v>
      </c>
      <c r="B29" s="58" t="str">
        <f>HYPERLINK("https://bulbapedia.bulbagarden.net/wiki/Tropical_Wind_(DP_Promo_25)","Tropical Wind")</f>
        <v>Tropical Wind</v>
      </c>
      <c r="C29" s="51" t="s">
        <v>206</v>
      </c>
      <c r="D29" s="7"/>
      <c r="E29" s="5"/>
      <c r="F29" s="5"/>
      <c r="G29" s="5"/>
      <c r="J29" s="5"/>
      <c r="K29" s="52"/>
      <c r="L29" s="50"/>
      <c r="M29" s="51"/>
      <c r="N29" s="51"/>
      <c r="P29" s="5"/>
    </row>
    <row r="30" spans="1:27" ht="15.75" customHeight="1">
      <c r="A30" s="48" t="s">
        <v>3061</v>
      </c>
      <c r="B30" s="49" t="s">
        <v>3062</v>
      </c>
      <c r="C30" s="51" t="s">
        <v>220</v>
      </c>
      <c r="D30" s="7"/>
      <c r="E30" s="5"/>
      <c r="F30" s="5"/>
      <c r="G30" s="5"/>
      <c r="J30" s="5"/>
      <c r="K30" s="52"/>
      <c r="L30" s="50"/>
      <c r="M30" s="51"/>
      <c r="N30" s="5"/>
      <c r="P30" s="5"/>
    </row>
    <row r="31" spans="1:27" ht="15.75" customHeight="1">
      <c r="A31" s="48" t="s">
        <v>3063</v>
      </c>
      <c r="B31" s="49" t="s">
        <v>3064</v>
      </c>
      <c r="C31" s="51" t="s">
        <v>208</v>
      </c>
      <c r="D31" s="7"/>
      <c r="E31" s="5"/>
      <c r="F31" s="5"/>
      <c r="G31" s="5"/>
      <c r="J31" s="5"/>
      <c r="K31" s="52"/>
      <c r="L31" s="50"/>
      <c r="M31" s="51"/>
      <c r="N31" s="51"/>
      <c r="P31" s="5"/>
    </row>
    <row r="32" spans="1:27" ht="15.75" customHeight="1">
      <c r="A32" s="48" t="s">
        <v>3065</v>
      </c>
      <c r="B32" s="49" t="s">
        <v>3066</v>
      </c>
      <c r="C32" s="51" t="s">
        <v>195</v>
      </c>
      <c r="D32" s="7"/>
      <c r="E32" s="5"/>
      <c r="F32" s="5"/>
      <c r="G32" s="5"/>
      <c r="J32" s="5"/>
      <c r="K32" s="52"/>
      <c r="L32" s="50"/>
      <c r="M32" s="51"/>
      <c r="N32" s="5"/>
      <c r="P32" s="5"/>
    </row>
    <row r="33" spans="1:16" ht="15.75" customHeight="1">
      <c r="A33" s="48" t="s">
        <v>3067</v>
      </c>
      <c r="B33" s="49" t="s">
        <v>3068</v>
      </c>
      <c r="C33" s="51" t="s">
        <v>225</v>
      </c>
      <c r="E33" s="5"/>
      <c r="F33" s="51"/>
      <c r="G33" s="5"/>
      <c r="J33" s="5"/>
      <c r="K33" s="52"/>
      <c r="L33" s="50"/>
      <c r="M33" s="51"/>
      <c r="N33" s="5"/>
      <c r="P33" s="5"/>
    </row>
    <row r="34" spans="1:16" ht="15.75" customHeight="1">
      <c r="A34" s="48" t="s">
        <v>3069</v>
      </c>
      <c r="B34" s="49" t="s">
        <v>3070</v>
      </c>
      <c r="C34" s="51" t="s">
        <v>197</v>
      </c>
      <c r="E34" s="5"/>
      <c r="F34" s="5"/>
      <c r="G34" s="5"/>
      <c r="J34" s="5"/>
      <c r="K34" s="52"/>
      <c r="L34" s="50"/>
      <c r="M34" s="51"/>
      <c r="N34" s="5"/>
      <c r="P34" s="5"/>
    </row>
    <row r="35" spans="1:16" ht="15.75" customHeight="1">
      <c r="A35" s="48" t="s">
        <v>3071</v>
      </c>
      <c r="B35" s="49" t="s">
        <v>3072</v>
      </c>
      <c r="C35" s="51" t="s">
        <v>199</v>
      </c>
      <c r="E35" s="5"/>
      <c r="F35" s="5"/>
      <c r="G35" s="5"/>
      <c r="J35" s="5"/>
      <c r="K35" s="52"/>
      <c r="L35" s="50"/>
      <c r="M35" s="51"/>
      <c r="N35" s="51"/>
      <c r="P35" s="5"/>
    </row>
    <row r="36" spans="1:16" ht="15.75" customHeight="1">
      <c r="A36" s="48" t="s">
        <v>3073</v>
      </c>
      <c r="B36" s="49" t="s">
        <v>3074</v>
      </c>
      <c r="C36" s="51" t="s">
        <v>220</v>
      </c>
      <c r="E36" s="5"/>
      <c r="F36" s="5"/>
      <c r="G36" s="5"/>
      <c r="J36" s="5"/>
      <c r="M36" s="5"/>
      <c r="N36" s="5"/>
      <c r="P36" s="5"/>
    </row>
    <row r="37" spans="1:16" ht="15.75" customHeight="1">
      <c r="A37" s="48" t="s">
        <v>3075</v>
      </c>
      <c r="B37" s="49" t="s">
        <v>3076</v>
      </c>
      <c r="C37" s="51" t="s">
        <v>195</v>
      </c>
      <c r="E37" s="5"/>
      <c r="F37" s="5"/>
      <c r="G37" s="5"/>
      <c r="J37" s="5"/>
      <c r="M37" s="5"/>
      <c r="N37" s="5"/>
    </row>
    <row r="38" spans="1:16" ht="15.75" customHeight="1">
      <c r="A38" s="48" t="s">
        <v>3077</v>
      </c>
      <c r="B38" s="49" t="s">
        <v>3078</v>
      </c>
      <c r="C38" s="51" t="s">
        <v>195</v>
      </c>
      <c r="E38" s="5"/>
      <c r="F38" s="5"/>
      <c r="G38" s="5"/>
      <c r="J38" s="5"/>
      <c r="M38" s="51"/>
      <c r="N38" s="51"/>
    </row>
    <row r="39" spans="1:16" ht="15.75" customHeight="1">
      <c r="A39" s="48" t="s">
        <v>3079</v>
      </c>
      <c r="B39" s="49" t="s">
        <v>3080</v>
      </c>
      <c r="C39" s="51" t="s">
        <v>197</v>
      </c>
      <c r="E39" s="5"/>
      <c r="F39" s="5"/>
      <c r="G39" s="5"/>
      <c r="J39" s="5"/>
      <c r="M39" s="51"/>
      <c r="N39" s="51"/>
    </row>
    <row r="40" spans="1:16" ht="15.75" customHeight="1">
      <c r="A40" s="48" t="s">
        <v>3081</v>
      </c>
      <c r="B40" s="49" t="s">
        <v>3082</v>
      </c>
      <c r="C40" s="51" t="s">
        <v>225</v>
      </c>
      <c r="E40" s="5"/>
      <c r="F40" s="5"/>
      <c r="G40" s="5"/>
      <c r="J40" s="5"/>
      <c r="M40" s="51"/>
      <c r="N40" s="51"/>
    </row>
    <row r="41" spans="1:16" ht="15.75" customHeight="1">
      <c r="A41" s="48" t="s">
        <v>3083</v>
      </c>
      <c r="B41" s="49" t="s">
        <v>3046</v>
      </c>
      <c r="C41" s="51" t="s">
        <v>220</v>
      </c>
      <c r="E41" s="5"/>
      <c r="F41" s="5"/>
      <c r="G41" s="5"/>
      <c r="J41" s="5"/>
      <c r="M41" s="51"/>
      <c r="N41" s="51"/>
    </row>
    <row r="42" spans="1:16" ht="15.75" customHeight="1">
      <c r="A42" s="48" t="s">
        <v>3084</v>
      </c>
      <c r="B42" s="49" t="s">
        <v>3085</v>
      </c>
      <c r="C42" s="51" t="s">
        <v>195</v>
      </c>
      <c r="E42" s="5"/>
      <c r="F42" s="5"/>
      <c r="G42" s="5"/>
      <c r="J42" s="5"/>
      <c r="M42" s="51"/>
      <c r="N42" s="51"/>
    </row>
    <row r="43" spans="1:16" ht="15.75" customHeight="1">
      <c r="A43" s="48" t="s">
        <v>3086</v>
      </c>
      <c r="B43" s="49" t="s">
        <v>3087</v>
      </c>
      <c r="C43" s="51" t="s">
        <v>205</v>
      </c>
      <c r="E43" s="5"/>
      <c r="F43" s="5"/>
      <c r="G43" s="5"/>
      <c r="J43" s="5"/>
      <c r="M43" s="51"/>
      <c r="N43" s="51"/>
    </row>
    <row r="44" spans="1:16" ht="15.75" customHeight="1">
      <c r="A44" s="48" t="s">
        <v>3088</v>
      </c>
      <c r="B44" s="49" t="s">
        <v>3089</v>
      </c>
      <c r="C44" s="51" t="s">
        <v>197</v>
      </c>
      <c r="E44" s="5"/>
      <c r="F44" s="5"/>
      <c r="G44" s="5"/>
      <c r="J44" s="5"/>
      <c r="M44" s="51"/>
      <c r="N44" s="51"/>
    </row>
    <row r="45" spans="1:16" ht="15.75" customHeight="1">
      <c r="A45" s="48" t="s">
        <v>3090</v>
      </c>
      <c r="B45" s="58" t="str">
        <f>HYPERLINK("https://bulbapedia.bulbagarden.net/wiki/Toxicroak_G_(DP_Promo_41)","ToxicroakG")</f>
        <v>ToxicroakG</v>
      </c>
      <c r="C45" s="51" t="s">
        <v>225</v>
      </c>
      <c r="E45" s="5"/>
      <c r="F45" s="5"/>
      <c r="G45" s="5"/>
      <c r="J45" s="5"/>
      <c r="M45" s="51"/>
      <c r="N45" s="51"/>
      <c r="P45" s="5"/>
    </row>
    <row r="46" spans="1:16" ht="15.75" customHeight="1">
      <c r="A46" s="48" t="s">
        <v>3091</v>
      </c>
      <c r="B46" s="58" t="str">
        <f>HYPERLINK("https://bulbapedia.bulbagarden.net/wiki/Carnivine_G_(DP_Promo_42)","CarnivineG")</f>
        <v>CarnivineG</v>
      </c>
      <c r="C46" s="51" t="s">
        <v>205</v>
      </c>
      <c r="E46" s="5"/>
      <c r="F46" s="5"/>
      <c r="G46" s="5"/>
      <c r="J46" s="5"/>
      <c r="M46" s="51"/>
      <c r="N46" s="51"/>
      <c r="P46" s="5"/>
    </row>
    <row r="47" spans="1:16" ht="15.75" customHeight="1">
      <c r="A47" s="48" t="s">
        <v>3092</v>
      </c>
      <c r="B47" s="58" t="str">
        <f>HYPERLINK("https://bulbapedia.bulbagarden.net/wiki/Probopass_G_(DP_Promo_43)","ProbopassG")</f>
        <v>ProbopassG</v>
      </c>
      <c r="C47" s="51" t="s">
        <v>225</v>
      </c>
      <c r="E47" s="5"/>
      <c r="F47" s="5"/>
      <c r="G47" s="5"/>
      <c r="J47" s="5"/>
      <c r="M47" s="5"/>
      <c r="N47" s="5"/>
      <c r="P47" s="5"/>
    </row>
    <row r="48" spans="1:16" ht="15.75" customHeight="1">
      <c r="A48" s="48" t="s">
        <v>3093</v>
      </c>
      <c r="B48" s="49" t="s">
        <v>3074</v>
      </c>
      <c r="C48" s="51" t="s">
        <v>192</v>
      </c>
      <c r="E48" s="5"/>
      <c r="F48" s="5"/>
      <c r="G48" s="5"/>
      <c r="J48" s="5"/>
      <c r="M48" s="5"/>
      <c r="N48" s="5"/>
      <c r="P48" s="5"/>
    </row>
    <row r="49" spans="1:16" ht="15.75" customHeight="1">
      <c r="A49" s="48" t="s">
        <v>3094</v>
      </c>
      <c r="B49" s="58" t="str">
        <f>HYPERLINK("https://bulbapedia.bulbagarden.net/wiki/Charizard_G_LV.X_(DP_Promo_45)","Charizard  LV.X")</f>
        <v>Charizard  LV.X</v>
      </c>
      <c r="C49" s="51" t="s">
        <v>199</v>
      </c>
      <c r="E49" s="5"/>
      <c r="F49" s="5"/>
      <c r="G49" s="5"/>
      <c r="J49" s="5"/>
      <c r="M49" s="5"/>
      <c r="N49" s="5"/>
      <c r="P49" s="5"/>
    </row>
    <row r="50" spans="1:16" ht="15.75" customHeight="1">
      <c r="A50" s="48" t="s">
        <v>3095</v>
      </c>
      <c r="B50" s="58" t="str">
        <f>HYPERLINK("https://bulbapedia.bulbagarden.net/wiki/Garchomp_C_LV.X_(DP_Promo_46)","Garchomp  LV.X")</f>
        <v>Garchomp  LV.X</v>
      </c>
      <c r="C50" s="51" t="s">
        <v>197</v>
      </c>
      <c r="E50" s="5"/>
      <c r="F50" s="5"/>
      <c r="G50" s="5"/>
      <c r="J50" s="5"/>
      <c r="M50" s="5"/>
      <c r="N50" s="5"/>
      <c r="P50" s="5"/>
    </row>
    <row r="51" spans="1:16" ht="15.75" customHeight="1">
      <c r="A51" s="48" t="s">
        <v>3096</v>
      </c>
      <c r="B51" s="58" t="str">
        <f>HYPERLINK("https://bulbapedia.bulbagarden.net/wiki/Rayquaza_C_LV.X_(DP_Promo_47)","Rayquaza  LV.X")</f>
        <v>Rayquaza  LV.X</v>
      </c>
      <c r="C51" s="51" t="s">
        <v>197</v>
      </c>
      <c r="E51" s="5"/>
      <c r="F51" s="5"/>
      <c r="G51" s="5"/>
      <c r="J51" s="5"/>
      <c r="M51" s="5"/>
      <c r="N51" s="5"/>
      <c r="P51" s="5"/>
    </row>
    <row r="52" spans="1:16" ht="15.75" customHeight="1">
      <c r="A52" s="48" t="s">
        <v>3097</v>
      </c>
      <c r="B52" s="58" t="str">
        <f>HYPERLINK("https://bulbapedia.bulbagarden.net/wiki/Tropical_Wind_(DP_Promo_48)","Tropical Wind")</f>
        <v>Tropical Wind</v>
      </c>
      <c r="C52" s="51" t="s">
        <v>206</v>
      </c>
      <c r="E52" s="5"/>
      <c r="F52" s="5"/>
      <c r="G52" s="5"/>
      <c r="J52" s="5"/>
      <c r="M52" s="5"/>
      <c r="N52" s="5"/>
      <c r="P52" s="5"/>
    </row>
    <row r="53" spans="1:16" ht="13">
      <c r="A53" s="48" t="s">
        <v>3098</v>
      </c>
      <c r="B53" s="49" t="s">
        <v>3062</v>
      </c>
      <c r="C53" s="51" t="s">
        <v>220</v>
      </c>
      <c r="E53" s="5"/>
      <c r="F53" s="5"/>
      <c r="G53" s="5"/>
      <c r="J53" s="5"/>
      <c r="M53" s="5"/>
      <c r="N53" s="5"/>
      <c r="P53" s="5"/>
    </row>
    <row r="54" spans="1:16" ht="13">
      <c r="A54" s="48" t="s">
        <v>3099</v>
      </c>
      <c r="B54" s="49" t="s">
        <v>56</v>
      </c>
      <c r="C54" s="51" t="s">
        <v>197</v>
      </c>
      <c r="E54" s="5"/>
      <c r="F54" s="5"/>
      <c r="G54" s="5"/>
      <c r="J54" s="5"/>
      <c r="M54" s="5"/>
      <c r="N54" s="5"/>
      <c r="P54" s="5"/>
    </row>
    <row r="55" spans="1:16" ht="13">
      <c r="A55" s="48" t="s">
        <v>3100</v>
      </c>
      <c r="B55" s="49" t="s">
        <v>3101</v>
      </c>
      <c r="C55" s="51" t="s">
        <v>195</v>
      </c>
      <c r="E55" s="5"/>
      <c r="F55" s="5"/>
      <c r="G55" s="5"/>
      <c r="J55" s="5"/>
      <c r="M55" s="5"/>
      <c r="N55" s="5"/>
      <c r="P55" s="5"/>
    </row>
    <row r="56" spans="1:16" ht="13">
      <c r="A56" s="48" t="s">
        <v>3102</v>
      </c>
      <c r="B56" s="49" t="s">
        <v>3059</v>
      </c>
      <c r="C56" s="51" t="s">
        <v>808</v>
      </c>
      <c r="E56" s="5"/>
      <c r="F56" s="5"/>
      <c r="G56" s="5"/>
      <c r="J56" s="5"/>
      <c r="M56" s="5"/>
      <c r="N56" s="5"/>
      <c r="P56" s="5"/>
    </row>
    <row r="57" spans="1:16" ht="13">
      <c r="A57" s="48" t="s">
        <v>3103</v>
      </c>
      <c r="B57" s="49" t="s">
        <v>3104</v>
      </c>
      <c r="C57" s="51" t="s">
        <v>197</v>
      </c>
      <c r="E57" s="5"/>
      <c r="F57" s="5"/>
      <c r="G57" s="5"/>
      <c r="J57" s="5"/>
      <c r="M57" s="5"/>
      <c r="N57" s="5"/>
      <c r="P57" s="5"/>
    </row>
    <row r="58" spans="1:16" ht="13">
      <c r="A58" s="48" t="s">
        <v>3105</v>
      </c>
      <c r="B58" s="49" t="s">
        <v>3106</v>
      </c>
      <c r="C58" s="51" t="s">
        <v>206</v>
      </c>
      <c r="E58" s="5"/>
      <c r="F58" s="5"/>
      <c r="G58" s="5"/>
      <c r="J58" s="5"/>
      <c r="M58" s="5"/>
      <c r="N58" s="5"/>
      <c r="P58" s="5"/>
    </row>
    <row r="59" spans="1:16" ht="13">
      <c r="A59" s="48" t="s">
        <v>3107</v>
      </c>
      <c r="B59" s="49" t="s">
        <v>3108</v>
      </c>
      <c r="C59" s="51" t="s">
        <v>229</v>
      </c>
      <c r="E59" s="5"/>
      <c r="F59" s="5"/>
      <c r="G59" s="5"/>
      <c r="J59" s="5"/>
      <c r="M59" s="5"/>
      <c r="N59" s="5"/>
      <c r="P59" s="5"/>
    </row>
    <row r="60" spans="1:16" ht="13">
      <c r="A60" s="48" t="s">
        <v>3109</v>
      </c>
      <c r="B60" s="49" t="s">
        <v>3104</v>
      </c>
      <c r="C60" s="51" t="s">
        <v>197</v>
      </c>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1"/>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700-000000000000}"/>
    <hyperlink ref="B6" r:id="rId2" xr:uid="{00000000-0004-0000-2700-000001000000}"/>
    <hyperlink ref="B7" r:id="rId3" xr:uid="{00000000-0004-0000-2700-000002000000}"/>
    <hyperlink ref="B8" r:id="rId4" xr:uid="{00000000-0004-0000-2700-000003000000}"/>
    <hyperlink ref="B10" r:id="rId5" xr:uid="{00000000-0004-0000-2700-000004000000}"/>
    <hyperlink ref="B11" r:id="rId6" xr:uid="{00000000-0004-0000-2700-000005000000}"/>
    <hyperlink ref="B12" r:id="rId7" xr:uid="{00000000-0004-0000-2700-000006000000}"/>
    <hyperlink ref="B13" r:id="rId8" xr:uid="{00000000-0004-0000-2700-000007000000}"/>
    <hyperlink ref="B14" r:id="rId9" xr:uid="{00000000-0004-0000-2700-000008000000}"/>
    <hyperlink ref="B15" r:id="rId10" xr:uid="{00000000-0004-0000-2700-000009000000}"/>
    <hyperlink ref="B16" r:id="rId11" xr:uid="{00000000-0004-0000-2700-00000A000000}"/>
    <hyperlink ref="B17" r:id="rId12" xr:uid="{00000000-0004-0000-2700-00000B000000}"/>
    <hyperlink ref="B18" r:id="rId13" xr:uid="{00000000-0004-0000-2700-00000C000000}"/>
    <hyperlink ref="B19" r:id="rId14" xr:uid="{00000000-0004-0000-2700-00000D000000}"/>
    <hyperlink ref="B20" r:id="rId15" xr:uid="{00000000-0004-0000-2700-00000E000000}"/>
    <hyperlink ref="B21" r:id="rId16" xr:uid="{00000000-0004-0000-2700-00000F000000}"/>
    <hyperlink ref="B22" r:id="rId17" xr:uid="{00000000-0004-0000-2700-000010000000}"/>
    <hyperlink ref="B23" r:id="rId18" xr:uid="{00000000-0004-0000-2700-000011000000}"/>
    <hyperlink ref="B24" r:id="rId19" xr:uid="{00000000-0004-0000-2700-000012000000}"/>
    <hyperlink ref="B25" r:id="rId20" xr:uid="{00000000-0004-0000-2700-000013000000}"/>
    <hyperlink ref="B26" r:id="rId21" xr:uid="{00000000-0004-0000-2700-000014000000}"/>
    <hyperlink ref="B27" r:id="rId22" xr:uid="{00000000-0004-0000-2700-000015000000}"/>
    <hyperlink ref="B28" r:id="rId23" xr:uid="{00000000-0004-0000-2700-000016000000}"/>
    <hyperlink ref="B30" r:id="rId24" xr:uid="{00000000-0004-0000-2700-000017000000}"/>
    <hyperlink ref="B31" r:id="rId25" xr:uid="{00000000-0004-0000-2700-000018000000}"/>
    <hyperlink ref="B32" r:id="rId26" xr:uid="{00000000-0004-0000-2700-000019000000}"/>
    <hyperlink ref="B33" r:id="rId27" xr:uid="{00000000-0004-0000-2700-00001A000000}"/>
    <hyperlink ref="B34" r:id="rId28" xr:uid="{00000000-0004-0000-2700-00001B000000}"/>
    <hyperlink ref="B35" r:id="rId29" xr:uid="{00000000-0004-0000-2700-00001C000000}"/>
    <hyperlink ref="B36" r:id="rId30" xr:uid="{00000000-0004-0000-2700-00001D000000}"/>
    <hyperlink ref="B37" r:id="rId31" xr:uid="{00000000-0004-0000-2700-00001E000000}"/>
    <hyperlink ref="B38" r:id="rId32" xr:uid="{00000000-0004-0000-2700-00001F000000}"/>
    <hyperlink ref="B39" r:id="rId33" xr:uid="{00000000-0004-0000-2700-000020000000}"/>
    <hyperlink ref="B40" r:id="rId34" xr:uid="{00000000-0004-0000-2700-000021000000}"/>
    <hyperlink ref="B41" r:id="rId35" xr:uid="{00000000-0004-0000-2700-000022000000}"/>
    <hyperlink ref="B42" r:id="rId36" xr:uid="{00000000-0004-0000-2700-000023000000}"/>
    <hyperlink ref="B43" r:id="rId37" xr:uid="{00000000-0004-0000-2700-000024000000}"/>
    <hyperlink ref="B44" r:id="rId38" xr:uid="{00000000-0004-0000-2700-000025000000}"/>
    <hyperlink ref="B48" r:id="rId39" xr:uid="{00000000-0004-0000-2700-000026000000}"/>
    <hyperlink ref="B53" r:id="rId40" xr:uid="{00000000-0004-0000-2700-000027000000}"/>
    <hyperlink ref="B54" r:id="rId41" xr:uid="{00000000-0004-0000-2700-000028000000}"/>
    <hyperlink ref="B55" r:id="rId42" xr:uid="{00000000-0004-0000-2700-000029000000}"/>
    <hyperlink ref="B56" r:id="rId43" xr:uid="{00000000-0004-0000-2700-00002A000000}"/>
    <hyperlink ref="B57" r:id="rId44" xr:uid="{00000000-0004-0000-2700-00002B000000}"/>
    <hyperlink ref="B58" r:id="rId45" xr:uid="{00000000-0004-0000-2700-00002C000000}"/>
    <hyperlink ref="B59" r:id="rId46" xr:uid="{00000000-0004-0000-2700-00002D000000}"/>
    <hyperlink ref="B60" r:id="rId47" xr:uid="{00000000-0004-0000-2700-00002E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6640625" customWidth="1"/>
    <col min="3" max="3" width="13.5" customWidth="1"/>
    <col min="4" max="4" width="14.83203125" customWidth="1"/>
    <col min="5" max="5" width="14.33203125" customWidth="1"/>
    <col min="11" max="11" width="13.83203125" customWidth="1"/>
  </cols>
  <sheetData>
    <row r="1" spans="1:23" ht="15.75" customHeight="1">
      <c r="A1" s="1" t="s">
        <v>18</v>
      </c>
      <c r="B1" s="36"/>
      <c r="C1" s="37"/>
      <c r="D1" s="7" t="s">
        <v>181</v>
      </c>
      <c r="E1" s="5"/>
      <c r="F1" s="5"/>
      <c r="G1" s="5"/>
      <c r="K1" s="1"/>
      <c r="M1" s="5"/>
      <c r="N1" s="5"/>
      <c r="S1" s="1"/>
      <c r="U1" s="5"/>
    </row>
    <row r="2" spans="1:23" ht="15.75" customHeight="1">
      <c r="A2" s="7" t="s">
        <v>182</v>
      </c>
      <c r="B2" s="38">
        <v>39225</v>
      </c>
      <c r="C2" s="37"/>
      <c r="D2" s="39">
        <f>SUM(D5:G126)</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392</v>
      </c>
      <c r="B5" s="49" t="s">
        <v>3062</v>
      </c>
      <c r="C5" s="51" t="s">
        <v>220</v>
      </c>
      <c r="D5" s="54"/>
      <c r="E5" s="5"/>
      <c r="F5" s="5"/>
      <c r="G5" s="5"/>
      <c r="L5" s="43"/>
      <c r="M5" s="43"/>
      <c r="N5" s="42"/>
      <c r="O5" s="44"/>
      <c r="S5" s="42"/>
      <c r="T5" s="43"/>
      <c r="U5" s="43"/>
      <c r="V5" s="42"/>
      <c r="W5" s="44"/>
    </row>
    <row r="6" spans="1:23" ht="15.75" customHeight="1">
      <c r="A6" s="48" t="s">
        <v>393</v>
      </c>
      <c r="B6" s="49" t="s">
        <v>3076</v>
      </c>
      <c r="C6" s="51" t="s">
        <v>195</v>
      </c>
      <c r="D6" s="54"/>
      <c r="E6" s="5"/>
      <c r="F6" s="5"/>
      <c r="G6" s="5"/>
      <c r="L6" s="50"/>
      <c r="M6" s="51"/>
      <c r="N6" s="5"/>
      <c r="S6" s="52"/>
      <c r="T6" s="50"/>
      <c r="U6" s="51"/>
    </row>
    <row r="7" spans="1:23" ht="15.75" customHeight="1">
      <c r="A7" s="48" t="s">
        <v>394</v>
      </c>
      <c r="B7" s="49" t="s">
        <v>3110</v>
      </c>
      <c r="C7" s="51" t="s">
        <v>192</v>
      </c>
      <c r="D7" s="54"/>
      <c r="E7" s="5"/>
      <c r="F7" s="5"/>
      <c r="G7" s="5"/>
      <c r="K7" s="52"/>
      <c r="L7" s="50"/>
      <c r="M7" s="51"/>
      <c r="N7" s="5"/>
      <c r="S7" s="52"/>
      <c r="T7" s="50"/>
      <c r="U7" s="51"/>
    </row>
    <row r="8" spans="1:23" ht="15.75" customHeight="1">
      <c r="A8" s="48" t="s">
        <v>395</v>
      </c>
      <c r="B8" s="49" t="s">
        <v>3111</v>
      </c>
      <c r="C8" s="51" t="s">
        <v>208</v>
      </c>
      <c r="D8" s="54"/>
      <c r="E8" s="5"/>
      <c r="F8" s="5"/>
      <c r="G8" s="5"/>
      <c r="K8" s="52"/>
      <c r="L8" s="50"/>
      <c r="M8" s="51"/>
      <c r="N8" s="51"/>
      <c r="S8" s="52"/>
      <c r="T8" s="50"/>
      <c r="U8" s="51"/>
    </row>
    <row r="9" spans="1:23" ht="15.75" customHeight="1">
      <c r="A9" s="48" t="s">
        <v>396</v>
      </c>
      <c r="B9" s="49" t="s">
        <v>3112</v>
      </c>
      <c r="C9" s="51" t="s">
        <v>199</v>
      </c>
      <c r="D9" s="54"/>
      <c r="E9" s="5"/>
      <c r="F9" s="5"/>
      <c r="G9" s="5"/>
      <c r="K9" s="52"/>
      <c r="L9" s="50"/>
      <c r="M9" s="51"/>
      <c r="N9" s="51"/>
      <c r="S9" s="52"/>
      <c r="T9" s="50"/>
      <c r="U9" s="51"/>
    </row>
    <row r="10" spans="1:23" ht="15.75" customHeight="1">
      <c r="A10" s="48" t="s">
        <v>397</v>
      </c>
      <c r="B10" s="49" t="s">
        <v>3113</v>
      </c>
      <c r="C10" s="51" t="s">
        <v>225</v>
      </c>
      <c r="D10" s="54"/>
      <c r="E10" s="51"/>
      <c r="F10" s="5"/>
      <c r="G10" s="5"/>
      <c r="K10" s="52"/>
      <c r="L10" s="50"/>
      <c r="M10" s="51"/>
      <c r="N10" s="5"/>
      <c r="S10" s="52"/>
      <c r="T10" s="50"/>
      <c r="U10" s="51"/>
    </row>
    <row r="11" spans="1:23" ht="15.75" customHeight="1">
      <c r="A11" s="48" t="s">
        <v>398</v>
      </c>
      <c r="B11" s="49" t="s">
        <v>3114</v>
      </c>
      <c r="C11" s="51" t="s">
        <v>192</v>
      </c>
      <c r="D11" s="54"/>
      <c r="E11" s="5"/>
      <c r="F11" s="51"/>
      <c r="G11" s="5"/>
      <c r="K11" s="52"/>
      <c r="L11" s="50"/>
      <c r="M11" s="51"/>
      <c r="N11" s="51"/>
      <c r="S11" s="52"/>
      <c r="T11" s="50"/>
      <c r="U11" s="51"/>
    </row>
    <row r="12" spans="1:23" ht="15.75" customHeight="1">
      <c r="A12" s="48" t="s">
        <v>399</v>
      </c>
      <c r="B12" s="49" t="s">
        <v>3074</v>
      </c>
      <c r="C12" s="51" t="s">
        <v>220</v>
      </c>
      <c r="D12" s="54"/>
      <c r="E12" s="5"/>
      <c r="F12" s="5"/>
      <c r="G12" s="5"/>
      <c r="K12" s="52"/>
      <c r="L12" s="50"/>
      <c r="M12" s="51"/>
      <c r="N12" s="51"/>
      <c r="S12" s="52"/>
      <c r="T12" s="50"/>
      <c r="U12" s="51"/>
    </row>
    <row r="13" spans="1:23" ht="15.75" customHeight="1">
      <c r="A13" s="48" t="s">
        <v>400</v>
      </c>
      <c r="B13" s="49" t="s">
        <v>3115</v>
      </c>
      <c r="C13" s="51" t="s">
        <v>208</v>
      </c>
      <c r="D13" s="54"/>
      <c r="E13" s="51"/>
      <c r="F13" s="5"/>
      <c r="G13" s="5"/>
      <c r="K13" s="52"/>
      <c r="L13" s="50"/>
      <c r="M13" s="51"/>
      <c r="N13" s="5"/>
      <c r="S13" s="52"/>
      <c r="T13" s="50"/>
      <c r="U13" s="51"/>
    </row>
    <row r="14" spans="1:23" ht="15.75" customHeight="1">
      <c r="A14" s="48" t="s">
        <v>401</v>
      </c>
      <c r="B14" s="49" t="s">
        <v>3116</v>
      </c>
      <c r="C14" s="51" t="s">
        <v>195</v>
      </c>
      <c r="D14" s="54"/>
      <c r="E14" s="5"/>
      <c r="F14" s="5"/>
      <c r="G14" s="5"/>
      <c r="K14" s="52"/>
      <c r="L14" s="50"/>
      <c r="M14" s="51"/>
      <c r="N14" s="51"/>
      <c r="S14" s="52"/>
      <c r="T14" s="50"/>
      <c r="U14" s="51"/>
    </row>
    <row r="15" spans="1:23" ht="15.75" customHeight="1">
      <c r="A15" s="48" t="s">
        <v>402</v>
      </c>
      <c r="B15" s="49" t="s">
        <v>3064</v>
      </c>
      <c r="C15" s="51" t="s">
        <v>208</v>
      </c>
      <c r="D15" s="54"/>
      <c r="E15" s="5"/>
      <c r="F15" s="5"/>
      <c r="G15" s="5"/>
      <c r="K15" s="52"/>
      <c r="L15" s="50"/>
      <c r="M15" s="51"/>
      <c r="N15" s="51"/>
      <c r="S15" s="52"/>
      <c r="T15" s="50"/>
      <c r="U15" s="51"/>
    </row>
    <row r="16" spans="1:23" ht="15.75" customHeight="1">
      <c r="A16" s="48" t="s">
        <v>403</v>
      </c>
      <c r="B16" s="49" t="s">
        <v>3117</v>
      </c>
      <c r="C16" s="51" t="s">
        <v>225</v>
      </c>
      <c r="D16" s="54"/>
      <c r="E16" s="5"/>
      <c r="F16" s="5"/>
      <c r="G16" s="5"/>
      <c r="K16" s="52"/>
      <c r="L16" s="50"/>
      <c r="M16" s="51"/>
      <c r="N16" s="51"/>
      <c r="S16" s="52"/>
      <c r="T16" s="50"/>
      <c r="U16" s="51"/>
    </row>
    <row r="17" spans="1:27" ht="15.75" customHeight="1">
      <c r="A17" s="48" t="s">
        <v>404</v>
      </c>
      <c r="B17" s="49" t="s">
        <v>3118</v>
      </c>
      <c r="C17" s="51" t="s">
        <v>205</v>
      </c>
      <c r="D17" s="54"/>
      <c r="E17" s="5"/>
      <c r="F17" s="5"/>
      <c r="G17" s="5"/>
      <c r="K17" s="52"/>
      <c r="L17" s="50"/>
      <c r="M17" s="51"/>
      <c r="N17" s="51"/>
      <c r="S17" s="52"/>
      <c r="T17" s="50"/>
      <c r="U17" s="51"/>
    </row>
    <row r="18" spans="1:27" ht="15.75" customHeight="1">
      <c r="A18" s="48" t="s">
        <v>405</v>
      </c>
      <c r="B18" s="49" t="s">
        <v>1374</v>
      </c>
      <c r="C18" s="51" t="s">
        <v>808</v>
      </c>
      <c r="D18" s="54"/>
      <c r="E18" s="5"/>
      <c r="F18" s="5"/>
      <c r="G18" s="5"/>
      <c r="M18" s="5"/>
      <c r="N18" s="5"/>
      <c r="U18" s="5"/>
      <c r="AA18" s="5"/>
    </row>
    <row r="19" spans="1:27" ht="15.75" customHeight="1">
      <c r="A19" s="48" t="s">
        <v>406</v>
      </c>
      <c r="B19" s="49" t="s">
        <v>3119</v>
      </c>
      <c r="C19" s="51" t="s">
        <v>808</v>
      </c>
      <c r="D19" s="54"/>
      <c r="E19" s="5"/>
      <c r="F19" s="5"/>
      <c r="G19" s="5"/>
      <c r="K19" s="1"/>
      <c r="M19" s="5"/>
      <c r="N19" s="5"/>
      <c r="U19" s="5"/>
      <c r="AA19" s="5"/>
    </row>
    <row r="20" spans="1:27" ht="15.75" customHeight="1">
      <c r="A20" s="48" t="s">
        <v>407</v>
      </c>
      <c r="B20" s="49" t="s">
        <v>3120</v>
      </c>
      <c r="C20" s="51" t="s">
        <v>197</v>
      </c>
      <c r="D20" s="54"/>
      <c r="E20" s="5"/>
      <c r="F20" s="5"/>
      <c r="G20" s="5"/>
      <c r="L20" s="40"/>
      <c r="M20" s="5"/>
      <c r="N20" s="5"/>
      <c r="AA20" s="5"/>
    </row>
    <row r="21" spans="1:27" ht="15.75" customHeight="1">
      <c r="A21" s="48" t="s">
        <v>408</v>
      </c>
      <c r="B21" s="49" t="s">
        <v>3121</v>
      </c>
      <c r="C21" s="51" t="s">
        <v>205</v>
      </c>
      <c r="D21" s="54"/>
      <c r="E21" s="5"/>
      <c r="F21" s="5"/>
      <c r="G21" s="5"/>
      <c r="M21" s="5"/>
      <c r="N21" s="5"/>
      <c r="AA21" s="5"/>
    </row>
    <row r="22" spans="1:27" ht="15.75" customHeight="1">
      <c r="A22" s="48" t="s">
        <v>409</v>
      </c>
      <c r="B22" s="49" t="s">
        <v>768</v>
      </c>
      <c r="C22" s="51" t="s">
        <v>208</v>
      </c>
      <c r="D22" s="54"/>
      <c r="E22" s="5"/>
      <c r="F22" s="5"/>
      <c r="G22" s="5"/>
      <c r="K22" s="42"/>
      <c r="L22" s="45"/>
      <c r="M22" s="46"/>
      <c r="N22" s="47"/>
      <c r="AA22" s="5"/>
    </row>
    <row r="23" spans="1:27" ht="15.75" customHeight="1">
      <c r="A23" s="48" t="s">
        <v>410</v>
      </c>
      <c r="B23" s="49" t="s">
        <v>1210</v>
      </c>
      <c r="C23" s="51" t="s">
        <v>205</v>
      </c>
      <c r="D23" s="54"/>
      <c r="E23" s="5"/>
      <c r="F23" s="5"/>
      <c r="G23" s="5"/>
      <c r="K23" s="42"/>
      <c r="L23" s="43"/>
      <c r="M23" s="43"/>
      <c r="N23" s="42"/>
      <c r="O23" s="44"/>
      <c r="AA23" s="5"/>
    </row>
    <row r="24" spans="1:27" ht="15.75" customHeight="1">
      <c r="A24" s="48" t="s">
        <v>411</v>
      </c>
      <c r="B24" s="49" t="s">
        <v>3122</v>
      </c>
      <c r="C24" s="51" t="s">
        <v>197</v>
      </c>
      <c r="D24" s="54"/>
      <c r="E24" s="5"/>
      <c r="F24" s="5"/>
      <c r="G24" s="5"/>
      <c r="K24" s="52"/>
      <c r="L24" s="50"/>
      <c r="M24" s="51"/>
      <c r="N24" s="5"/>
      <c r="AA24" s="5"/>
    </row>
    <row r="25" spans="1:27" ht="15.75" customHeight="1">
      <c r="A25" s="48" t="s">
        <v>412</v>
      </c>
      <c r="B25" s="49" t="s">
        <v>3123</v>
      </c>
      <c r="C25" s="51" t="s">
        <v>205</v>
      </c>
      <c r="D25" s="54"/>
      <c r="E25" s="5"/>
      <c r="F25" s="5"/>
      <c r="G25" s="5"/>
      <c r="K25" s="52"/>
      <c r="L25" s="50"/>
      <c r="M25" s="51"/>
      <c r="N25" s="5"/>
      <c r="AA25" s="5"/>
    </row>
    <row r="26" spans="1:27" ht="15.75" customHeight="1">
      <c r="A26" s="48" t="s">
        <v>413</v>
      </c>
      <c r="B26" s="49" t="s">
        <v>318</v>
      </c>
      <c r="C26" s="51" t="s">
        <v>197</v>
      </c>
      <c r="D26" s="51"/>
      <c r="E26" s="5"/>
      <c r="F26" s="5"/>
      <c r="G26" s="5"/>
      <c r="K26" s="52"/>
      <c r="L26" s="50"/>
      <c r="M26" s="51"/>
      <c r="N26" s="51"/>
      <c r="AA26" s="5"/>
    </row>
    <row r="27" spans="1:27" ht="15.75" customHeight="1">
      <c r="A27" s="48" t="s">
        <v>414</v>
      </c>
      <c r="B27" s="49" t="s">
        <v>3124</v>
      </c>
      <c r="C27" s="51" t="s">
        <v>195</v>
      </c>
      <c r="D27" s="54"/>
      <c r="E27" s="5"/>
      <c r="F27" s="51"/>
      <c r="G27" s="5"/>
      <c r="K27" s="52"/>
      <c r="L27" s="50"/>
      <c r="M27" s="51"/>
      <c r="N27" s="51"/>
      <c r="AA27" s="5"/>
    </row>
    <row r="28" spans="1:27" ht="15.75" customHeight="1">
      <c r="A28" s="48" t="s">
        <v>415</v>
      </c>
      <c r="B28" s="49" t="s">
        <v>3078</v>
      </c>
      <c r="C28" s="51" t="s">
        <v>195</v>
      </c>
      <c r="D28" s="54"/>
      <c r="E28" s="5"/>
      <c r="F28" s="5"/>
      <c r="G28" s="5"/>
      <c r="J28" s="5"/>
      <c r="K28" s="52"/>
      <c r="L28" s="50"/>
      <c r="M28" s="51"/>
      <c r="N28" s="5"/>
      <c r="P28" s="5"/>
    </row>
    <row r="29" spans="1:27" ht="15.75" customHeight="1">
      <c r="A29" s="48" t="s">
        <v>416</v>
      </c>
      <c r="B29" s="49" t="s">
        <v>1218</v>
      </c>
      <c r="C29" s="51" t="s">
        <v>205</v>
      </c>
      <c r="D29" s="51"/>
      <c r="E29" s="5"/>
      <c r="F29" s="5"/>
      <c r="G29" s="5"/>
      <c r="J29" s="5"/>
      <c r="K29" s="52"/>
      <c r="L29" s="50"/>
      <c r="M29" s="51"/>
      <c r="N29" s="51"/>
      <c r="P29" s="5"/>
    </row>
    <row r="30" spans="1:27" ht="15.75" customHeight="1">
      <c r="A30" s="48" t="s">
        <v>417</v>
      </c>
      <c r="B30" s="49" t="s">
        <v>3125</v>
      </c>
      <c r="C30" s="51" t="s">
        <v>208</v>
      </c>
      <c r="D30" s="54"/>
      <c r="E30" s="5"/>
      <c r="F30" s="5"/>
      <c r="G30" s="5"/>
      <c r="J30" s="5"/>
      <c r="K30" s="52"/>
      <c r="L30" s="50"/>
      <c r="M30" s="51"/>
      <c r="N30" s="5"/>
      <c r="P30" s="5"/>
    </row>
    <row r="31" spans="1:27" ht="15.75" customHeight="1">
      <c r="A31" s="48" t="s">
        <v>418</v>
      </c>
      <c r="B31" s="49" t="s">
        <v>360</v>
      </c>
      <c r="C31" s="51" t="s">
        <v>195</v>
      </c>
      <c r="D31" s="54"/>
      <c r="E31" s="5"/>
      <c r="F31" s="5"/>
      <c r="G31" s="5"/>
      <c r="J31" s="5"/>
      <c r="K31" s="52"/>
      <c r="L31" s="50"/>
      <c r="M31" s="51"/>
      <c r="N31" s="51"/>
      <c r="P31" s="5"/>
    </row>
    <row r="32" spans="1:27" ht="15.75" customHeight="1">
      <c r="A32" s="48" t="s">
        <v>419</v>
      </c>
      <c r="B32" s="49" t="s">
        <v>775</v>
      </c>
      <c r="C32" s="51" t="s">
        <v>208</v>
      </c>
      <c r="D32" s="51"/>
      <c r="E32" s="5"/>
      <c r="F32" s="5"/>
      <c r="G32" s="5"/>
      <c r="J32" s="5"/>
      <c r="K32" s="52"/>
      <c r="L32" s="50"/>
      <c r="M32" s="51"/>
      <c r="N32" s="5"/>
      <c r="P32" s="5"/>
    </row>
    <row r="33" spans="1:16" ht="15.75" customHeight="1">
      <c r="A33" s="48" t="s">
        <v>420</v>
      </c>
      <c r="B33" s="49" t="s">
        <v>3126</v>
      </c>
      <c r="C33" s="51" t="s">
        <v>225</v>
      </c>
      <c r="D33" s="54"/>
      <c r="E33" s="5"/>
      <c r="F33" s="51"/>
      <c r="G33" s="5"/>
      <c r="J33" s="5"/>
      <c r="K33" s="52"/>
      <c r="L33" s="50"/>
      <c r="M33" s="51"/>
      <c r="N33" s="5"/>
      <c r="P33" s="5"/>
    </row>
    <row r="34" spans="1:16" ht="15.75" customHeight="1">
      <c r="A34" s="48" t="s">
        <v>421</v>
      </c>
      <c r="B34" s="49" t="s">
        <v>3127</v>
      </c>
      <c r="C34" s="51" t="s">
        <v>197</v>
      </c>
      <c r="D34" s="54"/>
      <c r="E34" s="5"/>
      <c r="F34" s="5"/>
      <c r="G34" s="5"/>
      <c r="J34" s="5"/>
      <c r="K34" s="52"/>
      <c r="L34" s="50"/>
      <c r="M34" s="51"/>
      <c r="N34" s="5"/>
      <c r="P34" s="5"/>
    </row>
    <row r="35" spans="1:16" ht="15.75" customHeight="1">
      <c r="A35" s="48" t="s">
        <v>422</v>
      </c>
      <c r="B35" s="49" t="s">
        <v>230</v>
      </c>
      <c r="C35" s="51" t="s">
        <v>225</v>
      </c>
      <c r="D35" s="54"/>
      <c r="E35" s="5"/>
      <c r="F35" s="5"/>
      <c r="G35" s="5"/>
      <c r="J35" s="5"/>
      <c r="K35" s="52"/>
      <c r="L35" s="50"/>
      <c r="M35" s="51"/>
      <c r="N35" s="51"/>
      <c r="P35" s="5"/>
    </row>
    <row r="36" spans="1:16" ht="15.75" customHeight="1">
      <c r="A36" s="48" t="s">
        <v>423</v>
      </c>
      <c r="B36" s="49" t="s">
        <v>1802</v>
      </c>
      <c r="C36" s="51" t="s">
        <v>225</v>
      </c>
      <c r="D36" s="54"/>
      <c r="E36" s="5"/>
      <c r="F36" s="5"/>
      <c r="G36" s="5"/>
      <c r="J36" s="5"/>
      <c r="M36" s="5"/>
      <c r="N36" s="5"/>
      <c r="P36" s="5"/>
    </row>
    <row r="37" spans="1:16" ht="15.75" customHeight="1">
      <c r="A37" s="48" t="s">
        <v>424</v>
      </c>
      <c r="B37" s="49" t="s">
        <v>3128</v>
      </c>
      <c r="C37" s="51" t="s">
        <v>197</v>
      </c>
      <c r="D37" s="54"/>
      <c r="E37" s="51"/>
      <c r="F37" s="5"/>
      <c r="G37" s="5"/>
      <c r="J37" s="5"/>
      <c r="M37" s="5"/>
      <c r="N37" s="5"/>
    </row>
    <row r="38" spans="1:16" ht="15.75" customHeight="1">
      <c r="A38" s="48" t="s">
        <v>425</v>
      </c>
      <c r="B38" s="49" t="s">
        <v>838</v>
      </c>
      <c r="C38" s="51" t="s">
        <v>197</v>
      </c>
      <c r="D38" s="54"/>
      <c r="E38" s="5"/>
      <c r="F38" s="5"/>
      <c r="G38" s="5"/>
      <c r="J38" s="5"/>
      <c r="M38" s="51"/>
      <c r="N38" s="51"/>
    </row>
    <row r="39" spans="1:16" ht="15.75" customHeight="1">
      <c r="A39" s="48" t="s">
        <v>426</v>
      </c>
      <c r="B39" s="49" t="s">
        <v>3022</v>
      </c>
      <c r="C39" s="51" t="s">
        <v>192</v>
      </c>
      <c r="D39" s="51"/>
      <c r="E39" s="51"/>
      <c r="F39" s="5"/>
      <c r="G39" s="5"/>
      <c r="J39" s="5"/>
      <c r="M39" s="51"/>
      <c r="N39" s="51"/>
    </row>
    <row r="40" spans="1:16" ht="15.75" customHeight="1">
      <c r="A40" s="48" t="s">
        <v>427</v>
      </c>
      <c r="B40" s="49" t="s">
        <v>3129</v>
      </c>
      <c r="C40" s="51" t="s">
        <v>197</v>
      </c>
      <c r="D40" s="54"/>
      <c r="E40" s="5"/>
      <c r="F40" s="5"/>
      <c r="G40" s="5"/>
      <c r="J40" s="5"/>
      <c r="M40" s="51"/>
      <c r="N40" s="51"/>
    </row>
    <row r="41" spans="1:16" ht="15.75" customHeight="1">
      <c r="A41" s="48" t="s">
        <v>428</v>
      </c>
      <c r="B41" s="49" t="s">
        <v>233</v>
      </c>
      <c r="C41" s="51" t="s">
        <v>197</v>
      </c>
      <c r="D41" s="54"/>
      <c r="E41" s="5"/>
      <c r="F41" s="5"/>
      <c r="G41" s="5"/>
      <c r="J41" s="5"/>
      <c r="M41" s="51"/>
      <c r="N41" s="51"/>
    </row>
    <row r="42" spans="1:16" ht="15.75" customHeight="1">
      <c r="A42" s="48" t="s">
        <v>429</v>
      </c>
      <c r="B42" s="49" t="s">
        <v>791</v>
      </c>
      <c r="C42" s="51" t="s">
        <v>220</v>
      </c>
      <c r="D42" s="54"/>
      <c r="E42" s="5"/>
      <c r="F42" s="5"/>
      <c r="G42" s="5"/>
      <c r="J42" s="5"/>
      <c r="M42" s="51"/>
      <c r="N42" s="51"/>
    </row>
    <row r="43" spans="1:16" ht="15.75" customHeight="1">
      <c r="A43" s="48" t="s">
        <v>430</v>
      </c>
      <c r="B43" s="49" t="s">
        <v>3130</v>
      </c>
      <c r="C43" s="51" t="s">
        <v>205</v>
      </c>
      <c r="D43" s="54"/>
      <c r="E43" s="5"/>
      <c r="F43" s="5"/>
      <c r="G43" s="5"/>
      <c r="J43" s="5"/>
      <c r="M43" s="51"/>
      <c r="N43" s="51"/>
    </row>
    <row r="44" spans="1:16" ht="15.75" customHeight="1">
      <c r="A44" s="48" t="s">
        <v>431</v>
      </c>
      <c r="B44" s="49" t="s">
        <v>3131</v>
      </c>
      <c r="C44" s="51" t="s">
        <v>808</v>
      </c>
      <c r="D44" s="54"/>
      <c r="E44" s="5"/>
      <c r="F44" s="5"/>
      <c r="G44" s="5"/>
      <c r="J44" s="5"/>
      <c r="M44" s="51"/>
      <c r="N44" s="51"/>
    </row>
    <row r="45" spans="1:16" ht="15.75" customHeight="1">
      <c r="A45" s="48" t="s">
        <v>432</v>
      </c>
      <c r="B45" s="49" t="s">
        <v>945</v>
      </c>
      <c r="C45" s="51" t="s">
        <v>195</v>
      </c>
      <c r="D45" s="54"/>
      <c r="E45" s="5"/>
      <c r="F45" s="5"/>
      <c r="G45" s="5"/>
      <c r="J45" s="5"/>
      <c r="M45" s="51"/>
      <c r="N45" s="51"/>
      <c r="P45" s="5"/>
    </row>
    <row r="46" spans="1:16" ht="15.75" customHeight="1">
      <c r="A46" s="48" t="s">
        <v>433</v>
      </c>
      <c r="B46" s="49" t="s">
        <v>1428</v>
      </c>
      <c r="C46" s="51" t="s">
        <v>195</v>
      </c>
      <c r="D46" s="54"/>
      <c r="E46" s="5"/>
      <c r="F46" s="5"/>
      <c r="G46" s="5"/>
      <c r="J46" s="5"/>
      <c r="M46" s="51"/>
      <c r="N46" s="51"/>
      <c r="P46" s="5"/>
    </row>
    <row r="47" spans="1:16" ht="15.75" customHeight="1">
      <c r="A47" s="48" t="s">
        <v>434</v>
      </c>
      <c r="B47" s="49" t="s">
        <v>3132</v>
      </c>
      <c r="C47" s="51" t="s">
        <v>205</v>
      </c>
      <c r="D47" s="54"/>
      <c r="E47" s="5"/>
      <c r="F47" s="5"/>
      <c r="G47" s="5"/>
      <c r="J47" s="5"/>
      <c r="M47" s="5"/>
      <c r="N47" s="5"/>
      <c r="P47" s="5"/>
    </row>
    <row r="48" spans="1:16" ht="15.75" customHeight="1">
      <c r="A48" s="48" t="s">
        <v>435</v>
      </c>
      <c r="B48" s="49" t="s">
        <v>1252</v>
      </c>
      <c r="C48" s="51" t="s">
        <v>205</v>
      </c>
      <c r="D48" s="51"/>
      <c r="E48" s="51"/>
      <c r="F48" s="5"/>
      <c r="G48" s="5"/>
      <c r="J48" s="5"/>
      <c r="M48" s="5"/>
      <c r="N48" s="5"/>
      <c r="P48" s="5"/>
    </row>
    <row r="49" spans="1:16" ht="15.75" customHeight="1">
      <c r="A49" s="48" t="s">
        <v>436</v>
      </c>
      <c r="B49" s="49" t="s">
        <v>3133</v>
      </c>
      <c r="C49" s="51" t="s">
        <v>205</v>
      </c>
      <c r="D49" s="54"/>
      <c r="E49" s="5"/>
      <c r="F49" s="5"/>
      <c r="G49" s="5"/>
      <c r="J49" s="5"/>
      <c r="M49" s="5"/>
      <c r="N49" s="5"/>
      <c r="P49" s="5"/>
    </row>
    <row r="50" spans="1:16" ht="15.75" customHeight="1">
      <c r="A50" s="48" t="s">
        <v>437</v>
      </c>
      <c r="B50" s="49" t="s">
        <v>3134</v>
      </c>
      <c r="C50" s="51" t="s">
        <v>195</v>
      </c>
      <c r="D50" s="54"/>
      <c r="E50" s="5"/>
      <c r="F50" s="5"/>
      <c r="G50" s="5"/>
      <c r="J50" s="5"/>
      <c r="M50" s="5"/>
      <c r="N50" s="5"/>
      <c r="P50" s="5"/>
    </row>
    <row r="51" spans="1:16" ht="15.75" customHeight="1">
      <c r="A51" s="48" t="s">
        <v>438</v>
      </c>
      <c r="B51" s="49" t="s">
        <v>1361</v>
      </c>
      <c r="C51" s="51" t="s">
        <v>195</v>
      </c>
      <c r="D51" s="54"/>
      <c r="E51" s="5"/>
      <c r="F51" s="5"/>
      <c r="G51" s="5"/>
      <c r="J51" s="5"/>
      <c r="M51" s="5"/>
      <c r="N51" s="5"/>
      <c r="P51" s="5"/>
    </row>
    <row r="52" spans="1:16" ht="15.75" customHeight="1">
      <c r="A52" s="48" t="s">
        <v>439</v>
      </c>
      <c r="B52" s="49" t="s">
        <v>803</v>
      </c>
      <c r="C52" s="51" t="s">
        <v>192</v>
      </c>
      <c r="D52" s="54"/>
      <c r="E52" s="5"/>
      <c r="F52" s="5"/>
      <c r="G52" s="5"/>
      <c r="J52" s="5"/>
      <c r="M52" s="5"/>
      <c r="N52" s="5"/>
      <c r="P52" s="5"/>
    </row>
    <row r="53" spans="1:16" ht="13">
      <c r="A53" s="48" t="s">
        <v>440</v>
      </c>
      <c r="B53" s="49" t="s">
        <v>3135</v>
      </c>
      <c r="C53" s="51" t="s">
        <v>205</v>
      </c>
      <c r="D53" s="51"/>
      <c r="E53" s="51"/>
      <c r="F53" s="5"/>
      <c r="G53" s="5"/>
      <c r="J53" s="5"/>
      <c r="M53" s="5"/>
      <c r="N53" s="5"/>
      <c r="P53" s="5"/>
    </row>
    <row r="54" spans="1:16" ht="13">
      <c r="A54" s="48" t="s">
        <v>441</v>
      </c>
      <c r="B54" s="49" t="s">
        <v>263</v>
      </c>
      <c r="C54" s="51" t="s">
        <v>195</v>
      </c>
      <c r="D54" s="54"/>
      <c r="E54" s="5"/>
      <c r="F54" s="5"/>
      <c r="G54" s="5"/>
      <c r="J54" s="5"/>
      <c r="M54" s="5"/>
      <c r="N54" s="5"/>
      <c r="P54" s="5"/>
    </row>
    <row r="55" spans="1:16" ht="13">
      <c r="A55" s="48" t="s">
        <v>442</v>
      </c>
      <c r="B55" s="49" t="s">
        <v>3136</v>
      </c>
      <c r="C55" s="51" t="s">
        <v>225</v>
      </c>
      <c r="D55" s="51"/>
      <c r="E55" s="5"/>
      <c r="F55" s="5"/>
      <c r="G55" s="5"/>
      <c r="J55" s="5"/>
      <c r="M55" s="5"/>
      <c r="N55" s="5"/>
      <c r="P55" s="5"/>
    </row>
    <row r="56" spans="1:16" ht="13">
      <c r="A56" s="48" t="s">
        <v>443</v>
      </c>
      <c r="B56" s="49" t="s">
        <v>3137</v>
      </c>
      <c r="C56" s="51" t="s">
        <v>192</v>
      </c>
      <c r="D56" s="54"/>
      <c r="E56" s="5"/>
      <c r="F56" s="5"/>
      <c r="G56" s="5"/>
      <c r="J56" s="5"/>
      <c r="M56" s="5"/>
      <c r="N56" s="5"/>
      <c r="P56" s="5"/>
    </row>
    <row r="57" spans="1:16" ht="13">
      <c r="A57" s="48" t="s">
        <v>444</v>
      </c>
      <c r="B57" s="49" t="s">
        <v>267</v>
      </c>
      <c r="C57" s="51" t="s">
        <v>225</v>
      </c>
      <c r="D57" s="54"/>
      <c r="E57" s="5"/>
      <c r="F57" s="5"/>
      <c r="G57" s="5"/>
      <c r="J57" s="5"/>
      <c r="M57" s="5"/>
      <c r="N57" s="5"/>
      <c r="P57" s="5"/>
    </row>
    <row r="58" spans="1:16" ht="13">
      <c r="A58" s="48" t="s">
        <v>445</v>
      </c>
      <c r="B58" s="49" t="s">
        <v>247</v>
      </c>
      <c r="C58" s="51" t="s">
        <v>220</v>
      </c>
      <c r="D58" s="51"/>
      <c r="E58" s="5"/>
      <c r="F58" s="5"/>
      <c r="G58" s="5"/>
      <c r="J58" s="5"/>
      <c r="M58" s="5"/>
      <c r="N58" s="5"/>
      <c r="P58" s="5"/>
    </row>
    <row r="59" spans="1:16" ht="13">
      <c r="A59" s="48" t="s">
        <v>446</v>
      </c>
      <c r="B59" s="49" t="s">
        <v>3138</v>
      </c>
      <c r="C59" s="51" t="s">
        <v>208</v>
      </c>
      <c r="D59" s="54"/>
      <c r="E59" s="5"/>
      <c r="F59" s="5"/>
      <c r="G59" s="5"/>
      <c r="J59" s="5"/>
      <c r="M59" s="5"/>
      <c r="N59" s="5"/>
      <c r="P59" s="5"/>
    </row>
    <row r="60" spans="1:16" ht="13">
      <c r="A60" s="48" t="s">
        <v>447</v>
      </c>
      <c r="B60" s="49" t="s">
        <v>3139</v>
      </c>
      <c r="C60" s="51" t="s">
        <v>199</v>
      </c>
      <c r="D60" s="54"/>
      <c r="E60" s="51"/>
      <c r="F60" s="5"/>
      <c r="G60" s="5"/>
      <c r="J60" s="5"/>
      <c r="M60" s="5"/>
      <c r="N60" s="5"/>
      <c r="P60" s="5"/>
    </row>
    <row r="61" spans="1:16" ht="13">
      <c r="A61" s="48" t="s">
        <v>448</v>
      </c>
      <c r="B61" s="49" t="s">
        <v>1420</v>
      </c>
      <c r="C61" s="51" t="s">
        <v>808</v>
      </c>
      <c r="D61" s="54"/>
      <c r="E61" s="5"/>
      <c r="F61" s="5"/>
      <c r="G61" s="5"/>
      <c r="J61" s="5"/>
      <c r="M61" s="5"/>
      <c r="N61" s="5"/>
      <c r="P61" s="5"/>
    </row>
    <row r="62" spans="1:16" ht="13">
      <c r="A62" s="48" t="s">
        <v>449</v>
      </c>
      <c r="B62" s="49" t="s">
        <v>3140</v>
      </c>
      <c r="C62" s="51" t="s">
        <v>208</v>
      </c>
      <c r="D62" s="54"/>
      <c r="E62" s="51"/>
      <c r="F62" s="5"/>
      <c r="G62" s="5"/>
      <c r="J62" s="5"/>
      <c r="M62" s="5"/>
      <c r="N62" s="5"/>
      <c r="P62" s="5"/>
    </row>
    <row r="63" spans="1:16" ht="13">
      <c r="A63" s="48" t="s">
        <v>450</v>
      </c>
      <c r="B63" s="49" t="s">
        <v>235</v>
      </c>
      <c r="C63" s="51" t="s">
        <v>199</v>
      </c>
      <c r="D63" s="51"/>
      <c r="E63" s="5"/>
      <c r="F63" s="5"/>
      <c r="G63" s="5"/>
      <c r="J63" s="5"/>
      <c r="M63" s="5"/>
      <c r="N63" s="5"/>
      <c r="P63" s="5"/>
    </row>
    <row r="64" spans="1:16" ht="13">
      <c r="A64" s="48" t="s">
        <v>451</v>
      </c>
      <c r="B64" s="49" t="s">
        <v>342</v>
      </c>
      <c r="C64" s="51" t="s">
        <v>225</v>
      </c>
      <c r="D64" s="54"/>
      <c r="E64" s="5"/>
      <c r="F64" s="5"/>
      <c r="G64" s="5"/>
      <c r="J64" s="5"/>
      <c r="M64" s="5"/>
      <c r="N64" s="5"/>
      <c r="P64" s="5"/>
    </row>
    <row r="65" spans="1:16" ht="13">
      <c r="A65" s="48" t="s">
        <v>452</v>
      </c>
      <c r="B65" s="49" t="s">
        <v>3141</v>
      </c>
      <c r="C65" s="51" t="s">
        <v>225</v>
      </c>
      <c r="D65" s="54"/>
      <c r="E65" s="5"/>
      <c r="F65" s="5"/>
      <c r="G65" s="5"/>
      <c r="J65" s="5"/>
      <c r="M65" s="5"/>
      <c r="N65" s="5"/>
      <c r="P65" s="5"/>
    </row>
    <row r="66" spans="1:16" ht="13">
      <c r="A66" s="48" t="s">
        <v>453</v>
      </c>
      <c r="B66" s="49" t="s">
        <v>343</v>
      </c>
      <c r="C66" s="51" t="s">
        <v>208</v>
      </c>
      <c r="D66" s="54"/>
      <c r="E66" s="5"/>
      <c r="F66" s="5"/>
      <c r="G66" s="5"/>
      <c r="J66" s="5"/>
      <c r="M66" s="5"/>
      <c r="N66" s="5"/>
      <c r="P66" s="5"/>
    </row>
    <row r="67" spans="1:16" ht="13">
      <c r="A67" s="48" t="s">
        <v>454</v>
      </c>
      <c r="B67" s="49" t="s">
        <v>1274</v>
      </c>
      <c r="C67" s="51" t="s">
        <v>205</v>
      </c>
      <c r="D67" s="54"/>
      <c r="E67" s="5"/>
      <c r="F67" s="5"/>
      <c r="G67" s="5"/>
      <c r="J67" s="5"/>
      <c r="M67" s="5"/>
      <c r="N67" s="5"/>
      <c r="P67" s="5"/>
    </row>
    <row r="68" spans="1:16" ht="13">
      <c r="A68" s="48" t="s">
        <v>455</v>
      </c>
      <c r="B68" s="49" t="s">
        <v>3142</v>
      </c>
      <c r="C68" s="51" t="s">
        <v>197</v>
      </c>
      <c r="D68" s="54"/>
      <c r="E68" s="5"/>
      <c r="F68" s="5"/>
      <c r="G68" s="5"/>
      <c r="J68" s="5"/>
      <c r="M68" s="5"/>
      <c r="N68" s="5"/>
      <c r="P68" s="5"/>
    </row>
    <row r="69" spans="1:16" ht="13">
      <c r="A69" s="48" t="s">
        <v>456</v>
      </c>
      <c r="B69" s="49" t="s">
        <v>943</v>
      </c>
      <c r="C69" s="51" t="s">
        <v>195</v>
      </c>
      <c r="D69" s="54"/>
      <c r="E69" s="5"/>
      <c r="F69" s="5"/>
      <c r="G69" s="5"/>
      <c r="J69" s="5"/>
      <c r="M69" s="5"/>
      <c r="N69" s="5"/>
      <c r="P69" s="5"/>
    </row>
    <row r="70" spans="1:16" ht="13">
      <c r="A70" s="48" t="s">
        <v>457</v>
      </c>
      <c r="B70" s="49" t="s">
        <v>976</v>
      </c>
      <c r="C70" s="51" t="s">
        <v>195</v>
      </c>
      <c r="D70" s="54"/>
      <c r="E70" s="5"/>
      <c r="F70" s="5"/>
      <c r="G70" s="5"/>
      <c r="J70" s="5"/>
      <c r="M70" s="5"/>
      <c r="N70" s="5"/>
      <c r="P70" s="5"/>
    </row>
    <row r="71" spans="1:16" ht="13">
      <c r="A71" s="48" t="s">
        <v>458</v>
      </c>
      <c r="B71" s="49" t="s">
        <v>1001</v>
      </c>
      <c r="C71" s="51" t="s">
        <v>195</v>
      </c>
      <c r="D71" s="5"/>
      <c r="J71" s="5"/>
      <c r="M71" s="5"/>
      <c r="N71" s="5"/>
      <c r="P71" s="5"/>
    </row>
    <row r="72" spans="1:16" ht="13">
      <c r="A72" s="48" t="s">
        <v>459</v>
      </c>
      <c r="B72" s="49" t="s">
        <v>949</v>
      </c>
      <c r="C72" s="51" t="s">
        <v>195</v>
      </c>
      <c r="D72" s="54"/>
      <c r="E72" s="5"/>
      <c r="F72" s="5"/>
      <c r="G72" s="5"/>
      <c r="J72" s="5"/>
      <c r="M72" s="5"/>
      <c r="N72" s="5"/>
      <c r="P72" s="5"/>
    </row>
    <row r="73" spans="1:16" ht="13">
      <c r="A73" s="48" t="s">
        <v>460</v>
      </c>
      <c r="B73" s="49" t="s">
        <v>1398</v>
      </c>
      <c r="C73" s="51" t="s">
        <v>197</v>
      </c>
      <c r="D73" s="54"/>
      <c r="E73" s="5"/>
      <c r="F73" s="5"/>
      <c r="G73" s="5"/>
      <c r="J73" s="5"/>
      <c r="M73" s="5"/>
      <c r="N73" s="5"/>
      <c r="P73" s="5"/>
    </row>
    <row r="74" spans="1:16" ht="13">
      <c r="A74" s="48" t="s">
        <v>461</v>
      </c>
      <c r="B74" s="49" t="s">
        <v>3143</v>
      </c>
      <c r="C74" s="51" t="s">
        <v>197</v>
      </c>
      <c r="D74" s="54"/>
      <c r="E74" s="5"/>
      <c r="F74" s="5"/>
      <c r="G74" s="5"/>
      <c r="J74" s="5"/>
      <c r="M74" s="5"/>
      <c r="N74" s="5"/>
      <c r="P74" s="5"/>
    </row>
    <row r="75" spans="1:16" ht="13">
      <c r="A75" s="48" t="s">
        <v>462</v>
      </c>
      <c r="B75" s="49" t="s">
        <v>3144</v>
      </c>
      <c r="C75" s="51" t="s">
        <v>225</v>
      </c>
      <c r="D75" s="54"/>
      <c r="E75" s="5"/>
      <c r="F75" s="5"/>
      <c r="G75" s="5"/>
      <c r="J75" s="5"/>
      <c r="M75" s="5"/>
      <c r="N75" s="5"/>
      <c r="P75" s="5"/>
    </row>
    <row r="76" spans="1:16" ht="13">
      <c r="A76" s="48" t="s">
        <v>463</v>
      </c>
      <c r="B76" s="49" t="s">
        <v>3039</v>
      </c>
      <c r="C76" s="51" t="s">
        <v>208</v>
      </c>
      <c r="D76" s="51"/>
      <c r="E76" s="5"/>
      <c r="F76" s="5"/>
      <c r="G76" s="5"/>
      <c r="J76" s="5"/>
      <c r="M76" s="5"/>
      <c r="N76" s="5"/>
      <c r="P76" s="5"/>
    </row>
    <row r="77" spans="1:16" ht="13">
      <c r="A77" s="48" t="s">
        <v>464</v>
      </c>
      <c r="B77" s="49" t="s">
        <v>3025</v>
      </c>
      <c r="C77" s="51" t="s">
        <v>197</v>
      </c>
      <c r="D77" s="54"/>
      <c r="E77" s="5"/>
      <c r="F77" s="5"/>
      <c r="G77" s="5"/>
      <c r="J77" s="5"/>
      <c r="M77" s="5"/>
      <c r="N77" s="5"/>
      <c r="P77" s="5"/>
    </row>
    <row r="78" spans="1:16" ht="13">
      <c r="A78" s="48" t="s">
        <v>465</v>
      </c>
      <c r="B78" s="49" t="s">
        <v>3041</v>
      </c>
      <c r="C78" s="51" t="s">
        <v>197</v>
      </c>
      <c r="D78" s="54"/>
      <c r="E78" s="5"/>
      <c r="F78" s="5"/>
      <c r="G78" s="5"/>
      <c r="J78" s="5"/>
      <c r="M78" s="5"/>
      <c r="N78" s="5"/>
      <c r="P78" s="5"/>
    </row>
    <row r="79" spans="1:16" ht="13">
      <c r="A79" s="48" t="s">
        <v>466</v>
      </c>
      <c r="B79" s="49" t="s">
        <v>3145</v>
      </c>
      <c r="C79" s="51" t="s">
        <v>205</v>
      </c>
      <c r="D79" s="51"/>
      <c r="E79" s="5"/>
      <c r="F79" s="5"/>
      <c r="G79" s="5"/>
      <c r="J79" s="5"/>
      <c r="M79" s="5"/>
      <c r="N79" s="5"/>
      <c r="P79" s="5"/>
    </row>
    <row r="80" spans="1:16" ht="13">
      <c r="A80" s="48" t="s">
        <v>467</v>
      </c>
      <c r="B80" s="49" t="s">
        <v>3018</v>
      </c>
      <c r="C80" s="51" t="s">
        <v>199</v>
      </c>
      <c r="D80" s="51"/>
      <c r="E80" s="51"/>
      <c r="F80" s="5"/>
      <c r="G80" s="5"/>
      <c r="J80" s="5"/>
      <c r="M80" s="5"/>
      <c r="N80" s="5"/>
      <c r="P80" s="5"/>
    </row>
    <row r="81" spans="1:16" ht="13">
      <c r="A81" s="48" t="s">
        <v>468</v>
      </c>
      <c r="B81" s="49" t="s">
        <v>244</v>
      </c>
      <c r="C81" s="51" t="s">
        <v>197</v>
      </c>
      <c r="D81" s="54"/>
      <c r="E81" s="5"/>
      <c r="F81" s="5"/>
      <c r="G81" s="5"/>
      <c r="J81" s="5"/>
      <c r="M81" s="5"/>
      <c r="N81" s="5"/>
      <c r="P81" s="5"/>
    </row>
    <row r="82" spans="1:16" ht="13">
      <c r="A82" s="48" t="s">
        <v>469</v>
      </c>
      <c r="B82" s="49" t="s">
        <v>217</v>
      </c>
      <c r="C82" s="51" t="s">
        <v>197</v>
      </c>
      <c r="D82" s="54"/>
      <c r="E82" s="5"/>
      <c r="F82" s="5"/>
      <c r="G82" s="5"/>
      <c r="J82" s="5"/>
      <c r="M82" s="5"/>
      <c r="N82" s="5"/>
      <c r="P82" s="5"/>
    </row>
    <row r="83" spans="1:16" ht="13">
      <c r="A83" s="48" t="s">
        <v>470</v>
      </c>
      <c r="B83" s="49" t="s">
        <v>3146</v>
      </c>
      <c r="C83" s="51" t="s">
        <v>205</v>
      </c>
      <c r="D83" s="54"/>
      <c r="E83" s="5"/>
      <c r="F83" s="5"/>
      <c r="G83" s="5"/>
      <c r="J83" s="5"/>
      <c r="M83" s="5"/>
      <c r="N83" s="5"/>
      <c r="P83" s="5"/>
    </row>
    <row r="84" spans="1:16" ht="13">
      <c r="A84" s="48" t="s">
        <v>471</v>
      </c>
      <c r="B84" s="49" t="s">
        <v>1437</v>
      </c>
      <c r="C84" s="51" t="s">
        <v>195</v>
      </c>
      <c r="D84" s="54"/>
      <c r="E84" s="5"/>
      <c r="F84" s="5"/>
      <c r="G84" s="5"/>
      <c r="J84" s="5"/>
      <c r="M84" s="5"/>
      <c r="N84" s="5"/>
      <c r="P84" s="5"/>
    </row>
    <row r="85" spans="1:16" ht="13">
      <c r="A85" s="48" t="s">
        <v>472</v>
      </c>
      <c r="B85" s="49" t="s">
        <v>193</v>
      </c>
      <c r="C85" s="51" t="s">
        <v>192</v>
      </c>
      <c r="D85" s="54"/>
      <c r="E85" s="5"/>
      <c r="F85" s="5"/>
      <c r="G85" s="5"/>
      <c r="J85" s="5"/>
      <c r="M85" s="5"/>
      <c r="N85" s="5"/>
      <c r="P85" s="5"/>
    </row>
    <row r="86" spans="1:16" ht="13">
      <c r="A86" s="48" t="s">
        <v>473</v>
      </c>
      <c r="B86" s="49" t="s">
        <v>282</v>
      </c>
      <c r="C86" s="51" t="s">
        <v>195</v>
      </c>
      <c r="D86" s="54"/>
      <c r="E86" s="5"/>
      <c r="F86" s="5"/>
      <c r="G86" s="5"/>
      <c r="J86" s="5"/>
      <c r="M86" s="5"/>
      <c r="N86" s="5"/>
      <c r="P86" s="5"/>
    </row>
    <row r="87" spans="1:16" ht="13">
      <c r="A87" s="48" t="s">
        <v>474</v>
      </c>
      <c r="B87" s="49" t="s">
        <v>3057</v>
      </c>
      <c r="C87" s="51" t="s">
        <v>197</v>
      </c>
      <c r="D87" s="54"/>
      <c r="E87" s="5"/>
      <c r="F87" s="5"/>
      <c r="G87" s="5"/>
      <c r="J87" s="5"/>
      <c r="M87" s="5"/>
      <c r="N87" s="5"/>
      <c r="P87" s="5"/>
    </row>
    <row r="88" spans="1:16" ht="13">
      <c r="A88" s="48" t="s">
        <v>475</v>
      </c>
      <c r="B88" s="49" t="s">
        <v>349</v>
      </c>
      <c r="C88" s="51" t="s">
        <v>208</v>
      </c>
      <c r="D88" s="51"/>
      <c r="E88" s="5"/>
      <c r="F88" s="5"/>
      <c r="G88" s="5"/>
      <c r="J88" s="5"/>
      <c r="M88" s="5"/>
      <c r="N88" s="5"/>
      <c r="P88" s="5"/>
    </row>
    <row r="89" spans="1:16" ht="13">
      <c r="A89" s="48" t="s">
        <v>476</v>
      </c>
      <c r="B89" s="49" t="s">
        <v>869</v>
      </c>
      <c r="C89" s="51" t="s">
        <v>197</v>
      </c>
      <c r="D89" s="51"/>
      <c r="E89" s="5"/>
      <c r="F89" s="5"/>
      <c r="G89" s="5"/>
      <c r="J89" s="5"/>
      <c r="M89" s="5"/>
      <c r="N89" s="5"/>
      <c r="P89" s="5"/>
    </row>
    <row r="90" spans="1:16" ht="13">
      <c r="A90" s="48" t="s">
        <v>477</v>
      </c>
      <c r="B90" s="49" t="s">
        <v>284</v>
      </c>
      <c r="C90" s="51" t="s">
        <v>225</v>
      </c>
      <c r="D90" s="51"/>
      <c r="E90" s="5"/>
      <c r="F90" s="5"/>
      <c r="G90" s="5"/>
      <c r="J90" s="5"/>
      <c r="M90" s="5"/>
      <c r="N90" s="5"/>
      <c r="P90" s="5"/>
    </row>
    <row r="91" spans="1:16" ht="13">
      <c r="A91" s="48" t="s">
        <v>478</v>
      </c>
      <c r="B91" s="49" t="s">
        <v>285</v>
      </c>
      <c r="C91" s="51" t="s">
        <v>220</v>
      </c>
      <c r="D91" s="54"/>
      <c r="E91" s="5"/>
      <c r="F91" s="5"/>
      <c r="G91" s="5"/>
      <c r="J91" s="5"/>
      <c r="M91" s="5"/>
      <c r="N91" s="5"/>
      <c r="P91" s="5"/>
    </row>
    <row r="92" spans="1:16" ht="13">
      <c r="A92" s="48" t="s">
        <v>479</v>
      </c>
      <c r="B92" s="49" t="s">
        <v>215</v>
      </c>
      <c r="C92" s="51" t="s">
        <v>208</v>
      </c>
      <c r="D92" s="54"/>
      <c r="E92" s="5"/>
      <c r="F92" s="5"/>
      <c r="G92" s="5"/>
      <c r="J92" s="5"/>
      <c r="M92" s="5"/>
      <c r="N92" s="5"/>
      <c r="P92" s="5"/>
    </row>
    <row r="93" spans="1:16" ht="13">
      <c r="A93" s="48" t="s">
        <v>480</v>
      </c>
      <c r="B93" s="49" t="s">
        <v>1541</v>
      </c>
      <c r="C93" s="51" t="s">
        <v>225</v>
      </c>
      <c r="D93" s="51"/>
      <c r="E93" s="5"/>
      <c r="F93" s="5"/>
      <c r="G93" s="5"/>
      <c r="J93" s="5"/>
      <c r="M93" s="5"/>
      <c r="N93" s="5"/>
      <c r="P93" s="5"/>
    </row>
    <row r="94" spans="1:16" ht="13">
      <c r="A94" s="48" t="s">
        <v>481</v>
      </c>
      <c r="B94" s="49" t="s">
        <v>3055</v>
      </c>
      <c r="C94" s="51" t="s">
        <v>195</v>
      </c>
      <c r="D94" s="54"/>
      <c r="E94" s="5"/>
      <c r="F94" s="5"/>
      <c r="G94" s="5"/>
      <c r="J94" s="5"/>
      <c r="M94" s="5"/>
      <c r="N94" s="5"/>
      <c r="P94" s="5"/>
    </row>
    <row r="95" spans="1:16" ht="13">
      <c r="A95" s="48" t="s">
        <v>482</v>
      </c>
      <c r="B95" s="49" t="s">
        <v>227</v>
      </c>
      <c r="C95" s="51" t="s">
        <v>195</v>
      </c>
      <c r="D95" s="54"/>
      <c r="E95" s="5"/>
      <c r="F95" s="5"/>
      <c r="G95" s="5"/>
      <c r="J95" s="5"/>
      <c r="M95" s="5"/>
      <c r="N95" s="5"/>
      <c r="P95" s="5"/>
    </row>
    <row r="96" spans="1:16" ht="13">
      <c r="A96" s="48" t="s">
        <v>483</v>
      </c>
      <c r="B96" s="49" t="s">
        <v>288</v>
      </c>
      <c r="C96" s="51" t="s">
        <v>225</v>
      </c>
      <c r="D96" s="51"/>
      <c r="E96" s="5"/>
      <c r="F96" s="5"/>
      <c r="G96" s="5"/>
      <c r="J96" s="5"/>
      <c r="M96" s="5"/>
      <c r="N96" s="5"/>
      <c r="P96" s="5"/>
    </row>
    <row r="97" spans="1:16" ht="13">
      <c r="A97" s="48" t="s">
        <v>484</v>
      </c>
      <c r="B97" s="49" t="s">
        <v>3020</v>
      </c>
      <c r="C97" s="51" t="s">
        <v>208</v>
      </c>
      <c r="D97" s="54"/>
      <c r="E97" s="51"/>
      <c r="F97" s="5"/>
      <c r="G97" s="5"/>
      <c r="J97" s="5"/>
      <c r="M97" s="5"/>
      <c r="N97" s="5"/>
      <c r="P97" s="5"/>
    </row>
    <row r="98" spans="1:16" ht="13">
      <c r="A98" s="48" t="s">
        <v>485</v>
      </c>
      <c r="B98" s="49" t="s">
        <v>291</v>
      </c>
      <c r="C98" s="51" t="s">
        <v>199</v>
      </c>
      <c r="D98" s="51"/>
      <c r="E98" s="5"/>
      <c r="F98" s="5"/>
      <c r="G98" s="5"/>
      <c r="J98" s="5"/>
      <c r="M98" s="5"/>
      <c r="N98" s="5"/>
      <c r="P98" s="5"/>
    </row>
    <row r="99" spans="1:16" ht="13">
      <c r="A99" s="48" t="s">
        <v>486</v>
      </c>
      <c r="B99" s="49" t="s">
        <v>354</v>
      </c>
      <c r="C99" s="51" t="s">
        <v>225</v>
      </c>
      <c r="D99" s="54"/>
      <c r="E99" s="51"/>
      <c r="F99" s="5"/>
      <c r="G99" s="5"/>
      <c r="J99" s="5"/>
      <c r="M99" s="5"/>
      <c r="N99" s="5"/>
      <c r="P99" s="5"/>
    </row>
    <row r="100" spans="1:16" ht="13">
      <c r="A100" s="48" t="s">
        <v>487</v>
      </c>
      <c r="B100" s="49" t="s">
        <v>1505</v>
      </c>
      <c r="C100" s="51" t="s">
        <v>205</v>
      </c>
      <c r="D100" s="51"/>
      <c r="E100" s="5"/>
      <c r="F100" s="5"/>
      <c r="G100" s="5"/>
      <c r="J100" s="5"/>
      <c r="M100" s="5"/>
      <c r="N100" s="5"/>
      <c r="P100" s="5"/>
    </row>
    <row r="101" spans="1:16" ht="13">
      <c r="A101" s="48" t="s">
        <v>488</v>
      </c>
      <c r="B101" s="49" t="s">
        <v>1454</v>
      </c>
      <c r="C101" s="51" t="s">
        <v>205</v>
      </c>
      <c r="D101" s="51"/>
      <c r="E101" s="5"/>
      <c r="F101" s="5"/>
      <c r="G101" s="5"/>
      <c r="J101" s="5"/>
      <c r="M101" s="5"/>
      <c r="N101" s="5"/>
      <c r="P101" s="5"/>
    </row>
    <row r="102" spans="1:16" ht="13">
      <c r="A102" s="48" t="s">
        <v>489</v>
      </c>
      <c r="B102" s="49" t="s">
        <v>3043</v>
      </c>
      <c r="C102" s="51" t="s">
        <v>192</v>
      </c>
      <c r="D102" s="51"/>
      <c r="E102" s="51"/>
      <c r="F102" s="5"/>
      <c r="G102" s="5"/>
      <c r="J102" s="5"/>
      <c r="M102" s="5"/>
      <c r="N102" s="5"/>
      <c r="P102" s="5"/>
    </row>
    <row r="103" spans="1:16" ht="13">
      <c r="A103" s="48" t="s">
        <v>490</v>
      </c>
      <c r="B103" s="49" t="s">
        <v>3147</v>
      </c>
      <c r="C103" s="51" t="s">
        <v>195</v>
      </c>
      <c r="D103" s="54"/>
      <c r="E103" s="5"/>
      <c r="F103" s="5"/>
      <c r="G103" s="5"/>
      <c r="J103" s="5"/>
      <c r="M103" s="5"/>
      <c r="N103" s="5"/>
      <c r="P103" s="5"/>
    </row>
    <row r="104" spans="1:16" ht="13">
      <c r="A104" s="48" t="s">
        <v>491</v>
      </c>
      <c r="B104" s="49" t="s">
        <v>810</v>
      </c>
      <c r="C104" s="51" t="s">
        <v>808</v>
      </c>
      <c r="D104" s="54"/>
      <c r="E104" s="5"/>
      <c r="F104" s="5"/>
      <c r="G104" s="5"/>
      <c r="J104" s="5"/>
      <c r="M104" s="5"/>
      <c r="N104" s="5"/>
      <c r="P104" s="5"/>
    </row>
    <row r="105" spans="1:16" ht="13">
      <c r="A105" s="48" t="s">
        <v>492</v>
      </c>
      <c r="B105" s="49" t="s">
        <v>3148</v>
      </c>
      <c r="C105" s="51" t="s">
        <v>197</v>
      </c>
      <c r="D105" s="51"/>
      <c r="E105" s="5"/>
      <c r="F105" s="5"/>
      <c r="G105" s="5"/>
      <c r="J105" s="5"/>
      <c r="M105" s="5"/>
      <c r="N105" s="5"/>
      <c r="P105" s="5"/>
    </row>
    <row r="106" spans="1:16" ht="13">
      <c r="A106" s="48" t="s">
        <v>493</v>
      </c>
      <c r="B106" s="49" t="s">
        <v>3149</v>
      </c>
      <c r="C106" s="51" t="s">
        <v>808</v>
      </c>
      <c r="D106" s="54"/>
      <c r="E106" s="5"/>
      <c r="F106" s="5"/>
      <c r="G106" s="5"/>
      <c r="J106" s="5"/>
      <c r="M106" s="5"/>
      <c r="N106" s="5"/>
      <c r="P106" s="5"/>
    </row>
    <row r="107" spans="1:16" ht="13">
      <c r="A107" s="48" t="s">
        <v>494</v>
      </c>
      <c r="B107" s="49" t="s">
        <v>3016</v>
      </c>
      <c r="C107" s="51" t="s">
        <v>205</v>
      </c>
      <c r="D107" s="51"/>
      <c r="E107" s="51"/>
      <c r="F107" s="5"/>
      <c r="G107" s="5"/>
      <c r="J107" s="5"/>
      <c r="M107" s="5"/>
      <c r="N107" s="5"/>
      <c r="P107" s="5"/>
    </row>
    <row r="108" spans="1:16" ht="13">
      <c r="A108" s="48" t="s">
        <v>495</v>
      </c>
      <c r="B108" s="49" t="s">
        <v>1323</v>
      </c>
      <c r="C108" s="51" t="s">
        <v>205</v>
      </c>
      <c r="D108" s="54"/>
      <c r="E108" s="5"/>
      <c r="F108" s="5"/>
      <c r="G108" s="5"/>
      <c r="J108" s="5"/>
      <c r="M108" s="5"/>
      <c r="N108" s="5"/>
      <c r="P108" s="5"/>
    </row>
    <row r="109" spans="1:16" ht="13">
      <c r="A109" s="48" t="s">
        <v>496</v>
      </c>
      <c r="B109" s="49" t="s">
        <v>1466</v>
      </c>
      <c r="C109" s="51" t="s">
        <v>206</v>
      </c>
      <c r="D109" s="54"/>
      <c r="E109" s="5"/>
      <c r="F109" s="5"/>
      <c r="G109" s="5"/>
      <c r="J109" s="5"/>
      <c r="M109" s="5"/>
      <c r="N109" s="5"/>
      <c r="P109" s="5"/>
    </row>
    <row r="110" spans="1:16" ht="13">
      <c r="A110" s="48" t="s">
        <v>497</v>
      </c>
      <c r="B110" s="49" t="s">
        <v>1017</v>
      </c>
      <c r="C110" s="51" t="s">
        <v>206</v>
      </c>
      <c r="D110" s="54"/>
      <c r="E110" s="5"/>
      <c r="F110" s="5"/>
      <c r="G110" s="5"/>
      <c r="J110" s="5"/>
      <c r="M110" s="5"/>
      <c r="N110" s="5"/>
      <c r="P110" s="5"/>
    </row>
    <row r="111" spans="1:16" ht="13">
      <c r="A111" s="48" t="s">
        <v>498</v>
      </c>
      <c r="B111" s="49" t="s">
        <v>1140</v>
      </c>
      <c r="C111" s="51" t="s">
        <v>206</v>
      </c>
      <c r="D111" s="54"/>
      <c r="E111" s="5"/>
      <c r="F111" s="5"/>
      <c r="G111" s="5"/>
      <c r="J111" s="5"/>
      <c r="M111" s="5"/>
      <c r="N111" s="5"/>
      <c r="P111" s="5"/>
    </row>
    <row r="112" spans="1:16" ht="13">
      <c r="A112" s="48" t="s">
        <v>499</v>
      </c>
      <c r="B112" s="49" t="s">
        <v>3150</v>
      </c>
      <c r="C112" s="51" t="s">
        <v>206</v>
      </c>
      <c r="D112" s="54"/>
      <c r="E112" s="5"/>
      <c r="F112" s="5"/>
      <c r="G112" s="5"/>
      <c r="J112" s="5"/>
      <c r="M112" s="5"/>
      <c r="N112" s="5"/>
      <c r="P112" s="5"/>
    </row>
    <row r="113" spans="1:16" ht="13">
      <c r="A113" s="48" t="s">
        <v>500</v>
      </c>
      <c r="B113" s="49" t="s">
        <v>310</v>
      </c>
      <c r="C113" s="51" t="s">
        <v>206</v>
      </c>
      <c r="D113" s="51"/>
      <c r="E113" s="5"/>
      <c r="F113" s="5"/>
      <c r="G113" s="5"/>
      <c r="J113" s="5"/>
      <c r="M113" s="5"/>
      <c r="N113" s="5"/>
      <c r="P113" s="5"/>
    </row>
    <row r="114" spans="1:16" ht="13">
      <c r="A114" s="48" t="s">
        <v>501</v>
      </c>
      <c r="B114" s="49" t="s">
        <v>357</v>
      </c>
      <c r="C114" s="51" t="s">
        <v>206</v>
      </c>
      <c r="D114" s="51"/>
      <c r="E114" s="5"/>
      <c r="F114" s="5"/>
      <c r="G114" s="5"/>
      <c r="J114" s="5"/>
      <c r="M114" s="5"/>
      <c r="N114" s="5"/>
      <c r="P114" s="5"/>
    </row>
    <row r="115" spans="1:16" ht="13">
      <c r="A115" s="48" t="s">
        <v>502</v>
      </c>
      <c r="B115" s="49" t="s">
        <v>3151</v>
      </c>
      <c r="C115" s="51" t="s">
        <v>206</v>
      </c>
      <c r="D115" s="51"/>
      <c r="E115" s="5"/>
      <c r="F115" s="5"/>
      <c r="G115" s="5"/>
      <c r="J115" s="5"/>
      <c r="M115" s="5"/>
      <c r="N115" s="5"/>
      <c r="P115" s="5"/>
    </row>
    <row r="116" spans="1:16" ht="13">
      <c r="A116" s="48" t="s">
        <v>503</v>
      </c>
      <c r="B116" s="49" t="s">
        <v>3152</v>
      </c>
      <c r="C116" s="51" t="s">
        <v>1013</v>
      </c>
      <c r="D116" s="51"/>
      <c r="E116" s="5"/>
      <c r="F116" s="5"/>
      <c r="G116" s="5"/>
      <c r="J116" s="5"/>
      <c r="M116" s="5"/>
      <c r="N116" s="5"/>
      <c r="P116" s="5"/>
    </row>
    <row r="117" spans="1:16" ht="13">
      <c r="A117" s="48" t="s">
        <v>504</v>
      </c>
      <c r="B117" s="49" t="s">
        <v>3153</v>
      </c>
      <c r="C117" s="51" t="s">
        <v>1013</v>
      </c>
      <c r="D117" s="54"/>
      <c r="E117" s="5"/>
      <c r="F117" s="5"/>
      <c r="G117" s="5"/>
      <c r="J117" s="5"/>
      <c r="M117" s="5"/>
      <c r="N117" s="5"/>
      <c r="P117" s="5"/>
    </row>
    <row r="118" spans="1:16" ht="13">
      <c r="A118" s="48" t="s">
        <v>505</v>
      </c>
      <c r="B118" s="49" t="s">
        <v>3154</v>
      </c>
      <c r="C118" s="51" t="s">
        <v>229</v>
      </c>
      <c r="D118" s="54"/>
      <c r="E118" s="5"/>
      <c r="F118" s="5"/>
      <c r="G118" s="5"/>
      <c r="J118" s="5"/>
      <c r="M118" s="5"/>
      <c r="N118" s="5"/>
      <c r="P118" s="5"/>
    </row>
    <row r="119" spans="1:16" ht="13">
      <c r="A119" s="48" t="s">
        <v>506</v>
      </c>
      <c r="B119" s="49" t="s">
        <v>925</v>
      </c>
      <c r="C119" s="51" t="s">
        <v>206</v>
      </c>
      <c r="D119" s="51"/>
      <c r="E119" s="5"/>
      <c r="F119" s="5"/>
      <c r="G119" s="5"/>
      <c r="J119" s="5"/>
      <c r="M119" s="5"/>
      <c r="N119" s="5"/>
      <c r="P119" s="5"/>
    </row>
    <row r="120" spans="1:16" ht="13">
      <c r="A120" s="48" t="s">
        <v>507</v>
      </c>
      <c r="B120" s="49" t="s">
        <v>660</v>
      </c>
      <c r="C120" s="51" t="s">
        <v>206</v>
      </c>
      <c r="D120" s="54"/>
      <c r="E120" s="5"/>
      <c r="F120" s="5"/>
      <c r="G120" s="5"/>
      <c r="J120" s="5"/>
      <c r="M120" s="5"/>
      <c r="N120" s="5"/>
      <c r="P120" s="5"/>
    </row>
    <row r="121" spans="1:16" ht="13">
      <c r="A121" s="48" t="s">
        <v>508</v>
      </c>
      <c r="B121" s="49" t="s">
        <v>390</v>
      </c>
      <c r="C121" s="51" t="s">
        <v>206</v>
      </c>
      <c r="D121" s="51"/>
      <c r="E121" s="5"/>
      <c r="F121" s="5"/>
      <c r="G121" s="5"/>
      <c r="J121" s="5"/>
      <c r="M121" s="5"/>
      <c r="N121" s="5"/>
      <c r="P121" s="5"/>
    </row>
    <row r="122" spans="1:16" ht="13">
      <c r="A122" s="48" t="s">
        <v>509</v>
      </c>
      <c r="B122" s="49" t="s">
        <v>314</v>
      </c>
      <c r="C122" s="51" t="s">
        <v>206</v>
      </c>
      <c r="D122" s="51"/>
      <c r="E122" s="5"/>
      <c r="F122" s="5"/>
      <c r="G122" s="5"/>
      <c r="J122" s="5"/>
      <c r="M122" s="5"/>
      <c r="N122" s="5"/>
      <c r="P122" s="5"/>
    </row>
    <row r="123" spans="1:16" ht="13">
      <c r="A123" s="48" t="s">
        <v>510</v>
      </c>
      <c r="B123" s="49" t="s">
        <v>315</v>
      </c>
      <c r="C123" s="51" t="s">
        <v>206</v>
      </c>
      <c r="D123" s="51"/>
      <c r="E123" s="5"/>
      <c r="F123" s="5"/>
      <c r="G123" s="5"/>
      <c r="J123" s="5"/>
      <c r="M123" s="5"/>
      <c r="N123" s="5"/>
      <c r="P123" s="5"/>
    </row>
    <row r="124" spans="1:16" ht="13">
      <c r="A124" s="48" t="s">
        <v>511</v>
      </c>
      <c r="B124" s="49" t="s">
        <v>3035</v>
      </c>
      <c r="C124" s="51" t="s">
        <v>208</v>
      </c>
      <c r="D124" s="54"/>
      <c r="E124" s="5"/>
      <c r="F124" s="5"/>
      <c r="G124" s="5"/>
      <c r="J124" s="5"/>
      <c r="M124" s="5"/>
      <c r="N124" s="5"/>
      <c r="P124" s="5"/>
    </row>
    <row r="125" spans="1:16" ht="13">
      <c r="A125" s="48" t="s">
        <v>512</v>
      </c>
      <c r="B125" s="49" t="s">
        <v>3033</v>
      </c>
      <c r="C125" s="51" t="s">
        <v>199</v>
      </c>
      <c r="D125" s="54"/>
      <c r="E125" s="5"/>
      <c r="F125" s="5"/>
      <c r="G125" s="5"/>
      <c r="J125" s="5"/>
      <c r="M125" s="5"/>
      <c r="N125" s="5"/>
      <c r="P125" s="5"/>
    </row>
    <row r="126" spans="1:16" ht="13">
      <c r="A126" s="48" t="s">
        <v>513</v>
      </c>
      <c r="B126" s="49" t="s">
        <v>3031</v>
      </c>
      <c r="C126" s="51" t="s">
        <v>205</v>
      </c>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800-000000000000}"/>
    <hyperlink ref="B6" r:id="rId2" xr:uid="{00000000-0004-0000-2800-000001000000}"/>
    <hyperlink ref="B7" r:id="rId3" xr:uid="{00000000-0004-0000-2800-000002000000}"/>
    <hyperlink ref="B8" r:id="rId4" xr:uid="{00000000-0004-0000-2800-000003000000}"/>
    <hyperlink ref="B9" r:id="rId5" xr:uid="{00000000-0004-0000-2800-000004000000}"/>
    <hyperlink ref="B10" r:id="rId6" xr:uid="{00000000-0004-0000-2800-000005000000}"/>
    <hyperlink ref="B11" r:id="rId7" xr:uid="{00000000-0004-0000-2800-000006000000}"/>
    <hyperlink ref="B12" r:id="rId8" xr:uid="{00000000-0004-0000-2800-000007000000}"/>
    <hyperlink ref="B13" r:id="rId9" xr:uid="{00000000-0004-0000-2800-000008000000}"/>
    <hyperlink ref="B14" r:id="rId10" xr:uid="{00000000-0004-0000-2800-000009000000}"/>
    <hyperlink ref="B15" r:id="rId11" xr:uid="{00000000-0004-0000-2800-00000A000000}"/>
    <hyperlink ref="B16" r:id="rId12" xr:uid="{00000000-0004-0000-2800-00000B000000}"/>
    <hyperlink ref="B17" r:id="rId13" xr:uid="{00000000-0004-0000-2800-00000C000000}"/>
    <hyperlink ref="B18" r:id="rId14" xr:uid="{00000000-0004-0000-2800-00000D000000}"/>
    <hyperlink ref="B19" r:id="rId15" xr:uid="{00000000-0004-0000-2800-00000E000000}"/>
    <hyperlink ref="B20" r:id="rId16" xr:uid="{00000000-0004-0000-2800-00000F000000}"/>
    <hyperlink ref="B21" r:id="rId17" xr:uid="{00000000-0004-0000-2800-000010000000}"/>
    <hyperlink ref="B22" r:id="rId18" xr:uid="{00000000-0004-0000-2800-000011000000}"/>
    <hyperlink ref="B23" r:id="rId19" xr:uid="{00000000-0004-0000-2800-000012000000}"/>
    <hyperlink ref="B24" r:id="rId20" xr:uid="{00000000-0004-0000-2800-000013000000}"/>
    <hyperlink ref="B25" r:id="rId21" xr:uid="{00000000-0004-0000-2800-000014000000}"/>
    <hyperlink ref="B26" r:id="rId22" xr:uid="{00000000-0004-0000-2800-000015000000}"/>
    <hyperlink ref="B27" r:id="rId23" xr:uid="{00000000-0004-0000-2800-000016000000}"/>
    <hyperlink ref="B28" r:id="rId24" xr:uid="{00000000-0004-0000-2800-000017000000}"/>
    <hyperlink ref="B29" r:id="rId25" xr:uid="{00000000-0004-0000-2800-000018000000}"/>
    <hyperlink ref="B30" r:id="rId26" xr:uid="{00000000-0004-0000-2800-000019000000}"/>
    <hyperlink ref="B31" r:id="rId27" xr:uid="{00000000-0004-0000-2800-00001A000000}"/>
    <hyperlink ref="B32" r:id="rId28" xr:uid="{00000000-0004-0000-2800-00001B000000}"/>
    <hyperlink ref="B33" r:id="rId29" xr:uid="{00000000-0004-0000-2800-00001C000000}"/>
    <hyperlink ref="B34" r:id="rId30" xr:uid="{00000000-0004-0000-2800-00001D000000}"/>
    <hyperlink ref="B35" r:id="rId31" xr:uid="{00000000-0004-0000-2800-00001E000000}"/>
    <hyperlink ref="B36" r:id="rId32" xr:uid="{00000000-0004-0000-2800-00001F000000}"/>
    <hyperlink ref="B37" r:id="rId33" xr:uid="{00000000-0004-0000-2800-000020000000}"/>
    <hyperlink ref="B38" r:id="rId34" xr:uid="{00000000-0004-0000-2800-000021000000}"/>
    <hyperlink ref="B39" r:id="rId35" xr:uid="{00000000-0004-0000-2800-000022000000}"/>
    <hyperlink ref="B40" r:id="rId36" xr:uid="{00000000-0004-0000-2800-000023000000}"/>
    <hyperlink ref="B41" r:id="rId37" xr:uid="{00000000-0004-0000-2800-000024000000}"/>
    <hyperlink ref="B42" r:id="rId38" xr:uid="{00000000-0004-0000-2800-000025000000}"/>
    <hyperlink ref="B43" r:id="rId39" xr:uid="{00000000-0004-0000-2800-000026000000}"/>
    <hyperlink ref="B44" r:id="rId40" xr:uid="{00000000-0004-0000-2800-000027000000}"/>
    <hyperlink ref="B45" r:id="rId41" xr:uid="{00000000-0004-0000-2800-000028000000}"/>
    <hyperlink ref="B46" r:id="rId42" xr:uid="{00000000-0004-0000-2800-000029000000}"/>
    <hyperlink ref="B47" r:id="rId43" xr:uid="{00000000-0004-0000-2800-00002A000000}"/>
    <hyperlink ref="B48" r:id="rId44" xr:uid="{00000000-0004-0000-2800-00002B000000}"/>
    <hyperlink ref="B49" r:id="rId45" xr:uid="{00000000-0004-0000-2800-00002C000000}"/>
    <hyperlink ref="B50" r:id="rId46" xr:uid="{00000000-0004-0000-2800-00002D000000}"/>
    <hyperlink ref="B51" r:id="rId47" xr:uid="{00000000-0004-0000-2800-00002E000000}"/>
    <hyperlink ref="B52" r:id="rId48" xr:uid="{00000000-0004-0000-2800-00002F000000}"/>
    <hyperlink ref="B53" r:id="rId49" xr:uid="{00000000-0004-0000-2800-000030000000}"/>
    <hyperlink ref="B54" r:id="rId50" xr:uid="{00000000-0004-0000-2800-000031000000}"/>
    <hyperlink ref="B55" r:id="rId51" xr:uid="{00000000-0004-0000-2800-000032000000}"/>
    <hyperlink ref="B56" r:id="rId52" xr:uid="{00000000-0004-0000-2800-000033000000}"/>
    <hyperlink ref="B57" r:id="rId53" xr:uid="{00000000-0004-0000-2800-000034000000}"/>
    <hyperlink ref="B58" r:id="rId54" xr:uid="{00000000-0004-0000-2800-000035000000}"/>
    <hyperlink ref="B59" r:id="rId55" xr:uid="{00000000-0004-0000-2800-000036000000}"/>
    <hyperlink ref="B60" r:id="rId56" xr:uid="{00000000-0004-0000-2800-000037000000}"/>
    <hyperlink ref="B61" r:id="rId57" xr:uid="{00000000-0004-0000-2800-000038000000}"/>
    <hyperlink ref="B62" r:id="rId58" xr:uid="{00000000-0004-0000-2800-000039000000}"/>
    <hyperlink ref="B63" r:id="rId59" xr:uid="{00000000-0004-0000-2800-00003A000000}"/>
    <hyperlink ref="B64" r:id="rId60" xr:uid="{00000000-0004-0000-2800-00003B000000}"/>
    <hyperlink ref="B65" r:id="rId61" xr:uid="{00000000-0004-0000-2800-00003C000000}"/>
    <hyperlink ref="B66" r:id="rId62" xr:uid="{00000000-0004-0000-2800-00003D000000}"/>
    <hyperlink ref="B67" r:id="rId63" xr:uid="{00000000-0004-0000-2800-00003E000000}"/>
    <hyperlink ref="B68" r:id="rId64" xr:uid="{00000000-0004-0000-2800-00003F000000}"/>
    <hyperlink ref="B69" r:id="rId65" xr:uid="{00000000-0004-0000-2800-000040000000}"/>
    <hyperlink ref="B70" r:id="rId66" xr:uid="{00000000-0004-0000-2800-000041000000}"/>
    <hyperlink ref="B71" r:id="rId67" xr:uid="{00000000-0004-0000-2800-000042000000}"/>
    <hyperlink ref="B72" r:id="rId68" xr:uid="{00000000-0004-0000-2800-000043000000}"/>
    <hyperlink ref="B73" r:id="rId69" xr:uid="{00000000-0004-0000-2800-000044000000}"/>
    <hyperlink ref="B74" r:id="rId70" xr:uid="{00000000-0004-0000-2800-000045000000}"/>
    <hyperlink ref="B75" r:id="rId71" xr:uid="{00000000-0004-0000-2800-000046000000}"/>
    <hyperlink ref="B76" r:id="rId72" xr:uid="{00000000-0004-0000-2800-000047000000}"/>
    <hyperlink ref="B77" r:id="rId73" xr:uid="{00000000-0004-0000-2800-000048000000}"/>
    <hyperlink ref="B78" r:id="rId74" xr:uid="{00000000-0004-0000-2800-000049000000}"/>
    <hyperlink ref="B79" r:id="rId75" xr:uid="{00000000-0004-0000-2800-00004A000000}"/>
    <hyperlink ref="B80" r:id="rId76" xr:uid="{00000000-0004-0000-2800-00004B000000}"/>
    <hyperlink ref="B81" r:id="rId77" xr:uid="{00000000-0004-0000-2800-00004C000000}"/>
    <hyperlink ref="B82" r:id="rId78" xr:uid="{00000000-0004-0000-2800-00004D000000}"/>
    <hyperlink ref="B83" r:id="rId79" xr:uid="{00000000-0004-0000-2800-00004E000000}"/>
    <hyperlink ref="B84" r:id="rId80" xr:uid="{00000000-0004-0000-2800-00004F000000}"/>
    <hyperlink ref="B85" r:id="rId81" xr:uid="{00000000-0004-0000-2800-000050000000}"/>
    <hyperlink ref="B86" r:id="rId82" xr:uid="{00000000-0004-0000-2800-000051000000}"/>
    <hyperlink ref="B87" r:id="rId83" xr:uid="{00000000-0004-0000-2800-000052000000}"/>
    <hyperlink ref="B88" r:id="rId84" xr:uid="{00000000-0004-0000-2800-000053000000}"/>
    <hyperlink ref="B89" r:id="rId85" xr:uid="{00000000-0004-0000-2800-000054000000}"/>
    <hyperlink ref="B90" r:id="rId86" xr:uid="{00000000-0004-0000-2800-000055000000}"/>
    <hyperlink ref="B91" r:id="rId87" xr:uid="{00000000-0004-0000-2800-000056000000}"/>
    <hyperlink ref="B92" r:id="rId88" xr:uid="{00000000-0004-0000-2800-000057000000}"/>
    <hyperlink ref="B93" r:id="rId89" xr:uid="{00000000-0004-0000-2800-000058000000}"/>
    <hyperlink ref="B94" r:id="rId90" xr:uid="{00000000-0004-0000-2800-000059000000}"/>
    <hyperlink ref="B95" r:id="rId91" xr:uid="{00000000-0004-0000-2800-00005A000000}"/>
    <hyperlink ref="B96" r:id="rId92" xr:uid="{00000000-0004-0000-2800-00005B000000}"/>
    <hyperlink ref="B97" r:id="rId93" xr:uid="{00000000-0004-0000-2800-00005C000000}"/>
    <hyperlink ref="B98" r:id="rId94" xr:uid="{00000000-0004-0000-2800-00005D000000}"/>
    <hyperlink ref="B99" r:id="rId95" xr:uid="{00000000-0004-0000-2800-00005E000000}"/>
    <hyperlink ref="B100" r:id="rId96" xr:uid="{00000000-0004-0000-2800-00005F000000}"/>
    <hyperlink ref="B101" r:id="rId97" xr:uid="{00000000-0004-0000-2800-000060000000}"/>
    <hyperlink ref="B102" r:id="rId98" xr:uid="{00000000-0004-0000-2800-000061000000}"/>
    <hyperlink ref="B103" r:id="rId99" xr:uid="{00000000-0004-0000-2800-000062000000}"/>
    <hyperlink ref="B104" r:id="rId100" xr:uid="{00000000-0004-0000-2800-000063000000}"/>
    <hyperlink ref="B105" r:id="rId101" xr:uid="{00000000-0004-0000-2800-000064000000}"/>
    <hyperlink ref="B106" r:id="rId102" xr:uid="{00000000-0004-0000-2800-000065000000}"/>
    <hyperlink ref="B107" r:id="rId103" xr:uid="{00000000-0004-0000-2800-000066000000}"/>
    <hyperlink ref="B108" r:id="rId104" xr:uid="{00000000-0004-0000-2800-000067000000}"/>
    <hyperlink ref="B109" r:id="rId105" xr:uid="{00000000-0004-0000-2800-000068000000}"/>
    <hyperlink ref="B110" r:id="rId106" xr:uid="{00000000-0004-0000-2800-000069000000}"/>
    <hyperlink ref="B111" r:id="rId107" xr:uid="{00000000-0004-0000-2800-00006A000000}"/>
    <hyperlink ref="B112" r:id="rId108" xr:uid="{00000000-0004-0000-2800-00006B000000}"/>
    <hyperlink ref="B113" r:id="rId109" xr:uid="{00000000-0004-0000-2800-00006C000000}"/>
    <hyperlink ref="B114" r:id="rId110" xr:uid="{00000000-0004-0000-2800-00006D000000}"/>
    <hyperlink ref="B115" r:id="rId111" xr:uid="{00000000-0004-0000-2800-00006E000000}"/>
    <hyperlink ref="B116" r:id="rId112" xr:uid="{00000000-0004-0000-2800-00006F000000}"/>
    <hyperlink ref="B117" r:id="rId113" xr:uid="{00000000-0004-0000-2800-000070000000}"/>
    <hyperlink ref="B118" r:id="rId114" xr:uid="{00000000-0004-0000-2800-000071000000}"/>
    <hyperlink ref="B119" r:id="rId115" xr:uid="{00000000-0004-0000-2800-000072000000}"/>
    <hyperlink ref="B120" r:id="rId116" xr:uid="{00000000-0004-0000-2800-000073000000}"/>
    <hyperlink ref="B121" r:id="rId117" xr:uid="{00000000-0004-0000-2800-000074000000}"/>
    <hyperlink ref="B122" r:id="rId118" xr:uid="{00000000-0004-0000-2800-000075000000}"/>
    <hyperlink ref="B123" r:id="rId119" xr:uid="{00000000-0004-0000-2800-000076000000}"/>
    <hyperlink ref="B124" r:id="rId120" xr:uid="{00000000-0004-0000-2800-000077000000}"/>
    <hyperlink ref="B125" r:id="rId121" xr:uid="{00000000-0004-0000-2800-000078000000}"/>
    <hyperlink ref="B126" r:id="rId122" xr:uid="{00000000-0004-0000-2800-000079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 customWidth="1"/>
    <col min="3" max="3" width="13.5" customWidth="1"/>
    <col min="4" max="4" width="14.83203125" customWidth="1"/>
    <col min="5" max="5" width="14.33203125" customWidth="1"/>
    <col min="11" max="11" width="13.83203125" customWidth="1"/>
  </cols>
  <sheetData>
    <row r="1" spans="1:23" ht="15.75" customHeight="1">
      <c r="A1" s="1" t="s">
        <v>23</v>
      </c>
      <c r="B1" s="36"/>
      <c r="C1" s="37"/>
      <c r="D1" s="7" t="s">
        <v>181</v>
      </c>
      <c r="E1" s="5"/>
      <c r="F1" s="5"/>
      <c r="G1" s="5"/>
      <c r="K1" s="1"/>
      <c r="M1" s="5"/>
      <c r="N1" s="5"/>
      <c r="S1" s="1"/>
      <c r="U1" s="5"/>
    </row>
    <row r="2" spans="1:23" ht="15.75" customHeight="1">
      <c r="A2" s="7" t="s">
        <v>182</v>
      </c>
      <c r="B2" s="38">
        <v>39316</v>
      </c>
      <c r="C2" s="37"/>
      <c r="D2" s="39">
        <f>SUM(D5:G128)</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3155</v>
      </c>
      <c r="B5" s="49" t="s">
        <v>1208</v>
      </c>
      <c r="C5" s="51" t="s">
        <v>220</v>
      </c>
      <c r="D5" s="54"/>
      <c r="E5" s="5"/>
      <c r="F5" s="5"/>
      <c r="G5" s="5"/>
      <c r="L5" s="43"/>
      <c r="M5" s="43"/>
      <c r="N5" s="42"/>
      <c r="O5" s="44"/>
      <c r="S5" s="42"/>
      <c r="T5" s="43"/>
      <c r="U5" s="43"/>
      <c r="V5" s="42"/>
      <c r="W5" s="44"/>
    </row>
    <row r="6" spans="1:23" ht="15.75" customHeight="1">
      <c r="A6" s="48" t="s">
        <v>3156</v>
      </c>
      <c r="B6" s="49" t="s">
        <v>238</v>
      </c>
      <c r="C6" s="51" t="s">
        <v>195</v>
      </c>
      <c r="D6" s="54"/>
      <c r="E6" s="5"/>
      <c r="F6" s="5"/>
      <c r="G6" s="5"/>
      <c r="L6" s="50"/>
      <c r="M6" s="51"/>
      <c r="N6" s="5"/>
      <c r="S6" s="52"/>
      <c r="T6" s="50"/>
      <c r="U6" s="51"/>
    </row>
    <row r="7" spans="1:23" ht="15.75" customHeight="1">
      <c r="A7" s="48" t="s">
        <v>3157</v>
      </c>
      <c r="B7" s="49" t="s">
        <v>3158</v>
      </c>
      <c r="C7" s="51" t="s">
        <v>197</v>
      </c>
      <c r="D7" s="54"/>
      <c r="E7" s="5"/>
      <c r="F7" s="5"/>
      <c r="G7" s="5"/>
      <c r="K7" s="52"/>
      <c r="L7" s="50"/>
      <c r="M7" s="51"/>
      <c r="N7" s="5"/>
      <c r="S7" s="52"/>
      <c r="T7" s="50"/>
      <c r="U7" s="51"/>
    </row>
    <row r="8" spans="1:23" ht="15.75" customHeight="1">
      <c r="A8" s="48" t="s">
        <v>3159</v>
      </c>
      <c r="B8" s="49" t="s">
        <v>3160</v>
      </c>
      <c r="C8" s="51" t="s">
        <v>195</v>
      </c>
      <c r="D8" s="54"/>
      <c r="E8" s="5"/>
      <c r="F8" s="5"/>
      <c r="G8" s="5"/>
      <c r="K8" s="52"/>
      <c r="L8" s="50"/>
      <c r="M8" s="51"/>
      <c r="N8" s="51"/>
      <c r="S8" s="52"/>
      <c r="T8" s="50"/>
      <c r="U8" s="51"/>
    </row>
    <row r="9" spans="1:23" ht="15.75" customHeight="1">
      <c r="A9" s="48" t="s">
        <v>3161</v>
      </c>
      <c r="B9" s="49" t="s">
        <v>968</v>
      </c>
      <c r="C9" s="51" t="s">
        <v>197</v>
      </c>
      <c r="D9" s="54"/>
      <c r="E9" s="5"/>
      <c r="F9" s="5"/>
      <c r="G9" s="5"/>
      <c r="K9" s="52"/>
      <c r="L9" s="50"/>
      <c r="M9" s="51"/>
      <c r="N9" s="51"/>
      <c r="S9" s="52"/>
      <c r="T9" s="50"/>
      <c r="U9" s="51"/>
    </row>
    <row r="10" spans="1:23" ht="15.75" customHeight="1">
      <c r="A10" s="48" t="s">
        <v>3162</v>
      </c>
      <c r="B10" s="49" t="s">
        <v>3163</v>
      </c>
      <c r="C10" s="51" t="s">
        <v>220</v>
      </c>
      <c r="D10" s="54"/>
      <c r="E10" s="5"/>
      <c r="F10" s="5"/>
      <c r="G10" s="5"/>
      <c r="K10" s="52"/>
      <c r="L10" s="50"/>
      <c r="M10" s="51"/>
      <c r="N10" s="5"/>
      <c r="S10" s="52"/>
      <c r="T10" s="50"/>
      <c r="U10" s="51"/>
    </row>
    <row r="11" spans="1:23" ht="15.75" customHeight="1">
      <c r="A11" s="48" t="s">
        <v>3164</v>
      </c>
      <c r="B11" s="49" t="s">
        <v>234</v>
      </c>
      <c r="C11" s="51" t="s">
        <v>205</v>
      </c>
      <c r="D11" s="54"/>
      <c r="E11" s="5"/>
      <c r="F11" s="5"/>
      <c r="G11" s="5"/>
      <c r="K11" s="52"/>
      <c r="L11" s="50"/>
      <c r="M11" s="51"/>
      <c r="N11" s="51"/>
      <c r="S11" s="52"/>
      <c r="T11" s="50"/>
      <c r="U11" s="51"/>
    </row>
    <row r="12" spans="1:23" ht="15.75" customHeight="1">
      <c r="A12" s="48" t="s">
        <v>3165</v>
      </c>
      <c r="B12" s="49" t="s">
        <v>772</v>
      </c>
      <c r="C12" s="51" t="s">
        <v>208</v>
      </c>
      <c r="D12" s="54"/>
      <c r="E12" s="5"/>
      <c r="F12" s="5"/>
      <c r="G12" s="5"/>
      <c r="K12" s="52"/>
      <c r="L12" s="50"/>
      <c r="M12" s="51"/>
      <c r="N12" s="51"/>
      <c r="S12" s="52"/>
      <c r="T12" s="50"/>
      <c r="U12" s="51"/>
    </row>
    <row r="13" spans="1:23" ht="15.75" customHeight="1">
      <c r="A13" s="48" t="s">
        <v>3166</v>
      </c>
      <c r="B13" s="49" t="s">
        <v>3167</v>
      </c>
      <c r="C13" s="51" t="s">
        <v>197</v>
      </c>
      <c r="D13" s="54"/>
      <c r="E13" s="5"/>
      <c r="F13" s="5"/>
      <c r="G13" s="5"/>
      <c r="K13" s="52"/>
      <c r="L13" s="50"/>
      <c r="M13" s="51"/>
      <c r="N13" s="5"/>
      <c r="S13" s="52"/>
      <c r="T13" s="50"/>
      <c r="U13" s="51"/>
    </row>
    <row r="14" spans="1:23" ht="15.75" customHeight="1">
      <c r="A14" s="48" t="s">
        <v>3168</v>
      </c>
      <c r="B14" s="49" t="s">
        <v>3169</v>
      </c>
      <c r="C14" s="51" t="s">
        <v>808</v>
      </c>
      <c r="D14" s="54"/>
      <c r="E14" s="5"/>
      <c r="F14" s="5"/>
      <c r="G14" s="5"/>
      <c r="K14" s="52"/>
      <c r="L14" s="50"/>
      <c r="M14" s="51"/>
      <c r="N14" s="51"/>
      <c r="S14" s="52"/>
      <c r="T14" s="50"/>
      <c r="U14" s="51"/>
    </row>
    <row r="15" spans="1:23" ht="15.75" customHeight="1">
      <c r="A15" s="48" t="s">
        <v>3170</v>
      </c>
      <c r="B15" s="49" t="s">
        <v>3171</v>
      </c>
      <c r="C15" s="51" t="s">
        <v>208</v>
      </c>
      <c r="D15" s="54"/>
      <c r="E15" s="5"/>
      <c r="F15" s="5"/>
      <c r="G15" s="5"/>
      <c r="K15" s="52"/>
      <c r="L15" s="50"/>
      <c r="M15" s="51"/>
      <c r="N15" s="51"/>
      <c r="S15" s="52"/>
      <c r="T15" s="50"/>
      <c r="U15" s="51"/>
    </row>
    <row r="16" spans="1:23" ht="15.75" customHeight="1">
      <c r="A16" s="48" t="s">
        <v>3172</v>
      </c>
      <c r="B16" s="49" t="s">
        <v>3052</v>
      </c>
      <c r="C16" s="51" t="s">
        <v>199</v>
      </c>
      <c r="D16" s="54"/>
      <c r="E16" s="5"/>
      <c r="F16" s="5"/>
      <c r="G16" s="5"/>
      <c r="K16" s="52"/>
      <c r="L16" s="50"/>
      <c r="M16" s="51"/>
      <c r="N16" s="51"/>
      <c r="S16" s="52"/>
      <c r="T16" s="50"/>
      <c r="U16" s="51"/>
    </row>
    <row r="17" spans="1:27" ht="15.75" customHeight="1">
      <c r="A17" s="48" t="s">
        <v>3173</v>
      </c>
      <c r="B17" s="49" t="s">
        <v>783</v>
      </c>
      <c r="C17" s="51" t="s">
        <v>205</v>
      </c>
      <c r="D17" s="54"/>
      <c r="E17" s="5"/>
      <c r="F17" s="5"/>
      <c r="G17" s="5"/>
      <c r="K17" s="52"/>
      <c r="L17" s="50"/>
      <c r="M17" s="51"/>
      <c r="N17" s="51"/>
      <c r="S17" s="52"/>
      <c r="T17" s="50"/>
      <c r="U17" s="51"/>
    </row>
    <row r="18" spans="1:27" ht="15.75" customHeight="1">
      <c r="A18" s="48" t="s">
        <v>3174</v>
      </c>
      <c r="B18" s="49" t="s">
        <v>3175</v>
      </c>
      <c r="C18" s="51" t="s">
        <v>195</v>
      </c>
      <c r="D18" s="54"/>
      <c r="E18" s="5"/>
      <c r="F18" s="5"/>
      <c r="G18" s="5"/>
      <c r="M18" s="5"/>
      <c r="N18" s="5"/>
      <c r="U18" s="5"/>
      <c r="AA18" s="5"/>
    </row>
    <row r="19" spans="1:27" ht="15.75" customHeight="1">
      <c r="A19" s="48" t="s">
        <v>3176</v>
      </c>
      <c r="B19" s="49" t="s">
        <v>251</v>
      </c>
      <c r="C19" s="51" t="s">
        <v>192</v>
      </c>
      <c r="D19" s="54"/>
      <c r="E19" s="5"/>
      <c r="F19" s="5"/>
      <c r="G19" s="5"/>
      <c r="K19" s="1"/>
      <c r="M19" s="5"/>
      <c r="N19" s="5"/>
      <c r="U19" s="5"/>
      <c r="AA19" s="5"/>
    </row>
    <row r="20" spans="1:27" ht="15.75" customHeight="1">
      <c r="A20" s="48" t="s">
        <v>3177</v>
      </c>
      <c r="B20" s="49" t="s">
        <v>795</v>
      </c>
      <c r="C20" s="51" t="s">
        <v>199</v>
      </c>
      <c r="D20" s="54"/>
      <c r="E20" s="5"/>
      <c r="F20" s="5"/>
      <c r="G20" s="5"/>
      <c r="L20" s="40"/>
      <c r="M20" s="5"/>
      <c r="N20" s="5"/>
      <c r="AA20" s="5"/>
    </row>
    <row r="21" spans="1:27" ht="15.75" customHeight="1">
      <c r="A21" s="48" t="s">
        <v>3178</v>
      </c>
      <c r="B21" s="49" t="s">
        <v>941</v>
      </c>
      <c r="C21" s="51" t="s">
        <v>808</v>
      </c>
      <c r="D21" s="54"/>
      <c r="E21" s="5"/>
      <c r="F21" s="5"/>
      <c r="G21" s="5"/>
      <c r="M21" s="5"/>
      <c r="N21" s="5"/>
      <c r="AA21" s="5"/>
    </row>
    <row r="22" spans="1:27" ht="15.75" customHeight="1">
      <c r="A22" s="48" t="s">
        <v>3179</v>
      </c>
      <c r="B22" s="49" t="s">
        <v>3180</v>
      </c>
      <c r="C22" s="51" t="s">
        <v>195</v>
      </c>
      <c r="D22" s="54"/>
      <c r="E22" s="5"/>
      <c r="F22" s="5"/>
      <c r="G22" s="5"/>
      <c r="K22" s="42"/>
      <c r="L22" s="45"/>
      <c r="M22" s="46"/>
      <c r="N22" s="47"/>
      <c r="AA22" s="5"/>
    </row>
    <row r="23" spans="1:27" ht="15.75" customHeight="1">
      <c r="A23" s="48" t="s">
        <v>3181</v>
      </c>
      <c r="B23" s="49" t="s">
        <v>3182</v>
      </c>
      <c r="C23" s="51" t="s">
        <v>205</v>
      </c>
      <c r="D23" s="54"/>
      <c r="E23" s="5"/>
      <c r="F23" s="5"/>
      <c r="G23" s="5"/>
      <c r="K23" s="42"/>
      <c r="L23" s="43"/>
      <c r="M23" s="43"/>
      <c r="N23" s="42"/>
      <c r="O23" s="44"/>
      <c r="AA23" s="5"/>
    </row>
    <row r="24" spans="1:27" ht="15.75" customHeight="1">
      <c r="A24" s="48" t="s">
        <v>3183</v>
      </c>
      <c r="B24" s="49" t="s">
        <v>814</v>
      </c>
      <c r="C24" s="51" t="s">
        <v>205</v>
      </c>
      <c r="D24" s="54"/>
      <c r="E24" s="5"/>
      <c r="F24" s="5"/>
      <c r="G24" s="5"/>
      <c r="K24" s="52"/>
      <c r="L24" s="50"/>
      <c r="M24" s="51"/>
      <c r="N24" s="5"/>
      <c r="AA24" s="5"/>
    </row>
    <row r="25" spans="1:27" ht="15.75" customHeight="1">
      <c r="A25" s="48" t="s">
        <v>3184</v>
      </c>
      <c r="B25" s="49" t="s">
        <v>3185</v>
      </c>
      <c r="C25" s="51" t="s">
        <v>220</v>
      </c>
      <c r="D25" s="54"/>
      <c r="E25" s="5"/>
      <c r="F25" s="5"/>
      <c r="G25" s="5"/>
      <c r="K25" s="52"/>
      <c r="L25" s="50"/>
      <c r="M25" s="51"/>
      <c r="N25" s="5"/>
      <c r="AA25" s="5"/>
    </row>
    <row r="26" spans="1:27" ht="15.75" customHeight="1">
      <c r="A26" s="48" t="s">
        <v>3186</v>
      </c>
      <c r="B26" s="49" t="s">
        <v>1199</v>
      </c>
      <c r="C26" s="51" t="s">
        <v>195</v>
      </c>
      <c r="D26" s="54"/>
      <c r="E26" s="5"/>
      <c r="F26" s="5"/>
      <c r="G26" s="5"/>
      <c r="K26" s="52"/>
      <c r="L26" s="50"/>
      <c r="M26" s="51"/>
      <c r="N26" s="51"/>
      <c r="AA26" s="5"/>
    </row>
    <row r="27" spans="1:27" ht="15.75" customHeight="1">
      <c r="A27" s="48" t="s">
        <v>3187</v>
      </c>
      <c r="B27" s="49" t="s">
        <v>969</v>
      </c>
      <c r="C27" s="51" t="s">
        <v>195</v>
      </c>
      <c r="D27" s="54"/>
      <c r="E27" s="5"/>
      <c r="F27" s="51"/>
      <c r="G27" s="5"/>
      <c r="K27" s="52"/>
      <c r="L27" s="50"/>
      <c r="M27" s="51"/>
      <c r="N27" s="51"/>
      <c r="AA27" s="5"/>
    </row>
    <row r="28" spans="1:27" ht="15.75" customHeight="1">
      <c r="A28" s="48" t="s">
        <v>3188</v>
      </c>
      <c r="B28" s="49" t="s">
        <v>333</v>
      </c>
      <c r="C28" s="51" t="s">
        <v>205</v>
      </c>
      <c r="D28" s="54"/>
      <c r="E28" s="5"/>
      <c r="F28" s="5"/>
      <c r="G28" s="5"/>
      <c r="J28" s="5"/>
      <c r="K28" s="52"/>
      <c r="L28" s="50"/>
      <c r="M28" s="51"/>
      <c r="N28" s="5"/>
      <c r="P28" s="5"/>
    </row>
    <row r="29" spans="1:27" ht="15.75" customHeight="1">
      <c r="A29" s="48" t="s">
        <v>3189</v>
      </c>
      <c r="B29" s="49" t="s">
        <v>1839</v>
      </c>
      <c r="C29" s="51" t="s">
        <v>208</v>
      </c>
      <c r="D29" s="54"/>
      <c r="E29" s="5"/>
      <c r="F29" s="5"/>
      <c r="G29" s="5"/>
      <c r="J29" s="5"/>
      <c r="K29" s="52"/>
      <c r="L29" s="50"/>
      <c r="M29" s="51"/>
      <c r="N29" s="51"/>
      <c r="P29" s="5"/>
    </row>
    <row r="30" spans="1:27" ht="15.75" customHeight="1">
      <c r="A30" s="48" t="s">
        <v>3190</v>
      </c>
      <c r="B30" s="49" t="s">
        <v>245</v>
      </c>
      <c r="C30" s="51" t="s">
        <v>208</v>
      </c>
      <c r="D30" s="54"/>
      <c r="E30" s="5"/>
      <c r="F30" s="5"/>
      <c r="G30" s="5"/>
      <c r="J30" s="5"/>
      <c r="K30" s="52"/>
      <c r="L30" s="50"/>
      <c r="M30" s="51"/>
      <c r="N30" s="5"/>
      <c r="P30" s="5"/>
    </row>
    <row r="31" spans="1:27" ht="15.75" customHeight="1">
      <c r="A31" s="48" t="s">
        <v>3191</v>
      </c>
      <c r="B31" s="49" t="s">
        <v>3192</v>
      </c>
      <c r="C31" s="51" t="s">
        <v>205</v>
      </c>
      <c r="D31" s="51"/>
      <c r="E31" s="5"/>
      <c r="F31" s="5"/>
      <c r="G31" s="5"/>
      <c r="J31" s="5"/>
      <c r="K31" s="52"/>
      <c r="L31" s="50"/>
      <c r="M31" s="51"/>
      <c r="N31" s="51"/>
      <c r="P31" s="5"/>
    </row>
    <row r="32" spans="1:27" ht="15.75" customHeight="1">
      <c r="A32" s="48" t="s">
        <v>3193</v>
      </c>
      <c r="B32" s="49" t="s">
        <v>1224</v>
      </c>
      <c r="C32" s="51" t="s">
        <v>192</v>
      </c>
      <c r="D32" s="54"/>
      <c r="E32" s="5"/>
      <c r="F32" s="5"/>
      <c r="G32" s="5"/>
      <c r="J32" s="5"/>
      <c r="K32" s="52"/>
      <c r="L32" s="50"/>
      <c r="M32" s="51"/>
      <c r="N32" s="5"/>
      <c r="P32" s="5"/>
    </row>
    <row r="33" spans="1:16" ht="15.75" customHeight="1">
      <c r="A33" s="48" t="s">
        <v>3194</v>
      </c>
      <c r="B33" s="49" t="s">
        <v>876</v>
      </c>
      <c r="C33" s="51" t="s">
        <v>208</v>
      </c>
      <c r="D33" s="54"/>
      <c r="E33" s="5"/>
      <c r="F33" s="51"/>
      <c r="G33" s="5"/>
      <c r="J33" s="5"/>
      <c r="K33" s="52"/>
      <c r="L33" s="50"/>
      <c r="M33" s="51"/>
      <c r="N33" s="5"/>
      <c r="P33" s="5"/>
    </row>
    <row r="34" spans="1:16" ht="15.75" customHeight="1">
      <c r="A34" s="48" t="s">
        <v>3195</v>
      </c>
      <c r="B34" s="49" t="s">
        <v>322</v>
      </c>
      <c r="C34" s="51" t="s">
        <v>195</v>
      </c>
      <c r="D34" s="54"/>
      <c r="E34" s="5"/>
      <c r="F34" s="5"/>
      <c r="G34" s="5"/>
      <c r="J34" s="5"/>
      <c r="K34" s="52"/>
      <c r="L34" s="50"/>
      <c r="M34" s="51"/>
      <c r="N34" s="5"/>
      <c r="P34" s="5"/>
    </row>
    <row r="35" spans="1:16" ht="15.75" customHeight="1">
      <c r="A35" s="48" t="s">
        <v>3196</v>
      </c>
      <c r="B35" s="49" t="s">
        <v>323</v>
      </c>
      <c r="C35" s="51" t="s">
        <v>195</v>
      </c>
      <c r="D35" s="54"/>
      <c r="E35" s="5"/>
      <c r="F35" s="5"/>
      <c r="G35" s="5"/>
      <c r="J35" s="5"/>
      <c r="K35" s="52"/>
      <c r="L35" s="50"/>
      <c r="M35" s="51"/>
      <c r="N35" s="51"/>
      <c r="P35" s="5"/>
    </row>
    <row r="36" spans="1:16" ht="15.75" customHeight="1">
      <c r="A36" s="48" t="s">
        <v>3197</v>
      </c>
      <c r="B36" s="49" t="s">
        <v>249</v>
      </c>
      <c r="C36" s="51" t="s">
        <v>199</v>
      </c>
      <c r="D36" s="54"/>
      <c r="E36" s="5"/>
      <c r="F36" s="5"/>
      <c r="G36" s="5"/>
      <c r="J36" s="5"/>
      <c r="M36" s="5"/>
      <c r="N36" s="5"/>
      <c r="P36" s="5"/>
    </row>
    <row r="37" spans="1:16" ht="15.75" customHeight="1">
      <c r="A37" s="48" t="s">
        <v>3198</v>
      </c>
      <c r="B37" s="49" t="s">
        <v>3199</v>
      </c>
      <c r="C37" s="51" t="s">
        <v>225</v>
      </c>
      <c r="D37" s="54"/>
      <c r="E37" s="5"/>
      <c r="F37" s="5"/>
      <c r="G37" s="5"/>
      <c r="J37" s="5"/>
      <c r="M37" s="5"/>
      <c r="N37" s="5"/>
    </row>
    <row r="38" spans="1:16" ht="15.75" customHeight="1">
      <c r="A38" s="48" t="s">
        <v>3200</v>
      </c>
      <c r="B38" s="49" t="s">
        <v>1230</v>
      </c>
      <c r="C38" s="51" t="s">
        <v>197</v>
      </c>
      <c r="D38" s="54"/>
      <c r="E38" s="5"/>
      <c r="F38" s="5"/>
      <c r="G38" s="5"/>
      <c r="J38" s="5"/>
      <c r="M38" s="51"/>
      <c r="N38" s="51"/>
    </row>
    <row r="39" spans="1:16" ht="15.75" customHeight="1">
      <c r="A39" s="48" t="s">
        <v>3201</v>
      </c>
      <c r="B39" s="49" t="s">
        <v>897</v>
      </c>
      <c r="C39" s="51" t="s">
        <v>225</v>
      </c>
      <c r="D39" s="54"/>
      <c r="E39" s="5"/>
      <c r="F39" s="5"/>
      <c r="G39" s="5"/>
      <c r="J39" s="5"/>
      <c r="M39" s="51"/>
      <c r="N39" s="51"/>
    </row>
    <row r="40" spans="1:16" ht="15.75" customHeight="1">
      <c r="A40" s="48" t="s">
        <v>3202</v>
      </c>
      <c r="B40" s="49" t="s">
        <v>3203</v>
      </c>
      <c r="C40" s="51" t="s">
        <v>195</v>
      </c>
      <c r="D40" s="54"/>
      <c r="E40" s="5"/>
      <c r="F40" s="5"/>
      <c r="G40" s="5"/>
      <c r="J40" s="5"/>
      <c r="M40" s="51"/>
      <c r="N40" s="51"/>
    </row>
    <row r="41" spans="1:16" ht="15.75" customHeight="1">
      <c r="A41" s="48" t="s">
        <v>3204</v>
      </c>
      <c r="B41" s="49" t="s">
        <v>960</v>
      </c>
      <c r="C41" s="51" t="s">
        <v>195</v>
      </c>
      <c r="D41" s="54"/>
      <c r="E41" s="5"/>
      <c r="F41" s="5"/>
      <c r="G41" s="5"/>
      <c r="J41" s="5"/>
      <c r="M41" s="51"/>
      <c r="N41" s="51"/>
    </row>
    <row r="42" spans="1:16" ht="15.75" customHeight="1">
      <c r="A42" s="48" t="s">
        <v>3205</v>
      </c>
      <c r="B42" s="49" t="s">
        <v>944</v>
      </c>
      <c r="C42" s="51" t="s">
        <v>197</v>
      </c>
      <c r="D42" s="54"/>
      <c r="E42" s="5"/>
      <c r="F42" s="5"/>
      <c r="G42" s="5"/>
      <c r="J42" s="5"/>
      <c r="M42" s="51"/>
      <c r="N42" s="51"/>
    </row>
    <row r="43" spans="1:16" ht="15.75" customHeight="1">
      <c r="A43" s="48" t="s">
        <v>3206</v>
      </c>
      <c r="B43" s="49" t="s">
        <v>1810</v>
      </c>
      <c r="C43" s="51" t="s">
        <v>208</v>
      </c>
      <c r="D43" s="54"/>
      <c r="E43" s="5"/>
      <c r="F43" s="5"/>
      <c r="G43" s="5"/>
      <c r="J43" s="5"/>
      <c r="M43" s="51"/>
      <c r="N43" s="51"/>
    </row>
    <row r="44" spans="1:16" ht="15.75" customHeight="1">
      <c r="A44" s="48" t="s">
        <v>3207</v>
      </c>
      <c r="B44" s="49" t="s">
        <v>1555</v>
      </c>
      <c r="C44" s="51" t="s">
        <v>208</v>
      </c>
      <c r="D44" s="51"/>
      <c r="E44" s="5"/>
      <c r="F44" s="5"/>
      <c r="G44" s="5"/>
      <c r="J44" s="5"/>
      <c r="M44" s="51"/>
      <c r="N44" s="51"/>
    </row>
    <row r="45" spans="1:16" ht="15.75" customHeight="1">
      <c r="A45" s="48" t="s">
        <v>3208</v>
      </c>
      <c r="B45" s="49" t="s">
        <v>816</v>
      </c>
      <c r="C45" s="51" t="s">
        <v>205</v>
      </c>
      <c r="D45" s="54"/>
      <c r="E45" s="5"/>
      <c r="F45" s="5"/>
      <c r="G45" s="5"/>
      <c r="J45" s="5"/>
      <c r="M45" s="51"/>
      <c r="N45" s="51"/>
      <c r="P45" s="5"/>
    </row>
    <row r="46" spans="1:16" ht="15.75" customHeight="1">
      <c r="A46" s="48" t="s">
        <v>3209</v>
      </c>
      <c r="B46" s="49" t="s">
        <v>3210</v>
      </c>
      <c r="C46" s="51" t="s">
        <v>195</v>
      </c>
      <c r="D46" s="54"/>
      <c r="E46" s="5"/>
      <c r="F46" s="5"/>
      <c r="G46" s="5"/>
      <c r="J46" s="5"/>
      <c r="M46" s="51"/>
      <c r="N46" s="51"/>
      <c r="P46" s="5"/>
    </row>
    <row r="47" spans="1:16" ht="15.75" customHeight="1">
      <c r="A47" s="48" t="s">
        <v>3211</v>
      </c>
      <c r="B47" s="49" t="s">
        <v>3027</v>
      </c>
      <c r="C47" s="51" t="s">
        <v>225</v>
      </c>
      <c r="D47" s="54"/>
      <c r="E47" s="5"/>
      <c r="F47" s="5"/>
      <c r="G47" s="5"/>
      <c r="J47" s="5"/>
      <c r="M47" s="5"/>
      <c r="N47" s="5"/>
      <c r="P47" s="5"/>
    </row>
    <row r="48" spans="1:16" ht="15.75" customHeight="1">
      <c r="A48" s="48" t="s">
        <v>3212</v>
      </c>
      <c r="B48" s="49" t="s">
        <v>820</v>
      </c>
      <c r="C48" s="51" t="s">
        <v>208</v>
      </c>
      <c r="D48" s="54"/>
      <c r="E48" s="5"/>
      <c r="F48" s="5"/>
      <c r="G48" s="5"/>
      <c r="J48" s="5"/>
      <c r="M48" s="5"/>
      <c r="N48" s="5"/>
      <c r="P48" s="5"/>
    </row>
    <row r="49" spans="1:16" ht="15.75" customHeight="1">
      <c r="A49" s="48" t="s">
        <v>3213</v>
      </c>
      <c r="B49" s="49" t="s">
        <v>259</v>
      </c>
      <c r="C49" s="51" t="s">
        <v>208</v>
      </c>
      <c r="D49" s="51"/>
      <c r="E49" s="5"/>
      <c r="F49" s="5"/>
      <c r="G49" s="5"/>
      <c r="J49" s="5"/>
      <c r="M49" s="5"/>
      <c r="N49" s="5"/>
      <c r="P49" s="5"/>
    </row>
    <row r="50" spans="1:16" ht="15.75" customHeight="1">
      <c r="A50" s="48" t="s">
        <v>3214</v>
      </c>
      <c r="B50" s="49" t="s">
        <v>332</v>
      </c>
      <c r="C50" s="51" t="s">
        <v>197</v>
      </c>
      <c r="D50" s="54"/>
      <c r="E50" s="5"/>
      <c r="F50" s="5"/>
      <c r="G50" s="5"/>
      <c r="J50" s="5"/>
      <c r="M50" s="5"/>
      <c r="N50" s="5"/>
      <c r="P50" s="5"/>
    </row>
    <row r="51" spans="1:16" ht="15.75" customHeight="1">
      <c r="A51" s="48" t="s">
        <v>3215</v>
      </c>
      <c r="B51" s="49" t="s">
        <v>954</v>
      </c>
      <c r="C51" s="51" t="s">
        <v>197</v>
      </c>
      <c r="D51" s="51"/>
      <c r="E51" s="5"/>
      <c r="F51" s="5"/>
      <c r="G51" s="5"/>
      <c r="J51" s="5"/>
      <c r="M51" s="5"/>
      <c r="N51" s="5"/>
      <c r="P51" s="5"/>
    </row>
    <row r="52" spans="1:16" ht="15.75" customHeight="1">
      <c r="A52" s="48" t="s">
        <v>3216</v>
      </c>
      <c r="B52" s="49" t="s">
        <v>3217</v>
      </c>
      <c r="C52" s="51" t="s">
        <v>197</v>
      </c>
      <c r="D52" s="54"/>
      <c r="E52" s="51"/>
      <c r="F52" s="5"/>
      <c r="G52" s="5"/>
      <c r="J52" s="5"/>
      <c r="M52" s="5"/>
      <c r="N52" s="5"/>
      <c r="P52" s="5"/>
    </row>
    <row r="53" spans="1:16" ht="13">
      <c r="A53" s="48" t="s">
        <v>3218</v>
      </c>
      <c r="B53" s="49" t="s">
        <v>865</v>
      </c>
      <c r="C53" s="51" t="s">
        <v>197</v>
      </c>
      <c r="D53" s="54"/>
      <c r="E53" s="5"/>
      <c r="F53" s="5"/>
      <c r="G53" s="5"/>
      <c r="J53" s="5"/>
      <c r="M53" s="5"/>
      <c r="N53" s="5"/>
      <c r="P53" s="5"/>
    </row>
    <row r="54" spans="1:16" ht="13">
      <c r="A54" s="48" t="s">
        <v>3219</v>
      </c>
      <c r="B54" s="49" t="s">
        <v>368</v>
      </c>
      <c r="C54" s="51" t="s">
        <v>195</v>
      </c>
      <c r="D54" s="54"/>
      <c r="E54" s="5"/>
      <c r="F54" s="5"/>
      <c r="G54" s="5"/>
      <c r="J54" s="5"/>
      <c r="M54" s="5"/>
      <c r="N54" s="5"/>
      <c r="P54" s="5"/>
    </row>
    <row r="55" spans="1:16" ht="13">
      <c r="A55" s="48" t="s">
        <v>3220</v>
      </c>
      <c r="B55" s="49" t="s">
        <v>371</v>
      </c>
      <c r="C55" s="51" t="s">
        <v>225</v>
      </c>
      <c r="D55" s="51"/>
      <c r="E55" s="5"/>
      <c r="F55" s="5"/>
      <c r="G55" s="5"/>
      <c r="J55" s="5"/>
      <c r="M55" s="5"/>
      <c r="N55" s="5"/>
      <c r="P55" s="5"/>
    </row>
    <row r="56" spans="1:16" ht="13">
      <c r="A56" s="48" t="s">
        <v>3221</v>
      </c>
      <c r="B56" s="49" t="s">
        <v>3222</v>
      </c>
      <c r="C56" s="51" t="s">
        <v>197</v>
      </c>
      <c r="D56" s="54"/>
      <c r="E56" s="51"/>
      <c r="F56" s="5"/>
      <c r="G56" s="5"/>
      <c r="J56" s="5"/>
      <c r="M56" s="5"/>
      <c r="N56" s="5"/>
      <c r="P56" s="5"/>
    </row>
    <row r="57" spans="1:16" ht="13">
      <c r="A57" s="48" t="s">
        <v>3223</v>
      </c>
      <c r="B57" s="49" t="s">
        <v>1265</v>
      </c>
      <c r="C57" s="51" t="s">
        <v>220</v>
      </c>
      <c r="D57" s="54"/>
      <c r="E57" s="5"/>
      <c r="F57" s="5"/>
      <c r="G57" s="5"/>
      <c r="J57" s="5"/>
      <c r="M57" s="5"/>
      <c r="N57" s="5"/>
      <c r="P57" s="5"/>
    </row>
    <row r="58" spans="1:16" ht="13">
      <c r="A58" s="48" t="s">
        <v>3224</v>
      </c>
      <c r="B58" s="49" t="s">
        <v>231</v>
      </c>
      <c r="C58" s="51" t="s">
        <v>199</v>
      </c>
      <c r="D58" s="54"/>
      <c r="E58" s="5"/>
      <c r="F58" s="5"/>
      <c r="G58" s="5"/>
      <c r="J58" s="5"/>
      <c r="M58" s="5"/>
      <c r="N58" s="5"/>
      <c r="P58" s="5"/>
    </row>
    <row r="59" spans="1:16" ht="13">
      <c r="A59" s="48" t="s">
        <v>3225</v>
      </c>
      <c r="B59" s="49" t="s">
        <v>1818</v>
      </c>
      <c r="C59" s="51" t="s">
        <v>205</v>
      </c>
      <c r="D59" s="54"/>
      <c r="E59" s="5"/>
      <c r="F59" s="5"/>
      <c r="G59" s="5"/>
      <c r="J59" s="5"/>
      <c r="M59" s="5"/>
      <c r="N59" s="5"/>
      <c r="P59" s="5"/>
    </row>
    <row r="60" spans="1:16" ht="13">
      <c r="A60" s="48" t="s">
        <v>3226</v>
      </c>
      <c r="B60" s="49" t="s">
        <v>338</v>
      </c>
      <c r="C60" s="51" t="s">
        <v>195</v>
      </c>
      <c r="D60" s="54"/>
      <c r="E60" s="5"/>
      <c r="F60" s="5"/>
      <c r="G60" s="5"/>
      <c r="J60" s="5"/>
      <c r="M60" s="5"/>
      <c r="N60" s="5"/>
      <c r="P60" s="5"/>
    </row>
    <row r="61" spans="1:16" ht="13">
      <c r="A61" s="48" t="s">
        <v>3227</v>
      </c>
      <c r="B61" s="49" t="s">
        <v>975</v>
      </c>
      <c r="C61" s="51" t="s">
        <v>208</v>
      </c>
      <c r="D61" s="54"/>
      <c r="E61" s="5"/>
      <c r="F61" s="5"/>
      <c r="G61" s="5"/>
      <c r="J61" s="5"/>
      <c r="M61" s="5"/>
      <c r="N61" s="5"/>
      <c r="P61" s="5"/>
    </row>
    <row r="62" spans="1:16" ht="13">
      <c r="A62" s="48" t="s">
        <v>3228</v>
      </c>
      <c r="B62" s="49" t="s">
        <v>339</v>
      </c>
      <c r="C62" s="51" t="s">
        <v>205</v>
      </c>
      <c r="D62" s="54"/>
      <c r="E62" s="5"/>
      <c r="F62" s="5"/>
      <c r="G62" s="5"/>
      <c r="J62" s="5"/>
      <c r="M62" s="5"/>
      <c r="N62" s="5"/>
      <c r="P62" s="5"/>
    </row>
    <row r="63" spans="1:16" ht="13">
      <c r="A63" s="48" t="s">
        <v>3229</v>
      </c>
      <c r="B63" s="49" t="s">
        <v>948</v>
      </c>
      <c r="C63" s="51" t="s">
        <v>225</v>
      </c>
      <c r="D63" s="54"/>
      <c r="E63" s="5"/>
      <c r="F63" s="5"/>
      <c r="G63" s="5"/>
      <c r="J63" s="5"/>
      <c r="M63" s="5"/>
      <c r="N63" s="5"/>
      <c r="P63" s="5"/>
    </row>
    <row r="64" spans="1:16" ht="13">
      <c r="A64" s="48" t="s">
        <v>3230</v>
      </c>
      <c r="B64" s="49" t="s">
        <v>846</v>
      </c>
      <c r="C64" s="51" t="s">
        <v>199</v>
      </c>
      <c r="D64" s="51"/>
      <c r="E64" s="5"/>
      <c r="F64" s="5"/>
      <c r="G64" s="5"/>
      <c r="J64" s="5"/>
      <c r="M64" s="5"/>
      <c r="N64" s="5"/>
      <c r="P64" s="5"/>
    </row>
    <row r="65" spans="1:16" ht="13">
      <c r="A65" s="48" t="s">
        <v>3231</v>
      </c>
      <c r="B65" s="49" t="s">
        <v>374</v>
      </c>
      <c r="C65" s="51" t="s">
        <v>225</v>
      </c>
      <c r="D65" s="54"/>
      <c r="E65" s="51"/>
      <c r="F65" s="5"/>
      <c r="G65" s="5"/>
      <c r="J65" s="5"/>
      <c r="M65" s="5"/>
      <c r="N65" s="5"/>
      <c r="P65" s="5"/>
    </row>
    <row r="66" spans="1:16" ht="13">
      <c r="A66" s="48" t="s">
        <v>3232</v>
      </c>
      <c r="B66" s="49" t="s">
        <v>1855</v>
      </c>
      <c r="C66" s="51" t="s">
        <v>208</v>
      </c>
      <c r="D66" s="54"/>
      <c r="E66" s="5"/>
      <c r="F66" s="5"/>
      <c r="G66" s="5"/>
      <c r="J66" s="5"/>
      <c r="M66" s="5"/>
      <c r="N66" s="5"/>
      <c r="P66" s="5"/>
    </row>
    <row r="67" spans="1:16" ht="13">
      <c r="A67" s="48" t="s">
        <v>3233</v>
      </c>
      <c r="B67" s="49" t="s">
        <v>3029</v>
      </c>
      <c r="C67" s="51" t="s">
        <v>220</v>
      </c>
      <c r="D67" s="51"/>
      <c r="E67" s="5"/>
      <c r="F67" s="5"/>
      <c r="G67" s="5"/>
      <c r="J67" s="5"/>
      <c r="M67" s="5"/>
      <c r="N67" s="5"/>
      <c r="P67" s="5"/>
    </row>
    <row r="68" spans="1:16" ht="13">
      <c r="A68" s="48" t="s">
        <v>3234</v>
      </c>
      <c r="B68" s="49" t="s">
        <v>1830</v>
      </c>
      <c r="C68" s="51" t="s">
        <v>205</v>
      </c>
      <c r="D68" s="54"/>
      <c r="E68" s="5"/>
      <c r="F68" s="5"/>
      <c r="G68" s="5"/>
      <c r="J68" s="5"/>
      <c r="M68" s="5"/>
      <c r="N68" s="5"/>
      <c r="P68" s="5"/>
    </row>
    <row r="69" spans="1:16" ht="13">
      <c r="A69" s="48" t="s">
        <v>3235</v>
      </c>
      <c r="B69" s="49" t="s">
        <v>959</v>
      </c>
      <c r="C69" s="51" t="s">
        <v>195</v>
      </c>
      <c r="D69" s="54"/>
      <c r="E69" s="5"/>
      <c r="F69" s="5"/>
      <c r="G69" s="5"/>
      <c r="J69" s="5"/>
      <c r="M69" s="5"/>
      <c r="N69" s="5"/>
      <c r="P69" s="5"/>
    </row>
    <row r="70" spans="1:16" ht="13">
      <c r="A70" s="48" t="s">
        <v>3236</v>
      </c>
      <c r="B70" s="49" t="s">
        <v>951</v>
      </c>
      <c r="C70" s="51" t="s">
        <v>195</v>
      </c>
      <c r="D70" s="54"/>
      <c r="E70" s="5"/>
      <c r="F70" s="5"/>
      <c r="G70" s="5"/>
      <c r="J70" s="5"/>
      <c r="M70" s="5"/>
      <c r="N70" s="5"/>
      <c r="P70" s="5"/>
    </row>
    <row r="71" spans="1:16" ht="13">
      <c r="A71" s="48" t="s">
        <v>3237</v>
      </c>
      <c r="B71" s="49" t="s">
        <v>1008</v>
      </c>
      <c r="C71" s="51" t="s">
        <v>195</v>
      </c>
      <c r="D71" s="5"/>
      <c r="J71" s="5"/>
      <c r="M71" s="5"/>
      <c r="N71" s="5"/>
      <c r="P71" s="5"/>
    </row>
    <row r="72" spans="1:16" ht="13">
      <c r="A72" s="48" t="s">
        <v>3238</v>
      </c>
      <c r="B72" s="49" t="s">
        <v>1282</v>
      </c>
      <c r="C72" s="51" t="s">
        <v>197</v>
      </c>
      <c r="D72" s="51"/>
      <c r="E72" s="5"/>
      <c r="F72" s="5"/>
      <c r="G72" s="5"/>
      <c r="J72" s="5"/>
      <c r="M72" s="5"/>
      <c r="N72" s="5"/>
      <c r="P72" s="5"/>
    </row>
    <row r="73" spans="1:16" ht="13">
      <c r="A73" s="48" t="s">
        <v>3239</v>
      </c>
      <c r="B73" s="49" t="s">
        <v>275</v>
      </c>
      <c r="C73" s="51" t="s">
        <v>195</v>
      </c>
      <c r="D73" s="54"/>
      <c r="E73" s="5"/>
      <c r="F73" s="5"/>
      <c r="G73" s="5"/>
      <c r="J73" s="5"/>
      <c r="M73" s="5"/>
      <c r="N73" s="5"/>
      <c r="P73" s="5"/>
    </row>
    <row r="74" spans="1:16" ht="13">
      <c r="A74" s="48" t="s">
        <v>3240</v>
      </c>
      <c r="B74" s="49" t="s">
        <v>812</v>
      </c>
      <c r="C74" s="51" t="s">
        <v>197</v>
      </c>
      <c r="D74" s="54"/>
      <c r="E74" s="5"/>
      <c r="F74" s="5"/>
      <c r="G74" s="5"/>
      <c r="J74" s="5"/>
      <c r="M74" s="5"/>
      <c r="N74" s="5"/>
      <c r="P74" s="5"/>
    </row>
    <row r="75" spans="1:16" ht="13">
      <c r="A75" s="48" t="s">
        <v>3241</v>
      </c>
      <c r="B75" s="49" t="s">
        <v>1250</v>
      </c>
      <c r="C75" s="51" t="s">
        <v>220</v>
      </c>
      <c r="D75" s="51"/>
      <c r="E75" s="5"/>
      <c r="F75" s="5"/>
      <c r="G75" s="5"/>
      <c r="J75" s="5"/>
      <c r="M75" s="5"/>
      <c r="N75" s="5"/>
      <c r="P75" s="5"/>
    </row>
    <row r="76" spans="1:16" ht="13">
      <c r="A76" s="48" t="s">
        <v>3242</v>
      </c>
      <c r="B76" s="49" t="s">
        <v>1559</v>
      </c>
      <c r="C76" s="51" t="s">
        <v>208</v>
      </c>
      <c r="D76" s="54"/>
      <c r="E76" s="5"/>
      <c r="F76" s="5"/>
      <c r="G76" s="5"/>
      <c r="J76" s="5"/>
      <c r="M76" s="5"/>
      <c r="N76" s="5"/>
      <c r="P76" s="5"/>
    </row>
    <row r="77" spans="1:16" ht="13">
      <c r="A77" s="48" t="s">
        <v>3243</v>
      </c>
      <c r="B77" s="49" t="s">
        <v>3143</v>
      </c>
      <c r="C77" s="51" t="s">
        <v>197</v>
      </c>
      <c r="D77" s="54"/>
      <c r="E77" s="5"/>
      <c r="F77" s="5"/>
      <c r="G77" s="5"/>
      <c r="J77" s="5"/>
      <c r="M77" s="5"/>
      <c r="N77" s="5"/>
      <c r="P77" s="5"/>
    </row>
    <row r="78" spans="1:16" ht="13">
      <c r="A78" s="48" t="s">
        <v>3244</v>
      </c>
      <c r="B78" s="49" t="s">
        <v>3245</v>
      </c>
      <c r="C78" s="51" t="s">
        <v>220</v>
      </c>
      <c r="D78" s="54"/>
      <c r="E78" s="5"/>
      <c r="F78" s="5"/>
      <c r="G78" s="5"/>
      <c r="J78" s="5"/>
      <c r="M78" s="5"/>
      <c r="N78" s="5"/>
      <c r="P78" s="5"/>
    </row>
    <row r="79" spans="1:16" ht="13">
      <c r="A79" s="48" t="s">
        <v>3246</v>
      </c>
      <c r="B79" s="49" t="s">
        <v>3039</v>
      </c>
      <c r="C79" s="51" t="s">
        <v>208</v>
      </c>
      <c r="D79" s="51"/>
      <c r="E79" s="5"/>
      <c r="F79" s="5"/>
      <c r="G79" s="5"/>
      <c r="J79" s="5"/>
      <c r="M79" s="5"/>
      <c r="N79" s="5"/>
      <c r="P79" s="5"/>
    </row>
    <row r="80" spans="1:16" ht="13">
      <c r="A80" s="48" t="s">
        <v>3247</v>
      </c>
      <c r="B80" s="49" t="s">
        <v>241</v>
      </c>
      <c r="C80" s="51" t="s">
        <v>197</v>
      </c>
      <c r="D80" s="51"/>
      <c r="E80" s="5"/>
      <c r="F80" s="5"/>
      <c r="G80" s="5"/>
      <c r="J80" s="5"/>
      <c r="M80" s="5"/>
      <c r="N80" s="5"/>
      <c r="P80" s="5"/>
    </row>
    <row r="81" spans="1:16" ht="13">
      <c r="A81" s="48" t="s">
        <v>3248</v>
      </c>
      <c r="B81" s="49" t="s">
        <v>857</v>
      </c>
      <c r="C81" s="51" t="s">
        <v>205</v>
      </c>
      <c r="D81" s="51"/>
      <c r="E81" s="5"/>
      <c r="F81" s="5"/>
      <c r="G81" s="5"/>
      <c r="J81" s="5"/>
      <c r="M81" s="5"/>
      <c r="N81" s="5"/>
      <c r="P81" s="5"/>
    </row>
    <row r="82" spans="1:16" ht="13">
      <c r="A82" s="48" t="s">
        <v>3249</v>
      </c>
      <c r="B82" s="49" t="s">
        <v>3250</v>
      </c>
      <c r="C82" s="51" t="s">
        <v>195</v>
      </c>
      <c r="D82" s="51"/>
      <c r="E82" s="5"/>
      <c r="F82" s="5"/>
      <c r="G82" s="5"/>
      <c r="J82" s="5"/>
      <c r="M82" s="5"/>
      <c r="N82" s="5"/>
      <c r="P82" s="5"/>
    </row>
    <row r="83" spans="1:16" ht="13">
      <c r="A83" s="48" t="s">
        <v>3251</v>
      </c>
      <c r="B83" s="49" t="s">
        <v>862</v>
      </c>
      <c r="C83" s="51" t="s">
        <v>199</v>
      </c>
      <c r="D83" s="51"/>
      <c r="E83" s="5"/>
      <c r="F83" s="5"/>
      <c r="G83" s="5"/>
      <c r="J83" s="5"/>
      <c r="M83" s="5"/>
      <c r="N83" s="5"/>
      <c r="P83" s="5"/>
    </row>
    <row r="84" spans="1:16" ht="13">
      <c r="A84" s="48" t="s">
        <v>3252</v>
      </c>
      <c r="B84" s="49" t="s">
        <v>280</v>
      </c>
      <c r="C84" s="51" t="s">
        <v>197</v>
      </c>
      <c r="D84" s="54"/>
      <c r="E84" s="5"/>
      <c r="F84" s="5"/>
      <c r="G84" s="5"/>
      <c r="J84" s="5"/>
      <c r="M84" s="5"/>
      <c r="N84" s="5"/>
      <c r="P84" s="5"/>
    </row>
    <row r="85" spans="1:16" ht="13">
      <c r="A85" s="48" t="s">
        <v>3253</v>
      </c>
      <c r="B85" s="49" t="s">
        <v>1257</v>
      </c>
      <c r="C85" s="51" t="s">
        <v>192</v>
      </c>
      <c r="D85" s="51"/>
      <c r="E85" s="5"/>
      <c r="F85" s="5"/>
      <c r="G85" s="5"/>
      <c r="J85" s="5"/>
      <c r="M85" s="5"/>
      <c r="N85" s="5"/>
      <c r="P85" s="5"/>
    </row>
    <row r="86" spans="1:16" ht="13">
      <c r="A86" s="48" t="s">
        <v>3254</v>
      </c>
      <c r="B86" s="49" t="s">
        <v>348</v>
      </c>
      <c r="C86" s="51" t="s">
        <v>205</v>
      </c>
      <c r="D86" s="54"/>
      <c r="E86" s="5"/>
      <c r="F86" s="5"/>
      <c r="G86" s="5"/>
      <c r="J86" s="5"/>
      <c r="M86" s="5"/>
      <c r="N86" s="5"/>
      <c r="P86" s="5"/>
    </row>
    <row r="87" spans="1:16" ht="13">
      <c r="A87" s="48" t="s">
        <v>3255</v>
      </c>
      <c r="B87" s="49" t="s">
        <v>3256</v>
      </c>
      <c r="C87" s="51" t="s">
        <v>208</v>
      </c>
      <c r="D87" s="54"/>
      <c r="E87" s="5"/>
      <c r="F87" s="5"/>
      <c r="G87" s="5"/>
      <c r="J87" s="5"/>
      <c r="M87" s="5"/>
      <c r="N87" s="5"/>
      <c r="P87" s="5"/>
    </row>
    <row r="88" spans="1:16" ht="13">
      <c r="A88" s="48" t="s">
        <v>3257</v>
      </c>
      <c r="B88" s="49" t="s">
        <v>380</v>
      </c>
      <c r="C88" s="51" t="s">
        <v>225</v>
      </c>
      <c r="D88" s="54"/>
      <c r="E88" s="5"/>
      <c r="F88" s="5"/>
      <c r="G88" s="5"/>
      <c r="J88" s="5"/>
      <c r="M88" s="5"/>
      <c r="N88" s="5"/>
      <c r="P88" s="5"/>
    </row>
    <row r="89" spans="1:16" ht="13">
      <c r="A89" s="48" t="s">
        <v>3258</v>
      </c>
      <c r="B89" s="49" t="s">
        <v>3259</v>
      </c>
      <c r="C89" s="51" t="s">
        <v>197</v>
      </c>
      <c r="D89" s="51"/>
      <c r="E89" s="5"/>
      <c r="F89" s="5"/>
      <c r="G89" s="5"/>
      <c r="J89" s="5"/>
      <c r="M89" s="5"/>
      <c r="N89" s="5"/>
      <c r="P89" s="5"/>
    </row>
    <row r="90" spans="1:16" ht="13">
      <c r="A90" s="48" t="s">
        <v>3260</v>
      </c>
      <c r="B90" s="49" t="s">
        <v>3261</v>
      </c>
      <c r="C90" s="51" t="s">
        <v>205</v>
      </c>
      <c r="D90" s="51"/>
      <c r="E90" s="5"/>
      <c r="F90" s="5"/>
      <c r="G90" s="5"/>
      <c r="J90" s="5"/>
      <c r="M90" s="5"/>
      <c r="N90" s="5"/>
      <c r="P90" s="5"/>
    </row>
    <row r="91" spans="1:16" ht="13">
      <c r="A91" s="48" t="s">
        <v>3262</v>
      </c>
      <c r="B91" s="49" t="s">
        <v>955</v>
      </c>
      <c r="C91" s="51" t="s">
        <v>225</v>
      </c>
      <c r="D91" s="51"/>
      <c r="E91" s="5"/>
      <c r="F91" s="5"/>
      <c r="G91" s="5"/>
      <c r="J91" s="5"/>
      <c r="M91" s="5"/>
      <c r="N91" s="5"/>
      <c r="P91" s="5"/>
    </row>
    <row r="92" spans="1:16" ht="13">
      <c r="A92" s="48" t="s">
        <v>3263</v>
      </c>
      <c r="B92" s="49" t="s">
        <v>805</v>
      </c>
      <c r="C92" s="51" t="s">
        <v>199</v>
      </c>
      <c r="D92" s="51"/>
      <c r="E92" s="5"/>
      <c r="F92" s="5"/>
      <c r="G92" s="5"/>
      <c r="J92" s="5"/>
      <c r="M92" s="5"/>
      <c r="N92" s="5"/>
      <c r="P92" s="5"/>
    </row>
    <row r="93" spans="1:16" ht="13">
      <c r="A93" s="48" t="s">
        <v>3264</v>
      </c>
      <c r="B93" s="49" t="s">
        <v>268</v>
      </c>
      <c r="C93" s="51" t="s">
        <v>208</v>
      </c>
      <c r="D93" s="54"/>
      <c r="E93" s="5"/>
      <c r="F93" s="5"/>
      <c r="G93" s="5"/>
      <c r="J93" s="5"/>
      <c r="M93" s="5"/>
      <c r="N93" s="5"/>
      <c r="P93" s="5"/>
    </row>
    <row r="94" spans="1:16" ht="13">
      <c r="A94" s="48" t="s">
        <v>3265</v>
      </c>
      <c r="B94" s="49" t="s">
        <v>807</v>
      </c>
      <c r="C94" s="51" t="s">
        <v>808</v>
      </c>
      <c r="D94" s="54"/>
      <c r="E94" s="5"/>
      <c r="F94" s="5"/>
      <c r="G94" s="5"/>
      <c r="J94" s="5"/>
      <c r="M94" s="5"/>
      <c r="N94" s="5"/>
      <c r="P94" s="5"/>
    </row>
    <row r="95" spans="1:16" ht="13">
      <c r="A95" s="48" t="s">
        <v>3266</v>
      </c>
      <c r="B95" s="49" t="s">
        <v>351</v>
      </c>
      <c r="C95" s="51" t="s">
        <v>195</v>
      </c>
      <c r="D95" s="54"/>
      <c r="E95" s="5"/>
      <c r="F95" s="5"/>
      <c r="G95" s="5"/>
      <c r="J95" s="5"/>
      <c r="M95" s="5"/>
      <c r="N95" s="5"/>
      <c r="P95" s="5"/>
    </row>
    <row r="96" spans="1:16" ht="13">
      <c r="A96" s="48" t="s">
        <v>3267</v>
      </c>
      <c r="B96" s="49" t="s">
        <v>353</v>
      </c>
      <c r="C96" s="51" t="s">
        <v>205</v>
      </c>
      <c r="D96" s="54"/>
      <c r="E96" s="5"/>
      <c r="F96" s="5"/>
      <c r="G96" s="5"/>
      <c r="J96" s="5"/>
      <c r="M96" s="5"/>
      <c r="N96" s="5"/>
      <c r="P96" s="5"/>
    </row>
    <row r="97" spans="1:16" ht="13">
      <c r="A97" s="48" t="s">
        <v>3268</v>
      </c>
      <c r="B97" s="49" t="s">
        <v>222</v>
      </c>
      <c r="C97" s="51" t="s">
        <v>192</v>
      </c>
      <c r="D97" s="54"/>
      <c r="E97" s="5"/>
      <c r="F97" s="5"/>
      <c r="G97" s="5"/>
      <c r="J97" s="5"/>
      <c r="M97" s="5"/>
      <c r="N97" s="5"/>
      <c r="P97" s="5"/>
    </row>
    <row r="98" spans="1:16" ht="13">
      <c r="A98" s="48" t="s">
        <v>3269</v>
      </c>
      <c r="B98" s="49" t="s">
        <v>191</v>
      </c>
      <c r="C98" s="51" t="s">
        <v>192</v>
      </c>
      <c r="D98" s="54"/>
      <c r="E98" s="51"/>
      <c r="F98" s="5"/>
      <c r="G98" s="5"/>
      <c r="J98" s="5"/>
      <c r="M98" s="5"/>
      <c r="N98" s="5"/>
      <c r="P98" s="5"/>
    </row>
    <row r="99" spans="1:16" ht="13">
      <c r="A99" s="48" t="s">
        <v>3270</v>
      </c>
      <c r="B99" s="49" t="s">
        <v>979</v>
      </c>
      <c r="C99" s="51" t="s">
        <v>208</v>
      </c>
      <c r="D99" s="54"/>
      <c r="E99" s="5"/>
      <c r="F99" s="5"/>
      <c r="G99" s="5"/>
      <c r="J99" s="5"/>
      <c r="M99" s="5"/>
      <c r="N99" s="5"/>
      <c r="P99" s="5"/>
    </row>
    <row r="100" spans="1:16" ht="13">
      <c r="A100" s="48" t="s">
        <v>3271</v>
      </c>
      <c r="B100" s="49" t="s">
        <v>293</v>
      </c>
      <c r="C100" s="51" t="s">
        <v>225</v>
      </c>
      <c r="D100" s="54"/>
      <c r="E100" s="5"/>
      <c r="F100" s="5"/>
      <c r="G100" s="5"/>
      <c r="J100" s="5"/>
      <c r="M100" s="5"/>
      <c r="N100" s="5"/>
      <c r="P100" s="5"/>
    </row>
    <row r="101" spans="1:16" ht="13">
      <c r="A101" s="48" t="s">
        <v>3272</v>
      </c>
      <c r="B101" s="49" t="s">
        <v>273</v>
      </c>
      <c r="C101" s="51" t="s">
        <v>208</v>
      </c>
      <c r="D101" s="54"/>
      <c r="E101" s="5"/>
      <c r="F101" s="5"/>
      <c r="G101" s="5"/>
      <c r="J101" s="5"/>
      <c r="M101" s="5"/>
      <c r="N101" s="5"/>
      <c r="P101" s="5"/>
    </row>
    <row r="102" spans="1:16" ht="13">
      <c r="A102" s="48" t="s">
        <v>3273</v>
      </c>
      <c r="B102" s="49" t="s">
        <v>3043</v>
      </c>
      <c r="C102" s="51" t="s">
        <v>192</v>
      </c>
      <c r="D102" s="51"/>
      <c r="E102" s="5"/>
      <c r="F102" s="5"/>
      <c r="G102" s="5"/>
      <c r="J102" s="5"/>
      <c r="M102" s="5"/>
      <c r="N102" s="5"/>
      <c r="P102" s="5"/>
    </row>
    <row r="103" spans="1:16" ht="13">
      <c r="A103" s="48" t="s">
        <v>3274</v>
      </c>
      <c r="B103" s="49" t="s">
        <v>1278</v>
      </c>
      <c r="C103" s="51" t="s">
        <v>197</v>
      </c>
      <c r="D103" s="54"/>
      <c r="E103" s="5"/>
      <c r="F103" s="5"/>
      <c r="G103" s="5"/>
      <c r="J103" s="5"/>
      <c r="M103" s="5"/>
      <c r="N103" s="5"/>
      <c r="P103" s="5"/>
    </row>
    <row r="104" spans="1:16" ht="13">
      <c r="A104" s="48" t="s">
        <v>3275</v>
      </c>
      <c r="B104" s="49" t="s">
        <v>1550</v>
      </c>
      <c r="C104" s="51" t="s">
        <v>208</v>
      </c>
      <c r="D104" s="51"/>
      <c r="E104" s="5"/>
      <c r="F104" s="5"/>
      <c r="G104" s="5"/>
      <c r="J104" s="5"/>
      <c r="M104" s="5"/>
      <c r="N104" s="5"/>
      <c r="P104" s="5"/>
    </row>
    <row r="105" spans="1:16" ht="13">
      <c r="A105" s="48" t="s">
        <v>3276</v>
      </c>
      <c r="B105" s="49" t="s">
        <v>3277</v>
      </c>
      <c r="C105" s="51" t="s">
        <v>205</v>
      </c>
      <c r="D105" s="51"/>
      <c r="E105" s="5"/>
      <c r="F105" s="5"/>
      <c r="G105" s="5"/>
      <c r="J105" s="5"/>
      <c r="M105" s="5"/>
      <c r="N105" s="5"/>
      <c r="P105" s="5"/>
    </row>
    <row r="106" spans="1:16" ht="13">
      <c r="A106" s="48" t="s">
        <v>3278</v>
      </c>
      <c r="B106" s="49" t="s">
        <v>1888</v>
      </c>
      <c r="C106" s="51" t="s">
        <v>208</v>
      </c>
      <c r="D106" s="51"/>
      <c r="E106" s="5"/>
      <c r="F106" s="5"/>
      <c r="G106" s="5"/>
      <c r="J106" s="5"/>
      <c r="M106" s="5"/>
      <c r="N106" s="5"/>
      <c r="P106" s="5"/>
    </row>
    <row r="107" spans="1:16" ht="13">
      <c r="A107" s="48" t="s">
        <v>3279</v>
      </c>
      <c r="B107" s="49" t="s">
        <v>893</v>
      </c>
      <c r="C107" s="51" t="s">
        <v>205</v>
      </c>
      <c r="D107" s="54"/>
      <c r="E107" s="5"/>
      <c r="F107" s="5"/>
      <c r="G107" s="5"/>
      <c r="J107" s="5"/>
      <c r="M107" s="5"/>
      <c r="N107" s="5"/>
      <c r="P107" s="5"/>
    </row>
    <row r="108" spans="1:16" ht="13">
      <c r="A108" s="48" t="s">
        <v>3280</v>
      </c>
      <c r="B108" s="49" t="s">
        <v>1891</v>
      </c>
      <c r="C108" s="51" t="s">
        <v>205</v>
      </c>
      <c r="D108" s="54"/>
      <c r="E108" s="5"/>
      <c r="F108" s="5"/>
      <c r="G108" s="5"/>
      <c r="J108" s="5"/>
      <c r="M108" s="5"/>
      <c r="N108" s="5"/>
      <c r="P108" s="5"/>
    </row>
    <row r="109" spans="1:16" ht="13">
      <c r="A109" s="48" t="s">
        <v>3281</v>
      </c>
      <c r="B109" s="49" t="s">
        <v>957</v>
      </c>
      <c r="C109" s="51" t="s">
        <v>197</v>
      </c>
      <c r="D109" s="54"/>
      <c r="E109" s="5"/>
      <c r="F109" s="5"/>
      <c r="G109" s="5"/>
      <c r="J109" s="5"/>
      <c r="M109" s="5"/>
      <c r="N109" s="5"/>
      <c r="P109" s="5"/>
    </row>
    <row r="110" spans="1:16" ht="13">
      <c r="A110" s="48" t="s">
        <v>3282</v>
      </c>
      <c r="B110" s="49" t="s">
        <v>903</v>
      </c>
      <c r="C110" s="51" t="s">
        <v>208</v>
      </c>
      <c r="D110" s="54"/>
      <c r="E110" s="5"/>
      <c r="F110" s="5"/>
      <c r="G110" s="5"/>
      <c r="J110" s="5"/>
      <c r="M110" s="5"/>
      <c r="N110" s="5"/>
      <c r="P110" s="5"/>
    </row>
    <row r="111" spans="1:16" ht="13">
      <c r="A111" s="48" t="s">
        <v>3283</v>
      </c>
      <c r="B111" s="49" t="s">
        <v>299</v>
      </c>
      <c r="C111" s="51" t="s">
        <v>199</v>
      </c>
      <c r="D111" s="51"/>
      <c r="E111" s="5"/>
      <c r="F111" s="5"/>
      <c r="G111" s="5"/>
      <c r="J111" s="5"/>
      <c r="M111" s="5"/>
      <c r="N111" s="5"/>
      <c r="P111" s="5"/>
    </row>
    <row r="112" spans="1:16" ht="13">
      <c r="A112" s="48" t="s">
        <v>3284</v>
      </c>
      <c r="B112" s="49" t="s">
        <v>389</v>
      </c>
      <c r="C112" s="51" t="s">
        <v>195</v>
      </c>
      <c r="D112" s="51"/>
      <c r="E112" s="5"/>
      <c r="F112" s="5"/>
      <c r="G112" s="5"/>
      <c r="J112" s="5"/>
      <c r="M112" s="5"/>
      <c r="N112" s="5"/>
      <c r="P112" s="5"/>
    </row>
    <row r="113" spans="1:16" ht="13">
      <c r="A113" s="48" t="s">
        <v>3285</v>
      </c>
      <c r="B113" s="49" t="s">
        <v>3286</v>
      </c>
      <c r="C113" s="51" t="s">
        <v>1013</v>
      </c>
      <c r="D113" s="54"/>
      <c r="E113" s="5"/>
      <c r="F113" s="5"/>
      <c r="G113" s="5"/>
      <c r="J113" s="5"/>
      <c r="M113" s="5"/>
      <c r="N113" s="5"/>
      <c r="P113" s="5"/>
    </row>
    <row r="114" spans="1:16" ht="13">
      <c r="A114" s="48" t="s">
        <v>3287</v>
      </c>
      <c r="B114" s="49" t="s">
        <v>3288</v>
      </c>
      <c r="C114" s="51" t="s">
        <v>206</v>
      </c>
      <c r="D114" s="54"/>
      <c r="E114" s="5"/>
      <c r="F114" s="5"/>
      <c r="G114" s="5"/>
      <c r="J114" s="5"/>
      <c r="M114" s="5"/>
      <c r="N114" s="5"/>
      <c r="P114" s="5"/>
    </row>
    <row r="115" spans="1:16" ht="13">
      <c r="A115" s="48" t="s">
        <v>3289</v>
      </c>
      <c r="B115" s="49" t="s">
        <v>3290</v>
      </c>
      <c r="C115" s="51" t="s">
        <v>1013</v>
      </c>
      <c r="D115" s="54"/>
      <c r="E115" s="5"/>
      <c r="F115" s="5"/>
      <c r="G115" s="5"/>
      <c r="J115" s="5"/>
      <c r="M115" s="5"/>
      <c r="N115" s="5"/>
      <c r="P115" s="5"/>
    </row>
    <row r="116" spans="1:16" ht="13">
      <c r="A116" s="48" t="s">
        <v>3291</v>
      </c>
      <c r="B116" s="49" t="s">
        <v>3292</v>
      </c>
      <c r="C116" s="51" t="s">
        <v>229</v>
      </c>
      <c r="D116" s="51"/>
      <c r="E116" s="5"/>
      <c r="F116" s="5"/>
      <c r="G116" s="5"/>
      <c r="J116" s="5"/>
      <c r="M116" s="5"/>
      <c r="N116" s="5"/>
      <c r="P116" s="5"/>
    </row>
    <row r="117" spans="1:16" ht="13">
      <c r="A117" s="48" t="s">
        <v>3293</v>
      </c>
      <c r="B117" s="49" t="s">
        <v>3294</v>
      </c>
      <c r="C117" s="51" t="s">
        <v>206</v>
      </c>
      <c r="D117" s="54"/>
      <c r="E117" s="5"/>
      <c r="F117" s="5"/>
      <c r="G117" s="5"/>
      <c r="J117" s="5"/>
      <c r="M117" s="5"/>
      <c r="N117" s="5"/>
      <c r="P117" s="5"/>
    </row>
    <row r="118" spans="1:16" ht="13">
      <c r="A118" s="48" t="s">
        <v>3295</v>
      </c>
      <c r="B118" s="49" t="s">
        <v>3296</v>
      </c>
      <c r="C118" s="51" t="s">
        <v>206</v>
      </c>
      <c r="D118" s="51"/>
      <c r="E118" s="5"/>
      <c r="F118" s="5"/>
      <c r="G118" s="5"/>
      <c r="J118" s="5"/>
      <c r="M118" s="5"/>
      <c r="N118" s="5"/>
      <c r="P118" s="5"/>
    </row>
    <row r="119" spans="1:16" ht="13">
      <c r="A119" s="48" t="s">
        <v>3297</v>
      </c>
      <c r="B119" s="49" t="s">
        <v>3298</v>
      </c>
      <c r="C119" s="51" t="s">
        <v>1013</v>
      </c>
      <c r="D119" s="51"/>
      <c r="E119" s="5"/>
      <c r="F119" s="5"/>
      <c r="G119" s="5"/>
      <c r="J119" s="5"/>
      <c r="M119" s="5"/>
      <c r="N119" s="5"/>
      <c r="P119" s="5"/>
    </row>
    <row r="120" spans="1:16" ht="13">
      <c r="A120" s="48" t="s">
        <v>3299</v>
      </c>
      <c r="B120" s="49" t="s">
        <v>3300</v>
      </c>
      <c r="C120" s="51" t="s">
        <v>206</v>
      </c>
      <c r="D120" s="54"/>
      <c r="E120" s="5"/>
      <c r="F120" s="5"/>
      <c r="G120" s="5"/>
      <c r="J120" s="5"/>
      <c r="M120" s="5"/>
      <c r="N120" s="5"/>
      <c r="P120" s="5"/>
    </row>
    <row r="121" spans="1:16" ht="13">
      <c r="A121" s="48" t="s">
        <v>3301</v>
      </c>
      <c r="B121" s="49" t="s">
        <v>3302</v>
      </c>
      <c r="C121" s="51" t="s">
        <v>206</v>
      </c>
      <c r="D121" s="54"/>
      <c r="E121" s="51"/>
      <c r="F121" s="5"/>
      <c r="G121" s="5"/>
      <c r="J121" s="5"/>
      <c r="M121" s="5"/>
      <c r="N121" s="5"/>
      <c r="P121" s="5"/>
    </row>
    <row r="122" spans="1:16" ht="13">
      <c r="A122" s="48" t="s">
        <v>3303</v>
      </c>
      <c r="B122" s="49" t="s">
        <v>1479</v>
      </c>
      <c r="C122" s="51" t="s">
        <v>317</v>
      </c>
      <c r="D122" s="54"/>
      <c r="E122" s="5"/>
      <c r="F122" s="5"/>
      <c r="G122" s="5"/>
      <c r="J122" s="5"/>
      <c r="M122" s="5"/>
      <c r="N122" s="5"/>
      <c r="P122" s="5"/>
    </row>
    <row r="123" spans="1:16" ht="13">
      <c r="A123" s="48" t="s">
        <v>3304</v>
      </c>
      <c r="B123" s="49" t="s">
        <v>933</v>
      </c>
      <c r="C123" s="51" t="s">
        <v>317</v>
      </c>
      <c r="D123" s="54"/>
      <c r="E123" s="5"/>
      <c r="F123" s="5"/>
      <c r="G123" s="5"/>
      <c r="J123" s="5"/>
      <c r="M123" s="5"/>
      <c r="N123" s="5"/>
      <c r="P123" s="5"/>
    </row>
    <row r="124" spans="1:16" ht="13">
      <c r="A124" s="48" t="s">
        <v>3305</v>
      </c>
      <c r="B124" s="49" t="s">
        <v>798</v>
      </c>
      <c r="C124" s="51" t="s">
        <v>317</v>
      </c>
      <c r="D124" s="54"/>
      <c r="E124" s="5"/>
      <c r="F124" s="5"/>
      <c r="G124" s="5"/>
      <c r="J124" s="5"/>
      <c r="M124" s="5"/>
      <c r="N124" s="5"/>
      <c r="P124" s="5"/>
    </row>
    <row r="125" spans="1:16" ht="13">
      <c r="A125" s="48" t="s">
        <v>3306</v>
      </c>
      <c r="B125" s="49" t="s">
        <v>3307</v>
      </c>
      <c r="C125" s="51" t="s">
        <v>192</v>
      </c>
      <c r="D125" s="54"/>
      <c r="E125" s="5"/>
      <c r="F125" s="5"/>
      <c r="G125" s="5"/>
      <c r="J125" s="5"/>
      <c r="M125" s="5"/>
      <c r="N125" s="5"/>
      <c r="P125" s="5"/>
    </row>
    <row r="126" spans="1:16" ht="13">
      <c r="A126" s="48" t="s">
        <v>3308</v>
      </c>
      <c r="B126" s="49" t="s">
        <v>3037</v>
      </c>
      <c r="C126" s="51" t="s">
        <v>225</v>
      </c>
      <c r="D126" s="54"/>
      <c r="E126" s="5"/>
      <c r="F126" s="5"/>
      <c r="G126" s="5"/>
      <c r="J126" s="5"/>
      <c r="M126" s="5"/>
      <c r="N126" s="5"/>
      <c r="P126" s="5"/>
    </row>
    <row r="127" spans="1:16" ht="13">
      <c r="A127" s="48" t="s">
        <v>3309</v>
      </c>
      <c r="B127" s="49" t="s">
        <v>3310</v>
      </c>
      <c r="C127" s="51" t="s">
        <v>199</v>
      </c>
      <c r="D127" s="54"/>
      <c r="E127" s="5"/>
      <c r="F127" s="5"/>
      <c r="G127" s="5"/>
      <c r="J127" s="5"/>
      <c r="M127" s="5"/>
      <c r="N127" s="5"/>
      <c r="P127" s="5"/>
    </row>
    <row r="128" spans="1:16" ht="13">
      <c r="A128" s="48" t="s">
        <v>3311</v>
      </c>
      <c r="B128" s="49" t="s">
        <v>3312</v>
      </c>
      <c r="C128" s="51" t="s">
        <v>206</v>
      </c>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900-000000000000}"/>
    <hyperlink ref="B6" r:id="rId2" xr:uid="{00000000-0004-0000-2900-000001000000}"/>
    <hyperlink ref="B7" r:id="rId3" xr:uid="{00000000-0004-0000-2900-000002000000}"/>
    <hyperlink ref="B8" r:id="rId4" xr:uid="{00000000-0004-0000-2900-000003000000}"/>
    <hyperlink ref="B9" r:id="rId5" xr:uid="{00000000-0004-0000-2900-000004000000}"/>
    <hyperlink ref="B10" r:id="rId6" xr:uid="{00000000-0004-0000-2900-000005000000}"/>
    <hyperlink ref="B11" r:id="rId7" xr:uid="{00000000-0004-0000-2900-000006000000}"/>
    <hyperlink ref="B12" r:id="rId8" xr:uid="{00000000-0004-0000-2900-000007000000}"/>
    <hyperlink ref="B13" r:id="rId9" xr:uid="{00000000-0004-0000-2900-000008000000}"/>
    <hyperlink ref="B14" r:id="rId10" xr:uid="{00000000-0004-0000-2900-000009000000}"/>
    <hyperlink ref="B15" r:id="rId11" xr:uid="{00000000-0004-0000-2900-00000A000000}"/>
    <hyperlink ref="B16" r:id="rId12" xr:uid="{00000000-0004-0000-2900-00000B000000}"/>
    <hyperlink ref="B17" r:id="rId13" xr:uid="{00000000-0004-0000-2900-00000C000000}"/>
    <hyperlink ref="B18" r:id="rId14" xr:uid="{00000000-0004-0000-2900-00000D000000}"/>
    <hyperlink ref="B19" r:id="rId15" xr:uid="{00000000-0004-0000-2900-00000E000000}"/>
    <hyperlink ref="B20" r:id="rId16" xr:uid="{00000000-0004-0000-2900-00000F000000}"/>
    <hyperlink ref="B21" r:id="rId17" xr:uid="{00000000-0004-0000-2900-000010000000}"/>
    <hyperlink ref="B22" r:id="rId18" xr:uid="{00000000-0004-0000-2900-000011000000}"/>
    <hyperlink ref="B23" r:id="rId19" xr:uid="{00000000-0004-0000-2900-000012000000}"/>
    <hyperlink ref="B24" r:id="rId20" xr:uid="{00000000-0004-0000-2900-000013000000}"/>
    <hyperlink ref="B25" r:id="rId21" xr:uid="{00000000-0004-0000-2900-000014000000}"/>
    <hyperlink ref="B26" r:id="rId22" xr:uid="{00000000-0004-0000-2900-000015000000}"/>
    <hyperlink ref="B27" r:id="rId23" xr:uid="{00000000-0004-0000-2900-000016000000}"/>
    <hyperlink ref="B28" r:id="rId24" xr:uid="{00000000-0004-0000-2900-000017000000}"/>
    <hyperlink ref="B29" r:id="rId25" xr:uid="{00000000-0004-0000-2900-000018000000}"/>
    <hyperlink ref="B30" r:id="rId26" xr:uid="{00000000-0004-0000-2900-000019000000}"/>
    <hyperlink ref="B31" r:id="rId27" xr:uid="{00000000-0004-0000-2900-00001A000000}"/>
    <hyperlink ref="B32" r:id="rId28" xr:uid="{00000000-0004-0000-2900-00001B000000}"/>
    <hyperlink ref="B33" r:id="rId29" xr:uid="{00000000-0004-0000-2900-00001C000000}"/>
    <hyperlink ref="B34" r:id="rId30" xr:uid="{00000000-0004-0000-2900-00001D000000}"/>
    <hyperlink ref="B35" r:id="rId31" xr:uid="{00000000-0004-0000-2900-00001E000000}"/>
    <hyperlink ref="B36" r:id="rId32" xr:uid="{00000000-0004-0000-2900-00001F000000}"/>
    <hyperlink ref="B37" r:id="rId33" xr:uid="{00000000-0004-0000-2900-000020000000}"/>
    <hyperlink ref="B38" r:id="rId34" xr:uid="{00000000-0004-0000-2900-000021000000}"/>
    <hyperlink ref="B39" r:id="rId35" xr:uid="{00000000-0004-0000-2900-000022000000}"/>
    <hyperlink ref="B40" r:id="rId36" xr:uid="{00000000-0004-0000-2900-000023000000}"/>
    <hyperlink ref="B41" r:id="rId37" xr:uid="{00000000-0004-0000-2900-000024000000}"/>
    <hyperlink ref="B42" r:id="rId38" xr:uid="{00000000-0004-0000-2900-000025000000}"/>
    <hyperlink ref="B43" r:id="rId39" xr:uid="{00000000-0004-0000-2900-000026000000}"/>
    <hyperlink ref="B44" r:id="rId40" xr:uid="{00000000-0004-0000-2900-000027000000}"/>
    <hyperlink ref="B45" r:id="rId41" xr:uid="{00000000-0004-0000-2900-000028000000}"/>
    <hyperlink ref="B46" r:id="rId42" xr:uid="{00000000-0004-0000-2900-000029000000}"/>
    <hyperlink ref="B47" r:id="rId43" xr:uid="{00000000-0004-0000-2900-00002A000000}"/>
    <hyperlink ref="B48" r:id="rId44" xr:uid="{00000000-0004-0000-2900-00002B000000}"/>
    <hyperlink ref="B49" r:id="rId45" xr:uid="{00000000-0004-0000-2900-00002C000000}"/>
    <hyperlink ref="B50" r:id="rId46" xr:uid="{00000000-0004-0000-2900-00002D000000}"/>
    <hyperlink ref="B51" r:id="rId47" xr:uid="{00000000-0004-0000-2900-00002E000000}"/>
    <hyperlink ref="B52" r:id="rId48" xr:uid="{00000000-0004-0000-2900-00002F000000}"/>
    <hyperlink ref="B53" r:id="rId49" xr:uid="{00000000-0004-0000-2900-000030000000}"/>
    <hyperlink ref="B54" r:id="rId50" xr:uid="{00000000-0004-0000-2900-000031000000}"/>
    <hyperlink ref="B55" r:id="rId51" xr:uid="{00000000-0004-0000-2900-000032000000}"/>
    <hyperlink ref="B56" r:id="rId52" xr:uid="{00000000-0004-0000-2900-000033000000}"/>
    <hyperlink ref="B57" r:id="rId53" xr:uid="{00000000-0004-0000-2900-000034000000}"/>
    <hyperlink ref="B58" r:id="rId54" xr:uid="{00000000-0004-0000-2900-000035000000}"/>
    <hyperlink ref="B59" r:id="rId55" xr:uid="{00000000-0004-0000-2900-000036000000}"/>
    <hyperlink ref="B60" r:id="rId56" xr:uid="{00000000-0004-0000-2900-000037000000}"/>
    <hyperlink ref="B61" r:id="rId57" xr:uid="{00000000-0004-0000-2900-000038000000}"/>
    <hyperlink ref="B62" r:id="rId58" xr:uid="{00000000-0004-0000-2900-000039000000}"/>
    <hyperlink ref="B63" r:id="rId59" xr:uid="{00000000-0004-0000-2900-00003A000000}"/>
    <hyperlink ref="B64" r:id="rId60" xr:uid="{00000000-0004-0000-2900-00003B000000}"/>
    <hyperlink ref="B65" r:id="rId61" xr:uid="{00000000-0004-0000-2900-00003C000000}"/>
    <hyperlink ref="B66" r:id="rId62" xr:uid="{00000000-0004-0000-2900-00003D000000}"/>
    <hyperlink ref="B67" r:id="rId63" xr:uid="{00000000-0004-0000-2900-00003E000000}"/>
    <hyperlink ref="B68" r:id="rId64" xr:uid="{00000000-0004-0000-2900-00003F000000}"/>
    <hyperlink ref="B69" r:id="rId65" xr:uid="{00000000-0004-0000-2900-000040000000}"/>
    <hyperlink ref="B70" r:id="rId66" xr:uid="{00000000-0004-0000-2900-000041000000}"/>
    <hyperlink ref="B71" r:id="rId67" xr:uid="{00000000-0004-0000-2900-000042000000}"/>
    <hyperlink ref="B72" r:id="rId68" xr:uid="{00000000-0004-0000-2900-000043000000}"/>
    <hyperlink ref="B73" r:id="rId69" xr:uid="{00000000-0004-0000-2900-000044000000}"/>
    <hyperlink ref="B74" r:id="rId70" xr:uid="{00000000-0004-0000-2900-000045000000}"/>
    <hyperlink ref="B75" r:id="rId71" xr:uid="{00000000-0004-0000-2900-000046000000}"/>
    <hyperlink ref="B76" r:id="rId72" xr:uid="{00000000-0004-0000-2900-000047000000}"/>
    <hyperlink ref="B77" r:id="rId73" xr:uid="{00000000-0004-0000-2900-000048000000}"/>
    <hyperlink ref="B78" r:id="rId74" xr:uid="{00000000-0004-0000-2900-000049000000}"/>
    <hyperlink ref="B79" r:id="rId75" xr:uid="{00000000-0004-0000-2900-00004A000000}"/>
    <hyperlink ref="B80" r:id="rId76" xr:uid="{00000000-0004-0000-2900-00004B000000}"/>
    <hyperlink ref="B81" r:id="rId77" xr:uid="{00000000-0004-0000-2900-00004C000000}"/>
    <hyperlink ref="B82" r:id="rId78" xr:uid="{00000000-0004-0000-2900-00004D000000}"/>
    <hyperlink ref="B83" r:id="rId79" xr:uid="{00000000-0004-0000-2900-00004E000000}"/>
    <hyperlink ref="B84" r:id="rId80" xr:uid="{00000000-0004-0000-2900-00004F000000}"/>
    <hyperlink ref="B85" r:id="rId81" xr:uid="{00000000-0004-0000-2900-000050000000}"/>
    <hyperlink ref="B86" r:id="rId82" xr:uid="{00000000-0004-0000-2900-000051000000}"/>
    <hyperlink ref="B87" r:id="rId83" xr:uid="{00000000-0004-0000-2900-000052000000}"/>
    <hyperlink ref="B88" r:id="rId84" xr:uid="{00000000-0004-0000-2900-000053000000}"/>
    <hyperlink ref="B89" r:id="rId85" xr:uid="{00000000-0004-0000-2900-000054000000}"/>
    <hyperlink ref="B90" r:id="rId86" xr:uid="{00000000-0004-0000-2900-000055000000}"/>
    <hyperlink ref="B91" r:id="rId87" xr:uid="{00000000-0004-0000-2900-000056000000}"/>
    <hyperlink ref="B92" r:id="rId88" xr:uid="{00000000-0004-0000-2900-000057000000}"/>
    <hyperlink ref="B93" r:id="rId89" xr:uid="{00000000-0004-0000-2900-000058000000}"/>
    <hyperlink ref="B94" r:id="rId90" xr:uid="{00000000-0004-0000-2900-000059000000}"/>
    <hyperlink ref="B95" r:id="rId91" xr:uid="{00000000-0004-0000-2900-00005A000000}"/>
    <hyperlink ref="B96" r:id="rId92" xr:uid="{00000000-0004-0000-2900-00005B000000}"/>
    <hyperlink ref="B97" r:id="rId93" xr:uid="{00000000-0004-0000-2900-00005C000000}"/>
    <hyperlink ref="B98" r:id="rId94" xr:uid="{00000000-0004-0000-2900-00005D000000}"/>
    <hyperlink ref="B99" r:id="rId95" xr:uid="{00000000-0004-0000-2900-00005E000000}"/>
    <hyperlink ref="B100" r:id="rId96" xr:uid="{00000000-0004-0000-2900-00005F000000}"/>
    <hyperlink ref="B101" r:id="rId97" xr:uid="{00000000-0004-0000-2900-000060000000}"/>
    <hyperlink ref="B102" r:id="rId98" xr:uid="{00000000-0004-0000-2900-000061000000}"/>
    <hyperlink ref="B103" r:id="rId99" xr:uid="{00000000-0004-0000-2900-000062000000}"/>
    <hyperlink ref="B104" r:id="rId100" xr:uid="{00000000-0004-0000-2900-000063000000}"/>
    <hyperlink ref="B105" r:id="rId101" xr:uid="{00000000-0004-0000-2900-000064000000}"/>
    <hyperlink ref="B106" r:id="rId102" xr:uid="{00000000-0004-0000-2900-000065000000}"/>
    <hyperlink ref="B107" r:id="rId103" xr:uid="{00000000-0004-0000-2900-000066000000}"/>
    <hyperlink ref="B108" r:id="rId104" xr:uid="{00000000-0004-0000-2900-000067000000}"/>
    <hyperlink ref="B109" r:id="rId105" xr:uid="{00000000-0004-0000-2900-000068000000}"/>
    <hyperlink ref="B110" r:id="rId106" xr:uid="{00000000-0004-0000-2900-000069000000}"/>
    <hyperlink ref="B111" r:id="rId107" xr:uid="{00000000-0004-0000-2900-00006A000000}"/>
    <hyperlink ref="B112" r:id="rId108" xr:uid="{00000000-0004-0000-2900-00006B000000}"/>
    <hyperlink ref="B113" r:id="rId109" xr:uid="{00000000-0004-0000-2900-00006C000000}"/>
    <hyperlink ref="B114" r:id="rId110" xr:uid="{00000000-0004-0000-2900-00006D000000}"/>
    <hyperlink ref="B115" r:id="rId111" xr:uid="{00000000-0004-0000-2900-00006E000000}"/>
    <hyperlink ref="B116" r:id="rId112" xr:uid="{00000000-0004-0000-2900-00006F000000}"/>
    <hyperlink ref="B117" r:id="rId113" xr:uid="{00000000-0004-0000-2900-000070000000}"/>
    <hyperlink ref="B118" r:id="rId114" xr:uid="{00000000-0004-0000-2900-000071000000}"/>
    <hyperlink ref="B119" r:id="rId115" xr:uid="{00000000-0004-0000-2900-000072000000}"/>
    <hyperlink ref="B120" r:id="rId116" xr:uid="{00000000-0004-0000-2900-000073000000}"/>
    <hyperlink ref="B121" r:id="rId117" xr:uid="{00000000-0004-0000-2900-000074000000}"/>
    <hyperlink ref="B122" r:id="rId118" xr:uid="{00000000-0004-0000-2900-000075000000}"/>
    <hyperlink ref="B123" r:id="rId119" xr:uid="{00000000-0004-0000-2900-000076000000}"/>
    <hyperlink ref="B124" r:id="rId120" xr:uid="{00000000-0004-0000-2900-000077000000}"/>
    <hyperlink ref="B125" r:id="rId121" xr:uid="{00000000-0004-0000-2900-000078000000}"/>
    <hyperlink ref="B126" r:id="rId122" xr:uid="{00000000-0004-0000-2900-000079000000}"/>
    <hyperlink ref="B127" r:id="rId123" xr:uid="{00000000-0004-0000-2900-00007A000000}"/>
    <hyperlink ref="B128" r:id="rId124" xr:uid="{00000000-0004-0000-2900-00007B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 customWidth="1"/>
    <col min="3" max="3" width="13.5" customWidth="1"/>
    <col min="4" max="4" width="14.83203125" customWidth="1"/>
    <col min="5" max="5" width="14.33203125" customWidth="1"/>
    <col min="11" max="11" width="13.83203125" customWidth="1"/>
  </cols>
  <sheetData>
    <row r="1" spans="1:23" ht="15.75" customHeight="1">
      <c r="A1" s="1" t="s">
        <v>28</v>
      </c>
      <c r="B1" s="36"/>
      <c r="C1" s="37"/>
      <c r="D1" s="7" t="s">
        <v>181</v>
      </c>
      <c r="E1" s="5"/>
      <c r="F1" s="5"/>
      <c r="G1" s="5"/>
      <c r="K1" s="1"/>
      <c r="M1" s="5"/>
      <c r="N1" s="5"/>
      <c r="S1" s="1"/>
      <c r="U1" s="5"/>
    </row>
    <row r="2" spans="1:23" ht="15.75" customHeight="1">
      <c r="A2" s="7" t="s">
        <v>182</v>
      </c>
      <c r="B2" s="38">
        <v>39326</v>
      </c>
      <c r="C2" s="37"/>
      <c r="D2" s="39">
        <f>SUM(D5:G21)</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43482</v>
      </c>
      <c r="B5" s="49" t="s">
        <v>3185</v>
      </c>
      <c r="C5" s="51" t="s">
        <v>220</v>
      </c>
      <c r="D5" s="54"/>
      <c r="E5" s="5"/>
      <c r="F5" s="5"/>
      <c r="G5" s="5"/>
      <c r="L5" s="43"/>
      <c r="M5" s="43"/>
      <c r="N5" s="42"/>
      <c r="O5" s="44"/>
      <c r="S5" s="42"/>
      <c r="T5" s="43"/>
      <c r="U5" s="43"/>
      <c r="V5" s="42"/>
      <c r="W5" s="44"/>
    </row>
    <row r="6" spans="1:23" ht="15.75" customHeight="1">
      <c r="A6" s="52">
        <v>43513</v>
      </c>
      <c r="B6" s="49" t="s">
        <v>3113</v>
      </c>
      <c r="C6" s="51" t="s">
        <v>225</v>
      </c>
      <c r="D6" s="54"/>
      <c r="E6" s="5"/>
      <c r="F6" s="5"/>
      <c r="G6" s="5"/>
      <c r="L6" s="50"/>
      <c r="M6" s="51"/>
      <c r="N6" s="5"/>
      <c r="S6" s="52"/>
      <c r="T6" s="50"/>
      <c r="U6" s="51"/>
    </row>
    <row r="7" spans="1:23" ht="15.75" customHeight="1">
      <c r="A7" s="52">
        <v>43541</v>
      </c>
      <c r="B7" s="49" t="s">
        <v>3115</v>
      </c>
      <c r="C7" s="51" t="s">
        <v>208</v>
      </c>
      <c r="D7" s="54"/>
      <c r="E7" s="5"/>
      <c r="F7" s="5"/>
      <c r="G7" s="5"/>
      <c r="K7" s="52"/>
      <c r="L7" s="50"/>
      <c r="M7" s="51"/>
      <c r="N7" s="5"/>
      <c r="S7" s="52"/>
      <c r="T7" s="50"/>
      <c r="U7" s="51"/>
    </row>
    <row r="8" spans="1:23" ht="15.75" customHeight="1">
      <c r="A8" s="52">
        <v>43572</v>
      </c>
      <c r="B8" s="49" t="s">
        <v>3022</v>
      </c>
      <c r="C8" s="51" t="s">
        <v>192</v>
      </c>
      <c r="D8" s="54"/>
      <c r="E8" s="5"/>
      <c r="F8" s="5"/>
      <c r="G8" s="5"/>
      <c r="K8" s="52"/>
      <c r="L8" s="50"/>
      <c r="M8" s="51"/>
      <c r="N8" s="51"/>
      <c r="S8" s="52"/>
      <c r="T8" s="50"/>
      <c r="U8" s="51"/>
    </row>
    <row r="9" spans="1:23" ht="15.75" customHeight="1">
      <c r="A9" s="52">
        <v>43602</v>
      </c>
      <c r="B9" s="49" t="s">
        <v>3199</v>
      </c>
      <c r="C9" s="51" t="s">
        <v>225</v>
      </c>
      <c r="D9" s="54"/>
      <c r="E9" s="5"/>
      <c r="F9" s="5"/>
      <c r="G9" s="5"/>
      <c r="K9" s="52"/>
      <c r="L9" s="50"/>
      <c r="M9" s="51"/>
      <c r="N9" s="51"/>
      <c r="S9" s="52"/>
      <c r="T9" s="50"/>
      <c r="U9" s="51"/>
    </row>
    <row r="10" spans="1:23" ht="15.75" customHeight="1">
      <c r="A10" s="52">
        <v>43633</v>
      </c>
      <c r="B10" s="49" t="s">
        <v>3134</v>
      </c>
      <c r="C10" s="51" t="s">
        <v>195</v>
      </c>
      <c r="D10" s="54"/>
      <c r="E10" s="5"/>
      <c r="F10" s="5"/>
      <c r="G10" s="5"/>
      <c r="K10" s="52"/>
      <c r="L10" s="50"/>
      <c r="M10" s="51"/>
      <c r="N10" s="5"/>
      <c r="S10" s="52"/>
      <c r="T10" s="50"/>
      <c r="U10" s="51"/>
    </row>
    <row r="11" spans="1:23" ht="15.75" customHeight="1">
      <c r="A11" s="52">
        <v>43663</v>
      </c>
      <c r="B11" s="49" t="s">
        <v>3259</v>
      </c>
      <c r="C11" s="51" t="s">
        <v>197</v>
      </c>
      <c r="D11" s="54"/>
      <c r="E11" s="5"/>
      <c r="F11" s="5"/>
      <c r="G11" s="5"/>
      <c r="K11" s="52"/>
      <c r="L11" s="50"/>
      <c r="M11" s="51"/>
      <c r="N11" s="51"/>
      <c r="S11" s="52"/>
      <c r="T11" s="50"/>
      <c r="U11" s="51"/>
    </row>
    <row r="12" spans="1:23" ht="15.75" customHeight="1">
      <c r="A12" s="52">
        <v>43694</v>
      </c>
      <c r="B12" s="49" t="s">
        <v>3141</v>
      </c>
      <c r="C12" s="51" t="s">
        <v>225</v>
      </c>
      <c r="D12" s="54"/>
      <c r="E12" s="5"/>
      <c r="F12" s="5"/>
      <c r="G12" s="5"/>
      <c r="K12" s="52"/>
      <c r="L12" s="50"/>
      <c r="M12" s="51"/>
      <c r="N12" s="51"/>
      <c r="S12" s="52"/>
      <c r="T12" s="50"/>
      <c r="U12" s="51"/>
    </row>
    <row r="13" spans="1:23" ht="15.75" customHeight="1">
      <c r="A13" s="52">
        <v>43725</v>
      </c>
      <c r="B13" s="49" t="s">
        <v>191</v>
      </c>
      <c r="C13" s="51" t="s">
        <v>192</v>
      </c>
      <c r="D13" s="54"/>
      <c r="E13" s="5"/>
      <c r="F13" s="5"/>
      <c r="G13" s="5"/>
      <c r="K13" s="52"/>
      <c r="L13" s="50"/>
      <c r="M13" s="51"/>
      <c r="N13" s="5"/>
      <c r="S13" s="52"/>
      <c r="T13" s="50"/>
      <c r="U13" s="51"/>
    </row>
    <row r="14" spans="1:23" ht="15.75" customHeight="1">
      <c r="A14" s="52">
        <v>43755</v>
      </c>
      <c r="B14" s="49" t="s">
        <v>3142</v>
      </c>
      <c r="C14" s="51" t="s">
        <v>197</v>
      </c>
      <c r="D14" s="54"/>
      <c r="E14" s="5"/>
      <c r="F14" s="5"/>
      <c r="G14" s="5"/>
      <c r="K14" s="52"/>
      <c r="L14" s="50"/>
      <c r="M14" s="51"/>
      <c r="N14" s="51"/>
      <c r="S14" s="52"/>
      <c r="T14" s="50"/>
      <c r="U14" s="51"/>
    </row>
    <row r="15" spans="1:23" ht="15.75" customHeight="1">
      <c r="A15" s="52">
        <v>43786</v>
      </c>
      <c r="B15" s="49" t="s">
        <v>3143</v>
      </c>
      <c r="C15" s="51" t="s">
        <v>197</v>
      </c>
      <c r="D15" s="54"/>
      <c r="E15" s="5"/>
      <c r="F15" s="5"/>
      <c r="G15" s="5"/>
      <c r="K15" s="52"/>
      <c r="L15" s="50"/>
      <c r="M15" s="51"/>
      <c r="N15" s="51"/>
      <c r="S15" s="52"/>
      <c r="T15" s="50"/>
      <c r="U15" s="51"/>
    </row>
    <row r="16" spans="1:23" ht="15.75" customHeight="1">
      <c r="A16" s="52">
        <v>43816</v>
      </c>
      <c r="B16" s="49" t="s">
        <v>3025</v>
      </c>
      <c r="C16" s="51" t="s">
        <v>197</v>
      </c>
      <c r="D16" s="54"/>
      <c r="E16" s="5"/>
      <c r="F16" s="5"/>
      <c r="G16" s="5"/>
      <c r="K16" s="52"/>
      <c r="L16" s="50"/>
      <c r="M16" s="51"/>
      <c r="N16" s="51"/>
      <c r="S16" s="52"/>
      <c r="T16" s="50"/>
      <c r="U16" s="51"/>
    </row>
    <row r="17" spans="1:27" ht="15.75" customHeight="1">
      <c r="A17" s="48" t="s">
        <v>2342</v>
      </c>
      <c r="B17" s="49" t="s">
        <v>3145</v>
      </c>
      <c r="C17" s="51" t="s">
        <v>205</v>
      </c>
      <c r="D17" s="54"/>
      <c r="E17" s="5"/>
      <c r="F17" s="5"/>
      <c r="G17" s="5"/>
      <c r="K17" s="52"/>
      <c r="L17" s="50"/>
      <c r="M17" s="51"/>
      <c r="N17" s="51"/>
      <c r="S17" s="52"/>
      <c r="T17" s="50"/>
      <c r="U17" s="51"/>
    </row>
    <row r="18" spans="1:27" ht="15.75" customHeight="1">
      <c r="A18" s="48" t="s">
        <v>2343</v>
      </c>
      <c r="B18" s="49" t="s">
        <v>3018</v>
      </c>
      <c r="C18" s="51" t="s">
        <v>199</v>
      </c>
      <c r="D18" s="54"/>
      <c r="E18" s="5"/>
      <c r="F18" s="51"/>
      <c r="G18" s="5"/>
      <c r="M18" s="5"/>
      <c r="N18" s="5"/>
      <c r="U18" s="5"/>
      <c r="AA18" s="5"/>
    </row>
    <row r="19" spans="1:27" ht="15.75" customHeight="1">
      <c r="A19" s="48" t="s">
        <v>2344</v>
      </c>
      <c r="B19" s="49" t="s">
        <v>3020</v>
      </c>
      <c r="C19" s="51" t="s">
        <v>208</v>
      </c>
      <c r="D19" s="54"/>
      <c r="E19" s="5"/>
      <c r="F19" s="5"/>
      <c r="G19" s="5"/>
      <c r="K19" s="1"/>
      <c r="M19" s="5"/>
      <c r="N19" s="5"/>
      <c r="U19" s="5"/>
      <c r="AA19" s="5"/>
    </row>
    <row r="20" spans="1:27" ht="15.75" customHeight="1">
      <c r="A20" s="48" t="s">
        <v>2345</v>
      </c>
      <c r="B20" s="49" t="s">
        <v>3148</v>
      </c>
      <c r="C20" s="51" t="s">
        <v>197</v>
      </c>
      <c r="D20" s="54"/>
      <c r="E20" s="5"/>
      <c r="F20" s="5"/>
      <c r="G20" s="5"/>
      <c r="L20" s="40"/>
      <c r="M20" s="5"/>
      <c r="N20" s="5"/>
      <c r="AA20" s="5"/>
    </row>
    <row r="21" spans="1:27" ht="15.75" customHeight="1">
      <c r="A21" s="48" t="s">
        <v>2346</v>
      </c>
      <c r="B21" s="49" t="s">
        <v>3016</v>
      </c>
      <c r="C21" s="51" t="s">
        <v>205</v>
      </c>
      <c r="D21" s="54"/>
      <c r="E21" s="5"/>
      <c r="F21" s="51"/>
      <c r="G21" s="5"/>
      <c r="M21" s="5"/>
      <c r="N21" s="5"/>
      <c r="AA21" s="5"/>
    </row>
    <row r="22" spans="1:27" ht="15.75" customHeight="1">
      <c r="A22" s="48"/>
      <c r="B22" s="50"/>
      <c r="C22" s="51"/>
      <c r="E22" s="5"/>
      <c r="F22" s="5"/>
      <c r="G22" s="5"/>
      <c r="K22" s="42"/>
      <c r="L22" s="45"/>
      <c r="M22" s="46"/>
      <c r="N22" s="47"/>
      <c r="AA22" s="5"/>
    </row>
    <row r="23" spans="1:27" ht="15.75" customHeight="1">
      <c r="A23" s="48"/>
      <c r="B23" s="50"/>
      <c r="C23" s="51"/>
      <c r="E23" s="5"/>
      <c r="F23" s="5"/>
      <c r="G23" s="5"/>
      <c r="K23" s="42"/>
      <c r="L23" s="43"/>
      <c r="M23" s="43"/>
      <c r="N23" s="42"/>
      <c r="O23" s="44"/>
      <c r="AA23" s="5"/>
    </row>
    <row r="24" spans="1:27" ht="15.75" customHeight="1">
      <c r="A24" s="48"/>
      <c r="B24" s="50"/>
      <c r="C24" s="51"/>
      <c r="E24" s="5"/>
      <c r="F24" s="5"/>
      <c r="G24" s="5"/>
      <c r="K24" s="52"/>
      <c r="L24" s="50"/>
      <c r="M24" s="51"/>
      <c r="N24" s="5"/>
      <c r="AA24" s="5"/>
    </row>
    <row r="25" spans="1:27" ht="15.75" customHeight="1">
      <c r="A25" s="48"/>
      <c r="B25" s="50"/>
      <c r="C25" s="51"/>
      <c r="E25" s="5"/>
      <c r="F25" s="5"/>
      <c r="G25" s="5"/>
      <c r="K25" s="52"/>
      <c r="L25" s="50"/>
      <c r="M25" s="51"/>
      <c r="N25" s="5"/>
      <c r="AA25" s="5"/>
    </row>
    <row r="26" spans="1:27" ht="15.75" customHeight="1">
      <c r="A26" s="48"/>
      <c r="B26" s="50"/>
      <c r="C26" s="51"/>
      <c r="E26" s="5"/>
      <c r="F26" s="5"/>
      <c r="G26" s="5"/>
      <c r="K26" s="52"/>
      <c r="L26" s="50"/>
      <c r="M26" s="51"/>
      <c r="N26" s="51"/>
      <c r="AA26" s="5"/>
    </row>
    <row r="27" spans="1:27" ht="15.75" customHeight="1">
      <c r="A27" s="48"/>
      <c r="B27" s="50"/>
      <c r="C27" s="51"/>
      <c r="E27" s="5"/>
      <c r="F27" s="51"/>
      <c r="G27" s="5"/>
      <c r="K27" s="52"/>
      <c r="L27" s="50"/>
      <c r="M27" s="51"/>
      <c r="N27" s="51"/>
      <c r="AA27" s="5"/>
    </row>
    <row r="28" spans="1:27" ht="15.75" customHeight="1">
      <c r="A28" s="48"/>
      <c r="B28" s="50"/>
      <c r="C28" s="51"/>
      <c r="E28" s="5"/>
      <c r="F28" s="5"/>
      <c r="G28" s="5"/>
      <c r="J28" s="5"/>
      <c r="K28" s="52"/>
      <c r="L28" s="50"/>
      <c r="M28" s="51"/>
      <c r="N28" s="5"/>
      <c r="P28" s="5"/>
    </row>
    <row r="29" spans="1:27" ht="15.75" customHeight="1">
      <c r="A29" s="48"/>
      <c r="B29" s="53"/>
      <c r="C29" s="51"/>
      <c r="E29" s="5"/>
      <c r="F29" s="5"/>
      <c r="G29" s="5"/>
      <c r="J29" s="5"/>
      <c r="K29" s="52"/>
      <c r="L29" s="50"/>
      <c r="M29" s="51"/>
      <c r="N29" s="51"/>
      <c r="P29" s="5"/>
    </row>
    <row r="30" spans="1:27" ht="15.75" customHeight="1">
      <c r="A30" s="48"/>
      <c r="B30" s="50"/>
      <c r="C30" s="51"/>
      <c r="E30" s="5"/>
      <c r="F30" s="5"/>
      <c r="G30" s="5"/>
      <c r="J30" s="5"/>
      <c r="K30" s="52"/>
      <c r="L30" s="50"/>
      <c r="M30" s="51"/>
      <c r="N30" s="5"/>
      <c r="P30" s="5"/>
    </row>
    <row r="31" spans="1:27" ht="15.75" customHeight="1">
      <c r="A31" s="48"/>
      <c r="B31" s="50"/>
      <c r="C31" s="51"/>
      <c r="E31" s="5"/>
      <c r="F31" s="5"/>
      <c r="G31" s="5"/>
      <c r="J31" s="5"/>
      <c r="K31" s="52"/>
      <c r="L31" s="50"/>
      <c r="M31" s="51"/>
      <c r="N31" s="51"/>
      <c r="P31" s="5"/>
    </row>
    <row r="32" spans="1:27" ht="15.75" customHeight="1">
      <c r="A32" s="48"/>
      <c r="B32" s="50"/>
      <c r="C32" s="51"/>
      <c r="E32" s="5"/>
      <c r="F32" s="5"/>
      <c r="G32" s="5"/>
      <c r="J32" s="5"/>
      <c r="K32" s="52"/>
      <c r="L32" s="50"/>
      <c r="M32" s="51"/>
      <c r="N32" s="5"/>
      <c r="P32" s="5"/>
    </row>
    <row r="33" spans="1:16" ht="15.75" customHeight="1">
      <c r="A33" s="48"/>
      <c r="B33" s="50"/>
      <c r="C33" s="51"/>
      <c r="E33" s="5"/>
      <c r="F33" s="51"/>
      <c r="G33" s="5"/>
      <c r="J33" s="5"/>
      <c r="K33" s="52"/>
      <c r="L33" s="50"/>
      <c r="M33" s="51"/>
      <c r="N33" s="5"/>
      <c r="P33" s="5"/>
    </row>
    <row r="34" spans="1:16" ht="15.75" customHeight="1">
      <c r="A34" s="48"/>
      <c r="B34" s="50"/>
      <c r="C34" s="51"/>
      <c r="E34" s="5"/>
      <c r="F34" s="5"/>
      <c r="G34" s="5"/>
      <c r="J34" s="5"/>
      <c r="K34" s="52"/>
      <c r="L34" s="50"/>
      <c r="M34" s="51"/>
      <c r="N34" s="5"/>
      <c r="P34" s="5"/>
    </row>
    <row r="35" spans="1:16" ht="15.75" customHeight="1">
      <c r="A35" s="48"/>
      <c r="B35" s="50"/>
      <c r="C35" s="51"/>
      <c r="E35" s="5"/>
      <c r="F35" s="5"/>
      <c r="G35" s="5"/>
      <c r="J35" s="5"/>
      <c r="K35" s="52"/>
      <c r="L35" s="50"/>
      <c r="M35" s="51"/>
      <c r="N35" s="51"/>
      <c r="P35" s="5"/>
    </row>
    <row r="36" spans="1:16" ht="15.75" customHeight="1">
      <c r="A36" s="48"/>
      <c r="B36" s="50"/>
      <c r="C36" s="51"/>
      <c r="E36" s="5"/>
      <c r="F36" s="5"/>
      <c r="G36" s="5"/>
      <c r="J36" s="5"/>
      <c r="M36" s="5"/>
      <c r="N36" s="5"/>
      <c r="P36" s="5"/>
    </row>
    <row r="37" spans="1:16" ht="15.75" customHeight="1">
      <c r="A37" s="48"/>
      <c r="B37" s="50"/>
      <c r="C37" s="51"/>
      <c r="E37" s="5"/>
      <c r="F37" s="5"/>
      <c r="G37" s="5"/>
      <c r="J37" s="5"/>
      <c r="M37" s="5"/>
      <c r="N37" s="5"/>
    </row>
    <row r="38" spans="1:16" ht="15.75" customHeight="1">
      <c r="A38" s="48"/>
      <c r="B38" s="50"/>
      <c r="C38" s="51"/>
      <c r="E38" s="5"/>
      <c r="F38" s="5"/>
      <c r="G38" s="5"/>
      <c r="J38" s="5"/>
      <c r="M38" s="51"/>
      <c r="N38" s="51"/>
    </row>
    <row r="39" spans="1:16" ht="15.75" customHeight="1">
      <c r="A39" s="48"/>
      <c r="B39" s="50"/>
      <c r="C39" s="51"/>
      <c r="E39" s="5"/>
      <c r="F39" s="5"/>
      <c r="G39" s="5"/>
      <c r="J39" s="5"/>
      <c r="M39" s="51"/>
      <c r="N39" s="51"/>
    </row>
    <row r="40" spans="1:16" ht="15.75" customHeight="1">
      <c r="A40" s="48"/>
      <c r="B40" s="50"/>
      <c r="C40" s="51"/>
      <c r="E40" s="5"/>
      <c r="F40" s="5"/>
      <c r="G40" s="5"/>
      <c r="J40" s="5"/>
      <c r="M40" s="51"/>
      <c r="N40" s="51"/>
    </row>
    <row r="41" spans="1:16" ht="15.75" customHeight="1">
      <c r="A41" s="48"/>
      <c r="B41" s="50"/>
      <c r="C41" s="51"/>
      <c r="E41" s="5"/>
      <c r="F41" s="5"/>
      <c r="G41" s="5"/>
      <c r="J41" s="5"/>
      <c r="M41" s="51"/>
      <c r="N41" s="51"/>
    </row>
    <row r="42" spans="1:16" ht="15.75" customHeight="1">
      <c r="A42" s="48"/>
      <c r="B42" s="50"/>
      <c r="C42" s="51"/>
      <c r="E42" s="5"/>
      <c r="F42" s="5"/>
      <c r="G42" s="5"/>
      <c r="J42" s="5"/>
      <c r="M42" s="51"/>
      <c r="N42" s="51"/>
    </row>
    <row r="43" spans="1:16" ht="15.75" customHeight="1">
      <c r="A43" s="48"/>
      <c r="B43" s="50"/>
      <c r="C43" s="51"/>
      <c r="E43" s="5"/>
      <c r="F43" s="5"/>
      <c r="G43" s="5"/>
      <c r="J43" s="5"/>
      <c r="M43" s="51"/>
      <c r="N43" s="51"/>
    </row>
    <row r="44" spans="1:16" ht="15.75" customHeight="1">
      <c r="A44" s="48"/>
      <c r="B44" s="50"/>
      <c r="C44" s="51"/>
      <c r="E44" s="5"/>
      <c r="F44" s="5"/>
      <c r="G44" s="5"/>
      <c r="J44" s="5"/>
      <c r="M44" s="51"/>
      <c r="N44" s="51"/>
    </row>
    <row r="45" spans="1:16" ht="15.75" customHeight="1">
      <c r="A45" s="48"/>
      <c r="B45" s="53"/>
      <c r="C45" s="51"/>
      <c r="E45" s="5"/>
      <c r="F45" s="5"/>
      <c r="G45" s="5"/>
      <c r="J45" s="5"/>
      <c r="M45" s="51"/>
      <c r="N45" s="51"/>
      <c r="P45" s="5"/>
    </row>
    <row r="46" spans="1:16" ht="15.75" customHeight="1">
      <c r="A46" s="48"/>
      <c r="B46" s="53"/>
      <c r="C46" s="51"/>
      <c r="E46" s="5"/>
      <c r="F46" s="5"/>
      <c r="G46" s="5"/>
      <c r="J46" s="5"/>
      <c r="M46" s="51"/>
      <c r="N46" s="51"/>
      <c r="P46" s="5"/>
    </row>
    <row r="47" spans="1:16" ht="15.75" customHeight="1">
      <c r="A47" s="48"/>
      <c r="B47" s="53"/>
      <c r="C47" s="51"/>
      <c r="E47" s="5"/>
      <c r="F47" s="5"/>
      <c r="G47" s="5"/>
      <c r="J47" s="5"/>
      <c r="M47" s="5"/>
      <c r="N47" s="5"/>
      <c r="P47" s="5"/>
    </row>
    <row r="48" spans="1:16" ht="15.75" customHeight="1">
      <c r="A48" s="48"/>
      <c r="B48" s="50"/>
      <c r="C48" s="51"/>
      <c r="E48" s="5"/>
      <c r="F48" s="5"/>
      <c r="G48" s="5"/>
      <c r="J48" s="5"/>
      <c r="M48" s="5"/>
      <c r="N48" s="5"/>
      <c r="P48" s="5"/>
    </row>
    <row r="49" spans="1:16" ht="15.75" customHeight="1">
      <c r="A49" s="48"/>
      <c r="B49" s="53"/>
      <c r="C49" s="51"/>
      <c r="E49" s="5"/>
      <c r="F49" s="5"/>
      <c r="G49" s="5"/>
      <c r="J49" s="5"/>
      <c r="M49" s="5"/>
      <c r="N49" s="5"/>
      <c r="P49" s="5"/>
    </row>
    <row r="50" spans="1:16" ht="15.75" customHeight="1">
      <c r="A50" s="48"/>
      <c r="B50" s="53"/>
      <c r="C50" s="51"/>
      <c r="E50" s="5"/>
      <c r="F50" s="5"/>
      <c r="G50" s="5"/>
      <c r="J50" s="5"/>
      <c r="M50" s="5"/>
      <c r="N50" s="5"/>
      <c r="P50" s="5"/>
    </row>
    <row r="51" spans="1:16" ht="15.75" customHeight="1">
      <c r="A51" s="48"/>
      <c r="B51" s="53"/>
      <c r="C51" s="51"/>
      <c r="E51" s="5"/>
      <c r="F51" s="5"/>
      <c r="G51" s="5"/>
      <c r="J51" s="5"/>
      <c r="M51" s="5"/>
      <c r="N51" s="5"/>
      <c r="P51" s="5"/>
    </row>
    <row r="52" spans="1:16" ht="15.75" customHeight="1">
      <c r="A52" s="48"/>
      <c r="B52" s="53"/>
      <c r="C52" s="51"/>
      <c r="E52" s="5"/>
      <c r="F52" s="5"/>
      <c r="G52" s="5"/>
      <c r="J52" s="5"/>
      <c r="M52" s="5"/>
      <c r="N52" s="5"/>
      <c r="P52" s="5"/>
    </row>
    <row r="53" spans="1:16" ht="13">
      <c r="A53" s="48"/>
      <c r="B53" s="50"/>
      <c r="C53" s="51"/>
      <c r="E53" s="5"/>
      <c r="F53" s="5"/>
      <c r="G53" s="5"/>
      <c r="J53" s="5"/>
      <c r="M53" s="5"/>
      <c r="N53" s="5"/>
      <c r="P53" s="5"/>
    </row>
    <row r="54" spans="1:16" ht="13">
      <c r="A54" s="48"/>
      <c r="B54" s="50"/>
      <c r="C54" s="51"/>
      <c r="E54" s="5"/>
      <c r="F54" s="5"/>
      <c r="G54" s="5"/>
      <c r="J54" s="5"/>
      <c r="M54" s="5"/>
      <c r="N54" s="5"/>
      <c r="P54" s="5"/>
    </row>
    <row r="55" spans="1:16" ht="13">
      <c r="A55" s="48"/>
      <c r="B55" s="50"/>
      <c r="C55" s="51"/>
      <c r="E55" s="5"/>
      <c r="F55" s="5"/>
      <c r="G55" s="5"/>
      <c r="J55" s="5"/>
      <c r="M55" s="5"/>
      <c r="N55" s="5"/>
      <c r="P55" s="5"/>
    </row>
    <row r="56" spans="1:16" ht="13">
      <c r="A56" s="48"/>
      <c r="B56" s="50"/>
      <c r="C56" s="51"/>
      <c r="E56" s="5"/>
      <c r="F56" s="5"/>
      <c r="G56" s="5"/>
      <c r="J56" s="5"/>
      <c r="M56" s="5"/>
      <c r="N56" s="5"/>
      <c r="P56" s="5"/>
    </row>
    <row r="57" spans="1:16" ht="13">
      <c r="A57" s="48"/>
      <c r="B57" s="50"/>
      <c r="C57" s="51"/>
      <c r="E57" s="5"/>
      <c r="F57" s="5"/>
      <c r="G57" s="5"/>
      <c r="J57" s="5"/>
      <c r="M57" s="5"/>
      <c r="N57" s="5"/>
      <c r="P57" s="5"/>
    </row>
    <row r="58" spans="1:16" ht="13">
      <c r="A58" s="48"/>
      <c r="B58" s="50"/>
      <c r="C58" s="51"/>
      <c r="E58" s="5"/>
      <c r="F58" s="5"/>
      <c r="G58" s="5"/>
      <c r="J58" s="5"/>
      <c r="M58" s="5"/>
      <c r="N58" s="5"/>
      <c r="P58" s="5"/>
    </row>
    <row r="59" spans="1:16" ht="13">
      <c r="A59" s="48"/>
      <c r="B59" s="50"/>
      <c r="C59" s="51"/>
      <c r="E59" s="5"/>
      <c r="F59" s="5"/>
      <c r="G59" s="5"/>
      <c r="J59" s="5"/>
      <c r="M59" s="5"/>
      <c r="N59" s="5"/>
      <c r="P59" s="5"/>
    </row>
    <row r="60" spans="1:16" ht="13">
      <c r="A60" s="48"/>
      <c r="B60" s="50"/>
      <c r="C60" s="51"/>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1"/>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2A00-000000000000}"/>
    <hyperlink ref="B6" r:id="rId2" xr:uid="{00000000-0004-0000-2A00-000001000000}"/>
    <hyperlink ref="B7" r:id="rId3" xr:uid="{00000000-0004-0000-2A00-000002000000}"/>
    <hyperlink ref="B8" r:id="rId4" xr:uid="{00000000-0004-0000-2A00-000003000000}"/>
    <hyperlink ref="B9" r:id="rId5" xr:uid="{00000000-0004-0000-2A00-000004000000}"/>
    <hyperlink ref="B10" r:id="rId6" xr:uid="{00000000-0004-0000-2A00-000005000000}"/>
    <hyperlink ref="B11" r:id="rId7" xr:uid="{00000000-0004-0000-2A00-000006000000}"/>
    <hyperlink ref="B12" r:id="rId8" xr:uid="{00000000-0004-0000-2A00-000007000000}"/>
    <hyperlink ref="B13" r:id="rId9" xr:uid="{00000000-0004-0000-2A00-000008000000}"/>
    <hyperlink ref="B14" r:id="rId10" xr:uid="{00000000-0004-0000-2A00-000009000000}"/>
    <hyperlink ref="B15" r:id="rId11" xr:uid="{00000000-0004-0000-2A00-00000A000000}"/>
    <hyperlink ref="B16" r:id="rId12" xr:uid="{00000000-0004-0000-2A00-00000B000000}"/>
    <hyperlink ref="B17" r:id="rId13" xr:uid="{00000000-0004-0000-2A00-00000C000000}"/>
    <hyperlink ref="B18" r:id="rId14" xr:uid="{00000000-0004-0000-2A00-00000D000000}"/>
    <hyperlink ref="B19" r:id="rId15" xr:uid="{00000000-0004-0000-2A00-00000E000000}"/>
    <hyperlink ref="B20" r:id="rId16" xr:uid="{00000000-0004-0000-2A00-00000F000000}"/>
    <hyperlink ref="B21" r:id="rId17" xr:uid="{00000000-0004-0000-2A00-00001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2.5" customWidth="1"/>
    <col min="3" max="3" width="13.5" customWidth="1"/>
    <col min="4" max="4" width="14.83203125" customWidth="1"/>
    <col min="5" max="5" width="14.33203125" customWidth="1"/>
    <col min="11" max="11" width="13.83203125" customWidth="1"/>
  </cols>
  <sheetData>
    <row r="1" spans="1:23" ht="15.75" customHeight="1">
      <c r="A1" s="1" t="s">
        <v>3313</v>
      </c>
      <c r="B1" s="36"/>
      <c r="C1" s="46"/>
      <c r="D1" s="7" t="s">
        <v>181</v>
      </c>
      <c r="E1" s="5"/>
      <c r="F1" s="5"/>
      <c r="G1" s="5"/>
      <c r="K1" s="1"/>
      <c r="M1" s="5"/>
      <c r="N1" s="5"/>
      <c r="S1" s="1"/>
      <c r="U1" s="5"/>
    </row>
    <row r="2" spans="1:23" ht="15.75" customHeight="1">
      <c r="A2" s="7" t="s">
        <v>182</v>
      </c>
      <c r="B2" s="38">
        <v>39326</v>
      </c>
      <c r="C2" s="46"/>
      <c r="D2" s="39">
        <f>SUM(D5:G25)</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9">
        <v>43477</v>
      </c>
      <c r="B5" s="60" t="s">
        <v>3039</v>
      </c>
      <c r="C5" s="51" t="s">
        <v>208</v>
      </c>
      <c r="D5" s="51"/>
      <c r="E5" s="5"/>
      <c r="F5" s="5"/>
      <c r="G5" s="5"/>
      <c r="L5" s="43"/>
      <c r="M5" s="43"/>
      <c r="N5" s="42"/>
      <c r="O5" s="44"/>
      <c r="S5" s="42"/>
      <c r="T5" s="43"/>
      <c r="U5" s="43"/>
      <c r="V5" s="42"/>
      <c r="W5" s="44"/>
    </row>
    <row r="6" spans="1:23" ht="15.75" customHeight="1">
      <c r="A6" s="59">
        <v>43508</v>
      </c>
      <c r="B6" s="60" t="s">
        <v>3125</v>
      </c>
      <c r="C6" s="51" t="s">
        <v>208</v>
      </c>
      <c r="D6" s="51"/>
      <c r="E6" s="5"/>
      <c r="F6" s="5"/>
      <c r="G6" s="5"/>
      <c r="L6" s="50"/>
      <c r="M6" s="51"/>
      <c r="N6" s="5"/>
      <c r="S6" s="52"/>
      <c r="T6" s="50"/>
      <c r="U6" s="51"/>
    </row>
    <row r="7" spans="1:23" ht="15.75" customHeight="1">
      <c r="A7" s="59">
        <v>43536</v>
      </c>
      <c r="B7" s="60" t="s">
        <v>349</v>
      </c>
      <c r="C7" s="51" t="s">
        <v>208</v>
      </c>
      <c r="D7" s="51"/>
      <c r="E7" s="5"/>
      <c r="F7" s="5"/>
      <c r="G7" s="5"/>
      <c r="K7" s="52"/>
      <c r="L7" s="50"/>
      <c r="M7" s="51"/>
      <c r="N7" s="5"/>
      <c r="S7" s="52"/>
      <c r="T7" s="50"/>
      <c r="U7" s="51"/>
    </row>
    <row r="8" spans="1:23" ht="15.75" customHeight="1">
      <c r="A8" s="59">
        <v>43567</v>
      </c>
      <c r="B8" s="60" t="s">
        <v>3115</v>
      </c>
      <c r="C8" s="51" t="s">
        <v>208</v>
      </c>
      <c r="D8" s="51"/>
      <c r="E8" s="5"/>
      <c r="F8" s="5"/>
      <c r="G8" s="5"/>
      <c r="K8" s="52"/>
      <c r="L8" s="50"/>
      <c r="M8" s="51"/>
      <c r="N8" s="51"/>
      <c r="S8" s="52"/>
      <c r="T8" s="50"/>
      <c r="U8" s="51"/>
    </row>
    <row r="9" spans="1:23" ht="15.75" customHeight="1">
      <c r="A9" s="59">
        <v>43597</v>
      </c>
      <c r="B9" s="60" t="s">
        <v>3020</v>
      </c>
      <c r="C9" s="51" t="s">
        <v>208</v>
      </c>
      <c r="D9" s="51"/>
      <c r="E9" s="5"/>
      <c r="F9" s="5"/>
      <c r="G9" s="5"/>
      <c r="K9" s="52"/>
      <c r="L9" s="50"/>
      <c r="M9" s="51"/>
      <c r="N9" s="51"/>
      <c r="S9" s="52"/>
      <c r="T9" s="50"/>
      <c r="U9" s="51"/>
    </row>
    <row r="10" spans="1:23" ht="15.75" customHeight="1">
      <c r="A10" s="59">
        <v>43628</v>
      </c>
      <c r="B10" s="60" t="s">
        <v>3140</v>
      </c>
      <c r="C10" s="51" t="s">
        <v>208</v>
      </c>
      <c r="D10" s="51"/>
      <c r="E10" s="5"/>
      <c r="F10" s="5"/>
      <c r="G10" s="5"/>
      <c r="K10" s="52"/>
      <c r="L10" s="50"/>
      <c r="M10" s="51"/>
      <c r="N10" s="5"/>
      <c r="S10" s="52"/>
      <c r="T10" s="50"/>
      <c r="U10" s="51"/>
    </row>
    <row r="11" spans="1:23" ht="15.75" customHeight="1">
      <c r="A11" s="59">
        <v>43658</v>
      </c>
      <c r="B11" s="60" t="s">
        <v>343</v>
      </c>
      <c r="C11" s="51" t="s">
        <v>208</v>
      </c>
      <c r="D11" s="51"/>
      <c r="E11" s="5"/>
      <c r="F11" s="5"/>
      <c r="G11" s="5"/>
      <c r="K11" s="52"/>
      <c r="L11" s="50"/>
      <c r="M11" s="51"/>
      <c r="N11" s="51"/>
      <c r="S11" s="52"/>
      <c r="T11" s="50"/>
      <c r="U11" s="51"/>
    </row>
    <row r="12" spans="1:23" ht="15.75" customHeight="1">
      <c r="A12" s="59">
        <v>43689</v>
      </c>
      <c r="B12" s="60" t="s">
        <v>903</v>
      </c>
      <c r="C12" s="51" t="s">
        <v>208</v>
      </c>
      <c r="D12" s="51"/>
      <c r="E12" s="5"/>
      <c r="F12" s="5"/>
      <c r="G12" s="5"/>
      <c r="K12" s="52"/>
      <c r="L12" s="50"/>
      <c r="M12" s="51"/>
      <c r="N12" s="51"/>
      <c r="S12" s="52"/>
      <c r="T12" s="50"/>
      <c r="U12" s="51"/>
    </row>
    <row r="13" spans="1:23" ht="15.75" customHeight="1">
      <c r="A13" s="59">
        <v>43720</v>
      </c>
      <c r="B13" s="60" t="s">
        <v>3288</v>
      </c>
      <c r="C13" s="51" t="s">
        <v>206</v>
      </c>
      <c r="D13" s="51"/>
      <c r="E13" s="5"/>
      <c r="F13" s="5"/>
      <c r="G13" s="5"/>
      <c r="K13" s="52"/>
      <c r="L13" s="50"/>
      <c r="M13" s="51"/>
      <c r="N13" s="5"/>
      <c r="S13" s="52"/>
      <c r="T13" s="50"/>
      <c r="U13" s="51"/>
    </row>
    <row r="14" spans="1:23" ht="15.75" customHeight="1">
      <c r="A14" s="59">
        <v>43750</v>
      </c>
      <c r="B14" s="60" t="s">
        <v>390</v>
      </c>
      <c r="C14" s="51" t="s">
        <v>206</v>
      </c>
      <c r="D14" s="51"/>
      <c r="E14" s="5"/>
      <c r="F14" s="5"/>
      <c r="G14" s="5"/>
      <c r="K14" s="52"/>
      <c r="L14" s="50"/>
      <c r="M14" s="51"/>
      <c r="N14" s="51"/>
      <c r="S14" s="52"/>
      <c r="T14" s="50"/>
      <c r="U14" s="51"/>
    </row>
    <row r="15" spans="1:23" ht="15.75" customHeight="1">
      <c r="A15" s="59">
        <v>43781</v>
      </c>
      <c r="B15" s="60" t="s">
        <v>314</v>
      </c>
      <c r="C15" s="51" t="s">
        <v>206</v>
      </c>
      <c r="D15" s="51"/>
      <c r="E15" s="5"/>
      <c r="F15" s="5"/>
      <c r="G15" s="5"/>
      <c r="K15" s="52"/>
      <c r="L15" s="50"/>
      <c r="M15" s="51"/>
      <c r="N15" s="51"/>
      <c r="S15" s="52"/>
      <c r="T15" s="50"/>
      <c r="U15" s="51"/>
    </row>
    <row r="16" spans="1:23" ht="15.75" customHeight="1">
      <c r="A16" s="52">
        <v>43476</v>
      </c>
      <c r="B16" s="49" t="s">
        <v>380</v>
      </c>
      <c r="C16" s="51" t="s">
        <v>225</v>
      </c>
      <c r="D16" s="51"/>
      <c r="E16" s="5"/>
      <c r="F16" s="5"/>
      <c r="G16" s="5"/>
      <c r="K16" s="52"/>
      <c r="L16" s="50"/>
      <c r="M16" s="51"/>
      <c r="N16" s="51"/>
      <c r="S16" s="52"/>
      <c r="T16" s="50"/>
      <c r="U16" s="51"/>
    </row>
    <row r="17" spans="1:27" ht="15.75" customHeight="1">
      <c r="A17" s="52">
        <v>43507</v>
      </c>
      <c r="B17" s="49" t="s">
        <v>371</v>
      </c>
      <c r="C17" s="51" t="s">
        <v>225</v>
      </c>
      <c r="D17" s="51"/>
      <c r="E17" s="5"/>
      <c r="F17" s="5"/>
      <c r="G17" s="5"/>
      <c r="K17" s="52"/>
      <c r="L17" s="50"/>
      <c r="M17" s="51"/>
      <c r="N17" s="51"/>
      <c r="S17" s="52"/>
      <c r="T17" s="50"/>
      <c r="U17" s="51"/>
    </row>
    <row r="18" spans="1:27" ht="15.75" customHeight="1">
      <c r="A18" s="52">
        <v>43535</v>
      </c>
      <c r="B18" s="49" t="s">
        <v>3113</v>
      </c>
      <c r="C18" s="51" t="s">
        <v>225</v>
      </c>
      <c r="D18" s="51"/>
      <c r="E18" s="5"/>
      <c r="F18" s="5"/>
      <c r="G18" s="5"/>
      <c r="M18" s="5"/>
      <c r="N18" s="5"/>
      <c r="U18" s="5"/>
      <c r="AA18" s="5"/>
    </row>
    <row r="19" spans="1:27" ht="15.75" customHeight="1">
      <c r="A19" s="52">
        <v>43566</v>
      </c>
      <c r="B19" s="49" t="s">
        <v>267</v>
      </c>
      <c r="C19" s="51" t="s">
        <v>225</v>
      </c>
      <c r="D19" s="51"/>
      <c r="E19" s="5"/>
      <c r="F19" s="5"/>
      <c r="G19" s="5"/>
      <c r="K19" s="1"/>
      <c r="M19" s="5"/>
      <c r="N19" s="5"/>
      <c r="U19" s="5"/>
      <c r="AA19" s="5"/>
    </row>
    <row r="20" spans="1:27" ht="15.75" customHeight="1">
      <c r="A20" s="52">
        <v>43596</v>
      </c>
      <c r="B20" s="49" t="s">
        <v>284</v>
      </c>
      <c r="C20" s="51" t="s">
        <v>225</v>
      </c>
      <c r="D20" s="51"/>
      <c r="E20" s="5"/>
      <c r="F20" s="5"/>
      <c r="G20" s="5"/>
      <c r="L20" s="40"/>
      <c r="M20" s="5"/>
      <c r="N20" s="5"/>
      <c r="AA20" s="5"/>
    </row>
    <row r="21" spans="1:27" ht="15.75" customHeight="1">
      <c r="A21" s="52">
        <v>43627</v>
      </c>
      <c r="B21" s="49" t="s">
        <v>3141</v>
      </c>
      <c r="C21" s="51" t="s">
        <v>225</v>
      </c>
      <c r="D21" s="51"/>
      <c r="E21" s="5"/>
      <c r="F21" s="5"/>
      <c r="G21" s="5"/>
      <c r="M21" s="5"/>
      <c r="N21" s="5"/>
      <c r="AA21" s="5"/>
    </row>
    <row r="22" spans="1:27" ht="15.75" customHeight="1">
      <c r="A22" s="52">
        <v>43657</v>
      </c>
      <c r="B22" s="49" t="s">
        <v>3148</v>
      </c>
      <c r="C22" s="51" t="s">
        <v>225</v>
      </c>
      <c r="D22" s="51"/>
      <c r="E22" s="5"/>
      <c r="F22" s="5"/>
      <c r="G22" s="5"/>
      <c r="K22" s="42"/>
      <c r="L22" s="45"/>
      <c r="M22" s="46"/>
      <c r="N22" s="47"/>
      <c r="AA22" s="5"/>
    </row>
    <row r="23" spans="1:27" ht="15.75" customHeight="1">
      <c r="A23" s="52">
        <v>43688</v>
      </c>
      <c r="B23" s="49" t="s">
        <v>390</v>
      </c>
      <c r="C23" s="51" t="s">
        <v>206</v>
      </c>
      <c r="D23" s="51"/>
      <c r="E23" s="5"/>
      <c r="F23" s="5"/>
      <c r="G23" s="5"/>
      <c r="K23" s="42"/>
      <c r="L23" s="43"/>
      <c r="M23" s="43"/>
      <c r="N23" s="42"/>
      <c r="O23" s="44"/>
      <c r="AA23" s="5"/>
    </row>
    <row r="24" spans="1:27" ht="15.75" customHeight="1">
      <c r="A24" s="52">
        <v>43719</v>
      </c>
      <c r="B24" s="49" t="s">
        <v>314</v>
      </c>
      <c r="C24" s="51" t="s">
        <v>206</v>
      </c>
      <c r="D24" s="51"/>
      <c r="E24" s="5"/>
      <c r="F24" s="5"/>
      <c r="G24" s="5"/>
      <c r="K24" s="52"/>
      <c r="L24" s="50"/>
      <c r="M24" s="51"/>
      <c r="N24" s="5"/>
      <c r="AA24" s="5"/>
    </row>
    <row r="25" spans="1:27" ht="15.75" customHeight="1">
      <c r="A25" s="52">
        <v>43749</v>
      </c>
      <c r="B25" s="49" t="s">
        <v>3296</v>
      </c>
      <c r="C25" s="51" t="s">
        <v>206</v>
      </c>
      <c r="D25" s="51"/>
      <c r="E25" s="5"/>
      <c r="F25" s="5"/>
      <c r="G25" s="5"/>
      <c r="K25" s="52"/>
      <c r="L25" s="50"/>
      <c r="M25" s="51"/>
      <c r="N25" s="5"/>
      <c r="AA25" s="5"/>
    </row>
    <row r="26" spans="1:27" ht="15.75" customHeight="1">
      <c r="C26" s="51"/>
      <c r="D26" s="51"/>
      <c r="E26" s="5"/>
      <c r="F26" s="5"/>
      <c r="G26" s="5"/>
      <c r="K26" s="52"/>
      <c r="L26" s="50"/>
      <c r="M26" s="51"/>
      <c r="N26" s="51"/>
      <c r="AA26" s="5"/>
    </row>
    <row r="27" spans="1:27" ht="15.75" customHeight="1">
      <c r="A27" s="52"/>
      <c r="B27" s="50"/>
      <c r="C27" s="51"/>
      <c r="D27" s="51"/>
      <c r="E27" s="5"/>
      <c r="F27" s="51"/>
      <c r="G27" s="5"/>
      <c r="K27" s="52"/>
      <c r="L27" s="50"/>
      <c r="M27" s="51"/>
      <c r="N27" s="51"/>
      <c r="AA27" s="5"/>
    </row>
    <row r="28" spans="1:27" ht="15.75" customHeight="1">
      <c r="A28" s="48"/>
      <c r="B28" s="50"/>
      <c r="C28" s="51"/>
      <c r="D28" s="54"/>
      <c r="E28" s="5"/>
      <c r="F28" s="5"/>
      <c r="G28" s="5"/>
      <c r="J28" s="5"/>
      <c r="K28" s="52"/>
      <c r="L28" s="50"/>
      <c r="M28" s="51"/>
      <c r="N28" s="5"/>
      <c r="P28" s="5"/>
    </row>
    <row r="29" spans="1:27" ht="15.75" customHeight="1">
      <c r="A29" s="48"/>
      <c r="B29" s="50"/>
      <c r="C29" s="51"/>
      <c r="D29" s="54"/>
      <c r="E29" s="5"/>
      <c r="F29" s="5"/>
      <c r="G29" s="5"/>
      <c r="J29" s="5"/>
      <c r="K29" s="52"/>
      <c r="L29" s="50"/>
      <c r="M29" s="51"/>
      <c r="N29" s="51"/>
      <c r="P29" s="5"/>
    </row>
    <row r="30" spans="1:27" ht="15.75" customHeight="1">
      <c r="A30" s="48"/>
      <c r="B30" s="50"/>
      <c r="C30" s="51"/>
      <c r="D30" s="54"/>
      <c r="E30" s="5"/>
      <c r="F30" s="5"/>
      <c r="G30" s="5"/>
      <c r="J30" s="5"/>
      <c r="K30" s="52"/>
      <c r="L30" s="50"/>
      <c r="M30" s="51"/>
      <c r="N30" s="5"/>
      <c r="P30" s="5"/>
    </row>
    <row r="31" spans="1:27" ht="15.75" customHeight="1">
      <c r="A31" s="48"/>
      <c r="B31" s="50"/>
      <c r="C31" s="51"/>
      <c r="D31" s="54"/>
      <c r="E31" s="5"/>
      <c r="F31" s="5"/>
      <c r="G31" s="5"/>
      <c r="J31" s="5"/>
      <c r="K31" s="52"/>
      <c r="L31" s="50"/>
      <c r="M31" s="51"/>
      <c r="N31" s="51"/>
      <c r="P31" s="5"/>
    </row>
    <row r="32" spans="1:27" ht="15.75" customHeight="1">
      <c r="A32" s="48"/>
      <c r="B32" s="50"/>
      <c r="C32" s="51"/>
      <c r="D32" s="54"/>
      <c r="E32" s="5"/>
      <c r="F32" s="5"/>
      <c r="G32" s="5"/>
      <c r="J32" s="5"/>
      <c r="K32" s="52"/>
      <c r="L32" s="50"/>
      <c r="M32" s="51"/>
      <c r="N32" s="5"/>
      <c r="P32" s="5"/>
    </row>
    <row r="33" spans="1:16" ht="15.75" customHeight="1">
      <c r="A33" s="48"/>
      <c r="B33" s="50"/>
      <c r="C33" s="51"/>
      <c r="D33" s="54"/>
      <c r="E33" s="5"/>
      <c r="F33" s="5"/>
      <c r="G33" s="5"/>
      <c r="J33" s="5"/>
      <c r="K33" s="52"/>
      <c r="L33" s="50"/>
      <c r="M33" s="51"/>
      <c r="N33" s="5"/>
      <c r="P33" s="5"/>
    </row>
    <row r="34" spans="1:16" ht="15.75" customHeight="1">
      <c r="A34" s="48"/>
      <c r="B34" s="50"/>
      <c r="C34" s="51"/>
      <c r="D34" s="54"/>
      <c r="E34" s="5"/>
      <c r="F34" s="5"/>
      <c r="G34" s="5"/>
      <c r="J34" s="5"/>
      <c r="K34" s="52"/>
      <c r="L34" s="50"/>
      <c r="M34" s="51"/>
      <c r="N34" s="5"/>
      <c r="P34" s="5"/>
    </row>
    <row r="35" spans="1:16" ht="15.75" customHeight="1">
      <c r="A35" s="48"/>
      <c r="B35" s="50"/>
      <c r="C35" s="51"/>
      <c r="D35" s="54"/>
      <c r="E35" s="5"/>
      <c r="F35" s="5"/>
      <c r="G35" s="5"/>
      <c r="J35" s="5"/>
      <c r="K35" s="52"/>
      <c r="L35" s="50"/>
      <c r="M35" s="51"/>
      <c r="N35" s="51"/>
      <c r="P35" s="5"/>
    </row>
    <row r="36" spans="1:16" ht="15.75" customHeight="1">
      <c r="A36" s="48"/>
      <c r="B36" s="50"/>
      <c r="C36" s="51"/>
      <c r="D36" s="54"/>
      <c r="E36" s="5"/>
      <c r="F36" s="5"/>
      <c r="G36" s="5"/>
      <c r="J36" s="5"/>
      <c r="M36" s="5"/>
      <c r="N36" s="5"/>
      <c r="P36" s="5"/>
    </row>
    <row r="37" spans="1:16" ht="15.75" customHeight="1">
      <c r="A37" s="48"/>
      <c r="B37" s="50"/>
      <c r="C37" s="51"/>
      <c r="D37" s="54"/>
      <c r="E37" s="5"/>
      <c r="F37" s="5"/>
      <c r="G37" s="5"/>
      <c r="J37" s="5"/>
      <c r="M37" s="5"/>
      <c r="N37" s="5"/>
    </row>
    <row r="38" spans="1:16" ht="15.75" customHeight="1">
      <c r="A38" s="48"/>
      <c r="B38" s="50"/>
      <c r="C38" s="51"/>
      <c r="D38" s="54"/>
      <c r="E38" s="5"/>
      <c r="F38" s="5"/>
      <c r="G38" s="5"/>
      <c r="J38" s="5"/>
      <c r="M38" s="51"/>
      <c r="N38" s="51"/>
    </row>
    <row r="39" spans="1:16" ht="15.75" customHeight="1">
      <c r="A39" s="48"/>
      <c r="B39" s="50"/>
      <c r="C39" s="51"/>
      <c r="D39" s="54"/>
      <c r="E39" s="5"/>
      <c r="F39" s="5"/>
      <c r="G39" s="5"/>
      <c r="J39" s="5"/>
      <c r="M39" s="51"/>
      <c r="N39" s="51"/>
    </row>
    <row r="40" spans="1:16" ht="15.75" customHeight="1">
      <c r="A40" s="48"/>
      <c r="B40" s="50"/>
      <c r="C40" s="51"/>
      <c r="D40" s="54"/>
      <c r="E40" s="5"/>
      <c r="F40" s="5"/>
      <c r="G40" s="5"/>
      <c r="J40" s="5"/>
      <c r="M40" s="51"/>
      <c r="N40" s="51"/>
    </row>
    <row r="41" spans="1:16" ht="15.75" customHeight="1">
      <c r="A41" s="48"/>
      <c r="B41" s="50"/>
      <c r="C41" s="51"/>
      <c r="D41" s="54"/>
      <c r="E41" s="5"/>
      <c r="F41" s="5"/>
      <c r="G41" s="5"/>
      <c r="J41" s="5"/>
      <c r="M41" s="51"/>
      <c r="N41" s="51"/>
    </row>
    <row r="42" spans="1:16" ht="15.75" customHeight="1">
      <c r="A42" s="48"/>
      <c r="B42" s="50"/>
      <c r="C42" s="51"/>
      <c r="D42" s="54"/>
      <c r="E42" s="5"/>
      <c r="F42" s="5"/>
      <c r="G42" s="5"/>
      <c r="J42" s="5"/>
      <c r="M42" s="51"/>
      <c r="N42" s="51"/>
    </row>
    <row r="43" spans="1:16" ht="15.75" customHeight="1">
      <c r="A43" s="48"/>
      <c r="B43" s="50"/>
      <c r="C43" s="51"/>
      <c r="D43" s="54"/>
      <c r="E43" s="5"/>
      <c r="F43" s="5"/>
      <c r="G43" s="5"/>
      <c r="J43" s="5"/>
      <c r="M43" s="51"/>
      <c r="N43" s="51"/>
    </row>
    <row r="44" spans="1:16" ht="15.75" customHeight="1">
      <c r="A44" s="48"/>
      <c r="B44" s="50"/>
      <c r="C44" s="51"/>
      <c r="D44" s="54"/>
      <c r="E44" s="5"/>
      <c r="F44" s="5"/>
      <c r="G44" s="5"/>
      <c r="J44" s="5"/>
      <c r="M44" s="51"/>
      <c r="N44" s="51"/>
    </row>
    <row r="45" spans="1:16" ht="15.75" customHeight="1">
      <c r="A45" s="48"/>
      <c r="B45" s="50"/>
      <c r="C45" s="51"/>
      <c r="D45" s="54"/>
      <c r="E45" s="5"/>
      <c r="F45" s="5"/>
      <c r="G45" s="5"/>
      <c r="J45" s="5"/>
      <c r="M45" s="51"/>
      <c r="N45" s="51"/>
      <c r="P45" s="5"/>
    </row>
    <row r="46" spans="1:16" ht="15.75" customHeight="1">
      <c r="A46" s="48"/>
      <c r="B46" s="50"/>
      <c r="C46" s="51"/>
      <c r="D46" s="54"/>
      <c r="E46" s="5"/>
      <c r="F46" s="5"/>
      <c r="G46" s="5"/>
      <c r="J46" s="5"/>
      <c r="M46" s="51"/>
      <c r="N46" s="51"/>
      <c r="P46" s="5"/>
    </row>
    <row r="47" spans="1:16" ht="15.75" customHeight="1">
      <c r="A47" s="48"/>
      <c r="B47" s="50"/>
      <c r="C47" s="51"/>
      <c r="D47" s="54"/>
      <c r="E47" s="5"/>
      <c r="F47" s="5"/>
      <c r="G47" s="5"/>
      <c r="J47" s="5"/>
      <c r="M47" s="5"/>
      <c r="N47" s="5"/>
      <c r="P47" s="5"/>
    </row>
    <row r="48" spans="1:16" ht="15.75" customHeight="1">
      <c r="A48" s="48"/>
      <c r="B48" s="50"/>
      <c r="C48" s="51"/>
      <c r="D48" s="54"/>
      <c r="E48" s="5"/>
      <c r="F48" s="5"/>
      <c r="G48" s="5"/>
      <c r="J48" s="5"/>
      <c r="M48" s="5"/>
      <c r="N48" s="5"/>
      <c r="P48" s="5"/>
    </row>
    <row r="49" spans="1:16" ht="15.75" customHeight="1">
      <c r="A49" s="48"/>
      <c r="B49" s="50"/>
      <c r="C49" s="51"/>
      <c r="D49" s="54"/>
      <c r="E49" s="5"/>
      <c r="F49" s="5"/>
      <c r="G49" s="5"/>
      <c r="J49" s="5"/>
      <c r="M49" s="5"/>
      <c r="N49" s="5"/>
      <c r="P49" s="5"/>
    </row>
    <row r="50" spans="1:16" ht="15.75" customHeight="1">
      <c r="A50" s="48"/>
      <c r="B50" s="50"/>
      <c r="C50" s="51"/>
      <c r="D50" s="54"/>
      <c r="E50" s="5"/>
      <c r="F50" s="5"/>
      <c r="G50" s="5"/>
      <c r="J50" s="5"/>
      <c r="M50" s="5"/>
      <c r="N50" s="5"/>
      <c r="P50" s="5"/>
    </row>
    <row r="51" spans="1:16" ht="15.75" customHeight="1">
      <c r="A51" s="48"/>
      <c r="B51" s="50"/>
      <c r="C51" s="51"/>
      <c r="D51" s="54"/>
      <c r="E51" s="5"/>
      <c r="F51" s="5"/>
      <c r="G51" s="5"/>
      <c r="J51" s="5"/>
      <c r="M51" s="5"/>
      <c r="N51" s="5"/>
      <c r="P51" s="5"/>
    </row>
    <row r="52" spans="1:16" ht="15.75" customHeight="1">
      <c r="A52" s="48"/>
      <c r="B52" s="50"/>
      <c r="C52" s="51"/>
      <c r="D52" s="54"/>
      <c r="E52" s="5"/>
      <c r="F52" s="5"/>
      <c r="G52" s="5"/>
      <c r="J52" s="5"/>
      <c r="M52" s="5"/>
      <c r="N52" s="5"/>
      <c r="P52" s="5"/>
    </row>
    <row r="53" spans="1:16" ht="13">
      <c r="A53" s="48"/>
      <c r="B53" s="50"/>
      <c r="C53" s="51"/>
      <c r="D53" s="54"/>
      <c r="E53" s="5"/>
      <c r="F53" s="5"/>
      <c r="G53" s="5"/>
      <c r="J53" s="5"/>
      <c r="M53" s="5"/>
      <c r="N53" s="5"/>
      <c r="P53" s="5"/>
    </row>
    <row r="54" spans="1:16" ht="13">
      <c r="A54" s="48"/>
      <c r="B54" s="50"/>
      <c r="C54" s="51"/>
      <c r="D54" s="54"/>
      <c r="E54" s="5"/>
      <c r="F54" s="5"/>
      <c r="G54" s="5"/>
      <c r="J54" s="5"/>
      <c r="M54" s="5"/>
      <c r="N54" s="5"/>
      <c r="P54" s="5"/>
    </row>
    <row r="55" spans="1:16" ht="13">
      <c r="A55" s="48"/>
      <c r="B55" s="50"/>
      <c r="C55" s="51"/>
      <c r="D55" s="54"/>
      <c r="E55" s="5"/>
      <c r="F55" s="5"/>
      <c r="G55" s="5"/>
      <c r="J55" s="5"/>
      <c r="M55" s="5"/>
      <c r="N55" s="5"/>
      <c r="P55" s="5"/>
    </row>
    <row r="56" spans="1:16" ht="13">
      <c r="A56" s="48"/>
      <c r="B56" s="50"/>
      <c r="C56" s="51"/>
      <c r="D56" s="54"/>
      <c r="E56" s="5"/>
      <c r="F56" s="5"/>
      <c r="G56" s="5"/>
      <c r="J56" s="5"/>
      <c r="M56" s="5"/>
      <c r="N56" s="5"/>
      <c r="P56" s="5"/>
    </row>
    <row r="57" spans="1:16" ht="13">
      <c r="A57" s="48"/>
      <c r="B57" s="50"/>
      <c r="C57" s="51"/>
      <c r="D57" s="54"/>
      <c r="E57" s="5"/>
      <c r="F57" s="5"/>
      <c r="G57" s="5"/>
      <c r="J57" s="5"/>
      <c r="M57" s="5"/>
      <c r="N57" s="5"/>
      <c r="P57" s="5"/>
    </row>
    <row r="58" spans="1:16" ht="13">
      <c r="A58" s="48"/>
      <c r="B58" s="50"/>
      <c r="C58" s="51"/>
      <c r="D58" s="54"/>
      <c r="E58" s="5"/>
      <c r="F58" s="5"/>
      <c r="G58" s="5"/>
      <c r="J58" s="5"/>
      <c r="M58" s="5"/>
      <c r="N58" s="5"/>
      <c r="P58" s="5"/>
    </row>
    <row r="59" spans="1:16" ht="13">
      <c r="A59" s="48"/>
      <c r="B59" s="50"/>
      <c r="C59" s="51"/>
      <c r="D59" s="54"/>
      <c r="E59" s="5"/>
      <c r="F59" s="5"/>
      <c r="G59" s="5"/>
      <c r="J59" s="5"/>
      <c r="M59" s="5"/>
      <c r="N59" s="5"/>
      <c r="P59" s="5"/>
    </row>
    <row r="60" spans="1:16" ht="13">
      <c r="A60" s="48"/>
      <c r="B60" s="50"/>
      <c r="C60" s="51"/>
      <c r="D60" s="54"/>
      <c r="E60" s="5"/>
      <c r="F60" s="5"/>
      <c r="G60" s="5"/>
      <c r="J60" s="5"/>
      <c r="M60" s="5"/>
      <c r="N60" s="5"/>
      <c r="P60" s="5"/>
    </row>
    <row r="61" spans="1:16" ht="13">
      <c r="A61" s="48"/>
      <c r="B61" s="50"/>
      <c r="C61" s="51"/>
      <c r="D61" s="54"/>
      <c r="E61" s="5"/>
      <c r="F61" s="5"/>
      <c r="G61" s="5"/>
      <c r="J61" s="5"/>
      <c r="M61" s="5"/>
      <c r="N61" s="5"/>
      <c r="P61" s="5"/>
    </row>
    <row r="62" spans="1:16" ht="13">
      <c r="A62" s="48"/>
      <c r="B62" s="50"/>
      <c r="C62" s="51"/>
      <c r="D62" s="54"/>
      <c r="E62" s="5"/>
      <c r="F62" s="5"/>
      <c r="G62" s="5"/>
      <c r="J62" s="5"/>
      <c r="M62" s="5"/>
      <c r="N62" s="5"/>
      <c r="P62" s="5"/>
    </row>
    <row r="63" spans="1:16" ht="13">
      <c r="A63" s="48"/>
      <c r="B63" s="50"/>
      <c r="C63" s="51"/>
      <c r="D63" s="54"/>
      <c r="E63" s="5"/>
      <c r="F63" s="5"/>
      <c r="G63" s="5"/>
      <c r="J63" s="5"/>
      <c r="M63" s="5"/>
      <c r="N63" s="5"/>
      <c r="P63" s="5"/>
    </row>
    <row r="64" spans="1:16" ht="13">
      <c r="A64" s="48"/>
      <c r="B64" s="50"/>
      <c r="C64" s="51"/>
      <c r="D64" s="54"/>
      <c r="E64" s="5"/>
      <c r="F64" s="5"/>
      <c r="G64" s="5"/>
      <c r="J64" s="5"/>
      <c r="M64" s="5"/>
      <c r="N64" s="5"/>
      <c r="P64" s="5"/>
    </row>
    <row r="65" spans="1:16" ht="13">
      <c r="A65" s="48"/>
      <c r="B65" s="50"/>
      <c r="C65" s="51"/>
      <c r="D65" s="54"/>
      <c r="E65" s="5"/>
      <c r="F65" s="5"/>
      <c r="G65" s="5"/>
      <c r="J65" s="5"/>
      <c r="M65" s="5"/>
      <c r="N65" s="5"/>
      <c r="P65" s="5"/>
    </row>
    <row r="66" spans="1:16" ht="13">
      <c r="A66" s="48"/>
      <c r="B66" s="50"/>
      <c r="C66" s="51"/>
      <c r="D66" s="54"/>
      <c r="E66" s="5"/>
      <c r="F66" s="5"/>
      <c r="G66" s="5"/>
      <c r="J66" s="5"/>
      <c r="M66" s="5"/>
      <c r="N66" s="5"/>
      <c r="P66" s="5"/>
    </row>
    <row r="67" spans="1:16" ht="13">
      <c r="A67" s="48"/>
      <c r="B67" s="50"/>
      <c r="C67" s="51"/>
      <c r="D67" s="54"/>
      <c r="E67" s="5"/>
      <c r="F67" s="5"/>
      <c r="G67" s="5"/>
      <c r="J67" s="5"/>
      <c r="M67" s="5"/>
      <c r="N67" s="5"/>
      <c r="P67" s="5"/>
    </row>
    <row r="68" spans="1:16" ht="13">
      <c r="A68" s="48"/>
      <c r="B68" s="50"/>
      <c r="C68" s="51"/>
      <c r="D68" s="54"/>
      <c r="E68" s="5"/>
      <c r="F68" s="5"/>
      <c r="G68" s="5"/>
      <c r="J68" s="5"/>
      <c r="M68" s="5"/>
      <c r="N68" s="5"/>
      <c r="P68" s="5"/>
    </row>
    <row r="69" spans="1:16" ht="13">
      <c r="A69" s="48"/>
      <c r="B69" s="50"/>
      <c r="C69" s="51"/>
      <c r="D69" s="54"/>
      <c r="E69" s="5"/>
      <c r="F69" s="5"/>
      <c r="G69" s="5"/>
      <c r="J69" s="5"/>
      <c r="M69" s="5"/>
      <c r="N69" s="5"/>
      <c r="P69" s="5"/>
    </row>
    <row r="70" spans="1:16" ht="13">
      <c r="A70" s="48"/>
      <c r="B70" s="50"/>
      <c r="C70" s="51"/>
      <c r="D70" s="54"/>
      <c r="E70" s="5"/>
      <c r="F70" s="5"/>
      <c r="G70" s="5"/>
      <c r="J70" s="5"/>
      <c r="M70" s="5"/>
      <c r="N70" s="5"/>
      <c r="P70" s="5"/>
    </row>
    <row r="71" spans="1:16" ht="13">
      <c r="A71" s="48"/>
      <c r="B71" s="50"/>
      <c r="C71" s="51"/>
      <c r="D71" s="5"/>
      <c r="J71" s="5"/>
      <c r="M71" s="5"/>
      <c r="N71" s="5"/>
      <c r="P71" s="5"/>
    </row>
    <row r="72" spans="1:16" ht="13">
      <c r="A72" s="48"/>
      <c r="B72" s="50"/>
      <c r="C72" s="51"/>
      <c r="D72" s="54"/>
      <c r="E72" s="5"/>
      <c r="F72" s="5"/>
      <c r="G72" s="5"/>
      <c r="J72" s="5"/>
      <c r="M72" s="5"/>
      <c r="N72" s="5"/>
      <c r="P72" s="5"/>
    </row>
    <row r="73" spans="1:16" ht="13">
      <c r="A73" s="48"/>
      <c r="B73" s="50"/>
      <c r="C73" s="51"/>
      <c r="D73" s="54"/>
      <c r="E73" s="5"/>
      <c r="F73" s="5"/>
      <c r="G73" s="5"/>
      <c r="J73" s="5"/>
      <c r="M73" s="5"/>
      <c r="N73" s="5"/>
      <c r="P73" s="5"/>
    </row>
    <row r="74" spans="1:16" ht="13">
      <c r="A74" s="48"/>
      <c r="B74" s="50"/>
      <c r="C74" s="51"/>
      <c r="D74" s="54"/>
      <c r="E74" s="5"/>
      <c r="F74" s="5"/>
      <c r="G74" s="5"/>
      <c r="J74" s="5"/>
      <c r="M74" s="5"/>
      <c r="N74" s="5"/>
      <c r="P74" s="5"/>
    </row>
    <row r="75" spans="1:16" ht="13">
      <c r="A75" s="48"/>
      <c r="B75" s="50"/>
      <c r="C75" s="51"/>
      <c r="D75" s="54"/>
      <c r="E75" s="5"/>
      <c r="F75" s="5"/>
      <c r="G75" s="5"/>
      <c r="J75" s="5"/>
      <c r="M75" s="5"/>
      <c r="N75" s="5"/>
      <c r="P75" s="5"/>
    </row>
    <row r="76" spans="1:16" ht="13">
      <c r="A76" s="48"/>
      <c r="B76" s="50"/>
      <c r="C76" s="51"/>
      <c r="D76" s="54"/>
      <c r="E76" s="5"/>
      <c r="F76" s="5"/>
      <c r="G76" s="5"/>
      <c r="J76" s="5"/>
      <c r="M76" s="5"/>
      <c r="N76" s="5"/>
      <c r="P76" s="5"/>
    </row>
    <row r="77" spans="1:16" ht="13">
      <c r="A77" s="48"/>
      <c r="B77" s="50"/>
      <c r="C77" s="51"/>
      <c r="D77" s="54"/>
      <c r="E77" s="5"/>
      <c r="F77" s="5"/>
      <c r="G77" s="5"/>
      <c r="J77" s="5"/>
      <c r="M77" s="5"/>
      <c r="N77" s="5"/>
      <c r="P77" s="5"/>
    </row>
    <row r="78" spans="1:16" ht="13">
      <c r="A78" s="48"/>
      <c r="B78" s="50"/>
      <c r="C78" s="51"/>
      <c r="D78" s="54"/>
      <c r="E78" s="5"/>
      <c r="F78" s="5"/>
      <c r="G78" s="5"/>
      <c r="J78" s="5"/>
      <c r="M78" s="5"/>
      <c r="N78" s="5"/>
      <c r="P78" s="5"/>
    </row>
    <row r="79" spans="1:16" ht="13">
      <c r="A79" s="48"/>
      <c r="B79" s="50"/>
      <c r="C79" s="51"/>
      <c r="D79" s="54"/>
      <c r="E79" s="5"/>
      <c r="F79" s="5"/>
      <c r="G79" s="5"/>
      <c r="J79" s="5"/>
      <c r="M79" s="5"/>
      <c r="N79" s="5"/>
      <c r="P79" s="5"/>
    </row>
    <row r="80" spans="1:16" ht="13">
      <c r="A80" s="48"/>
      <c r="B80" s="50"/>
      <c r="C80" s="51"/>
      <c r="D80" s="54"/>
      <c r="E80" s="5"/>
      <c r="F80" s="5"/>
      <c r="G80" s="5"/>
      <c r="J80" s="5"/>
      <c r="M80" s="5"/>
      <c r="N80" s="5"/>
      <c r="P80" s="5"/>
    </row>
    <row r="81" spans="1:16" ht="13">
      <c r="A81" s="48"/>
      <c r="B81" s="50"/>
      <c r="C81" s="51"/>
      <c r="D81" s="54"/>
      <c r="E81" s="5"/>
      <c r="F81" s="5"/>
      <c r="G81" s="5"/>
      <c r="J81" s="5"/>
      <c r="M81" s="5"/>
      <c r="N81" s="5"/>
      <c r="P81" s="5"/>
    </row>
    <row r="82" spans="1:16" ht="13">
      <c r="A82" s="48"/>
      <c r="B82" s="50"/>
      <c r="C82" s="51"/>
      <c r="D82" s="54"/>
      <c r="E82" s="5"/>
      <c r="F82" s="5"/>
      <c r="G82" s="5"/>
      <c r="J82" s="5"/>
      <c r="M82" s="5"/>
      <c r="N82" s="5"/>
      <c r="P82" s="5"/>
    </row>
    <row r="83" spans="1:16" ht="13">
      <c r="A83" s="48"/>
      <c r="B83" s="50"/>
      <c r="C83" s="51"/>
      <c r="D83" s="54"/>
      <c r="E83" s="5"/>
      <c r="F83" s="5"/>
      <c r="G83" s="5"/>
      <c r="J83" s="5"/>
      <c r="M83" s="5"/>
      <c r="N83" s="5"/>
      <c r="P83" s="5"/>
    </row>
    <row r="84" spans="1:16" ht="13">
      <c r="A84" s="48"/>
      <c r="B84" s="50"/>
      <c r="C84" s="51"/>
      <c r="D84" s="54"/>
      <c r="E84" s="5"/>
      <c r="F84" s="5"/>
      <c r="G84" s="5"/>
      <c r="J84" s="5"/>
      <c r="M84" s="5"/>
      <c r="N84" s="5"/>
      <c r="P84" s="5"/>
    </row>
    <row r="85" spans="1:16" ht="13">
      <c r="A85" s="48"/>
      <c r="B85" s="50"/>
      <c r="C85" s="51"/>
      <c r="D85" s="54"/>
      <c r="E85" s="5"/>
      <c r="F85" s="5"/>
      <c r="G85" s="5"/>
      <c r="J85" s="5"/>
      <c r="M85" s="5"/>
      <c r="N85" s="5"/>
      <c r="P85" s="5"/>
    </row>
    <row r="86" spans="1:16" ht="13">
      <c r="A86" s="48"/>
      <c r="B86" s="50"/>
      <c r="C86" s="51"/>
      <c r="D86" s="54"/>
      <c r="E86" s="5"/>
      <c r="F86" s="5"/>
      <c r="G86" s="5"/>
      <c r="J86" s="5"/>
      <c r="M86" s="5"/>
      <c r="N86" s="5"/>
      <c r="P86" s="5"/>
    </row>
    <row r="87" spans="1:16" ht="13">
      <c r="A87" s="48"/>
      <c r="B87" s="50"/>
      <c r="C87" s="51"/>
      <c r="D87" s="54"/>
      <c r="E87" s="5"/>
      <c r="F87" s="5"/>
      <c r="G87" s="5"/>
      <c r="J87" s="5"/>
      <c r="M87" s="5"/>
      <c r="N87" s="5"/>
      <c r="P87" s="5"/>
    </row>
    <row r="88" spans="1:16" ht="13">
      <c r="A88" s="48"/>
      <c r="B88" s="50"/>
      <c r="C88" s="51"/>
      <c r="D88" s="54"/>
      <c r="E88" s="5"/>
      <c r="F88" s="5"/>
      <c r="G88" s="5"/>
      <c r="J88" s="5"/>
      <c r="M88" s="5"/>
      <c r="N88" s="5"/>
      <c r="P88" s="5"/>
    </row>
    <row r="89" spans="1:16" ht="13">
      <c r="A89" s="48"/>
      <c r="B89" s="50"/>
      <c r="C89" s="51"/>
      <c r="D89" s="54"/>
      <c r="E89" s="5"/>
      <c r="F89" s="5"/>
      <c r="G89" s="5"/>
      <c r="J89" s="5"/>
      <c r="M89" s="5"/>
      <c r="N89" s="5"/>
      <c r="P89" s="5"/>
    </row>
    <row r="90" spans="1:16" ht="13">
      <c r="A90" s="48"/>
      <c r="B90" s="50"/>
      <c r="C90" s="51"/>
      <c r="D90" s="54"/>
      <c r="E90" s="5"/>
      <c r="F90" s="5"/>
      <c r="G90" s="5"/>
      <c r="J90" s="5"/>
      <c r="M90" s="5"/>
      <c r="N90" s="5"/>
      <c r="P90" s="5"/>
    </row>
    <row r="91" spans="1:16" ht="13">
      <c r="A91" s="48"/>
      <c r="B91" s="50"/>
      <c r="C91" s="51"/>
      <c r="D91" s="54"/>
      <c r="E91" s="5"/>
      <c r="F91" s="5"/>
      <c r="G91" s="5"/>
      <c r="J91" s="5"/>
      <c r="M91" s="5"/>
      <c r="N91" s="5"/>
      <c r="P91" s="5"/>
    </row>
    <row r="92" spans="1:16" ht="13">
      <c r="A92" s="48"/>
      <c r="B92" s="50"/>
      <c r="C92" s="51"/>
      <c r="D92" s="54"/>
      <c r="E92" s="5"/>
      <c r="F92" s="5"/>
      <c r="G92" s="5"/>
      <c r="J92" s="5"/>
      <c r="M92" s="5"/>
      <c r="N92" s="5"/>
      <c r="P92" s="5"/>
    </row>
    <row r="93" spans="1:16" ht="13">
      <c r="A93" s="48"/>
      <c r="B93" s="50"/>
      <c r="C93" s="51"/>
      <c r="D93" s="54"/>
      <c r="E93" s="5"/>
      <c r="F93" s="5"/>
      <c r="G93" s="5"/>
      <c r="J93" s="5"/>
      <c r="M93" s="5"/>
      <c r="N93" s="5"/>
      <c r="P93" s="5"/>
    </row>
    <row r="94" spans="1:16" ht="13">
      <c r="A94" s="48"/>
      <c r="B94" s="50"/>
      <c r="C94" s="51"/>
      <c r="D94" s="54"/>
      <c r="E94" s="5"/>
      <c r="F94" s="5"/>
      <c r="G94" s="5"/>
      <c r="J94" s="5"/>
      <c r="M94" s="5"/>
      <c r="N94" s="5"/>
      <c r="P94" s="5"/>
    </row>
    <row r="95" spans="1:16" ht="13">
      <c r="A95" s="48"/>
      <c r="B95" s="50"/>
      <c r="C95" s="51"/>
      <c r="D95" s="54"/>
      <c r="E95" s="5"/>
      <c r="F95" s="5"/>
      <c r="G95" s="5"/>
      <c r="J95" s="5"/>
      <c r="M95" s="5"/>
      <c r="N95" s="5"/>
      <c r="P95" s="5"/>
    </row>
    <row r="96" spans="1:16" ht="13">
      <c r="A96" s="48"/>
      <c r="B96" s="50"/>
      <c r="C96" s="51"/>
      <c r="D96" s="54"/>
      <c r="E96" s="5"/>
      <c r="F96" s="5"/>
      <c r="G96" s="5"/>
      <c r="J96" s="5"/>
      <c r="M96" s="5"/>
      <c r="N96" s="5"/>
      <c r="P96" s="5"/>
    </row>
    <row r="97" spans="1:16" ht="13">
      <c r="A97" s="48"/>
      <c r="B97" s="50"/>
      <c r="C97" s="51"/>
      <c r="D97" s="54"/>
      <c r="E97" s="5"/>
      <c r="F97" s="5"/>
      <c r="G97" s="5"/>
      <c r="J97" s="5"/>
      <c r="M97" s="5"/>
      <c r="N97" s="5"/>
      <c r="P97" s="5"/>
    </row>
    <row r="98" spans="1:16" ht="13">
      <c r="A98" s="48"/>
      <c r="B98" s="50"/>
      <c r="C98" s="51"/>
      <c r="D98" s="54"/>
      <c r="E98" s="5"/>
      <c r="F98" s="5"/>
      <c r="G98" s="5"/>
      <c r="J98" s="5"/>
      <c r="M98" s="5"/>
      <c r="N98" s="5"/>
      <c r="P98" s="5"/>
    </row>
    <row r="99" spans="1:16" ht="13">
      <c r="A99" s="48"/>
      <c r="B99" s="50"/>
      <c r="C99" s="51"/>
      <c r="D99" s="51"/>
      <c r="E99" s="5"/>
      <c r="F99" s="5"/>
      <c r="G99" s="5"/>
      <c r="J99" s="5"/>
      <c r="M99" s="5"/>
      <c r="N99" s="5"/>
      <c r="P99" s="5"/>
    </row>
    <row r="100" spans="1:16" ht="13">
      <c r="A100" s="48"/>
      <c r="B100" s="50"/>
      <c r="C100" s="51"/>
      <c r="D100" s="54"/>
      <c r="E100" s="5"/>
      <c r="F100" s="5"/>
      <c r="G100" s="5"/>
      <c r="J100" s="5"/>
      <c r="M100" s="5"/>
      <c r="N100" s="5"/>
      <c r="P100" s="5"/>
    </row>
    <row r="101" spans="1:16" ht="13">
      <c r="A101" s="48"/>
      <c r="B101" s="50"/>
      <c r="C101" s="51"/>
      <c r="D101" s="54"/>
      <c r="E101" s="5"/>
      <c r="F101" s="5"/>
      <c r="G101" s="5"/>
      <c r="J101" s="5"/>
      <c r="M101" s="5"/>
      <c r="N101" s="5"/>
      <c r="P101" s="5"/>
    </row>
    <row r="102" spans="1:16" ht="13">
      <c r="A102" s="48"/>
      <c r="B102" s="50"/>
      <c r="C102" s="51"/>
      <c r="D102" s="54"/>
      <c r="E102" s="5"/>
      <c r="F102" s="5"/>
      <c r="G102" s="5"/>
      <c r="J102" s="5"/>
      <c r="M102" s="5"/>
      <c r="N102" s="5"/>
      <c r="P102" s="5"/>
    </row>
    <row r="103" spans="1:16" ht="13">
      <c r="A103" s="48"/>
      <c r="B103" s="50"/>
      <c r="C103" s="51"/>
      <c r="D103" s="54"/>
      <c r="E103" s="5"/>
      <c r="F103" s="5"/>
      <c r="G103" s="5"/>
      <c r="J103" s="5"/>
      <c r="M103" s="5"/>
      <c r="N103" s="5"/>
      <c r="P103" s="5"/>
    </row>
    <row r="104" spans="1:16" ht="13">
      <c r="A104" s="48"/>
      <c r="B104" s="50"/>
      <c r="C104" s="51"/>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2B00-000000000000}"/>
    <hyperlink ref="B6" r:id="rId2" xr:uid="{00000000-0004-0000-2B00-000001000000}"/>
    <hyperlink ref="B7" r:id="rId3" xr:uid="{00000000-0004-0000-2B00-000002000000}"/>
    <hyperlink ref="B8" r:id="rId4" xr:uid="{00000000-0004-0000-2B00-000003000000}"/>
    <hyperlink ref="B9" r:id="rId5" xr:uid="{00000000-0004-0000-2B00-000004000000}"/>
    <hyperlink ref="B10" r:id="rId6" xr:uid="{00000000-0004-0000-2B00-000005000000}"/>
    <hyperlink ref="B11" r:id="rId7" xr:uid="{00000000-0004-0000-2B00-000006000000}"/>
    <hyperlink ref="B12" r:id="rId8" xr:uid="{00000000-0004-0000-2B00-000007000000}"/>
    <hyperlink ref="B13" r:id="rId9" xr:uid="{00000000-0004-0000-2B00-000008000000}"/>
    <hyperlink ref="B14" r:id="rId10" xr:uid="{00000000-0004-0000-2B00-000009000000}"/>
    <hyperlink ref="B15" r:id="rId11" xr:uid="{00000000-0004-0000-2B00-00000A000000}"/>
    <hyperlink ref="B16" r:id="rId12" xr:uid="{00000000-0004-0000-2B00-00000B000000}"/>
    <hyperlink ref="B17" r:id="rId13" xr:uid="{00000000-0004-0000-2B00-00000C000000}"/>
    <hyperlink ref="B18" r:id="rId14" xr:uid="{00000000-0004-0000-2B00-00000D000000}"/>
    <hyperlink ref="B19" r:id="rId15" xr:uid="{00000000-0004-0000-2B00-00000E000000}"/>
    <hyperlink ref="B20" r:id="rId16" xr:uid="{00000000-0004-0000-2B00-00000F000000}"/>
    <hyperlink ref="B21" r:id="rId17" xr:uid="{00000000-0004-0000-2B00-000010000000}"/>
    <hyperlink ref="B22" r:id="rId18" xr:uid="{00000000-0004-0000-2B00-000011000000}"/>
    <hyperlink ref="B23" r:id="rId19" xr:uid="{00000000-0004-0000-2B00-000012000000}"/>
    <hyperlink ref="B24" r:id="rId20" xr:uid="{00000000-0004-0000-2B00-000013000000}"/>
    <hyperlink ref="B25" r:id="rId21" xr:uid="{00000000-0004-0000-2B00-000014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33203125" customWidth="1"/>
    <col min="3" max="3" width="13.5" customWidth="1"/>
    <col min="4" max="4" width="14.83203125" customWidth="1"/>
    <col min="5" max="5" width="14.33203125" customWidth="1"/>
    <col min="11" max="11" width="13.83203125" customWidth="1"/>
  </cols>
  <sheetData>
    <row r="1" spans="1:23" ht="15.75" customHeight="1">
      <c r="A1" s="1" t="s">
        <v>37</v>
      </c>
      <c r="B1" s="36"/>
      <c r="C1" s="46"/>
      <c r="D1" s="7" t="s">
        <v>181</v>
      </c>
      <c r="E1" s="5"/>
      <c r="F1" s="5"/>
      <c r="G1" s="5"/>
      <c r="K1" s="1"/>
      <c r="M1" s="5"/>
      <c r="N1" s="5"/>
      <c r="S1" s="1"/>
      <c r="U1" s="5"/>
    </row>
    <row r="2" spans="1:23" ht="15.75" customHeight="1">
      <c r="A2" s="7" t="s">
        <v>182</v>
      </c>
      <c r="B2" s="38">
        <v>39326</v>
      </c>
      <c r="C2" s="46"/>
      <c r="D2" s="39">
        <f>SUM(D5:G136)</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530</v>
      </c>
      <c r="B5" s="49" t="s">
        <v>766</v>
      </c>
      <c r="C5" s="51" t="s">
        <v>192</v>
      </c>
      <c r="D5" s="54"/>
      <c r="E5" s="5"/>
      <c r="F5" s="5"/>
      <c r="G5" s="5"/>
      <c r="L5" s="43"/>
      <c r="M5" s="43"/>
      <c r="N5" s="42"/>
      <c r="O5" s="44"/>
      <c r="S5" s="42"/>
      <c r="T5" s="43"/>
      <c r="U5" s="43"/>
      <c r="V5" s="42"/>
      <c r="W5" s="44"/>
    </row>
    <row r="6" spans="1:23" ht="15.75" customHeight="1">
      <c r="A6" s="48" t="s">
        <v>531</v>
      </c>
      <c r="B6" s="49" t="s">
        <v>240</v>
      </c>
      <c r="C6" s="51" t="s">
        <v>208</v>
      </c>
      <c r="D6" s="54"/>
      <c r="E6" s="5"/>
      <c r="F6" s="5"/>
      <c r="G6" s="5"/>
      <c r="L6" s="50"/>
      <c r="M6" s="51"/>
      <c r="N6" s="5"/>
      <c r="S6" s="52"/>
      <c r="T6" s="50"/>
      <c r="U6" s="51"/>
    </row>
    <row r="7" spans="1:23" ht="15.75" customHeight="1">
      <c r="A7" s="48" t="s">
        <v>532</v>
      </c>
      <c r="B7" s="49" t="s">
        <v>243</v>
      </c>
      <c r="C7" s="51" t="s">
        <v>199</v>
      </c>
      <c r="D7" s="54"/>
      <c r="E7" s="5"/>
      <c r="F7" s="5"/>
      <c r="G7" s="5"/>
      <c r="K7" s="52"/>
      <c r="L7" s="50"/>
      <c r="M7" s="51"/>
      <c r="N7" s="5"/>
      <c r="S7" s="52"/>
      <c r="T7" s="50"/>
      <c r="U7" s="51"/>
    </row>
    <row r="8" spans="1:23" ht="15.75" customHeight="1">
      <c r="A8" s="48" t="s">
        <v>533</v>
      </c>
      <c r="B8" s="49" t="s">
        <v>221</v>
      </c>
      <c r="C8" s="51" t="s">
        <v>199</v>
      </c>
      <c r="D8" s="54"/>
      <c r="E8" s="5"/>
      <c r="F8" s="5"/>
      <c r="G8" s="5"/>
      <c r="K8" s="52"/>
      <c r="L8" s="50"/>
      <c r="M8" s="51"/>
      <c r="N8" s="51"/>
      <c r="S8" s="52"/>
      <c r="T8" s="50"/>
      <c r="U8" s="51"/>
    </row>
    <row r="9" spans="1:23" ht="15.75" customHeight="1">
      <c r="A9" s="48" t="s">
        <v>534</v>
      </c>
      <c r="B9" s="49" t="s">
        <v>1200</v>
      </c>
      <c r="C9" s="51" t="s">
        <v>225</v>
      </c>
      <c r="D9" s="54"/>
      <c r="E9" s="5"/>
      <c r="F9" s="51"/>
      <c r="G9" s="5"/>
      <c r="K9" s="52"/>
      <c r="L9" s="50"/>
      <c r="M9" s="51"/>
      <c r="N9" s="51"/>
      <c r="S9" s="52"/>
      <c r="T9" s="50"/>
      <c r="U9" s="51"/>
    </row>
    <row r="10" spans="1:23" ht="15.75" customHeight="1">
      <c r="A10" s="48" t="s">
        <v>535</v>
      </c>
      <c r="B10" s="49" t="s">
        <v>3314</v>
      </c>
      <c r="C10" s="51" t="s">
        <v>225</v>
      </c>
      <c r="D10" s="54"/>
      <c r="E10" s="5"/>
      <c r="F10" s="5"/>
      <c r="G10" s="5"/>
      <c r="K10" s="52"/>
      <c r="L10" s="50"/>
      <c r="M10" s="51"/>
      <c r="N10" s="5"/>
      <c r="S10" s="52"/>
      <c r="T10" s="50"/>
      <c r="U10" s="51"/>
    </row>
    <row r="11" spans="1:23" ht="15.75" customHeight="1">
      <c r="A11" s="48" t="s">
        <v>536</v>
      </c>
      <c r="B11" s="49" t="s">
        <v>1220</v>
      </c>
      <c r="C11" s="51" t="s">
        <v>195</v>
      </c>
      <c r="D11" s="54"/>
      <c r="E11" s="5"/>
      <c r="F11" s="51"/>
      <c r="G11" s="5"/>
      <c r="K11" s="52"/>
      <c r="L11" s="50"/>
      <c r="M11" s="51"/>
      <c r="N11" s="51"/>
      <c r="S11" s="52"/>
      <c r="T11" s="50"/>
      <c r="U11" s="51"/>
    </row>
    <row r="12" spans="1:23" ht="15.75" customHeight="1">
      <c r="A12" s="48" t="s">
        <v>537</v>
      </c>
      <c r="B12" s="49" t="s">
        <v>3315</v>
      </c>
      <c r="C12" s="51" t="s">
        <v>208</v>
      </c>
      <c r="D12" s="54"/>
      <c r="E12" s="5"/>
      <c r="F12" s="5"/>
      <c r="G12" s="5"/>
      <c r="K12" s="52"/>
      <c r="L12" s="50"/>
      <c r="M12" s="51"/>
      <c r="N12" s="51"/>
      <c r="S12" s="52"/>
      <c r="T12" s="50"/>
      <c r="U12" s="51"/>
    </row>
    <row r="13" spans="1:23" ht="15.75" customHeight="1">
      <c r="A13" s="48" t="s">
        <v>538</v>
      </c>
      <c r="B13" s="49" t="s">
        <v>3316</v>
      </c>
      <c r="C13" s="51" t="s">
        <v>225</v>
      </c>
      <c r="D13" s="54"/>
      <c r="E13" s="5"/>
      <c r="F13" s="5"/>
      <c r="G13" s="5"/>
      <c r="K13" s="52"/>
      <c r="L13" s="50"/>
      <c r="M13" s="51"/>
      <c r="N13" s="5"/>
      <c r="S13" s="52"/>
      <c r="T13" s="50"/>
      <c r="U13" s="51"/>
    </row>
    <row r="14" spans="1:23" ht="15.75" customHeight="1">
      <c r="A14" s="48" t="s">
        <v>539</v>
      </c>
      <c r="B14" s="49" t="s">
        <v>236</v>
      </c>
      <c r="C14" s="51" t="s">
        <v>199</v>
      </c>
      <c r="D14" s="54"/>
      <c r="E14" s="5"/>
      <c r="F14" s="5"/>
      <c r="G14" s="5"/>
      <c r="K14" s="52"/>
      <c r="L14" s="50"/>
      <c r="M14" s="51"/>
      <c r="N14" s="51"/>
      <c r="S14" s="52"/>
      <c r="T14" s="50"/>
      <c r="U14" s="51"/>
    </row>
    <row r="15" spans="1:23" ht="15.75" customHeight="1">
      <c r="A15" s="48" t="s">
        <v>540</v>
      </c>
      <c r="B15" s="49" t="s">
        <v>777</v>
      </c>
      <c r="C15" s="51" t="s">
        <v>205</v>
      </c>
      <c r="D15" s="54"/>
      <c r="E15" s="5"/>
      <c r="F15" s="5"/>
      <c r="G15" s="5"/>
      <c r="K15" s="52"/>
      <c r="L15" s="50"/>
      <c r="M15" s="51"/>
      <c r="N15" s="51"/>
      <c r="S15" s="52"/>
      <c r="T15" s="50"/>
      <c r="U15" s="51"/>
    </row>
    <row r="16" spans="1:23" ht="15.75" customHeight="1">
      <c r="A16" s="48" t="s">
        <v>541</v>
      </c>
      <c r="B16" s="49" t="s">
        <v>3317</v>
      </c>
      <c r="C16" s="51" t="s">
        <v>197</v>
      </c>
      <c r="D16" s="54"/>
      <c r="E16" s="5"/>
      <c r="F16" s="5"/>
      <c r="G16" s="5"/>
      <c r="K16" s="52"/>
      <c r="L16" s="50"/>
      <c r="M16" s="51"/>
      <c r="N16" s="51"/>
      <c r="S16" s="52"/>
      <c r="T16" s="50"/>
      <c r="U16" s="51"/>
    </row>
    <row r="17" spans="1:27" ht="15.75" customHeight="1">
      <c r="A17" s="48" t="s">
        <v>542</v>
      </c>
      <c r="B17" s="49" t="s">
        <v>1195</v>
      </c>
      <c r="C17" s="51" t="s">
        <v>208</v>
      </c>
      <c r="D17" s="54"/>
      <c r="E17" s="5"/>
      <c r="F17" s="5"/>
      <c r="G17" s="5"/>
      <c r="K17" s="52"/>
      <c r="L17" s="50"/>
      <c r="M17" s="51"/>
      <c r="N17" s="51"/>
      <c r="S17" s="52"/>
      <c r="T17" s="50"/>
      <c r="U17" s="51"/>
    </row>
    <row r="18" spans="1:27" ht="15.75" customHeight="1">
      <c r="A18" s="48" t="s">
        <v>543</v>
      </c>
      <c r="B18" s="49" t="s">
        <v>781</v>
      </c>
      <c r="C18" s="51" t="s">
        <v>197</v>
      </c>
      <c r="D18" s="54"/>
      <c r="E18" s="5"/>
      <c r="F18" s="5"/>
      <c r="G18" s="5"/>
      <c r="M18" s="5"/>
      <c r="N18" s="5"/>
      <c r="U18" s="5"/>
      <c r="AA18" s="5"/>
    </row>
    <row r="19" spans="1:27" ht="15.75" customHeight="1">
      <c r="A19" s="48" t="s">
        <v>544</v>
      </c>
      <c r="B19" s="49" t="s">
        <v>201</v>
      </c>
      <c r="C19" s="51" t="s">
        <v>195</v>
      </c>
      <c r="D19" s="54"/>
      <c r="E19" s="5"/>
      <c r="F19" s="5"/>
      <c r="G19" s="5"/>
      <c r="K19" s="1"/>
      <c r="M19" s="5"/>
      <c r="N19" s="5"/>
      <c r="U19" s="5"/>
      <c r="AA19" s="5"/>
    </row>
    <row r="20" spans="1:27" ht="15.75" customHeight="1">
      <c r="A20" s="48" t="s">
        <v>545</v>
      </c>
      <c r="B20" s="49" t="s">
        <v>972</v>
      </c>
      <c r="C20" s="51" t="s">
        <v>192</v>
      </c>
      <c r="D20" s="54"/>
      <c r="E20" s="5"/>
      <c r="F20" s="5"/>
      <c r="G20" s="5"/>
      <c r="L20" s="40"/>
      <c r="M20" s="5"/>
      <c r="N20" s="5"/>
      <c r="AA20" s="5"/>
    </row>
    <row r="21" spans="1:27" ht="15.75" customHeight="1">
      <c r="A21" s="48" t="s">
        <v>547</v>
      </c>
      <c r="B21" s="49" t="s">
        <v>3118</v>
      </c>
      <c r="C21" s="51" t="s">
        <v>205</v>
      </c>
      <c r="D21" s="54"/>
      <c r="E21" s="5"/>
      <c r="F21" s="5"/>
      <c r="G21" s="5"/>
      <c r="M21" s="5"/>
      <c r="N21" s="5"/>
      <c r="AA21" s="5"/>
    </row>
    <row r="22" spans="1:27" ht="15.75" customHeight="1">
      <c r="A22" s="48" t="s">
        <v>548</v>
      </c>
      <c r="B22" s="49" t="s">
        <v>1507</v>
      </c>
      <c r="C22" s="51" t="s">
        <v>197</v>
      </c>
      <c r="D22" s="54"/>
      <c r="E22" s="5"/>
      <c r="F22" s="5"/>
      <c r="G22" s="5"/>
      <c r="K22" s="42"/>
      <c r="L22" s="45"/>
      <c r="M22" s="46"/>
      <c r="N22" s="47"/>
      <c r="AA22" s="5"/>
    </row>
    <row r="23" spans="1:27" ht="15.75" customHeight="1">
      <c r="A23" s="48" t="s">
        <v>549</v>
      </c>
      <c r="B23" s="49" t="s">
        <v>237</v>
      </c>
      <c r="C23" s="51" t="s">
        <v>208</v>
      </c>
      <c r="D23" s="54"/>
      <c r="E23" s="5"/>
      <c r="F23" s="5"/>
      <c r="G23" s="5"/>
      <c r="K23" s="42"/>
      <c r="L23" s="43"/>
      <c r="M23" s="43"/>
      <c r="N23" s="42"/>
      <c r="O23" s="44"/>
      <c r="AA23" s="5"/>
    </row>
    <row r="24" spans="1:27" ht="15.75" customHeight="1">
      <c r="A24" s="48" t="s">
        <v>550</v>
      </c>
      <c r="B24" s="49" t="s">
        <v>204</v>
      </c>
      <c r="C24" s="51" t="s">
        <v>205</v>
      </c>
      <c r="D24" s="54"/>
      <c r="E24" s="5"/>
      <c r="F24" s="5"/>
      <c r="G24" s="5"/>
      <c r="K24" s="52"/>
      <c r="L24" s="50"/>
      <c r="M24" s="51"/>
      <c r="N24" s="5"/>
      <c r="AA24" s="5"/>
    </row>
    <row r="25" spans="1:27" ht="15.75" customHeight="1">
      <c r="A25" s="48" t="s">
        <v>551</v>
      </c>
      <c r="B25" s="49" t="s">
        <v>1491</v>
      </c>
      <c r="C25" s="51" t="s">
        <v>808</v>
      </c>
      <c r="D25" s="54"/>
      <c r="E25" s="5"/>
      <c r="F25" s="5"/>
      <c r="G25" s="5"/>
      <c r="K25" s="52"/>
      <c r="L25" s="50"/>
      <c r="M25" s="51"/>
      <c r="N25" s="5"/>
      <c r="AA25" s="5"/>
    </row>
    <row r="26" spans="1:27" ht="15.75" customHeight="1">
      <c r="A26" s="48" t="s">
        <v>552</v>
      </c>
      <c r="B26" s="49" t="s">
        <v>198</v>
      </c>
      <c r="C26" s="51" t="s">
        <v>199</v>
      </c>
      <c r="D26" s="54"/>
      <c r="E26" s="5"/>
      <c r="F26" s="5"/>
      <c r="G26" s="5"/>
      <c r="K26" s="52"/>
      <c r="L26" s="50"/>
      <c r="M26" s="51"/>
      <c r="N26" s="51"/>
      <c r="AA26" s="5"/>
    </row>
    <row r="27" spans="1:27" ht="15.75" customHeight="1">
      <c r="A27" s="48" t="s">
        <v>553</v>
      </c>
      <c r="B27" s="49" t="s">
        <v>1788</v>
      </c>
      <c r="C27" s="51" t="s">
        <v>195</v>
      </c>
      <c r="D27" s="54"/>
      <c r="E27" s="5"/>
      <c r="F27" s="51"/>
      <c r="G27" s="5"/>
      <c r="K27" s="52"/>
      <c r="L27" s="50"/>
      <c r="M27" s="51"/>
      <c r="N27" s="51"/>
      <c r="AA27" s="5"/>
    </row>
    <row r="28" spans="1:27" ht="15.75" customHeight="1">
      <c r="A28" s="48" t="s">
        <v>554</v>
      </c>
      <c r="B28" s="49" t="s">
        <v>255</v>
      </c>
      <c r="C28" s="51" t="s">
        <v>225</v>
      </c>
      <c r="D28" s="54"/>
      <c r="E28" s="5"/>
      <c r="F28" s="5"/>
      <c r="G28" s="5"/>
      <c r="J28" s="5"/>
      <c r="K28" s="52"/>
      <c r="L28" s="50"/>
      <c r="M28" s="51"/>
      <c r="N28" s="5"/>
      <c r="P28" s="5"/>
    </row>
    <row r="29" spans="1:27" ht="15.75" customHeight="1">
      <c r="A29" s="48" t="s">
        <v>555</v>
      </c>
      <c r="B29" s="49" t="s">
        <v>3110</v>
      </c>
      <c r="C29" s="51" t="s">
        <v>192</v>
      </c>
      <c r="D29" s="54"/>
      <c r="E29" s="5"/>
      <c r="F29" s="5"/>
      <c r="G29" s="5"/>
      <c r="J29" s="5"/>
      <c r="K29" s="52"/>
      <c r="L29" s="50"/>
      <c r="M29" s="51"/>
      <c r="N29" s="51"/>
      <c r="P29" s="5"/>
    </row>
    <row r="30" spans="1:27" ht="15.75" customHeight="1">
      <c r="A30" s="48" t="s">
        <v>556</v>
      </c>
      <c r="B30" s="49" t="s">
        <v>256</v>
      </c>
      <c r="C30" s="51" t="s">
        <v>192</v>
      </c>
      <c r="D30" s="51"/>
      <c r="E30" s="51"/>
      <c r="F30" s="5"/>
      <c r="G30" s="5"/>
      <c r="J30" s="5"/>
      <c r="K30" s="52"/>
      <c r="L30" s="50"/>
      <c r="M30" s="51"/>
      <c r="N30" s="5"/>
      <c r="P30" s="5"/>
    </row>
    <row r="31" spans="1:27" ht="15.75" customHeight="1">
      <c r="A31" s="48" t="s">
        <v>557</v>
      </c>
      <c r="B31" s="49" t="s">
        <v>826</v>
      </c>
      <c r="C31" s="51" t="s">
        <v>197</v>
      </c>
      <c r="D31" s="54"/>
      <c r="E31" s="5"/>
      <c r="F31" s="5"/>
      <c r="G31" s="5"/>
      <c r="J31" s="5"/>
      <c r="K31" s="52"/>
      <c r="L31" s="50"/>
      <c r="M31" s="51"/>
      <c r="N31" s="51"/>
      <c r="P31" s="5"/>
    </row>
    <row r="32" spans="1:27" ht="15.75" customHeight="1">
      <c r="A32" s="48" t="s">
        <v>558</v>
      </c>
      <c r="B32" s="49" t="s">
        <v>369</v>
      </c>
      <c r="C32" s="51" t="s">
        <v>208</v>
      </c>
      <c r="D32" s="54"/>
      <c r="E32" s="5"/>
      <c r="F32" s="5"/>
      <c r="G32" s="5"/>
      <c r="J32" s="5"/>
      <c r="K32" s="52"/>
      <c r="L32" s="50"/>
      <c r="M32" s="51"/>
      <c r="N32" s="5"/>
      <c r="P32" s="5"/>
    </row>
    <row r="33" spans="1:16" ht="15.75" customHeight="1">
      <c r="A33" s="48" t="s">
        <v>559</v>
      </c>
      <c r="B33" s="49" t="s">
        <v>370</v>
      </c>
      <c r="C33" s="51" t="s">
        <v>225</v>
      </c>
      <c r="D33" s="54"/>
      <c r="E33" s="5"/>
      <c r="F33" s="5"/>
      <c r="G33" s="5"/>
      <c r="J33" s="5"/>
      <c r="K33" s="52"/>
      <c r="L33" s="50"/>
      <c r="M33" s="51"/>
      <c r="N33" s="5"/>
      <c r="P33" s="5"/>
    </row>
    <row r="34" spans="1:16" ht="15.75" customHeight="1">
      <c r="A34" s="48" t="s">
        <v>560</v>
      </c>
      <c r="B34" s="49" t="s">
        <v>265</v>
      </c>
      <c r="C34" s="51" t="s">
        <v>195</v>
      </c>
      <c r="D34" s="54"/>
      <c r="E34" s="5"/>
      <c r="F34" s="5"/>
      <c r="G34" s="5"/>
      <c r="J34" s="5"/>
      <c r="K34" s="52"/>
      <c r="L34" s="50"/>
      <c r="M34" s="51"/>
      <c r="N34" s="5"/>
      <c r="P34" s="5"/>
    </row>
    <row r="35" spans="1:16" ht="15.75" customHeight="1">
      <c r="A35" s="48" t="s">
        <v>561</v>
      </c>
      <c r="B35" s="49" t="s">
        <v>3052</v>
      </c>
      <c r="C35" s="51" t="s">
        <v>199</v>
      </c>
      <c r="D35" s="54"/>
      <c r="E35" s="5"/>
      <c r="F35" s="5"/>
      <c r="G35" s="5"/>
      <c r="J35" s="5"/>
      <c r="K35" s="52"/>
      <c r="L35" s="50"/>
      <c r="M35" s="51"/>
      <c r="N35" s="51"/>
      <c r="P35" s="5"/>
    </row>
    <row r="36" spans="1:16" ht="15.75" customHeight="1">
      <c r="A36" s="48" t="s">
        <v>562</v>
      </c>
      <c r="B36" s="49" t="s">
        <v>1501</v>
      </c>
      <c r="C36" s="51" t="s">
        <v>192</v>
      </c>
      <c r="D36" s="54"/>
      <c r="E36" s="5"/>
      <c r="F36" s="5"/>
      <c r="G36" s="5"/>
      <c r="J36" s="5"/>
      <c r="M36" s="5"/>
      <c r="N36" s="5"/>
      <c r="P36" s="5"/>
    </row>
    <row r="37" spans="1:16" ht="15.75" customHeight="1">
      <c r="A37" s="48" t="s">
        <v>563</v>
      </c>
      <c r="B37" s="49" t="s">
        <v>3318</v>
      </c>
      <c r="C37" s="51" t="s">
        <v>205</v>
      </c>
      <c r="D37" s="54"/>
      <c r="E37" s="5"/>
      <c r="F37" s="5"/>
      <c r="G37" s="5"/>
      <c r="J37" s="5"/>
      <c r="M37" s="5"/>
      <c r="N37" s="5"/>
    </row>
    <row r="38" spans="1:16" ht="15.75" customHeight="1">
      <c r="A38" s="48" t="s">
        <v>564</v>
      </c>
      <c r="B38" s="49" t="s">
        <v>248</v>
      </c>
      <c r="C38" s="51" t="s">
        <v>195</v>
      </c>
      <c r="D38" s="54"/>
      <c r="E38" s="5"/>
      <c r="F38" s="5"/>
      <c r="G38" s="5"/>
      <c r="J38" s="5"/>
      <c r="M38" s="51"/>
      <c r="N38" s="51"/>
    </row>
    <row r="39" spans="1:16" ht="15.75" customHeight="1">
      <c r="A39" s="48" t="s">
        <v>565</v>
      </c>
      <c r="B39" s="49" t="s">
        <v>324</v>
      </c>
      <c r="C39" s="51" t="s">
        <v>197</v>
      </c>
      <c r="D39" s="54"/>
      <c r="E39" s="5"/>
      <c r="F39" s="5"/>
      <c r="G39" s="5"/>
      <c r="J39" s="5"/>
      <c r="M39" s="51"/>
      <c r="N39" s="51"/>
    </row>
    <row r="40" spans="1:16" ht="15.75" customHeight="1">
      <c r="A40" s="48" t="s">
        <v>566</v>
      </c>
      <c r="B40" s="49" t="s">
        <v>1503</v>
      </c>
      <c r="C40" s="51" t="s">
        <v>192</v>
      </c>
      <c r="D40" s="54"/>
      <c r="E40" s="5"/>
      <c r="F40" s="5"/>
      <c r="G40" s="5"/>
      <c r="J40" s="5"/>
      <c r="M40" s="51"/>
      <c r="N40" s="51"/>
    </row>
    <row r="41" spans="1:16" ht="15.75" customHeight="1">
      <c r="A41" s="48" t="s">
        <v>567</v>
      </c>
      <c r="B41" s="49" t="s">
        <v>1246</v>
      </c>
      <c r="C41" s="51" t="s">
        <v>808</v>
      </c>
      <c r="D41" s="54"/>
      <c r="E41" s="5"/>
      <c r="F41" s="5"/>
      <c r="G41" s="5"/>
      <c r="J41" s="5"/>
      <c r="M41" s="51"/>
      <c r="N41" s="51"/>
    </row>
    <row r="42" spans="1:16" ht="15.75" customHeight="1">
      <c r="A42" s="48" t="s">
        <v>568</v>
      </c>
      <c r="B42" s="49" t="s">
        <v>852</v>
      </c>
      <c r="C42" s="51" t="s">
        <v>205</v>
      </c>
      <c r="D42" s="54"/>
      <c r="E42" s="5"/>
      <c r="F42" s="5"/>
      <c r="G42" s="5"/>
      <c r="J42" s="5"/>
      <c r="M42" s="51"/>
      <c r="N42" s="51"/>
    </row>
    <row r="43" spans="1:16" ht="15.75" customHeight="1">
      <c r="A43" s="48" t="s">
        <v>569</v>
      </c>
      <c r="B43" s="49" t="s">
        <v>1007</v>
      </c>
      <c r="C43" s="51" t="s">
        <v>195</v>
      </c>
      <c r="D43" s="54"/>
      <c r="E43" s="5"/>
      <c r="F43" s="5"/>
      <c r="G43" s="5"/>
      <c r="J43" s="5"/>
      <c r="M43" s="51"/>
      <c r="N43" s="51"/>
    </row>
    <row r="44" spans="1:16" ht="15.75" customHeight="1">
      <c r="A44" s="48" t="s">
        <v>570</v>
      </c>
      <c r="B44" s="49" t="s">
        <v>3131</v>
      </c>
      <c r="C44" s="51" t="s">
        <v>208</v>
      </c>
      <c r="D44" s="54"/>
      <c r="E44" s="5"/>
      <c r="F44" s="5"/>
      <c r="G44" s="5"/>
      <c r="J44" s="5"/>
      <c r="M44" s="51"/>
      <c r="N44" s="51"/>
    </row>
    <row r="45" spans="1:16" ht="15.75" customHeight="1">
      <c r="A45" s="48" t="s">
        <v>571</v>
      </c>
      <c r="B45" s="49" t="s">
        <v>3319</v>
      </c>
      <c r="C45" s="51" t="s">
        <v>205</v>
      </c>
      <c r="D45" s="51"/>
      <c r="E45" s="5"/>
      <c r="F45" s="5"/>
      <c r="G45" s="5"/>
      <c r="J45" s="5"/>
      <c r="M45" s="51"/>
      <c r="N45" s="51"/>
      <c r="P45" s="5"/>
    </row>
    <row r="46" spans="1:16" ht="15.75" customHeight="1">
      <c r="A46" s="48" t="s">
        <v>572</v>
      </c>
      <c r="B46" s="49" t="s">
        <v>3320</v>
      </c>
      <c r="C46" s="51" t="s">
        <v>225</v>
      </c>
      <c r="D46" s="54"/>
      <c r="E46" s="5"/>
      <c r="F46" s="5"/>
      <c r="G46" s="5"/>
      <c r="J46" s="5"/>
      <c r="M46" s="51"/>
      <c r="N46" s="51"/>
      <c r="P46" s="5"/>
    </row>
    <row r="47" spans="1:16" ht="15.75" customHeight="1">
      <c r="A47" s="48" t="s">
        <v>573</v>
      </c>
      <c r="B47" s="49" t="s">
        <v>3321</v>
      </c>
      <c r="C47" s="51" t="s">
        <v>220</v>
      </c>
      <c r="D47" s="54"/>
      <c r="E47" s="5"/>
      <c r="F47" s="5"/>
      <c r="G47" s="5"/>
      <c r="J47" s="5"/>
      <c r="M47" s="5"/>
      <c r="N47" s="5"/>
      <c r="P47" s="5"/>
    </row>
    <row r="48" spans="1:16" ht="15.75" customHeight="1">
      <c r="A48" s="48" t="s">
        <v>574</v>
      </c>
      <c r="B48" s="49" t="s">
        <v>855</v>
      </c>
      <c r="C48" s="51" t="s">
        <v>195</v>
      </c>
      <c r="D48" s="54"/>
      <c r="E48" s="5"/>
      <c r="F48" s="5"/>
      <c r="G48" s="5"/>
      <c r="J48" s="5"/>
      <c r="M48" s="5"/>
      <c r="N48" s="5"/>
      <c r="P48" s="5"/>
    </row>
    <row r="49" spans="1:16" ht="15.75" customHeight="1">
      <c r="A49" s="48" t="s">
        <v>575</v>
      </c>
      <c r="B49" s="49" t="s">
        <v>1237</v>
      </c>
      <c r="C49" s="51" t="s">
        <v>205</v>
      </c>
      <c r="D49" s="54"/>
      <c r="E49" s="5"/>
      <c r="F49" s="5"/>
      <c r="G49" s="5"/>
      <c r="J49" s="5"/>
      <c r="M49" s="5"/>
      <c r="N49" s="5"/>
      <c r="P49" s="5"/>
    </row>
    <row r="50" spans="1:16" ht="15.75" customHeight="1">
      <c r="A50" s="48" t="s">
        <v>576</v>
      </c>
      <c r="B50" s="49" t="s">
        <v>258</v>
      </c>
      <c r="C50" s="51" t="s">
        <v>199</v>
      </c>
      <c r="D50" s="51"/>
      <c r="E50" s="5"/>
      <c r="F50" s="5"/>
      <c r="G50" s="5"/>
      <c r="J50" s="5"/>
      <c r="M50" s="5"/>
      <c r="N50" s="5"/>
      <c r="P50" s="5"/>
    </row>
    <row r="51" spans="1:16" ht="15.75" customHeight="1">
      <c r="A51" s="48" t="s">
        <v>577</v>
      </c>
      <c r="B51" s="49" t="s">
        <v>367</v>
      </c>
      <c r="C51" s="51" t="s">
        <v>208</v>
      </c>
      <c r="D51" s="54"/>
      <c r="E51" s="5"/>
      <c r="F51" s="5"/>
      <c r="G51" s="5"/>
      <c r="J51" s="5"/>
      <c r="M51" s="5"/>
      <c r="N51" s="5"/>
      <c r="P51" s="5"/>
    </row>
    <row r="52" spans="1:16" ht="15.75" customHeight="1">
      <c r="A52" s="48" t="s">
        <v>578</v>
      </c>
      <c r="B52" s="49" t="s">
        <v>801</v>
      </c>
      <c r="C52" s="51" t="s">
        <v>225</v>
      </c>
      <c r="D52" s="54"/>
      <c r="E52" s="5"/>
      <c r="F52" s="5"/>
      <c r="G52" s="5"/>
      <c r="J52" s="5"/>
      <c r="M52" s="5"/>
      <c r="N52" s="5"/>
      <c r="P52" s="5"/>
    </row>
    <row r="53" spans="1:16" ht="13">
      <c r="A53" s="48" t="s">
        <v>579</v>
      </c>
      <c r="B53" s="49" t="s">
        <v>261</v>
      </c>
      <c r="C53" s="51" t="s">
        <v>197</v>
      </c>
      <c r="D53" s="51"/>
      <c r="E53" s="5"/>
      <c r="F53" s="5"/>
      <c r="G53" s="5"/>
      <c r="J53" s="5"/>
      <c r="M53" s="5"/>
      <c r="N53" s="5"/>
      <c r="P53" s="5"/>
    </row>
    <row r="54" spans="1:16" ht="13">
      <c r="A54" s="48" t="s">
        <v>580</v>
      </c>
      <c r="B54" s="49" t="s">
        <v>824</v>
      </c>
      <c r="C54" s="51" t="s">
        <v>192</v>
      </c>
      <c r="D54" s="54"/>
      <c r="E54" s="5"/>
      <c r="F54" s="5"/>
      <c r="G54" s="5"/>
      <c r="J54" s="5"/>
      <c r="M54" s="5"/>
      <c r="N54" s="5"/>
      <c r="P54" s="5"/>
    </row>
    <row r="55" spans="1:16" ht="13">
      <c r="A55" s="48" t="s">
        <v>581</v>
      </c>
      <c r="B55" s="49" t="s">
        <v>264</v>
      </c>
      <c r="C55" s="51" t="s">
        <v>205</v>
      </c>
      <c r="D55" s="51"/>
      <c r="E55" s="5"/>
      <c r="F55" s="5"/>
      <c r="G55" s="5"/>
      <c r="J55" s="5"/>
      <c r="M55" s="5"/>
      <c r="N55" s="5"/>
      <c r="P55" s="5"/>
    </row>
    <row r="56" spans="1:16" ht="13">
      <c r="A56" s="48" t="s">
        <v>582</v>
      </c>
      <c r="B56" s="49" t="s">
        <v>1383</v>
      </c>
      <c r="C56" s="51" t="s">
        <v>197</v>
      </c>
      <c r="D56" s="51"/>
      <c r="E56" s="5"/>
      <c r="F56" s="5"/>
      <c r="G56" s="5"/>
      <c r="J56" s="5"/>
      <c r="M56" s="5"/>
      <c r="N56" s="5"/>
      <c r="P56" s="5"/>
    </row>
    <row r="57" spans="1:16" ht="13">
      <c r="A57" s="48" t="s">
        <v>583</v>
      </c>
      <c r="B57" s="49" t="s">
        <v>1262</v>
      </c>
      <c r="C57" s="51" t="s">
        <v>195</v>
      </c>
      <c r="D57" s="54"/>
      <c r="E57" s="5"/>
      <c r="F57" s="5"/>
      <c r="G57" s="5"/>
      <c r="J57" s="5"/>
      <c r="M57" s="5"/>
      <c r="N57" s="5"/>
      <c r="P57" s="5"/>
    </row>
    <row r="58" spans="1:16" ht="13">
      <c r="A58" s="48" t="s">
        <v>584</v>
      </c>
      <c r="B58" s="49" t="s">
        <v>1416</v>
      </c>
      <c r="C58" s="51" t="s">
        <v>208</v>
      </c>
      <c r="D58" s="51"/>
      <c r="E58" s="5"/>
      <c r="F58" s="5"/>
      <c r="G58" s="5"/>
      <c r="J58" s="5"/>
      <c r="M58" s="5"/>
      <c r="N58" s="5"/>
      <c r="P58" s="5"/>
    </row>
    <row r="59" spans="1:16" ht="13">
      <c r="A59" s="48" t="s">
        <v>585</v>
      </c>
      <c r="B59" s="49" t="s">
        <v>836</v>
      </c>
      <c r="C59" s="51" t="s">
        <v>197</v>
      </c>
      <c r="D59" s="54"/>
      <c r="E59" s="5"/>
      <c r="F59" s="5"/>
      <c r="G59" s="5"/>
      <c r="J59" s="5"/>
      <c r="M59" s="5"/>
      <c r="N59" s="5"/>
      <c r="P59" s="5"/>
    </row>
    <row r="60" spans="1:16" ht="13">
      <c r="A60" s="48" t="s">
        <v>586</v>
      </c>
      <c r="B60" s="49" t="s">
        <v>365</v>
      </c>
      <c r="C60" s="51" t="s">
        <v>195</v>
      </c>
      <c r="D60" s="51"/>
      <c r="E60" s="5"/>
      <c r="F60" s="5"/>
      <c r="G60" s="5"/>
      <c r="J60" s="5"/>
      <c r="M60" s="5"/>
      <c r="N60" s="5"/>
      <c r="P60" s="5"/>
    </row>
    <row r="61" spans="1:16" ht="13">
      <c r="A61" s="48" t="s">
        <v>587</v>
      </c>
      <c r="B61" s="49" t="s">
        <v>269</v>
      </c>
      <c r="C61" s="51" t="s">
        <v>195</v>
      </c>
      <c r="D61" s="51"/>
      <c r="E61" s="5"/>
      <c r="F61" s="5"/>
      <c r="G61" s="5"/>
      <c r="J61" s="5"/>
      <c r="M61" s="5"/>
      <c r="N61" s="5"/>
      <c r="P61" s="5"/>
    </row>
    <row r="62" spans="1:16" ht="13">
      <c r="A62" s="48" t="s">
        <v>588</v>
      </c>
      <c r="B62" s="49" t="s">
        <v>257</v>
      </c>
      <c r="C62" s="51" t="s">
        <v>197</v>
      </c>
      <c r="D62" s="54"/>
      <c r="E62" s="5"/>
      <c r="F62" s="5"/>
      <c r="G62" s="5"/>
      <c r="J62" s="5"/>
      <c r="M62" s="5"/>
      <c r="N62" s="5"/>
      <c r="P62" s="5"/>
    </row>
    <row r="63" spans="1:16" ht="13">
      <c r="A63" s="48" t="s">
        <v>589</v>
      </c>
      <c r="B63" s="49" t="s">
        <v>325</v>
      </c>
      <c r="C63" s="51" t="s">
        <v>205</v>
      </c>
      <c r="D63" s="54"/>
      <c r="E63" s="5"/>
      <c r="F63" s="5"/>
      <c r="G63" s="5"/>
      <c r="J63" s="5"/>
      <c r="M63" s="5"/>
      <c r="N63" s="5"/>
      <c r="P63" s="5"/>
    </row>
    <row r="64" spans="1:16" ht="13">
      <c r="A64" s="48" t="s">
        <v>590</v>
      </c>
      <c r="B64" s="49" t="s">
        <v>844</v>
      </c>
      <c r="C64" s="51" t="s">
        <v>208</v>
      </c>
      <c r="D64" s="54"/>
      <c r="E64" s="5"/>
      <c r="F64" s="5"/>
      <c r="G64" s="5"/>
      <c r="J64" s="5"/>
      <c r="M64" s="5"/>
      <c r="N64" s="5"/>
      <c r="P64" s="5"/>
    </row>
    <row r="65" spans="1:16" ht="13">
      <c r="A65" s="48" t="s">
        <v>591</v>
      </c>
      <c r="B65" s="49" t="s">
        <v>272</v>
      </c>
      <c r="C65" s="51" t="s">
        <v>197</v>
      </c>
      <c r="D65" s="51"/>
      <c r="E65" s="5"/>
      <c r="F65" s="5"/>
      <c r="G65" s="5"/>
      <c r="J65" s="5"/>
      <c r="M65" s="5"/>
      <c r="N65" s="5"/>
      <c r="P65" s="5"/>
    </row>
    <row r="66" spans="1:16" ht="13">
      <c r="A66" s="48" t="s">
        <v>592</v>
      </c>
      <c r="B66" s="49" t="s">
        <v>1505</v>
      </c>
      <c r="C66" s="51" t="s">
        <v>205</v>
      </c>
      <c r="D66" s="51"/>
      <c r="E66" s="5"/>
      <c r="F66" s="5"/>
      <c r="G66" s="5"/>
      <c r="J66" s="5"/>
      <c r="M66" s="5"/>
      <c r="N66" s="5"/>
      <c r="P66" s="5"/>
    </row>
    <row r="67" spans="1:16" ht="13">
      <c r="A67" s="48" t="s">
        <v>593</v>
      </c>
      <c r="B67" s="49" t="s">
        <v>1370</v>
      </c>
      <c r="C67" s="51" t="s">
        <v>808</v>
      </c>
      <c r="D67" s="54"/>
      <c r="E67" s="5"/>
      <c r="F67" s="5"/>
      <c r="G67" s="5"/>
      <c r="J67" s="5"/>
      <c r="M67" s="5"/>
      <c r="N67" s="5"/>
      <c r="P67" s="5"/>
    </row>
    <row r="68" spans="1:16" ht="13">
      <c r="A68" s="48" t="s">
        <v>594</v>
      </c>
      <c r="B68" s="49" t="s">
        <v>1521</v>
      </c>
      <c r="C68" s="51" t="s">
        <v>197</v>
      </c>
      <c r="D68" s="54"/>
      <c r="E68" s="5"/>
      <c r="F68" s="5"/>
      <c r="G68" s="5"/>
      <c r="J68" s="5"/>
      <c r="M68" s="5"/>
      <c r="N68" s="5"/>
      <c r="P68" s="5"/>
    </row>
    <row r="69" spans="1:16" ht="13">
      <c r="A69" s="48" t="s">
        <v>595</v>
      </c>
      <c r="B69" s="49" t="s">
        <v>850</v>
      </c>
      <c r="C69" s="51" t="s">
        <v>205</v>
      </c>
      <c r="D69" s="54"/>
      <c r="E69" s="5"/>
      <c r="F69" s="5"/>
      <c r="G69" s="5"/>
      <c r="J69" s="5"/>
      <c r="M69" s="5"/>
      <c r="N69" s="5"/>
      <c r="P69" s="5"/>
    </row>
    <row r="70" spans="1:16" ht="13">
      <c r="A70" s="48" t="s">
        <v>596</v>
      </c>
      <c r="B70" s="49" t="s">
        <v>218</v>
      </c>
      <c r="C70" s="51" t="s">
        <v>197</v>
      </c>
      <c r="D70" s="54"/>
      <c r="E70" s="5"/>
      <c r="F70" s="5"/>
      <c r="G70" s="5"/>
      <c r="J70" s="5"/>
      <c r="M70" s="5"/>
      <c r="N70" s="5"/>
      <c r="P70" s="5"/>
    </row>
    <row r="71" spans="1:16" ht="13">
      <c r="A71" s="48" t="s">
        <v>597</v>
      </c>
      <c r="B71" s="49" t="s">
        <v>981</v>
      </c>
      <c r="C71" s="51" t="s">
        <v>195</v>
      </c>
      <c r="D71" s="5"/>
      <c r="J71" s="5"/>
      <c r="M71" s="5"/>
      <c r="N71" s="5"/>
      <c r="P71" s="5"/>
    </row>
    <row r="72" spans="1:16" ht="13">
      <c r="A72" s="48" t="s">
        <v>598</v>
      </c>
      <c r="B72" s="49" t="s">
        <v>982</v>
      </c>
      <c r="C72" s="51" t="s">
        <v>195</v>
      </c>
      <c r="D72" s="54"/>
      <c r="E72" s="5"/>
      <c r="F72" s="5"/>
      <c r="G72" s="5"/>
      <c r="J72" s="5"/>
      <c r="M72" s="5"/>
      <c r="N72" s="5"/>
      <c r="P72" s="5"/>
    </row>
    <row r="73" spans="1:16" ht="13">
      <c r="A73" s="48" t="s">
        <v>599</v>
      </c>
      <c r="B73" s="49" t="s">
        <v>952</v>
      </c>
      <c r="C73" s="51" t="s">
        <v>195</v>
      </c>
      <c r="D73" s="54"/>
      <c r="E73" s="5"/>
      <c r="F73" s="5"/>
      <c r="G73" s="5"/>
      <c r="J73" s="5"/>
      <c r="M73" s="5"/>
      <c r="N73" s="5"/>
      <c r="P73" s="5"/>
    </row>
    <row r="74" spans="1:16" ht="13">
      <c r="A74" s="48" t="s">
        <v>600</v>
      </c>
      <c r="B74" s="49" t="s">
        <v>961</v>
      </c>
      <c r="C74" s="51" t="s">
        <v>195</v>
      </c>
      <c r="D74" s="54"/>
      <c r="E74" s="5"/>
      <c r="F74" s="5"/>
      <c r="G74" s="5"/>
      <c r="J74" s="5"/>
      <c r="M74" s="5"/>
      <c r="N74" s="5"/>
      <c r="P74" s="5"/>
    </row>
    <row r="75" spans="1:16" ht="13">
      <c r="A75" s="48" t="s">
        <v>601</v>
      </c>
      <c r="B75" s="49" t="s">
        <v>998</v>
      </c>
      <c r="C75" s="51" t="s">
        <v>195</v>
      </c>
      <c r="D75" s="54"/>
      <c r="E75" s="5"/>
      <c r="F75" s="5"/>
      <c r="G75" s="5"/>
      <c r="J75" s="5"/>
      <c r="M75" s="5"/>
      <c r="N75" s="5"/>
      <c r="P75" s="5"/>
    </row>
    <row r="76" spans="1:16" ht="13">
      <c r="A76" s="48" t="s">
        <v>602</v>
      </c>
      <c r="B76" s="49" t="s">
        <v>1004</v>
      </c>
      <c r="C76" s="51" t="s">
        <v>195</v>
      </c>
      <c r="D76" s="54"/>
      <c r="E76" s="5"/>
      <c r="F76" s="5"/>
      <c r="G76" s="5"/>
      <c r="J76" s="5"/>
      <c r="M76" s="5"/>
      <c r="N76" s="5"/>
      <c r="P76" s="5"/>
    </row>
    <row r="77" spans="1:16" ht="13">
      <c r="A77" s="48" t="s">
        <v>603</v>
      </c>
      <c r="B77" s="49" t="s">
        <v>327</v>
      </c>
      <c r="C77" s="51" t="s">
        <v>205</v>
      </c>
      <c r="D77" s="54"/>
      <c r="E77" s="5"/>
      <c r="F77" s="5"/>
      <c r="G77" s="5"/>
      <c r="J77" s="5"/>
      <c r="M77" s="5"/>
      <c r="N77" s="5"/>
      <c r="P77" s="5"/>
    </row>
    <row r="78" spans="1:16" ht="13">
      <c r="A78" s="48" t="s">
        <v>604</v>
      </c>
      <c r="B78" s="49" t="s">
        <v>1524</v>
      </c>
      <c r="C78" s="51" t="s">
        <v>225</v>
      </c>
      <c r="D78" s="54"/>
      <c r="E78" s="5"/>
      <c r="F78" s="5"/>
      <c r="G78" s="5"/>
      <c r="J78" s="5"/>
      <c r="M78" s="5"/>
      <c r="N78" s="5"/>
      <c r="P78" s="5"/>
    </row>
    <row r="79" spans="1:16" ht="13">
      <c r="A79" s="48" t="s">
        <v>605</v>
      </c>
      <c r="B79" s="49" t="s">
        <v>274</v>
      </c>
      <c r="C79" s="51" t="s">
        <v>208</v>
      </c>
      <c r="D79" s="54"/>
      <c r="E79" s="5"/>
      <c r="F79" s="5"/>
      <c r="G79" s="5"/>
      <c r="J79" s="5"/>
      <c r="M79" s="5"/>
      <c r="N79" s="5"/>
      <c r="P79" s="5"/>
    </row>
    <row r="80" spans="1:16" ht="13">
      <c r="A80" s="48" t="s">
        <v>606</v>
      </c>
      <c r="B80" s="49" t="s">
        <v>1526</v>
      </c>
      <c r="C80" s="51" t="s">
        <v>197</v>
      </c>
      <c r="D80" s="54"/>
      <c r="E80" s="5"/>
      <c r="F80" s="5"/>
      <c r="G80" s="5"/>
      <c r="J80" s="5"/>
      <c r="M80" s="5"/>
      <c r="N80" s="5"/>
      <c r="P80" s="5"/>
    </row>
    <row r="81" spans="1:16" ht="13">
      <c r="A81" s="48" t="s">
        <v>607</v>
      </c>
      <c r="B81" s="49" t="s">
        <v>276</v>
      </c>
      <c r="C81" s="51" t="s">
        <v>205</v>
      </c>
      <c r="D81" s="51"/>
      <c r="E81" s="5"/>
      <c r="F81" s="5"/>
      <c r="G81" s="5"/>
      <c r="J81" s="5"/>
      <c r="M81" s="5"/>
      <c r="N81" s="5"/>
      <c r="P81" s="5"/>
    </row>
    <row r="82" spans="1:16" ht="13">
      <c r="A82" s="48" t="s">
        <v>608</v>
      </c>
      <c r="B82" s="49" t="s">
        <v>3322</v>
      </c>
      <c r="C82" s="51" t="s">
        <v>205</v>
      </c>
      <c r="D82" s="54"/>
      <c r="E82" s="5"/>
      <c r="F82" s="5"/>
      <c r="G82" s="5"/>
      <c r="J82" s="5"/>
      <c r="M82" s="5"/>
      <c r="N82" s="5"/>
      <c r="P82" s="5"/>
    </row>
    <row r="83" spans="1:16" ht="13">
      <c r="A83" s="48" t="s">
        <v>609</v>
      </c>
      <c r="B83" s="49" t="s">
        <v>3323</v>
      </c>
      <c r="C83" s="51" t="s">
        <v>205</v>
      </c>
      <c r="D83" s="51"/>
      <c r="E83" s="5"/>
      <c r="F83" s="5"/>
      <c r="G83" s="5"/>
      <c r="J83" s="5"/>
      <c r="M83" s="5"/>
      <c r="N83" s="5"/>
      <c r="P83" s="5"/>
    </row>
    <row r="84" spans="1:16" ht="13">
      <c r="A84" s="48" t="s">
        <v>610</v>
      </c>
      <c r="B84" s="49" t="s">
        <v>3324</v>
      </c>
      <c r="C84" s="51" t="s">
        <v>205</v>
      </c>
      <c r="D84" s="51"/>
      <c r="E84" s="5"/>
      <c r="F84" s="5"/>
      <c r="G84" s="5"/>
      <c r="J84" s="5"/>
      <c r="M84" s="5"/>
      <c r="N84" s="5"/>
      <c r="P84" s="5"/>
    </row>
    <row r="85" spans="1:16" ht="13">
      <c r="A85" s="48" t="s">
        <v>611</v>
      </c>
      <c r="B85" s="49" t="s">
        <v>1288</v>
      </c>
      <c r="C85" s="51" t="s">
        <v>808</v>
      </c>
      <c r="D85" s="51"/>
      <c r="E85" s="5"/>
      <c r="F85" s="5"/>
      <c r="G85" s="5"/>
      <c r="J85" s="5"/>
      <c r="M85" s="5"/>
      <c r="N85" s="5"/>
      <c r="P85" s="5"/>
    </row>
    <row r="86" spans="1:16" ht="13">
      <c r="A86" s="48" t="s">
        <v>612</v>
      </c>
      <c r="B86" s="49" t="s">
        <v>278</v>
      </c>
      <c r="C86" s="51" t="s">
        <v>199</v>
      </c>
      <c r="D86" s="51"/>
      <c r="E86" s="5"/>
      <c r="F86" s="5"/>
      <c r="G86" s="5"/>
      <c r="J86" s="5"/>
      <c r="M86" s="5"/>
      <c r="N86" s="5"/>
      <c r="P86" s="5"/>
    </row>
    <row r="87" spans="1:16" ht="13">
      <c r="A87" s="48" t="s">
        <v>613</v>
      </c>
      <c r="B87" s="49" t="s">
        <v>244</v>
      </c>
      <c r="C87" s="51" t="s">
        <v>197</v>
      </c>
      <c r="D87" s="54"/>
      <c r="E87" s="51"/>
      <c r="F87" s="5"/>
      <c r="G87" s="5"/>
      <c r="J87" s="5"/>
      <c r="M87" s="5"/>
      <c r="N87" s="5"/>
      <c r="P87" s="5"/>
    </row>
    <row r="88" spans="1:16" ht="13">
      <c r="A88" s="48" t="s">
        <v>614</v>
      </c>
      <c r="B88" s="49" t="s">
        <v>947</v>
      </c>
      <c r="C88" s="51" t="s">
        <v>208</v>
      </c>
      <c r="D88" s="54"/>
      <c r="E88" s="5"/>
      <c r="F88" s="5"/>
      <c r="G88" s="5"/>
      <c r="J88" s="5"/>
      <c r="M88" s="5"/>
      <c r="N88" s="5"/>
      <c r="P88" s="5"/>
    </row>
    <row r="89" spans="1:16" ht="13">
      <c r="A89" s="48" t="s">
        <v>615</v>
      </c>
      <c r="B89" s="49" t="s">
        <v>279</v>
      </c>
      <c r="C89" s="51" t="s">
        <v>225</v>
      </c>
      <c r="D89" s="54"/>
      <c r="E89" s="5"/>
      <c r="F89" s="5"/>
      <c r="G89" s="5"/>
      <c r="J89" s="5"/>
      <c r="M89" s="5"/>
      <c r="N89" s="5"/>
      <c r="P89" s="5"/>
    </row>
    <row r="90" spans="1:16" ht="13">
      <c r="A90" s="48" t="s">
        <v>616</v>
      </c>
      <c r="B90" s="49" t="s">
        <v>1437</v>
      </c>
      <c r="C90" s="51" t="s">
        <v>195</v>
      </c>
      <c r="D90" s="51"/>
      <c r="E90" s="5"/>
      <c r="F90" s="5"/>
      <c r="G90" s="5"/>
      <c r="J90" s="5"/>
      <c r="M90" s="5"/>
      <c r="N90" s="5"/>
      <c r="P90" s="5"/>
    </row>
    <row r="91" spans="1:16" ht="13">
      <c r="A91" s="48" t="s">
        <v>617</v>
      </c>
      <c r="B91" s="49" t="s">
        <v>193</v>
      </c>
      <c r="C91" s="51" t="s">
        <v>192</v>
      </c>
      <c r="D91" s="51"/>
      <c r="E91" s="5"/>
      <c r="F91" s="5"/>
      <c r="G91" s="5"/>
      <c r="J91" s="5"/>
      <c r="M91" s="5"/>
      <c r="N91" s="5"/>
      <c r="P91" s="5"/>
    </row>
    <row r="92" spans="1:16" ht="13">
      <c r="A92" s="48" t="s">
        <v>618</v>
      </c>
      <c r="B92" s="49" t="s">
        <v>381</v>
      </c>
      <c r="C92" s="51" t="s">
        <v>195</v>
      </c>
      <c r="D92" s="54"/>
      <c r="E92" s="5"/>
      <c r="F92" s="5"/>
      <c r="G92" s="5"/>
      <c r="J92" s="5"/>
      <c r="M92" s="5"/>
      <c r="N92" s="5"/>
      <c r="P92" s="5"/>
    </row>
    <row r="93" spans="1:16" ht="13">
      <c r="A93" s="48" t="s">
        <v>619</v>
      </c>
      <c r="B93" s="49" t="s">
        <v>262</v>
      </c>
      <c r="C93" s="51" t="s">
        <v>199</v>
      </c>
      <c r="D93" s="51"/>
      <c r="E93" s="5"/>
      <c r="F93" s="5"/>
      <c r="G93" s="5"/>
      <c r="J93" s="5"/>
      <c r="M93" s="5"/>
      <c r="N93" s="5"/>
      <c r="P93" s="5"/>
    </row>
    <row r="94" spans="1:16" ht="13">
      <c r="A94" s="48" t="s">
        <v>620</v>
      </c>
      <c r="B94" s="49" t="s">
        <v>871</v>
      </c>
      <c r="C94" s="51" t="s">
        <v>205</v>
      </c>
      <c r="D94" s="51"/>
      <c r="E94" s="5"/>
      <c r="F94" s="5"/>
      <c r="G94" s="5"/>
      <c r="J94" s="5"/>
      <c r="M94" s="5"/>
      <c r="N94" s="5"/>
      <c r="P94" s="5"/>
    </row>
    <row r="95" spans="1:16" ht="13">
      <c r="A95" s="48" t="s">
        <v>621</v>
      </c>
      <c r="B95" s="49" t="s">
        <v>336</v>
      </c>
      <c r="C95" s="51" t="s">
        <v>197</v>
      </c>
      <c r="D95" s="54"/>
      <c r="E95" s="5"/>
      <c r="F95" s="5"/>
      <c r="G95" s="5"/>
      <c r="J95" s="5"/>
      <c r="M95" s="5"/>
      <c r="N95" s="5"/>
      <c r="P95" s="5"/>
    </row>
    <row r="96" spans="1:16" ht="13">
      <c r="A96" s="48" t="s">
        <v>622</v>
      </c>
      <c r="B96" s="49" t="s">
        <v>1443</v>
      </c>
      <c r="C96" s="51" t="s">
        <v>208</v>
      </c>
      <c r="D96" s="51"/>
      <c r="E96" s="5"/>
      <c r="F96" s="5"/>
      <c r="G96" s="5"/>
      <c r="J96" s="5"/>
      <c r="M96" s="5"/>
      <c r="N96" s="5"/>
      <c r="P96" s="5"/>
    </row>
    <row r="97" spans="1:16" ht="13">
      <c r="A97" s="48" t="s">
        <v>623</v>
      </c>
      <c r="B97" s="49" t="s">
        <v>231</v>
      </c>
      <c r="C97" s="51" t="s">
        <v>199</v>
      </c>
      <c r="D97" s="51"/>
      <c r="E97" s="5"/>
      <c r="F97" s="5"/>
      <c r="G97" s="5"/>
      <c r="J97" s="5"/>
      <c r="M97" s="5"/>
      <c r="N97" s="5"/>
      <c r="P97" s="5"/>
    </row>
    <row r="98" spans="1:16" ht="13">
      <c r="A98" s="48" t="s">
        <v>624</v>
      </c>
      <c r="B98" s="49" t="s">
        <v>878</v>
      </c>
      <c r="C98" s="51" t="s">
        <v>192</v>
      </c>
      <c r="D98" s="54"/>
      <c r="E98" s="5"/>
      <c r="F98" s="5"/>
      <c r="G98" s="5"/>
      <c r="J98" s="5"/>
      <c r="M98" s="5"/>
      <c r="N98" s="5"/>
      <c r="P98" s="5"/>
    </row>
    <row r="99" spans="1:16" ht="13">
      <c r="A99" s="48" t="s">
        <v>625</v>
      </c>
      <c r="B99" s="49" t="s">
        <v>807</v>
      </c>
      <c r="C99" s="51" t="s">
        <v>808</v>
      </c>
      <c r="D99" s="51"/>
      <c r="E99" s="5"/>
      <c r="F99" s="5"/>
      <c r="G99" s="5"/>
      <c r="J99" s="5"/>
      <c r="M99" s="5"/>
      <c r="N99" s="5"/>
      <c r="P99" s="5"/>
    </row>
    <row r="100" spans="1:16" ht="13">
      <c r="A100" s="48" t="s">
        <v>626</v>
      </c>
      <c r="B100" s="49" t="s">
        <v>881</v>
      </c>
      <c r="C100" s="51" t="s">
        <v>195</v>
      </c>
      <c r="D100" s="54"/>
      <c r="E100" s="5"/>
      <c r="F100" s="5"/>
      <c r="G100" s="5"/>
      <c r="J100" s="5"/>
      <c r="M100" s="5"/>
      <c r="N100" s="5"/>
      <c r="P100" s="5"/>
    </row>
    <row r="101" spans="1:16" ht="13">
      <c r="A101" s="48" t="s">
        <v>627</v>
      </c>
      <c r="B101" s="49" t="s">
        <v>287</v>
      </c>
      <c r="C101" s="51" t="s">
        <v>195</v>
      </c>
      <c r="D101" s="54"/>
      <c r="E101" s="5"/>
      <c r="F101" s="5"/>
      <c r="G101" s="5"/>
      <c r="J101" s="5"/>
      <c r="M101" s="5"/>
      <c r="N101" s="5"/>
      <c r="P101" s="5"/>
    </row>
    <row r="102" spans="1:16" ht="13">
      <c r="A102" s="48" t="s">
        <v>628</v>
      </c>
      <c r="B102" s="49" t="s">
        <v>840</v>
      </c>
      <c r="C102" s="51" t="s">
        <v>225</v>
      </c>
      <c r="D102" s="51"/>
      <c r="E102" s="51"/>
      <c r="F102" s="5"/>
      <c r="G102" s="5"/>
      <c r="J102" s="5"/>
      <c r="M102" s="5"/>
      <c r="N102" s="5"/>
      <c r="P102" s="5"/>
    </row>
    <row r="103" spans="1:16" ht="13">
      <c r="A103" s="48" t="s">
        <v>629</v>
      </c>
      <c r="B103" s="49" t="s">
        <v>289</v>
      </c>
      <c r="C103" s="51" t="s">
        <v>197</v>
      </c>
      <c r="D103" s="51"/>
      <c r="E103" s="5"/>
      <c r="F103" s="5"/>
      <c r="G103" s="5"/>
      <c r="J103" s="5"/>
      <c r="M103" s="5"/>
      <c r="N103" s="5"/>
      <c r="P103" s="5"/>
    </row>
    <row r="104" spans="1:16" ht="13">
      <c r="A104" s="48" t="s">
        <v>630</v>
      </c>
      <c r="B104" s="49" t="s">
        <v>207</v>
      </c>
      <c r="C104" s="51" t="s">
        <v>208</v>
      </c>
      <c r="D104" s="51"/>
      <c r="E104" s="5"/>
      <c r="F104" s="5"/>
      <c r="G104" s="5"/>
      <c r="J104" s="5"/>
      <c r="M104" s="5"/>
      <c r="N104" s="5"/>
      <c r="P104" s="5"/>
    </row>
    <row r="105" spans="1:16" ht="13">
      <c r="A105" s="48" t="s">
        <v>631</v>
      </c>
      <c r="B105" s="49" t="s">
        <v>978</v>
      </c>
      <c r="C105" s="51" t="s">
        <v>208</v>
      </c>
      <c r="D105" s="54"/>
      <c r="E105" s="5"/>
      <c r="F105" s="5"/>
      <c r="G105" s="5"/>
      <c r="J105" s="5"/>
      <c r="M105" s="5"/>
      <c r="N105" s="5"/>
      <c r="P105" s="5"/>
    </row>
    <row r="106" spans="1:16" ht="13">
      <c r="A106" s="48" t="s">
        <v>632</v>
      </c>
      <c r="B106" s="49" t="s">
        <v>1307</v>
      </c>
      <c r="C106" s="51" t="s">
        <v>195</v>
      </c>
      <c r="D106" s="51"/>
      <c r="E106" s="5"/>
      <c r="F106" s="5"/>
      <c r="G106" s="5"/>
      <c r="J106" s="5"/>
      <c r="M106" s="5"/>
      <c r="N106" s="5"/>
      <c r="P106" s="5"/>
    </row>
    <row r="107" spans="1:16" ht="13">
      <c r="A107" s="48" t="s">
        <v>633</v>
      </c>
      <c r="B107" s="49" t="s">
        <v>292</v>
      </c>
      <c r="C107" s="51" t="s">
        <v>197</v>
      </c>
      <c r="D107" s="54"/>
      <c r="E107" s="5"/>
      <c r="F107" s="5"/>
      <c r="G107" s="5"/>
      <c r="J107" s="5"/>
      <c r="M107" s="5"/>
      <c r="N107" s="5"/>
      <c r="P107" s="5"/>
    </row>
    <row r="108" spans="1:16" ht="13">
      <c r="A108" s="48" t="s">
        <v>634</v>
      </c>
      <c r="B108" s="49" t="s">
        <v>886</v>
      </c>
      <c r="C108" s="51" t="s">
        <v>197</v>
      </c>
      <c r="D108" s="51"/>
      <c r="E108" s="5"/>
      <c r="F108" s="5"/>
      <c r="G108" s="5"/>
      <c r="J108" s="5"/>
      <c r="M108" s="5"/>
      <c r="N108" s="5"/>
      <c r="P108" s="5"/>
    </row>
    <row r="109" spans="1:16" ht="13">
      <c r="A109" s="48" t="s">
        <v>635</v>
      </c>
      <c r="B109" s="49" t="s">
        <v>386</v>
      </c>
      <c r="C109" s="51" t="s">
        <v>208</v>
      </c>
      <c r="D109" s="54"/>
      <c r="E109" s="5"/>
      <c r="F109" s="5"/>
      <c r="G109" s="5"/>
      <c r="J109" s="5"/>
      <c r="M109" s="5"/>
      <c r="N109" s="5"/>
      <c r="P109" s="5"/>
    </row>
    <row r="110" spans="1:16" ht="13">
      <c r="A110" s="48" t="s">
        <v>636</v>
      </c>
      <c r="B110" s="49" t="s">
        <v>3325</v>
      </c>
      <c r="C110" s="51" t="s">
        <v>208</v>
      </c>
      <c r="D110" s="51"/>
      <c r="E110" s="5"/>
      <c r="F110" s="5"/>
      <c r="G110" s="5"/>
      <c r="J110" s="5"/>
      <c r="M110" s="5"/>
      <c r="N110" s="5"/>
      <c r="P110" s="5"/>
    </row>
    <row r="111" spans="1:16" ht="13">
      <c r="A111" s="48" t="s">
        <v>637</v>
      </c>
      <c r="B111" s="49" t="s">
        <v>3326</v>
      </c>
      <c r="C111" s="51" t="s">
        <v>208</v>
      </c>
      <c r="D111" s="54"/>
      <c r="E111" s="5"/>
      <c r="F111" s="5"/>
      <c r="G111" s="5"/>
      <c r="J111" s="5"/>
      <c r="M111" s="5"/>
      <c r="N111" s="5"/>
      <c r="P111" s="5"/>
    </row>
    <row r="112" spans="1:16" ht="13">
      <c r="A112" s="48" t="s">
        <v>638</v>
      </c>
      <c r="B112" s="49" t="s">
        <v>1311</v>
      </c>
      <c r="C112" s="51" t="s">
        <v>205</v>
      </c>
      <c r="D112" s="54"/>
      <c r="E112" s="5"/>
      <c r="F112" s="5"/>
      <c r="G112" s="5"/>
      <c r="J112" s="5"/>
      <c r="M112" s="5"/>
      <c r="N112" s="5"/>
      <c r="P112" s="5"/>
    </row>
    <row r="113" spans="1:16" ht="13">
      <c r="A113" s="48" t="s">
        <v>639</v>
      </c>
      <c r="B113" s="49" t="s">
        <v>888</v>
      </c>
      <c r="C113" s="51" t="s">
        <v>205</v>
      </c>
      <c r="D113" s="54"/>
      <c r="E113" s="5"/>
      <c r="F113" s="5"/>
      <c r="G113" s="5"/>
      <c r="J113" s="5"/>
      <c r="M113" s="5"/>
      <c r="N113" s="5"/>
      <c r="P113" s="5"/>
    </row>
    <row r="114" spans="1:16" ht="13">
      <c r="A114" s="48" t="s">
        <v>640</v>
      </c>
      <c r="B114" s="49" t="s">
        <v>1548</v>
      </c>
      <c r="C114" s="51" t="s">
        <v>195</v>
      </c>
      <c r="D114" s="54"/>
      <c r="E114" s="5"/>
      <c r="F114" s="5"/>
      <c r="G114" s="5"/>
      <c r="J114" s="5"/>
      <c r="M114" s="5"/>
      <c r="N114" s="5"/>
      <c r="P114" s="5"/>
    </row>
    <row r="115" spans="1:16" ht="13">
      <c r="A115" s="48" t="s">
        <v>641</v>
      </c>
      <c r="B115" s="49" t="s">
        <v>1857</v>
      </c>
      <c r="C115" s="51" t="s">
        <v>197</v>
      </c>
      <c r="D115" s="51"/>
      <c r="E115" s="5"/>
      <c r="F115" s="5"/>
      <c r="G115" s="5"/>
      <c r="J115" s="5"/>
      <c r="M115" s="5"/>
      <c r="N115" s="5"/>
      <c r="P115" s="5"/>
    </row>
    <row r="116" spans="1:16" ht="13">
      <c r="A116" s="48" t="s">
        <v>642</v>
      </c>
      <c r="B116" s="49" t="s">
        <v>294</v>
      </c>
      <c r="C116" s="51" t="s">
        <v>208</v>
      </c>
      <c r="D116" s="54"/>
      <c r="E116" s="5"/>
      <c r="F116" s="5"/>
      <c r="G116" s="5"/>
      <c r="J116" s="5"/>
      <c r="M116" s="5"/>
      <c r="N116" s="5"/>
      <c r="P116" s="5"/>
    </row>
    <row r="117" spans="1:16" ht="13">
      <c r="A117" s="48" t="s">
        <v>643</v>
      </c>
      <c r="B117" s="49" t="s">
        <v>895</v>
      </c>
      <c r="C117" s="51" t="s">
        <v>197</v>
      </c>
      <c r="D117" s="51"/>
      <c r="E117" s="5"/>
      <c r="F117" s="5"/>
      <c r="G117" s="5"/>
      <c r="J117" s="5"/>
      <c r="M117" s="5"/>
      <c r="N117" s="5"/>
      <c r="P117" s="5"/>
    </row>
    <row r="118" spans="1:16" ht="13">
      <c r="A118" s="48" t="s">
        <v>644</v>
      </c>
      <c r="B118" s="49" t="s">
        <v>899</v>
      </c>
      <c r="C118" s="51" t="s">
        <v>205</v>
      </c>
      <c r="D118" s="54"/>
      <c r="E118" s="5"/>
      <c r="F118" s="5"/>
      <c r="G118" s="5"/>
      <c r="J118" s="5"/>
      <c r="M118" s="5"/>
      <c r="N118" s="5"/>
      <c r="P118" s="5"/>
    </row>
    <row r="119" spans="1:16" ht="13">
      <c r="A119" s="48" t="s">
        <v>645</v>
      </c>
      <c r="B119" s="49" t="s">
        <v>1461</v>
      </c>
      <c r="C119" s="51" t="s">
        <v>225</v>
      </c>
      <c r="D119" s="54"/>
      <c r="E119" s="5"/>
      <c r="F119" s="5"/>
      <c r="G119" s="5"/>
      <c r="J119" s="5"/>
      <c r="M119" s="5"/>
      <c r="N119" s="5"/>
      <c r="P119" s="5"/>
    </row>
    <row r="120" spans="1:16" ht="13">
      <c r="A120" s="48" t="s">
        <v>646</v>
      </c>
      <c r="B120" s="49" t="s">
        <v>356</v>
      </c>
      <c r="C120" s="51" t="s">
        <v>205</v>
      </c>
      <c r="D120" s="51"/>
      <c r="E120" s="5"/>
      <c r="F120" s="5"/>
      <c r="G120" s="5"/>
      <c r="J120" s="5"/>
      <c r="M120" s="5"/>
      <c r="N120" s="5"/>
      <c r="P120" s="5"/>
    </row>
    <row r="121" spans="1:16" ht="13">
      <c r="A121" s="48" t="s">
        <v>647</v>
      </c>
      <c r="B121" s="49" t="s">
        <v>298</v>
      </c>
      <c r="C121" s="51" t="s">
        <v>192</v>
      </c>
      <c r="D121" s="51"/>
      <c r="E121" s="5"/>
      <c r="F121" s="5"/>
      <c r="G121" s="5"/>
      <c r="J121" s="5"/>
      <c r="M121" s="5"/>
      <c r="N121" s="5"/>
      <c r="P121" s="5"/>
    </row>
    <row r="122" spans="1:16" ht="13">
      <c r="A122" s="48" t="s">
        <v>648</v>
      </c>
      <c r="B122" s="49" t="s">
        <v>906</v>
      </c>
      <c r="C122" s="51" t="s">
        <v>208</v>
      </c>
      <c r="D122" s="51"/>
      <c r="E122" s="5"/>
      <c r="F122" s="5"/>
      <c r="G122" s="5"/>
      <c r="J122" s="5"/>
      <c r="M122" s="5"/>
      <c r="N122" s="5"/>
      <c r="P122" s="5"/>
    </row>
    <row r="123" spans="1:16" ht="13">
      <c r="A123" s="48" t="s">
        <v>649</v>
      </c>
      <c r="B123" s="49" t="s">
        <v>3286</v>
      </c>
      <c r="C123" s="51" t="s">
        <v>1013</v>
      </c>
      <c r="D123" s="51"/>
      <c r="E123" s="5"/>
      <c r="F123" s="5"/>
      <c r="G123" s="5"/>
      <c r="J123" s="5"/>
      <c r="M123" s="5"/>
      <c r="N123" s="5"/>
      <c r="P123" s="5"/>
    </row>
    <row r="124" spans="1:16" ht="13">
      <c r="A124" s="48" t="s">
        <v>650</v>
      </c>
      <c r="B124" s="49" t="s">
        <v>3294</v>
      </c>
      <c r="C124" s="51" t="s">
        <v>206</v>
      </c>
      <c r="D124" s="54"/>
      <c r="E124" s="5"/>
      <c r="F124" s="5"/>
      <c r="G124" s="5"/>
      <c r="J124" s="5"/>
      <c r="M124" s="5"/>
      <c r="N124" s="5"/>
      <c r="P124" s="5"/>
    </row>
    <row r="125" spans="1:16" ht="13">
      <c r="A125" s="48" t="s">
        <v>651</v>
      </c>
      <c r="B125" s="49" t="s">
        <v>310</v>
      </c>
      <c r="C125" s="51" t="s">
        <v>206</v>
      </c>
      <c r="D125" s="51"/>
      <c r="E125" s="5"/>
      <c r="F125" s="5"/>
      <c r="G125" s="5"/>
      <c r="J125" s="5"/>
      <c r="M125" s="5"/>
      <c r="N125" s="5"/>
      <c r="P125" s="5"/>
    </row>
    <row r="126" spans="1:16" ht="13">
      <c r="A126" s="48" t="s">
        <v>652</v>
      </c>
      <c r="B126" s="49" t="s">
        <v>3327</v>
      </c>
      <c r="C126" s="51" t="s">
        <v>1013</v>
      </c>
      <c r="D126" s="51"/>
      <c r="E126" s="5"/>
      <c r="F126" s="5"/>
      <c r="G126" s="5"/>
      <c r="J126" s="5"/>
      <c r="M126" s="5"/>
      <c r="N126" s="5"/>
      <c r="P126" s="5"/>
    </row>
    <row r="127" spans="1:16" ht="13">
      <c r="A127" s="48" t="s">
        <v>653</v>
      </c>
      <c r="B127" s="49" t="s">
        <v>3152</v>
      </c>
      <c r="C127" s="51" t="s">
        <v>1013</v>
      </c>
      <c r="D127" s="54"/>
      <c r="E127" s="5"/>
      <c r="F127" s="5"/>
      <c r="G127" s="5"/>
      <c r="J127" s="5"/>
      <c r="M127" s="5"/>
      <c r="N127" s="5"/>
      <c r="P127" s="5"/>
    </row>
    <row r="128" spans="1:16" ht="13">
      <c r="A128" s="48" t="s">
        <v>654</v>
      </c>
      <c r="B128" s="49" t="s">
        <v>3153</v>
      </c>
      <c r="C128" s="51" t="s">
        <v>1013</v>
      </c>
      <c r="D128" s="51"/>
      <c r="E128" s="5"/>
      <c r="F128" s="5"/>
      <c r="G128" s="5"/>
      <c r="J128" s="5"/>
      <c r="M128" s="5"/>
      <c r="N128" s="5"/>
      <c r="P128" s="5"/>
    </row>
    <row r="129" spans="1:16" ht="13">
      <c r="A129" s="48" t="s">
        <v>655</v>
      </c>
      <c r="B129" s="49" t="s">
        <v>3328</v>
      </c>
      <c r="C129" s="51" t="s">
        <v>1013</v>
      </c>
      <c r="D129" s="51"/>
      <c r="E129" s="5"/>
      <c r="F129" s="5"/>
      <c r="G129" s="5"/>
      <c r="J129" s="5"/>
      <c r="M129" s="5"/>
      <c r="N129" s="5"/>
      <c r="P129" s="5"/>
    </row>
    <row r="130" spans="1:16" ht="13">
      <c r="A130" s="48" t="s">
        <v>656</v>
      </c>
      <c r="B130" s="49" t="s">
        <v>3329</v>
      </c>
      <c r="C130" s="51" t="s">
        <v>1013</v>
      </c>
      <c r="D130" s="51"/>
      <c r="E130" s="5"/>
      <c r="F130" s="5"/>
      <c r="G130" s="5"/>
      <c r="J130" s="5"/>
      <c r="M130" s="5"/>
      <c r="N130" s="5"/>
      <c r="P130" s="5"/>
    </row>
    <row r="131" spans="1:16" ht="13">
      <c r="A131" s="48" t="s">
        <v>3330</v>
      </c>
      <c r="B131" s="49" t="s">
        <v>314</v>
      </c>
      <c r="C131" s="51" t="s">
        <v>206</v>
      </c>
      <c r="D131" s="51"/>
      <c r="E131" s="5"/>
      <c r="F131" s="5"/>
      <c r="G131" s="5"/>
      <c r="J131" s="5"/>
      <c r="M131" s="5"/>
      <c r="N131" s="5"/>
      <c r="P131" s="5"/>
    </row>
    <row r="132" spans="1:16" ht="13">
      <c r="A132" s="48" t="s">
        <v>3331</v>
      </c>
      <c r="B132" s="49" t="s">
        <v>315</v>
      </c>
      <c r="C132" s="51" t="s">
        <v>206</v>
      </c>
      <c r="D132" s="51"/>
      <c r="E132" s="5"/>
      <c r="F132" s="5"/>
      <c r="G132" s="5"/>
      <c r="J132" s="5"/>
      <c r="M132" s="5"/>
      <c r="N132" s="5"/>
      <c r="P132" s="5"/>
    </row>
    <row r="133" spans="1:16" ht="13">
      <c r="A133" s="48" t="s">
        <v>3332</v>
      </c>
      <c r="B133" s="49" t="s">
        <v>933</v>
      </c>
      <c r="C133" s="51" t="s">
        <v>317</v>
      </c>
      <c r="D133" s="54"/>
      <c r="E133" s="5"/>
      <c r="F133" s="5"/>
      <c r="G133" s="5"/>
      <c r="J133" s="5"/>
      <c r="M133" s="5"/>
      <c r="N133" s="5"/>
      <c r="P133" s="5"/>
    </row>
    <row r="134" spans="1:16" ht="13">
      <c r="A134" s="48" t="s">
        <v>3333</v>
      </c>
      <c r="B134" s="49" t="s">
        <v>798</v>
      </c>
      <c r="C134" s="51" t="s">
        <v>317</v>
      </c>
      <c r="D134" s="54"/>
      <c r="E134" s="5"/>
      <c r="F134" s="5"/>
      <c r="G134" s="5"/>
      <c r="J134" s="5"/>
      <c r="M134" s="5"/>
      <c r="N134" s="5"/>
      <c r="P134" s="5"/>
    </row>
    <row r="135" spans="1:16" ht="13">
      <c r="A135" s="48" t="s">
        <v>3334</v>
      </c>
      <c r="B135" s="49" t="s">
        <v>3335</v>
      </c>
      <c r="C135" s="51" t="s">
        <v>195</v>
      </c>
      <c r="D135" s="54"/>
      <c r="E135" s="5"/>
      <c r="F135" s="5"/>
      <c r="G135" s="5"/>
      <c r="J135" s="5"/>
      <c r="M135" s="5"/>
      <c r="N135" s="5"/>
      <c r="P135" s="5"/>
    </row>
    <row r="136" spans="1:16" ht="13">
      <c r="A136" s="48" t="s">
        <v>3336</v>
      </c>
      <c r="B136" s="49" t="s">
        <v>3337</v>
      </c>
      <c r="C136" s="51" t="s">
        <v>808</v>
      </c>
      <c r="D136" s="54"/>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2C00-000000000000}"/>
    <hyperlink ref="B6" r:id="rId2" xr:uid="{00000000-0004-0000-2C00-000001000000}"/>
    <hyperlink ref="B7" r:id="rId3" xr:uid="{00000000-0004-0000-2C00-000002000000}"/>
    <hyperlink ref="B8" r:id="rId4" xr:uid="{00000000-0004-0000-2C00-000003000000}"/>
    <hyperlink ref="B9" r:id="rId5" xr:uid="{00000000-0004-0000-2C00-000004000000}"/>
    <hyperlink ref="B10" r:id="rId6" xr:uid="{00000000-0004-0000-2C00-000005000000}"/>
    <hyperlink ref="B11" r:id="rId7" xr:uid="{00000000-0004-0000-2C00-000006000000}"/>
    <hyperlink ref="B12" r:id="rId8" xr:uid="{00000000-0004-0000-2C00-000007000000}"/>
    <hyperlink ref="B13" r:id="rId9" xr:uid="{00000000-0004-0000-2C00-000008000000}"/>
    <hyperlink ref="B14" r:id="rId10" xr:uid="{00000000-0004-0000-2C00-000009000000}"/>
    <hyperlink ref="B15" r:id="rId11" xr:uid="{00000000-0004-0000-2C00-00000A000000}"/>
    <hyperlink ref="B16" r:id="rId12" xr:uid="{00000000-0004-0000-2C00-00000B000000}"/>
    <hyperlink ref="B17" r:id="rId13" xr:uid="{00000000-0004-0000-2C00-00000C000000}"/>
    <hyperlink ref="B18" r:id="rId14" xr:uid="{00000000-0004-0000-2C00-00000D000000}"/>
    <hyperlink ref="B19" r:id="rId15" xr:uid="{00000000-0004-0000-2C00-00000E000000}"/>
    <hyperlink ref="B20" r:id="rId16" xr:uid="{00000000-0004-0000-2C00-00000F000000}"/>
    <hyperlink ref="B21" r:id="rId17" xr:uid="{00000000-0004-0000-2C00-000010000000}"/>
    <hyperlink ref="B22" r:id="rId18" xr:uid="{00000000-0004-0000-2C00-000011000000}"/>
    <hyperlink ref="B23" r:id="rId19" xr:uid="{00000000-0004-0000-2C00-000012000000}"/>
    <hyperlink ref="B24" r:id="rId20" xr:uid="{00000000-0004-0000-2C00-000013000000}"/>
    <hyperlink ref="B25" r:id="rId21" xr:uid="{00000000-0004-0000-2C00-000014000000}"/>
    <hyperlink ref="B26" r:id="rId22" xr:uid="{00000000-0004-0000-2C00-000015000000}"/>
    <hyperlink ref="B27" r:id="rId23" xr:uid="{00000000-0004-0000-2C00-000016000000}"/>
    <hyperlink ref="B28" r:id="rId24" xr:uid="{00000000-0004-0000-2C00-000017000000}"/>
    <hyperlink ref="B29" r:id="rId25" xr:uid="{00000000-0004-0000-2C00-000018000000}"/>
    <hyperlink ref="B30" r:id="rId26" xr:uid="{00000000-0004-0000-2C00-000019000000}"/>
    <hyperlink ref="B31" r:id="rId27" xr:uid="{00000000-0004-0000-2C00-00001A000000}"/>
    <hyperlink ref="B32" r:id="rId28" xr:uid="{00000000-0004-0000-2C00-00001B000000}"/>
    <hyperlink ref="B33" r:id="rId29" xr:uid="{00000000-0004-0000-2C00-00001C000000}"/>
    <hyperlink ref="B34" r:id="rId30" xr:uid="{00000000-0004-0000-2C00-00001D000000}"/>
    <hyperlink ref="B35" r:id="rId31" xr:uid="{00000000-0004-0000-2C00-00001E000000}"/>
    <hyperlink ref="B36" r:id="rId32" xr:uid="{00000000-0004-0000-2C00-00001F000000}"/>
    <hyperlink ref="B37" r:id="rId33" xr:uid="{00000000-0004-0000-2C00-000020000000}"/>
    <hyperlink ref="B38" r:id="rId34" xr:uid="{00000000-0004-0000-2C00-000021000000}"/>
    <hyperlink ref="B39" r:id="rId35" xr:uid="{00000000-0004-0000-2C00-000022000000}"/>
    <hyperlink ref="B40" r:id="rId36" xr:uid="{00000000-0004-0000-2C00-000023000000}"/>
    <hyperlink ref="B41" r:id="rId37" xr:uid="{00000000-0004-0000-2C00-000024000000}"/>
    <hyperlink ref="B42" r:id="rId38" xr:uid="{00000000-0004-0000-2C00-000025000000}"/>
    <hyperlink ref="B43" r:id="rId39" xr:uid="{00000000-0004-0000-2C00-000026000000}"/>
    <hyperlink ref="B44" r:id="rId40" xr:uid="{00000000-0004-0000-2C00-000027000000}"/>
    <hyperlink ref="B45" r:id="rId41" xr:uid="{00000000-0004-0000-2C00-000028000000}"/>
    <hyperlink ref="B46" r:id="rId42" xr:uid="{00000000-0004-0000-2C00-000029000000}"/>
    <hyperlink ref="B47" r:id="rId43" xr:uid="{00000000-0004-0000-2C00-00002A000000}"/>
    <hyperlink ref="B48" r:id="rId44" xr:uid="{00000000-0004-0000-2C00-00002B000000}"/>
    <hyperlink ref="B49" r:id="rId45" xr:uid="{00000000-0004-0000-2C00-00002C000000}"/>
    <hyperlink ref="B50" r:id="rId46" xr:uid="{00000000-0004-0000-2C00-00002D000000}"/>
    <hyperlink ref="B51" r:id="rId47" xr:uid="{00000000-0004-0000-2C00-00002E000000}"/>
    <hyperlink ref="B52" r:id="rId48" xr:uid="{00000000-0004-0000-2C00-00002F000000}"/>
    <hyperlink ref="B53" r:id="rId49" xr:uid="{00000000-0004-0000-2C00-000030000000}"/>
    <hyperlink ref="B54" r:id="rId50" xr:uid="{00000000-0004-0000-2C00-000031000000}"/>
    <hyperlink ref="B55" r:id="rId51" xr:uid="{00000000-0004-0000-2C00-000032000000}"/>
    <hyperlink ref="B56" r:id="rId52" xr:uid="{00000000-0004-0000-2C00-000033000000}"/>
    <hyperlink ref="B57" r:id="rId53" xr:uid="{00000000-0004-0000-2C00-000034000000}"/>
    <hyperlink ref="B58" r:id="rId54" xr:uid="{00000000-0004-0000-2C00-000035000000}"/>
    <hyperlink ref="B59" r:id="rId55" xr:uid="{00000000-0004-0000-2C00-000036000000}"/>
    <hyperlink ref="B60" r:id="rId56" xr:uid="{00000000-0004-0000-2C00-000037000000}"/>
    <hyperlink ref="B61" r:id="rId57" xr:uid="{00000000-0004-0000-2C00-000038000000}"/>
    <hyperlink ref="B62" r:id="rId58" xr:uid="{00000000-0004-0000-2C00-000039000000}"/>
    <hyperlink ref="B63" r:id="rId59" xr:uid="{00000000-0004-0000-2C00-00003A000000}"/>
    <hyperlink ref="B64" r:id="rId60" xr:uid="{00000000-0004-0000-2C00-00003B000000}"/>
    <hyperlink ref="B65" r:id="rId61" xr:uid="{00000000-0004-0000-2C00-00003C000000}"/>
    <hyperlink ref="B66" r:id="rId62" xr:uid="{00000000-0004-0000-2C00-00003D000000}"/>
    <hyperlink ref="B67" r:id="rId63" xr:uid="{00000000-0004-0000-2C00-00003E000000}"/>
    <hyperlink ref="B68" r:id="rId64" xr:uid="{00000000-0004-0000-2C00-00003F000000}"/>
    <hyperlink ref="B69" r:id="rId65" xr:uid="{00000000-0004-0000-2C00-000040000000}"/>
    <hyperlink ref="B70" r:id="rId66" xr:uid="{00000000-0004-0000-2C00-000041000000}"/>
    <hyperlink ref="B71" r:id="rId67" xr:uid="{00000000-0004-0000-2C00-000042000000}"/>
    <hyperlink ref="B72" r:id="rId68" xr:uid="{00000000-0004-0000-2C00-000043000000}"/>
    <hyperlink ref="B73" r:id="rId69" xr:uid="{00000000-0004-0000-2C00-000044000000}"/>
    <hyperlink ref="B74" r:id="rId70" xr:uid="{00000000-0004-0000-2C00-000045000000}"/>
    <hyperlink ref="B75" r:id="rId71" xr:uid="{00000000-0004-0000-2C00-000046000000}"/>
    <hyperlink ref="B76" r:id="rId72" xr:uid="{00000000-0004-0000-2C00-000047000000}"/>
    <hyperlink ref="B77" r:id="rId73" xr:uid="{00000000-0004-0000-2C00-000048000000}"/>
    <hyperlink ref="B78" r:id="rId74" xr:uid="{00000000-0004-0000-2C00-000049000000}"/>
    <hyperlink ref="B79" r:id="rId75" xr:uid="{00000000-0004-0000-2C00-00004A000000}"/>
    <hyperlink ref="B80" r:id="rId76" xr:uid="{00000000-0004-0000-2C00-00004B000000}"/>
    <hyperlink ref="B81" r:id="rId77" xr:uid="{00000000-0004-0000-2C00-00004C000000}"/>
    <hyperlink ref="B82" r:id="rId78" xr:uid="{00000000-0004-0000-2C00-00004D000000}"/>
    <hyperlink ref="B83" r:id="rId79" xr:uid="{00000000-0004-0000-2C00-00004E000000}"/>
    <hyperlink ref="B84" r:id="rId80" xr:uid="{00000000-0004-0000-2C00-00004F000000}"/>
    <hyperlink ref="B85" r:id="rId81" xr:uid="{00000000-0004-0000-2C00-000050000000}"/>
    <hyperlink ref="B86" r:id="rId82" xr:uid="{00000000-0004-0000-2C00-000051000000}"/>
    <hyperlink ref="B87" r:id="rId83" xr:uid="{00000000-0004-0000-2C00-000052000000}"/>
    <hyperlink ref="B88" r:id="rId84" xr:uid="{00000000-0004-0000-2C00-000053000000}"/>
    <hyperlink ref="B89" r:id="rId85" xr:uid="{00000000-0004-0000-2C00-000054000000}"/>
    <hyperlink ref="B90" r:id="rId86" xr:uid="{00000000-0004-0000-2C00-000055000000}"/>
    <hyperlink ref="B91" r:id="rId87" xr:uid="{00000000-0004-0000-2C00-000056000000}"/>
    <hyperlink ref="B92" r:id="rId88" xr:uid="{00000000-0004-0000-2C00-000057000000}"/>
    <hyperlink ref="B93" r:id="rId89" xr:uid="{00000000-0004-0000-2C00-000058000000}"/>
    <hyperlink ref="B94" r:id="rId90" xr:uid="{00000000-0004-0000-2C00-000059000000}"/>
    <hyperlink ref="B95" r:id="rId91" xr:uid="{00000000-0004-0000-2C00-00005A000000}"/>
    <hyperlink ref="B96" r:id="rId92" xr:uid="{00000000-0004-0000-2C00-00005B000000}"/>
    <hyperlink ref="B97" r:id="rId93" xr:uid="{00000000-0004-0000-2C00-00005C000000}"/>
    <hyperlink ref="B98" r:id="rId94" xr:uid="{00000000-0004-0000-2C00-00005D000000}"/>
    <hyperlink ref="B99" r:id="rId95" xr:uid="{00000000-0004-0000-2C00-00005E000000}"/>
    <hyperlink ref="B100" r:id="rId96" xr:uid="{00000000-0004-0000-2C00-00005F000000}"/>
    <hyperlink ref="B101" r:id="rId97" xr:uid="{00000000-0004-0000-2C00-000060000000}"/>
    <hyperlink ref="B102" r:id="rId98" xr:uid="{00000000-0004-0000-2C00-000061000000}"/>
    <hyperlink ref="B103" r:id="rId99" xr:uid="{00000000-0004-0000-2C00-000062000000}"/>
    <hyperlink ref="B104" r:id="rId100" xr:uid="{00000000-0004-0000-2C00-000063000000}"/>
    <hyperlink ref="B105" r:id="rId101" xr:uid="{00000000-0004-0000-2C00-000064000000}"/>
    <hyperlink ref="B106" r:id="rId102" xr:uid="{00000000-0004-0000-2C00-000065000000}"/>
    <hyperlink ref="B107" r:id="rId103" xr:uid="{00000000-0004-0000-2C00-000066000000}"/>
    <hyperlink ref="B108" r:id="rId104" xr:uid="{00000000-0004-0000-2C00-000067000000}"/>
    <hyperlink ref="B109" r:id="rId105" xr:uid="{00000000-0004-0000-2C00-000068000000}"/>
    <hyperlink ref="B110" r:id="rId106" xr:uid="{00000000-0004-0000-2C00-000069000000}"/>
    <hyperlink ref="B111" r:id="rId107" xr:uid="{00000000-0004-0000-2C00-00006A000000}"/>
    <hyperlink ref="B112" r:id="rId108" xr:uid="{00000000-0004-0000-2C00-00006B000000}"/>
    <hyperlink ref="B113" r:id="rId109" xr:uid="{00000000-0004-0000-2C00-00006C000000}"/>
    <hyperlink ref="B114" r:id="rId110" xr:uid="{00000000-0004-0000-2C00-00006D000000}"/>
    <hyperlink ref="B115" r:id="rId111" xr:uid="{00000000-0004-0000-2C00-00006E000000}"/>
    <hyperlink ref="B116" r:id="rId112" xr:uid="{00000000-0004-0000-2C00-00006F000000}"/>
    <hyperlink ref="B117" r:id="rId113" xr:uid="{00000000-0004-0000-2C00-000070000000}"/>
    <hyperlink ref="B118" r:id="rId114" xr:uid="{00000000-0004-0000-2C00-000071000000}"/>
    <hyperlink ref="B119" r:id="rId115" xr:uid="{00000000-0004-0000-2C00-000072000000}"/>
    <hyperlink ref="B120" r:id="rId116" xr:uid="{00000000-0004-0000-2C00-000073000000}"/>
    <hyperlink ref="B121" r:id="rId117" xr:uid="{00000000-0004-0000-2C00-000074000000}"/>
    <hyperlink ref="B122" r:id="rId118" xr:uid="{00000000-0004-0000-2C00-000075000000}"/>
    <hyperlink ref="B123" r:id="rId119" xr:uid="{00000000-0004-0000-2C00-000076000000}"/>
    <hyperlink ref="B124" r:id="rId120" xr:uid="{00000000-0004-0000-2C00-000077000000}"/>
    <hyperlink ref="B125" r:id="rId121" xr:uid="{00000000-0004-0000-2C00-000078000000}"/>
    <hyperlink ref="B126" r:id="rId122" xr:uid="{00000000-0004-0000-2C00-000079000000}"/>
    <hyperlink ref="B127" r:id="rId123" xr:uid="{00000000-0004-0000-2C00-00007A000000}"/>
    <hyperlink ref="B128" r:id="rId124" xr:uid="{00000000-0004-0000-2C00-00007B000000}"/>
    <hyperlink ref="B129" r:id="rId125" xr:uid="{00000000-0004-0000-2C00-00007C000000}"/>
    <hyperlink ref="B130" r:id="rId126" xr:uid="{00000000-0004-0000-2C00-00007D000000}"/>
    <hyperlink ref="B131" r:id="rId127" xr:uid="{00000000-0004-0000-2C00-00007E000000}"/>
    <hyperlink ref="B132" r:id="rId128" xr:uid="{00000000-0004-0000-2C00-00007F000000}"/>
    <hyperlink ref="B133" r:id="rId129" xr:uid="{00000000-0004-0000-2C00-000080000000}"/>
    <hyperlink ref="B134" r:id="rId130" xr:uid="{00000000-0004-0000-2C00-000081000000}"/>
    <hyperlink ref="B135" r:id="rId131" xr:uid="{00000000-0004-0000-2C00-000082000000}"/>
    <hyperlink ref="B136" r:id="rId132" xr:uid="{00000000-0004-0000-2C00-000083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4.83203125" customWidth="1"/>
    <col min="3" max="3" width="13.5" customWidth="1"/>
    <col min="4" max="4" width="14.83203125" customWidth="1"/>
    <col min="5" max="5" width="14.33203125" customWidth="1"/>
    <col min="11" max="11" width="13.83203125" customWidth="1"/>
  </cols>
  <sheetData>
    <row r="1" spans="1:23" ht="15.75" customHeight="1">
      <c r="A1" s="1" t="s">
        <v>41</v>
      </c>
      <c r="B1" s="36"/>
      <c r="C1" s="46"/>
      <c r="D1" s="7" t="s">
        <v>181</v>
      </c>
      <c r="E1" s="5"/>
      <c r="F1" s="5"/>
      <c r="G1" s="5"/>
      <c r="K1" s="1"/>
      <c r="M1" s="5"/>
      <c r="N1" s="5"/>
      <c r="S1" s="1"/>
      <c r="U1" s="5"/>
    </row>
    <row r="2" spans="1:23" ht="15.75" customHeight="1">
      <c r="A2" s="7" t="s">
        <v>182</v>
      </c>
      <c r="B2" s="38">
        <v>39491</v>
      </c>
      <c r="C2" s="46"/>
      <c r="D2" s="39">
        <f>SUM(D5:G110)</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2229</v>
      </c>
      <c r="B5" s="49" t="s">
        <v>1212</v>
      </c>
      <c r="C5" s="51" t="s">
        <v>199</v>
      </c>
      <c r="D5" s="54"/>
      <c r="E5" s="5"/>
      <c r="F5" s="5"/>
      <c r="G5" s="5"/>
      <c r="L5" s="43"/>
      <c r="M5" s="43"/>
      <c r="N5" s="42"/>
      <c r="O5" s="44"/>
      <c r="S5" s="42"/>
      <c r="T5" s="43"/>
      <c r="U5" s="43"/>
      <c r="V5" s="42"/>
      <c r="W5" s="44"/>
    </row>
    <row r="6" spans="1:23" ht="15.75" customHeight="1">
      <c r="A6" s="48" t="s">
        <v>2230</v>
      </c>
      <c r="B6" s="49" t="s">
        <v>3101</v>
      </c>
      <c r="C6" s="51" t="s">
        <v>195</v>
      </c>
      <c r="D6" s="54"/>
      <c r="E6" s="5"/>
      <c r="F6" s="51"/>
      <c r="G6" s="5"/>
      <c r="L6" s="50"/>
      <c r="M6" s="51"/>
      <c r="N6" s="5"/>
      <c r="S6" s="52"/>
      <c r="T6" s="50"/>
      <c r="U6" s="51"/>
    </row>
    <row r="7" spans="1:23" ht="15.75" customHeight="1">
      <c r="A7" s="48" t="s">
        <v>2232</v>
      </c>
      <c r="B7" s="49" t="s">
        <v>3059</v>
      </c>
      <c r="C7" s="51" t="s">
        <v>808</v>
      </c>
      <c r="D7" s="54"/>
      <c r="E7" s="5"/>
      <c r="F7" s="5"/>
      <c r="G7" s="5"/>
      <c r="K7" s="52"/>
      <c r="L7" s="50"/>
      <c r="M7" s="51"/>
      <c r="N7" s="5"/>
      <c r="S7" s="52"/>
      <c r="T7" s="50"/>
      <c r="U7" s="51"/>
    </row>
    <row r="8" spans="1:23" ht="15.75" customHeight="1">
      <c r="A8" s="48" t="s">
        <v>2233</v>
      </c>
      <c r="B8" s="49" t="s">
        <v>3059</v>
      </c>
      <c r="C8" s="51" t="s">
        <v>808</v>
      </c>
      <c r="D8" s="54"/>
      <c r="E8" s="5"/>
      <c r="F8" s="5"/>
      <c r="G8" s="5"/>
      <c r="K8" s="52"/>
      <c r="L8" s="50"/>
      <c r="M8" s="51"/>
      <c r="N8" s="51"/>
      <c r="S8" s="52"/>
      <c r="T8" s="50"/>
      <c r="U8" s="51"/>
    </row>
    <row r="9" spans="1:23" ht="15.75" customHeight="1">
      <c r="A9" s="48" t="s">
        <v>2234</v>
      </c>
      <c r="B9" s="49" t="s">
        <v>3022</v>
      </c>
      <c r="C9" s="51" t="s">
        <v>192</v>
      </c>
      <c r="D9" s="54"/>
      <c r="E9" s="5"/>
      <c r="F9" s="51"/>
      <c r="G9" s="5"/>
      <c r="K9" s="52"/>
      <c r="L9" s="50"/>
      <c r="M9" s="51"/>
      <c r="N9" s="51"/>
      <c r="S9" s="52"/>
      <c r="T9" s="50"/>
      <c r="U9" s="51"/>
    </row>
    <row r="10" spans="1:23" ht="15.75" customHeight="1">
      <c r="A10" s="48" t="s">
        <v>2235</v>
      </c>
      <c r="B10" s="49" t="s">
        <v>3080</v>
      </c>
      <c r="C10" s="51" t="s">
        <v>197</v>
      </c>
      <c r="D10" s="54"/>
      <c r="E10" s="5"/>
      <c r="F10" s="5"/>
      <c r="G10" s="5"/>
      <c r="K10" s="52"/>
      <c r="L10" s="50"/>
      <c r="M10" s="51"/>
      <c r="N10" s="5"/>
      <c r="S10" s="52"/>
      <c r="T10" s="50"/>
      <c r="U10" s="51"/>
    </row>
    <row r="11" spans="1:23" ht="15.75" customHeight="1">
      <c r="A11" s="48" t="s">
        <v>2237</v>
      </c>
      <c r="B11" s="49" t="s">
        <v>3338</v>
      </c>
      <c r="C11" s="51" t="s">
        <v>192</v>
      </c>
      <c r="D11" s="54"/>
      <c r="E11" s="5"/>
      <c r="F11" s="51"/>
      <c r="G11" s="5"/>
      <c r="K11" s="52"/>
      <c r="L11" s="50"/>
      <c r="M11" s="51"/>
      <c r="N11" s="51"/>
      <c r="S11" s="52"/>
      <c r="T11" s="50"/>
      <c r="U11" s="51"/>
    </row>
    <row r="12" spans="1:23" ht="15.75" customHeight="1">
      <c r="A12" s="48" t="s">
        <v>2238</v>
      </c>
      <c r="B12" s="49" t="s">
        <v>1228</v>
      </c>
      <c r="C12" s="51" t="s">
        <v>205</v>
      </c>
      <c r="D12" s="54"/>
      <c r="E12" s="51"/>
      <c r="F12" s="5"/>
      <c r="G12" s="5"/>
      <c r="K12" s="52"/>
      <c r="L12" s="50"/>
      <c r="M12" s="51"/>
      <c r="N12" s="51"/>
      <c r="S12" s="52"/>
      <c r="T12" s="50"/>
      <c r="U12" s="51"/>
    </row>
    <row r="13" spans="1:23" ht="15.75" customHeight="1">
      <c r="A13" s="48" t="s">
        <v>2239</v>
      </c>
      <c r="B13" s="49" t="s">
        <v>1232</v>
      </c>
      <c r="C13" s="51" t="s">
        <v>208</v>
      </c>
      <c r="D13" s="54"/>
      <c r="E13" s="5"/>
      <c r="F13" s="5"/>
      <c r="G13" s="5"/>
      <c r="K13" s="52"/>
      <c r="L13" s="50"/>
      <c r="M13" s="51"/>
      <c r="N13" s="5"/>
      <c r="S13" s="52"/>
      <c r="T13" s="50"/>
      <c r="U13" s="51"/>
    </row>
    <row r="14" spans="1:23" ht="15.75" customHeight="1">
      <c r="A14" s="48" t="s">
        <v>2240</v>
      </c>
      <c r="B14" s="49" t="s">
        <v>3339</v>
      </c>
      <c r="C14" s="51" t="s">
        <v>205</v>
      </c>
      <c r="D14" s="54"/>
      <c r="E14" s="5"/>
      <c r="F14" s="5"/>
      <c r="G14" s="5"/>
      <c r="K14" s="52"/>
      <c r="L14" s="50"/>
      <c r="M14" s="51"/>
      <c r="N14" s="51"/>
      <c r="S14" s="52"/>
      <c r="T14" s="50"/>
      <c r="U14" s="51"/>
    </row>
    <row r="15" spans="1:23" ht="15.75" customHeight="1">
      <c r="A15" s="48" t="s">
        <v>2241</v>
      </c>
      <c r="B15" s="49" t="s">
        <v>3340</v>
      </c>
      <c r="C15" s="51" t="s">
        <v>197</v>
      </c>
      <c r="D15" s="54"/>
      <c r="E15" s="5"/>
      <c r="F15" s="5"/>
      <c r="G15" s="5"/>
      <c r="K15" s="52"/>
      <c r="L15" s="50"/>
      <c r="M15" s="51"/>
      <c r="N15" s="51"/>
      <c r="S15" s="52"/>
      <c r="T15" s="50"/>
      <c r="U15" s="51"/>
    </row>
    <row r="16" spans="1:23" ht="15.75" customHeight="1">
      <c r="A16" s="48" t="s">
        <v>2242</v>
      </c>
      <c r="B16" s="49" t="s">
        <v>1493</v>
      </c>
      <c r="C16" s="51" t="s">
        <v>197</v>
      </c>
      <c r="D16" s="54"/>
      <c r="E16" s="5"/>
      <c r="F16" s="5"/>
      <c r="G16" s="5"/>
      <c r="K16" s="52"/>
      <c r="L16" s="50"/>
      <c r="M16" s="51"/>
      <c r="N16" s="51"/>
      <c r="S16" s="52"/>
      <c r="T16" s="50"/>
      <c r="U16" s="51"/>
    </row>
    <row r="17" spans="1:27" ht="15.75" customHeight="1">
      <c r="A17" s="48" t="s">
        <v>2243</v>
      </c>
      <c r="B17" s="49" t="s">
        <v>253</v>
      </c>
      <c r="C17" s="51" t="s">
        <v>205</v>
      </c>
      <c r="D17" s="54"/>
      <c r="E17" s="5"/>
      <c r="F17" s="5"/>
      <c r="G17" s="5"/>
      <c r="K17" s="52"/>
      <c r="L17" s="50"/>
      <c r="M17" s="51"/>
      <c r="N17" s="51"/>
      <c r="S17" s="52"/>
      <c r="T17" s="50"/>
      <c r="U17" s="51"/>
    </row>
    <row r="18" spans="1:27" ht="15.75" customHeight="1">
      <c r="A18" s="48" t="s">
        <v>2244</v>
      </c>
      <c r="B18" s="49" t="s">
        <v>331</v>
      </c>
      <c r="C18" s="51" t="s">
        <v>205</v>
      </c>
      <c r="D18" s="54"/>
      <c r="E18" s="5"/>
      <c r="F18" s="5"/>
      <c r="G18" s="5"/>
      <c r="M18" s="5"/>
      <c r="N18" s="5"/>
      <c r="U18" s="5"/>
      <c r="AA18" s="5"/>
    </row>
    <row r="19" spans="1:27" ht="15.75" customHeight="1">
      <c r="A19" s="48" t="s">
        <v>2245</v>
      </c>
      <c r="B19" s="49" t="s">
        <v>1790</v>
      </c>
      <c r="C19" s="51" t="s">
        <v>225</v>
      </c>
      <c r="D19" s="54"/>
      <c r="E19" s="51"/>
      <c r="F19" s="5"/>
      <c r="G19" s="5"/>
      <c r="K19" s="1"/>
      <c r="M19" s="5"/>
      <c r="N19" s="5"/>
      <c r="U19" s="5"/>
      <c r="AA19" s="5"/>
    </row>
    <row r="20" spans="1:27" ht="15.75" customHeight="1">
      <c r="A20" s="48" t="s">
        <v>2246</v>
      </c>
      <c r="B20" s="49" t="s">
        <v>3062</v>
      </c>
      <c r="C20" s="51" t="s">
        <v>220</v>
      </c>
      <c r="D20" s="54"/>
      <c r="E20" s="5"/>
      <c r="F20" s="5"/>
      <c r="G20" s="5"/>
      <c r="L20" s="40"/>
      <c r="M20" s="5"/>
      <c r="N20" s="5"/>
      <c r="AA20" s="5"/>
    </row>
    <row r="21" spans="1:27" ht="15.75" customHeight="1">
      <c r="A21" s="48" t="s">
        <v>2247</v>
      </c>
      <c r="B21" s="49" t="s">
        <v>1796</v>
      </c>
      <c r="C21" s="51" t="s">
        <v>197</v>
      </c>
      <c r="D21" s="54"/>
      <c r="E21" s="5"/>
      <c r="F21" s="5"/>
      <c r="G21" s="5"/>
      <c r="M21" s="5"/>
      <c r="N21" s="5"/>
      <c r="AA21" s="5"/>
    </row>
    <row r="22" spans="1:27" ht="15.75" customHeight="1">
      <c r="A22" s="48" t="s">
        <v>2248</v>
      </c>
      <c r="B22" s="49" t="s">
        <v>938</v>
      </c>
      <c r="C22" s="51" t="s">
        <v>808</v>
      </c>
      <c r="D22" s="54"/>
      <c r="E22" s="5"/>
      <c r="F22" s="5"/>
      <c r="G22" s="5"/>
      <c r="K22" s="42"/>
      <c r="L22" s="45"/>
      <c r="M22" s="46"/>
      <c r="N22" s="47"/>
      <c r="AA22" s="5"/>
    </row>
    <row r="23" spans="1:27" ht="15.75" customHeight="1">
      <c r="A23" s="48" t="s">
        <v>2249</v>
      </c>
      <c r="B23" s="49" t="s">
        <v>362</v>
      </c>
      <c r="C23" s="51" t="s">
        <v>195</v>
      </c>
      <c r="D23" s="54"/>
      <c r="E23" s="5"/>
      <c r="F23" s="5"/>
      <c r="G23" s="5"/>
      <c r="K23" s="42"/>
      <c r="L23" s="43"/>
      <c r="M23" s="43"/>
      <c r="N23" s="42"/>
      <c r="O23" s="44"/>
      <c r="AA23" s="5"/>
    </row>
    <row r="24" spans="1:27" ht="15.75" customHeight="1">
      <c r="A24" s="48" t="s">
        <v>2250</v>
      </c>
      <c r="B24" s="49" t="s">
        <v>372</v>
      </c>
      <c r="C24" s="51" t="s">
        <v>208</v>
      </c>
      <c r="D24" s="54"/>
      <c r="E24" s="5"/>
      <c r="F24" s="5"/>
      <c r="G24" s="5"/>
      <c r="K24" s="52"/>
      <c r="L24" s="50"/>
      <c r="M24" s="51"/>
      <c r="N24" s="5"/>
      <c r="AA24" s="5"/>
    </row>
    <row r="25" spans="1:27" ht="15.75" customHeight="1">
      <c r="A25" s="48" t="s">
        <v>2251</v>
      </c>
      <c r="B25" s="49" t="s">
        <v>364</v>
      </c>
      <c r="C25" s="51" t="s">
        <v>208</v>
      </c>
      <c r="D25" s="54"/>
      <c r="E25" s="5"/>
      <c r="F25" s="5"/>
      <c r="G25" s="5"/>
      <c r="K25" s="52"/>
      <c r="L25" s="50"/>
      <c r="M25" s="51"/>
      <c r="N25" s="5"/>
      <c r="AA25" s="5"/>
    </row>
    <row r="26" spans="1:27" ht="15.75" customHeight="1">
      <c r="A26" s="48" t="s">
        <v>2252</v>
      </c>
      <c r="B26" s="49" t="s">
        <v>1193</v>
      </c>
      <c r="C26" s="51" t="s">
        <v>197</v>
      </c>
      <c r="D26" s="54"/>
      <c r="E26" s="5"/>
      <c r="F26" s="5"/>
      <c r="G26" s="5"/>
      <c r="K26" s="52"/>
      <c r="L26" s="50"/>
      <c r="M26" s="51"/>
      <c r="N26" s="51"/>
      <c r="AA26" s="5"/>
    </row>
    <row r="27" spans="1:27" ht="15.75" customHeight="1">
      <c r="A27" s="48" t="s">
        <v>2253</v>
      </c>
      <c r="B27" s="49" t="s">
        <v>1194</v>
      </c>
      <c r="C27" s="51" t="s">
        <v>197</v>
      </c>
      <c r="D27" s="54"/>
      <c r="E27" s="5"/>
      <c r="F27" s="51"/>
      <c r="G27" s="5"/>
      <c r="K27" s="52"/>
      <c r="L27" s="50"/>
      <c r="M27" s="51"/>
      <c r="N27" s="51"/>
      <c r="AA27" s="5"/>
    </row>
    <row r="28" spans="1:27" ht="15.75" customHeight="1">
      <c r="A28" s="48" t="s">
        <v>2254</v>
      </c>
      <c r="B28" s="49" t="s">
        <v>1368</v>
      </c>
      <c r="C28" s="51" t="s">
        <v>220</v>
      </c>
      <c r="D28" s="54"/>
      <c r="E28" s="51"/>
      <c r="F28" s="5"/>
      <c r="G28" s="5"/>
      <c r="J28" s="5"/>
      <c r="K28" s="52"/>
      <c r="L28" s="50"/>
      <c r="M28" s="51"/>
      <c r="N28" s="5"/>
      <c r="P28" s="5"/>
    </row>
    <row r="29" spans="1:27" ht="15.75" customHeight="1">
      <c r="A29" s="48" t="s">
        <v>2255</v>
      </c>
      <c r="B29" s="49" t="s">
        <v>1806</v>
      </c>
      <c r="C29" s="51" t="s">
        <v>208</v>
      </c>
      <c r="D29" s="54"/>
      <c r="E29" s="5"/>
      <c r="F29" s="5"/>
      <c r="G29" s="5"/>
      <c r="J29" s="5"/>
      <c r="K29" s="52"/>
      <c r="L29" s="50"/>
      <c r="M29" s="51"/>
      <c r="N29" s="51"/>
      <c r="P29" s="5"/>
    </row>
    <row r="30" spans="1:27" ht="15.75" customHeight="1">
      <c r="A30" s="48" t="s">
        <v>2256</v>
      </c>
      <c r="B30" s="49" t="s">
        <v>3064</v>
      </c>
      <c r="C30" s="51" t="s">
        <v>208</v>
      </c>
      <c r="D30" s="54"/>
      <c r="E30" s="51"/>
      <c r="F30" s="5"/>
      <c r="G30" s="5"/>
      <c r="J30" s="5"/>
      <c r="K30" s="52"/>
      <c r="L30" s="50"/>
      <c r="M30" s="51"/>
      <c r="N30" s="5"/>
      <c r="P30" s="5"/>
    </row>
    <row r="31" spans="1:27" ht="15.75" customHeight="1">
      <c r="A31" s="48" t="s">
        <v>2257</v>
      </c>
      <c r="B31" s="49" t="s">
        <v>341</v>
      </c>
      <c r="C31" s="51" t="s">
        <v>225</v>
      </c>
      <c r="D31" s="54"/>
      <c r="E31" s="5"/>
      <c r="F31" s="5"/>
      <c r="G31" s="5"/>
      <c r="J31" s="5"/>
      <c r="K31" s="52"/>
      <c r="L31" s="50"/>
      <c r="M31" s="51"/>
      <c r="N31" s="51"/>
      <c r="P31" s="5"/>
    </row>
    <row r="32" spans="1:27" ht="15.75" customHeight="1">
      <c r="A32" s="48" t="s">
        <v>2258</v>
      </c>
      <c r="B32" s="49" t="s">
        <v>789</v>
      </c>
      <c r="C32" s="51" t="s">
        <v>195</v>
      </c>
      <c r="D32" s="54"/>
      <c r="E32" s="5"/>
      <c r="F32" s="5"/>
      <c r="G32" s="5"/>
      <c r="J32" s="5"/>
      <c r="K32" s="52"/>
      <c r="L32" s="50"/>
      <c r="M32" s="51"/>
      <c r="N32" s="5"/>
      <c r="P32" s="5"/>
    </row>
    <row r="33" spans="1:16" ht="15.75" customHeight="1">
      <c r="A33" s="48" t="s">
        <v>2259</v>
      </c>
      <c r="B33" s="49" t="s">
        <v>996</v>
      </c>
      <c r="C33" s="51" t="s">
        <v>195</v>
      </c>
      <c r="D33" s="54"/>
      <c r="E33" s="5"/>
      <c r="F33" s="5"/>
      <c r="G33" s="5"/>
      <c r="J33" s="5"/>
      <c r="K33" s="52"/>
      <c r="L33" s="50"/>
      <c r="M33" s="51"/>
      <c r="N33" s="5"/>
      <c r="P33" s="5"/>
    </row>
    <row r="34" spans="1:16" ht="15.75" customHeight="1">
      <c r="A34" s="48" t="s">
        <v>2260</v>
      </c>
      <c r="B34" s="49" t="s">
        <v>1234</v>
      </c>
      <c r="C34" s="51" t="s">
        <v>208</v>
      </c>
      <c r="D34" s="54"/>
      <c r="E34" s="5"/>
      <c r="F34" s="5"/>
      <c r="G34" s="5"/>
      <c r="J34" s="5"/>
      <c r="K34" s="52"/>
      <c r="L34" s="50"/>
      <c r="M34" s="51"/>
      <c r="N34" s="5"/>
      <c r="P34" s="5"/>
    </row>
    <row r="35" spans="1:16" ht="15.75" customHeight="1">
      <c r="A35" s="48" t="s">
        <v>2261</v>
      </c>
      <c r="B35" s="49" t="s">
        <v>378</v>
      </c>
      <c r="C35" s="51" t="s">
        <v>195</v>
      </c>
      <c r="D35" s="54"/>
      <c r="E35" s="5"/>
      <c r="F35" s="5"/>
      <c r="G35" s="5"/>
      <c r="J35" s="5"/>
      <c r="K35" s="52"/>
      <c r="L35" s="50"/>
      <c r="M35" s="51"/>
      <c r="N35" s="51"/>
      <c r="P35" s="5"/>
    </row>
    <row r="36" spans="1:16" ht="15.75" customHeight="1">
      <c r="A36" s="48" t="s">
        <v>2262</v>
      </c>
      <c r="B36" s="49" t="s">
        <v>330</v>
      </c>
      <c r="C36" s="51" t="s">
        <v>197</v>
      </c>
      <c r="D36" s="54"/>
      <c r="E36" s="5"/>
      <c r="F36" s="5"/>
      <c r="G36" s="5"/>
      <c r="J36" s="5"/>
      <c r="M36" s="5"/>
      <c r="N36" s="5"/>
      <c r="P36" s="5"/>
    </row>
    <row r="37" spans="1:16" ht="15.75" customHeight="1">
      <c r="A37" s="48" t="s">
        <v>2263</v>
      </c>
      <c r="B37" s="49" t="s">
        <v>366</v>
      </c>
      <c r="C37" s="51" t="s">
        <v>195</v>
      </c>
      <c r="D37" s="54"/>
      <c r="E37" s="51"/>
      <c r="F37" s="5"/>
      <c r="G37" s="5"/>
      <c r="J37" s="5"/>
      <c r="M37" s="5"/>
      <c r="N37" s="5"/>
    </row>
    <row r="38" spans="1:16" ht="15.75" customHeight="1">
      <c r="A38" s="48" t="s">
        <v>2264</v>
      </c>
      <c r="B38" s="49" t="s">
        <v>1357</v>
      </c>
      <c r="C38" s="51" t="s">
        <v>808</v>
      </c>
      <c r="D38" s="51"/>
      <c r="E38" s="5"/>
      <c r="F38" s="5"/>
      <c r="G38" s="5"/>
      <c r="J38" s="5"/>
      <c r="M38" s="51"/>
      <c r="N38" s="51"/>
    </row>
    <row r="39" spans="1:16" ht="15.75" customHeight="1">
      <c r="A39" s="48" t="s">
        <v>2265</v>
      </c>
      <c r="B39" s="49" t="s">
        <v>1191</v>
      </c>
      <c r="C39" s="51" t="s">
        <v>199</v>
      </c>
      <c r="D39" s="54"/>
      <c r="E39" s="5"/>
      <c r="F39" s="5"/>
      <c r="G39" s="5"/>
      <c r="J39" s="5"/>
      <c r="M39" s="51"/>
      <c r="N39" s="51"/>
    </row>
    <row r="40" spans="1:16" ht="15.75" customHeight="1">
      <c r="A40" s="48" t="s">
        <v>2266</v>
      </c>
      <c r="B40" s="49" t="s">
        <v>970</v>
      </c>
      <c r="C40" s="51" t="s">
        <v>208</v>
      </c>
      <c r="D40" s="51"/>
      <c r="E40" s="5"/>
      <c r="F40" s="5"/>
      <c r="G40" s="5"/>
      <c r="J40" s="5"/>
      <c r="M40" s="51"/>
      <c r="N40" s="51"/>
    </row>
    <row r="41" spans="1:16" ht="15.75" customHeight="1">
      <c r="A41" s="48" t="s">
        <v>2267</v>
      </c>
      <c r="B41" s="49" t="s">
        <v>3125</v>
      </c>
      <c r="C41" s="51" t="s">
        <v>208</v>
      </c>
      <c r="D41" s="54"/>
      <c r="E41" s="5"/>
      <c r="F41" s="5"/>
      <c r="G41" s="5"/>
      <c r="J41" s="5"/>
      <c r="M41" s="51"/>
      <c r="N41" s="51"/>
    </row>
    <row r="42" spans="1:16" ht="15.75" customHeight="1">
      <c r="A42" s="48" t="s">
        <v>2268</v>
      </c>
      <c r="B42" s="49" t="s">
        <v>1814</v>
      </c>
      <c r="C42" s="51" t="s">
        <v>208</v>
      </c>
      <c r="D42" s="51"/>
      <c r="E42" s="5"/>
      <c r="F42" s="5"/>
      <c r="G42" s="5"/>
      <c r="J42" s="5"/>
      <c r="M42" s="51"/>
      <c r="N42" s="51"/>
    </row>
    <row r="43" spans="1:16" ht="15.75" customHeight="1">
      <c r="A43" s="48" t="s">
        <v>2269</v>
      </c>
      <c r="B43" s="49" t="s">
        <v>829</v>
      </c>
      <c r="C43" s="51" t="s">
        <v>197</v>
      </c>
      <c r="D43" s="51"/>
      <c r="E43" s="5"/>
      <c r="F43" s="5"/>
      <c r="G43" s="5"/>
      <c r="J43" s="5"/>
      <c r="M43" s="51"/>
      <c r="N43" s="51"/>
    </row>
    <row r="44" spans="1:16" ht="15.75" customHeight="1">
      <c r="A44" s="48" t="s">
        <v>2270</v>
      </c>
      <c r="B44" s="49" t="s">
        <v>1188</v>
      </c>
      <c r="C44" s="51" t="s">
        <v>205</v>
      </c>
      <c r="D44" s="51"/>
      <c r="E44" s="5"/>
      <c r="F44" s="5"/>
      <c r="G44" s="5"/>
      <c r="J44" s="5"/>
      <c r="M44" s="51"/>
      <c r="N44" s="51"/>
    </row>
    <row r="45" spans="1:16" ht="15.75" customHeight="1">
      <c r="A45" s="48" t="s">
        <v>2271</v>
      </c>
      <c r="B45" s="49" t="s">
        <v>1222</v>
      </c>
      <c r="C45" s="51" t="s">
        <v>225</v>
      </c>
      <c r="D45" s="54"/>
      <c r="E45" s="5"/>
      <c r="F45" s="5"/>
      <c r="G45" s="5"/>
      <c r="J45" s="5"/>
      <c r="M45" s="51"/>
      <c r="N45" s="51"/>
      <c r="P45" s="5"/>
    </row>
    <row r="46" spans="1:16" ht="15.75" customHeight="1">
      <c r="A46" s="48" t="s">
        <v>2272</v>
      </c>
      <c r="B46" s="49" t="s">
        <v>1816</v>
      </c>
      <c r="C46" s="51" t="s">
        <v>208</v>
      </c>
      <c r="D46" s="54"/>
      <c r="E46" s="5"/>
      <c r="F46" s="5"/>
      <c r="G46" s="5"/>
      <c r="J46" s="5"/>
      <c r="M46" s="51"/>
      <c r="N46" s="51"/>
      <c r="P46" s="5"/>
    </row>
    <row r="47" spans="1:16" ht="15.75" customHeight="1">
      <c r="A47" s="48" t="s">
        <v>2273</v>
      </c>
      <c r="B47" s="49" t="s">
        <v>1268</v>
      </c>
      <c r="C47" s="51" t="s">
        <v>197</v>
      </c>
      <c r="D47" s="54"/>
      <c r="E47" s="5"/>
      <c r="F47" s="5"/>
      <c r="G47" s="5"/>
      <c r="J47" s="5"/>
      <c r="M47" s="5"/>
      <c r="N47" s="5"/>
      <c r="P47" s="5"/>
    </row>
    <row r="48" spans="1:16" ht="15.75" customHeight="1">
      <c r="A48" s="48" t="s">
        <v>2274</v>
      </c>
      <c r="B48" s="49" t="s">
        <v>1845</v>
      </c>
      <c r="C48" s="51" t="s">
        <v>197</v>
      </c>
      <c r="D48" s="54"/>
      <c r="E48" s="5"/>
      <c r="F48" s="5"/>
      <c r="G48" s="5"/>
      <c r="J48" s="5"/>
      <c r="M48" s="5"/>
      <c r="N48" s="5"/>
      <c r="P48" s="5"/>
    </row>
    <row r="49" spans="1:16" ht="15.75" customHeight="1">
      <c r="A49" s="48" t="s">
        <v>2275</v>
      </c>
      <c r="B49" s="49" t="s">
        <v>974</v>
      </c>
      <c r="C49" s="51" t="s">
        <v>199</v>
      </c>
      <c r="D49" s="54"/>
      <c r="E49" s="5"/>
      <c r="F49" s="5"/>
      <c r="G49" s="5"/>
      <c r="J49" s="5"/>
      <c r="M49" s="5"/>
      <c r="N49" s="5"/>
      <c r="P49" s="5"/>
    </row>
    <row r="50" spans="1:16" ht="15.75" customHeight="1">
      <c r="A50" s="48" t="s">
        <v>2276</v>
      </c>
      <c r="B50" s="49" t="s">
        <v>1192</v>
      </c>
      <c r="C50" s="51" t="s">
        <v>208</v>
      </c>
      <c r="D50" s="51"/>
      <c r="E50" s="5"/>
      <c r="F50" s="5"/>
      <c r="G50" s="5"/>
      <c r="J50" s="5"/>
      <c r="M50" s="5"/>
      <c r="N50" s="5"/>
      <c r="P50" s="5"/>
    </row>
    <row r="51" spans="1:16" ht="15.75" customHeight="1">
      <c r="A51" s="48" t="s">
        <v>2277</v>
      </c>
      <c r="B51" s="49" t="s">
        <v>286</v>
      </c>
      <c r="C51" s="51" t="s">
        <v>205</v>
      </c>
      <c r="D51" s="54"/>
      <c r="E51" s="5"/>
      <c r="F51" s="5"/>
      <c r="G51" s="5"/>
      <c r="J51" s="5"/>
      <c r="M51" s="5"/>
      <c r="N51" s="5"/>
      <c r="P51" s="5"/>
    </row>
    <row r="52" spans="1:16" ht="15.75" customHeight="1">
      <c r="A52" s="48" t="s">
        <v>2278</v>
      </c>
      <c r="B52" s="49" t="s">
        <v>1242</v>
      </c>
      <c r="C52" s="51" t="s">
        <v>208</v>
      </c>
      <c r="D52" s="54"/>
      <c r="E52" s="5"/>
      <c r="F52" s="5"/>
      <c r="G52" s="5"/>
      <c r="J52" s="5"/>
      <c r="M52" s="5"/>
      <c r="N52" s="5"/>
      <c r="P52" s="5"/>
    </row>
    <row r="53" spans="1:16" ht="13">
      <c r="A53" s="48" t="s">
        <v>2279</v>
      </c>
      <c r="B53" s="49" t="s">
        <v>971</v>
      </c>
      <c r="C53" s="51" t="s">
        <v>197</v>
      </c>
      <c r="D53" s="51"/>
      <c r="E53" s="5"/>
      <c r="F53" s="5"/>
      <c r="G53" s="5"/>
      <c r="J53" s="5"/>
      <c r="M53" s="5"/>
      <c r="N53" s="5"/>
      <c r="P53" s="5"/>
    </row>
    <row r="54" spans="1:16" ht="13">
      <c r="A54" s="48" t="s">
        <v>2280</v>
      </c>
      <c r="B54" s="49" t="s">
        <v>3129</v>
      </c>
      <c r="C54" s="51" t="s">
        <v>197</v>
      </c>
      <c r="D54" s="51"/>
      <c r="E54" s="5"/>
      <c r="F54" s="5"/>
      <c r="G54" s="5"/>
      <c r="J54" s="5"/>
      <c r="M54" s="5"/>
      <c r="N54" s="5"/>
      <c r="P54" s="5"/>
    </row>
    <row r="55" spans="1:16" ht="13">
      <c r="A55" s="48" t="s">
        <v>2281</v>
      </c>
      <c r="B55" s="49" t="s">
        <v>1824</v>
      </c>
      <c r="C55" s="51" t="s">
        <v>208</v>
      </c>
      <c r="D55" s="54"/>
      <c r="E55" s="5"/>
      <c r="F55" s="5"/>
      <c r="G55" s="5"/>
      <c r="J55" s="5"/>
      <c r="M55" s="5"/>
      <c r="N55" s="5"/>
      <c r="P55" s="5"/>
    </row>
    <row r="56" spans="1:16" ht="13">
      <c r="A56" s="48" t="s">
        <v>2282</v>
      </c>
      <c r="B56" s="49" t="s">
        <v>1372</v>
      </c>
      <c r="C56" s="51" t="s">
        <v>195</v>
      </c>
      <c r="D56" s="51"/>
      <c r="E56" s="5"/>
      <c r="F56" s="5"/>
      <c r="G56" s="5"/>
      <c r="J56" s="5"/>
      <c r="M56" s="5"/>
      <c r="N56" s="5"/>
      <c r="P56" s="5"/>
    </row>
    <row r="57" spans="1:16" ht="13">
      <c r="A57" s="48" t="s">
        <v>2283</v>
      </c>
      <c r="B57" s="49" t="s">
        <v>787</v>
      </c>
      <c r="C57" s="51" t="s">
        <v>220</v>
      </c>
      <c r="D57" s="54"/>
      <c r="E57" s="5"/>
      <c r="F57" s="5"/>
      <c r="G57" s="5"/>
      <c r="J57" s="5"/>
      <c r="M57" s="5"/>
      <c r="N57" s="5"/>
      <c r="P57" s="5"/>
    </row>
    <row r="58" spans="1:16" ht="13">
      <c r="A58" s="48" t="s">
        <v>2284</v>
      </c>
      <c r="B58" s="49" t="s">
        <v>376</v>
      </c>
      <c r="C58" s="51" t="s">
        <v>208</v>
      </c>
      <c r="D58" s="54"/>
      <c r="E58" s="5"/>
      <c r="F58" s="5"/>
      <c r="G58" s="5"/>
      <c r="J58" s="5"/>
      <c r="M58" s="5"/>
      <c r="N58" s="5"/>
      <c r="P58" s="5"/>
    </row>
    <row r="59" spans="1:16" ht="13">
      <c r="A59" s="48" t="s">
        <v>2285</v>
      </c>
      <c r="B59" s="49" t="s">
        <v>793</v>
      </c>
      <c r="C59" s="51" t="s">
        <v>197</v>
      </c>
      <c r="D59" s="54"/>
      <c r="E59" s="5"/>
      <c r="F59" s="5"/>
      <c r="G59" s="5"/>
      <c r="J59" s="5"/>
      <c r="M59" s="5"/>
      <c r="N59" s="5"/>
      <c r="P59" s="5"/>
    </row>
    <row r="60" spans="1:16" ht="13">
      <c r="A60" s="48" t="s">
        <v>2286</v>
      </c>
      <c r="B60" s="49" t="s">
        <v>950</v>
      </c>
      <c r="C60" s="51" t="s">
        <v>195</v>
      </c>
      <c r="D60" s="54"/>
      <c r="E60" s="5"/>
      <c r="F60" s="5"/>
      <c r="G60" s="5"/>
      <c r="J60" s="5"/>
      <c r="M60" s="5"/>
      <c r="N60" s="5"/>
      <c r="P60" s="5"/>
    </row>
    <row r="61" spans="1:16" ht="13">
      <c r="A61" s="48" t="s">
        <v>2287</v>
      </c>
      <c r="B61" s="49" t="s">
        <v>995</v>
      </c>
      <c r="C61" s="51" t="s">
        <v>195</v>
      </c>
      <c r="D61" s="54"/>
      <c r="E61" s="5"/>
      <c r="F61" s="5"/>
      <c r="G61" s="5"/>
      <c r="J61" s="5"/>
      <c r="M61" s="5"/>
      <c r="N61" s="5"/>
      <c r="P61" s="5"/>
    </row>
    <row r="62" spans="1:16" ht="13">
      <c r="A62" s="48" t="s">
        <v>2288</v>
      </c>
      <c r="B62" s="49" t="s">
        <v>1284</v>
      </c>
      <c r="C62" s="51" t="s">
        <v>208</v>
      </c>
      <c r="D62" s="54"/>
      <c r="E62" s="5"/>
      <c r="F62" s="5"/>
      <c r="G62" s="5"/>
      <c r="J62" s="5"/>
      <c r="M62" s="5"/>
      <c r="N62" s="5"/>
      <c r="P62" s="5"/>
    </row>
    <row r="63" spans="1:16" ht="13">
      <c r="A63" s="48" t="s">
        <v>2289</v>
      </c>
      <c r="B63" s="49" t="s">
        <v>1378</v>
      </c>
      <c r="C63" s="51" t="s">
        <v>197</v>
      </c>
      <c r="D63" s="51"/>
      <c r="E63" s="5"/>
      <c r="F63" s="5"/>
      <c r="G63" s="5"/>
      <c r="J63" s="5"/>
      <c r="M63" s="5"/>
      <c r="N63" s="5"/>
      <c r="P63" s="5"/>
    </row>
    <row r="64" spans="1:16" ht="13">
      <c r="A64" s="48" t="s">
        <v>2290</v>
      </c>
      <c r="B64" s="49" t="s">
        <v>1400</v>
      </c>
      <c r="C64" s="51" t="s">
        <v>225</v>
      </c>
      <c r="D64" s="51"/>
      <c r="E64" s="5"/>
      <c r="F64" s="5"/>
      <c r="G64" s="5"/>
      <c r="J64" s="5"/>
      <c r="M64" s="5"/>
      <c r="N64" s="5"/>
      <c r="P64" s="5"/>
    </row>
    <row r="65" spans="1:16" ht="13">
      <c r="A65" s="48" t="s">
        <v>2291</v>
      </c>
      <c r="B65" s="49" t="s">
        <v>3039</v>
      </c>
      <c r="C65" s="51" t="s">
        <v>208</v>
      </c>
      <c r="D65" s="54"/>
      <c r="E65" s="5"/>
      <c r="F65" s="5"/>
      <c r="G65" s="5"/>
      <c r="J65" s="5"/>
      <c r="M65" s="5"/>
      <c r="N65" s="5"/>
      <c r="P65" s="5"/>
    </row>
    <row r="66" spans="1:16" ht="13">
      <c r="A66" s="48" t="s">
        <v>2292</v>
      </c>
      <c r="B66" s="49" t="s">
        <v>1432</v>
      </c>
      <c r="C66" s="51" t="s">
        <v>205</v>
      </c>
      <c r="D66" s="51"/>
      <c r="E66" s="5"/>
      <c r="F66" s="5"/>
      <c r="G66" s="5"/>
      <c r="J66" s="5"/>
      <c r="M66" s="5"/>
      <c r="N66" s="5"/>
      <c r="P66" s="5"/>
    </row>
    <row r="67" spans="1:16" ht="13">
      <c r="A67" s="48" t="s">
        <v>2293</v>
      </c>
      <c r="B67" s="49" t="s">
        <v>277</v>
      </c>
      <c r="C67" s="51" t="s">
        <v>205</v>
      </c>
      <c r="D67" s="51"/>
      <c r="E67" s="5"/>
      <c r="F67" s="5"/>
      <c r="G67" s="5"/>
      <c r="J67" s="5"/>
      <c r="M67" s="5"/>
      <c r="N67" s="5"/>
      <c r="P67" s="5"/>
    </row>
    <row r="68" spans="1:16" ht="13">
      <c r="A68" s="48" t="s">
        <v>2294</v>
      </c>
      <c r="B68" s="49" t="s">
        <v>1869</v>
      </c>
      <c r="C68" s="51" t="s">
        <v>208</v>
      </c>
      <c r="D68" s="51"/>
      <c r="E68" s="5"/>
      <c r="F68" s="5"/>
      <c r="G68" s="5"/>
      <c r="J68" s="5"/>
      <c r="M68" s="5"/>
      <c r="N68" s="5"/>
      <c r="P68" s="5"/>
    </row>
    <row r="69" spans="1:16" ht="13">
      <c r="A69" s="48" t="s">
        <v>2295</v>
      </c>
      <c r="B69" s="49" t="s">
        <v>281</v>
      </c>
      <c r="C69" s="51" t="s">
        <v>195</v>
      </c>
      <c r="D69" s="54"/>
      <c r="E69" s="5"/>
      <c r="F69" s="5"/>
      <c r="G69" s="5"/>
      <c r="J69" s="5"/>
      <c r="M69" s="5"/>
      <c r="N69" s="5"/>
      <c r="P69" s="5"/>
    </row>
    <row r="70" spans="1:16" ht="13">
      <c r="A70" s="48" t="s">
        <v>2296</v>
      </c>
      <c r="B70" s="49" t="s">
        <v>379</v>
      </c>
      <c r="C70" s="51" t="s">
        <v>195</v>
      </c>
      <c r="D70" s="54"/>
      <c r="E70" s="5"/>
      <c r="F70" s="5"/>
      <c r="G70" s="5"/>
      <c r="J70" s="5"/>
      <c r="M70" s="5"/>
      <c r="N70" s="5"/>
      <c r="P70" s="5"/>
    </row>
    <row r="71" spans="1:16" ht="13">
      <c r="A71" s="48" t="s">
        <v>2297</v>
      </c>
      <c r="B71" s="49" t="s">
        <v>1873</v>
      </c>
      <c r="C71" s="51" t="s">
        <v>208</v>
      </c>
      <c r="D71" s="5"/>
      <c r="J71" s="5"/>
      <c r="M71" s="5"/>
      <c r="N71" s="5"/>
      <c r="P71" s="5"/>
    </row>
    <row r="72" spans="1:16" ht="13">
      <c r="A72" s="48" t="s">
        <v>2298</v>
      </c>
      <c r="B72" s="49" t="s">
        <v>3057</v>
      </c>
      <c r="C72" s="51" t="s">
        <v>197</v>
      </c>
      <c r="D72" s="54"/>
      <c r="E72" s="5"/>
      <c r="F72" s="5"/>
      <c r="G72" s="5"/>
      <c r="J72" s="5"/>
      <c r="M72" s="5"/>
      <c r="N72" s="5"/>
      <c r="P72" s="5"/>
    </row>
    <row r="73" spans="1:16" ht="13">
      <c r="A73" s="48" t="s">
        <v>2299</v>
      </c>
      <c r="B73" s="49" t="s">
        <v>939</v>
      </c>
      <c r="C73" s="51" t="s">
        <v>199</v>
      </c>
      <c r="D73" s="51"/>
      <c r="E73" s="5"/>
      <c r="F73" s="5"/>
      <c r="G73" s="5"/>
      <c r="J73" s="5"/>
      <c r="M73" s="5"/>
      <c r="N73" s="5"/>
      <c r="P73" s="5"/>
    </row>
    <row r="74" spans="1:16" ht="13">
      <c r="A74" s="48" t="s">
        <v>2300</v>
      </c>
      <c r="B74" s="49" t="s">
        <v>223</v>
      </c>
      <c r="C74" s="51" t="s">
        <v>197</v>
      </c>
      <c r="D74" s="54"/>
      <c r="E74" s="5"/>
      <c r="F74" s="5"/>
      <c r="G74" s="5"/>
      <c r="J74" s="5"/>
      <c r="M74" s="5"/>
      <c r="N74" s="5"/>
      <c r="P74" s="5"/>
    </row>
    <row r="75" spans="1:16" ht="13">
      <c r="A75" s="48" t="s">
        <v>2301</v>
      </c>
      <c r="B75" s="49" t="s">
        <v>1407</v>
      </c>
      <c r="C75" s="51" t="s">
        <v>205</v>
      </c>
      <c r="D75" s="51"/>
      <c r="E75" s="5"/>
      <c r="F75" s="5"/>
      <c r="G75" s="5"/>
      <c r="J75" s="5"/>
      <c r="M75" s="5"/>
      <c r="N75" s="5"/>
      <c r="P75" s="5"/>
    </row>
    <row r="76" spans="1:16" ht="13">
      <c r="A76" s="48" t="s">
        <v>2302</v>
      </c>
      <c r="B76" s="49" t="s">
        <v>200</v>
      </c>
      <c r="C76" s="51" t="s">
        <v>197</v>
      </c>
      <c r="D76" s="51"/>
      <c r="E76" s="5"/>
      <c r="F76" s="5"/>
      <c r="G76" s="5"/>
      <c r="J76" s="5"/>
      <c r="M76" s="5"/>
      <c r="N76" s="5"/>
      <c r="P76" s="5"/>
    </row>
    <row r="77" spans="1:16" ht="13">
      <c r="A77" s="48" t="s">
        <v>2303</v>
      </c>
      <c r="B77" s="49" t="s">
        <v>266</v>
      </c>
      <c r="C77" s="51" t="s">
        <v>205</v>
      </c>
      <c r="D77" s="51"/>
      <c r="E77" s="5"/>
      <c r="F77" s="5"/>
      <c r="G77" s="5"/>
      <c r="J77" s="5"/>
      <c r="M77" s="5"/>
      <c r="N77" s="5"/>
      <c r="P77" s="5"/>
    </row>
    <row r="78" spans="1:16" ht="13">
      <c r="A78" s="48" t="s">
        <v>2304</v>
      </c>
      <c r="B78" s="49" t="s">
        <v>283</v>
      </c>
      <c r="C78" s="51" t="s">
        <v>195</v>
      </c>
      <c r="D78" s="54"/>
      <c r="E78" s="5"/>
      <c r="F78" s="5"/>
      <c r="G78" s="5"/>
      <c r="J78" s="5"/>
      <c r="M78" s="5"/>
      <c r="N78" s="5"/>
      <c r="P78" s="5"/>
    </row>
    <row r="79" spans="1:16" ht="13">
      <c r="A79" s="48" t="s">
        <v>2305</v>
      </c>
      <c r="B79" s="49" t="s">
        <v>384</v>
      </c>
      <c r="C79" s="51" t="s">
        <v>208</v>
      </c>
      <c r="D79" s="54"/>
      <c r="E79" s="5"/>
      <c r="F79" s="5"/>
      <c r="G79" s="5"/>
      <c r="J79" s="5"/>
      <c r="M79" s="5"/>
      <c r="N79" s="5"/>
      <c r="P79" s="5"/>
    </row>
    <row r="80" spans="1:16" ht="13">
      <c r="A80" s="48" t="s">
        <v>2307</v>
      </c>
      <c r="B80" s="49" t="s">
        <v>1366</v>
      </c>
      <c r="C80" s="51" t="s">
        <v>225</v>
      </c>
      <c r="D80" s="54"/>
      <c r="E80" s="5"/>
      <c r="F80" s="5"/>
      <c r="G80" s="5"/>
      <c r="J80" s="5"/>
      <c r="M80" s="5"/>
      <c r="N80" s="5"/>
      <c r="P80" s="5"/>
    </row>
    <row r="81" spans="1:16" ht="13">
      <c r="A81" s="48" t="s">
        <v>2308</v>
      </c>
      <c r="B81" s="49" t="s">
        <v>1847</v>
      </c>
      <c r="C81" s="51" t="s">
        <v>208</v>
      </c>
      <c r="D81" s="54"/>
      <c r="E81" s="5"/>
      <c r="F81" s="5"/>
      <c r="G81" s="5"/>
      <c r="J81" s="5"/>
      <c r="M81" s="5"/>
      <c r="N81" s="5"/>
      <c r="P81" s="5"/>
    </row>
    <row r="82" spans="1:16" ht="13">
      <c r="A82" s="48" t="s">
        <v>2309</v>
      </c>
      <c r="B82" s="49" t="s">
        <v>1294</v>
      </c>
      <c r="C82" s="51" t="s">
        <v>225</v>
      </c>
      <c r="D82" s="51"/>
      <c r="E82" s="5"/>
      <c r="F82" s="5"/>
      <c r="G82" s="5"/>
      <c r="J82" s="5"/>
      <c r="M82" s="5"/>
      <c r="N82" s="5"/>
      <c r="P82" s="5"/>
    </row>
    <row r="83" spans="1:16" ht="13">
      <c r="A83" s="48" t="s">
        <v>2310</v>
      </c>
      <c r="B83" s="49" t="s">
        <v>350</v>
      </c>
      <c r="C83" s="51" t="s">
        <v>225</v>
      </c>
      <c r="D83" s="54"/>
      <c r="E83" s="5"/>
      <c r="F83" s="5"/>
      <c r="G83" s="5"/>
      <c r="J83" s="5"/>
      <c r="M83" s="5"/>
      <c r="N83" s="5"/>
      <c r="P83" s="5"/>
    </row>
    <row r="84" spans="1:16" ht="13">
      <c r="A84" s="48" t="s">
        <v>2312</v>
      </c>
      <c r="B84" s="49" t="s">
        <v>1189</v>
      </c>
      <c r="C84" s="51" t="s">
        <v>208</v>
      </c>
      <c r="D84" s="51"/>
      <c r="E84" s="5"/>
      <c r="F84" s="5"/>
      <c r="G84" s="5"/>
      <c r="J84" s="5"/>
      <c r="M84" s="5"/>
      <c r="N84" s="5"/>
      <c r="P84" s="5"/>
    </row>
    <row r="85" spans="1:16" ht="13">
      <c r="A85" s="48" t="s">
        <v>2313</v>
      </c>
      <c r="B85" s="49" t="s">
        <v>271</v>
      </c>
      <c r="C85" s="51" t="s">
        <v>197</v>
      </c>
      <c r="D85" s="54"/>
      <c r="E85" s="5"/>
      <c r="F85" s="5"/>
      <c r="G85" s="5"/>
      <c r="J85" s="5"/>
      <c r="M85" s="5"/>
      <c r="N85" s="5"/>
      <c r="P85" s="5"/>
    </row>
    <row r="86" spans="1:16" ht="13">
      <c r="A86" s="48" t="s">
        <v>2314</v>
      </c>
      <c r="B86" s="49" t="s">
        <v>387</v>
      </c>
      <c r="C86" s="51" t="s">
        <v>208</v>
      </c>
      <c r="D86" s="51"/>
      <c r="E86" s="5"/>
      <c r="F86" s="5"/>
      <c r="G86" s="5"/>
      <c r="J86" s="5"/>
      <c r="M86" s="5"/>
      <c r="N86" s="5"/>
      <c r="P86" s="5"/>
    </row>
    <row r="87" spans="1:16" ht="13">
      <c r="A87" s="48" t="s">
        <v>2315</v>
      </c>
      <c r="B87" s="49" t="s">
        <v>980</v>
      </c>
      <c r="C87" s="51" t="s">
        <v>199</v>
      </c>
      <c r="D87" s="51"/>
      <c r="E87" s="51"/>
      <c r="F87" s="5"/>
      <c r="G87" s="5"/>
      <c r="J87" s="5"/>
      <c r="M87" s="5"/>
      <c r="N87" s="5"/>
      <c r="P87" s="5"/>
    </row>
    <row r="88" spans="1:16" ht="13">
      <c r="A88" s="48" t="s">
        <v>2316</v>
      </c>
      <c r="B88" s="49" t="s">
        <v>891</v>
      </c>
      <c r="C88" s="51" t="s">
        <v>197</v>
      </c>
      <c r="D88" s="54"/>
      <c r="E88" s="5"/>
      <c r="F88" s="5"/>
      <c r="G88" s="5"/>
      <c r="J88" s="5"/>
      <c r="M88" s="5"/>
      <c r="N88" s="5"/>
      <c r="P88" s="5"/>
    </row>
    <row r="89" spans="1:16" ht="13">
      <c r="A89" s="48" t="s">
        <v>2318</v>
      </c>
      <c r="B89" s="49" t="s">
        <v>1376</v>
      </c>
      <c r="C89" s="51" t="s">
        <v>225</v>
      </c>
      <c r="D89" s="54"/>
      <c r="E89" s="5"/>
      <c r="F89" s="5"/>
      <c r="G89" s="5"/>
      <c r="J89" s="5"/>
      <c r="M89" s="5"/>
      <c r="N89" s="5"/>
      <c r="P89" s="5"/>
    </row>
    <row r="90" spans="1:16" ht="13">
      <c r="A90" s="48" t="s">
        <v>2319</v>
      </c>
      <c r="B90" s="49" t="s">
        <v>1587</v>
      </c>
      <c r="C90" s="51" t="s">
        <v>197</v>
      </c>
      <c r="D90" s="51"/>
      <c r="E90" s="5"/>
      <c r="F90" s="5"/>
      <c r="G90" s="5"/>
      <c r="J90" s="5"/>
      <c r="M90" s="5"/>
      <c r="N90" s="5"/>
      <c r="P90" s="5"/>
    </row>
    <row r="91" spans="1:16" ht="13">
      <c r="A91" s="48" t="s">
        <v>2320</v>
      </c>
      <c r="B91" s="49" t="s">
        <v>297</v>
      </c>
      <c r="C91" s="51" t="s">
        <v>205</v>
      </c>
      <c r="D91" s="51"/>
      <c r="E91" s="5"/>
      <c r="F91" s="5"/>
      <c r="G91" s="5"/>
      <c r="J91" s="5"/>
      <c r="M91" s="5"/>
      <c r="N91" s="5"/>
      <c r="P91" s="5"/>
    </row>
    <row r="92" spans="1:16" ht="13">
      <c r="A92" s="48" t="s">
        <v>2321</v>
      </c>
      <c r="B92" s="49" t="s">
        <v>216</v>
      </c>
      <c r="C92" s="51" t="s">
        <v>197</v>
      </c>
      <c r="D92" s="51"/>
      <c r="E92" s="5"/>
      <c r="F92" s="5"/>
      <c r="G92" s="5"/>
      <c r="J92" s="5"/>
      <c r="M92" s="5"/>
      <c r="N92" s="5"/>
      <c r="P92" s="5"/>
    </row>
    <row r="93" spans="1:16" ht="13">
      <c r="A93" s="48" t="s">
        <v>2322</v>
      </c>
      <c r="B93" s="49" t="s">
        <v>1190</v>
      </c>
      <c r="C93" s="51" t="s">
        <v>199</v>
      </c>
      <c r="D93" s="51"/>
      <c r="E93" s="5"/>
      <c r="F93" s="5"/>
      <c r="G93" s="5"/>
      <c r="J93" s="5"/>
      <c r="M93" s="5"/>
      <c r="N93" s="5"/>
      <c r="P93" s="5"/>
    </row>
    <row r="94" spans="1:16" ht="13">
      <c r="A94" s="48" t="s">
        <v>2323</v>
      </c>
      <c r="B94" s="49" t="s">
        <v>1187</v>
      </c>
      <c r="C94" s="51" t="s">
        <v>205</v>
      </c>
      <c r="D94" s="54"/>
      <c r="E94" s="5"/>
      <c r="F94" s="5"/>
      <c r="G94" s="5"/>
      <c r="J94" s="5"/>
      <c r="M94" s="5"/>
      <c r="N94" s="5"/>
      <c r="P94" s="5"/>
    </row>
    <row r="95" spans="1:16" ht="13">
      <c r="A95" s="48" t="s">
        <v>2325</v>
      </c>
      <c r="B95" s="49" t="s">
        <v>1006</v>
      </c>
      <c r="C95" s="51" t="s">
        <v>195</v>
      </c>
      <c r="D95" s="51"/>
      <c r="E95" s="5"/>
      <c r="F95" s="5"/>
      <c r="G95" s="5"/>
      <c r="J95" s="5"/>
      <c r="M95" s="5"/>
      <c r="N95" s="5"/>
      <c r="P95" s="5"/>
    </row>
    <row r="96" spans="1:16" ht="13">
      <c r="A96" s="48" t="s">
        <v>2327</v>
      </c>
      <c r="B96" s="49" t="s">
        <v>1426</v>
      </c>
      <c r="C96" s="51" t="s">
        <v>205</v>
      </c>
      <c r="D96" s="51"/>
      <c r="E96" s="51"/>
      <c r="F96" s="5"/>
      <c r="G96" s="5"/>
      <c r="J96" s="5"/>
      <c r="M96" s="5"/>
      <c r="N96" s="5"/>
      <c r="P96" s="5"/>
    </row>
    <row r="97" spans="1:16" ht="13">
      <c r="A97" s="48" t="s">
        <v>2329</v>
      </c>
      <c r="B97" s="49" t="s">
        <v>300</v>
      </c>
      <c r="C97" s="51" t="s">
        <v>205</v>
      </c>
      <c r="D97" s="51"/>
      <c r="E97" s="5"/>
      <c r="F97" s="5"/>
      <c r="G97" s="5"/>
      <c r="J97" s="5"/>
      <c r="M97" s="5"/>
      <c r="N97" s="5"/>
      <c r="P97" s="5"/>
    </row>
    <row r="98" spans="1:16" ht="13">
      <c r="A98" s="48" t="s">
        <v>2331</v>
      </c>
      <c r="B98" s="49" t="s">
        <v>1898</v>
      </c>
      <c r="C98" s="51" t="s">
        <v>197</v>
      </c>
      <c r="D98" s="54"/>
      <c r="E98" s="5"/>
      <c r="F98" s="5"/>
      <c r="G98" s="5"/>
      <c r="J98" s="5"/>
      <c r="M98" s="5"/>
      <c r="N98" s="5"/>
      <c r="P98" s="5"/>
    </row>
    <row r="99" spans="1:16" ht="13">
      <c r="A99" s="48" t="s">
        <v>2333</v>
      </c>
      <c r="B99" s="49" t="s">
        <v>1321</v>
      </c>
      <c r="C99" s="51" t="s">
        <v>208</v>
      </c>
      <c r="D99" s="54"/>
      <c r="E99" s="5"/>
      <c r="F99" s="5"/>
      <c r="G99" s="5"/>
      <c r="J99" s="5"/>
      <c r="M99" s="5"/>
      <c r="N99" s="5"/>
      <c r="P99" s="5"/>
    </row>
    <row r="100" spans="1:16" ht="13">
      <c r="A100" s="48" t="s">
        <v>2335</v>
      </c>
      <c r="B100" s="49" t="s">
        <v>1325</v>
      </c>
      <c r="C100" s="51" t="s">
        <v>197</v>
      </c>
      <c r="D100" s="54"/>
      <c r="E100" s="5"/>
      <c r="F100" s="5"/>
      <c r="G100" s="5"/>
      <c r="J100" s="5"/>
      <c r="M100" s="5"/>
      <c r="N100" s="5"/>
      <c r="P100" s="5"/>
    </row>
    <row r="101" spans="1:16" ht="13">
      <c r="A101" s="48" t="s">
        <v>2337</v>
      </c>
      <c r="B101" s="49" t="s">
        <v>3341</v>
      </c>
      <c r="C101" s="51" t="s">
        <v>206</v>
      </c>
      <c r="D101" s="51"/>
      <c r="E101" s="5"/>
      <c r="F101" s="5"/>
      <c r="G101" s="5"/>
      <c r="J101" s="5"/>
      <c r="M101" s="5"/>
      <c r="N101" s="5"/>
      <c r="P101" s="5"/>
    </row>
    <row r="102" spans="1:16" ht="13">
      <c r="A102" s="48" t="s">
        <v>2338</v>
      </c>
      <c r="B102" s="49" t="s">
        <v>3342</v>
      </c>
      <c r="C102" s="51" t="s">
        <v>1013</v>
      </c>
      <c r="D102" s="54"/>
      <c r="E102" s="51"/>
      <c r="F102" s="5"/>
      <c r="G102" s="5"/>
      <c r="J102" s="5"/>
      <c r="M102" s="5"/>
      <c r="N102" s="5"/>
      <c r="P102" s="5"/>
    </row>
    <row r="103" spans="1:16" ht="13">
      <c r="A103" s="48" t="s">
        <v>2339</v>
      </c>
      <c r="B103" s="49" t="s">
        <v>3343</v>
      </c>
      <c r="C103" s="51" t="s">
        <v>206</v>
      </c>
      <c r="D103" s="51"/>
      <c r="E103" s="51"/>
      <c r="F103" s="5"/>
      <c r="G103" s="5"/>
      <c r="J103" s="5"/>
      <c r="M103" s="5"/>
      <c r="N103" s="5"/>
      <c r="P103" s="5"/>
    </row>
    <row r="104" spans="1:16" ht="13">
      <c r="A104" s="48" t="s">
        <v>2340</v>
      </c>
      <c r="B104" s="49" t="s">
        <v>3344</v>
      </c>
      <c r="C104" s="51" t="s">
        <v>229</v>
      </c>
      <c r="D104" s="51"/>
      <c r="E104" s="5"/>
      <c r="F104" s="5"/>
      <c r="G104" s="5"/>
      <c r="J104" s="5"/>
      <c r="M104" s="5"/>
      <c r="N104" s="5"/>
      <c r="P104" s="5"/>
    </row>
    <row r="105" spans="1:16" ht="13">
      <c r="A105" s="48" t="s">
        <v>3345</v>
      </c>
      <c r="B105" s="49" t="s">
        <v>3346</v>
      </c>
      <c r="C105" s="51" t="s">
        <v>206</v>
      </c>
      <c r="D105" s="54"/>
      <c r="E105" s="5"/>
      <c r="F105" s="5"/>
      <c r="G105" s="5"/>
      <c r="J105" s="5"/>
      <c r="M105" s="5"/>
      <c r="N105" s="5"/>
      <c r="P105" s="5"/>
    </row>
    <row r="106" spans="1:16" ht="13">
      <c r="A106" s="48" t="s">
        <v>3347</v>
      </c>
      <c r="B106" s="49" t="s">
        <v>1470</v>
      </c>
      <c r="C106" s="51" t="s">
        <v>206</v>
      </c>
      <c r="D106" s="51"/>
      <c r="E106" s="5"/>
      <c r="F106" s="5"/>
      <c r="G106" s="5"/>
      <c r="J106" s="5"/>
      <c r="M106" s="5"/>
      <c r="N106" s="5"/>
      <c r="P106" s="5"/>
    </row>
    <row r="107" spans="1:16" ht="13">
      <c r="A107" s="48" t="s">
        <v>3348</v>
      </c>
      <c r="B107" s="49" t="s">
        <v>3349</v>
      </c>
      <c r="C107" s="51" t="s">
        <v>195</v>
      </c>
      <c r="D107" s="54"/>
      <c r="E107" s="5"/>
      <c r="F107" s="5"/>
      <c r="G107" s="5"/>
      <c r="J107" s="5"/>
      <c r="M107" s="5"/>
      <c r="N107" s="5"/>
      <c r="P107" s="5"/>
    </row>
    <row r="108" spans="1:16" ht="13">
      <c r="A108" s="48" t="s">
        <v>3350</v>
      </c>
      <c r="B108" s="49" t="s">
        <v>3050</v>
      </c>
      <c r="C108" s="51" t="s">
        <v>808</v>
      </c>
      <c r="D108" s="54"/>
      <c r="E108" s="5"/>
      <c r="F108" s="5"/>
      <c r="G108" s="5"/>
      <c r="J108" s="5"/>
      <c r="M108" s="5"/>
      <c r="N108" s="5"/>
      <c r="P108" s="5"/>
    </row>
    <row r="109" spans="1:16" ht="13">
      <c r="A109" s="48" t="s">
        <v>3351</v>
      </c>
      <c r="B109" s="49" t="s">
        <v>3046</v>
      </c>
      <c r="C109" s="51" t="s">
        <v>220</v>
      </c>
      <c r="D109" s="54"/>
      <c r="E109" s="5"/>
      <c r="F109" s="51"/>
      <c r="G109" s="5"/>
      <c r="J109" s="5"/>
      <c r="M109" s="5"/>
      <c r="N109" s="5"/>
      <c r="P109" s="5"/>
    </row>
    <row r="110" spans="1:16" ht="13">
      <c r="A110" s="48" t="s">
        <v>3352</v>
      </c>
      <c r="B110" s="49" t="s">
        <v>3048</v>
      </c>
      <c r="C110" s="51" t="s">
        <v>208</v>
      </c>
      <c r="D110" s="54"/>
      <c r="E110" s="5"/>
      <c r="F110" s="5"/>
      <c r="G110" s="5"/>
      <c r="J110" s="5"/>
      <c r="M110" s="5"/>
      <c r="N110" s="5"/>
      <c r="P110" s="5"/>
    </row>
    <row r="111" spans="1:16" ht="13">
      <c r="A111" s="48"/>
      <c r="B111" s="50"/>
      <c r="C111" s="51"/>
      <c r="D111" s="54"/>
      <c r="E111" s="5"/>
      <c r="F111" s="5"/>
      <c r="G111" s="5"/>
      <c r="J111" s="5"/>
      <c r="M111" s="5"/>
      <c r="N111" s="5"/>
      <c r="P111" s="5"/>
    </row>
    <row r="112" spans="1:16" ht="13">
      <c r="A112" s="48"/>
      <c r="B112" s="50"/>
      <c r="C112" s="51"/>
      <c r="D112" s="54"/>
      <c r="E112" s="5"/>
      <c r="F112" s="5"/>
      <c r="G112" s="5"/>
      <c r="J112" s="5"/>
      <c r="M112" s="5"/>
      <c r="N112" s="5"/>
      <c r="P112" s="5"/>
    </row>
    <row r="113" spans="1:16" ht="13">
      <c r="A113" s="48"/>
      <c r="B113" s="50"/>
      <c r="C113" s="51"/>
      <c r="D113" s="54"/>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1"/>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1"/>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1"/>
      <c r="E120" s="5"/>
      <c r="F120" s="5"/>
      <c r="G120" s="5"/>
      <c r="J120" s="5"/>
      <c r="M120" s="5"/>
      <c r="N120" s="5"/>
      <c r="P120" s="5"/>
    </row>
    <row r="121" spans="1:16" ht="13">
      <c r="A121" s="48"/>
      <c r="B121" s="50"/>
      <c r="C121" s="51"/>
      <c r="D121" s="51"/>
      <c r="E121" s="5"/>
      <c r="F121" s="5"/>
      <c r="G121" s="5"/>
      <c r="J121" s="5"/>
      <c r="M121" s="5"/>
      <c r="N121" s="5"/>
      <c r="P121" s="5"/>
    </row>
    <row r="122" spans="1:16" ht="13">
      <c r="A122" s="48"/>
      <c r="B122" s="50"/>
      <c r="C122" s="51"/>
      <c r="D122" s="51"/>
      <c r="E122" s="5"/>
      <c r="F122" s="5"/>
      <c r="G122" s="5"/>
      <c r="J122" s="5"/>
      <c r="M122" s="5"/>
      <c r="N122" s="5"/>
      <c r="P122" s="5"/>
    </row>
    <row r="123" spans="1:16" ht="13">
      <c r="A123" s="48"/>
      <c r="B123" s="50"/>
      <c r="C123" s="51"/>
      <c r="D123" s="51"/>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1"/>
      <c r="E125" s="5"/>
      <c r="F125" s="5"/>
      <c r="G125" s="5"/>
      <c r="J125" s="5"/>
      <c r="M125" s="5"/>
      <c r="N125" s="5"/>
      <c r="P125" s="5"/>
    </row>
    <row r="126" spans="1:16" ht="13">
      <c r="A126" s="48"/>
      <c r="B126" s="50"/>
      <c r="C126" s="51"/>
      <c r="D126" s="51"/>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1"/>
      <c r="E128" s="5"/>
      <c r="F128" s="5"/>
      <c r="G128" s="5"/>
      <c r="J128" s="5"/>
      <c r="M128" s="5"/>
      <c r="N128" s="5"/>
      <c r="P128" s="5"/>
    </row>
    <row r="129" spans="1:16" ht="13">
      <c r="A129" s="48"/>
      <c r="B129" s="50"/>
      <c r="C129" s="51"/>
      <c r="D129" s="51"/>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2D00-000000000000}"/>
    <hyperlink ref="B6" r:id="rId2" xr:uid="{00000000-0004-0000-2D00-000001000000}"/>
    <hyperlink ref="B7" r:id="rId3" xr:uid="{00000000-0004-0000-2D00-000002000000}"/>
    <hyperlink ref="B8" r:id="rId4" xr:uid="{00000000-0004-0000-2D00-000003000000}"/>
    <hyperlink ref="B9" r:id="rId5" xr:uid="{00000000-0004-0000-2D00-000004000000}"/>
    <hyperlink ref="B10" r:id="rId6" xr:uid="{00000000-0004-0000-2D00-000005000000}"/>
    <hyperlink ref="B11" r:id="rId7" xr:uid="{00000000-0004-0000-2D00-000006000000}"/>
    <hyperlink ref="B12" r:id="rId8" xr:uid="{00000000-0004-0000-2D00-000007000000}"/>
    <hyperlink ref="B13" r:id="rId9" xr:uid="{00000000-0004-0000-2D00-000008000000}"/>
    <hyperlink ref="B14" r:id="rId10" xr:uid="{00000000-0004-0000-2D00-000009000000}"/>
    <hyperlink ref="B15" r:id="rId11" xr:uid="{00000000-0004-0000-2D00-00000A000000}"/>
    <hyperlink ref="B16" r:id="rId12" xr:uid="{00000000-0004-0000-2D00-00000B000000}"/>
    <hyperlink ref="B17" r:id="rId13" xr:uid="{00000000-0004-0000-2D00-00000C000000}"/>
    <hyperlink ref="B18" r:id="rId14" xr:uid="{00000000-0004-0000-2D00-00000D000000}"/>
    <hyperlink ref="B19" r:id="rId15" xr:uid="{00000000-0004-0000-2D00-00000E000000}"/>
    <hyperlink ref="B20" r:id="rId16" xr:uid="{00000000-0004-0000-2D00-00000F000000}"/>
    <hyperlink ref="B21" r:id="rId17" xr:uid="{00000000-0004-0000-2D00-000010000000}"/>
    <hyperlink ref="B22" r:id="rId18" xr:uid="{00000000-0004-0000-2D00-000011000000}"/>
    <hyperlink ref="B23" r:id="rId19" xr:uid="{00000000-0004-0000-2D00-000012000000}"/>
    <hyperlink ref="B24" r:id="rId20" xr:uid="{00000000-0004-0000-2D00-000013000000}"/>
    <hyperlink ref="B25" r:id="rId21" xr:uid="{00000000-0004-0000-2D00-000014000000}"/>
    <hyperlink ref="B26" r:id="rId22" xr:uid="{00000000-0004-0000-2D00-000015000000}"/>
    <hyperlink ref="B27" r:id="rId23" xr:uid="{00000000-0004-0000-2D00-000016000000}"/>
    <hyperlink ref="B28" r:id="rId24" xr:uid="{00000000-0004-0000-2D00-000017000000}"/>
    <hyperlink ref="B29" r:id="rId25" xr:uid="{00000000-0004-0000-2D00-000018000000}"/>
    <hyperlink ref="B30" r:id="rId26" xr:uid="{00000000-0004-0000-2D00-000019000000}"/>
    <hyperlink ref="B31" r:id="rId27" xr:uid="{00000000-0004-0000-2D00-00001A000000}"/>
    <hyperlink ref="B32" r:id="rId28" xr:uid="{00000000-0004-0000-2D00-00001B000000}"/>
    <hyperlink ref="B33" r:id="rId29" xr:uid="{00000000-0004-0000-2D00-00001C000000}"/>
    <hyperlink ref="B34" r:id="rId30" xr:uid="{00000000-0004-0000-2D00-00001D000000}"/>
    <hyperlink ref="B35" r:id="rId31" xr:uid="{00000000-0004-0000-2D00-00001E000000}"/>
    <hyperlink ref="B36" r:id="rId32" xr:uid="{00000000-0004-0000-2D00-00001F000000}"/>
    <hyperlink ref="B37" r:id="rId33" xr:uid="{00000000-0004-0000-2D00-000020000000}"/>
    <hyperlink ref="B38" r:id="rId34" xr:uid="{00000000-0004-0000-2D00-000021000000}"/>
    <hyperlink ref="B39" r:id="rId35" xr:uid="{00000000-0004-0000-2D00-000022000000}"/>
    <hyperlink ref="B40" r:id="rId36" xr:uid="{00000000-0004-0000-2D00-000023000000}"/>
    <hyperlink ref="B41" r:id="rId37" xr:uid="{00000000-0004-0000-2D00-000024000000}"/>
    <hyperlink ref="B42" r:id="rId38" xr:uid="{00000000-0004-0000-2D00-000025000000}"/>
    <hyperlink ref="B43" r:id="rId39" xr:uid="{00000000-0004-0000-2D00-000026000000}"/>
    <hyperlink ref="B44" r:id="rId40" xr:uid="{00000000-0004-0000-2D00-000027000000}"/>
    <hyperlink ref="B45" r:id="rId41" xr:uid="{00000000-0004-0000-2D00-000028000000}"/>
    <hyperlink ref="B46" r:id="rId42" xr:uid="{00000000-0004-0000-2D00-000029000000}"/>
    <hyperlink ref="B47" r:id="rId43" xr:uid="{00000000-0004-0000-2D00-00002A000000}"/>
    <hyperlink ref="B48" r:id="rId44" xr:uid="{00000000-0004-0000-2D00-00002B000000}"/>
    <hyperlink ref="B49" r:id="rId45" xr:uid="{00000000-0004-0000-2D00-00002C000000}"/>
    <hyperlink ref="B50" r:id="rId46" xr:uid="{00000000-0004-0000-2D00-00002D000000}"/>
    <hyperlink ref="B51" r:id="rId47" xr:uid="{00000000-0004-0000-2D00-00002E000000}"/>
    <hyperlink ref="B52" r:id="rId48" xr:uid="{00000000-0004-0000-2D00-00002F000000}"/>
    <hyperlink ref="B53" r:id="rId49" xr:uid="{00000000-0004-0000-2D00-000030000000}"/>
    <hyperlink ref="B54" r:id="rId50" xr:uid="{00000000-0004-0000-2D00-000031000000}"/>
    <hyperlink ref="B55" r:id="rId51" xr:uid="{00000000-0004-0000-2D00-000032000000}"/>
    <hyperlink ref="B56" r:id="rId52" xr:uid="{00000000-0004-0000-2D00-000033000000}"/>
    <hyperlink ref="B57" r:id="rId53" xr:uid="{00000000-0004-0000-2D00-000034000000}"/>
    <hyperlink ref="B58" r:id="rId54" xr:uid="{00000000-0004-0000-2D00-000035000000}"/>
    <hyperlink ref="B59" r:id="rId55" xr:uid="{00000000-0004-0000-2D00-000036000000}"/>
    <hyperlink ref="B60" r:id="rId56" xr:uid="{00000000-0004-0000-2D00-000037000000}"/>
    <hyperlink ref="B61" r:id="rId57" xr:uid="{00000000-0004-0000-2D00-000038000000}"/>
    <hyperlink ref="B62" r:id="rId58" xr:uid="{00000000-0004-0000-2D00-000039000000}"/>
    <hyperlink ref="B63" r:id="rId59" xr:uid="{00000000-0004-0000-2D00-00003A000000}"/>
    <hyperlink ref="B64" r:id="rId60" xr:uid="{00000000-0004-0000-2D00-00003B000000}"/>
    <hyperlink ref="B65" r:id="rId61" xr:uid="{00000000-0004-0000-2D00-00003C000000}"/>
    <hyperlink ref="B66" r:id="rId62" xr:uid="{00000000-0004-0000-2D00-00003D000000}"/>
    <hyperlink ref="B67" r:id="rId63" xr:uid="{00000000-0004-0000-2D00-00003E000000}"/>
    <hyperlink ref="B68" r:id="rId64" xr:uid="{00000000-0004-0000-2D00-00003F000000}"/>
    <hyperlink ref="B69" r:id="rId65" xr:uid="{00000000-0004-0000-2D00-000040000000}"/>
    <hyperlink ref="B70" r:id="rId66" xr:uid="{00000000-0004-0000-2D00-000041000000}"/>
    <hyperlink ref="B71" r:id="rId67" xr:uid="{00000000-0004-0000-2D00-000042000000}"/>
    <hyperlink ref="B72" r:id="rId68" xr:uid="{00000000-0004-0000-2D00-000043000000}"/>
    <hyperlink ref="B73" r:id="rId69" xr:uid="{00000000-0004-0000-2D00-000044000000}"/>
    <hyperlink ref="B74" r:id="rId70" xr:uid="{00000000-0004-0000-2D00-000045000000}"/>
    <hyperlink ref="B75" r:id="rId71" xr:uid="{00000000-0004-0000-2D00-000046000000}"/>
    <hyperlink ref="B76" r:id="rId72" xr:uid="{00000000-0004-0000-2D00-000047000000}"/>
    <hyperlink ref="B77" r:id="rId73" xr:uid="{00000000-0004-0000-2D00-000048000000}"/>
    <hyperlink ref="B78" r:id="rId74" xr:uid="{00000000-0004-0000-2D00-000049000000}"/>
    <hyperlink ref="B79" r:id="rId75" xr:uid="{00000000-0004-0000-2D00-00004A000000}"/>
    <hyperlink ref="B80" r:id="rId76" xr:uid="{00000000-0004-0000-2D00-00004B000000}"/>
    <hyperlink ref="B81" r:id="rId77" xr:uid="{00000000-0004-0000-2D00-00004C000000}"/>
    <hyperlink ref="B82" r:id="rId78" xr:uid="{00000000-0004-0000-2D00-00004D000000}"/>
    <hyperlink ref="B83" r:id="rId79" xr:uid="{00000000-0004-0000-2D00-00004E000000}"/>
    <hyperlink ref="B84" r:id="rId80" xr:uid="{00000000-0004-0000-2D00-00004F000000}"/>
    <hyperlink ref="B85" r:id="rId81" xr:uid="{00000000-0004-0000-2D00-000050000000}"/>
    <hyperlink ref="B86" r:id="rId82" xr:uid="{00000000-0004-0000-2D00-000051000000}"/>
    <hyperlink ref="B87" r:id="rId83" xr:uid="{00000000-0004-0000-2D00-000052000000}"/>
    <hyperlink ref="B88" r:id="rId84" xr:uid="{00000000-0004-0000-2D00-000053000000}"/>
    <hyperlink ref="B89" r:id="rId85" xr:uid="{00000000-0004-0000-2D00-000054000000}"/>
    <hyperlink ref="B90" r:id="rId86" xr:uid="{00000000-0004-0000-2D00-000055000000}"/>
    <hyperlink ref="B91" r:id="rId87" xr:uid="{00000000-0004-0000-2D00-000056000000}"/>
    <hyperlink ref="B92" r:id="rId88" xr:uid="{00000000-0004-0000-2D00-000057000000}"/>
    <hyperlink ref="B93" r:id="rId89" xr:uid="{00000000-0004-0000-2D00-000058000000}"/>
    <hyperlink ref="B94" r:id="rId90" xr:uid="{00000000-0004-0000-2D00-000059000000}"/>
    <hyperlink ref="B95" r:id="rId91" xr:uid="{00000000-0004-0000-2D00-00005A000000}"/>
    <hyperlink ref="B96" r:id="rId92" xr:uid="{00000000-0004-0000-2D00-00005B000000}"/>
    <hyperlink ref="B97" r:id="rId93" xr:uid="{00000000-0004-0000-2D00-00005C000000}"/>
    <hyperlink ref="B98" r:id="rId94" xr:uid="{00000000-0004-0000-2D00-00005D000000}"/>
    <hyperlink ref="B99" r:id="rId95" xr:uid="{00000000-0004-0000-2D00-00005E000000}"/>
    <hyperlink ref="B100" r:id="rId96" xr:uid="{00000000-0004-0000-2D00-00005F000000}"/>
    <hyperlink ref="B101" r:id="rId97" xr:uid="{00000000-0004-0000-2D00-000060000000}"/>
    <hyperlink ref="B102" r:id="rId98" xr:uid="{00000000-0004-0000-2D00-000061000000}"/>
    <hyperlink ref="B103" r:id="rId99" xr:uid="{00000000-0004-0000-2D00-000062000000}"/>
    <hyperlink ref="B104" r:id="rId100" xr:uid="{00000000-0004-0000-2D00-000063000000}"/>
    <hyperlink ref="B105" r:id="rId101" xr:uid="{00000000-0004-0000-2D00-000064000000}"/>
    <hyperlink ref="B106" r:id="rId102" xr:uid="{00000000-0004-0000-2D00-000065000000}"/>
    <hyperlink ref="B107" r:id="rId103" xr:uid="{00000000-0004-0000-2D00-000066000000}"/>
    <hyperlink ref="B108" r:id="rId104" xr:uid="{00000000-0004-0000-2D00-000067000000}"/>
    <hyperlink ref="B109" r:id="rId105" xr:uid="{00000000-0004-0000-2D00-000068000000}"/>
    <hyperlink ref="B110" r:id="rId106" xr:uid="{00000000-0004-0000-2D00-000069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 customWidth="1"/>
    <col min="3" max="3" width="13.5" customWidth="1"/>
    <col min="4" max="4" width="14.83203125" customWidth="1"/>
    <col min="5" max="5" width="14.33203125" customWidth="1"/>
    <col min="11" max="11" width="13.83203125" customWidth="1"/>
  </cols>
  <sheetData>
    <row r="1" spans="1:23" ht="15.75" customHeight="1">
      <c r="A1" s="1" t="s">
        <v>45</v>
      </c>
      <c r="B1" s="36"/>
      <c r="C1" s="46"/>
      <c r="D1" s="7" t="s">
        <v>181</v>
      </c>
      <c r="E1" s="5"/>
      <c r="F1" s="5"/>
      <c r="G1" s="5"/>
      <c r="K1" s="1"/>
      <c r="M1" s="5"/>
      <c r="N1" s="5"/>
      <c r="S1" s="1"/>
      <c r="U1" s="5"/>
    </row>
    <row r="2" spans="1:23" ht="15.75" customHeight="1">
      <c r="A2" s="7" t="s">
        <v>182</v>
      </c>
      <c r="B2" s="38">
        <v>39589</v>
      </c>
      <c r="C2" s="46"/>
      <c r="D2" s="39">
        <f>SUM(D5:G104)</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1354</v>
      </c>
      <c r="B5" s="49" t="s">
        <v>210</v>
      </c>
      <c r="C5" s="51" t="s">
        <v>208</v>
      </c>
      <c r="D5" s="54"/>
      <c r="E5" s="5"/>
      <c r="F5" s="5"/>
      <c r="G5" s="5"/>
      <c r="L5" s="43"/>
      <c r="M5" s="43"/>
      <c r="N5" s="42"/>
      <c r="O5" s="44"/>
      <c r="S5" s="42"/>
      <c r="T5" s="43"/>
      <c r="U5" s="43"/>
      <c r="V5" s="42"/>
      <c r="W5" s="44"/>
    </row>
    <row r="6" spans="1:23" ht="15.75" customHeight="1">
      <c r="A6" s="48" t="s">
        <v>1356</v>
      </c>
      <c r="B6" s="49" t="s">
        <v>3101</v>
      </c>
      <c r="C6" s="51" t="s">
        <v>195</v>
      </c>
      <c r="D6" s="54"/>
      <c r="E6" s="5"/>
      <c r="F6" s="5"/>
      <c r="G6" s="5"/>
      <c r="L6" s="50"/>
      <c r="M6" s="51"/>
      <c r="N6" s="5"/>
      <c r="S6" s="52"/>
      <c r="T6" s="50"/>
      <c r="U6" s="51"/>
    </row>
    <row r="7" spans="1:23" ht="15.75" customHeight="1">
      <c r="A7" s="48" t="s">
        <v>1358</v>
      </c>
      <c r="B7" s="49" t="s">
        <v>3059</v>
      </c>
      <c r="C7" s="51" t="s">
        <v>808</v>
      </c>
      <c r="D7" s="54"/>
      <c r="E7" s="5"/>
      <c r="F7" s="5"/>
      <c r="G7" s="5"/>
      <c r="K7" s="52"/>
      <c r="L7" s="50"/>
      <c r="M7" s="51"/>
      <c r="N7" s="5"/>
      <c r="S7" s="52"/>
      <c r="T7" s="50"/>
      <c r="U7" s="51"/>
    </row>
    <row r="8" spans="1:23" ht="15.75" customHeight="1">
      <c r="A8" s="48" t="s">
        <v>1360</v>
      </c>
      <c r="B8" s="49" t="s">
        <v>3062</v>
      </c>
      <c r="C8" s="51" t="s">
        <v>220</v>
      </c>
      <c r="D8" s="54"/>
      <c r="E8" s="5"/>
      <c r="F8" s="5"/>
      <c r="G8" s="5"/>
      <c r="K8" s="52"/>
      <c r="L8" s="50"/>
      <c r="M8" s="51"/>
      <c r="N8" s="51"/>
      <c r="S8" s="52"/>
      <c r="T8" s="50"/>
      <c r="U8" s="51"/>
    </row>
    <row r="9" spans="1:23" ht="15.75" customHeight="1">
      <c r="A9" s="48" t="s">
        <v>1362</v>
      </c>
      <c r="B9" s="49" t="s">
        <v>3353</v>
      </c>
      <c r="C9" s="51" t="s">
        <v>208</v>
      </c>
      <c r="D9" s="54"/>
      <c r="E9" s="5"/>
      <c r="F9" s="5"/>
      <c r="G9" s="5"/>
      <c r="K9" s="52"/>
      <c r="L9" s="50"/>
      <c r="M9" s="51"/>
      <c r="N9" s="51"/>
      <c r="S9" s="52"/>
      <c r="T9" s="50"/>
      <c r="U9" s="51"/>
    </row>
    <row r="10" spans="1:23" ht="15.75" customHeight="1">
      <c r="A10" s="48" t="s">
        <v>1363</v>
      </c>
      <c r="B10" s="49" t="s">
        <v>363</v>
      </c>
      <c r="C10" s="51" t="s">
        <v>225</v>
      </c>
      <c r="D10" s="54"/>
      <c r="E10" s="5"/>
      <c r="F10" s="5"/>
      <c r="G10" s="5"/>
      <c r="K10" s="52"/>
      <c r="L10" s="50"/>
      <c r="M10" s="51"/>
      <c r="N10" s="5"/>
      <c r="S10" s="52"/>
      <c r="T10" s="50"/>
      <c r="U10" s="51"/>
    </row>
    <row r="11" spans="1:23" ht="15.75" customHeight="1">
      <c r="A11" s="48" t="s">
        <v>1364</v>
      </c>
      <c r="B11" s="49" t="s">
        <v>3354</v>
      </c>
      <c r="C11" s="51" t="s">
        <v>205</v>
      </c>
      <c r="D11" s="54"/>
      <c r="E11" s="5"/>
      <c r="F11" s="5"/>
      <c r="G11" s="5"/>
      <c r="K11" s="52"/>
      <c r="L11" s="50"/>
      <c r="M11" s="51"/>
      <c r="N11" s="51"/>
      <c r="S11" s="52"/>
      <c r="T11" s="50"/>
      <c r="U11" s="51"/>
    </row>
    <row r="12" spans="1:23" ht="15.75" customHeight="1">
      <c r="A12" s="48" t="s">
        <v>1365</v>
      </c>
      <c r="B12" s="49" t="s">
        <v>3115</v>
      </c>
      <c r="C12" s="51" t="s">
        <v>208</v>
      </c>
      <c r="D12" s="54"/>
      <c r="E12" s="5"/>
      <c r="F12" s="5"/>
      <c r="G12" s="5"/>
      <c r="K12" s="52"/>
      <c r="L12" s="50"/>
      <c r="M12" s="51"/>
      <c r="N12" s="51"/>
      <c r="S12" s="52"/>
      <c r="T12" s="50"/>
      <c r="U12" s="51"/>
    </row>
    <row r="13" spans="1:23" ht="15.75" customHeight="1">
      <c r="A13" s="48" t="s">
        <v>1367</v>
      </c>
      <c r="B13" s="49" t="s">
        <v>194</v>
      </c>
      <c r="C13" s="51" t="s">
        <v>195</v>
      </c>
      <c r="D13" s="54"/>
      <c r="E13" s="5"/>
      <c r="F13" s="5"/>
      <c r="G13" s="5"/>
      <c r="K13" s="52"/>
      <c r="L13" s="50"/>
      <c r="M13" s="51"/>
      <c r="N13" s="5"/>
      <c r="S13" s="52"/>
      <c r="T13" s="50"/>
      <c r="U13" s="51"/>
    </row>
    <row r="14" spans="1:23" ht="15.75" customHeight="1">
      <c r="A14" s="48" t="s">
        <v>1369</v>
      </c>
      <c r="B14" s="49" t="s">
        <v>209</v>
      </c>
      <c r="C14" s="51" t="s">
        <v>199</v>
      </c>
      <c r="D14" s="54"/>
      <c r="E14" s="5"/>
      <c r="F14" s="5"/>
      <c r="G14" s="5"/>
      <c r="K14" s="52"/>
      <c r="L14" s="50"/>
      <c r="M14" s="51"/>
      <c r="N14" s="51"/>
      <c r="S14" s="52"/>
      <c r="T14" s="50"/>
      <c r="U14" s="51"/>
    </row>
    <row r="15" spans="1:23" ht="15.75" customHeight="1">
      <c r="A15" s="48" t="s">
        <v>1371</v>
      </c>
      <c r="B15" s="49" t="s">
        <v>3064</v>
      </c>
      <c r="C15" s="51" t="s">
        <v>208</v>
      </c>
      <c r="D15" s="54"/>
      <c r="E15" s="5"/>
      <c r="F15" s="5"/>
      <c r="G15" s="5"/>
      <c r="K15" s="52"/>
      <c r="L15" s="50"/>
      <c r="M15" s="51"/>
      <c r="N15" s="51"/>
      <c r="S15" s="52"/>
      <c r="T15" s="50"/>
      <c r="U15" s="51"/>
    </row>
    <row r="16" spans="1:23" ht="15.75" customHeight="1">
      <c r="A16" s="48" t="s">
        <v>1373</v>
      </c>
      <c r="B16" s="49" t="s">
        <v>3355</v>
      </c>
      <c r="C16" s="51" t="s">
        <v>208</v>
      </c>
      <c r="D16" s="54"/>
      <c r="E16" s="5"/>
      <c r="F16" s="5"/>
      <c r="G16" s="5"/>
      <c r="K16" s="52"/>
      <c r="L16" s="50"/>
      <c r="M16" s="51"/>
      <c r="N16" s="51"/>
      <c r="S16" s="52"/>
      <c r="T16" s="50"/>
      <c r="U16" s="51"/>
    </row>
    <row r="17" spans="1:27" ht="15.75" customHeight="1">
      <c r="A17" s="48" t="s">
        <v>1375</v>
      </c>
      <c r="B17" s="49" t="s">
        <v>3338</v>
      </c>
      <c r="C17" s="51" t="s">
        <v>192</v>
      </c>
      <c r="D17" s="54"/>
      <c r="E17" s="5"/>
      <c r="F17" s="5"/>
      <c r="G17" s="5"/>
      <c r="K17" s="52"/>
      <c r="L17" s="50"/>
      <c r="M17" s="51"/>
      <c r="N17" s="51"/>
      <c r="S17" s="52"/>
      <c r="T17" s="50"/>
      <c r="U17" s="51"/>
    </row>
    <row r="18" spans="1:27" ht="15.75" customHeight="1">
      <c r="A18" s="48" t="s">
        <v>1377</v>
      </c>
      <c r="B18" s="49" t="s">
        <v>211</v>
      </c>
      <c r="C18" s="51" t="s">
        <v>192</v>
      </c>
      <c r="D18" s="54"/>
      <c r="E18" s="5"/>
      <c r="F18" s="5"/>
      <c r="G18" s="5"/>
      <c r="M18" s="5"/>
      <c r="N18" s="5"/>
      <c r="U18" s="5"/>
      <c r="AA18" s="5"/>
    </row>
    <row r="19" spans="1:27" ht="15.75" customHeight="1">
      <c r="A19" s="48" t="s">
        <v>1379</v>
      </c>
      <c r="B19" s="49" t="s">
        <v>358</v>
      </c>
      <c r="C19" s="51" t="s">
        <v>197</v>
      </c>
      <c r="D19" s="54"/>
      <c r="E19" s="5"/>
      <c r="F19" s="5"/>
      <c r="G19" s="5"/>
      <c r="K19" s="1"/>
      <c r="M19" s="5"/>
      <c r="N19" s="5"/>
      <c r="U19" s="5"/>
      <c r="AA19" s="5"/>
    </row>
    <row r="20" spans="1:27" ht="15.75" customHeight="1">
      <c r="A20" s="48" t="s">
        <v>1380</v>
      </c>
      <c r="B20" s="49" t="s">
        <v>3163</v>
      </c>
      <c r="C20" s="51" t="s">
        <v>195</v>
      </c>
      <c r="D20" s="54"/>
      <c r="E20" s="5"/>
      <c r="F20" s="5"/>
      <c r="G20" s="5"/>
      <c r="L20" s="40"/>
      <c r="M20" s="5"/>
      <c r="N20" s="5"/>
      <c r="AA20" s="5"/>
    </row>
    <row r="21" spans="1:27" ht="15.75" customHeight="1">
      <c r="A21" s="48" t="s">
        <v>1381</v>
      </c>
      <c r="B21" s="49" t="s">
        <v>3111</v>
      </c>
      <c r="C21" s="51" t="s">
        <v>208</v>
      </c>
      <c r="D21" s="54"/>
      <c r="E21" s="5"/>
      <c r="F21" s="5"/>
      <c r="G21" s="5"/>
      <c r="M21" s="5"/>
      <c r="N21" s="5"/>
      <c r="AA21" s="5"/>
    </row>
    <row r="22" spans="1:27" ht="15.75" customHeight="1">
      <c r="A22" s="48" t="s">
        <v>1382</v>
      </c>
      <c r="B22" s="49" t="s">
        <v>936</v>
      </c>
      <c r="C22" s="51" t="s">
        <v>195</v>
      </c>
      <c r="D22" s="54"/>
      <c r="E22" s="5"/>
      <c r="F22" s="5"/>
      <c r="G22" s="5"/>
      <c r="K22" s="42"/>
      <c r="L22" s="45"/>
      <c r="M22" s="46"/>
      <c r="N22" s="47"/>
      <c r="AA22" s="5"/>
    </row>
    <row r="23" spans="1:27" ht="15.75" customHeight="1">
      <c r="A23" s="48" t="s">
        <v>1384</v>
      </c>
      <c r="B23" s="49" t="s">
        <v>319</v>
      </c>
      <c r="C23" s="51" t="s">
        <v>199</v>
      </c>
      <c r="D23" s="54"/>
      <c r="E23" s="5"/>
      <c r="F23" s="5"/>
      <c r="G23" s="5"/>
      <c r="K23" s="42"/>
      <c r="L23" s="43"/>
      <c r="M23" s="43"/>
      <c r="N23" s="42"/>
      <c r="O23" s="44"/>
      <c r="AA23" s="5"/>
    </row>
    <row r="24" spans="1:27" ht="15.75" customHeight="1">
      <c r="A24" s="48" t="s">
        <v>1385</v>
      </c>
      <c r="B24" s="49" t="s">
        <v>3353</v>
      </c>
      <c r="C24" s="51" t="s">
        <v>208</v>
      </c>
      <c r="D24" s="54"/>
      <c r="E24" s="5"/>
      <c r="F24" s="5"/>
      <c r="G24" s="5"/>
      <c r="K24" s="52"/>
      <c r="L24" s="50"/>
      <c r="M24" s="51"/>
      <c r="N24" s="5"/>
      <c r="AA24" s="5"/>
    </row>
    <row r="25" spans="1:27" ht="15.75" customHeight="1">
      <c r="A25" s="48" t="s">
        <v>1386</v>
      </c>
      <c r="B25" s="49" t="s">
        <v>3126</v>
      </c>
      <c r="C25" s="51" t="s">
        <v>225</v>
      </c>
      <c r="D25" s="54"/>
      <c r="E25" s="5"/>
      <c r="F25" s="5"/>
      <c r="G25" s="5"/>
      <c r="K25" s="52"/>
      <c r="L25" s="50"/>
      <c r="M25" s="51"/>
      <c r="N25" s="5"/>
      <c r="AA25" s="5"/>
    </row>
    <row r="26" spans="1:27" ht="15.75" customHeight="1">
      <c r="A26" s="48" t="s">
        <v>1387</v>
      </c>
      <c r="B26" s="49" t="s">
        <v>3112</v>
      </c>
      <c r="C26" s="51" t="s">
        <v>199</v>
      </c>
      <c r="D26" s="54"/>
      <c r="E26" s="5"/>
      <c r="F26" s="5"/>
      <c r="G26" s="5"/>
      <c r="K26" s="52"/>
      <c r="L26" s="50"/>
      <c r="M26" s="51"/>
      <c r="N26" s="51"/>
      <c r="AA26" s="5"/>
    </row>
    <row r="27" spans="1:27" ht="15.75" customHeight="1">
      <c r="A27" s="48" t="s">
        <v>1388</v>
      </c>
      <c r="B27" s="49" t="s">
        <v>320</v>
      </c>
      <c r="C27" s="51" t="s">
        <v>192</v>
      </c>
      <c r="D27" s="54"/>
      <c r="E27" s="5"/>
      <c r="F27" s="51"/>
      <c r="G27" s="5"/>
      <c r="K27" s="52"/>
      <c r="L27" s="50"/>
      <c r="M27" s="51"/>
      <c r="N27" s="51"/>
      <c r="AA27" s="5"/>
    </row>
    <row r="28" spans="1:27" ht="15.75" customHeight="1">
      <c r="A28" s="48" t="s">
        <v>1389</v>
      </c>
      <c r="B28" s="49" t="s">
        <v>3354</v>
      </c>
      <c r="C28" s="51" t="s">
        <v>205</v>
      </c>
      <c r="D28" s="54"/>
      <c r="E28" s="5"/>
      <c r="F28" s="5"/>
      <c r="G28" s="5"/>
      <c r="J28" s="5"/>
      <c r="K28" s="52"/>
      <c r="L28" s="50"/>
      <c r="M28" s="51"/>
      <c r="N28" s="5"/>
      <c r="P28" s="5"/>
    </row>
    <row r="29" spans="1:27" ht="15.75" customHeight="1">
      <c r="A29" s="48" t="s">
        <v>1390</v>
      </c>
      <c r="B29" s="49" t="s">
        <v>1501</v>
      </c>
      <c r="C29" s="51" t="s">
        <v>192</v>
      </c>
      <c r="D29" s="54"/>
      <c r="E29" s="5"/>
      <c r="F29" s="5"/>
      <c r="G29" s="5"/>
      <c r="J29" s="5"/>
      <c r="K29" s="52"/>
      <c r="L29" s="50"/>
      <c r="M29" s="51"/>
      <c r="N29" s="51"/>
      <c r="P29" s="5"/>
    </row>
    <row r="30" spans="1:27" ht="15.75" customHeight="1">
      <c r="A30" s="48" t="s">
        <v>1391</v>
      </c>
      <c r="B30" s="49" t="s">
        <v>373</v>
      </c>
      <c r="C30" s="51" t="s">
        <v>208</v>
      </c>
      <c r="D30" s="54"/>
      <c r="E30" s="5"/>
      <c r="F30" s="5"/>
      <c r="G30" s="5"/>
      <c r="J30" s="5"/>
      <c r="K30" s="52"/>
      <c r="L30" s="50"/>
      <c r="M30" s="51"/>
      <c r="N30" s="5"/>
      <c r="P30" s="5"/>
    </row>
    <row r="31" spans="1:27" ht="15.75" customHeight="1">
      <c r="A31" s="48" t="s">
        <v>1392</v>
      </c>
      <c r="B31" s="49" t="s">
        <v>3355</v>
      </c>
      <c r="C31" s="51" t="s">
        <v>208</v>
      </c>
      <c r="D31" s="54"/>
      <c r="E31" s="5"/>
      <c r="F31" s="5"/>
      <c r="G31" s="5"/>
      <c r="J31" s="5"/>
      <c r="K31" s="52"/>
      <c r="L31" s="50"/>
      <c r="M31" s="51"/>
      <c r="N31" s="51"/>
      <c r="P31" s="5"/>
    </row>
    <row r="32" spans="1:27" ht="15.75" customHeight="1">
      <c r="A32" s="48" t="s">
        <v>1394</v>
      </c>
      <c r="B32" s="49" t="s">
        <v>1503</v>
      </c>
      <c r="C32" s="51" t="s">
        <v>192</v>
      </c>
      <c r="D32" s="54"/>
      <c r="E32" s="5"/>
      <c r="F32" s="5"/>
      <c r="G32" s="5"/>
      <c r="J32" s="5"/>
      <c r="K32" s="52"/>
      <c r="L32" s="50"/>
      <c r="M32" s="51"/>
      <c r="N32" s="5"/>
      <c r="P32" s="5"/>
    </row>
    <row r="33" spans="1:16" ht="15.75" customHeight="1">
      <c r="A33" s="48" t="s">
        <v>1395</v>
      </c>
      <c r="B33" s="49" t="s">
        <v>219</v>
      </c>
      <c r="C33" s="51" t="s">
        <v>220</v>
      </c>
      <c r="D33" s="54"/>
      <c r="E33" s="5"/>
      <c r="F33" s="5"/>
      <c r="G33" s="5"/>
      <c r="J33" s="5"/>
      <c r="K33" s="52"/>
      <c r="L33" s="50"/>
      <c r="M33" s="51"/>
      <c r="N33" s="5"/>
      <c r="P33" s="5"/>
    </row>
    <row r="34" spans="1:16" ht="15.75" customHeight="1">
      <c r="A34" s="48" t="s">
        <v>1396</v>
      </c>
      <c r="B34" s="49" t="s">
        <v>3121</v>
      </c>
      <c r="C34" s="51" t="s">
        <v>205</v>
      </c>
      <c r="D34" s="54"/>
      <c r="E34" s="5"/>
      <c r="F34" s="5"/>
      <c r="G34" s="5"/>
      <c r="J34" s="5"/>
      <c r="K34" s="52"/>
      <c r="L34" s="50"/>
      <c r="M34" s="51"/>
      <c r="N34" s="5"/>
      <c r="P34" s="5"/>
    </row>
    <row r="35" spans="1:16" ht="15.75" customHeight="1">
      <c r="A35" s="48" t="s">
        <v>1397</v>
      </c>
      <c r="B35" s="49" t="s">
        <v>3203</v>
      </c>
      <c r="C35" s="51" t="s">
        <v>195</v>
      </c>
      <c r="D35" s="54"/>
      <c r="E35" s="5"/>
      <c r="F35" s="5"/>
      <c r="G35" s="5"/>
      <c r="J35" s="5"/>
      <c r="K35" s="52"/>
      <c r="L35" s="50"/>
      <c r="M35" s="51"/>
      <c r="N35" s="51"/>
      <c r="P35" s="5"/>
    </row>
    <row r="36" spans="1:16" ht="15.75" customHeight="1">
      <c r="A36" s="48" t="s">
        <v>1399</v>
      </c>
      <c r="B36" s="49" t="s">
        <v>942</v>
      </c>
      <c r="C36" s="51" t="s">
        <v>808</v>
      </c>
      <c r="D36" s="54"/>
      <c r="E36" s="5"/>
      <c r="F36" s="5"/>
      <c r="G36" s="5"/>
      <c r="J36" s="5"/>
      <c r="M36" s="5"/>
      <c r="N36" s="5"/>
      <c r="P36" s="5"/>
    </row>
    <row r="37" spans="1:16" ht="15.75" customHeight="1">
      <c r="A37" s="48" t="s">
        <v>1401</v>
      </c>
      <c r="B37" s="49" t="s">
        <v>1002</v>
      </c>
      <c r="C37" s="51" t="s">
        <v>195</v>
      </c>
      <c r="D37" s="54"/>
      <c r="E37" s="5"/>
      <c r="F37" s="5"/>
      <c r="G37" s="5"/>
      <c r="J37" s="5"/>
      <c r="M37" s="5"/>
      <c r="N37" s="5"/>
    </row>
    <row r="38" spans="1:16" ht="15.75" customHeight="1">
      <c r="A38" s="48" t="s">
        <v>1402</v>
      </c>
      <c r="B38" s="49" t="s">
        <v>326</v>
      </c>
      <c r="C38" s="51" t="s">
        <v>208</v>
      </c>
      <c r="D38" s="54"/>
      <c r="E38" s="5"/>
      <c r="F38" s="5"/>
      <c r="G38" s="5"/>
      <c r="J38" s="5"/>
      <c r="M38" s="51"/>
      <c r="N38" s="51"/>
    </row>
    <row r="39" spans="1:16" ht="15.75" customHeight="1">
      <c r="A39" s="48" t="s">
        <v>1403</v>
      </c>
      <c r="B39" s="49" t="s">
        <v>3158</v>
      </c>
      <c r="C39" s="51" t="s">
        <v>197</v>
      </c>
      <c r="D39" s="54"/>
      <c r="E39" s="5"/>
      <c r="F39" s="5"/>
      <c r="G39" s="5"/>
      <c r="J39" s="5"/>
      <c r="M39" s="51"/>
      <c r="N39" s="51"/>
    </row>
    <row r="40" spans="1:16" ht="15.75" customHeight="1">
      <c r="A40" s="48" t="s">
        <v>1404</v>
      </c>
      <c r="B40" s="49" t="s">
        <v>334</v>
      </c>
      <c r="C40" s="51" t="s">
        <v>197</v>
      </c>
      <c r="D40" s="54"/>
      <c r="E40" s="5"/>
      <c r="F40" s="5"/>
      <c r="G40" s="5"/>
      <c r="J40" s="5"/>
      <c r="M40" s="51"/>
      <c r="N40" s="51"/>
    </row>
    <row r="41" spans="1:16" ht="15.75" customHeight="1">
      <c r="A41" s="48" t="s">
        <v>1405</v>
      </c>
      <c r="B41" s="49" t="s">
        <v>3135</v>
      </c>
      <c r="C41" s="51" t="s">
        <v>205</v>
      </c>
      <c r="D41" s="54"/>
      <c r="E41" s="5"/>
      <c r="F41" s="5"/>
      <c r="G41" s="5"/>
      <c r="J41" s="5"/>
      <c r="M41" s="51"/>
      <c r="N41" s="51"/>
    </row>
    <row r="42" spans="1:16" ht="15.75" customHeight="1">
      <c r="A42" s="48" t="s">
        <v>1406</v>
      </c>
      <c r="B42" s="49" t="s">
        <v>321</v>
      </c>
      <c r="C42" s="51" t="s">
        <v>197</v>
      </c>
      <c r="D42" s="54"/>
      <c r="E42" s="5"/>
      <c r="F42" s="5"/>
      <c r="G42" s="5"/>
      <c r="J42" s="5"/>
      <c r="M42" s="51"/>
      <c r="N42" s="51"/>
    </row>
    <row r="43" spans="1:16" ht="15.75" customHeight="1">
      <c r="A43" s="48" t="s">
        <v>1408</v>
      </c>
      <c r="B43" s="49" t="s">
        <v>336</v>
      </c>
      <c r="C43" s="51" t="s">
        <v>197</v>
      </c>
      <c r="D43" s="54"/>
      <c r="E43" s="5"/>
      <c r="F43" s="5"/>
      <c r="G43" s="5"/>
      <c r="J43" s="5"/>
      <c r="M43" s="51"/>
      <c r="N43" s="51"/>
    </row>
    <row r="44" spans="1:16" ht="15.75" customHeight="1">
      <c r="A44" s="48" t="s">
        <v>1409</v>
      </c>
      <c r="B44" s="49" t="s">
        <v>1224</v>
      </c>
      <c r="C44" s="51" t="s">
        <v>192</v>
      </c>
      <c r="D44" s="54"/>
      <c r="E44" s="5"/>
      <c r="F44" s="5"/>
      <c r="G44" s="5"/>
      <c r="J44" s="5"/>
      <c r="M44" s="51"/>
      <c r="N44" s="51"/>
    </row>
    <row r="45" spans="1:16" ht="15.75" customHeight="1">
      <c r="A45" s="48" t="s">
        <v>1410</v>
      </c>
      <c r="B45" s="49" t="s">
        <v>3139</v>
      </c>
      <c r="C45" s="51" t="s">
        <v>199</v>
      </c>
      <c r="D45" s="54"/>
      <c r="E45" s="5"/>
      <c r="F45" s="5"/>
      <c r="G45" s="5"/>
      <c r="J45" s="5"/>
      <c r="M45" s="51"/>
      <c r="N45" s="51"/>
      <c r="P45" s="5"/>
    </row>
    <row r="46" spans="1:16" ht="15.75" customHeight="1">
      <c r="A46" s="48" t="s">
        <v>1411</v>
      </c>
      <c r="B46" s="49" t="s">
        <v>3318</v>
      </c>
      <c r="C46" s="51" t="s">
        <v>205</v>
      </c>
      <c r="D46" s="54"/>
      <c r="E46" s="5"/>
      <c r="F46" s="5"/>
      <c r="G46" s="5"/>
      <c r="J46" s="5"/>
      <c r="M46" s="51"/>
      <c r="N46" s="51"/>
      <c r="P46" s="5"/>
    </row>
    <row r="47" spans="1:16" ht="15.75" customHeight="1">
      <c r="A47" s="48" t="s">
        <v>1413</v>
      </c>
      <c r="B47" s="49" t="s">
        <v>3022</v>
      </c>
      <c r="C47" s="51" t="s">
        <v>192</v>
      </c>
      <c r="D47" s="54"/>
      <c r="E47" s="5"/>
      <c r="F47" s="5"/>
      <c r="G47" s="5"/>
      <c r="J47" s="5"/>
      <c r="M47" s="5"/>
      <c r="N47" s="5"/>
      <c r="P47" s="5"/>
    </row>
    <row r="48" spans="1:16" ht="15.75" customHeight="1">
      <c r="A48" s="48" t="s">
        <v>1414</v>
      </c>
      <c r="B48" s="49" t="s">
        <v>3140</v>
      </c>
      <c r="C48" s="51" t="s">
        <v>208</v>
      </c>
      <c r="D48" s="54"/>
      <c r="E48" s="5"/>
      <c r="F48" s="5"/>
      <c r="G48" s="5"/>
      <c r="J48" s="5"/>
      <c r="M48" s="5"/>
      <c r="N48" s="5"/>
      <c r="P48" s="5"/>
    </row>
    <row r="49" spans="1:16" ht="15.75" customHeight="1">
      <c r="A49" s="48" t="s">
        <v>1415</v>
      </c>
      <c r="B49" s="49" t="s">
        <v>251</v>
      </c>
      <c r="C49" s="51" t="s">
        <v>192</v>
      </c>
      <c r="D49" s="54"/>
      <c r="E49" s="5"/>
      <c r="F49" s="5"/>
      <c r="G49" s="5"/>
      <c r="J49" s="5"/>
      <c r="M49" s="5"/>
      <c r="N49" s="5"/>
      <c r="P49" s="5"/>
    </row>
    <row r="50" spans="1:16" ht="15.75" customHeight="1">
      <c r="A50" s="48" t="s">
        <v>1417</v>
      </c>
      <c r="B50" s="49" t="s">
        <v>232</v>
      </c>
      <c r="C50" s="51" t="s">
        <v>205</v>
      </c>
      <c r="D50" s="54"/>
      <c r="E50" s="5"/>
      <c r="F50" s="5"/>
      <c r="G50" s="5"/>
      <c r="J50" s="5"/>
      <c r="M50" s="5"/>
      <c r="N50" s="5"/>
      <c r="P50" s="5"/>
    </row>
    <row r="51" spans="1:16" ht="15.75" customHeight="1">
      <c r="A51" s="48" t="s">
        <v>1418</v>
      </c>
      <c r="B51" s="49" t="s">
        <v>3142</v>
      </c>
      <c r="C51" s="51" t="s">
        <v>197</v>
      </c>
      <c r="D51" s="54"/>
      <c r="E51" s="5"/>
      <c r="F51" s="5"/>
      <c r="G51" s="5"/>
      <c r="J51" s="5"/>
      <c r="M51" s="5"/>
      <c r="N51" s="5"/>
      <c r="P51" s="5"/>
    </row>
    <row r="52" spans="1:16" ht="15.75" customHeight="1">
      <c r="A52" s="48" t="s">
        <v>1419</v>
      </c>
      <c r="B52" s="49" t="s">
        <v>897</v>
      </c>
      <c r="C52" s="51" t="s">
        <v>225</v>
      </c>
      <c r="D52" s="54"/>
      <c r="E52" s="5"/>
      <c r="F52" s="5"/>
      <c r="G52" s="5"/>
      <c r="J52" s="5"/>
      <c r="M52" s="5"/>
      <c r="N52" s="5"/>
      <c r="P52" s="5"/>
    </row>
    <row r="53" spans="1:16" ht="13">
      <c r="A53" s="48" t="s">
        <v>1421</v>
      </c>
      <c r="B53" s="49" t="s">
        <v>1003</v>
      </c>
      <c r="C53" s="51" t="s">
        <v>195</v>
      </c>
      <c r="D53" s="54"/>
      <c r="E53" s="5"/>
      <c r="F53" s="5"/>
      <c r="G53" s="5"/>
      <c r="J53" s="5"/>
      <c r="M53" s="5"/>
      <c r="N53" s="5"/>
      <c r="P53" s="5"/>
    </row>
    <row r="54" spans="1:16" ht="13">
      <c r="A54" s="48" t="s">
        <v>1422</v>
      </c>
      <c r="B54" s="49" t="s">
        <v>812</v>
      </c>
      <c r="C54" s="51" t="s">
        <v>197</v>
      </c>
      <c r="D54" s="54"/>
      <c r="E54" s="5"/>
      <c r="F54" s="5"/>
      <c r="G54" s="5"/>
      <c r="J54" s="5"/>
      <c r="M54" s="5"/>
      <c r="N54" s="5"/>
      <c r="P54" s="5"/>
    </row>
    <row r="55" spans="1:16" ht="13">
      <c r="A55" s="48" t="s">
        <v>1423</v>
      </c>
      <c r="B55" s="49" t="s">
        <v>812</v>
      </c>
      <c r="C55" s="51" t="s">
        <v>197</v>
      </c>
      <c r="D55" s="54"/>
      <c r="E55" s="5"/>
      <c r="F55" s="5"/>
      <c r="G55" s="5"/>
      <c r="J55" s="5"/>
      <c r="M55" s="5"/>
      <c r="N55" s="5"/>
      <c r="P55" s="5"/>
    </row>
    <row r="56" spans="1:16" ht="13">
      <c r="A56" s="48" t="s">
        <v>1424</v>
      </c>
      <c r="B56" s="49" t="s">
        <v>3245</v>
      </c>
      <c r="C56" s="51" t="s">
        <v>195</v>
      </c>
      <c r="D56" s="54"/>
      <c r="E56" s="5"/>
      <c r="F56" s="5"/>
      <c r="G56" s="5"/>
      <c r="J56" s="5"/>
      <c r="M56" s="5"/>
      <c r="N56" s="5"/>
      <c r="P56" s="5"/>
    </row>
    <row r="57" spans="1:16" ht="13">
      <c r="A57" s="48" t="s">
        <v>1425</v>
      </c>
      <c r="B57" s="49" t="s">
        <v>3025</v>
      </c>
      <c r="C57" s="51" t="s">
        <v>197</v>
      </c>
      <c r="D57" s="54"/>
      <c r="E57" s="5"/>
      <c r="F57" s="5"/>
      <c r="G57" s="5"/>
      <c r="J57" s="5"/>
      <c r="M57" s="5"/>
      <c r="N57" s="5"/>
      <c r="P57" s="5"/>
    </row>
    <row r="58" spans="1:16" ht="13">
      <c r="A58" s="48" t="s">
        <v>1427</v>
      </c>
      <c r="B58" s="49" t="s">
        <v>3323</v>
      </c>
      <c r="C58" s="51" t="s">
        <v>205</v>
      </c>
      <c r="D58" s="54"/>
      <c r="E58" s="5"/>
      <c r="F58" s="5"/>
      <c r="G58" s="5"/>
      <c r="J58" s="5"/>
      <c r="M58" s="5"/>
      <c r="N58" s="5"/>
      <c r="P58" s="5"/>
    </row>
    <row r="59" spans="1:16" ht="13">
      <c r="A59" s="48" t="s">
        <v>1429</v>
      </c>
      <c r="B59" s="49" t="s">
        <v>3041</v>
      </c>
      <c r="C59" s="51" t="s">
        <v>197</v>
      </c>
      <c r="D59" s="54"/>
      <c r="E59" s="5"/>
      <c r="F59" s="5"/>
      <c r="G59" s="5"/>
      <c r="J59" s="5"/>
      <c r="M59" s="5"/>
      <c r="N59" s="5"/>
      <c r="P59" s="5"/>
    </row>
    <row r="60" spans="1:16" ht="13">
      <c r="A60" s="48" t="s">
        <v>1430</v>
      </c>
      <c r="B60" s="49" t="s">
        <v>3018</v>
      </c>
      <c r="C60" s="51" t="s">
        <v>199</v>
      </c>
      <c r="D60" s="54"/>
      <c r="E60" s="5"/>
      <c r="F60" s="5"/>
      <c r="G60" s="5"/>
      <c r="J60" s="5"/>
      <c r="M60" s="5"/>
      <c r="N60" s="5"/>
      <c r="P60" s="5"/>
    </row>
    <row r="61" spans="1:16" ht="13">
      <c r="A61" s="48" t="s">
        <v>1431</v>
      </c>
      <c r="B61" s="49" t="s">
        <v>3018</v>
      </c>
      <c r="C61" s="51" t="s">
        <v>199</v>
      </c>
      <c r="D61" s="54"/>
      <c r="E61" s="5"/>
      <c r="F61" s="5"/>
      <c r="G61" s="5"/>
      <c r="J61" s="5"/>
      <c r="M61" s="5"/>
      <c r="N61" s="5"/>
      <c r="P61" s="5"/>
    </row>
    <row r="62" spans="1:16" ht="13">
      <c r="A62" s="48" t="s">
        <v>1433</v>
      </c>
      <c r="B62" s="49" t="s">
        <v>3210</v>
      </c>
      <c r="C62" s="51" t="s">
        <v>195</v>
      </c>
      <c r="D62" s="54"/>
      <c r="E62" s="5"/>
      <c r="F62" s="5"/>
      <c r="G62" s="5"/>
      <c r="J62" s="5"/>
      <c r="M62" s="5"/>
      <c r="N62" s="5"/>
      <c r="P62" s="5"/>
    </row>
    <row r="63" spans="1:16" ht="13">
      <c r="A63" s="48" t="s">
        <v>1434</v>
      </c>
      <c r="B63" s="49" t="s">
        <v>3146</v>
      </c>
      <c r="C63" s="51" t="s">
        <v>205</v>
      </c>
      <c r="D63" s="54"/>
      <c r="E63" s="5"/>
      <c r="F63" s="5"/>
      <c r="G63" s="5"/>
      <c r="J63" s="5"/>
      <c r="M63" s="5"/>
      <c r="N63" s="5"/>
      <c r="P63" s="5"/>
    </row>
    <row r="64" spans="1:16" ht="13">
      <c r="A64" s="48" t="s">
        <v>1435</v>
      </c>
      <c r="B64" s="49" t="s">
        <v>3250</v>
      </c>
      <c r="C64" s="51" t="s">
        <v>195</v>
      </c>
      <c r="D64" s="54"/>
      <c r="E64" s="5"/>
      <c r="F64" s="5"/>
      <c r="G64" s="5"/>
      <c r="J64" s="5"/>
      <c r="M64" s="5"/>
      <c r="N64" s="5"/>
      <c r="P64" s="5"/>
    </row>
    <row r="65" spans="1:16" ht="13">
      <c r="A65" s="48" t="s">
        <v>1436</v>
      </c>
      <c r="B65" s="49" t="s">
        <v>3134</v>
      </c>
      <c r="C65" s="51" t="s">
        <v>195</v>
      </c>
      <c r="D65" s="54"/>
      <c r="E65" s="5"/>
      <c r="F65" s="5"/>
      <c r="G65" s="5"/>
      <c r="J65" s="5"/>
      <c r="M65" s="5"/>
      <c r="N65" s="5"/>
      <c r="P65" s="5"/>
    </row>
    <row r="66" spans="1:16" ht="13">
      <c r="A66" s="48" t="s">
        <v>1438</v>
      </c>
      <c r="B66" s="49" t="s">
        <v>203</v>
      </c>
      <c r="C66" s="51" t="s">
        <v>197</v>
      </c>
      <c r="D66" s="54"/>
      <c r="E66" s="5"/>
      <c r="F66" s="5"/>
      <c r="G66" s="5"/>
      <c r="J66" s="5"/>
      <c r="M66" s="5"/>
      <c r="N66" s="5"/>
      <c r="P66" s="5"/>
    </row>
    <row r="67" spans="1:16" ht="13">
      <c r="A67" s="48" t="s">
        <v>1439</v>
      </c>
      <c r="B67" s="49" t="s">
        <v>203</v>
      </c>
      <c r="C67" s="51" t="s">
        <v>197</v>
      </c>
      <c r="D67" s="54"/>
      <c r="E67" s="5"/>
      <c r="F67" s="5"/>
      <c r="G67" s="5"/>
      <c r="J67" s="5"/>
      <c r="M67" s="5"/>
      <c r="N67" s="5"/>
      <c r="P67" s="5"/>
    </row>
    <row r="68" spans="1:16" ht="13">
      <c r="A68" s="48" t="s">
        <v>1440</v>
      </c>
      <c r="B68" s="49" t="s">
        <v>1257</v>
      </c>
      <c r="C68" s="51" t="s">
        <v>192</v>
      </c>
      <c r="D68" s="54"/>
      <c r="E68" s="5"/>
      <c r="F68" s="5"/>
      <c r="G68" s="5"/>
      <c r="J68" s="5"/>
      <c r="M68" s="5"/>
      <c r="N68" s="5"/>
      <c r="P68" s="5"/>
    </row>
    <row r="69" spans="1:16" ht="13">
      <c r="A69" s="48" t="s">
        <v>1441</v>
      </c>
      <c r="B69" s="49" t="s">
        <v>3057</v>
      </c>
      <c r="C69" s="51" t="s">
        <v>197</v>
      </c>
      <c r="D69" s="54"/>
      <c r="E69" s="5"/>
      <c r="F69" s="5"/>
      <c r="G69" s="5"/>
      <c r="J69" s="5"/>
      <c r="M69" s="5"/>
      <c r="N69" s="5"/>
      <c r="P69" s="5"/>
    </row>
    <row r="70" spans="1:16" ht="13">
      <c r="A70" s="48" t="s">
        <v>1442</v>
      </c>
      <c r="B70" s="49" t="s">
        <v>3136</v>
      </c>
      <c r="C70" s="51" t="s">
        <v>225</v>
      </c>
      <c r="D70" s="54"/>
      <c r="E70" s="51"/>
      <c r="F70" s="5"/>
      <c r="G70" s="5"/>
      <c r="J70" s="5"/>
      <c r="M70" s="5"/>
      <c r="N70" s="5"/>
      <c r="P70" s="5"/>
    </row>
    <row r="71" spans="1:16" ht="13">
      <c r="A71" s="48" t="s">
        <v>1444</v>
      </c>
      <c r="B71" s="49" t="s">
        <v>383</v>
      </c>
      <c r="C71" s="51" t="s">
        <v>225</v>
      </c>
      <c r="D71" s="5"/>
      <c r="J71" s="5"/>
      <c r="M71" s="5"/>
      <c r="N71" s="5"/>
      <c r="P71" s="5"/>
    </row>
    <row r="72" spans="1:16" ht="13">
      <c r="A72" s="48" t="s">
        <v>1445</v>
      </c>
      <c r="B72" s="49" t="s">
        <v>3128</v>
      </c>
      <c r="C72" s="51" t="s">
        <v>197</v>
      </c>
      <c r="D72" s="54"/>
      <c r="E72" s="5"/>
      <c r="F72" s="5"/>
      <c r="G72" s="5"/>
      <c r="J72" s="5"/>
      <c r="M72" s="5"/>
      <c r="N72" s="5"/>
      <c r="P72" s="5"/>
    </row>
    <row r="73" spans="1:16" ht="13">
      <c r="A73" s="48" t="s">
        <v>1446</v>
      </c>
      <c r="B73" s="49" t="s">
        <v>385</v>
      </c>
      <c r="C73" s="51" t="s">
        <v>208</v>
      </c>
      <c r="D73" s="54"/>
      <c r="E73" s="5"/>
      <c r="F73" s="5"/>
      <c r="G73" s="5"/>
      <c r="J73" s="5"/>
      <c r="M73" s="5"/>
      <c r="N73" s="5"/>
      <c r="P73" s="5"/>
    </row>
    <row r="74" spans="1:16" ht="13">
      <c r="A74" s="48" t="s">
        <v>1447</v>
      </c>
      <c r="B74" s="49" t="s">
        <v>191</v>
      </c>
      <c r="C74" s="51" t="s">
        <v>192</v>
      </c>
      <c r="D74" s="54"/>
      <c r="E74" s="5"/>
      <c r="F74" s="5"/>
      <c r="G74" s="5"/>
      <c r="J74" s="5"/>
      <c r="M74" s="5"/>
      <c r="N74" s="5"/>
      <c r="P74" s="5"/>
    </row>
    <row r="75" spans="1:16" ht="13">
      <c r="A75" s="48" t="s">
        <v>1448</v>
      </c>
      <c r="B75" s="49" t="s">
        <v>3020</v>
      </c>
      <c r="C75" s="51" t="s">
        <v>208</v>
      </c>
      <c r="D75" s="54"/>
      <c r="E75" s="5"/>
      <c r="F75" s="5"/>
      <c r="G75" s="5"/>
      <c r="J75" s="5"/>
      <c r="M75" s="5"/>
      <c r="N75" s="5"/>
      <c r="P75" s="5"/>
    </row>
    <row r="76" spans="1:16" ht="13">
      <c r="A76" s="48" t="s">
        <v>1449</v>
      </c>
      <c r="B76" s="49" t="s">
        <v>3020</v>
      </c>
      <c r="C76" s="51" t="s">
        <v>208</v>
      </c>
      <c r="D76" s="54"/>
      <c r="E76" s="5"/>
      <c r="F76" s="5"/>
      <c r="G76" s="5"/>
      <c r="J76" s="5"/>
      <c r="M76" s="5"/>
      <c r="N76" s="5"/>
      <c r="P76" s="5"/>
    </row>
    <row r="77" spans="1:16" ht="13">
      <c r="A77" s="48" t="s">
        <v>1450</v>
      </c>
      <c r="B77" s="49" t="s">
        <v>3325</v>
      </c>
      <c r="C77" s="51" t="s">
        <v>208</v>
      </c>
      <c r="D77" s="54"/>
      <c r="E77" s="5"/>
      <c r="F77" s="5"/>
      <c r="G77" s="5"/>
      <c r="J77" s="5"/>
      <c r="M77" s="5"/>
      <c r="N77" s="5"/>
      <c r="P77" s="5"/>
    </row>
    <row r="78" spans="1:16" ht="13">
      <c r="A78" s="48" t="s">
        <v>1451</v>
      </c>
      <c r="B78" s="49" t="s">
        <v>355</v>
      </c>
      <c r="C78" s="51" t="s">
        <v>197</v>
      </c>
      <c r="D78" s="54"/>
      <c r="E78" s="5"/>
      <c r="F78" s="5"/>
      <c r="G78" s="5"/>
      <c r="J78" s="5"/>
      <c r="M78" s="5"/>
      <c r="N78" s="5"/>
      <c r="P78" s="5"/>
    </row>
    <row r="79" spans="1:16" ht="13">
      <c r="A79" s="48" t="s">
        <v>1452</v>
      </c>
      <c r="B79" s="49" t="s">
        <v>3148</v>
      </c>
      <c r="C79" s="51" t="s">
        <v>197</v>
      </c>
      <c r="D79" s="54"/>
      <c r="E79" s="5"/>
      <c r="F79" s="5"/>
      <c r="G79" s="5"/>
      <c r="J79" s="5"/>
      <c r="M79" s="5"/>
      <c r="N79" s="5"/>
      <c r="P79" s="5"/>
    </row>
    <row r="80" spans="1:16" ht="13">
      <c r="A80" s="48" t="s">
        <v>1453</v>
      </c>
      <c r="B80" s="49" t="s">
        <v>3149</v>
      </c>
      <c r="C80" s="51" t="s">
        <v>808</v>
      </c>
      <c r="D80" s="54"/>
      <c r="E80" s="5"/>
      <c r="F80" s="5"/>
      <c r="G80" s="5"/>
      <c r="J80" s="5"/>
      <c r="M80" s="5"/>
      <c r="N80" s="5"/>
      <c r="P80" s="5"/>
    </row>
    <row r="81" spans="1:16" ht="13">
      <c r="A81" s="48" t="s">
        <v>1455</v>
      </c>
      <c r="B81" s="49" t="s">
        <v>3016</v>
      </c>
      <c r="C81" s="51" t="s">
        <v>205</v>
      </c>
      <c r="D81" s="54"/>
      <c r="E81" s="5"/>
      <c r="F81" s="5"/>
      <c r="G81" s="5"/>
      <c r="J81" s="5"/>
      <c r="M81" s="5"/>
      <c r="N81" s="5"/>
      <c r="P81" s="5"/>
    </row>
    <row r="82" spans="1:16" ht="13">
      <c r="A82" s="48" t="s">
        <v>1456</v>
      </c>
      <c r="B82" s="49" t="s">
        <v>3016</v>
      </c>
      <c r="C82" s="51" t="s">
        <v>205</v>
      </c>
      <c r="D82" s="54"/>
      <c r="E82" s="5"/>
      <c r="F82" s="5"/>
      <c r="G82" s="5"/>
      <c r="J82" s="5"/>
      <c r="M82" s="5"/>
      <c r="N82" s="5"/>
      <c r="P82" s="5"/>
    </row>
    <row r="83" spans="1:16" ht="13">
      <c r="A83" s="48" t="s">
        <v>1457</v>
      </c>
      <c r="B83" s="49" t="s">
        <v>3356</v>
      </c>
      <c r="C83" s="51" t="s">
        <v>229</v>
      </c>
      <c r="D83" s="54"/>
      <c r="E83" s="5"/>
      <c r="F83" s="5"/>
      <c r="G83" s="5"/>
      <c r="J83" s="5"/>
      <c r="M83" s="5"/>
      <c r="N83" s="5"/>
      <c r="P83" s="5"/>
    </row>
    <row r="84" spans="1:16" ht="13">
      <c r="A84" s="48" t="s">
        <v>1458</v>
      </c>
      <c r="B84" s="49" t="s">
        <v>3288</v>
      </c>
      <c r="C84" s="51" t="s">
        <v>206</v>
      </c>
      <c r="D84" s="54"/>
      <c r="E84" s="5"/>
      <c r="F84" s="5"/>
      <c r="G84" s="5"/>
      <c r="J84" s="5"/>
      <c r="M84" s="5"/>
      <c r="N84" s="5"/>
      <c r="P84" s="5"/>
    </row>
    <row r="85" spans="1:16" ht="13">
      <c r="A85" s="48" t="s">
        <v>1459</v>
      </c>
      <c r="B85" s="49" t="s">
        <v>1017</v>
      </c>
      <c r="C85" s="51" t="s">
        <v>206</v>
      </c>
      <c r="D85" s="54"/>
      <c r="E85" s="5"/>
      <c r="F85" s="5"/>
      <c r="G85" s="5"/>
      <c r="J85" s="5"/>
      <c r="M85" s="5"/>
      <c r="N85" s="5"/>
      <c r="P85" s="5"/>
    </row>
    <row r="86" spans="1:16" ht="13">
      <c r="A86" s="48" t="s">
        <v>1460</v>
      </c>
      <c r="B86" s="49" t="s">
        <v>3290</v>
      </c>
      <c r="C86" s="51" t="s">
        <v>1013</v>
      </c>
      <c r="D86" s="54"/>
      <c r="E86" s="5"/>
      <c r="F86" s="5"/>
      <c r="G86" s="5"/>
      <c r="J86" s="5"/>
      <c r="M86" s="5"/>
      <c r="N86" s="5"/>
      <c r="P86" s="5"/>
    </row>
    <row r="87" spans="1:16" ht="13">
      <c r="A87" s="48" t="s">
        <v>1462</v>
      </c>
      <c r="B87" s="49" t="s">
        <v>3357</v>
      </c>
      <c r="C87" s="51" t="s">
        <v>1013</v>
      </c>
      <c r="D87" s="54"/>
      <c r="E87" s="5"/>
      <c r="F87" s="5"/>
      <c r="G87" s="5"/>
      <c r="J87" s="5"/>
      <c r="M87" s="5"/>
      <c r="N87" s="5"/>
      <c r="P87" s="5"/>
    </row>
    <row r="88" spans="1:16" ht="13">
      <c r="A88" s="48" t="s">
        <v>1463</v>
      </c>
      <c r="B88" s="49" t="s">
        <v>3358</v>
      </c>
      <c r="C88" s="51" t="s">
        <v>206</v>
      </c>
      <c r="D88" s="54"/>
      <c r="E88" s="5"/>
      <c r="F88" s="5"/>
      <c r="G88" s="5"/>
      <c r="J88" s="5"/>
      <c r="M88" s="5"/>
      <c r="N88" s="5"/>
      <c r="P88" s="5"/>
    </row>
    <row r="89" spans="1:16" ht="13">
      <c r="A89" s="48" t="s">
        <v>1464</v>
      </c>
      <c r="B89" s="49" t="s">
        <v>357</v>
      </c>
      <c r="C89" s="51" t="s">
        <v>206</v>
      </c>
      <c r="D89" s="54"/>
      <c r="E89" s="5"/>
      <c r="F89" s="5"/>
      <c r="G89" s="5"/>
      <c r="J89" s="5"/>
      <c r="M89" s="5"/>
      <c r="N89" s="5"/>
      <c r="P89" s="5"/>
    </row>
    <row r="90" spans="1:16" ht="13">
      <c r="A90" s="48" t="s">
        <v>1465</v>
      </c>
      <c r="B90" s="49" t="s">
        <v>3296</v>
      </c>
      <c r="C90" s="51" t="s">
        <v>206</v>
      </c>
      <c r="D90" s="54"/>
      <c r="E90" s="5"/>
      <c r="F90" s="5"/>
      <c r="G90" s="5"/>
      <c r="J90" s="5"/>
      <c r="M90" s="5"/>
      <c r="N90" s="5"/>
      <c r="P90" s="5"/>
    </row>
    <row r="91" spans="1:16" ht="13">
      <c r="A91" s="48" t="s">
        <v>1467</v>
      </c>
      <c r="B91" s="49" t="s">
        <v>925</v>
      </c>
      <c r="C91" s="51" t="s">
        <v>206</v>
      </c>
      <c r="D91" s="54"/>
      <c r="E91" s="5"/>
      <c r="F91" s="5"/>
      <c r="G91" s="5"/>
      <c r="J91" s="5"/>
      <c r="M91" s="5"/>
      <c r="N91" s="5"/>
      <c r="P91" s="5"/>
    </row>
    <row r="92" spans="1:16" ht="13">
      <c r="A92" s="48" t="s">
        <v>1469</v>
      </c>
      <c r="B92" s="49" t="s">
        <v>660</v>
      </c>
      <c r="C92" s="51" t="s">
        <v>206</v>
      </c>
      <c r="D92" s="54"/>
      <c r="E92" s="5"/>
      <c r="F92" s="5"/>
      <c r="G92" s="5"/>
      <c r="J92" s="5"/>
      <c r="M92" s="5"/>
      <c r="N92" s="5"/>
      <c r="P92" s="5"/>
    </row>
    <row r="93" spans="1:16" ht="13">
      <c r="A93" s="48" t="s">
        <v>1471</v>
      </c>
      <c r="B93" s="49" t="s">
        <v>3359</v>
      </c>
      <c r="C93" s="51" t="s">
        <v>206</v>
      </c>
      <c r="D93" s="54"/>
      <c r="E93" s="5"/>
      <c r="F93" s="5"/>
      <c r="G93" s="5"/>
      <c r="J93" s="5"/>
      <c r="M93" s="5"/>
      <c r="N93" s="5"/>
      <c r="P93" s="5"/>
    </row>
    <row r="94" spans="1:16" ht="13">
      <c r="A94" s="48" t="s">
        <v>1473</v>
      </c>
      <c r="B94" s="49" t="s">
        <v>390</v>
      </c>
      <c r="C94" s="51" t="s">
        <v>206</v>
      </c>
      <c r="D94" s="54"/>
      <c r="E94" s="5"/>
      <c r="F94" s="5"/>
      <c r="G94" s="5"/>
      <c r="J94" s="5"/>
      <c r="M94" s="5"/>
      <c r="N94" s="5"/>
      <c r="P94" s="5"/>
    </row>
    <row r="95" spans="1:16" ht="13">
      <c r="A95" s="48" t="s">
        <v>1475</v>
      </c>
      <c r="B95" s="49" t="s">
        <v>3360</v>
      </c>
      <c r="C95" s="51" t="s">
        <v>206</v>
      </c>
      <c r="D95" s="54"/>
      <c r="E95" s="5"/>
      <c r="F95" s="5"/>
      <c r="G95" s="5"/>
      <c r="J95" s="5"/>
      <c r="M95" s="5"/>
      <c r="N95" s="5"/>
      <c r="P95" s="5"/>
    </row>
    <row r="96" spans="1:16" ht="13">
      <c r="A96" s="48" t="s">
        <v>1476</v>
      </c>
      <c r="B96" s="49" t="s">
        <v>3361</v>
      </c>
      <c r="C96" s="51" t="s">
        <v>317</v>
      </c>
      <c r="D96" s="54"/>
      <c r="E96" s="5"/>
      <c r="F96" s="5"/>
      <c r="G96" s="5"/>
      <c r="J96" s="5"/>
      <c r="M96" s="5"/>
      <c r="N96" s="5"/>
      <c r="P96" s="5"/>
    </row>
    <row r="97" spans="1:16" ht="13">
      <c r="A97" s="48" t="s">
        <v>1478</v>
      </c>
      <c r="B97" s="49" t="s">
        <v>933</v>
      </c>
      <c r="C97" s="51" t="s">
        <v>317</v>
      </c>
      <c r="D97" s="54"/>
      <c r="E97" s="5"/>
      <c r="F97" s="5"/>
      <c r="G97" s="5"/>
      <c r="J97" s="5"/>
      <c r="M97" s="5"/>
      <c r="N97" s="5"/>
      <c r="P97" s="5"/>
    </row>
    <row r="98" spans="1:16" ht="13">
      <c r="A98" s="48" t="s">
        <v>1480</v>
      </c>
      <c r="B98" s="49" t="s">
        <v>3362</v>
      </c>
      <c r="C98" s="51" t="s">
        <v>317</v>
      </c>
      <c r="D98" s="54"/>
      <c r="E98" s="5"/>
      <c r="F98" s="5"/>
      <c r="G98" s="5"/>
      <c r="J98" s="5"/>
      <c r="M98" s="5"/>
      <c r="N98" s="5"/>
      <c r="P98" s="5"/>
    </row>
    <row r="99" spans="1:16" ht="13">
      <c r="A99" s="48" t="s">
        <v>1481</v>
      </c>
      <c r="B99" s="49" t="s">
        <v>798</v>
      </c>
      <c r="C99" s="51" t="s">
        <v>317</v>
      </c>
      <c r="D99" s="54"/>
      <c r="E99" s="5"/>
      <c r="F99" s="5"/>
      <c r="G99" s="5"/>
      <c r="J99" s="5"/>
      <c r="M99" s="5"/>
      <c r="N99" s="5"/>
      <c r="P99" s="5"/>
    </row>
    <row r="100" spans="1:16" ht="13">
      <c r="A100" s="48" t="s">
        <v>1483</v>
      </c>
      <c r="B100" s="49" t="s">
        <v>3363</v>
      </c>
      <c r="C100" s="51" t="s">
        <v>317</v>
      </c>
      <c r="D100" s="54"/>
      <c r="E100" s="5"/>
      <c r="F100" s="5"/>
      <c r="G100" s="5"/>
      <c r="J100" s="5"/>
      <c r="M100" s="5"/>
      <c r="N100" s="5"/>
      <c r="P100" s="5"/>
    </row>
    <row r="101" spans="1:16" ht="13">
      <c r="A101" s="48" t="s">
        <v>1484</v>
      </c>
      <c r="B101" s="49" t="s">
        <v>3364</v>
      </c>
      <c r="C101" s="51" t="s">
        <v>197</v>
      </c>
      <c r="D101" s="54"/>
      <c r="E101" s="5"/>
      <c r="F101" s="5"/>
      <c r="G101" s="5"/>
      <c r="J101" s="5"/>
      <c r="M101" s="5"/>
      <c r="N101" s="5"/>
      <c r="P101" s="5"/>
    </row>
    <row r="102" spans="1:16" ht="13">
      <c r="A102" s="48" t="s">
        <v>1485</v>
      </c>
      <c r="B102" s="49" t="s">
        <v>3365</v>
      </c>
      <c r="C102" s="51" t="s">
        <v>208</v>
      </c>
      <c r="D102" s="54"/>
      <c r="E102" s="5"/>
      <c r="F102" s="5"/>
      <c r="G102" s="5"/>
      <c r="J102" s="5"/>
      <c r="M102" s="5"/>
      <c r="N102" s="5"/>
      <c r="P102" s="5"/>
    </row>
    <row r="103" spans="1:16" ht="13">
      <c r="A103" s="48" t="s">
        <v>1487</v>
      </c>
      <c r="B103" s="49" t="s">
        <v>3366</v>
      </c>
      <c r="C103" s="51" t="s">
        <v>205</v>
      </c>
      <c r="D103" s="54"/>
      <c r="E103" s="5"/>
      <c r="F103" s="5"/>
      <c r="G103" s="5"/>
      <c r="J103" s="5"/>
      <c r="M103" s="5"/>
      <c r="N103" s="5"/>
      <c r="P103" s="5"/>
    </row>
    <row r="104" spans="1:16" ht="13">
      <c r="A104" s="48" t="s">
        <v>1489</v>
      </c>
      <c r="B104" s="49" t="s">
        <v>3367</v>
      </c>
      <c r="C104" s="51" t="s">
        <v>197</v>
      </c>
      <c r="D104" s="54"/>
      <c r="E104" s="5"/>
      <c r="F104" s="5"/>
      <c r="G104" s="5"/>
      <c r="J104" s="5"/>
      <c r="M104" s="5"/>
      <c r="N104" s="5"/>
      <c r="P104" s="5"/>
    </row>
    <row r="105" spans="1:16" ht="13">
      <c r="A105" s="48"/>
      <c r="B105" s="50"/>
      <c r="C105" s="51"/>
      <c r="D105" s="54"/>
      <c r="E105" s="5"/>
      <c r="F105" s="5"/>
      <c r="G105" s="5"/>
      <c r="J105" s="5"/>
      <c r="M105" s="5"/>
      <c r="N105" s="5"/>
      <c r="P105" s="5"/>
    </row>
    <row r="106" spans="1:16" ht="13">
      <c r="A106" s="48"/>
      <c r="B106" s="50"/>
      <c r="C106" s="51"/>
      <c r="D106" s="54"/>
      <c r="E106" s="5"/>
      <c r="F106" s="5"/>
      <c r="G106" s="5"/>
      <c r="J106" s="5"/>
      <c r="M106" s="5"/>
      <c r="N106" s="5"/>
      <c r="P106" s="5"/>
    </row>
    <row r="107" spans="1:16" ht="13">
      <c r="A107" s="48"/>
      <c r="B107" s="50"/>
      <c r="C107" s="51"/>
      <c r="D107" s="54"/>
      <c r="E107" s="5"/>
      <c r="F107" s="5"/>
      <c r="G107" s="5"/>
      <c r="J107" s="5"/>
      <c r="M107" s="5"/>
      <c r="N107" s="5"/>
      <c r="P107" s="5"/>
    </row>
    <row r="108" spans="1:16" ht="13">
      <c r="A108" s="48"/>
      <c r="B108" s="50"/>
      <c r="C108" s="51"/>
      <c r="D108" s="51"/>
      <c r="E108" s="5"/>
      <c r="F108" s="5"/>
      <c r="G108" s="5"/>
      <c r="J108" s="5"/>
      <c r="M108" s="5"/>
      <c r="N108" s="5"/>
      <c r="P108" s="5"/>
    </row>
    <row r="109" spans="1:16" ht="13">
      <c r="A109" s="48"/>
      <c r="B109" s="50"/>
      <c r="C109" s="51"/>
      <c r="D109" s="51"/>
      <c r="E109" s="5"/>
      <c r="F109" s="5"/>
      <c r="G109" s="5"/>
      <c r="J109" s="5"/>
      <c r="M109" s="5"/>
      <c r="N109" s="5"/>
      <c r="P109" s="5"/>
    </row>
    <row r="110" spans="1:16" ht="13">
      <c r="A110" s="48"/>
      <c r="B110" s="50"/>
      <c r="C110" s="51"/>
      <c r="D110" s="51"/>
      <c r="E110" s="5"/>
      <c r="F110" s="5"/>
      <c r="G110" s="5"/>
      <c r="J110" s="5"/>
      <c r="M110" s="5"/>
      <c r="N110" s="5"/>
      <c r="P110" s="5"/>
    </row>
    <row r="111" spans="1:16" ht="13">
      <c r="A111" s="48"/>
      <c r="B111" s="50"/>
      <c r="C111" s="51"/>
      <c r="D111" s="51"/>
      <c r="E111" s="5"/>
      <c r="F111" s="5"/>
      <c r="G111" s="5"/>
      <c r="J111" s="5"/>
      <c r="M111" s="5"/>
      <c r="N111" s="5"/>
      <c r="P111" s="5"/>
    </row>
    <row r="112" spans="1:16" ht="13">
      <c r="A112" s="48"/>
      <c r="B112" s="50"/>
      <c r="C112" s="51"/>
      <c r="D112" s="51"/>
      <c r="E112" s="5"/>
      <c r="F112" s="5"/>
      <c r="G112" s="5"/>
      <c r="J112" s="5"/>
      <c r="M112" s="5"/>
      <c r="N112" s="5"/>
      <c r="P112" s="5"/>
    </row>
    <row r="113" spans="1:16" ht="13">
      <c r="A113" s="48"/>
      <c r="B113" s="50"/>
      <c r="C113" s="51"/>
      <c r="D113" s="51"/>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4"/>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4"/>
      <c r="E129" s="5"/>
      <c r="F129" s="5"/>
      <c r="G129" s="5"/>
      <c r="J129" s="5"/>
      <c r="M129" s="5"/>
      <c r="N129" s="5"/>
      <c r="P129" s="5"/>
    </row>
    <row r="130" spans="1:16" ht="13">
      <c r="A130" s="48"/>
      <c r="B130" s="50"/>
      <c r="C130" s="51"/>
      <c r="D130" s="51"/>
      <c r="E130" s="5"/>
      <c r="F130" s="5"/>
      <c r="G130" s="5"/>
      <c r="J130" s="5"/>
      <c r="M130" s="5"/>
      <c r="N130" s="5"/>
      <c r="P130" s="5"/>
    </row>
    <row r="131" spans="1:16" ht="13">
      <c r="A131" s="48"/>
      <c r="B131" s="50"/>
      <c r="C131" s="51"/>
      <c r="D131" s="51"/>
      <c r="E131" s="5"/>
      <c r="F131" s="5"/>
      <c r="G131" s="5"/>
      <c r="J131" s="5"/>
      <c r="M131" s="5"/>
      <c r="N131" s="5"/>
      <c r="P131" s="5"/>
    </row>
    <row r="132" spans="1:16" ht="13">
      <c r="A132" s="48"/>
      <c r="B132" s="50"/>
      <c r="C132" s="51"/>
      <c r="D132" s="51"/>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1"/>
      <c r="E134" s="5"/>
      <c r="F134" s="5"/>
      <c r="G134" s="5"/>
      <c r="J134" s="5"/>
      <c r="M134" s="5"/>
      <c r="N134" s="5"/>
      <c r="P134" s="5"/>
    </row>
    <row r="135" spans="1:16" ht="13">
      <c r="A135" s="48"/>
      <c r="B135" s="50"/>
      <c r="C135" s="51"/>
      <c r="D135" s="51"/>
      <c r="E135" s="5"/>
      <c r="F135" s="5"/>
      <c r="G135" s="5"/>
      <c r="J135" s="5"/>
      <c r="M135" s="5"/>
      <c r="N135" s="5"/>
      <c r="P135" s="5"/>
    </row>
    <row r="136" spans="1:16" ht="13">
      <c r="A136" s="48"/>
      <c r="B136" s="53"/>
      <c r="C136" s="51"/>
      <c r="D136" s="51"/>
      <c r="E136" s="5"/>
      <c r="F136" s="5"/>
      <c r="G136" s="5"/>
      <c r="J136" s="5"/>
      <c r="M136" s="5"/>
      <c r="N136" s="5"/>
      <c r="P136" s="5"/>
    </row>
    <row r="137" spans="1:16" ht="13">
      <c r="A137" s="48"/>
      <c r="B137" s="50"/>
      <c r="C137" s="51"/>
      <c r="D137" s="51"/>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2E00-000000000000}"/>
    <hyperlink ref="B6" r:id="rId2" xr:uid="{00000000-0004-0000-2E00-000001000000}"/>
    <hyperlink ref="B7" r:id="rId3" xr:uid="{00000000-0004-0000-2E00-000002000000}"/>
    <hyperlink ref="B8" r:id="rId4" xr:uid="{00000000-0004-0000-2E00-000003000000}"/>
    <hyperlink ref="B9" r:id="rId5" xr:uid="{00000000-0004-0000-2E00-000004000000}"/>
    <hyperlink ref="B10" r:id="rId6" xr:uid="{00000000-0004-0000-2E00-000005000000}"/>
    <hyperlink ref="B11" r:id="rId7" xr:uid="{00000000-0004-0000-2E00-000006000000}"/>
    <hyperlink ref="B12" r:id="rId8" xr:uid="{00000000-0004-0000-2E00-000007000000}"/>
    <hyperlink ref="B13" r:id="rId9" xr:uid="{00000000-0004-0000-2E00-000008000000}"/>
    <hyperlink ref="B14" r:id="rId10" xr:uid="{00000000-0004-0000-2E00-000009000000}"/>
    <hyperlink ref="B15" r:id="rId11" xr:uid="{00000000-0004-0000-2E00-00000A000000}"/>
    <hyperlink ref="B16" r:id="rId12" xr:uid="{00000000-0004-0000-2E00-00000B000000}"/>
    <hyperlink ref="B17" r:id="rId13" xr:uid="{00000000-0004-0000-2E00-00000C000000}"/>
    <hyperlink ref="B18" r:id="rId14" xr:uid="{00000000-0004-0000-2E00-00000D000000}"/>
    <hyperlink ref="B19" r:id="rId15" xr:uid="{00000000-0004-0000-2E00-00000E000000}"/>
    <hyperlink ref="B20" r:id="rId16" xr:uid="{00000000-0004-0000-2E00-00000F000000}"/>
    <hyperlink ref="B21" r:id="rId17" xr:uid="{00000000-0004-0000-2E00-000010000000}"/>
    <hyperlink ref="B22" r:id="rId18" xr:uid="{00000000-0004-0000-2E00-000011000000}"/>
    <hyperlink ref="B23" r:id="rId19" xr:uid="{00000000-0004-0000-2E00-000012000000}"/>
    <hyperlink ref="B24" r:id="rId20" xr:uid="{00000000-0004-0000-2E00-000013000000}"/>
    <hyperlink ref="B25" r:id="rId21" xr:uid="{00000000-0004-0000-2E00-000014000000}"/>
    <hyperlink ref="B26" r:id="rId22" xr:uid="{00000000-0004-0000-2E00-000015000000}"/>
    <hyperlink ref="B27" r:id="rId23" xr:uid="{00000000-0004-0000-2E00-000016000000}"/>
    <hyperlink ref="B28" r:id="rId24" xr:uid="{00000000-0004-0000-2E00-000017000000}"/>
    <hyperlink ref="B29" r:id="rId25" xr:uid="{00000000-0004-0000-2E00-000018000000}"/>
    <hyperlink ref="B30" r:id="rId26" xr:uid="{00000000-0004-0000-2E00-000019000000}"/>
    <hyperlink ref="B31" r:id="rId27" xr:uid="{00000000-0004-0000-2E00-00001A000000}"/>
    <hyperlink ref="B32" r:id="rId28" xr:uid="{00000000-0004-0000-2E00-00001B000000}"/>
    <hyperlink ref="B33" r:id="rId29" xr:uid="{00000000-0004-0000-2E00-00001C000000}"/>
    <hyperlink ref="B34" r:id="rId30" xr:uid="{00000000-0004-0000-2E00-00001D000000}"/>
    <hyperlink ref="B35" r:id="rId31" xr:uid="{00000000-0004-0000-2E00-00001E000000}"/>
    <hyperlink ref="B36" r:id="rId32" xr:uid="{00000000-0004-0000-2E00-00001F000000}"/>
    <hyperlink ref="B37" r:id="rId33" xr:uid="{00000000-0004-0000-2E00-000020000000}"/>
    <hyperlink ref="B38" r:id="rId34" xr:uid="{00000000-0004-0000-2E00-000021000000}"/>
    <hyperlink ref="B39" r:id="rId35" xr:uid="{00000000-0004-0000-2E00-000022000000}"/>
    <hyperlink ref="B40" r:id="rId36" xr:uid="{00000000-0004-0000-2E00-000023000000}"/>
    <hyperlink ref="B41" r:id="rId37" xr:uid="{00000000-0004-0000-2E00-000024000000}"/>
    <hyperlink ref="B42" r:id="rId38" xr:uid="{00000000-0004-0000-2E00-000025000000}"/>
    <hyperlink ref="B43" r:id="rId39" xr:uid="{00000000-0004-0000-2E00-000026000000}"/>
    <hyperlink ref="B44" r:id="rId40" xr:uid="{00000000-0004-0000-2E00-000027000000}"/>
    <hyperlink ref="B45" r:id="rId41" xr:uid="{00000000-0004-0000-2E00-000028000000}"/>
    <hyperlink ref="B46" r:id="rId42" xr:uid="{00000000-0004-0000-2E00-000029000000}"/>
    <hyperlink ref="B47" r:id="rId43" xr:uid="{00000000-0004-0000-2E00-00002A000000}"/>
    <hyperlink ref="B48" r:id="rId44" xr:uid="{00000000-0004-0000-2E00-00002B000000}"/>
    <hyperlink ref="B49" r:id="rId45" xr:uid="{00000000-0004-0000-2E00-00002C000000}"/>
    <hyperlink ref="B50" r:id="rId46" xr:uid="{00000000-0004-0000-2E00-00002D000000}"/>
    <hyperlink ref="B51" r:id="rId47" xr:uid="{00000000-0004-0000-2E00-00002E000000}"/>
    <hyperlink ref="B52" r:id="rId48" xr:uid="{00000000-0004-0000-2E00-00002F000000}"/>
    <hyperlink ref="B53" r:id="rId49" xr:uid="{00000000-0004-0000-2E00-000030000000}"/>
    <hyperlink ref="B54" r:id="rId50" xr:uid="{00000000-0004-0000-2E00-000031000000}"/>
    <hyperlink ref="B55" r:id="rId51" xr:uid="{00000000-0004-0000-2E00-000032000000}"/>
    <hyperlink ref="B56" r:id="rId52" xr:uid="{00000000-0004-0000-2E00-000033000000}"/>
    <hyperlink ref="B57" r:id="rId53" xr:uid="{00000000-0004-0000-2E00-000034000000}"/>
    <hyperlink ref="B58" r:id="rId54" xr:uid="{00000000-0004-0000-2E00-000035000000}"/>
    <hyperlink ref="B59" r:id="rId55" xr:uid="{00000000-0004-0000-2E00-000036000000}"/>
    <hyperlink ref="B60" r:id="rId56" xr:uid="{00000000-0004-0000-2E00-000037000000}"/>
    <hyperlink ref="B61" r:id="rId57" xr:uid="{00000000-0004-0000-2E00-000038000000}"/>
    <hyperlink ref="B62" r:id="rId58" xr:uid="{00000000-0004-0000-2E00-000039000000}"/>
    <hyperlink ref="B63" r:id="rId59" xr:uid="{00000000-0004-0000-2E00-00003A000000}"/>
    <hyperlink ref="B64" r:id="rId60" xr:uid="{00000000-0004-0000-2E00-00003B000000}"/>
    <hyperlink ref="B65" r:id="rId61" xr:uid="{00000000-0004-0000-2E00-00003C000000}"/>
    <hyperlink ref="B66" r:id="rId62" xr:uid="{00000000-0004-0000-2E00-00003D000000}"/>
    <hyperlink ref="B67" r:id="rId63" xr:uid="{00000000-0004-0000-2E00-00003E000000}"/>
    <hyperlink ref="B68" r:id="rId64" xr:uid="{00000000-0004-0000-2E00-00003F000000}"/>
    <hyperlink ref="B69" r:id="rId65" xr:uid="{00000000-0004-0000-2E00-000040000000}"/>
    <hyperlink ref="B70" r:id="rId66" xr:uid="{00000000-0004-0000-2E00-000041000000}"/>
    <hyperlink ref="B71" r:id="rId67" xr:uid="{00000000-0004-0000-2E00-000042000000}"/>
    <hyperlink ref="B72" r:id="rId68" xr:uid="{00000000-0004-0000-2E00-000043000000}"/>
    <hyperlink ref="B73" r:id="rId69" xr:uid="{00000000-0004-0000-2E00-000044000000}"/>
    <hyperlink ref="B74" r:id="rId70" xr:uid="{00000000-0004-0000-2E00-000045000000}"/>
    <hyperlink ref="B75" r:id="rId71" xr:uid="{00000000-0004-0000-2E00-000046000000}"/>
    <hyperlink ref="B76" r:id="rId72" xr:uid="{00000000-0004-0000-2E00-000047000000}"/>
    <hyperlink ref="B77" r:id="rId73" xr:uid="{00000000-0004-0000-2E00-000048000000}"/>
    <hyperlink ref="B78" r:id="rId74" xr:uid="{00000000-0004-0000-2E00-000049000000}"/>
    <hyperlink ref="B79" r:id="rId75" xr:uid="{00000000-0004-0000-2E00-00004A000000}"/>
    <hyperlink ref="B80" r:id="rId76" xr:uid="{00000000-0004-0000-2E00-00004B000000}"/>
    <hyperlink ref="B81" r:id="rId77" xr:uid="{00000000-0004-0000-2E00-00004C000000}"/>
    <hyperlink ref="B82" r:id="rId78" xr:uid="{00000000-0004-0000-2E00-00004D000000}"/>
    <hyperlink ref="B83" r:id="rId79" xr:uid="{00000000-0004-0000-2E00-00004E000000}"/>
    <hyperlink ref="B84" r:id="rId80" xr:uid="{00000000-0004-0000-2E00-00004F000000}"/>
    <hyperlink ref="B85" r:id="rId81" xr:uid="{00000000-0004-0000-2E00-000050000000}"/>
    <hyperlink ref="B86" r:id="rId82" xr:uid="{00000000-0004-0000-2E00-000051000000}"/>
    <hyperlink ref="B87" r:id="rId83" xr:uid="{00000000-0004-0000-2E00-000052000000}"/>
    <hyperlink ref="B88" r:id="rId84" xr:uid="{00000000-0004-0000-2E00-000053000000}"/>
    <hyperlink ref="B89" r:id="rId85" xr:uid="{00000000-0004-0000-2E00-000054000000}"/>
    <hyperlink ref="B90" r:id="rId86" xr:uid="{00000000-0004-0000-2E00-000055000000}"/>
    <hyperlink ref="B91" r:id="rId87" xr:uid="{00000000-0004-0000-2E00-000056000000}"/>
    <hyperlink ref="B92" r:id="rId88" xr:uid="{00000000-0004-0000-2E00-000057000000}"/>
    <hyperlink ref="B93" r:id="rId89" xr:uid="{00000000-0004-0000-2E00-000058000000}"/>
    <hyperlink ref="B94" r:id="rId90" xr:uid="{00000000-0004-0000-2E00-000059000000}"/>
    <hyperlink ref="B95" r:id="rId91" xr:uid="{00000000-0004-0000-2E00-00005A000000}"/>
    <hyperlink ref="B96" r:id="rId92" xr:uid="{00000000-0004-0000-2E00-00005B000000}"/>
    <hyperlink ref="B97" r:id="rId93" xr:uid="{00000000-0004-0000-2E00-00005C000000}"/>
    <hyperlink ref="B98" r:id="rId94" xr:uid="{00000000-0004-0000-2E00-00005D000000}"/>
    <hyperlink ref="B99" r:id="rId95" xr:uid="{00000000-0004-0000-2E00-00005E000000}"/>
    <hyperlink ref="B100" r:id="rId96" xr:uid="{00000000-0004-0000-2E00-00005F000000}"/>
    <hyperlink ref="B101" r:id="rId97" xr:uid="{00000000-0004-0000-2E00-000060000000}"/>
    <hyperlink ref="B102" r:id="rId98" xr:uid="{00000000-0004-0000-2E00-000061000000}"/>
    <hyperlink ref="B103" r:id="rId99" xr:uid="{00000000-0004-0000-2E00-000062000000}"/>
    <hyperlink ref="B104" r:id="rId100" xr:uid="{00000000-0004-0000-2E00-000063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0.83203125" customWidth="1"/>
    <col min="3" max="3" width="13.5" customWidth="1"/>
    <col min="4" max="4" width="14.83203125" customWidth="1"/>
    <col min="5" max="5" width="14.33203125" customWidth="1"/>
    <col min="11" max="11" width="13.83203125" customWidth="1"/>
  </cols>
  <sheetData>
    <row r="1" spans="1:23" ht="15.75" customHeight="1">
      <c r="A1" s="1" t="s">
        <v>48</v>
      </c>
      <c r="B1" s="36"/>
      <c r="C1" s="46"/>
      <c r="D1" s="7" t="s">
        <v>181</v>
      </c>
      <c r="E1" s="5"/>
      <c r="F1" s="5"/>
      <c r="G1" s="5"/>
      <c r="K1" s="1"/>
      <c r="M1" s="5"/>
      <c r="N1" s="5"/>
      <c r="S1" s="1"/>
      <c r="U1" s="5"/>
    </row>
    <row r="2" spans="1:23" ht="15.75" customHeight="1">
      <c r="A2" s="7" t="s">
        <v>182</v>
      </c>
      <c r="B2" s="38">
        <v>39680</v>
      </c>
      <c r="C2" s="46"/>
      <c r="D2" s="39">
        <f>SUM(D5:G150)</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3368</v>
      </c>
      <c r="B5" s="49" t="s">
        <v>3369</v>
      </c>
      <c r="C5" s="51" t="s">
        <v>195</v>
      </c>
      <c r="D5" s="54"/>
      <c r="E5" s="5"/>
      <c r="F5" s="5"/>
      <c r="G5" s="5"/>
      <c r="L5" s="43"/>
      <c r="M5" s="43"/>
      <c r="N5" s="42"/>
      <c r="O5" s="44"/>
      <c r="S5" s="42"/>
      <c r="T5" s="43"/>
      <c r="U5" s="43"/>
      <c r="V5" s="42"/>
      <c r="W5" s="44"/>
    </row>
    <row r="6" spans="1:23" ht="15.75" customHeight="1">
      <c r="A6" s="48" t="s">
        <v>3370</v>
      </c>
      <c r="B6" s="49" t="s">
        <v>196</v>
      </c>
      <c r="C6" s="51" t="s">
        <v>197</v>
      </c>
      <c r="D6" s="54"/>
      <c r="E6" s="5"/>
      <c r="F6" s="5"/>
      <c r="G6" s="5"/>
      <c r="L6" s="50"/>
      <c r="M6" s="51"/>
      <c r="N6" s="5"/>
      <c r="S6" s="52"/>
      <c r="T6" s="50"/>
      <c r="U6" s="51"/>
    </row>
    <row r="7" spans="1:23" ht="15.75" customHeight="1">
      <c r="A7" s="48" t="s">
        <v>3371</v>
      </c>
      <c r="B7" s="49" t="s">
        <v>3372</v>
      </c>
      <c r="C7" s="51" t="s">
        <v>208</v>
      </c>
      <c r="D7" s="54"/>
      <c r="E7" s="5"/>
      <c r="F7" s="5"/>
      <c r="G7" s="5"/>
      <c r="K7" s="52"/>
      <c r="L7" s="50"/>
      <c r="M7" s="51"/>
      <c r="N7" s="5"/>
      <c r="S7" s="52"/>
      <c r="T7" s="50"/>
      <c r="U7" s="51"/>
    </row>
    <row r="8" spans="1:23" ht="15.75" customHeight="1">
      <c r="A8" s="48" t="s">
        <v>3373</v>
      </c>
      <c r="B8" s="49" t="s">
        <v>3374</v>
      </c>
      <c r="C8" s="51" t="s">
        <v>195</v>
      </c>
      <c r="D8" s="54"/>
      <c r="E8" s="5"/>
      <c r="F8" s="5"/>
      <c r="G8" s="5"/>
      <c r="K8" s="52"/>
      <c r="L8" s="50"/>
      <c r="M8" s="51"/>
      <c r="N8" s="51"/>
      <c r="S8" s="52"/>
      <c r="T8" s="50"/>
      <c r="U8" s="51"/>
    </row>
    <row r="9" spans="1:23" ht="15.75" customHeight="1">
      <c r="A9" s="48" t="s">
        <v>3375</v>
      </c>
      <c r="B9" s="49" t="s">
        <v>3082</v>
      </c>
      <c r="C9" s="51" t="s">
        <v>225</v>
      </c>
      <c r="D9" s="54"/>
      <c r="E9" s="5"/>
      <c r="F9" s="5"/>
      <c r="G9" s="5"/>
      <c r="K9" s="52"/>
      <c r="L9" s="50"/>
      <c r="M9" s="51"/>
      <c r="N9" s="51"/>
      <c r="S9" s="52"/>
      <c r="T9" s="50"/>
      <c r="U9" s="51"/>
    </row>
    <row r="10" spans="1:23" ht="15.75" customHeight="1">
      <c r="A10" s="48" t="s">
        <v>3376</v>
      </c>
      <c r="B10" s="49" t="s">
        <v>3377</v>
      </c>
      <c r="C10" s="51" t="s">
        <v>199</v>
      </c>
      <c r="D10" s="54"/>
      <c r="E10" s="5"/>
      <c r="F10" s="5"/>
      <c r="G10" s="5"/>
      <c r="K10" s="52"/>
      <c r="L10" s="50"/>
      <c r="M10" s="51"/>
      <c r="N10" s="5"/>
      <c r="S10" s="52"/>
      <c r="T10" s="50"/>
      <c r="U10" s="51"/>
    </row>
    <row r="11" spans="1:23" ht="15.75" customHeight="1">
      <c r="A11" s="48" t="s">
        <v>3378</v>
      </c>
      <c r="B11" s="49" t="s">
        <v>779</v>
      </c>
      <c r="C11" s="51" t="s">
        <v>208</v>
      </c>
      <c r="D11" s="54"/>
      <c r="E11" s="5"/>
      <c r="F11" s="5"/>
      <c r="G11" s="5"/>
      <c r="K11" s="52"/>
      <c r="L11" s="50"/>
      <c r="M11" s="51"/>
      <c r="N11" s="51"/>
      <c r="S11" s="52"/>
      <c r="T11" s="50"/>
      <c r="U11" s="51"/>
    </row>
    <row r="12" spans="1:23" ht="15.75" customHeight="1">
      <c r="A12" s="48" t="s">
        <v>3379</v>
      </c>
      <c r="B12" s="49" t="s">
        <v>3114</v>
      </c>
      <c r="C12" s="51" t="s">
        <v>192</v>
      </c>
      <c r="D12" s="54"/>
      <c r="E12" s="5"/>
      <c r="F12" s="5"/>
      <c r="G12" s="5"/>
      <c r="K12" s="52"/>
      <c r="L12" s="50"/>
      <c r="M12" s="51"/>
      <c r="N12" s="51"/>
      <c r="S12" s="52"/>
      <c r="T12" s="50"/>
      <c r="U12" s="51"/>
    </row>
    <row r="13" spans="1:23" ht="15.75" customHeight="1">
      <c r="A13" s="48" t="s">
        <v>3380</v>
      </c>
      <c r="B13" s="49" t="s">
        <v>3381</v>
      </c>
      <c r="C13" s="51" t="s">
        <v>208</v>
      </c>
      <c r="D13" s="54"/>
      <c r="E13" s="5"/>
      <c r="F13" s="5"/>
      <c r="G13" s="5"/>
      <c r="K13" s="52"/>
      <c r="L13" s="50"/>
      <c r="M13" s="51"/>
      <c r="N13" s="5"/>
      <c r="S13" s="52"/>
      <c r="T13" s="50"/>
      <c r="U13" s="51"/>
    </row>
    <row r="14" spans="1:23" ht="15.75" customHeight="1">
      <c r="A14" s="48" t="s">
        <v>3382</v>
      </c>
      <c r="B14" s="49" t="s">
        <v>1804</v>
      </c>
      <c r="C14" s="51" t="s">
        <v>220</v>
      </c>
      <c r="D14" s="54"/>
      <c r="E14" s="5"/>
      <c r="F14" s="5"/>
      <c r="G14" s="5"/>
      <c r="K14" s="52"/>
      <c r="L14" s="50"/>
      <c r="M14" s="51"/>
      <c r="N14" s="51"/>
      <c r="S14" s="52"/>
      <c r="T14" s="50"/>
      <c r="U14" s="51"/>
    </row>
    <row r="15" spans="1:23" ht="15.75" customHeight="1">
      <c r="A15" s="48" t="s">
        <v>3383</v>
      </c>
      <c r="B15" s="49" t="s">
        <v>194</v>
      </c>
      <c r="C15" s="51" t="s">
        <v>195</v>
      </c>
      <c r="D15" s="54"/>
      <c r="E15" s="5"/>
      <c r="F15" s="5"/>
      <c r="G15" s="5"/>
      <c r="K15" s="52"/>
      <c r="L15" s="50"/>
      <c r="M15" s="51"/>
      <c r="N15" s="51"/>
      <c r="S15" s="52"/>
      <c r="T15" s="50"/>
      <c r="U15" s="51"/>
    </row>
    <row r="16" spans="1:23" ht="15.75" customHeight="1">
      <c r="A16" s="48" t="s">
        <v>3384</v>
      </c>
      <c r="B16" s="49" t="s">
        <v>940</v>
      </c>
      <c r="C16" s="51" t="s">
        <v>208</v>
      </c>
      <c r="D16" s="54"/>
      <c r="E16" s="5"/>
      <c r="F16" s="5"/>
      <c r="G16" s="5"/>
      <c r="K16" s="52"/>
      <c r="L16" s="50"/>
      <c r="M16" s="51"/>
      <c r="N16" s="51"/>
      <c r="S16" s="52"/>
      <c r="T16" s="50"/>
      <c r="U16" s="51"/>
    </row>
    <row r="17" spans="1:27" ht="15.75" customHeight="1">
      <c r="A17" s="48" t="s">
        <v>3385</v>
      </c>
      <c r="B17" s="49" t="s">
        <v>3386</v>
      </c>
      <c r="C17" s="51" t="s">
        <v>225</v>
      </c>
      <c r="D17" s="54"/>
      <c r="E17" s="5"/>
      <c r="F17" s="5"/>
      <c r="G17" s="5"/>
      <c r="K17" s="52"/>
      <c r="L17" s="50"/>
      <c r="M17" s="51"/>
      <c r="N17" s="51"/>
      <c r="S17" s="52"/>
      <c r="T17" s="50"/>
      <c r="U17" s="51"/>
    </row>
    <row r="18" spans="1:27" ht="15.75" customHeight="1">
      <c r="A18" s="48" t="s">
        <v>3387</v>
      </c>
      <c r="B18" s="49" t="s">
        <v>2128</v>
      </c>
      <c r="C18" s="51" t="s">
        <v>197</v>
      </c>
      <c r="D18" s="54"/>
      <c r="E18" s="5"/>
      <c r="F18" s="5"/>
      <c r="G18" s="5"/>
      <c r="M18" s="5"/>
      <c r="N18" s="5"/>
      <c r="U18" s="5"/>
      <c r="AA18" s="5"/>
    </row>
    <row r="19" spans="1:27" ht="15.75" customHeight="1">
      <c r="A19" s="48" t="s">
        <v>3388</v>
      </c>
      <c r="B19" s="49" t="s">
        <v>3089</v>
      </c>
      <c r="C19" s="51" t="s">
        <v>197</v>
      </c>
      <c r="D19" s="54"/>
      <c r="E19" s="5"/>
      <c r="F19" s="5"/>
      <c r="G19" s="5"/>
      <c r="K19" s="1"/>
      <c r="M19" s="5"/>
      <c r="N19" s="5"/>
      <c r="U19" s="5"/>
      <c r="AA19" s="5"/>
    </row>
    <row r="20" spans="1:27" ht="15.75" customHeight="1">
      <c r="A20" s="48" t="s">
        <v>3389</v>
      </c>
      <c r="B20" s="49" t="s">
        <v>3390</v>
      </c>
      <c r="C20" s="51" t="s">
        <v>195</v>
      </c>
      <c r="D20" s="54"/>
      <c r="E20" s="5"/>
      <c r="F20" s="5"/>
      <c r="G20" s="5"/>
      <c r="L20" s="40"/>
      <c r="M20" s="5"/>
      <c r="N20" s="5"/>
      <c r="AA20" s="5"/>
    </row>
    <row r="21" spans="1:27" ht="15.75" customHeight="1">
      <c r="A21" s="48" t="s">
        <v>3391</v>
      </c>
      <c r="B21" s="49" t="s">
        <v>3392</v>
      </c>
      <c r="C21" s="51" t="s">
        <v>205</v>
      </c>
      <c r="D21" s="54"/>
      <c r="E21" s="5"/>
      <c r="F21" s="5"/>
      <c r="G21" s="5"/>
      <c r="M21" s="5"/>
      <c r="N21" s="5"/>
      <c r="AA21" s="5"/>
    </row>
    <row r="22" spans="1:27" ht="15.75" customHeight="1">
      <c r="A22" s="48" t="s">
        <v>3393</v>
      </c>
      <c r="B22" s="49" t="s">
        <v>1355</v>
      </c>
      <c r="C22" s="51" t="s">
        <v>225</v>
      </c>
      <c r="D22" s="54"/>
      <c r="E22" s="5"/>
      <c r="F22" s="5"/>
      <c r="G22" s="5"/>
      <c r="K22" s="42"/>
      <c r="L22" s="45"/>
      <c r="M22" s="46"/>
      <c r="N22" s="47"/>
      <c r="AA22" s="5"/>
    </row>
    <row r="23" spans="1:27" ht="15.75" customHeight="1">
      <c r="A23" s="48" t="s">
        <v>3394</v>
      </c>
      <c r="B23" s="49" t="s">
        <v>3160</v>
      </c>
      <c r="C23" s="51" t="s">
        <v>195</v>
      </c>
      <c r="D23" s="54"/>
      <c r="E23" s="5"/>
      <c r="F23" s="5"/>
      <c r="G23" s="5"/>
      <c r="K23" s="42"/>
      <c r="L23" s="43"/>
      <c r="M23" s="43"/>
      <c r="N23" s="42"/>
      <c r="O23" s="44"/>
      <c r="AA23" s="5"/>
    </row>
    <row r="24" spans="1:27" ht="15.75" customHeight="1">
      <c r="A24" s="48" t="s">
        <v>3395</v>
      </c>
      <c r="B24" s="49" t="s">
        <v>770</v>
      </c>
      <c r="C24" s="51" t="s">
        <v>205</v>
      </c>
      <c r="D24" s="54"/>
      <c r="E24" s="5"/>
      <c r="F24" s="5"/>
      <c r="G24" s="5"/>
      <c r="K24" s="52"/>
      <c r="L24" s="50"/>
      <c r="M24" s="51"/>
      <c r="N24" s="5"/>
      <c r="AA24" s="5"/>
    </row>
    <row r="25" spans="1:27" ht="15.75" customHeight="1">
      <c r="A25" s="48" t="s">
        <v>3396</v>
      </c>
      <c r="B25" s="49" t="s">
        <v>1359</v>
      </c>
      <c r="C25" s="51" t="s">
        <v>205</v>
      </c>
      <c r="D25" s="54"/>
      <c r="E25" s="5"/>
      <c r="F25" s="5"/>
      <c r="G25" s="5"/>
      <c r="K25" s="52"/>
      <c r="L25" s="50"/>
      <c r="M25" s="51"/>
      <c r="N25" s="5"/>
      <c r="AA25" s="5"/>
    </row>
    <row r="26" spans="1:27" ht="15.75" customHeight="1">
      <c r="A26" s="48" t="s">
        <v>3397</v>
      </c>
      <c r="B26" s="49" t="s">
        <v>1495</v>
      </c>
      <c r="C26" s="51" t="s">
        <v>208</v>
      </c>
      <c r="D26" s="54"/>
      <c r="E26" s="5"/>
      <c r="F26" s="5"/>
      <c r="G26" s="5"/>
      <c r="K26" s="52"/>
      <c r="L26" s="50"/>
      <c r="M26" s="51"/>
      <c r="N26" s="51"/>
      <c r="AA26" s="5"/>
    </row>
    <row r="27" spans="1:27" ht="15.75" customHeight="1">
      <c r="A27" s="48" t="s">
        <v>3398</v>
      </c>
      <c r="B27" s="49" t="s">
        <v>1216</v>
      </c>
      <c r="C27" s="51" t="s">
        <v>197</v>
      </c>
      <c r="D27" s="54"/>
      <c r="E27" s="5"/>
      <c r="F27" s="51"/>
      <c r="G27" s="5"/>
      <c r="K27" s="52"/>
      <c r="L27" s="50"/>
      <c r="M27" s="51"/>
      <c r="N27" s="51"/>
      <c r="AA27" s="5"/>
    </row>
    <row r="28" spans="1:27" ht="15.75" customHeight="1">
      <c r="A28" s="48" t="s">
        <v>3399</v>
      </c>
      <c r="B28" s="49" t="s">
        <v>3400</v>
      </c>
      <c r="C28" s="51" t="s">
        <v>195</v>
      </c>
      <c r="D28" s="54"/>
      <c r="E28" s="5"/>
      <c r="F28" s="5"/>
      <c r="G28" s="5"/>
      <c r="J28" s="5"/>
      <c r="K28" s="52"/>
      <c r="L28" s="50"/>
      <c r="M28" s="51"/>
      <c r="N28" s="5"/>
      <c r="P28" s="5"/>
    </row>
    <row r="29" spans="1:27" ht="15.75" customHeight="1">
      <c r="A29" s="48" t="s">
        <v>3401</v>
      </c>
      <c r="B29" s="49" t="s">
        <v>3402</v>
      </c>
      <c r="C29" s="51" t="s">
        <v>195</v>
      </c>
      <c r="D29" s="51"/>
      <c r="E29" s="5"/>
      <c r="F29" s="5"/>
      <c r="G29" s="5"/>
      <c r="J29" s="5"/>
      <c r="K29" s="52"/>
      <c r="L29" s="50"/>
      <c r="M29" s="51"/>
      <c r="N29" s="51"/>
      <c r="P29" s="5"/>
    </row>
    <row r="30" spans="1:27" ht="15.75" customHeight="1">
      <c r="A30" s="48" t="s">
        <v>3403</v>
      </c>
      <c r="B30" s="49" t="s">
        <v>3404</v>
      </c>
      <c r="C30" s="51" t="s">
        <v>195</v>
      </c>
      <c r="D30" s="54"/>
      <c r="E30" s="5"/>
      <c r="F30" s="5"/>
      <c r="G30" s="5"/>
      <c r="J30" s="5"/>
      <c r="K30" s="52"/>
      <c r="L30" s="50"/>
      <c r="M30" s="51"/>
      <c r="N30" s="5"/>
      <c r="P30" s="5"/>
    </row>
    <row r="31" spans="1:27" ht="15.75" customHeight="1">
      <c r="A31" s="48" t="s">
        <v>3405</v>
      </c>
      <c r="B31" s="49" t="s">
        <v>359</v>
      </c>
      <c r="C31" s="51" t="s">
        <v>197</v>
      </c>
      <c r="D31" s="54"/>
      <c r="E31" s="5"/>
      <c r="F31" s="5"/>
      <c r="G31" s="5"/>
      <c r="J31" s="5"/>
      <c r="K31" s="52"/>
      <c r="L31" s="50"/>
      <c r="M31" s="51"/>
      <c r="N31" s="51"/>
      <c r="P31" s="5"/>
    </row>
    <row r="32" spans="1:27" ht="15.75" customHeight="1">
      <c r="A32" s="48" t="s">
        <v>3406</v>
      </c>
      <c r="B32" s="49" t="s">
        <v>937</v>
      </c>
      <c r="C32" s="51" t="s">
        <v>220</v>
      </c>
      <c r="D32" s="54"/>
      <c r="E32" s="5"/>
      <c r="F32" s="5"/>
      <c r="G32" s="5"/>
      <c r="J32" s="5"/>
      <c r="K32" s="52"/>
      <c r="L32" s="50"/>
      <c r="M32" s="51"/>
      <c r="N32" s="5"/>
      <c r="P32" s="5"/>
    </row>
    <row r="33" spans="1:16" ht="15.75" customHeight="1">
      <c r="A33" s="48" t="s">
        <v>3407</v>
      </c>
      <c r="B33" s="49" t="s">
        <v>1935</v>
      </c>
      <c r="C33" s="51" t="s">
        <v>225</v>
      </c>
      <c r="D33" s="54"/>
      <c r="E33" s="5"/>
      <c r="F33" s="5"/>
      <c r="G33" s="5"/>
      <c r="J33" s="5"/>
      <c r="K33" s="52"/>
      <c r="L33" s="50"/>
      <c r="M33" s="51"/>
      <c r="N33" s="5"/>
      <c r="P33" s="5"/>
    </row>
    <row r="34" spans="1:16" ht="15.75" customHeight="1">
      <c r="A34" s="48" t="s">
        <v>3408</v>
      </c>
      <c r="B34" s="49" t="s">
        <v>3377</v>
      </c>
      <c r="C34" s="51" t="s">
        <v>220</v>
      </c>
      <c r="D34" s="54"/>
      <c r="E34" s="5"/>
      <c r="F34" s="5"/>
      <c r="G34" s="5"/>
      <c r="J34" s="5"/>
      <c r="K34" s="52"/>
      <c r="L34" s="50"/>
      <c r="M34" s="51"/>
      <c r="N34" s="5"/>
      <c r="P34" s="5"/>
    </row>
    <row r="35" spans="1:16" ht="15.75" customHeight="1">
      <c r="A35" s="48" t="s">
        <v>3409</v>
      </c>
      <c r="B35" s="49" t="s">
        <v>1196</v>
      </c>
      <c r="C35" s="51" t="s">
        <v>220</v>
      </c>
      <c r="D35" s="54"/>
      <c r="E35" s="5"/>
      <c r="F35" s="5"/>
      <c r="G35" s="5"/>
      <c r="J35" s="5"/>
      <c r="K35" s="52"/>
      <c r="L35" s="50"/>
      <c r="M35" s="51"/>
      <c r="N35" s="51"/>
      <c r="P35" s="5"/>
    </row>
    <row r="36" spans="1:16" ht="15.75" customHeight="1">
      <c r="A36" s="48" t="s">
        <v>3410</v>
      </c>
      <c r="B36" s="49" t="s">
        <v>2236</v>
      </c>
      <c r="C36" s="51" t="s">
        <v>208</v>
      </c>
      <c r="D36" s="54"/>
      <c r="E36" s="5"/>
      <c r="F36" s="5"/>
      <c r="G36" s="5"/>
      <c r="J36" s="5"/>
      <c r="M36" s="5"/>
      <c r="N36" s="5"/>
      <c r="P36" s="5"/>
    </row>
    <row r="37" spans="1:16" ht="15.75" customHeight="1">
      <c r="A37" s="48" t="s">
        <v>3411</v>
      </c>
      <c r="B37" s="49" t="s">
        <v>3127</v>
      </c>
      <c r="C37" s="51" t="s">
        <v>197</v>
      </c>
      <c r="D37" s="54"/>
      <c r="E37" s="5"/>
      <c r="F37" s="5"/>
      <c r="G37" s="5"/>
      <c r="J37" s="5"/>
      <c r="M37" s="5"/>
      <c r="N37" s="5"/>
    </row>
    <row r="38" spans="1:16" ht="15.75" customHeight="1">
      <c r="A38" s="48" t="s">
        <v>3412</v>
      </c>
      <c r="B38" s="49" t="s">
        <v>3175</v>
      </c>
      <c r="C38" s="51" t="s">
        <v>195</v>
      </c>
      <c r="D38" s="54"/>
      <c r="E38" s="5"/>
      <c r="F38" s="5"/>
      <c r="G38" s="5"/>
      <c r="J38" s="5"/>
      <c r="M38" s="51"/>
      <c r="N38" s="51"/>
    </row>
    <row r="39" spans="1:16" ht="15.75" customHeight="1">
      <c r="A39" s="48" t="s">
        <v>3413</v>
      </c>
      <c r="B39" s="49" t="s">
        <v>250</v>
      </c>
      <c r="C39" s="51" t="s">
        <v>208</v>
      </c>
      <c r="D39" s="54"/>
      <c r="E39" s="5"/>
      <c r="F39" s="5"/>
      <c r="G39" s="5"/>
      <c r="J39" s="5"/>
      <c r="M39" s="51"/>
      <c r="N39" s="51"/>
    </row>
    <row r="40" spans="1:16" ht="15.75" customHeight="1">
      <c r="A40" s="48" t="s">
        <v>3414</v>
      </c>
      <c r="B40" s="49" t="s">
        <v>2779</v>
      </c>
      <c r="C40" s="51" t="s">
        <v>208</v>
      </c>
      <c r="D40" s="54"/>
      <c r="E40" s="5"/>
      <c r="F40" s="5"/>
      <c r="G40" s="5"/>
      <c r="J40" s="5"/>
      <c r="M40" s="51"/>
      <c r="N40" s="51"/>
    </row>
    <row r="41" spans="1:16" ht="15.75" customHeight="1">
      <c r="A41" s="48" t="s">
        <v>3415</v>
      </c>
      <c r="B41" s="49" t="s">
        <v>3089</v>
      </c>
      <c r="C41" s="51" t="s">
        <v>197</v>
      </c>
      <c r="D41" s="54"/>
      <c r="E41" s="5"/>
      <c r="F41" s="5"/>
      <c r="G41" s="5"/>
      <c r="J41" s="5"/>
      <c r="M41" s="51"/>
      <c r="N41" s="51"/>
    </row>
    <row r="42" spans="1:16" ht="15.75" customHeight="1">
      <c r="A42" s="48" t="s">
        <v>3416</v>
      </c>
      <c r="B42" s="49" t="s">
        <v>2780</v>
      </c>
      <c r="C42" s="51" t="s">
        <v>225</v>
      </c>
      <c r="D42" s="54"/>
      <c r="E42" s="5"/>
      <c r="F42" s="5"/>
      <c r="G42" s="5"/>
      <c r="J42" s="5"/>
      <c r="M42" s="51"/>
      <c r="N42" s="51"/>
    </row>
    <row r="43" spans="1:16" ht="15.75" customHeight="1">
      <c r="A43" s="48" t="s">
        <v>3417</v>
      </c>
      <c r="B43" s="49" t="s">
        <v>2781</v>
      </c>
      <c r="C43" s="51" t="s">
        <v>220</v>
      </c>
      <c r="D43" s="54"/>
      <c r="E43" s="5"/>
      <c r="F43" s="5"/>
      <c r="G43" s="5"/>
      <c r="J43" s="5"/>
      <c r="M43" s="51"/>
      <c r="N43" s="51"/>
    </row>
    <row r="44" spans="1:16" ht="15.75" customHeight="1">
      <c r="A44" s="48" t="s">
        <v>3418</v>
      </c>
      <c r="B44" s="49" t="s">
        <v>1509</v>
      </c>
      <c r="C44" s="51" t="s">
        <v>205</v>
      </c>
      <c r="D44" s="54"/>
      <c r="E44" s="5"/>
      <c r="F44" s="5"/>
      <c r="G44" s="5"/>
      <c r="J44" s="5"/>
      <c r="M44" s="51"/>
      <c r="N44" s="51"/>
    </row>
    <row r="45" spans="1:16" ht="15.75" customHeight="1">
      <c r="A45" s="48" t="s">
        <v>3419</v>
      </c>
      <c r="B45" s="49" t="s">
        <v>1511</v>
      </c>
      <c r="C45" s="51" t="s">
        <v>199</v>
      </c>
      <c r="D45" s="54"/>
      <c r="E45" s="5"/>
      <c r="F45" s="5"/>
      <c r="G45" s="5"/>
      <c r="J45" s="5"/>
      <c r="M45" s="51"/>
      <c r="N45" s="51"/>
      <c r="P45" s="5"/>
    </row>
    <row r="46" spans="1:16" ht="15.75" customHeight="1">
      <c r="A46" s="48" t="s">
        <v>3420</v>
      </c>
      <c r="B46" s="49" t="s">
        <v>3421</v>
      </c>
      <c r="C46" s="51" t="s">
        <v>195</v>
      </c>
      <c r="D46" s="54"/>
      <c r="E46" s="5"/>
      <c r="F46" s="5"/>
      <c r="G46" s="5"/>
      <c r="J46" s="5"/>
      <c r="M46" s="51"/>
      <c r="N46" s="51"/>
      <c r="P46" s="5"/>
    </row>
    <row r="47" spans="1:16" ht="15.75" customHeight="1">
      <c r="A47" s="48" t="s">
        <v>3422</v>
      </c>
      <c r="B47" s="49" t="s">
        <v>3180</v>
      </c>
      <c r="C47" s="51" t="s">
        <v>195</v>
      </c>
      <c r="D47" s="54"/>
      <c r="E47" s="5"/>
      <c r="F47" s="5"/>
      <c r="G47" s="5"/>
      <c r="J47" s="5"/>
      <c r="M47" s="5"/>
      <c r="N47" s="5"/>
      <c r="P47" s="5"/>
    </row>
    <row r="48" spans="1:16" ht="15.75" customHeight="1">
      <c r="A48" s="48" t="s">
        <v>3423</v>
      </c>
      <c r="B48" s="49" t="s">
        <v>328</v>
      </c>
      <c r="C48" s="51" t="s">
        <v>205</v>
      </c>
      <c r="D48" s="54"/>
      <c r="E48" s="5"/>
      <c r="F48" s="5"/>
      <c r="G48" s="5"/>
      <c r="J48" s="5"/>
      <c r="M48" s="5"/>
      <c r="N48" s="5"/>
      <c r="P48" s="5"/>
    </row>
    <row r="49" spans="1:16" ht="15.75" customHeight="1">
      <c r="A49" s="48" t="s">
        <v>3424</v>
      </c>
      <c r="B49" s="49" t="s">
        <v>329</v>
      </c>
      <c r="C49" s="51" t="s">
        <v>205</v>
      </c>
      <c r="D49" s="54"/>
      <c r="E49" s="5"/>
      <c r="F49" s="5"/>
      <c r="G49" s="5"/>
      <c r="J49" s="5"/>
      <c r="M49" s="5"/>
      <c r="N49" s="5"/>
      <c r="P49" s="5"/>
    </row>
    <row r="50" spans="1:16" ht="15.75" customHeight="1">
      <c r="A50" s="48" t="s">
        <v>3425</v>
      </c>
      <c r="B50" s="49" t="s">
        <v>1393</v>
      </c>
      <c r="C50" s="51" t="s">
        <v>225</v>
      </c>
      <c r="D50" s="54"/>
      <c r="E50" s="5"/>
      <c r="F50" s="5"/>
      <c r="G50" s="5"/>
      <c r="J50" s="5"/>
      <c r="M50" s="5"/>
      <c r="N50" s="5"/>
      <c r="P50" s="5"/>
    </row>
    <row r="51" spans="1:16" ht="15.75" customHeight="1">
      <c r="A51" s="48" t="s">
        <v>3426</v>
      </c>
      <c r="B51" s="49" t="s">
        <v>1214</v>
      </c>
      <c r="C51" s="51" t="s">
        <v>199</v>
      </c>
      <c r="D51" s="54"/>
      <c r="E51" s="5"/>
      <c r="F51" s="5"/>
      <c r="G51" s="5"/>
      <c r="J51" s="5"/>
      <c r="M51" s="5"/>
      <c r="N51" s="5"/>
      <c r="P51" s="5"/>
    </row>
    <row r="52" spans="1:16" ht="15.75" customHeight="1">
      <c r="A52" s="48" t="s">
        <v>3427</v>
      </c>
      <c r="B52" s="49" t="s">
        <v>1834</v>
      </c>
      <c r="C52" s="51" t="s">
        <v>197</v>
      </c>
      <c r="D52" s="51"/>
      <c r="E52" s="5"/>
      <c r="F52" s="5"/>
      <c r="G52" s="5"/>
      <c r="J52" s="5"/>
      <c r="M52" s="5"/>
      <c r="N52" s="5"/>
      <c r="P52" s="5"/>
    </row>
    <row r="53" spans="1:16" ht="13">
      <c r="A53" s="48" t="s">
        <v>3428</v>
      </c>
      <c r="B53" s="49" t="s">
        <v>3429</v>
      </c>
      <c r="C53" s="51" t="s">
        <v>208</v>
      </c>
      <c r="D53" s="51"/>
      <c r="E53" s="5"/>
      <c r="F53" s="5"/>
      <c r="G53" s="5"/>
      <c r="J53" s="5"/>
      <c r="M53" s="5"/>
      <c r="N53" s="5"/>
      <c r="P53" s="5"/>
    </row>
    <row r="54" spans="1:16" ht="13">
      <c r="A54" s="48" t="s">
        <v>3430</v>
      </c>
      <c r="B54" s="49" t="s">
        <v>3431</v>
      </c>
      <c r="C54" s="51" t="s">
        <v>208</v>
      </c>
      <c r="D54" s="51"/>
      <c r="E54" s="5"/>
      <c r="F54" s="5"/>
      <c r="G54" s="5"/>
      <c r="J54" s="5"/>
      <c r="M54" s="5"/>
      <c r="N54" s="5"/>
      <c r="P54" s="5"/>
    </row>
    <row r="55" spans="1:16" ht="13">
      <c r="A55" s="48" t="s">
        <v>3432</v>
      </c>
      <c r="B55" s="49" t="s">
        <v>3433</v>
      </c>
      <c r="C55" s="51" t="s">
        <v>199</v>
      </c>
      <c r="D55" s="51"/>
      <c r="E55" s="5"/>
      <c r="F55" s="5"/>
      <c r="G55" s="5"/>
      <c r="J55" s="5"/>
      <c r="M55" s="5"/>
      <c r="N55" s="5"/>
      <c r="P55" s="5"/>
    </row>
    <row r="56" spans="1:16" ht="13">
      <c r="A56" s="48" t="s">
        <v>3434</v>
      </c>
      <c r="B56" s="49" t="s">
        <v>254</v>
      </c>
      <c r="C56" s="51" t="s">
        <v>197</v>
      </c>
      <c r="D56" s="54"/>
      <c r="E56" s="5"/>
      <c r="F56" s="5"/>
      <c r="G56" s="5"/>
      <c r="J56" s="5"/>
      <c r="M56" s="5"/>
      <c r="N56" s="5"/>
      <c r="P56" s="5"/>
    </row>
    <row r="57" spans="1:16" ht="13">
      <c r="A57" s="48" t="s">
        <v>3435</v>
      </c>
      <c r="B57" s="49" t="s">
        <v>3078</v>
      </c>
      <c r="C57" s="51" t="s">
        <v>195</v>
      </c>
      <c r="D57" s="54"/>
      <c r="E57" s="5"/>
      <c r="F57" s="5"/>
      <c r="G57" s="5"/>
      <c r="J57" s="5"/>
      <c r="M57" s="5"/>
      <c r="N57" s="5"/>
      <c r="P57" s="5"/>
    </row>
    <row r="58" spans="1:16" ht="13">
      <c r="A58" s="48" t="s">
        <v>3436</v>
      </c>
      <c r="B58" s="49" t="s">
        <v>333</v>
      </c>
      <c r="C58" s="51" t="s">
        <v>195</v>
      </c>
      <c r="D58" s="54"/>
      <c r="E58" s="5"/>
      <c r="F58" s="5"/>
      <c r="G58" s="5"/>
      <c r="J58" s="5"/>
      <c r="M58" s="5"/>
      <c r="N58" s="5"/>
      <c r="P58" s="5"/>
    </row>
    <row r="59" spans="1:16" ht="13">
      <c r="A59" s="48" t="s">
        <v>3437</v>
      </c>
      <c r="B59" s="49" t="s">
        <v>3082</v>
      </c>
      <c r="C59" s="51" t="s">
        <v>225</v>
      </c>
      <c r="D59" s="51"/>
      <c r="E59" s="5"/>
      <c r="F59" s="5"/>
      <c r="G59" s="5"/>
      <c r="J59" s="5"/>
      <c r="M59" s="5"/>
      <c r="N59" s="5"/>
      <c r="P59" s="5"/>
    </row>
    <row r="60" spans="1:16" ht="13">
      <c r="A60" s="48" t="s">
        <v>3438</v>
      </c>
      <c r="B60" s="49" t="s">
        <v>1499</v>
      </c>
      <c r="C60" s="51" t="s">
        <v>195</v>
      </c>
      <c r="D60" s="54"/>
      <c r="E60" s="5"/>
      <c r="F60" s="5"/>
      <c r="G60" s="5"/>
      <c r="J60" s="5"/>
      <c r="M60" s="5"/>
      <c r="N60" s="5"/>
      <c r="P60" s="5"/>
    </row>
    <row r="61" spans="1:16" ht="13">
      <c r="A61" s="48" t="s">
        <v>3439</v>
      </c>
      <c r="B61" s="49" t="s">
        <v>938</v>
      </c>
      <c r="C61" s="51" t="s">
        <v>199</v>
      </c>
      <c r="D61" s="54"/>
      <c r="E61" s="5"/>
      <c r="F61" s="5"/>
      <c r="G61" s="5"/>
      <c r="J61" s="5"/>
      <c r="M61" s="5"/>
      <c r="N61" s="5"/>
      <c r="P61" s="5"/>
    </row>
    <row r="62" spans="1:16" ht="13">
      <c r="A62" s="48" t="s">
        <v>3440</v>
      </c>
      <c r="B62" s="49" t="s">
        <v>831</v>
      </c>
      <c r="C62" s="51" t="s">
        <v>208</v>
      </c>
      <c r="D62" s="54"/>
      <c r="E62" s="5"/>
      <c r="F62" s="5"/>
      <c r="G62" s="5"/>
      <c r="J62" s="5"/>
      <c r="M62" s="5"/>
      <c r="N62" s="5"/>
      <c r="P62" s="5"/>
    </row>
    <row r="63" spans="1:16" ht="13">
      <c r="A63" s="48" t="s">
        <v>3441</v>
      </c>
      <c r="B63" s="49" t="s">
        <v>831</v>
      </c>
      <c r="C63" s="51" t="s">
        <v>192</v>
      </c>
      <c r="D63" s="51"/>
      <c r="E63" s="5"/>
      <c r="F63" s="5"/>
      <c r="G63" s="5"/>
      <c r="J63" s="5"/>
      <c r="M63" s="5"/>
      <c r="N63" s="5"/>
      <c r="P63" s="5"/>
    </row>
    <row r="64" spans="1:16" ht="13">
      <c r="A64" s="48" t="s">
        <v>3442</v>
      </c>
      <c r="B64" s="49" t="s">
        <v>833</v>
      </c>
      <c r="C64" s="51" t="s">
        <v>205</v>
      </c>
      <c r="D64" s="54"/>
      <c r="E64" s="5"/>
      <c r="F64" s="5"/>
      <c r="G64" s="5"/>
      <c r="J64" s="5"/>
      <c r="M64" s="5"/>
      <c r="N64" s="5"/>
      <c r="P64" s="5"/>
    </row>
    <row r="65" spans="1:16" ht="13">
      <c r="A65" s="48" t="s">
        <v>3443</v>
      </c>
      <c r="B65" s="49" t="s">
        <v>3113</v>
      </c>
      <c r="C65" s="51" t="s">
        <v>225</v>
      </c>
      <c r="D65" s="54"/>
      <c r="E65" s="5"/>
      <c r="F65" s="5"/>
      <c r="G65" s="5"/>
      <c r="J65" s="5"/>
      <c r="M65" s="5"/>
      <c r="N65" s="5"/>
      <c r="P65" s="5"/>
    </row>
    <row r="66" spans="1:16" ht="13">
      <c r="A66" s="48" t="s">
        <v>3444</v>
      </c>
      <c r="B66" s="49" t="s">
        <v>3137</v>
      </c>
      <c r="C66" s="51" t="s">
        <v>192</v>
      </c>
      <c r="D66" s="54"/>
      <c r="E66" s="5"/>
      <c r="F66" s="5"/>
      <c r="G66" s="5"/>
      <c r="J66" s="5"/>
      <c r="M66" s="5"/>
      <c r="N66" s="5"/>
      <c r="P66" s="5"/>
    </row>
    <row r="67" spans="1:16" ht="13">
      <c r="A67" s="48" t="s">
        <v>3445</v>
      </c>
      <c r="B67" s="49" t="s">
        <v>337</v>
      </c>
      <c r="C67" s="51" t="s">
        <v>225</v>
      </c>
      <c r="D67" s="54"/>
      <c r="E67" s="5"/>
      <c r="F67" s="5"/>
      <c r="G67" s="5"/>
      <c r="J67" s="5"/>
      <c r="M67" s="5"/>
      <c r="N67" s="5"/>
      <c r="P67" s="5"/>
    </row>
    <row r="68" spans="1:16" ht="13">
      <c r="A68" s="48" t="s">
        <v>3446</v>
      </c>
      <c r="B68" s="49" t="s">
        <v>1198</v>
      </c>
      <c r="C68" s="51" t="s">
        <v>220</v>
      </c>
      <c r="D68" s="54"/>
      <c r="E68" s="5"/>
      <c r="F68" s="5"/>
      <c r="G68" s="5"/>
      <c r="J68" s="5"/>
      <c r="M68" s="5"/>
      <c r="N68" s="5"/>
      <c r="P68" s="5"/>
    </row>
    <row r="69" spans="1:16" ht="13">
      <c r="A69" s="48" t="s">
        <v>3447</v>
      </c>
      <c r="B69" s="49" t="s">
        <v>1198</v>
      </c>
      <c r="C69" s="51" t="s">
        <v>220</v>
      </c>
      <c r="D69" s="54"/>
      <c r="E69" s="5"/>
      <c r="F69" s="5"/>
      <c r="G69" s="5"/>
      <c r="J69" s="5"/>
      <c r="M69" s="5"/>
      <c r="N69" s="5"/>
      <c r="P69" s="5"/>
    </row>
    <row r="70" spans="1:16" ht="13">
      <c r="A70" s="48" t="s">
        <v>3448</v>
      </c>
      <c r="B70" s="49" t="s">
        <v>1226</v>
      </c>
      <c r="C70" s="51" t="s">
        <v>808</v>
      </c>
      <c r="D70" s="54"/>
      <c r="E70" s="51"/>
      <c r="F70" s="5"/>
      <c r="G70" s="5"/>
      <c r="J70" s="5"/>
      <c r="M70" s="5"/>
      <c r="N70" s="5"/>
      <c r="P70" s="5"/>
    </row>
    <row r="71" spans="1:16" ht="13">
      <c r="A71" s="48" t="s">
        <v>3449</v>
      </c>
      <c r="B71" s="49" t="s">
        <v>1518</v>
      </c>
      <c r="C71" s="51" t="s">
        <v>205</v>
      </c>
      <c r="D71" s="5"/>
      <c r="J71" s="5"/>
      <c r="M71" s="5"/>
      <c r="N71" s="5"/>
      <c r="P71" s="5"/>
    </row>
    <row r="72" spans="1:16" ht="13">
      <c r="A72" s="48" t="s">
        <v>3450</v>
      </c>
      <c r="B72" s="49" t="s">
        <v>340</v>
      </c>
      <c r="C72" s="51" t="s">
        <v>197</v>
      </c>
      <c r="D72" s="54"/>
      <c r="E72" s="5"/>
      <c r="F72" s="5"/>
      <c r="G72" s="5"/>
      <c r="J72" s="5"/>
      <c r="M72" s="5"/>
      <c r="N72" s="5"/>
      <c r="P72" s="5"/>
    </row>
    <row r="73" spans="1:16" ht="13">
      <c r="A73" s="48" t="s">
        <v>3451</v>
      </c>
      <c r="B73" s="49" t="s">
        <v>842</v>
      </c>
      <c r="C73" s="51" t="s">
        <v>208</v>
      </c>
      <c r="D73" s="54"/>
      <c r="E73" s="5"/>
      <c r="F73" s="5"/>
      <c r="G73" s="5"/>
      <c r="J73" s="5"/>
      <c r="M73" s="5"/>
      <c r="N73" s="5"/>
      <c r="P73" s="5"/>
    </row>
    <row r="74" spans="1:16" ht="13">
      <c r="A74" s="48" t="s">
        <v>3452</v>
      </c>
      <c r="B74" s="49" t="s">
        <v>375</v>
      </c>
      <c r="C74" s="51" t="s">
        <v>208</v>
      </c>
      <c r="D74" s="54"/>
      <c r="E74" s="5"/>
      <c r="F74" s="5"/>
      <c r="G74" s="5"/>
      <c r="J74" s="5"/>
      <c r="M74" s="5"/>
      <c r="N74" s="5"/>
      <c r="P74" s="5"/>
    </row>
    <row r="75" spans="1:16" ht="13">
      <c r="A75" s="48" t="s">
        <v>3453</v>
      </c>
      <c r="B75" s="49" t="s">
        <v>295</v>
      </c>
      <c r="C75" s="51" t="s">
        <v>208</v>
      </c>
      <c r="D75" s="54"/>
      <c r="E75" s="5"/>
      <c r="F75" s="5"/>
      <c r="G75" s="5"/>
      <c r="J75" s="5"/>
      <c r="M75" s="5"/>
      <c r="N75" s="5"/>
      <c r="P75" s="5"/>
    </row>
    <row r="76" spans="1:16" ht="13">
      <c r="A76" s="48" t="s">
        <v>3454</v>
      </c>
      <c r="B76" s="49" t="s">
        <v>1860</v>
      </c>
      <c r="C76" s="51" t="s">
        <v>195</v>
      </c>
      <c r="D76" s="54"/>
      <c r="E76" s="5"/>
      <c r="F76" s="5"/>
      <c r="G76" s="5"/>
      <c r="J76" s="5"/>
      <c r="M76" s="5"/>
      <c r="N76" s="5"/>
      <c r="P76" s="5"/>
    </row>
    <row r="77" spans="1:16" ht="13">
      <c r="A77" s="48" t="s">
        <v>3455</v>
      </c>
      <c r="B77" s="49" t="s">
        <v>1280</v>
      </c>
      <c r="C77" s="51" t="s">
        <v>197</v>
      </c>
      <c r="D77" s="54"/>
      <c r="E77" s="5"/>
      <c r="F77" s="5"/>
      <c r="G77" s="5"/>
      <c r="J77" s="5"/>
      <c r="M77" s="5"/>
      <c r="N77" s="5"/>
      <c r="P77" s="5"/>
    </row>
    <row r="78" spans="1:16" ht="13">
      <c r="A78" s="48" t="s">
        <v>3456</v>
      </c>
      <c r="B78" s="49" t="s">
        <v>344</v>
      </c>
      <c r="C78" s="51" t="s">
        <v>197</v>
      </c>
      <c r="D78" s="54"/>
      <c r="E78" s="5"/>
      <c r="F78" s="5"/>
      <c r="G78" s="5"/>
      <c r="J78" s="5"/>
      <c r="M78" s="5"/>
      <c r="N78" s="5"/>
      <c r="P78" s="5"/>
    </row>
    <row r="79" spans="1:16" ht="13">
      <c r="A79" s="48" t="s">
        <v>3457</v>
      </c>
      <c r="B79" s="49" t="s">
        <v>377</v>
      </c>
      <c r="C79" s="51" t="s">
        <v>208</v>
      </c>
      <c r="D79" s="54"/>
      <c r="E79" s="5"/>
      <c r="F79" s="5"/>
      <c r="G79" s="5"/>
      <c r="J79" s="5"/>
      <c r="M79" s="5"/>
      <c r="N79" s="5"/>
      <c r="P79" s="5"/>
    </row>
    <row r="80" spans="1:16" ht="13">
      <c r="A80" s="48" t="s">
        <v>3458</v>
      </c>
      <c r="B80" s="49" t="s">
        <v>226</v>
      </c>
      <c r="C80" s="51" t="s">
        <v>195</v>
      </c>
      <c r="D80" s="54"/>
      <c r="E80" s="5"/>
      <c r="F80" s="5"/>
      <c r="G80" s="5"/>
      <c r="J80" s="5"/>
      <c r="M80" s="5"/>
      <c r="N80" s="5"/>
      <c r="P80" s="5"/>
    </row>
    <row r="81" spans="1:16" ht="13">
      <c r="A81" s="48" t="s">
        <v>3459</v>
      </c>
      <c r="B81" s="49" t="s">
        <v>3460</v>
      </c>
      <c r="C81" s="51" t="s">
        <v>195</v>
      </c>
      <c r="D81" s="54"/>
      <c r="E81" s="5"/>
      <c r="F81" s="5"/>
      <c r="G81" s="5"/>
      <c r="J81" s="5"/>
      <c r="M81" s="5"/>
      <c r="N81" s="5"/>
      <c r="P81" s="5"/>
    </row>
    <row r="82" spans="1:16" ht="13">
      <c r="A82" s="48" t="s">
        <v>3461</v>
      </c>
      <c r="B82" s="49" t="s">
        <v>953</v>
      </c>
      <c r="C82" s="51" t="s">
        <v>195</v>
      </c>
      <c r="D82" s="54"/>
      <c r="E82" s="5"/>
      <c r="F82" s="5"/>
      <c r="G82" s="5"/>
      <c r="J82" s="5"/>
      <c r="M82" s="5"/>
      <c r="N82" s="5"/>
      <c r="P82" s="5"/>
    </row>
    <row r="83" spans="1:16" ht="13">
      <c r="A83" s="48" t="s">
        <v>3462</v>
      </c>
      <c r="B83" s="49" t="s">
        <v>1009</v>
      </c>
      <c r="C83" s="51" t="s">
        <v>195</v>
      </c>
      <c r="D83" s="54"/>
      <c r="E83" s="5"/>
      <c r="F83" s="5"/>
      <c r="G83" s="5"/>
      <c r="J83" s="5"/>
      <c r="M83" s="5"/>
      <c r="N83" s="5"/>
      <c r="P83" s="5"/>
    </row>
    <row r="84" spans="1:16" ht="13">
      <c r="A84" s="48" t="s">
        <v>3463</v>
      </c>
      <c r="B84" s="49" t="s">
        <v>997</v>
      </c>
      <c r="C84" s="51" t="s">
        <v>195</v>
      </c>
      <c r="D84" s="54"/>
      <c r="E84" s="5"/>
      <c r="F84" s="5"/>
      <c r="G84" s="5"/>
      <c r="J84" s="5"/>
      <c r="M84" s="5"/>
      <c r="N84" s="5"/>
      <c r="P84" s="5"/>
    </row>
    <row r="85" spans="1:16" ht="13">
      <c r="A85" s="48" t="s">
        <v>3464</v>
      </c>
      <c r="B85" s="49" t="s">
        <v>977</v>
      </c>
      <c r="C85" s="51" t="s">
        <v>195</v>
      </c>
      <c r="D85" s="54"/>
      <c r="E85" s="5"/>
      <c r="F85" s="5"/>
      <c r="G85" s="5"/>
      <c r="J85" s="5"/>
      <c r="M85" s="5"/>
      <c r="N85" s="5"/>
      <c r="P85" s="5"/>
    </row>
    <row r="86" spans="1:16" ht="13">
      <c r="A86" s="48" t="s">
        <v>3465</v>
      </c>
      <c r="B86" s="49" t="s">
        <v>3466</v>
      </c>
      <c r="C86" s="51" t="s">
        <v>195</v>
      </c>
      <c r="D86" s="54"/>
      <c r="E86" s="5"/>
      <c r="F86" s="5"/>
      <c r="G86" s="5"/>
      <c r="J86" s="5"/>
      <c r="M86" s="5"/>
      <c r="N86" s="5"/>
      <c r="P86" s="5"/>
    </row>
    <row r="87" spans="1:16" ht="13">
      <c r="A87" s="48" t="s">
        <v>3467</v>
      </c>
      <c r="B87" s="49" t="s">
        <v>1197</v>
      </c>
      <c r="C87" s="51" t="s">
        <v>220</v>
      </c>
      <c r="D87" s="54"/>
      <c r="E87" s="5"/>
      <c r="F87" s="5"/>
      <c r="G87" s="5"/>
      <c r="J87" s="5"/>
      <c r="M87" s="5"/>
      <c r="N87" s="5"/>
      <c r="P87" s="5"/>
    </row>
    <row r="88" spans="1:16" ht="13">
      <c r="A88" s="48" t="s">
        <v>3468</v>
      </c>
      <c r="B88" s="49" t="s">
        <v>1197</v>
      </c>
      <c r="C88" s="51" t="s">
        <v>220</v>
      </c>
      <c r="D88" s="51"/>
      <c r="E88" s="5"/>
      <c r="F88" s="5"/>
      <c r="G88" s="5"/>
      <c r="J88" s="5"/>
      <c r="M88" s="5"/>
      <c r="N88" s="5"/>
      <c r="P88" s="5"/>
    </row>
    <row r="89" spans="1:16" ht="13">
      <c r="A89" s="48" t="s">
        <v>3469</v>
      </c>
      <c r="B89" s="49" t="s">
        <v>346</v>
      </c>
      <c r="C89" s="51" t="s">
        <v>205</v>
      </c>
      <c r="D89" s="54"/>
      <c r="E89" s="5"/>
      <c r="F89" s="5"/>
      <c r="G89" s="5"/>
      <c r="J89" s="5"/>
      <c r="M89" s="5"/>
      <c r="N89" s="5"/>
      <c r="P89" s="5"/>
    </row>
    <row r="90" spans="1:16" ht="13">
      <c r="A90" s="48" t="s">
        <v>3470</v>
      </c>
      <c r="B90" s="49" t="s">
        <v>3025</v>
      </c>
      <c r="C90" s="51" t="s">
        <v>197</v>
      </c>
      <c r="D90" s="54"/>
      <c r="E90" s="5"/>
      <c r="F90" s="5"/>
      <c r="G90" s="5"/>
      <c r="J90" s="5"/>
      <c r="M90" s="5"/>
      <c r="N90" s="5"/>
      <c r="P90" s="5"/>
    </row>
    <row r="91" spans="1:16" ht="13">
      <c r="A91" s="48" t="s">
        <v>3471</v>
      </c>
      <c r="B91" s="49" t="s">
        <v>860</v>
      </c>
      <c r="C91" s="51" t="s">
        <v>208</v>
      </c>
      <c r="D91" s="54"/>
      <c r="E91" s="5"/>
      <c r="F91" s="5"/>
      <c r="G91" s="5"/>
      <c r="J91" s="5"/>
      <c r="M91" s="5"/>
      <c r="N91" s="5"/>
      <c r="P91" s="5"/>
    </row>
    <row r="92" spans="1:16" ht="13">
      <c r="A92" s="48" t="s">
        <v>3472</v>
      </c>
      <c r="B92" s="49" t="s">
        <v>860</v>
      </c>
      <c r="C92" s="51" t="s">
        <v>192</v>
      </c>
      <c r="D92" s="54"/>
      <c r="E92" s="5"/>
      <c r="F92" s="5"/>
      <c r="G92" s="5"/>
      <c r="J92" s="5"/>
      <c r="M92" s="5"/>
      <c r="N92" s="5"/>
      <c r="P92" s="5"/>
    </row>
    <row r="93" spans="1:16" ht="13">
      <c r="A93" s="48" t="s">
        <v>3473</v>
      </c>
      <c r="B93" s="49" t="s">
        <v>1561</v>
      </c>
      <c r="C93" s="51" t="s">
        <v>208</v>
      </c>
      <c r="D93" s="54"/>
      <c r="E93" s="5"/>
      <c r="F93" s="5"/>
      <c r="G93" s="5"/>
      <c r="J93" s="5"/>
      <c r="M93" s="5"/>
      <c r="N93" s="5"/>
      <c r="P93" s="5"/>
    </row>
    <row r="94" spans="1:16" ht="13">
      <c r="A94" s="48" t="s">
        <v>3474</v>
      </c>
      <c r="B94" s="49" t="s">
        <v>347</v>
      </c>
      <c r="C94" s="51" t="s">
        <v>225</v>
      </c>
      <c r="D94" s="54"/>
      <c r="E94" s="5"/>
      <c r="F94" s="5"/>
      <c r="G94" s="5"/>
      <c r="J94" s="5"/>
      <c r="M94" s="5"/>
      <c r="N94" s="5"/>
      <c r="P94" s="5"/>
    </row>
    <row r="95" spans="1:16" ht="13">
      <c r="A95" s="48" t="s">
        <v>3475</v>
      </c>
      <c r="B95" s="49" t="s">
        <v>260</v>
      </c>
      <c r="C95" s="51" t="s">
        <v>197</v>
      </c>
      <c r="D95" s="51"/>
      <c r="E95" s="5"/>
      <c r="F95" s="5"/>
      <c r="G95" s="5"/>
      <c r="J95" s="5"/>
      <c r="M95" s="5"/>
      <c r="N95" s="5"/>
      <c r="P95" s="5"/>
    </row>
    <row r="96" spans="1:16" ht="13">
      <c r="A96" s="48" t="s">
        <v>3476</v>
      </c>
      <c r="B96" s="49" t="s">
        <v>3134</v>
      </c>
      <c r="C96" s="51" t="s">
        <v>195</v>
      </c>
      <c r="D96" s="54"/>
      <c r="E96" s="5"/>
      <c r="F96" s="5"/>
      <c r="G96" s="5"/>
      <c r="J96" s="5"/>
      <c r="M96" s="5"/>
      <c r="N96" s="5"/>
      <c r="P96" s="5"/>
    </row>
    <row r="97" spans="1:16" ht="13">
      <c r="A97" s="48" t="s">
        <v>3477</v>
      </c>
      <c r="B97" s="49" t="s">
        <v>348</v>
      </c>
      <c r="C97" s="51" t="s">
        <v>195</v>
      </c>
      <c r="D97" s="54"/>
      <c r="E97" s="5"/>
      <c r="F97" s="5"/>
      <c r="G97" s="5"/>
      <c r="J97" s="5"/>
      <c r="M97" s="5"/>
      <c r="N97" s="5"/>
      <c r="P97" s="5"/>
    </row>
    <row r="98" spans="1:16" ht="13">
      <c r="A98" s="48" t="s">
        <v>3478</v>
      </c>
      <c r="B98" s="49" t="s">
        <v>867</v>
      </c>
      <c r="C98" s="51" t="s">
        <v>225</v>
      </c>
      <c r="D98" s="54"/>
      <c r="E98" s="5"/>
      <c r="F98" s="5"/>
      <c r="G98" s="5"/>
      <c r="J98" s="5"/>
      <c r="M98" s="5"/>
      <c r="N98" s="5"/>
      <c r="P98" s="5"/>
    </row>
    <row r="99" spans="1:16" ht="13">
      <c r="A99" s="48" t="s">
        <v>3479</v>
      </c>
      <c r="B99" s="49" t="s">
        <v>867</v>
      </c>
      <c r="C99" s="51" t="s">
        <v>225</v>
      </c>
      <c r="D99" s="54"/>
      <c r="E99" s="5"/>
      <c r="F99" s="5"/>
      <c r="G99" s="5"/>
      <c r="J99" s="5"/>
      <c r="M99" s="5"/>
      <c r="N99" s="5"/>
      <c r="P99" s="5"/>
    </row>
    <row r="100" spans="1:16" ht="13">
      <c r="A100" s="48" t="s">
        <v>3480</v>
      </c>
      <c r="B100" s="49" t="s">
        <v>335</v>
      </c>
      <c r="C100" s="51" t="s">
        <v>205</v>
      </c>
      <c r="D100" s="54"/>
      <c r="E100" s="5"/>
      <c r="F100" s="5"/>
      <c r="G100" s="5"/>
      <c r="J100" s="5"/>
      <c r="M100" s="5"/>
      <c r="N100" s="5"/>
      <c r="P100" s="5"/>
    </row>
    <row r="101" spans="1:16" ht="13">
      <c r="A101" s="48" t="s">
        <v>3481</v>
      </c>
      <c r="B101" s="49" t="s">
        <v>335</v>
      </c>
      <c r="C101" s="51" t="s">
        <v>195</v>
      </c>
      <c r="D101" s="54"/>
      <c r="E101" s="5"/>
      <c r="F101" s="5"/>
      <c r="G101" s="5"/>
      <c r="J101" s="5"/>
      <c r="M101" s="5"/>
      <c r="N101" s="5"/>
      <c r="P101" s="5"/>
    </row>
    <row r="102" spans="1:16" ht="13">
      <c r="A102" s="48" t="s">
        <v>3482</v>
      </c>
      <c r="B102" s="49" t="s">
        <v>1875</v>
      </c>
      <c r="C102" s="51" t="s">
        <v>195</v>
      </c>
      <c r="D102" s="54"/>
      <c r="E102" s="5"/>
      <c r="F102" s="5"/>
      <c r="G102" s="5"/>
      <c r="J102" s="5"/>
      <c r="M102" s="5"/>
      <c r="N102" s="5"/>
      <c r="P102" s="5"/>
    </row>
    <row r="103" spans="1:16" ht="13">
      <c r="A103" s="48" t="s">
        <v>3483</v>
      </c>
      <c r="B103" s="49" t="s">
        <v>246</v>
      </c>
      <c r="C103" s="51" t="s">
        <v>225</v>
      </c>
      <c r="D103" s="54"/>
      <c r="E103" s="5"/>
      <c r="F103" s="5"/>
      <c r="G103" s="5"/>
      <c r="J103" s="5"/>
      <c r="M103" s="5"/>
      <c r="N103" s="5"/>
      <c r="P103" s="5"/>
    </row>
    <row r="104" spans="1:16" ht="13">
      <c r="A104" s="48" t="s">
        <v>3484</v>
      </c>
      <c r="B104" s="49" t="s">
        <v>361</v>
      </c>
      <c r="C104" s="51" t="s">
        <v>225</v>
      </c>
      <c r="D104" s="51"/>
      <c r="E104" s="5"/>
      <c r="F104" s="5"/>
      <c r="G104" s="5"/>
      <c r="J104" s="5"/>
      <c r="M104" s="5"/>
      <c r="N104" s="5"/>
      <c r="P104" s="5"/>
    </row>
    <row r="105" spans="1:16" ht="13">
      <c r="A105" s="48" t="s">
        <v>3485</v>
      </c>
      <c r="B105" s="49" t="s">
        <v>224</v>
      </c>
      <c r="C105" s="51" t="s">
        <v>225</v>
      </c>
      <c r="D105" s="54"/>
      <c r="E105" s="5"/>
      <c r="F105" s="5"/>
      <c r="G105" s="5"/>
      <c r="J105" s="5"/>
      <c r="M105" s="5"/>
      <c r="N105" s="5"/>
      <c r="P105" s="5"/>
    </row>
    <row r="106" spans="1:16" ht="13">
      <c r="A106" s="48" t="s">
        <v>3486</v>
      </c>
      <c r="B106" s="49" t="s">
        <v>382</v>
      </c>
      <c r="C106" s="51" t="s">
        <v>208</v>
      </c>
      <c r="D106" s="54"/>
      <c r="E106" s="5"/>
      <c r="F106" s="5"/>
      <c r="G106" s="5"/>
      <c r="J106" s="5"/>
      <c r="M106" s="5"/>
      <c r="N106" s="5"/>
      <c r="P106" s="5"/>
    </row>
    <row r="107" spans="1:16" ht="13">
      <c r="A107" s="48" t="s">
        <v>3487</v>
      </c>
      <c r="B107" s="49" t="s">
        <v>939</v>
      </c>
      <c r="C107" s="51" t="s">
        <v>808</v>
      </c>
      <c r="D107" s="54"/>
      <c r="E107" s="5"/>
      <c r="F107" s="5"/>
      <c r="G107" s="5"/>
      <c r="J107" s="5"/>
      <c r="M107" s="5"/>
      <c r="N107" s="5"/>
      <c r="P107" s="5"/>
    </row>
    <row r="108" spans="1:16" ht="13">
      <c r="A108" s="48" t="s">
        <v>3488</v>
      </c>
      <c r="B108" s="49" t="s">
        <v>874</v>
      </c>
      <c r="C108" s="51" t="s">
        <v>205</v>
      </c>
      <c r="D108" s="51"/>
      <c r="E108" s="5"/>
      <c r="F108" s="5"/>
      <c r="G108" s="5"/>
      <c r="J108" s="5"/>
      <c r="M108" s="5"/>
      <c r="N108" s="5"/>
      <c r="P108" s="5"/>
    </row>
    <row r="109" spans="1:16" ht="13">
      <c r="A109" s="48" t="s">
        <v>3489</v>
      </c>
      <c r="B109" s="49" t="s">
        <v>1412</v>
      </c>
      <c r="C109" s="51" t="s">
        <v>205</v>
      </c>
      <c r="D109" s="54"/>
      <c r="E109" s="5"/>
      <c r="F109" s="5"/>
      <c r="G109" s="5"/>
      <c r="J109" s="5"/>
      <c r="M109" s="5"/>
      <c r="N109" s="5"/>
      <c r="P109" s="5"/>
    </row>
    <row r="110" spans="1:16" ht="13">
      <c r="A110" s="48" t="s">
        <v>3490</v>
      </c>
      <c r="B110" s="49" t="s">
        <v>202</v>
      </c>
      <c r="C110" s="51" t="s">
        <v>197</v>
      </c>
      <c r="D110" s="51"/>
      <c r="E110" s="5"/>
      <c r="F110" s="5"/>
      <c r="G110" s="5"/>
      <c r="J110" s="5"/>
      <c r="M110" s="5"/>
      <c r="N110" s="5"/>
      <c r="P110" s="5"/>
    </row>
    <row r="111" spans="1:16" ht="13">
      <c r="A111" s="48" t="s">
        <v>3491</v>
      </c>
      <c r="B111" s="49" t="s">
        <v>227</v>
      </c>
      <c r="C111" s="51" t="s">
        <v>195</v>
      </c>
      <c r="D111" s="54"/>
      <c r="E111" s="5"/>
      <c r="F111" s="5"/>
      <c r="G111" s="5"/>
      <c r="J111" s="5"/>
      <c r="M111" s="5"/>
      <c r="N111" s="5"/>
      <c r="P111" s="5"/>
    </row>
    <row r="112" spans="1:16" ht="13">
      <c r="A112" s="48" t="s">
        <v>3492</v>
      </c>
      <c r="B112" s="49" t="s">
        <v>1576</v>
      </c>
      <c r="C112" s="51" t="s">
        <v>205</v>
      </c>
      <c r="D112" s="54"/>
      <c r="E112" s="51"/>
      <c r="F112" s="5"/>
      <c r="G112" s="5"/>
      <c r="J112" s="5"/>
      <c r="M112" s="5"/>
      <c r="N112" s="5"/>
      <c r="P112" s="5"/>
    </row>
    <row r="113" spans="1:16" ht="13">
      <c r="A113" s="48" t="s">
        <v>3493</v>
      </c>
      <c r="B113" s="49" t="s">
        <v>1240</v>
      </c>
      <c r="C113" s="51" t="s">
        <v>225</v>
      </c>
      <c r="D113" s="54"/>
      <c r="E113" s="5"/>
      <c r="F113" s="5"/>
      <c r="G113" s="5"/>
      <c r="J113" s="5"/>
      <c r="M113" s="5"/>
      <c r="N113" s="5"/>
      <c r="P113" s="5"/>
    </row>
    <row r="114" spans="1:16" ht="13">
      <c r="A114" s="48" t="s">
        <v>3494</v>
      </c>
      <c r="B114" s="49" t="s">
        <v>1300</v>
      </c>
      <c r="C114" s="51" t="s">
        <v>199</v>
      </c>
      <c r="D114" s="54"/>
      <c r="E114" s="5"/>
      <c r="F114" s="5"/>
      <c r="G114" s="5"/>
      <c r="J114" s="5"/>
      <c r="M114" s="5"/>
      <c r="N114" s="5"/>
      <c r="P114" s="5"/>
    </row>
    <row r="115" spans="1:16" ht="13">
      <c r="A115" s="48" t="s">
        <v>3495</v>
      </c>
      <c r="B115" s="49" t="s">
        <v>352</v>
      </c>
      <c r="C115" s="51" t="s">
        <v>205</v>
      </c>
      <c r="D115" s="54"/>
      <c r="E115" s="5"/>
      <c r="F115" s="5"/>
      <c r="G115" s="5"/>
      <c r="J115" s="5"/>
      <c r="M115" s="5"/>
      <c r="N115" s="5"/>
      <c r="P115" s="5"/>
    </row>
    <row r="116" spans="1:16" ht="13">
      <c r="A116" s="48" t="s">
        <v>3496</v>
      </c>
      <c r="B116" s="49" t="s">
        <v>352</v>
      </c>
      <c r="C116" s="51" t="s">
        <v>195</v>
      </c>
      <c r="D116" s="51"/>
      <c r="E116" s="5"/>
      <c r="F116" s="5"/>
      <c r="G116" s="5"/>
      <c r="J116" s="5"/>
      <c r="M116" s="5"/>
      <c r="N116" s="5"/>
      <c r="P116" s="5"/>
    </row>
    <row r="117" spans="1:16" ht="13">
      <c r="A117" s="48" t="s">
        <v>3497</v>
      </c>
      <c r="B117" s="49" t="s">
        <v>956</v>
      </c>
      <c r="C117" s="51" t="s">
        <v>205</v>
      </c>
      <c r="D117" s="51"/>
      <c r="E117" s="5"/>
      <c r="F117" s="5"/>
      <c r="G117" s="5"/>
      <c r="J117" s="5"/>
      <c r="M117" s="5"/>
      <c r="N117" s="5"/>
      <c r="P117" s="5"/>
    </row>
    <row r="118" spans="1:16" ht="13">
      <c r="A118" s="48" t="s">
        <v>3498</v>
      </c>
      <c r="B118" s="49" t="s">
        <v>290</v>
      </c>
      <c r="C118" s="51" t="s">
        <v>208</v>
      </c>
      <c r="D118" s="54"/>
      <c r="E118" s="5"/>
      <c r="F118" s="5"/>
      <c r="G118" s="5"/>
      <c r="J118" s="5"/>
      <c r="M118" s="5"/>
      <c r="N118" s="5"/>
      <c r="P118" s="5"/>
    </row>
    <row r="119" spans="1:16" ht="13">
      <c r="A119" s="48" t="s">
        <v>3499</v>
      </c>
      <c r="B119" s="49" t="s">
        <v>270</v>
      </c>
      <c r="C119" s="51" t="s">
        <v>208</v>
      </c>
      <c r="D119" s="54"/>
      <c r="E119" s="5"/>
      <c r="F119" s="5"/>
      <c r="G119" s="5"/>
      <c r="J119" s="5"/>
      <c r="M119" s="5"/>
      <c r="N119" s="5"/>
      <c r="P119" s="5"/>
    </row>
    <row r="120" spans="1:16" ht="13">
      <c r="A120" s="48" t="s">
        <v>3500</v>
      </c>
      <c r="B120" s="49" t="s">
        <v>1303</v>
      </c>
      <c r="C120" s="51" t="s">
        <v>808</v>
      </c>
      <c r="D120" s="54"/>
      <c r="E120" s="5"/>
      <c r="F120" s="5"/>
      <c r="G120" s="5"/>
      <c r="J120" s="5"/>
      <c r="M120" s="5"/>
      <c r="N120" s="5"/>
      <c r="P120" s="5"/>
    </row>
    <row r="121" spans="1:16" ht="13">
      <c r="A121" s="48" t="s">
        <v>3501</v>
      </c>
      <c r="B121" s="49" t="s">
        <v>3141</v>
      </c>
      <c r="C121" s="51" t="s">
        <v>225</v>
      </c>
      <c r="D121" s="54"/>
      <c r="E121" s="5"/>
      <c r="F121" s="5"/>
      <c r="G121" s="5"/>
      <c r="J121" s="5"/>
      <c r="M121" s="5"/>
      <c r="N121" s="5"/>
      <c r="P121" s="5"/>
    </row>
    <row r="122" spans="1:16" ht="13">
      <c r="A122" s="48" t="s">
        <v>3502</v>
      </c>
      <c r="B122" s="49" t="s">
        <v>3043</v>
      </c>
      <c r="C122" s="51" t="s">
        <v>192</v>
      </c>
      <c r="D122" s="51"/>
      <c r="E122" s="5"/>
      <c r="F122" s="5"/>
      <c r="G122" s="5"/>
      <c r="J122" s="5"/>
      <c r="M122" s="5"/>
      <c r="N122" s="5"/>
      <c r="P122" s="5"/>
    </row>
    <row r="123" spans="1:16" ht="13">
      <c r="A123" s="48" t="s">
        <v>3503</v>
      </c>
      <c r="B123" s="49" t="s">
        <v>1276</v>
      </c>
      <c r="C123" s="51" t="s">
        <v>197</v>
      </c>
      <c r="D123" s="54"/>
      <c r="E123" s="5"/>
      <c r="F123" s="5"/>
      <c r="G123" s="5"/>
      <c r="J123" s="5"/>
      <c r="M123" s="5"/>
      <c r="N123" s="5"/>
      <c r="P123" s="5"/>
    </row>
    <row r="124" spans="1:16" ht="13">
      <c r="A124" s="48" t="s">
        <v>3504</v>
      </c>
      <c r="B124" s="49" t="s">
        <v>810</v>
      </c>
      <c r="C124" s="51" t="s">
        <v>808</v>
      </c>
      <c r="D124" s="54"/>
      <c r="E124" s="5"/>
      <c r="F124" s="5"/>
      <c r="G124" s="5"/>
      <c r="J124" s="5"/>
      <c r="M124" s="5"/>
      <c r="N124" s="5"/>
      <c r="P124" s="5"/>
    </row>
    <row r="125" spans="1:16" ht="13">
      <c r="A125" s="48" t="s">
        <v>3505</v>
      </c>
      <c r="B125" s="49" t="s">
        <v>1584</v>
      </c>
      <c r="C125" s="51" t="s">
        <v>195</v>
      </c>
      <c r="D125" s="54"/>
      <c r="E125" s="5"/>
      <c r="F125" s="5"/>
      <c r="G125" s="5"/>
      <c r="J125" s="5"/>
      <c r="M125" s="5"/>
      <c r="N125" s="5"/>
      <c r="P125" s="5"/>
    </row>
    <row r="126" spans="1:16" ht="13">
      <c r="A126" s="48" t="s">
        <v>3506</v>
      </c>
      <c r="B126" s="49" t="s">
        <v>296</v>
      </c>
      <c r="C126" s="51" t="s">
        <v>208</v>
      </c>
      <c r="D126" s="54"/>
      <c r="E126" s="5"/>
      <c r="F126" s="5"/>
      <c r="G126" s="5"/>
      <c r="J126" s="5"/>
      <c r="M126" s="5"/>
      <c r="N126" s="5"/>
      <c r="P126" s="5"/>
    </row>
    <row r="127" spans="1:16" ht="13">
      <c r="A127" s="48" t="s">
        <v>3507</v>
      </c>
      <c r="B127" s="49" t="s">
        <v>901</v>
      </c>
      <c r="C127" s="51" t="s">
        <v>208</v>
      </c>
      <c r="D127" s="54"/>
      <c r="E127" s="5"/>
      <c r="F127" s="5"/>
      <c r="G127" s="5"/>
      <c r="J127" s="5"/>
      <c r="M127" s="5"/>
      <c r="N127" s="5"/>
      <c r="P127" s="5"/>
    </row>
    <row r="128" spans="1:16" ht="13">
      <c r="A128" s="48" t="s">
        <v>3508</v>
      </c>
      <c r="B128" s="49" t="s">
        <v>1315</v>
      </c>
      <c r="C128" s="51" t="s">
        <v>197</v>
      </c>
      <c r="D128" s="54"/>
      <c r="E128" s="5"/>
      <c r="F128" s="5"/>
      <c r="G128" s="5"/>
      <c r="J128" s="5"/>
      <c r="M128" s="5"/>
      <c r="N128" s="5"/>
      <c r="P128" s="5"/>
    </row>
    <row r="129" spans="1:16" ht="13">
      <c r="A129" s="48" t="s">
        <v>3509</v>
      </c>
      <c r="B129" s="49" t="s">
        <v>388</v>
      </c>
      <c r="C129" s="51" t="s">
        <v>208</v>
      </c>
      <c r="D129" s="51"/>
      <c r="E129" s="5"/>
      <c r="F129" s="5"/>
      <c r="G129" s="5"/>
      <c r="J129" s="5"/>
      <c r="M129" s="5"/>
      <c r="N129" s="5"/>
      <c r="P129" s="5"/>
    </row>
    <row r="130" spans="1:16" ht="13">
      <c r="A130" s="48" t="s">
        <v>3510</v>
      </c>
      <c r="B130" s="49" t="s">
        <v>958</v>
      </c>
      <c r="C130" s="51" t="s">
        <v>225</v>
      </c>
      <c r="D130" s="54"/>
      <c r="E130" s="5"/>
      <c r="F130" s="5"/>
      <c r="G130" s="5"/>
      <c r="J130" s="5"/>
      <c r="M130" s="5"/>
      <c r="N130" s="5"/>
      <c r="P130" s="5"/>
    </row>
    <row r="131" spans="1:16" ht="13">
      <c r="A131" s="48" t="s">
        <v>3511</v>
      </c>
      <c r="B131" s="49" t="s">
        <v>345</v>
      </c>
      <c r="C131" s="51" t="s">
        <v>205</v>
      </c>
      <c r="D131" s="54"/>
      <c r="E131" s="5"/>
      <c r="F131" s="5"/>
      <c r="G131" s="5"/>
      <c r="J131" s="5"/>
      <c r="M131" s="5"/>
      <c r="N131" s="5"/>
      <c r="P131" s="5"/>
    </row>
    <row r="132" spans="1:16" ht="13">
      <c r="A132" s="48" t="s">
        <v>3512</v>
      </c>
      <c r="B132" s="49" t="s">
        <v>946</v>
      </c>
      <c r="C132" s="51" t="s">
        <v>205</v>
      </c>
      <c r="D132" s="51"/>
      <c r="E132" s="5"/>
      <c r="F132" s="5"/>
      <c r="G132" s="5"/>
      <c r="J132" s="5"/>
      <c r="M132" s="5"/>
      <c r="N132" s="5"/>
      <c r="P132" s="5"/>
    </row>
    <row r="133" spans="1:16" ht="13">
      <c r="A133" s="48" t="s">
        <v>3513</v>
      </c>
      <c r="B133" s="49" t="s">
        <v>3514</v>
      </c>
      <c r="C133" s="51" t="s">
        <v>206</v>
      </c>
      <c r="D133" s="51"/>
      <c r="E133" s="5"/>
      <c r="F133" s="5"/>
      <c r="G133" s="5"/>
      <c r="J133" s="5"/>
      <c r="M133" s="5"/>
      <c r="N133" s="5"/>
      <c r="P133" s="5"/>
    </row>
    <row r="134" spans="1:16" ht="13">
      <c r="A134" s="48" t="s">
        <v>3515</v>
      </c>
      <c r="B134" s="49" t="s">
        <v>3516</v>
      </c>
      <c r="C134" s="51" t="s">
        <v>1013</v>
      </c>
      <c r="D134" s="54"/>
      <c r="E134" s="5"/>
      <c r="F134" s="5"/>
      <c r="G134" s="5"/>
      <c r="J134" s="5"/>
      <c r="M134" s="5"/>
      <c r="N134" s="5"/>
      <c r="P134" s="5"/>
    </row>
    <row r="135" spans="1:16" ht="13">
      <c r="A135" s="48" t="s">
        <v>3517</v>
      </c>
      <c r="B135" s="49" t="s">
        <v>3518</v>
      </c>
      <c r="C135" s="51" t="s">
        <v>1013</v>
      </c>
      <c r="D135" s="54"/>
      <c r="E135" s="5"/>
      <c r="F135" s="5"/>
      <c r="G135" s="5"/>
      <c r="J135" s="5"/>
      <c r="M135" s="5"/>
      <c r="N135" s="5"/>
      <c r="P135" s="5"/>
    </row>
    <row r="136" spans="1:16" ht="13">
      <c r="A136" s="48" t="s">
        <v>3519</v>
      </c>
      <c r="B136" s="49" t="s">
        <v>3520</v>
      </c>
      <c r="C136" s="51" t="s">
        <v>206</v>
      </c>
      <c r="D136" s="54"/>
      <c r="E136" s="5"/>
      <c r="F136" s="5"/>
      <c r="G136" s="5"/>
      <c r="J136" s="5"/>
      <c r="M136" s="5"/>
      <c r="N136" s="5"/>
      <c r="P136" s="5"/>
    </row>
    <row r="137" spans="1:16" ht="13">
      <c r="A137" s="48" t="s">
        <v>3521</v>
      </c>
      <c r="B137" s="49" t="s">
        <v>3522</v>
      </c>
      <c r="C137" s="51" t="s">
        <v>206</v>
      </c>
      <c r="D137" s="54"/>
      <c r="E137" s="5"/>
      <c r="F137" s="5"/>
      <c r="G137" s="5"/>
      <c r="J137" s="5"/>
      <c r="M137" s="5"/>
      <c r="N137" s="5"/>
      <c r="P137" s="5"/>
    </row>
    <row r="138" spans="1:16" ht="13">
      <c r="A138" s="48" t="s">
        <v>3523</v>
      </c>
      <c r="B138" s="49" t="s">
        <v>3524</v>
      </c>
      <c r="C138" s="51" t="s">
        <v>229</v>
      </c>
      <c r="D138" s="54"/>
      <c r="E138" s="5"/>
      <c r="F138" s="5"/>
      <c r="G138" s="5"/>
      <c r="J138" s="5"/>
      <c r="M138" s="5"/>
      <c r="N138" s="5"/>
      <c r="P138" s="5"/>
    </row>
    <row r="139" spans="1:16" ht="13">
      <c r="A139" s="48" t="s">
        <v>3525</v>
      </c>
      <c r="B139" s="49" t="s">
        <v>3526</v>
      </c>
      <c r="C139" s="51" t="s">
        <v>229</v>
      </c>
      <c r="D139" s="54"/>
      <c r="E139" s="5"/>
      <c r="F139" s="5"/>
      <c r="G139" s="5"/>
      <c r="J139" s="5"/>
      <c r="M139" s="5"/>
      <c r="N139" s="5"/>
      <c r="P139" s="5"/>
    </row>
    <row r="140" spans="1:16" ht="13">
      <c r="A140" s="48" t="s">
        <v>3527</v>
      </c>
      <c r="B140" s="49" t="s">
        <v>3528</v>
      </c>
      <c r="C140" s="51" t="s">
        <v>206</v>
      </c>
      <c r="D140" s="54"/>
      <c r="E140" s="5"/>
      <c r="F140" s="5"/>
      <c r="G140" s="5"/>
      <c r="J140" s="5"/>
      <c r="M140" s="5"/>
      <c r="N140" s="5"/>
      <c r="P140" s="5"/>
    </row>
    <row r="141" spans="1:16" ht="13">
      <c r="A141" s="48" t="s">
        <v>3529</v>
      </c>
      <c r="B141" s="49" t="s">
        <v>3530</v>
      </c>
      <c r="C141" s="51" t="s">
        <v>206</v>
      </c>
      <c r="D141" s="54"/>
      <c r="E141" s="5"/>
      <c r="F141" s="5"/>
      <c r="G141" s="5"/>
      <c r="J141" s="5"/>
      <c r="M141" s="5"/>
      <c r="N141" s="5"/>
      <c r="P141" s="5"/>
    </row>
    <row r="142" spans="1:16" ht="13">
      <c r="A142" s="48" t="s">
        <v>3531</v>
      </c>
      <c r="B142" s="49" t="s">
        <v>1474</v>
      </c>
      <c r="C142" s="51" t="s">
        <v>206</v>
      </c>
      <c r="D142" s="54"/>
      <c r="E142" s="5"/>
      <c r="F142" s="5"/>
      <c r="G142" s="5"/>
      <c r="J142" s="5"/>
      <c r="M142" s="5"/>
      <c r="N142" s="5"/>
      <c r="P142" s="5"/>
    </row>
    <row r="143" spans="1:16" ht="13">
      <c r="A143" s="48" t="s">
        <v>3532</v>
      </c>
      <c r="B143" s="49" t="s">
        <v>1477</v>
      </c>
      <c r="C143" s="51" t="s">
        <v>206</v>
      </c>
      <c r="D143" s="54"/>
      <c r="E143" s="5"/>
      <c r="F143" s="5"/>
      <c r="G143" s="5"/>
      <c r="J143" s="5"/>
      <c r="M143" s="5"/>
      <c r="N143" s="5"/>
      <c r="P143" s="5"/>
    </row>
    <row r="144" spans="1:16" ht="13">
      <c r="A144" s="48" t="s">
        <v>3533</v>
      </c>
      <c r="B144" s="49" t="s">
        <v>3534</v>
      </c>
      <c r="C144" s="51" t="s">
        <v>195</v>
      </c>
      <c r="D144" s="54"/>
      <c r="E144" s="5"/>
      <c r="F144" s="5"/>
      <c r="G144" s="5"/>
      <c r="J144" s="5"/>
      <c r="M144" s="5"/>
      <c r="N144" s="5"/>
      <c r="P144" s="5"/>
    </row>
    <row r="145" spans="1:16" ht="13">
      <c r="A145" s="48" t="s">
        <v>3535</v>
      </c>
      <c r="B145" s="49" t="s">
        <v>3536</v>
      </c>
      <c r="C145" s="51" t="s">
        <v>225</v>
      </c>
      <c r="D145" s="54"/>
      <c r="E145" s="5"/>
      <c r="F145" s="5"/>
      <c r="G145" s="5"/>
      <c r="J145" s="5"/>
      <c r="M145" s="5"/>
      <c r="N145" s="5"/>
      <c r="P145" s="5"/>
    </row>
    <row r="146" spans="1:16" ht="13">
      <c r="A146" s="48" t="s">
        <v>3537</v>
      </c>
      <c r="B146" s="49" t="s">
        <v>3538</v>
      </c>
      <c r="C146" s="51" t="s">
        <v>220</v>
      </c>
      <c r="D146" s="54"/>
      <c r="E146" s="5"/>
      <c r="F146" s="5"/>
      <c r="G146" s="5"/>
      <c r="J146" s="5"/>
      <c r="M146" s="5"/>
      <c r="N146" s="5"/>
      <c r="P146" s="5"/>
    </row>
    <row r="147" spans="1:16" ht="13">
      <c r="A147" s="48" t="s">
        <v>3539</v>
      </c>
      <c r="B147" s="49" t="s">
        <v>3540</v>
      </c>
      <c r="C147" s="51" t="s">
        <v>195</v>
      </c>
      <c r="D147" s="54"/>
      <c r="E147" s="5"/>
      <c r="F147" s="5"/>
      <c r="G147" s="5"/>
      <c r="J147" s="5"/>
      <c r="M147" s="5"/>
      <c r="N147" s="5"/>
      <c r="P147" s="5"/>
    </row>
    <row r="148" spans="1:16" ht="13">
      <c r="A148" s="48" t="s">
        <v>3541</v>
      </c>
      <c r="B148" s="49" t="s">
        <v>3066</v>
      </c>
      <c r="C148" s="51" t="s">
        <v>195</v>
      </c>
      <c r="D148" s="54"/>
      <c r="E148" s="5"/>
      <c r="F148" s="5"/>
      <c r="G148" s="5"/>
      <c r="J148" s="5"/>
      <c r="M148" s="5"/>
      <c r="N148" s="5"/>
      <c r="P148" s="5"/>
    </row>
    <row r="149" spans="1:16" ht="13">
      <c r="A149" s="48" t="s">
        <v>3542</v>
      </c>
      <c r="B149" s="49" t="s">
        <v>3068</v>
      </c>
      <c r="C149" s="51" t="s">
        <v>225</v>
      </c>
      <c r="D149" s="54"/>
      <c r="E149" s="5"/>
      <c r="F149" s="5"/>
      <c r="G149" s="5"/>
      <c r="J149" s="5"/>
      <c r="M149" s="5"/>
      <c r="N149" s="5"/>
      <c r="P149" s="5"/>
    </row>
    <row r="150" spans="1:16" ht="13">
      <c r="A150" s="48" t="s">
        <v>3543</v>
      </c>
      <c r="B150" s="49" t="s">
        <v>3544</v>
      </c>
      <c r="C150" s="51" t="s">
        <v>195</v>
      </c>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2F00-000000000000}"/>
    <hyperlink ref="B6" r:id="rId2" xr:uid="{00000000-0004-0000-2F00-000001000000}"/>
    <hyperlink ref="B7" r:id="rId3" xr:uid="{00000000-0004-0000-2F00-000002000000}"/>
    <hyperlink ref="B8" r:id="rId4" xr:uid="{00000000-0004-0000-2F00-000003000000}"/>
    <hyperlink ref="B9" r:id="rId5" xr:uid="{00000000-0004-0000-2F00-000004000000}"/>
    <hyperlink ref="B10" r:id="rId6" xr:uid="{00000000-0004-0000-2F00-000005000000}"/>
    <hyperlink ref="B11" r:id="rId7" xr:uid="{00000000-0004-0000-2F00-000006000000}"/>
    <hyperlink ref="B12" r:id="rId8" xr:uid="{00000000-0004-0000-2F00-000007000000}"/>
    <hyperlink ref="B13" r:id="rId9" xr:uid="{00000000-0004-0000-2F00-000008000000}"/>
    <hyperlink ref="B14" r:id="rId10" xr:uid="{00000000-0004-0000-2F00-000009000000}"/>
    <hyperlink ref="B15" r:id="rId11" xr:uid="{00000000-0004-0000-2F00-00000A000000}"/>
    <hyperlink ref="B16" r:id="rId12" xr:uid="{00000000-0004-0000-2F00-00000B000000}"/>
    <hyperlink ref="B17" r:id="rId13" xr:uid="{00000000-0004-0000-2F00-00000C000000}"/>
    <hyperlink ref="B18" r:id="rId14" xr:uid="{00000000-0004-0000-2F00-00000D000000}"/>
    <hyperlink ref="B19" r:id="rId15" xr:uid="{00000000-0004-0000-2F00-00000E000000}"/>
    <hyperlink ref="B20" r:id="rId16" xr:uid="{00000000-0004-0000-2F00-00000F000000}"/>
    <hyperlink ref="B21" r:id="rId17" xr:uid="{00000000-0004-0000-2F00-000010000000}"/>
    <hyperlink ref="B22" r:id="rId18" xr:uid="{00000000-0004-0000-2F00-000011000000}"/>
    <hyperlink ref="B23" r:id="rId19" xr:uid="{00000000-0004-0000-2F00-000012000000}"/>
    <hyperlink ref="B24" r:id="rId20" xr:uid="{00000000-0004-0000-2F00-000013000000}"/>
    <hyperlink ref="B25" r:id="rId21" xr:uid="{00000000-0004-0000-2F00-000014000000}"/>
    <hyperlink ref="B26" r:id="rId22" xr:uid="{00000000-0004-0000-2F00-000015000000}"/>
    <hyperlink ref="B27" r:id="rId23" xr:uid="{00000000-0004-0000-2F00-000016000000}"/>
    <hyperlink ref="B28" r:id="rId24" xr:uid="{00000000-0004-0000-2F00-000017000000}"/>
    <hyperlink ref="B29" r:id="rId25" xr:uid="{00000000-0004-0000-2F00-000018000000}"/>
    <hyperlink ref="B30" r:id="rId26" xr:uid="{00000000-0004-0000-2F00-000019000000}"/>
    <hyperlink ref="B31" r:id="rId27" xr:uid="{00000000-0004-0000-2F00-00001A000000}"/>
    <hyperlink ref="B32" r:id="rId28" xr:uid="{00000000-0004-0000-2F00-00001B000000}"/>
    <hyperlink ref="B33" r:id="rId29" xr:uid="{00000000-0004-0000-2F00-00001C000000}"/>
    <hyperlink ref="B34" r:id="rId30" xr:uid="{00000000-0004-0000-2F00-00001D000000}"/>
    <hyperlink ref="B35" r:id="rId31" xr:uid="{00000000-0004-0000-2F00-00001E000000}"/>
    <hyperlink ref="B36" r:id="rId32" xr:uid="{00000000-0004-0000-2F00-00001F000000}"/>
    <hyperlink ref="B37" r:id="rId33" xr:uid="{00000000-0004-0000-2F00-000020000000}"/>
    <hyperlink ref="B38" r:id="rId34" xr:uid="{00000000-0004-0000-2F00-000021000000}"/>
    <hyperlink ref="B39" r:id="rId35" xr:uid="{00000000-0004-0000-2F00-000022000000}"/>
    <hyperlink ref="B40" r:id="rId36" xr:uid="{00000000-0004-0000-2F00-000023000000}"/>
    <hyperlink ref="B41" r:id="rId37" xr:uid="{00000000-0004-0000-2F00-000024000000}"/>
    <hyperlink ref="B42" r:id="rId38" xr:uid="{00000000-0004-0000-2F00-000025000000}"/>
    <hyperlink ref="B43" r:id="rId39" xr:uid="{00000000-0004-0000-2F00-000026000000}"/>
    <hyperlink ref="B44" r:id="rId40" xr:uid="{00000000-0004-0000-2F00-000027000000}"/>
    <hyperlink ref="B45" r:id="rId41" xr:uid="{00000000-0004-0000-2F00-000028000000}"/>
    <hyperlink ref="B46" r:id="rId42" xr:uid="{00000000-0004-0000-2F00-000029000000}"/>
    <hyperlink ref="B47" r:id="rId43" xr:uid="{00000000-0004-0000-2F00-00002A000000}"/>
    <hyperlink ref="B48" r:id="rId44" xr:uid="{00000000-0004-0000-2F00-00002B000000}"/>
    <hyperlink ref="B49" r:id="rId45" xr:uid="{00000000-0004-0000-2F00-00002C000000}"/>
    <hyperlink ref="B50" r:id="rId46" xr:uid="{00000000-0004-0000-2F00-00002D000000}"/>
    <hyperlink ref="B51" r:id="rId47" xr:uid="{00000000-0004-0000-2F00-00002E000000}"/>
    <hyperlink ref="B52" r:id="rId48" xr:uid="{00000000-0004-0000-2F00-00002F000000}"/>
    <hyperlink ref="B53" r:id="rId49" xr:uid="{00000000-0004-0000-2F00-000030000000}"/>
    <hyperlink ref="B54" r:id="rId50" xr:uid="{00000000-0004-0000-2F00-000031000000}"/>
    <hyperlink ref="B55" r:id="rId51" xr:uid="{00000000-0004-0000-2F00-000032000000}"/>
    <hyperlink ref="B56" r:id="rId52" xr:uid="{00000000-0004-0000-2F00-000033000000}"/>
    <hyperlink ref="B57" r:id="rId53" xr:uid="{00000000-0004-0000-2F00-000034000000}"/>
    <hyperlink ref="B58" r:id="rId54" xr:uid="{00000000-0004-0000-2F00-000035000000}"/>
    <hyperlink ref="B59" r:id="rId55" xr:uid="{00000000-0004-0000-2F00-000036000000}"/>
    <hyperlink ref="B60" r:id="rId56" xr:uid="{00000000-0004-0000-2F00-000037000000}"/>
    <hyperlink ref="B61" r:id="rId57" xr:uid="{00000000-0004-0000-2F00-000038000000}"/>
    <hyperlink ref="B62" r:id="rId58" xr:uid="{00000000-0004-0000-2F00-000039000000}"/>
    <hyperlink ref="B63" r:id="rId59" xr:uid="{00000000-0004-0000-2F00-00003A000000}"/>
    <hyperlink ref="B64" r:id="rId60" xr:uid="{00000000-0004-0000-2F00-00003B000000}"/>
    <hyperlink ref="B65" r:id="rId61" xr:uid="{00000000-0004-0000-2F00-00003C000000}"/>
    <hyperlink ref="B66" r:id="rId62" xr:uid="{00000000-0004-0000-2F00-00003D000000}"/>
    <hyperlink ref="B67" r:id="rId63" xr:uid="{00000000-0004-0000-2F00-00003E000000}"/>
    <hyperlink ref="B68" r:id="rId64" xr:uid="{00000000-0004-0000-2F00-00003F000000}"/>
    <hyperlink ref="B69" r:id="rId65" xr:uid="{00000000-0004-0000-2F00-000040000000}"/>
    <hyperlink ref="B70" r:id="rId66" xr:uid="{00000000-0004-0000-2F00-000041000000}"/>
    <hyperlink ref="B71" r:id="rId67" xr:uid="{00000000-0004-0000-2F00-000042000000}"/>
    <hyperlink ref="B72" r:id="rId68" xr:uid="{00000000-0004-0000-2F00-000043000000}"/>
    <hyperlink ref="B73" r:id="rId69" xr:uid="{00000000-0004-0000-2F00-000044000000}"/>
    <hyperlink ref="B74" r:id="rId70" xr:uid="{00000000-0004-0000-2F00-000045000000}"/>
    <hyperlink ref="B75" r:id="rId71" xr:uid="{00000000-0004-0000-2F00-000046000000}"/>
    <hyperlink ref="B76" r:id="rId72" xr:uid="{00000000-0004-0000-2F00-000047000000}"/>
    <hyperlink ref="B77" r:id="rId73" xr:uid="{00000000-0004-0000-2F00-000048000000}"/>
    <hyperlink ref="B78" r:id="rId74" xr:uid="{00000000-0004-0000-2F00-000049000000}"/>
    <hyperlink ref="B79" r:id="rId75" xr:uid="{00000000-0004-0000-2F00-00004A000000}"/>
    <hyperlink ref="B80" r:id="rId76" xr:uid="{00000000-0004-0000-2F00-00004B000000}"/>
    <hyperlink ref="B81" r:id="rId77" xr:uid="{00000000-0004-0000-2F00-00004C000000}"/>
    <hyperlink ref="B82" r:id="rId78" xr:uid="{00000000-0004-0000-2F00-00004D000000}"/>
    <hyperlink ref="B83" r:id="rId79" xr:uid="{00000000-0004-0000-2F00-00004E000000}"/>
    <hyperlink ref="B84" r:id="rId80" xr:uid="{00000000-0004-0000-2F00-00004F000000}"/>
    <hyperlink ref="B85" r:id="rId81" xr:uid="{00000000-0004-0000-2F00-000050000000}"/>
    <hyperlink ref="B86" r:id="rId82" xr:uid="{00000000-0004-0000-2F00-000051000000}"/>
    <hyperlink ref="B87" r:id="rId83" xr:uid="{00000000-0004-0000-2F00-000052000000}"/>
    <hyperlink ref="B88" r:id="rId84" xr:uid="{00000000-0004-0000-2F00-000053000000}"/>
    <hyperlink ref="B89" r:id="rId85" xr:uid="{00000000-0004-0000-2F00-000054000000}"/>
    <hyperlink ref="B90" r:id="rId86" xr:uid="{00000000-0004-0000-2F00-000055000000}"/>
    <hyperlink ref="B91" r:id="rId87" xr:uid="{00000000-0004-0000-2F00-000056000000}"/>
    <hyperlink ref="B92" r:id="rId88" xr:uid="{00000000-0004-0000-2F00-000057000000}"/>
    <hyperlink ref="B93" r:id="rId89" xr:uid="{00000000-0004-0000-2F00-000058000000}"/>
    <hyperlink ref="B94" r:id="rId90" xr:uid="{00000000-0004-0000-2F00-000059000000}"/>
    <hyperlink ref="B95" r:id="rId91" xr:uid="{00000000-0004-0000-2F00-00005A000000}"/>
    <hyperlink ref="B96" r:id="rId92" xr:uid="{00000000-0004-0000-2F00-00005B000000}"/>
    <hyperlink ref="B97" r:id="rId93" xr:uid="{00000000-0004-0000-2F00-00005C000000}"/>
    <hyperlink ref="B98" r:id="rId94" xr:uid="{00000000-0004-0000-2F00-00005D000000}"/>
    <hyperlink ref="B99" r:id="rId95" xr:uid="{00000000-0004-0000-2F00-00005E000000}"/>
    <hyperlink ref="B100" r:id="rId96" xr:uid="{00000000-0004-0000-2F00-00005F000000}"/>
    <hyperlink ref="B101" r:id="rId97" xr:uid="{00000000-0004-0000-2F00-000060000000}"/>
    <hyperlink ref="B102" r:id="rId98" xr:uid="{00000000-0004-0000-2F00-000061000000}"/>
    <hyperlink ref="B103" r:id="rId99" xr:uid="{00000000-0004-0000-2F00-000062000000}"/>
    <hyperlink ref="B104" r:id="rId100" xr:uid="{00000000-0004-0000-2F00-000063000000}"/>
    <hyperlink ref="B105" r:id="rId101" xr:uid="{00000000-0004-0000-2F00-000064000000}"/>
    <hyperlink ref="B106" r:id="rId102" xr:uid="{00000000-0004-0000-2F00-000065000000}"/>
    <hyperlink ref="B107" r:id="rId103" xr:uid="{00000000-0004-0000-2F00-000066000000}"/>
    <hyperlink ref="B108" r:id="rId104" xr:uid="{00000000-0004-0000-2F00-000067000000}"/>
    <hyperlink ref="B109" r:id="rId105" xr:uid="{00000000-0004-0000-2F00-000068000000}"/>
    <hyperlink ref="B110" r:id="rId106" xr:uid="{00000000-0004-0000-2F00-000069000000}"/>
    <hyperlink ref="B111" r:id="rId107" xr:uid="{00000000-0004-0000-2F00-00006A000000}"/>
    <hyperlink ref="B112" r:id="rId108" xr:uid="{00000000-0004-0000-2F00-00006B000000}"/>
    <hyperlink ref="B113" r:id="rId109" xr:uid="{00000000-0004-0000-2F00-00006C000000}"/>
    <hyperlink ref="B114" r:id="rId110" xr:uid="{00000000-0004-0000-2F00-00006D000000}"/>
    <hyperlink ref="B115" r:id="rId111" xr:uid="{00000000-0004-0000-2F00-00006E000000}"/>
    <hyperlink ref="B116" r:id="rId112" xr:uid="{00000000-0004-0000-2F00-00006F000000}"/>
    <hyperlink ref="B117" r:id="rId113" xr:uid="{00000000-0004-0000-2F00-000070000000}"/>
    <hyperlink ref="B118" r:id="rId114" xr:uid="{00000000-0004-0000-2F00-000071000000}"/>
    <hyperlink ref="B119" r:id="rId115" xr:uid="{00000000-0004-0000-2F00-000072000000}"/>
    <hyperlink ref="B120" r:id="rId116" xr:uid="{00000000-0004-0000-2F00-000073000000}"/>
    <hyperlink ref="B121" r:id="rId117" xr:uid="{00000000-0004-0000-2F00-000074000000}"/>
    <hyperlink ref="B122" r:id="rId118" xr:uid="{00000000-0004-0000-2F00-000075000000}"/>
    <hyperlink ref="B123" r:id="rId119" xr:uid="{00000000-0004-0000-2F00-000076000000}"/>
    <hyperlink ref="B124" r:id="rId120" xr:uid="{00000000-0004-0000-2F00-000077000000}"/>
    <hyperlink ref="B125" r:id="rId121" xr:uid="{00000000-0004-0000-2F00-000078000000}"/>
    <hyperlink ref="B126" r:id="rId122" xr:uid="{00000000-0004-0000-2F00-000079000000}"/>
    <hyperlink ref="B127" r:id="rId123" xr:uid="{00000000-0004-0000-2F00-00007A000000}"/>
    <hyperlink ref="B128" r:id="rId124" xr:uid="{00000000-0004-0000-2F00-00007B000000}"/>
    <hyperlink ref="B129" r:id="rId125" xr:uid="{00000000-0004-0000-2F00-00007C000000}"/>
    <hyperlink ref="B130" r:id="rId126" xr:uid="{00000000-0004-0000-2F00-00007D000000}"/>
    <hyperlink ref="B131" r:id="rId127" xr:uid="{00000000-0004-0000-2F00-00007E000000}"/>
    <hyperlink ref="B132" r:id="rId128" xr:uid="{00000000-0004-0000-2F00-00007F000000}"/>
    <hyperlink ref="B133" r:id="rId129" xr:uid="{00000000-0004-0000-2F00-000080000000}"/>
    <hyperlink ref="B134" r:id="rId130" xr:uid="{00000000-0004-0000-2F00-000081000000}"/>
    <hyperlink ref="B135" r:id="rId131" xr:uid="{00000000-0004-0000-2F00-000082000000}"/>
    <hyperlink ref="B136" r:id="rId132" xr:uid="{00000000-0004-0000-2F00-000083000000}"/>
    <hyperlink ref="B137" r:id="rId133" xr:uid="{00000000-0004-0000-2F00-000084000000}"/>
    <hyperlink ref="B138" r:id="rId134" xr:uid="{00000000-0004-0000-2F00-000085000000}"/>
    <hyperlink ref="B139" r:id="rId135" xr:uid="{00000000-0004-0000-2F00-000086000000}"/>
    <hyperlink ref="B140" r:id="rId136" xr:uid="{00000000-0004-0000-2F00-000087000000}"/>
    <hyperlink ref="B141" r:id="rId137" xr:uid="{00000000-0004-0000-2F00-000088000000}"/>
    <hyperlink ref="B142" r:id="rId138" xr:uid="{00000000-0004-0000-2F00-000089000000}"/>
    <hyperlink ref="B143" r:id="rId139" xr:uid="{00000000-0004-0000-2F00-00008A000000}"/>
    <hyperlink ref="B144" r:id="rId140" xr:uid="{00000000-0004-0000-2F00-00008B000000}"/>
    <hyperlink ref="B145" r:id="rId141" xr:uid="{00000000-0004-0000-2F00-00008C000000}"/>
    <hyperlink ref="B146" r:id="rId142" xr:uid="{00000000-0004-0000-2F00-00008D000000}"/>
    <hyperlink ref="B147" r:id="rId143" xr:uid="{00000000-0004-0000-2F00-00008E000000}"/>
    <hyperlink ref="B148" r:id="rId144" xr:uid="{00000000-0004-0000-2F00-00008F000000}"/>
    <hyperlink ref="B149" r:id="rId145" xr:uid="{00000000-0004-0000-2F00-000090000000}"/>
    <hyperlink ref="B150" r:id="rId146" xr:uid="{00000000-0004-0000-2F00-000091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4.6640625" customWidth="1"/>
    <col min="3" max="3" width="13.5" customWidth="1"/>
    <col min="4" max="4" width="14.83203125" customWidth="1"/>
    <col min="5" max="5" width="14.33203125" customWidth="1"/>
    <col min="11" max="11" width="13.83203125" customWidth="1"/>
  </cols>
  <sheetData>
    <row r="1" spans="1:23" ht="15.75" customHeight="1">
      <c r="A1" s="1" t="s">
        <v>50</v>
      </c>
      <c r="B1" s="36"/>
      <c r="C1" s="46"/>
      <c r="D1" s="7" t="s">
        <v>181</v>
      </c>
      <c r="E1" s="5"/>
      <c r="F1" s="5"/>
      <c r="G1" s="5"/>
      <c r="K1" s="1"/>
      <c r="M1" s="5"/>
      <c r="N1" s="5"/>
      <c r="S1" s="1"/>
      <c r="U1" s="5"/>
    </row>
    <row r="2" spans="1:23" ht="15.75" customHeight="1">
      <c r="A2" s="7" t="s">
        <v>182</v>
      </c>
      <c r="B2" s="38">
        <v>39757</v>
      </c>
      <c r="C2" s="46"/>
      <c r="D2" s="39">
        <f>SUM(D5:G110)</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1354</v>
      </c>
      <c r="B5" s="49" t="s">
        <v>3076</v>
      </c>
      <c r="C5" s="51" t="s">
        <v>195</v>
      </c>
      <c r="D5" s="54"/>
      <c r="E5" s="5"/>
      <c r="F5" s="5"/>
      <c r="G5" s="5"/>
      <c r="L5" s="43"/>
      <c r="M5" s="43"/>
      <c r="N5" s="42"/>
      <c r="O5" s="44"/>
      <c r="S5" s="42"/>
      <c r="T5" s="43"/>
      <c r="U5" s="43"/>
      <c r="V5" s="42"/>
      <c r="W5" s="44"/>
    </row>
    <row r="6" spans="1:23" ht="15.75" customHeight="1">
      <c r="A6" s="48" t="s">
        <v>1356</v>
      </c>
      <c r="B6" s="49" t="s">
        <v>3111</v>
      </c>
      <c r="C6" s="51" t="s">
        <v>220</v>
      </c>
      <c r="D6" s="54"/>
      <c r="E6" s="5"/>
      <c r="F6" s="5"/>
      <c r="G6" s="5"/>
      <c r="L6" s="50"/>
      <c r="M6" s="51"/>
      <c r="N6" s="5"/>
      <c r="S6" s="52"/>
      <c r="T6" s="50"/>
      <c r="U6" s="51"/>
    </row>
    <row r="7" spans="1:23" ht="15.75" customHeight="1">
      <c r="A7" s="48" t="s">
        <v>1358</v>
      </c>
      <c r="B7" s="49" t="s">
        <v>3112</v>
      </c>
      <c r="C7" s="51" t="s">
        <v>225</v>
      </c>
      <c r="D7" s="54"/>
      <c r="E7" s="5"/>
      <c r="F7" s="5"/>
      <c r="G7" s="5"/>
      <c r="K7" s="52"/>
      <c r="L7" s="50"/>
      <c r="M7" s="51"/>
      <c r="N7" s="5"/>
      <c r="S7" s="52"/>
      <c r="T7" s="50"/>
      <c r="U7" s="51"/>
    </row>
    <row r="8" spans="1:23" ht="15.75" customHeight="1">
      <c r="A8" s="48" t="s">
        <v>1360</v>
      </c>
      <c r="B8" s="49" t="s">
        <v>3171</v>
      </c>
      <c r="C8" s="51" t="s">
        <v>208</v>
      </c>
      <c r="D8" s="54"/>
      <c r="E8" s="5"/>
      <c r="F8" s="5"/>
      <c r="G8" s="5"/>
      <c r="K8" s="52"/>
      <c r="L8" s="50"/>
      <c r="M8" s="51"/>
      <c r="N8" s="51"/>
      <c r="S8" s="52"/>
      <c r="T8" s="50"/>
      <c r="U8" s="51"/>
    </row>
    <row r="9" spans="1:23" ht="15.75" customHeight="1">
      <c r="A9" s="48" t="s">
        <v>1362</v>
      </c>
      <c r="B9" s="49" t="s">
        <v>3074</v>
      </c>
      <c r="C9" s="51" t="s">
        <v>220</v>
      </c>
      <c r="D9" s="54"/>
      <c r="E9" s="5"/>
      <c r="F9" s="5"/>
      <c r="G9" s="5"/>
      <c r="K9" s="52"/>
      <c r="L9" s="50"/>
      <c r="M9" s="51"/>
      <c r="N9" s="51"/>
      <c r="S9" s="52"/>
      <c r="T9" s="50"/>
      <c r="U9" s="51"/>
    </row>
    <row r="10" spans="1:23" ht="15.75" customHeight="1">
      <c r="A10" s="48" t="s">
        <v>1363</v>
      </c>
      <c r="B10" s="49" t="s">
        <v>3074</v>
      </c>
      <c r="C10" s="51" t="s">
        <v>192</v>
      </c>
      <c r="D10" s="54"/>
      <c r="E10" s="5"/>
      <c r="F10" s="5"/>
      <c r="G10" s="5"/>
      <c r="K10" s="52"/>
      <c r="L10" s="50"/>
      <c r="M10" s="51"/>
      <c r="N10" s="5"/>
      <c r="S10" s="52"/>
      <c r="T10" s="50"/>
      <c r="U10" s="51"/>
    </row>
    <row r="11" spans="1:23" ht="15.75" customHeight="1">
      <c r="A11" s="48" t="s">
        <v>1364</v>
      </c>
      <c r="B11" s="49" t="s">
        <v>3116</v>
      </c>
      <c r="C11" s="51" t="s">
        <v>195</v>
      </c>
      <c r="D11" s="54"/>
      <c r="E11" s="5"/>
      <c r="F11" s="5"/>
      <c r="G11" s="5"/>
      <c r="K11" s="52"/>
      <c r="L11" s="50"/>
      <c r="M11" s="51"/>
      <c r="N11" s="51"/>
      <c r="S11" s="52"/>
      <c r="T11" s="50"/>
      <c r="U11" s="51"/>
    </row>
    <row r="12" spans="1:23" ht="15.75" customHeight="1">
      <c r="A12" s="48" t="s">
        <v>1365</v>
      </c>
      <c r="B12" s="49" t="s">
        <v>251</v>
      </c>
      <c r="C12" s="51" t="s">
        <v>192</v>
      </c>
      <c r="D12" s="54"/>
      <c r="E12" s="5"/>
      <c r="F12" s="5"/>
      <c r="G12" s="5"/>
      <c r="K12" s="52"/>
      <c r="L12" s="50"/>
      <c r="M12" s="51"/>
      <c r="N12" s="51"/>
      <c r="S12" s="52"/>
      <c r="T12" s="50"/>
      <c r="U12" s="51"/>
    </row>
    <row r="13" spans="1:23" ht="15.75" customHeight="1">
      <c r="A13" s="48" t="s">
        <v>1367</v>
      </c>
      <c r="B13" s="49" t="s">
        <v>3089</v>
      </c>
      <c r="C13" s="51" t="s">
        <v>197</v>
      </c>
      <c r="D13" s="54"/>
      <c r="E13" s="5"/>
      <c r="F13" s="5"/>
      <c r="G13" s="5"/>
      <c r="K13" s="52"/>
      <c r="L13" s="50"/>
      <c r="M13" s="51"/>
      <c r="N13" s="5"/>
      <c r="S13" s="52"/>
      <c r="T13" s="50"/>
      <c r="U13" s="51"/>
    </row>
    <row r="14" spans="1:23" ht="15.75" customHeight="1">
      <c r="A14" s="48" t="s">
        <v>1369</v>
      </c>
      <c r="B14" s="49" t="s">
        <v>1228</v>
      </c>
      <c r="C14" s="51" t="s">
        <v>205</v>
      </c>
      <c r="D14" s="54"/>
      <c r="E14" s="5"/>
      <c r="F14" s="5"/>
      <c r="G14" s="5"/>
      <c r="K14" s="52"/>
      <c r="L14" s="50"/>
      <c r="M14" s="51"/>
      <c r="N14" s="51"/>
      <c r="S14" s="52"/>
      <c r="T14" s="50"/>
      <c r="U14" s="51"/>
    </row>
    <row r="15" spans="1:23" ht="15.75" customHeight="1">
      <c r="A15" s="48" t="s">
        <v>1371</v>
      </c>
      <c r="B15" s="49" t="s">
        <v>3121</v>
      </c>
      <c r="C15" s="51" t="s">
        <v>225</v>
      </c>
      <c r="D15" s="54"/>
      <c r="E15" s="5"/>
      <c r="F15" s="5"/>
      <c r="G15" s="5"/>
      <c r="K15" s="52"/>
      <c r="L15" s="50"/>
      <c r="M15" s="51"/>
      <c r="N15" s="51"/>
      <c r="S15" s="52"/>
      <c r="T15" s="50"/>
      <c r="U15" s="51"/>
    </row>
    <row r="16" spans="1:23" ht="15.75" customHeight="1">
      <c r="A16" s="48" t="s">
        <v>1373</v>
      </c>
      <c r="B16" s="49" t="s">
        <v>3182</v>
      </c>
      <c r="C16" s="51" t="s">
        <v>208</v>
      </c>
      <c r="D16" s="54"/>
      <c r="E16" s="5"/>
      <c r="F16" s="5"/>
      <c r="G16" s="5"/>
      <c r="K16" s="52"/>
      <c r="L16" s="50"/>
      <c r="M16" s="51"/>
      <c r="N16" s="51"/>
      <c r="S16" s="52"/>
      <c r="T16" s="50"/>
      <c r="U16" s="51"/>
    </row>
    <row r="17" spans="1:27" ht="15.75" customHeight="1">
      <c r="A17" s="48" t="s">
        <v>1375</v>
      </c>
      <c r="B17" s="49" t="s">
        <v>3163</v>
      </c>
      <c r="C17" s="51" t="s">
        <v>195</v>
      </c>
      <c r="D17" s="54"/>
      <c r="E17" s="5"/>
      <c r="F17" s="5"/>
      <c r="G17" s="5"/>
      <c r="K17" s="52"/>
      <c r="L17" s="50"/>
      <c r="M17" s="51"/>
      <c r="N17" s="51"/>
      <c r="S17" s="52"/>
      <c r="T17" s="50"/>
      <c r="U17" s="51"/>
    </row>
    <row r="18" spans="1:27" ht="15.75" customHeight="1">
      <c r="A18" s="48" t="s">
        <v>1377</v>
      </c>
      <c r="B18" s="49" t="s">
        <v>3133</v>
      </c>
      <c r="C18" s="51" t="s">
        <v>205</v>
      </c>
      <c r="D18" s="54"/>
      <c r="E18" s="5"/>
      <c r="F18" s="5"/>
      <c r="G18" s="5"/>
      <c r="M18" s="5"/>
      <c r="N18" s="5"/>
      <c r="U18" s="5"/>
      <c r="AA18" s="5"/>
    </row>
    <row r="19" spans="1:27" ht="15.75" customHeight="1">
      <c r="A19" s="48" t="s">
        <v>1379</v>
      </c>
      <c r="B19" s="49" t="s">
        <v>3124</v>
      </c>
      <c r="C19" s="51" t="s">
        <v>808</v>
      </c>
      <c r="D19" s="54"/>
      <c r="E19" s="5"/>
      <c r="F19" s="5"/>
      <c r="G19" s="5"/>
      <c r="K19" s="1"/>
      <c r="M19" s="5"/>
      <c r="N19" s="5"/>
      <c r="U19" s="5"/>
      <c r="AA19" s="5"/>
    </row>
    <row r="20" spans="1:27" ht="15.75" customHeight="1">
      <c r="A20" s="48" t="s">
        <v>1380</v>
      </c>
      <c r="B20" s="49" t="s">
        <v>3078</v>
      </c>
      <c r="C20" s="51" t="s">
        <v>195</v>
      </c>
      <c r="D20" s="54"/>
      <c r="E20" s="5"/>
      <c r="F20" s="5"/>
      <c r="G20" s="5"/>
      <c r="L20" s="40"/>
      <c r="M20" s="5"/>
      <c r="N20" s="5"/>
      <c r="AA20" s="5"/>
    </row>
    <row r="21" spans="1:27" ht="15.75" customHeight="1">
      <c r="A21" s="48" t="s">
        <v>1381</v>
      </c>
      <c r="B21" s="49" t="s">
        <v>3076</v>
      </c>
      <c r="C21" s="51" t="s">
        <v>195</v>
      </c>
      <c r="D21" s="54"/>
      <c r="E21" s="5"/>
      <c r="F21" s="5"/>
      <c r="G21" s="5"/>
      <c r="M21" s="5"/>
      <c r="N21" s="5"/>
      <c r="AA21" s="5"/>
    </row>
    <row r="22" spans="1:27" ht="15.75" customHeight="1">
      <c r="A22" s="48" t="s">
        <v>1382</v>
      </c>
      <c r="B22" s="49" t="s">
        <v>360</v>
      </c>
      <c r="C22" s="51" t="s">
        <v>195</v>
      </c>
      <c r="D22" s="54"/>
      <c r="E22" s="5"/>
      <c r="F22" s="5"/>
      <c r="G22" s="5"/>
      <c r="K22" s="42"/>
      <c r="L22" s="45"/>
      <c r="M22" s="46"/>
      <c r="N22" s="47"/>
      <c r="AA22" s="5"/>
    </row>
    <row r="23" spans="1:27" ht="15.75" customHeight="1">
      <c r="A23" s="48" t="s">
        <v>1384</v>
      </c>
      <c r="B23" s="49" t="s">
        <v>245</v>
      </c>
      <c r="C23" s="51" t="s">
        <v>208</v>
      </c>
      <c r="D23" s="54"/>
      <c r="E23" s="5"/>
      <c r="F23" s="5"/>
      <c r="G23" s="5"/>
      <c r="K23" s="42"/>
      <c r="L23" s="43"/>
      <c r="M23" s="43"/>
      <c r="N23" s="42"/>
      <c r="O23" s="44"/>
      <c r="AA23" s="5"/>
    </row>
    <row r="24" spans="1:27" ht="15.75" customHeight="1">
      <c r="A24" s="48" t="s">
        <v>1385</v>
      </c>
      <c r="B24" s="49" t="s">
        <v>230</v>
      </c>
      <c r="C24" s="51" t="s">
        <v>225</v>
      </c>
      <c r="D24" s="54"/>
      <c r="E24" s="5"/>
      <c r="F24" s="5"/>
      <c r="G24" s="5"/>
      <c r="K24" s="52"/>
      <c r="L24" s="50"/>
      <c r="M24" s="51"/>
      <c r="N24" s="5"/>
      <c r="AA24" s="5"/>
    </row>
    <row r="25" spans="1:27" ht="15.75" customHeight="1">
      <c r="A25" s="48" t="s">
        <v>1386</v>
      </c>
      <c r="B25" s="49" t="s">
        <v>3381</v>
      </c>
      <c r="C25" s="51" t="s">
        <v>225</v>
      </c>
      <c r="D25" s="54"/>
      <c r="E25" s="5"/>
      <c r="F25" s="5"/>
      <c r="G25" s="5"/>
      <c r="K25" s="52"/>
      <c r="L25" s="50"/>
      <c r="M25" s="51"/>
      <c r="N25" s="5"/>
      <c r="AA25" s="5"/>
    </row>
    <row r="26" spans="1:27" ht="15.75" customHeight="1">
      <c r="A26" s="48" t="s">
        <v>1387</v>
      </c>
      <c r="B26" s="49" t="s">
        <v>235</v>
      </c>
      <c r="C26" s="51" t="s">
        <v>199</v>
      </c>
      <c r="D26" s="54"/>
      <c r="E26" s="5"/>
      <c r="F26" s="5"/>
      <c r="G26" s="5"/>
      <c r="K26" s="52"/>
      <c r="L26" s="50"/>
      <c r="M26" s="51"/>
      <c r="N26" s="51"/>
      <c r="AA26" s="5"/>
    </row>
    <row r="27" spans="1:27" ht="15.75" customHeight="1">
      <c r="A27" s="48" t="s">
        <v>1388</v>
      </c>
      <c r="B27" s="49" t="s">
        <v>3118</v>
      </c>
      <c r="C27" s="51" t="s">
        <v>195</v>
      </c>
      <c r="D27" s="54"/>
      <c r="E27" s="5"/>
      <c r="F27" s="51"/>
      <c r="G27" s="5"/>
      <c r="K27" s="52"/>
      <c r="L27" s="50"/>
      <c r="M27" s="51"/>
      <c r="N27" s="51"/>
      <c r="AA27" s="5"/>
    </row>
    <row r="28" spans="1:27" ht="15.75" customHeight="1">
      <c r="A28" s="48" t="s">
        <v>1389</v>
      </c>
      <c r="B28" s="49" t="s">
        <v>1507</v>
      </c>
      <c r="C28" s="51" t="s">
        <v>197</v>
      </c>
      <c r="D28" s="54"/>
      <c r="E28" s="5"/>
      <c r="F28" s="5"/>
      <c r="G28" s="5"/>
      <c r="J28" s="5"/>
      <c r="K28" s="52"/>
      <c r="L28" s="50"/>
      <c r="M28" s="51"/>
      <c r="N28" s="5"/>
      <c r="P28" s="5"/>
    </row>
    <row r="29" spans="1:27" ht="15.75" customHeight="1">
      <c r="A29" s="48" t="s">
        <v>1390</v>
      </c>
      <c r="B29" s="49" t="s">
        <v>219</v>
      </c>
      <c r="C29" s="51" t="s">
        <v>205</v>
      </c>
      <c r="D29" s="54"/>
      <c r="E29" s="5"/>
      <c r="F29" s="5"/>
      <c r="G29" s="5"/>
      <c r="J29" s="5"/>
      <c r="K29" s="52"/>
      <c r="L29" s="50"/>
      <c r="M29" s="51"/>
      <c r="N29" s="51"/>
      <c r="P29" s="5"/>
    </row>
    <row r="30" spans="1:27" ht="15.75" customHeight="1">
      <c r="A30" s="48" t="s">
        <v>1391</v>
      </c>
      <c r="B30" s="49" t="s">
        <v>3119</v>
      </c>
      <c r="C30" s="51" t="s">
        <v>808</v>
      </c>
      <c r="D30" s="54"/>
      <c r="E30" s="5"/>
      <c r="F30" s="5"/>
      <c r="G30" s="5"/>
      <c r="J30" s="5"/>
      <c r="K30" s="52"/>
      <c r="L30" s="50"/>
      <c r="M30" s="51"/>
      <c r="N30" s="5"/>
      <c r="P30" s="5"/>
    </row>
    <row r="31" spans="1:27" ht="15.75" customHeight="1">
      <c r="A31" s="48" t="s">
        <v>1392</v>
      </c>
      <c r="B31" s="49" t="s">
        <v>3120</v>
      </c>
      <c r="C31" s="51" t="s">
        <v>197</v>
      </c>
      <c r="D31" s="54"/>
      <c r="E31" s="5"/>
      <c r="F31" s="5"/>
      <c r="G31" s="5"/>
      <c r="J31" s="5"/>
      <c r="K31" s="52"/>
      <c r="L31" s="50"/>
      <c r="M31" s="51"/>
      <c r="N31" s="51"/>
      <c r="P31" s="5"/>
    </row>
    <row r="32" spans="1:27" ht="15.75" customHeight="1">
      <c r="A32" s="48" t="s">
        <v>1394</v>
      </c>
      <c r="B32" s="49" t="s">
        <v>791</v>
      </c>
      <c r="C32" s="51" t="s">
        <v>220</v>
      </c>
      <c r="D32" s="54"/>
      <c r="E32" s="5"/>
      <c r="F32" s="5"/>
      <c r="G32" s="5"/>
      <c r="J32" s="5"/>
      <c r="K32" s="52"/>
      <c r="L32" s="50"/>
      <c r="M32" s="51"/>
      <c r="N32" s="5"/>
      <c r="P32" s="5"/>
    </row>
    <row r="33" spans="1:16" ht="15.75" customHeight="1">
      <c r="A33" s="48" t="s">
        <v>1395</v>
      </c>
      <c r="B33" s="49" t="s">
        <v>3339</v>
      </c>
      <c r="C33" s="51" t="s">
        <v>205</v>
      </c>
      <c r="D33" s="54"/>
      <c r="E33" s="5"/>
      <c r="F33" s="5"/>
      <c r="G33" s="5"/>
      <c r="J33" s="5"/>
      <c r="K33" s="52"/>
      <c r="L33" s="50"/>
      <c r="M33" s="51"/>
      <c r="N33" s="5"/>
      <c r="P33" s="5"/>
    </row>
    <row r="34" spans="1:16" ht="15.75" customHeight="1">
      <c r="A34" s="48" t="s">
        <v>1396</v>
      </c>
      <c r="B34" s="49" t="s">
        <v>941</v>
      </c>
      <c r="C34" s="51" t="s">
        <v>808</v>
      </c>
      <c r="D34" s="54"/>
      <c r="E34" s="5"/>
      <c r="F34" s="5"/>
      <c r="G34" s="5"/>
      <c r="J34" s="5"/>
      <c r="K34" s="52"/>
      <c r="L34" s="50"/>
      <c r="M34" s="51"/>
      <c r="N34" s="5"/>
      <c r="P34" s="5"/>
    </row>
    <row r="35" spans="1:16" ht="15.75" customHeight="1">
      <c r="A35" s="48" t="s">
        <v>1397</v>
      </c>
      <c r="B35" s="49" t="s">
        <v>3130</v>
      </c>
      <c r="C35" s="51" t="s">
        <v>205</v>
      </c>
      <c r="D35" s="54"/>
      <c r="E35" s="5"/>
      <c r="F35" s="5"/>
      <c r="G35" s="5"/>
      <c r="J35" s="5"/>
      <c r="K35" s="52"/>
      <c r="L35" s="50"/>
      <c r="M35" s="51"/>
      <c r="N35" s="51"/>
      <c r="P35" s="5"/>
    </row>
    <row r="36" spans="1:16" ht="15.75" customHeight="1">
      <c r="A36" s="48" t="s">
        <v>1399</v>
      </c>
      <c r="B36" s="49" t="s">
        <v>3122</v>
      </c>
      <c r="C36" s="51" t="s">
        <v>208</v>
      </c>
      <c r="D36" s="51"/>
      <c r="E36" s="5"/>
      <c r="F36" s="5"/>
      <c r="G36" s="5"/>
      <c r="J36" s="5"/>
      <c r="M36" s="5"/>
      <c r="N36" s="5"/>
      <c r="P36" s="5"/>
    </row>
    <row r="37" spans="1:16" ht="15.75" customHeight="1">
      <c r="A37" s="48" t="s">
        <v>1401</v>
      </c>
      <c r="B37" s="49" t="s">
        <v>3132</v>
      </c>
      <c r="C37" s="51" t="s">
        <v>195</v>
      </c>
      <c r="D37" s="54"/>
      <c r="E37" s="5"/>
      <c r="F37" s="5"/>
      <c r="G37" s="5"/>
      <c r="J37" s="5"/>
      <c r="M37" s="5"/>
      <c r="N37" s="5"/>
    </row>
    <row r="38" spans="1:16" ht="15.75" customHeight="1">
      <c r="A38" s="48" t="s">
        <v>1402</v>
      </c>
      <c r="B38" s="49" t="s">
        <v>1361</v>
      </c>
      <c r="C38" s="51" t="s">
        <v>195</v>
      </c>
      <c r="D38" s="51"/>
      <c r="E38" s="5"/>
      <c r="F38" s="5"/>
      <c r="G38" s="5"/>
      <c r="J38" s="5"/>
      <c r="M38" s="51"/>
      <c r="N38" s="51"/>
    </row>
    <row r="39" spans="1:16" ht="15.75" customHeight="1">
      <c r="A39" s="48" t="s">
        <v>1403</v>
      </c>
      <c r="B39" s="49" t="s">
        <v>1361</v>
      </c>
      <c r="C39" s="51" t="s">
        <v>195</v>
      </c>
      <c r="D39" s="54"/>
      <c r="E39" s="5"/>
      <c r="F39" s="5"/>
      <c r="G39" s="5"/>
      <c r="J39" s="5"/>
      <c r="M39" s="51"/>
      <c r="N39" s="51"/>
    </row>
    <row r="40" spans="1:16" ht="15.75" customHeight="1">
      <c r="A40" s="48" t="s">
        <v>1404</v>
      </c>
      <c r="B40" s="49" t="s">
        <v>256</v>
      </c>
      <c r="C40" s="51" t="s">
        <v>192</v>
      </c>
      <c r="D40" s="54"/>
      <c r="E40" s="51"/>
      <c r="F40" s="5"/>
      <c r="G40" s="5"/>
      <c r="J40" s="5"/>
      <c r="M40" s="51"/>
      <c r="N40" s="51"/>
    </row>
    <row r="41" spans="1:16" ht="15.75" customHeight="1">
      <c r="A41" s="48" t="s">
        <v>1405</v>
      </c>
      <c r="B41" s="49" t="s">
        <v>256</v>
      </c>
      <c r="C41" s="51" t="s">
        <v>192</v>
      </c>
      <c r="D41" s="54"/>
      <c r="E41" s="5"/>
      <c r="F41" s="5"/>
      <c r="G41" s="5"/>
      <c r="J41" s="5"/>
      <c r="M41" s="51"/>
      <c r="N41" s="51"/>
    </row>
    <row r="42" spans="1:16" ht="15.75" customHeight="1">
      <c r="A42" s="48" t="s">
        <v>1406</v>
      </c>
      <c r="B42" s="49" t="s">
        <v>261</v>
      </c>
      <c r="C42" s="51" t="s">
        <v>197</v>
      </c>
      <c r="D42" s="54"/>
      <c r="E42" s="5"/>
      <c r="F42" s="5"/>
      <c r="G42" s="5"/>
      <c r="J42" s="5"/>
      <c r="M42" s="51"/>
      <c r="N42" s="51"/>
    </row>
    <row r="43" spans="1:16" ht="15.75" customHeight="1">
      <c r="A43" s="48" t="s">
        <v>1408</v>
      </c>
      <c r="B43" s="49" t="s">
        <v>1188</v>
      </c>
      <c r="C43" s="51" t="s">
        <v>205</v>
      </c>
      <c r="D43" s="51"/>
      <c r="E43" s="5"/>
      <c r="F43" s="5"/>
      <c r="G43" s="5"/>
      <c r="J43" s="5"/>
      <c r="M43" s="51"/>
      <c r="N43" s="51"/>
    </row>
    <row r="44" spans="1:16" ht="15.75" customHeight="1">
      <c r="A44" s="48" t="s">
        <v>1409</v>
      </c>
      <c r="B44" s="49" t="s">
        <v>263</v>
      </c>
      <c r="C44" s="51" t="s">
        <v>195</v>
      </c>
      <c r="D44" s="54"/>
      <c r="E44" s="5"/>
      <c r="F44" s="5"/>
      <c r="G44" s="5"/>
      <c r="J44" s="5"/>
      <c r="M44" s="51"/>
      <c r="N44" s="51"/>
    </row>
    <row r="45" spans="1:16" ht="15.75" customHeight="1">
      <c r="A45" s="48" t="s">
        <v>1410</v>
      </c>
      <c r="B45" s="49" t="s">
        <v>267</v>
      </c>
      <c r="C45" s="51" t="s">
        <v>225</v>
      </c>
      <c r="D45" s="54"/>
      <c r="E45" s="5"/>
      <c r="F45" s="5"/>
      <c r="G45" s="5"/>
      <c r="J45" s="5"/>
      <c r="M45" s="51"/>
      <c r="N45" s="51"/>
      <c r="P45" s="5"/>
    </row>
    <row r="46" spans="1:16" ht="15.75" customHeight="1">
      <c r="A46" s="48" t="s">
        <v>1411</v>
      </c>
      <c r="B46" s="49" t="s">
        <v>247</v>
      </c>
      <c r="C46" s="51" t="s">
        <v>220</v>
      </c>
      <c r="D46" s="54"/>
      <c r="E46" s="5"/>
      <c r="F46" s="5"/>
      <c r="G46" s="5"/>
      <c r="J46" s="5"/>
      <c r="M46" s="51"/>
      <c r="N46" s="51"/>
      <c r="P46" s="5"/>
    </row>
    <row r="47" spans="1:16" ht="15.75" customHeight="1">
      <c r="A47" s="48" t="s">
        <v>1413</v>
      </c>
      <c r="B47" s="49" t="s">
        <v>247</v>
      </c>
      <c r="C47" s="51" t="s">
        <v>192</v>
      </c>
      <c r="D47" s="54"/>
      <c r="E47" s="5"/>
      <c r="F47" s="5"/>
      <c r="G47" s="5"/>
      <c r="J47" s="5"/>
      <c r="M47" s="5"/>
      <c r="N47" s="5"/>
      <c r="P47" s="5"/>
    </row>
    <row r="48" spans="1:16" ht="15.75" customHeight="1">
      <c r="A48" s="48" t="s">
        <v>1414</v>
      </c>
      <c r="B48" s="49" t="s">
        <v>836</v>
      </c>
      <c r="C48" s="51" t="s">
        <v>197</v>
      </c>
      <c r="D48" s="54"/>
      <c r="E48" s="5"/>
      <c r="F48" s="5"/>
      <c r="G48" s="5"/>
      <c r="J48" s="5"/>
      <c r="M48" s="5"/>
      <c r="N48" s="5"/>
      <c r="P48" s="5"/>
    </row>
    <row r="49" spans="1:16" ht="15.75" customHeight="1">
      <c r="A49" s="48" t="s">
        <v>1415</v>
      </c>
      <c r="B49" s="49" t="s">
        <v>222</v>
      </c>
      <c r="C49" s="51" t="s">
        <v>192</v>
      </c>
      <c r="D49" s="51"/>
      <c r="E49" s="5"/>
      <c r="F49" s="5"/>
      <c r="G49" s="5"/>
      <c r="J49" s="5"/>
      <c r="M49" s="5"/>
      <c r="N49" s="5"/>
      <c r="P49" s="5"/>
    </row>
    <row r="50" spans="1:16" ht="15.75" customHeight="1">
      <c r="A50" s="48" t="s">
        <v>1417</v>
      </c>
      <c r="B50" s="49" t="s">
        <v>842</v>
      </c>
      <c r="C50" s="51" t="s">
        <v>225</v>
      </c>
      <c r="D50" s="54"/>
      <c r="E50" s="5"/>
      <c r="F50" s="5"/>
      <c r="G50" s="5"/>
      <c r="J50" s="5"/>
      <c r="M50" s="5"/>
      <c r="N50" s="5"/>
      <c r="P50" s="5"/>
    </row>
    <row r="51" spans="1:16" ht="15.75" customHeight="1">
      <c r="A51" s="48" t="s">
        <v>1418</v>
      </c>
      <c r="B51" s="49" t="s">
        <v>948</v>
      </c>
      <c r="C51" s="51" t="s">
        <v>225</v>
      </c>
      <c r="D51" s="54"/>
      <c r="E51" s="5"/>
      <c r="F51" s="5"/>
      <c r="G51" s="5"/>
      <c r="J51" s="5"/>
      <c r="M51" s="5"/>
      <c r="N51" s="5"/>
      <c r="P51" s="5"/>
    </row>
    <row r="52" spans="1:16" ht="15.75" customHeight="1">
      <c r="A52" s="48" t="s">
        <v>1419</v>
      </c>
      <c r="B52" s="49" t="s">
        <v>1370</v>
      </c>
      <c r="C52" s="51" t="s">
        <v>808</v>
      </c>
      <c r="D52" s="51"/>
      <c r="E52" s="5"/>
      <c r="F52" s="5"/>
      <c r="G52" s="5"/>
      <c r="J52" s="5"/>
      <c r="M52" s="5"/>
      <c r="N52" s="5"/>
      <c r="P52" s="5"/>
    </row>
    <row r="53" spans="1:16" ht="13">
      <c r="A53" s="48" t="s">
        <v>1421</v>
      </c>
      <c r="B53" s="49" t="s">
        <v>232</v>
      </c>
      <c r="C53" s="51" t="s">
        <v>205</v>
      </c>
      <c r="D53" s="54"/>
      <c r="E53" s="5"/>
      <c r="F53" s="5"/>
      <c r="G53" s="5"/>
      <c r="J53" s="5"/>
      <c r="M53" s="5"/>
      <c r="N53" s="5"/>
      <c r="P53" s="5"/>
    </row>
    <row r="54" spans="1:16" ht="13">
      <c r="A54" s="48" t="s">
        <v>1422</v>
      </c>
      <c r="B54" s="49" t="s">
        <v>1521</v>
      </c>
      <c r="C54" s="51" t="s">
        <v>197</v>
      </c>
      <c r="D54" s="54"/>
      <c r="E54" s="5"/>
      <c r="F54" s="5"/>
      <c r="G54" s="5"/>
      <c r="J54" s="5"/>
      <c r="M54" s="5"/>
      <c r="N54" s="5"/>
      <c r="P54" s="5"/>
    </row>
    <row r="55" spans="1:16" ht="13">
      <c r="A55" s="48" t="s">
        <v>1423</v>
      </c>
      <c r="B55" s="49" t="s">
        <v>787</v>
      </c>
      <c r="C55" s="51" t="s">
        <v>220</v>
      </c>
      <c r="D55" s="54"/>
      <c r="E55" s="5"/>
      <c r="F55" s="5"/>
      <c r="G55" s="5"/>
      <c r="J55" s="5"/>
      <c r="M55" s="5"/>
      <c r="N55" s="5"/>
      <c r="P55" s="5"/>
    </row>
    <row r="56" spans="1:16" ht="13">
      <c r="A56" s="48" t="s">
        <v>1424</v>
      </c>
      <c r="B56" s="49" t="s">
        <v>3142</v>
      </c>
      <c r="C56" s="51" t="s">
        <v>197</v>
      </c>
      <c r="D56" s="51"/>
      <c r="E56" s="5"/>
      <c r="F56" s="5"/>
      <c r="G56" s="5"/>
      <c r="J56" s="5"/>
      <c r="M56" s="5"/>
      <c r="N56" s="5"/>
      <c r="P56" s="5"/>
    </row>
    <row r="57" spans="1:16" ht="13">
      <c r="A57" s="48" t="s">
        <v>1425</v>
      </c>
      <c r="B57" s="49" t="s">
        <v>1526</v>
      </c>
      <c r="C57" s="51" t="s">
        <v>197</v>
      </c>
      <c r="D57" s="54"/>
      <c r="E57" s="5"/>
      <c r="F57" s="5"/>
      <c r="G57" s="5"/>
      <c r="J57" s="5"/>
      <c r="M57" s="5"/>
      <c r="N57" s="5"/>
      <c r="P57" s="5"/>
    </row>
    <row r="58" spans="1:16" ht="13">
      <c r="A58" s="48" t="s">
        <v>1427</v>
      </c>
      <c r="B58" s="49" t="s">
        <v>3143</v>
      </c>
      <c r="C58" s="51" t="s">
        <v>197</v>
      </c>
      <c r="D58" s="54"/>
      <c r="E58" s="5"/>
      <c r="F58" s="5"/>
      <c r="G58" s="5"/>
      <c r="J58" s="5"/>
      <c r="M58" s="5"/>
      <c r="N58" s="5"/>
      <c r="P58" s="5"/>
    </row>
    <row r="59" spans="1:16" ht="13">
      <c r="A59" s="48" t="s">
        <v>1429</v>
      </c>
      <c r="B59" s="49" t="s">
        <v>3245</v>
      </c>
      <c r="C59" s="51" t="s">
        <v>195</v>
      </c>
      <c r="D59" s="54"/>
      <c r="E59" s="5"/>
      <c r="F59" s="5"/>
      <c r="G59" s="5"/>
      <c r="J59" s="5"/>
      <c r="M59" s="5"/>
      <c r="N59" s="5"/>
      <c r="P59" s="5"/>
    </row>
    <row r="60" spans="1:16" ht="13">
      <c r="A60" s="48" t="s">
        <v>1430</v>
      </c>
      <c r="B60" s="49" t="s">
        <v>3145</v>
      </c>
      <c r="C60" s="51" t="s">
        <v>205</v>
      </c>
      <c r="D60" s="54"/>
      <c r="E60" s="5"/>
      <c r="F60" s="5"/>
      <c r="G60" s="5"/>
      <c r="J60" s="5"/>
      <c r="M60" s="5"/>
      <c r="N60" s="5"/>
      <c r="P60" s="5"/>
    </row>
    <row r="61" spans="1:16" ht="13">
      <c r="A61" s="48" t="s">
        <v>1431</v>
      </c>
      <c r="B61" s="49" t="s">
        <v>3146</v>
      </c>
      <c r="C61" s="51" t="s">
        <v>205</v>
      </c>
      <c r="D61" s="51"/>
      <c r="E61" s="5"/>
      <c r="F61" s="5"/>
      <c r="G61" s="5"/>
      <c r="J61" s="5"/>
      <c r="M61" s="5"/>
      <c r="N61" s="5"/>
      <c r="P61" s="5"/>
    </row>
    <row r="62" spans="1:16" ht="13">
      <c r="A62" s="48" t="s">
        <v>1433</v>
      </c>
      <c r="B62" s="49" t="s">
        <v>3134</v>
      </c>
      <c r="C62" s="51" t="s">
        <v>195</v>
      </c>
      <c r="D62" s="54"/>
      <c r="E62" s="5"/>
      <c r="F62" s="5"/>
      <c r="G62" s="5"/>
      <c r="J62" s="5"/>
      <c r="M62" s="5"/>
      <c r="N62" s="5"/>
      <c r="P62" s="5"/>
    </row>
    <row r="63" spans="1:16" ht="13">
      <c r="A63" s="48" t="s">
        <v>1434</v>
      </c>
      <c r="B63" s="49" t="s">
        <v>1437</v>
      </c>
      <c r="C63" s="51" t="s">
        <v>195</v>
      </c>
      <c r="D63" s="54"/>
      <c r="E63" s="5"/>
      <c r="F63" s="5"/>
      <c r="G63" s="5"/>
      <c r="J63" s="5"/>
      <c r="M63" s="5"/>
      <c r="N63" s="5"/>
      <c r="P63" s="5"/>
    </row>
    <row r="64" spans="1:16" ht="13">
      <c r="A64" s="48" t="s">
        <v>1435</v>
      </c>
      <c r="B64" s="49" t="s">
        <v>1437</v>
      </c>
      <c r="C64" s="51" t="s">
        <v>195</v>
      </c>
      <c r="D64" s="54"/>
      <c r="E64" s="51"/>
      <c r="F64" s="5"/>
      <c r="G64" s="5"/>
      <c r="J64" s="5"/>
      <c r="M64" s="5"/>
      <c r="N64" s="5"/>
      <c r="P64" s="5"/>
    </row>
    <row r="65" spans="1:16" ht="13">
      <c r="A65" s="48" t="s">
        <v>1436</v>
      </c>
      <c r="B65" s="49" t="s">
        <v>3256</v>
      </c>
      <c r="C65" s="51" t="s">
        <v>208</v>
      </c>
      <c r="D65" s="51"/>
      <c r="E65" s="5"/>
      <c r="F65" s="5"/>
      <c r="G65" s="5"/>
      <c r="J65" s="5"/>
      <c r="M65" s="5"/>
      <c r="N65" s="5"/>
      <c r="P65" s="5"/>
    </row>
    <row r="66" spans="1:16" ht="13">
      <c r="A66" s="48" t="s">
        <v>1438</v>
      </c>
      <c r="B66" s="49" t="s">
        <v>282</v>
      </c>
      <c r="C66" s="51" t="s">
        <v>195</v>
      </c>
      <c r="D66" s="51"/>
      <c r="E66" s="5"/>
      <c r="F66" s="5"/>
      <c r="G66" s="5"/>
      <c r="J66" s="5"/>
      <c r="M66" s="5"/>
      <c r="N66" s="5"/>
      <c r="P66" s="5"/>
    </row>
    <row r="67" spans="1:16" ht="13">
      <c r="A67" s="48" t="s">
        <v>1439</v>
      </c>
      <c r="B67" s="49" t="s">
        <v>955</v>
      </c>
      <c r="C67" s="51" t="s">
        <v>225</v>
      </c>
      <c r="D67" s="54"/>
      <c r="E67" s="5"/>
      <c r="F67" s="5"/>
      <c r="G67" s="5"/>
      <c r="J67" s="5"/>
      <c r="M67" s="5"/>
      <c r="N67" s="5"/>
      <c r="P67" s="5"/>
    </row>
    <row r="68" spans="1:16" ht="13">
      <c r="A68" s="48" t="s">
        <v>1440</v>
      </c>
      <c r="B68" s="49" t="s">
        <v>284</v>
      </c>
      <c r="C68" s="51" t="s">
        <v>225</v>
      </c>
      <c r="D68" s="54"/>
      <c r="E68" s="5"/>
      <c r="F68" s="5"/>
      <c r="G68" s="5"/>
      <c r="J68" s="5"/>
      <c r="M68" s="5"/>
      <c r="N68" s="5"/>
      <c r="P68" s="5"/>
    </row>
    <row r="69" spans="1:16" ht="13">
      <c r="A69" s="48" t="s">
        <v>1441</v>
      </c>
      <c r="B69" s="49" t="s">
        <v>268</v>
      </c>
      <c r="C69" s="51" t="s">
        <v>208</v>
      </c>
      <c r="D69" s="54"/>
      <c r="E69" s="5"/>
      <c r="F69" s="5"/>
      <c r="G69" s="5"/>
      <c r="J69" s="5"/>
      <c r="M69" s="5"/>
      <c r="N69" s="5"/>
      <c r="P69" s="5"/>
    </row>
    <row r="70" spans="1:16" ht="13">
      <c r="A70" s="48" t="s">
        <v>1442</v>
      </c>
      <c r="B70" s="49" t="s">
        <v>285</v>
      </c>
      <c r="C70" s="51" t="s">
        <v>220</v>
      </c>
      <c r="D70" s="51"/>
      <c r="E70" s="51"/>
      <c r="F70" s="5"/>
      <c r="G70" s="5"/>
      <c r="J70" s="5"/>
      <c r="M70" s="5"/>
      <c r="N70" s="5"/>
      <c r="P70" s="5"/>
    </row>
    <row r="71" spans="1:16" ht="13">
      <c r="A71" s="48" t="s">
        <v>1444</v>
      </c>
      <c r="B71" s="49" t="s">
        <v>285</v>
      </c>
      <c r="C71" s="51" t="s">
        <v>192</v>
      </c>
      <c r="D71" s="51"/>
      <c r="J71" s="5"/>
      <c r="M71" s="5"/>
      <c r="N71" s="5"/>
      <c r="P71" s="5"/>
    </row>
    <row r="72" spans="1:16" ht="13">
      <c r="A72" s="48" t="s">
        <v>1445</v>
      </c>
      <c r="B72" s="49" t="s">
        <v>227</v>
      </c>
      <c r="C72" s="51" t="s">
        <v>195</v>
      </c>
      <c r="D72" s="54"/>
      <c r="E72" s="5"/>
      <c r="F72" s="5"/>
      <c r="G72" s="5"/>
      <c r="J72" s="5"/>
      <c r="M72" s="5"/>
      <c r="N72" s="5"/>
      <c r="P72" s="5"/>
    </row>
    <row r="73" spans="1:16" ht="13">
      <c r="A73" s="48" t="s">
        <v>1446</v>
      </c>
      <c r="B73" s="49" t="s">
        <v>288</v>
      </c>
      <c r="C73" s="51" t="s">
        <v>225</v>
      </c>
      <c r="D73" s="54"/>
      <c r="E73" s="5"/>
      <c r="F73" s="5"/>
      <c r="G73" s="5"/>
      <c r="J73" s="5"/>
      <c r="M73" s="5"/>
      <c r="N73" s="5"/>
      <c r="P73" s="5"/>
    </row>
    <row r="74" spans="1:16" ht="13">
      <c r="A74" s="48" t="s">
        <v>1447</v>
      </c>
      <c r="B74" s="49" t="s">
        <v>191</v>
      </c>
      <c r="C74" s="51" t="s">
        <v>192</v>
      </c>
      <c r="D74" s="51"/>
      <c r="E74" s="5"/>
      <c r="F74" s="5"/>
      <c r="G74" s="5"/>
      <c r="J74" s="5"/>
      <c r="M74" s="5"/>
      <c r="N74" s="5"/>
      <c r="P74" s="5"/>
    </row>
    <row r="75" spans="1:16" ht="13">
      <c r="A75" s="48" t="s">
        <v>1448</v>
      </c>
      <c r="B75" s="49" t="s">
        <v>291</v>
      </c>
      <c r="C75" s="51" t="s">
        <v>199</v>
      </c>
      <c r="D75" s="51"/>
      <c r="E75" s="5"/>
      <c r="F75" s="5"/>
      <c r="G75" s="5"/>
      <c r="J75" s="5"/>
      <c r="M75" s="5"/>
      <c r="N75" s="5"/>
      <c r="P75" s="5"/>
    </row>
    <row r="76" spans="1:16" ht="13">
      <c r="A76" s="48" t="s">
        <v>1449</v>
      </c>
      <c r="B76" s="49" t="s">
        <v>1505</v>
      </c>
      <c r="C76" s="51" t="s">
        <v>195</v>
      </c>
      <c r="D76" s="54"/>
      <c r="E76" s="5"/>
      <c r="F76" s="5"/>
      <c r="G76" s="5"/>
      <c r="J76" s="5"/>
      <c r="M76" s="5"/>
      <c r="N76" s="5"/>
      <c r="P76" s="5"/>
    </row>
    <row r="77" spans="1:16" ht="13">
      <c r="A77" s="48" t="s">
        <v>1450</v>
      </c>
      <c r="B77" s="49" t="s">
        <v>3147</v>
      </c>
      <c r="C77" s="51" t="s">
        <v>205</v>
      </c>
      <c r="D77" s="54"/>
      <c r="E77" s="5"/>
      <c r="F77" s="5"/>
      <c r="G77" s="5"/>
      <c r="J77" s="5"/>
      <c r="M77" s="5"/>
      <c r="N77" s="5"/>
      <c r="P77" s="5"/>
    </row>
    <row r="78" spans="1:16" ht="13">
      <c r="A78" s="48" t="s">
        <v>1451</v>
      </c>
      <c r="B78" s="49" t="s">
        <v>3277</v>
      </c>
      <c r="C78" s="51" t="s">
        <v>208</v>
      </c>
      <c r="D78" s="51"/>
      <c r="E78" s="5"/>
      <c r="F78" s="5"/>
      <c r="G78" s="5"/>
      <c r="J78" s="5"/>
      <c r="M78" s="5"/>
      <c r="N78" s="5"/>
      <c r="P78" s="5"/>
    </row>
    <row r="79" spans="1:16" ht="13">
      <c r="A79" s="48" t="s">
        <v>1452</v>
      </c>
      <c r="B79" s="49" t="s">
        <v>3148</v>
      </c>
      <c r="C79" s="51" t="s">
        <v>197</v>
      </c>
      <c r="D79" s="51"/>
      <c r="E79" s="5"/>
      <c r="F79" s="5"/>
      <c r="G79" s="5"/>
      <c r="J79" s="5"/>
      <c r="M79" s="5"/>
      <c r="N79" s="5"/>
      <c r="P79" s="5"/>
    </row>
    <row r="80" spans="1:16" ht="13">
      <c r="A80" s="48" t="s">
        <v>1453</v>
      </c>
      <c r="B80" s="49" t="s">
        <v>3149</v>
      </c>
      <c r="C80" s="51" t="s">
        <v>808</v>
      </c>
      <c r="D80" s="51"/>
      <c r="E80" s="5"/>
      <c r="F80" s="5"/>
      <c r="G80" s="5"/>
      <c r="J80" s="5"/>
      <c r="M80" s="5"/>
      <c r="N80" s="5"/>
      <c r="P80" s="5"/>
    </row>
    <row r="81" spans="1:16" ht="13">
      <c r="A81" s="48" t="s">
        <v>1455</v>
      </c>
      <c r="B81" s="49" t="s">
        <v>901</v>
      </c>
      <c r="C81" s="51" t="s">
        <v>225</v>
      </c>
      <c r="D81" s="51"/>
      <c r="E81" s="5"/>
      <c r="F81" s="5"/>
      <c r="G81" s="5"/>
      <c r="J81" s="5"/>
      <c r="M81" s="5"/>
      <c r="N81" s="5"/>
      <c r="P81" s="5"/>
    </row>
    <row r="82" spans="1:16" ht="13">
      <c r="A82" s="48" t="s">
        <v>1456</v>
      </c>
      <c r="B82" s="49" t="s">
        <v>297</v>
      </c>
      <c r="C82" s="51" t="s">
        <v>205</v>
      </c>
      <c r="D82" s="54"/>
      <c r="E82" s="5"/>
      <c r="F82" s="5"/>
      <c r="G82" s="5"/>
      <c r="J82" s="5"/>
      <c r="M82" s="5"/>
      <c r="N82" s="5"/>
      <c r="P82" s="5"/>
    </row>
    <row r="83" spans="1:16" ht="13">
      <c r="A83" s="48" t="s">
        <v>1457</v>
      </c>
      <c r="B83" s="49" t="s">
        <v>1187</v>
      </c>
      <c r="C83" s="51" t="s">
        <v>205</v>
      </c>
      <c r="D83" s="51"/>
      <c r="E83" s="5"/>
      <c r="F83" s="5"/>
      <c r="G83" s="5"/>
      <c r="J83" s="5"/>
      <c r="M83" s="5"/>
      <c r="N83" s="5"/>
      <c r="P83" s="5"/>
    </row>
    <row r="84" spans="1:16" ht="13">
      <c r="A84" s="48" t="s">
        <v>1458</v>
      </c>
      <c r="B84" s="49" t="s">
        <v>298</v>
      </c>
      <c r="C84" s="51" t="s">
        <v>192</v>
      </c>
      <c r="D84" s="51"/>
      <c r="E84" s="5"/>
      <c r="F84" s="5"/>
      <c r="G84" s="5"/>
      <c r="J84" s="5"/>
      <c r="M84" s="5"/>
      <c r="N84" s="5"/>
      <c r="P84" s="5"/>
    </row>
    <row r="85" spans="1:16" ht="13">
      <c r="A85" s="48" t="s">
        <v>1459</v>
      </c>
      <c r="B85" s="49" t="s">
        <v>298</v>
      </c>
      <c r="C85" s="51" t="s">
        <v>192</v>
      </c>
      <c r="D85" s="51"/>
      <c r="E85" s="5"/>
      <c r="F85" s="5"/>
      <c r="G85" s="5"/>
      <c r="J85" s="5"/>
      <c r="M85" s="5"/>
      <c r="N85" s="5"/>
      <c r="P85" s="5"/>
    </row>
    <row r="86" spans="1:16" ht="13">
      <c r="A86" s="48" t="s">
        <v>1460</v>
      </c>
      <c r="B86" s="49" t="s">
        <v>3545</v>
      </c>
      <c r="C86" s="51" t="s">
        <v>229</v>
      </c>
      <c r="D86" s="51"/>
      <c r="E86" s="5"/>
      <c r="F86" s="5"/>
      <c r="G86" s="5"/>
      <c r="J86" s="5"/>
      <c r="M86" s="5"/>
      <c r="N86" s="5"/>
      <c r="P86" s="5"/>
    </row>
    <row r="87" spans="1:16" ht="13">
      <c r="A87" s="48" t="s">
        <v>1462</v>
      </c>
      <c r="B87" s="49" t="s">
        <v>3546</v>
      </c>
      <c r="C87" s="51" t="s">
        <v>206</v>
      </c>
      <c r="D87" s="54"/>
      <c r="E87" s="5"/>
      <c r="F87" s="5"/>
      <c r="G87" s="5"/>
      <c r="J87" s="5"/>
      <c r="M87" s="5"/>
      <c r="N87" s="5"/>
      <c r="P87" s="5"/>
    </row>
    <row r="88" spans="1:16" ht="13">
      <c r="A88" s="48" t="s">
        <v>1463</v>
      </c>
      <c r="B88" s="49" t="s">
        <v>1140</v>
      </c>
      <c r="C88" s="51" t="s">
        <v>206</v>
      </c>
      <c r="D88" s="54"/>
      <c r="E88" s="5"/>
      <c r="F88" s="5"/>
      <c r="G88" s="5"/>
      <c r="J88" s="5"/>
      <c r="M88" s="5"/>
      <c r="N88" s="5"/>
      <c r="P88" s="5"/>
    </row>
    <row r="89" spans="1:16" ht="13">
      <c r="A89" s="48" t="s">
        <v>1464</v>
      </c>
      <c r="B89" s="49" t="s">
        <v>2029</v>
      </c>
      <c r="C89" s="51" t="s">
        <v>206</v>
      </c>
      <c r="D89" s="54"/>
      <c r="E89" s="5"/>
      <c r="F89" s="5"/>
      <c r="G89" s="5"/>
      <c r="J89" s="5"/>
      <c r="M89" s="5"/>
      <c r="N89" s="5"/>
      <c r="P89" s="5"/>
    </row>
    <row r="90" spans="1:16" ht="13">
      <c r="A90" s="48" t="s">
        <v>1465</v>
      </c>
      <c r="B90" s="49" t="s">
        <v>3547</v>
      </c>
      <c r="C90" s="51" t="s">
        <v>206</v>
      </c>
      <c r="D90" s="54"/>
      <c r="E90" s="5"/>
      <c r="F90" s="5"/>
      <c r="G90" s="5"/>
      <c r="J90" s="5"/>
      <c r="M90" s="5"/>
      <c r="N90" s="5"/>
      <c r="P90" s="5"/>
    </row>
    <row r="91" spans="1:16" ht="13">
      <c r="A91" s="48" t="s">
        <v>1467</v>
      </c>
      <c r="B91" s="49" t="s">
        <v>3548</v>
      </c>
      <c r="C91" s="51" t="s">
        <v>1013</v>
      </c>
      <c r="D91" s="51"/>
      <c r="E91" s="5"/>
      <c r="F91" s="5"/>
      <c r="G91" s="5"/>
      <c r="J91" s="5"/>
      <c r="M91" s="5"/>
      <c r="N91" s="5"/>
      <c r="P91" s="5"/>
    </row>
    <row r="92" spans="1:16" ht="13">
      <c r="A92" s="48" t="s">
        <v>1469</v>
      </c>
      <c r="B92" s="49" t="s">
        <v>3549</v>
      </c>
      <c r="C92" s="51" t="s">
        <v>206</v>
      </c>
      <c r="D92" s="54"/>
      <c r="E92" s="5"/>
      <c r="F92" s="5"/>
      <c r="G92" s="5"/>
      <c r="J92" s="5"/>
      <c r="M92" s="5"/>
      <c r="N92" s="5"/>
      <c r="P92" s="5"/>
    </row>
    <row r="93" spans="1:16" ht="13">
      <c r="A93" s="48" t="s">
        <v>1471</v>
      </c>
      <c r="B93" s="49" t="s">
        <v>3550</v>
      </c>
      <c r="C93" s="51" t="s">
        <v>206</v>
      </c>
      <c r="D93" s="51"/>
      <c r="E93" s="5"/>
      <c r="F93" s="5"/>
      <c r="G93" s="5"/>
      <c r="J93" s="5"/>
      <c r="M93" s="5"/>
      <c r="N93" s="5"/>
      <c r="P93" s="5"/>
    </row>
    <row r="94" spans="1:16" ht="13">
      <c r="A94" s="48" t="s">
        <v>1473</v>
      </c>
      <c r="B94" s="49" t="s">
        <v>3551</v>
      </c>
      <c r="C94" s="51" t="s">
        <v>206</v>
      </c>
      <c r="D94" s="51"/>
      <c r="E94" s="5"/>
      <c r="F94" s="5"/>
      <c r="G94" s="5"/>
      <c r="J94" s="5"/>
      <c r="M94" s="5"/>
      <c r="N94" s="5"/>
      <c r="P94" s="5"/>
    </row>
    <row r="95" spans="1:16" ht="13">
      <c r="A95" s="48" t="s">
        <v>1475</v>
      </c>
      <c r="B95" s="49" t="s">
        <v>3346</v>
      </c>
      <c r="C95" s="51" t="s">
        <v>206</v>
      </c>
      <c r="D95" s="54"/>
      <c r="E95" s="5"/>
      <c r="F95" s="5"/>
      <c r="G95" s="5"/>
      <c r="J95" s="5"/>
      <c r="M95" s="5"/>
      <c r="N95" s="5"/>
      <c r="P95" s="5"/>
    </row>
    <row r="96" spans="1:16" ht="13">
      <c r="A96" s="48" t="s">
        <v>1476</v>
      </c>
      <c r="B96" s="49" t="s">
        <v>314</v>
      </c>
      <c r="C96" s="51" t="s">
        <v>206</v>
      </c>
      <c r="D96" s="54"/>
      <c r="E96" s="51"/>
      <c r="F96" s="5"/>
      <c r="G96" s="5"/>
      <c r="J96" s="5"/>
      <c r="M96" s="5"/>
      <c r="N96" s="5"/>
      <c r="P96" s="5"/>
    </row>
    <row r="97" spans="1:16" ht="13">
      <c r="A97" s="48" t="s">
        <v>1478</v>
      </c>
      <c r="B97" s="49" t="s">
        <v>315</v>
      </c>
      <c r="C97" s="51" t="s">
        <v>206</v>
      </c>
      <c r="D97" s="54"/>
      <c r="E97" s="5"/>
      <c r="F97" s="5"/>
      <c r="G97" s="5"/>
      <c r="J97" s="5"/>
      <c r="M97" s="5"/>
      <c r="N97" s="5"/>
      <c r="P97" s="5"/>
    </row>
    <row r="98" spans="1:16" ht="13">
      <c r="A98" s="48" t="s">
        <v>1480</v>
      </c>
      <c r="B98" s="49" t="s">
        <v>1184</v>
      </c>
      <c r="C98" s="51" t="s">
        <v>317</v>
      </c>
      <c r="D98" s="54"/>
      <c r="E98" s="5"/>
      <c r="F98" s="5"/>
      <c r="G98" s="5"/>
      <c r="J98" s="5"/>
      <c r="M98" s="5"/>
      <c r="N98" s="5"/>
      <c r="P98" s="5"/>
    </row>
    <row r="99" spans="1:16" ht="13">
      <c r="A99" s="48" t="s">
        <v>1481</v>
      </c>
      <c r="B99" s="49" t="s">
        <v>1173</v>
      </c>
      <c r="C99" s="51" t="s">
        <v>317</v>
      </c>
      <c r="D99" s="54"/>
      <c r="E99" s="51"/>
      <c r="F99" s="5"/>
      <c r="G99" s="5"/>
      <c r="J99" s="5"/>
      <c r="M99" s="5"/>
      <c r="N99" s="5"/>
      <c r="P99" s="5"/>
    </row>
    <row r="100" spans="1:16" ht="13">
      <c r="A100" s="48" t="s">
        <v>1483</v>
      </c>
      <c r="B100" s="49" t="s">
        <v>3552</v>
      </c>
      <c r="C100" s="51" t="s">
        <v>195</v>
      </c>
      <c r="D100" s="54"/>
      <c r="E100" s="5"/>
      <c r="F100" s="5"/>
      <c r="G100" s="5"/>
      <c r="J100" s="5"/>
      <c r="M100" s="5"/>
      <c r="N100" s="5"/>
      <c r="P100" s="5"/>
    </row>
    <row r="101" spans="1:16" ht="13">
      <c r="A101" s="48" t="s">
        <v>1484</v>
      </c>
      <c r="B101" s="49" t="s">
        <v>3072</v>
      </c>
      <c r="C101" s="51" t="s">
        <v>199</v>
      </c>
      <c r="D101" s="54"/>
      <c r="E101" s="5"/>
      <c r="F101" s="5"/>
      <c r="G101" s="5"/>
      <c r="J101" s="5"/>
      <c r="M101" s="5"/>
      <c r="N101" s="5"/>
      <c r="P101" s="5"/>
    </row>
    <row r="102" spans="1:16" ht="13">
      <c r="A102" s="48" t="s">
        <v>1485</v>
      </c>
      <c r="B102" s="49" t="s">
        <v>3553</v>
      </c>
      <c r="C102" s="51" t="s">
        <v>225</v>
      </c>
      <c r="D102" s="54"/>
      <c r="E102" s="5"/>
      <c r="F102" s="5"/>
      <c r="G102" s="5"/>
      <c r="J102" s="5"/>
      <c r="M102" s="5"/>
      <c r="N102" s="5"/>
      <c r="P102" s="5"/>
    </row>
    <row r="103" spans="1:16" ht="13">
      <c r="A103" s="48" t="s">
        <v>1487</v>
      </c>
      <c r="B103" s="49" t="s">
        <v>3554</v>
      </c>
      <c r="C103" s="51" t="s">
        <v>192</v>
      </c>
      <c r="D103" s="54"/>
      <c r="E103" s="5"/>
      <c r="F103" s="5"/>
      <c r="G103" s="5"/>
      <c r="J103" s="5"/>
      <c r="M103" s="5"/>
      <c r="N103" s="5"/>
      <c r="P103" s="5"/>
    </row>
    <row r="104" spans="1:16" ht="13">
      <c r="A104" s="48" t="s">
        <v>1489</v>
      </c>
      <c r="B104" s="49" t="s">
        <v>3070</v>
      </c>
      <c r="C104" s="51" t="s">
        <v>197</v>
      </c>
      <c r="D104" s="54"/>
      <c r="E104" s="5"/>
      <c r="F104" s="5"/>
      <c r="G104" s="5"/>
      <c r="J104" s="5"/>
      <c r="M104" s="5"/>
      <c r="N104" s="5"/>
      <c r="P104" s="5"/>
    </row>
    <row r="105" spans="1:16" ht="13">
      <c r="A105" s="48" t="s">
        <v>3555</v>
      </c>
      <c r="B105" s="49" t="s">
        <v>278</v>
      </c>
      <c r="C105" s="51" t="s">
        <v>199</v>
      </c>
      <c r="D105" s="54"/>
      <c r="E105" s="5"/>
      <c r="F105" s="5"/>
      <c r="G105" s="5"/>
      <c r="J105" s="5"/>
      <c r="M105" s="5"/>
      <c r="N105" s="5"/>
      <c r="P105" s="5"/>
    </row>
    <row r="106" spans="1:16" ht="13">
      <c r="A106" s="48" t="s">
        <v>3556</v>
      </c>
      <c r="B106" s="49" t="s">
        <v>258</v>
      </c>
      <c r="C106" s="51" t="s">
        <v>199</v>
      </c>
      <c r="D106" s="54"/>
      <c r="E106" s="5"/>
      <c r="F106" s="5"/>
      <c r="G106" s="5"/>
      <c r="J106" s="5"/>
      <c r="M106" s="5"/>
      <c r="N106" s="5"/>
      <c r="P106" s="5"/>
    </row>
    <row r="107" spans="1:16" ht="13">
      <c r="A107" s="48" t="s">
        <v>3557</v>
      </c>
      <c r="B107" s="49" t="s">
        <v>243</v>
      </c>
      <c r="C107" s="51" t="s">
        <v>199</v>
      </c>
      <c r="D107" s="54"/>
      <c r="E107" s="5"/>
      <c r="F107" s="5"/>
      <c r="G107" s="5"/>
      <c r="J107" s="5"/>
      <c r="M107" s="5"/>
      <c r="N107" s="5"/>
      <c r="P107" s="5"/>
    </row>
    <row r="108" spans="1:16" ht="13">
      <c r="A108" s="48" t="s">
        <v>3558</v>
      </c>
      <c r="B108" s="49" t="s">
        <v>3134</v>
      </c>
      <c r="C108" s="51" t="s">
        <v>195</v>
      </c>
      <c r="D108" s="54"/>
      <c r="E108" s="5"/>
      <c r="F108" s="5"/>
      <c r="G108" s="5"/>
      <c r="J108" s="5"/>
      <c r="M108" s="5"/>
      <c r="N108" s="5"/>
      <c r="P108" s="5"/>
    </row>
    <row r="109" spans="1:16" ht="13">
      <c r="A109" s="48" t="s">
        <v>3559</v>
      </c>
      <c r="B109" s="49" t="s">
        <v>1437</v>
      </c>
      <c r="C109" s="51" t="s">
        <v>195</v>
      </c>
      <c r="D109" s="54"/>
      <c r="E109" s="5"/>
      <c r="F109" s="5"/>
      <c r="G109" s="5"/>
      <c r="J109" s="5"/>
      <c r="M109" s="5"/>
      <c r="N109" s="5"/>
      <c r="P109" s="5"/>
    </row>
    <row r="110" spans="1:16" ht="13">
      <c r="A110" s="48" t="s">
        <v>3560</v>
      </c>
      <c r="B110" s="49" t="s">
        <v>298</v>
      </c>
      <c r="C110" s="51" t="s">
        <v>192</v>
      </c>
      <c r="D110" s="54"/>
      <c r="E110" s="5"/>
      <c r="F110" s="5"/>
      <c r="G110" s="5"/>
      <c r="J110" s="5"/>
      <c r="M110" s="5"/>
      <c r="N110" s="5"/>
      <c r="P110" s="5"/>
    </row>
    <row r="111" spans="1:16" ht="13">
      <c r="A111" s="48"/>
      <c r="B111" s="50"/>
      <c r="C111" s="51"/>
      <c r="D111" s="54"/>
      <c r="E111" s="5"/>
      <c r="F111" s="5"/>
      <c r="G111" s="5"/>
      <c r="J111" s="5"/>
      <c r="M111" s="5"/>
      <c r="N111" s="5"/>
      <c r="P111" s="5"/>
    </row>
    <row r="112" spans="1:16" ht="13">
      <c r="A112" s="48"/>
      <c r="B112" s="50"/>
      <c r="C112" s="51"/>
      <c r="D112" s="54"/>
      <c r="E112" s="51"/>
      <c r="F112" s="5"/>
      <c r="G112" s="5"/>
      <c r="J112" s="5"/>
      <c r="M112" s="5"/>
      <c r="N112" s="5"/>
      <c r="P112" s="5"/>
    </row>
    <row r="113" spans="1:16" ht="13">
      <c r="A113" s="48"/>
      <c r="B113" s="50"/>
      <c r="C113" s="51"/>
      <c r="D113" s="54"/>
      <c r="E113" s="5"/>
      <c r="F113" s="5"/>
      <c r="G113" s="5"/>
      <c r="J113" s="5"/>
      <c r="M113" s="5"/>
      <c r="N113" s="5"/>
      <c r="P113" s="5"/>
    </row>
    <row r="114" spans="1:16" ht="13">
      <c r="A114" s="48"/>
      <c r="B114" s="50"/>
      <c r="C114" s="51"/>
      <c r="D114" s="54"/>
      <c r="E114" s="5"/>
      <c r="F114" s="5"/>
      <c r="G114" s="5"/>
      <c r="J114" s="5"/>
      <c r="M114" s="5"/>
      <c r="N114" s="5"/>
      <c r="P114" s="5"/>
    </row>
    <row r="115" spans="1:16" ht="13">
      <c r="A115" s="48"/>
      <c r="B115" s="50"/>
      <c r="C115" s="51"/>
      <c r="D115" s="54"/>
      <c r="E115" s="5"/>
      <c r="F115" s="5"/>
      <c r="G115" s="5"/>
      <c r="J115" s="5"/>
      <c r="M115" s="5"/>
      <c r="N115" s="5"/>
      <c r="P115" s="5"/>
    </row>
    <row r="116" spans="1:16" ht="13">
      <c r="A116" s="48"/>
      <c r="B116" s="50"/>
      <c r="C116" s="51"/>
      <c r="D116" s="51"/>
      <c r="E116" s="5"/>
      <c r="F116" s="5"/>
      <c r="G116" s="5"/>
      <c r="J116" s="5"/>
      <c r="M116" s="5"/>
      <c r="N116" s="5"/>
      <c r="P116" s="5"/>
    </row>
    <row r="117" spans="1:16" ht="13">
      <c r="A117" s="48"/>
      <c r="B117" s="50"/>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1"/>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0"/>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0"/>
      <c r="C129" s="51"/>
      <c r="D129" s="51"/>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1"/>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000-000000000000}"/>
    <hyperlink ref="B6" r:id="rId2" xr:uid="{00000000-0004-0000-3000-000001000000}"/>
    <hyperlink ref="B7" r:id="rId3" xr:uid="{00000000-0004-0000-3000-000002000000}"/>
    <hyperlink ref="B8" r:id="rId4" xr:uid="{00000000-0004-0000-3000-000003000000}"/>
    <hyperlink ref="B9" r:id="rId5" xr:uid="{00000000-0004-0000-3000-000004000000}"/>
    <hyperlink ref="B10" r:id="rId6" xr:uid="{00000000-0004-0000-3000-000005000000}"/>
    <hyperlink ref="B11" r:id="rId7" xr:uid="{00000000-0004-0000-3000-000006000000}"/>
    <hyperlink ref="B12" r:id="rId8" xr:uid="{00000000-0004-0000-3000-000007000000}"/>
    <hyperlink ref="B13" r:id="rId9" xr:uid="{00000000-0004-0000-3000-000008000000}"/>
    <hyperlink ref="B14" r:id="rId10" xr:uid="{00000000-0004-0000-3000-000009000000}"/>
    <hyperlink ref="B15" r:id="rId11" xr:uid="{00000000-0004-0000-3000-00000A000000}"/>
    <hyperlink ref="B16" r:id="rId12" xr:uid="{00000000-0004-0000-3000-00000B000000}"/>
    <hyperlink ref="B17" r:id="rId13" xr:uid="{00000000-0004-0000-3000-00000C000000}"/>
    <hyperlink ref="B18" r:id="rId14" xr:uid="{00000000-0004-0000-3000-00000D000000}"/>
    <hyperlink ref="B19" r:id="rId15" xr:uid="{00000000-0004-0000-3000-00000E000000}"/>
    <hyperlink ref="B20" r:id="rId16" xr:uid="{00000000-0004-0000-3000-00000F000000}"/>
    <hyperlink ref="B21" r:id="rId17" xr:uid="{00000000-0004-0000-3000-000010000000}"/>
    <hyperlink ref="B22" r:id="rId18" xr:uid="{00000000-0004-0000-3000-000011000000}"/>
    <hyperlink ref="B23" r:id="rId19" xr:uid="{00000000-0004-0000-3000-000012000000}"/>
    <hyperlink ref="B24" r:id="rId20" xr:uid="{00000000-0004-0000-3000-000013000000}"/>
    <hyperlink ref="B25" r:id="rId21" xr:uid="{00000000-0004-0000-3000-000014000000}"/>
    <hyperlink ref="B26" r:id="rId22" xr:uid="{00000000-0004-0000-3000-000015000000}"/>
    <hyperlink ref="B27" r:id="rId23" xr:uid="{00000000-0004-0000-3000-000016000000}"/>
    <hyperlink ref="B28" r:id="rId24" xr:uid="{00000000-0004-0000-3000-000017000000}"/>
    <hyperlink ref="B29" r:id="rId25" xr:uid="{00000000-0004-0000-3000-000018000000}"/>
    <hyperlink ref="B30" r:id="rId26" xr:uid="{00000000-0004-0000-3000-000019000000}"/>
    <hyperlink ref="B31" r:id="rId27" xr:uid="{00000000-0004-0000-3000-00001A000000}"/>
    <hyperlink ref="B32" r:id="rId28" xr:uid="{00000000-0004-0000-3000-00001B000000}"/>
    <hyperlink ref="B33" r:id="rId29" xr:uid="{00000000-0004-0000-3000-00001C000000}"/>
    <hyperlink ref="B34" r:id="rId30" xr:uid="{00000000-0004-0000-3000-00001D000000}"/>
    <hyperlink ref="B35" r:id="rId31" xr:uid="{00000000-0004-0000-3000-00001E000000}"/>
    <hyperlink ref="B36" r:id="rId32" xr:uid="{00000000-0004-0000-3000-00001F000000}"/>
    <hyperlink ref="B37" r:id="rId33" xr:uid="{00000000-0004-0000-3000-000020000000}"/>
    <hyperlink ref="B38" r:id="rId34" xr:uid="{00000000-0004-0000-3000-000021000000}"/>
    <hyperlink ref="B39" r:id="rId35" xr:uid="{00000000-0004-0000-3000-000022000000}"/>
    <hyperlink ref="B40" r:id="rId36" xr:uid="{00000000-0004-0000-3000-000023000000}"/>
    <hyperlink ref="B41" r:id="rId37" xr:uid="{00000000-0004-0000-3000-000024000000}"/>
    <hyperlink ref="B42" r:id="rId38" xr:uid="{00000000-0004-0000-3000-000025000000}"/>
    <hyperlink ref="B43" r:id="rId39" xr:uid="{00000000-0004-0000-3000-000026000000}"/>
    <hyperlink ref="B44" r:id="rId40" xr:uid="{00000000-0004-0000-3000-000027000000}"/>
    <hyperlink ref="B45" r:id="rId41" xr:uid="{00000000-0004-0000-3000-000028000000}"/>
    <hyperlink ref="B46" r:id="rId42" xr:uid="{00000000-0004-0000-3000-000029000000}"/>
    <hyperlink ref="B47" r:id="rId43" xr:uid="{00000000-0004-0000-3000-00002A000000}"/>
    <hyperlink ref="B48" r:id="rId44" xr:uid="{00000000-0004-0000-3000-00002B000000}"/>
    <hyperlink ref="B49" r:id="rId45" xr:uid="{00000000-0004-0000-3000-00002C000000}"/>
    <hyperlink ref="B50" r:id="rId46" xr:uid="{00000000-0004-0000-3000-00002D000000}"/>
    <hyperlink ref="B51" r:id="rId47" xr:uid="{00000000-0004-0000-3000-00002E000000}"/>
    <hyperlink ref="B52" r:id="rId48" xr:uid="{00000000-0004-0000-3000-00002F000000}"/>
    <hyperlink ref="B53" r:id="rId49" xr:uid="{00000000-0004-0000-3000-000030000000}"/>
    <hyperlink ref="B54" r:id="rId50" xr:uid="{00000000-0004-0000-3000-000031000000}"/>
    <hyperlink ref="B55" r:id="rId51" xr:uid="{00000000-0004-0000-3000-000032000000}"/>
    <hyperlink ref="B56" r:id="rId52" xr:uid="{00000000-0004-0000-3000-000033000000}"/>
    <hyperlink ref="B57" r:id="rId53" xr:uid="{00000000-0004-0000-3000-000034000000}"/>
    <hyperlink ref="B58" r:id="rId54" xr:uid="{00000000-0004-0000-3000-000035000000}"/>
    <hyperlink ref="B59" r:id="rId55" xr:uid="{00000000-0004-0000-3000-000036000000}"/>
    <hyperlink ref="B60" r:id="rId56" xr:uid="{00000000-0004-0000-3000-000037000000}"/>
    <hyperlink ref="B61" r:id="rId57" xr:uid="{00000000-0004-0000-3000-000038000000}"/>
    <hyperlink ref="B62" r:id="rId58" xr:uid="{00000000-0004-0000-3000-000039000000}"/>
    <hyperlink ref="B63" r:id="rId59" xr:uid="{00000000-0004-0000-3000-00003A000000}"/>
    <hyperlink ref="B64" r:id="rId60" xr:uid="{00000000-0004-0000-3000-00003B000000}"/>
    <hyperlink ref="B65" r:id="rId61" xr:uid="{00000000-0004-0000-3000-00003C000000}"/>
    <hyperlink ref="B66" r:id="rId62" xr:uid="{00000000-0004-0000-3000-00003D000000}"/>
    <hyperlink ref="B67" r:id="rId63" xr:uid="{00000000-0004-0000-3000-00003E000000}"/>
    <hyperlink ref="B68" r:id="rId64" xr:uid="{00000000-0004-0000-3000-00003F000000}"/>
    <hyperlink ref="B69" r:id="rId65" xr:uid="{00000000-0004-0000-3000-000040000000}"/>
    <hyperlink ref="B70" r:id="rId66" xr:uid="{00000000-0004-0000-3000-000041000000}"/>
    <hyperlink ref="B71" r:id="rId67" xr:uid="{00000000-0004-0000-3000-000042000000}"/>
    <hyperlink ref="B72" r:id="rId68" xr:uid="{00000000-0004-0000-3000-000043000000}"/>
    <hyperlink ref="B73" r:id="rId69" xr:uid="{00000000-0004-0000-3000-000044000000}"/>
    <hyperlink ref="B74" r:id="rId70" xr:uid="{00000000-0004-0000-3000-000045000000}"/>
    <hyperlink ref="B75" r:id="rId71" xr:uid="{00000000-0004-0000-3000-000046000000}"/>
    <hyperlink ref="B76" r:id="rId72" xr:uid="{00000000-0004-0000-3000-000047000000}"/>
    <hyperlink ref="B77" r:id="rId73" xr:uid="{00000000-0004-0000-3000-000048000000}"/>
    <hyperlink ref="B78" r:id="rId74" xr:uid="{00000000-0004-0000-3000-000049000000}"/>
    <hyperlink ref="B79" r:id="rId75" xr:uid="{00000000-0004-0000-3000-00004A000000}"/>
    <hyperlink ref="B80" r:id="rId76" xr:uid="{00000000-0004-0000-3000-00004B000000}"/>
    <hyperlink ref="B81" r:id="rId77" xr:uid="{00000000-0004-0000-3000-00004C000000}"/>
    <hyperlink ref="B82" r:id="rId78" xr:uid="{00000000-0004-0000-3000-00004D000000}"/>
    <hyperlink ref="B83" r:id="rId79" xr:uid="{00000000-0004-0000-3000-00004E000000}"/>
    <hyperlink ref="B84" r:id="rId80" xr:uid="{00000000-0004-0000-3000-00004F000000}"/>
    <hyperlink ref="B85" r:id="rId81" xr:uid="{00000000-0004-0000-3000-000050000000}"/>
    <hyperlink ref="B86" r:id="rId82" xr:uid="{00000000-0004-0000-3000-000051000000}"/>
    <hyperlink ref="B87" r:id="rId83" xr:uid="{00000000-0004-0000-3000-000052000000}"/>
    <hyperlink ref="B88" r:id="rId84" xr:uid="{00000000-0004-0000-3000-000053000000}"/>
    <hyperlink ref="B89" r:id="rId85" xr:uid="{00000000-0004-0000-3000-000054000000}"/>
    <hyperlink ref="B90" r:id="rId86" xr:uid="{00000000-0004-0000-3000-000055000000}"/>
    <hyperlink ref="B91" r:id="rId87" xr:uid="{00000000-0004-0000-3000-000056000000}"/>
    <hyperlink ref="B92" r:id="rId88" xr:uid="{00000000-0004-0000-3000-000057000000}"/>
    <hyperlink ref="B93" r:id="rId89" xr:uid="{00000000-0004-0000-3000-000058000000}"/>
    <hyperlink ref="B94" r:id="rId90" xr:uid="{00000000-0004-0000-3000-000059000000}"/>
    <hyperlink ref="B95" r:id="rId91" xr:uid="{00000000-0004-0000-3000-00005A000000}"/>
    <hyperlink ref="B96" r:id="rId92" xr:uid="{00000000-0004-0000-3000-00005B000000}"/>
    <hyperlink ref="B97" r:id="rId93" xr:uid="{00000000-0004-0000-3000-00005C000000}"/>
    <hyperlink ref="B98" r:id="rId94" xr:uid="{00000000-0004-0000-3000-00005D000000}"/>
    <hyperlink ref="B99" r:id="rId95" xr:uid="{00000000-0004-0000-3000-00005E000000}"/>
    <hyperlink ref="B100" r:id="rId96" xr:uid="{00000000-0004-0000-3000-00005F000000}"/>
    <hyperlink ref="B101" r:id="rId97" xr:uid="{00000000-0004-0000-3000-000060000000}"/>
    <hyperlink ref="B102" r:id="rId98" xr:uid="{00000000-0004-0000-3000-000061000000}"/>
    <hyperlink ref="B103" r:id="rId99" xr:uid="{00000000-0004-0000-3000-000062000000}"/>
    <hyperlink ref="B104" r:id="rId100" xr:uid="{00000000-0004-0000-3000-000063000000}"/>
    <hyperlink ref="B105" r:id="rId101" xr:uid="{00000000-0004-0000-3000-000064000000}"/>
    <hyperlink ref="B106" r:id="rId102" xr:uid="{00000000-0004-0000-3000-000065000000}"/>
    <hyperlink ref="B107" r:id="rId103" xr:uid="{00000000-0004-0000-3000-000066000000}"/>
    <hyperlink ref="B108" r:id="rId104" xr:uid="{00000000-0004-0000-3000-000067000000}"/>
    <hyperlink ref="B109" r:id="rId105" xr:uid="{00000000-0004-0000-3000-000068000000}"/>
    <hyperlink ref="B110" r:id="rId106" xr:uid="{00000000-0004-0000-3000-000069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37.1640625" customWidth="1"/>
    <col min="3" max="3" width="13.5" customWidth="1"/>
    <col min="4" max="4" width="14.83203125" customWidth="1"/>
    <col min="5" max="5" width="14.33203125" customWidth="1"/>
    <col min="11" max="11" width="13.83203125" customWidth="1"/>
  </cols>
  <sheetData>
    <row r="1" spans="1:23" ht="15.75" customHeight="1">
      <c r="A1" s="1" t="s">
        <v>52</v>
      </c>
      <c r="B1" s="36"/>
      <c r="C1" s="46"/>
      <c r="D1" s="7" t="s">
        <v>181</v>
      </c>
      <c r="E1" s="5"/>
      <c r="F1" s="5"/>
      <c r="G1" s="5"/>
      <c r="K1" s="1"/>
      <c r="M1" s="5"/>
      <c r="N1" s="5"/>
      <c r="S1" s="1"/>
      <c r="U1" s="5"/>
    </row>
    <row r="2" spans="1:23" ht="15.75" customHeight="1">
      <c r="A2" s="7" t="s">
        <v>182</v>
      </c>
      <c r="B2" s="38">
        <v>39855</v>
      </c>
      <c r="C2" s="46"/>
      <c r="D2" s="39">
        <f>SUM(D5:G137)</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3561</v>
      </c>
      <c r="B5" s="49" t="s">
        <v>766</v>
      </c>
      <c r="C5" s="51" t="s">
        <v>192</v>
      </c>
      <c r="D5" s="54"/>
      <c r="E5" s="5"/>
      <c r="F5" s="5"/>
      <c r="G5" s="5"/>
      <c r="L5" s="43"/>
      <c r="M5" s="43"/>
      <c r="N5" s="42"/>
      <c r="O5" s="44"/>
      <c r="S5" s="42"/>
      <c r="T5" s="43"/>
      <c r="U5" s="43"/>
      <c r="V5" s="42"/>
      <c r="W5" s="44"/>
    </row>
    <row r="6" spans="1:23" ht="15.75" customHeight="1">
      <c r="A6" s="48" t="s">
        <v>3562</v>
      </c>
      <c r="B6" s="49" t="s">
        <v>240</v>
      </c>
      <c r="C6" s="51" t="s">
        <v>208</v>
      </c>
      <c r="D6" s="54"/>
      <c r="E6" s="5"/>
      <c r="F6" s="5"/>
      <c r="G6" s="5"/>
      <c r="L6" s="50"/>
      <c r="M6" s="51"/>
      <c r="N6" s="5"/>
      <c r="S6" s="52"/>
      <c r="T6" s="50"/>
      <c r="U6" s="51"/>
    </row>
    <row r="7" spans="1:23" ht="15.75" customHeight="1">
      <c r="A7" s="48" t="s">
        <v>3563</v>
      </c>
      <c r="B7" s="49" t="s">
        <v>1212</v>
      </c>
      <c r="C7" s="51" t="s">
        <v>199</v>
      </c>
      <c r="D7" s="54"/>
      <c r="E7" s="5"/>
      <c r="F7" s="5"/>
      <c r="G7" s="5"/>
      <c r="K7" s="52"/>
      <c r="L7" s="50"/>
      <c r="M7" s="51"/>
      <c r="N7" s="5"/>
      <c r="S7" s="52"/>
      <c r="T7" s="50"/>
      <c r="U7" s="51"/>
    </row>
    <row r="8" spans="1:23" ht="15.75" customHeight="1">
      <c r="A8" s="48" t="s">
        <v>3564</v>
      </c>
      <c r="B8" s="49" t="s">
        <v>1216</v>
      </c>
      <c r="C8" s="51" t="s">
        <v>197</v>
      </c>
      <c r="D8" s="54"/>
      <c r="E8" s="5"/>
      <c r="F8" s="5"/>
      <c r="G8" s="5"/>
      <c r="K8" s="52"/>
      <c r="L8" s="50"/>
      <c r="M8" s="51"/>
      <c r="N8" s="51"/>
      <c r="S8" s="52"/>
      <c r="T8" s="50"/>
      <c r="U8" s="51"/>
    </row>
    <row r="9" spans="1:23" ht="15.75" customHeight="1">
      <c r="A9" s="48" t="s">
        <v>3565</v>
      </c>
      <c r="B9" s="49" t="s">
        <v>3062</v>
      </c>
      <c r="C9" s="51" t="s">
        <v>220</v>
      </c>
      <c r="D9" s="54"/>
      <c r="E9" s="5"/>
      <c r="F9" s="5"/>
      <c r="G9" s="5"/>
      <c r="K9" s="52"/>
      <c r="L9" s="50"/>
      <c r="M9" s="51"/>
      <c r="N9" s="51"/>
      <c r="S9" s="52"/>
      <c r="T9" s="50"/>
      <c r="U9" s="51"/>
    </row>
    <row r="10" spans="1:23" ht="15.75" customHeight="1">
      <c r="A10" s="48" t="s">
        <v>3566</v>
      </c>
      <c r="B10" s="49" t="s">
        <v>3062</v>
      </c>
      <c r="C10" s="51" t="s">
        <v>220</v>
      </c>
      <c r="D10" s="54"/>
      <c r="E10" s="5"/>
      <c r="F10" s="5"/>
      <c r="G10" s="5"/>
      <c r="K10" s="52"/>
      <c r="L10" s="50"/>
      <c r="M10" s="51"/>
      <c r="N10" s="5"/>
      <c r="S10" s="52"/>
      <c r="T10" s="50"/>
      <c r="U10" s="51"/>
    </row>
    <row r="11" spans="1:23" ht="15.75" customHeight="1">
      <c r="A11" s="48" t="s">
        <v>3567</v>
      </c>
      <c r="B11" s="58" t="str">
        <f>HYPERLINK("https://bulbapedia.bulbagarden.net/wiki/Dialga_G_(Platinum_7)","DialgaG")</f>
        <v>DialgaG</v>
      </c>
      <c r="C11" s="51" t="s">
        <v>220</v>
      </c>
      <c r="D11" s="54"/>
      <c r="E11" s="5"/>
      <c r="F11" s="5"/>
      <c r="G11" s="5"/>
      <c r="K11" s="52"/>
      <c r="L11" s="50"/>
      <c r="M11" s="51"/>
      <c r="N11" s="51"/>
      <c r="S11" s="52"/>
      <c r="T11" s="50"/>
      <c r="U11" s="51"/>
    </row>
    <row r="12" spans="1:23" ht="15.75" customHeight="1">
      <c r="A12" s="48" t="s">
        <v>3568</v>
      </c>
      <c r="B12" s="49" t="s">
        <v>1220</v>
      </c>
      <c r="C12" s="51" t="s">
        <v>195</v>
      </c>
      <c r="D12" s="54"/>
      <c r="E12" s="5"/>
      <c r="F12" s="5"/>
      <c r="G12" s="5"/>
      <c r="K12" s="52"/>
      <c r="L12" s="50"/>
      <c r="M12" s="51"/>
      <c r="N12" s="51"/>
      <c r="S12" s="52"/>
      <c r="T12" s="50"/>
      <c r="U12" s="51"/>
    </row>
    <row r="13" spans="1:23" ht="15.75" customHeight="1">
      <c r="A13" s="48" t="s">
        <v>3569</v>
      </c>
      <c r="B13" s="49" t="s">
        <v>3374</v>
      </c>
      <c r="C13" s="51" t="s">
        <v>195</v>
      </c>
      <c r="D13" s="54"/>
      <c r="E13" s="5"/>
      <c r="F13" s="5"/>
      <c r="G13" s="5"/>
      <c r="K13" s="52"/>
      <c r="L13" s="50"/>
      <c r="M13" s="51"/>
      <c r="N13" s="5"/>
      <c r="S13" s="52"/>
      <c r="T13" s="50"/>
      <c r="U13" s="51"/>
    </row>
    <row r="14" spans="1:23" ht="15.75" customHeight="1">
      <c r="A14" s="48" t="s">
        <v>3570</v>
      </c>
      <c r="B14" s="49" t="s">
        <v>3374</v>
      </c>
      <c r="C14" s="51" t="s">
        <v>195</v>
      </c>
      <c r="D14" s="54"/>
      <c r="E14" s="5"/>
      <c r="F14" s="5"/>
      <c r="G14" s="5"/>
      <c r="K14" s="52"/>
      <c r="L14" s="50"/>
      <c r="M14" s="51"/>
      <c r="N14" s="51"/>
      <c r="S14" s="52"/>
      <c r="T14" s="50"/>
      <c r="U14" s="51"/>
    </row>
    <row r="15" spans="1:23" ht="15.75" customHeight="1">
      <c r="A15" s="48" t="s">
        <v>3571</v>
      </c>
      <c r="B15" s="49" t="s">
        <v>1224</v>
      </c>
      <c r="C15" s="51" t="s">
        <v>192</v>
      </c>
      <c r="D15" s="54"/>
      <c r="E15" s="5"/>
      <c r="F15" s="5"/>
      <c r="G15" s="5"/>
      <c r="K15" s="52"/>
      <c r="L15" s="50"/>
      <c r="M15" s="51"/>
      <c r="N15" s="51"/>
      <c r="S15" s="52"/>
      <c r="T15" s="50"/>
      <c r="U15" s="51"/>
    </row>
    <row r="16" spans="1:23" ht="15.75" customHeight="1">
      <c r="A16" s="48" t="s">
        <v>3572</v>
      </c>
      <c r="B16" s="58" t="str">
        <f>HYPERLINK("https://bulbapedia.bulbagarden.net/wiki/Palkia_G_(Platinum_12)","PalkiaG")</f>
        <v>PalkiaG</v>
      </c>
      <c r="C16" s="51" t="s">
        <v>208</v>
      </c>
      <c r="D16" s="54"/>
      <c r="E16" s="5"/>
      <c r="F16" s="5"/>
      <c r="G16" s="5"/>
      <c r="K16" s="52"/>
      <c r="L16" s="50"/>
      <c r="M16" s="51"/>
      <c r="N16" s="51"/>
      <c r="S16" s="52"/>
      <c r="T16" s="50"/>
      <c r="U16" s="51"/>
    </row>
    <row r="17" spans="1:27" ht="15.75" customHeight="1">
      <c r="A17" s="48" t="s">
        <v>3573</v>
      </c>
      <c r="B17" s="49" t="s">
        <v>3199</v>
      </c>
      <c r="C17" s="51" t="s">
        <v>225</v>
      </c>
      <c r="D17" s="54"/>
      <c r="E17" s="5"/>
      <c r="F17" s="5"/>
      <c r="G17" s="5"/>
      <c r="K17" s="52"/>
      <c r="L17" s="50"/>
      <c r="M17" s="51"/>
      <c r="N17" s="51"/>
      <c r="S17" s="52"/>
      <c r="T17" s="50"/>
      <c r="U17" s="51"/>
    </row>
    <row r="18" spans="1:27" ht="15.75" customHeight="1">
      <c r="A18" s="48" t="s">
        <v>3574</v>
      </c>
      <c r="B18" s="49" t="s">
        <v>3575</v>
      </c>
      <c r="C18" s="51" t="s">
        <v>205</v>
      </c>
      <c r="D18" s="54"/>
      <c r="E18" s="5"/>
      <c r="F18" s="5"/>
      <c r="G18" s="5"/>
      <c r="M18" s="5"/>
      <c r="N18" s="5"/>
      <c r="U18" s="5"/>
      <c r="AA18" s="5"/>
    </row>
    <row r="19" spans="1:27" ht="15.75" customHeight="1">
      <c r="A19" s="48" t="s">
        <v>3576</v>
      </c>
      <c r="B19" s="49" t="s">
        <v>3575</v>
      </c>
      <c r="C19" s="51" t="s">
        <v>205</v>
      </c>
      <c r="D19" s="54"/>
      <c r="E19" s="5"/>
      <c r="F19" s="5"/>
      <c r="G19" s="5"/>
      <c r="K19" s="1"/>
      <c r="M19" s="5"/>
      <c r="N19" s="5"/>
      <c r="U19" s="5"/>
      <c r="AA19" s="5"/>
    </row>
    <row r="20" spans="1:27" ht="15.75" customHeight="1">
      <c r="A20" s="48" t="s">
        <v>3577</v>
      </c>
      <c r="B20" s="49" t="s">
        <v>1230</v>
      </c>
      <c r="C20" s="51" t="s">
        <v>197</v>
      </c>
      <c r="D20" s="54"/>
      <c r="E20" s="5"/>
      <c r="F20" s="5"/>
      <c r="G20" s="5"/>
      <c r="L20" s="40"/>
      <c r="M20" s="5"/>
      <c r="N20" s="5"/>
      <c r="AA20" s="5"/>
    </row>
    <row r="21" spans="1:27" ht="15.75" customHeight="1">
      <c r="A21" s="48" t="s">
        <v>3578</v>
      </c>
      <c r="B21" s="58" t="str">
        <f>HYPERLINK("https://bulbapedia.bulbagarden.net/wiki/Weavile_G_(Platinum_17)","WeavileG")</f>
        <v>WeavileG</v>
      </c>
      <c r="C21" s="51" t="s">
        <v>808</v>
      </c>
      <c r="D21" s="54"/>
      <c r="E21" s="5"/>
      <c r="F21" s="5"/>
      <c r="G21" s="5"/>
      <c r="M21" s="5"/>
      <c r="N21" s="5"/>
      <c r="AA21" s="5"/>
    </row>
    <row r="22" spans="1:27" ht="15.75" customHeight="1">
      <c r="A22" s="48" t="s">
        <v>3579</v>
      </c>
      <c r="B22" s="49" t="s">
        <v>1493</v>
      </c>
      <c r="C22" s="51" t="s">
        <v>197</v>
      </c>
      <c r="D22" s="54"/>
      <c r="E22" s="5"/>
      <c r="F22" s="5"/>
      <c r="G22" s="5"/>
      <c r="K22" s="42"/>
      <c r="L22" s="45"/>
      <c r="M22" s="46"/>
      <c r="N22" s="47"/>
      <c r="AA22" s="5"/>
    </row>
    <row r="23" spans="1:27" ht="15.75" customHeight="1">
      <c r="A23" s="48" t="s">
        <v>3580</v>
      </c>
      <c r="B23" s="49" t="s">
        <v>1788</v>
      </c>
      <c r="C23" s="51" t="s">
        <v>195</v>
      </c>
      <c r="D23" s="54"/>
      <c r="E23" s="5"/>
      <c r="F23" s="5"/>
      <c r="G23" s="5"/>
      <c r="K23" s="42"/>
      <c r="L23" s="43"/>
      <c r="M23" s="43"/>
      <c r="N23" s="42"/>
      <c r="O23" s="44"/>
      <c r="AA23" s="5"/>
    </row>
    <row r="24" spans="1:27" ht="15.75" customHeight="1">
      <c r="A24" s="48" t="s">
        <v>3581</v>
      </c>
      <c r="B24" s="49" t="s">
        <v>3185</v>
      </c>
      <c r="C24" s="51" t="s">
        <v>220</v>
      </c>
      <c r="D24" s="54"/>
      <c r="E24" s="5"/>
      <c r="F24" s="5"/>
      <c r="G24" s="5"/>
      <c r="K24" s="52"/>
      <c r="L24" s="50"/>
      <c r="M24" s="51"/>
      <c r="N24" s="5"/>
      <c r="AA24" s="5"/>
    </row>
    <row r="25" spans="1:27" ht="15.75" customHeight="1">
      <c r="A25" s="48" t="s">
        <v>3582</v>
      </c>
      <c r="B25" s="49" t="s">
        <v>1210</v>
      </c>
      <c r="C25" s="51" t="s">
        <v>205</v>
      </c>
      <c r="D25" s="54"/>
      <c r="E25" s="5"/>
      <c r="F25" s="5"/>
      <c r="G25" s="5"/>
      <c r="K25" s="52"/>
      <c r="L25" s="50"/>
      <c r="M25" s="51"/>
      <c r="N25" s="5"/>
      <c r="AA25" s="5"/>
    </row>
    <row r="26" spans="1:27" ht="15.75" customHeight="1">
      <c r="A26" s="48" t="s">
        <v>3583</v>
      </c>
      <c r="B26" s="49" t="s">
        <v>968</v>
      </c>
      <c r="C26" s="51" t="s">
        <v>197</v>
      </c>
      <c r="D26" s="54"/>
      <c r="E26" s="5"/>
      <c r="F26" s="5"/>
      <c r="G26" s="5"/>
      <c r="K26" s="52"/>
      <c r="L26" s="50"/>
      <c r="M26" s="51"/>
      <c r="N26" s="51"/>
      <c r="AA26" s="5"/>
    </row>
    <row r="27" spans="1:27" ht="15.75" customHeight="1">
      <c r="A27" s="48" t="s">
        <v>3584</v>
      </c>
      <c r="B27" s="49" t="s">
        <v>3062</v>
      </c>
      <c r="C27" s="51" t="s">
        <v>220</v>
      </c>
      <c r="D27" s="54"/>
      <c r="E27" s="5"/>
      <c r="F27" s="51"/>
      <c r="G27" s="5"/>
      <c r="K27" s="52"/>
      <c r="L27" s="50"/>
      <c r="M27" s="51"/>
      <c r="N27" s="51"/>
      <c r="AA27" s="5"/>
    </row>
    <row r="28" spans="1:27" ht="15.75" customHeight="1">
      <c r="A28" s="48" t="s">
        <v>3585</v>
      </c>
      <c r="B28" s="49" t="s">
        <v>255</v>
      </c>
      <c r="C28" s="51" t="s">
        <v>225</v>
      </c>
      <c r="D28" s="54"/>
      <c r="E28" s="5"/>
      <c r="F28" s="5"/>
      <c r="G28" s="5"/>
      <c r="J28" s="5"/>
      <c r="K28" s="52"/>
      <c r="L28" s="50"/>
      <c r="M28" s="51"/>
      <c r="N28" s="5"/>
      <c r="P28" s="5"/>
    </row>
    <row r="29" spans="1:27" ht="15.75" customHeight="1">
      <c r="A29" s="48" t="s">
        <v>3586</v>
      </c>
      <c r="B29" s="49" t="s">
        <v>1218</v>
      </c>
      <c r="C29" s="51" t="s">
        <v>195</v>
      </c>
      <c r="D29" s="54"/>
      <c r="E29" s="5"/>
      <c r="F29" s="5"/>
      <c r="G29" s="5"/>
      <c r="J29" s="5"/>
      <c r="K29" s="52"/>
      <c r="L29" s="50"/>
      <c r="M29" s="51"/>
      <c r="N29" s="51"/>
      <c r="P29" s="5"/>
    </row>
    <row r="30" spans="1:27" ht="15.75" customHeight="1">
      <c r="A30" s="48" t="s">
        <v>3587</v>
      </c>
      <c r="B30" s="49" t="s">
        <v>3111</v>
      </c>
      <c r="C30" s="51" t="s">
        <v>208</v>
      </c>
      <c r="D30" s="54"/>
      <c r="E30" s="5"/>
      <c r="F30" s="5"/>
      <c r="G30" s="5"/>
      <c r="J30" s="5"/>
      <c r="K30" s="52"/>
      <c r="L30" s="50"/>
      <c r="M30" s="51"/>
      <c r="N30" s="5"/>
      <c r="P30" s="5"/>
    </row>
    <row r="31" spans="1:27" ht="15.75" customHeight="1">
      <c r="A31" s="48" t="s">
        <v>3588</v>
      </c>
      <c r="B31" s="49" t="s">
        <v>3374</v>
      </c>
      <c r="C31" s="51" t="s">
        <v>195</v>
      </c>
      <c r="D31" s="54"/>
      <c r="E31" s="5"/>
      <c r="F31" s="5"/>
      <c r="G31" s="5"/>
      <c r="J31" s="5"/>
      <c r="K31" s="52"/>
      <c r="L31" s="50"/>
      <c r="M31" s="51"/>
      <c r="N31" s="51"/>
      <c r="P31" s="5"/>
    </row>
    <row r="32" spans="1:27" ht="15.75" customHeight="1">
      <c r="A32" s="48" t="s">
        <v>3589</v>
      </c>
      <c r="B32" s="49" t="s">
        <v>3374</v>
      </c>
      <c r="C32" s="51" t="s">
        <v>195</v>
      </c>
      <c r="D32" s="54"/>
      <c r="E32" s="5"/>
      <c r="F32" s="5"/>
      <c r="G32" s="5"/>
      <c r="J32" s="5"/>
      <c r="K32" s="52"/>
      <c r="L32" s="50"/>
      <c r="M32" s="51"/>
      <c r="N32" s="5"/>
      <c r="P32" s="5"/>
    </row>
    <row r="33" spans="1:16" ht="15.75" customHeight="1">
      <c r="A33" s="48" t="s">
        <v>3590</v>
      </c>
      <c r="B33" s="49" t="s">
        <v>369</v>
      </c>
      <c r="C33" s="51" t="s">
        <v>208</v>
      </c>
      <c r="D33" s="54"/>
      <c r="E33" s="5"/>
      <c r="F33" s="5"/>
      <c r="G33" s="5"/>
      <c r="J33" s="5"/>
      <c r="K33" s="52"/>
      <c r="L33" s="50"/>
      <c r="M33" s="51"/>
      <c r="N33" s="5"/>
      <c r="P33" s="5"/>
    </row>
    <row r="34" spans="1:16" ht="15.75" customHeight="1">
      <c r="A34" s="48" t="s">
        <v>3591</v>
      </c>
      <c r="B34" s="58" t="str">
        <f>HYPERLINK("https://bulbapedia.bulbagarden.net/wiki/Gyarados_G_(Platinum_30)","GyaradosG")</f>
        <v>GyaradosG</v>
      </c>
      <c r="C34" s="51" t="s">
        <v>208</v>
      </c>
      <c r="D34" s="54"/>
      <c r="E34" s="5"/>
      <c r="F34" s="5"/>
      <c r="G34" s="5"/>
      <c r="J34" s="5"/>
      <c r="K34" s="52"/>
      <c r="L34" s="50"/>
      <c r="M34" s="51"/>
      <c r="N34" s="5"/>
      <c r="P34" s="5"/>
    </row>
    <row r="35" spans="1:16" ht="15.75" customHeight="1">
      <c r="A35" s="48" t="s">
        <v>3592</v>
      </c>
      <c r="B35" s="49" t="s">
        <v>3112</v>
      </c>
      <c r="C35" s="51" t="s">
        <v>199</v>
      </c>
      <c r="D35" s="54"/>
      <c r="E35" s="5"/>
      <c r="F35" s="5"/>
      <c r="G35" s="5"/>
      <c r="J35" s="5"/>
      <c r="K35" s="52"/>
      <c r="L35" s="50"/>
      <c r="M35" s="51"/>
      <c r="N35" s="51"/>
      <c r="P35" s="5"/>
    </row>
    <row r="36" spans="1:16" ht="15.75" customHeight="1">
      <c r="A36" s="48" t="s">
        <v>3593</v>
      </c>
      <c r="B36" s="49" t="s">
        <v>3192</v>
      </c>
      <c r="C36" s="51" t="s">
        <v>205</v>
      </c>
      <c r="D36" s="54"/>
      <c r="E36" s="5"/>
      <c r="F36" s="5"/>
      <c r="G36" s="5"/>
      <c r="J36" s="5"/>
      <c r="M36" s="5"/>
      <c r="N36" s="5"/>
      <c r="P36" s="5"/>
    </row>
    <row r="37" spans="1:16" ht="15.75" customHeight="1">
      <c r="A37" s="48" t="s">
        <v>3594</v>
      </c>
      <c r="B37" s="49" t="s">
        <v>3317</v>
      </c>
      <c r="C37" s="51" t="s">
        <v>197</v>
      </c>
      <c r="D37" s="54"/>
      <c r="E37" s="5"/>
      <c r="F37" s="5"/>
      <c r="G37" s="5"/>
      <c r="J37" s="5"/>
      <c r="M37" s="5"/>
      <c r="N37" s="5"/>
    </row>
    <row r="38" spans="1:16" ht="15.75" customHeight="1">
      <c r="A38" s="48" t="s">
        <v>3595</v>
      </c>
      <c r="B38" s="49" t="s">
        <v>1195</v>
      </c>
      <c r="C38" s="51" t="s">
        <v>205</v>
      </c>
      <c r="D38" s="54"/>
      <c r="E38" s="5"/>
      <c r="F38" s="5"/>
      <c r="G38" s="5"/>
      <c r="J38" s="5"/>
      <c r="M38" s="51"/>
      <c r="N38" s="51"/>
    </row>
    <row r="39" spans="1:16" ht="15.75" customHeight="1">
      <c r="A39" s="48" t="s">
        <v>3596</v>
      </c>
      <c r="B39" s="49" t="s">
        <v>1847</v>
      </c>
      <c r="C39" s="51" t="s">
        <v>208</v>
      </c>
      <c r="D39" s="54"/>
      <c r="E39" s="5"/>
      <c r="F39" s="5"/>
      <c r="G39" s="5"/>
      <c r="J39" s="5"/>
      <c r="M39" s="51"/>
      <c r="N39" s="51"/>
    </row>
    <row r="40" spans="1:16" ht="15.75" customHeight="1">
      <c r="A40" s="48" t="s">
        <v>3597</v>
      </c>
      <c r="B40" s="49" t="s">
        <v>249</v>
      </c>
      <c r="C40" s="51" t="s">
        <v>199</v>
      </c>
      <c r="D40" s="54"/>
      <c r="E40" s="5"/>
      <c r="F40" s="5"/>
      <c r="G40" s="5"/>
      <c r="J40" s="5"/>
      <c r="M40" s="51"/>
      <c r="N40" s="51"/>
    </row>
    <row r="41" spans="1:16" ht="15.75" customHeight="1">
      <c r="A41" s="48" t="s">
        <v>3598</v>
      </c>
      <c r="B41" s="49" t="s">
        <v>3064</v>
      </c>
      <c r="C41" s="51" t="s">
        <v>208</v>
      </c>
      <c r="D41" s="54"/>
      <c r="E41" s="5"/>
      <c r="F41" s="5"/>
      <c r="G41" s="5"/>
      <c r="J41" s="5"/>
      <c r="M41" s="51"/>
      <c r="N41" s="51"/>
    </row>
    <row r="42" spans="1:16" ht="15.75" customHeight="1">
      <c r="A42" s="48" t="s">
        <v>3599</v>
      </c>
      <c r="B42" s="49" t="s">
        <v>3575</v>
      </c>
      <c r="C42" s="51" t="s">
        <v>205</v>
      </c>
      <c r="D42" s="54"/>
      <c r="E42" s="5"/>
      <c r="F42" s="5"/>
      <c r="G42" s="5"/>
      <c r="J42" s="5"/>
      <c r="M42" s="51"/>
      <c r="N42" s="51"/>
    </row>
    <row r="43" spans="1:16" ht="15.75" customHeight="1">
      <c r="A43" s="48" t="s">
        <v>3600</v>
      </c>
      <c r="B43" s="49" t="s">
        <v>3121</v>
      </c>
      <c r="C43" s="51" t="s">
        <v>205</v>
      </c>
      <c r="D43" s="54"/>
      <c r="E43" s="5"/>
      <c r="F43" s="5"/>
      <c r="G43" s="5"/>
      <c r="J43" s="5"/>
      <c r="M43" s="51"/>
      <c r="N43" s="51"/>
    </row>
    <row r="44" spans="1:16" ht="15.75" customHeight="1">
      <c r="A44" s="48" t="s">
        <v>3601</v>
      </c>
      <c r="B44" s="58" t="str">
        <f>HYPERLINK("https://bulbapedia.bulbagarden.net/wiki/Toxicroak_G_(Platinum_40)","ToxicroakG")</f>
        <v>ToxicroakG</v>
      </c>
      <c r="C44" s="51" t="s">
        <v>195</v>
      </c>
      <c r="D44" s="54"/>
      <c r="E44" s="5"/>
      <c r="F44" s="5"/>
      <c r="G44" s="5"/>
      <c r="J44" s="5"/>
      <c r="M44" s="51"/>
      <c r="N44" s="51"/>
    </row>
    <row r="45" spans="1:16" ht="15.75" customHeight="1">
      <c r="A45" s="48" t="s">
        <v>3602</v>
      </c>
      <c r="B45" s="58" t="str">
        <f>HYPERLINK("https://bulbapedia.bulbagarden.net/wiki/Bronzong_G_(Platinum_41)","BronzongG")</f>
        <v>BronzongG</v>
      </c>
      <c r="C45" s="51" t="s">
        <v>220</v>
      </c>
      <c r="D45" s="54"/>
      <c r="E45" s="5"/>
      <c r="F45" s="5"/>
      <c r="G45" s="5"/>
      <c r="J45" s="5"/>
      <c r="M45" s="51"/>
      <c r="N45" s="51"/>
      <c r="P45" s="5"/>
    </row>
    <row r="46" spans="1:16" ht="15.75" customHeight="1">
      <c r="A46" s="48" t="s">
        <v>3603</v>
      </c>
      <c r="B46" s="49" t="s">
        <v>1357</v>
      </c>
      <c r="C46" s="51" t="s">
        <v>205</v>
      </c>
      <c r="D46" s="54"/>
      <c r="E46" s="5"/>
      <c r="F46" s="5"/>
      <c r="G46" s="5"/>
      <c r="J46" s="5"/>
      <c r="M46" s="51"/>
      <c r="N46" s="51"/>
      <c r="P46" s="5"/>
    </row>
    <row r="47" spans="1:16" ht="15.75" customHeight="1">
      <c r="A47" s="48" t="s">
        <v>3604</v>
      </c>
      <c r="B47" s="49" t="s">
        <v>3123</v>
      </c>
      <c r="C47" s="51" t="s">
        <v>205</v>
      </c>
      <c r="D47" s="54"/>
      <c r="E47" s="5"/>
      <c r="F47" s="5"/>
      <c r="G47" s="5"/>
      <c r="J47" s="5"/>
      <c r="M47" s="5"/>
      <c r="N47" s="5"/>
      <c r="P47" s="5"/>
    </row>
    <row r="48" spans="1:16" ht="15.75" customHeight="1">
      <c r="A48" s="48" t="s">
        <v>3605</v>
      </c>
      <c r="B48" s="49" t="s">
        <v>1252</v>
      </c>
      <c r="C48" s="51" t="s">
        <v>205</v>
      </c>
      <c r="D48" s="54"/>
      <c r="E48" s="5"/>
      <c r="F48" s="5"/>
      <c r="G48" s="5"/>
      <c r="J48" s="5"/>
      <c r="M48" s="5"/>
      <c r="N48" s="5"/>
      <c r="P48" s="5"/>
    </row>
    <row r="49" spans="1:16" ht="15.75" customHeight="1">
      <c r="A49" s="48" t="s">
        <v>3606</v>
      </c>
      <c r="B49" s="49" t="s">
        <v>1191</v>
      </c>
      <c r="C49" s="51" t="s">
        <v>199</v>
      </c>
      <c r="D49" s="54"/>
      <c r="E49" s="5"/>
      <c r="F49" s="5"/>
      <c r="G49" s="5"/>
      <c r="J49" s="5"/>
      <c r="M49" s="5"/>
      <c r="N49" s="5"/>
      <c r="P49" s="5"/>
    </row>
    <row r="50" spans="1:16" ht="15.75" customHeight="1">
      <c r="A50" s="48" t="s">
        <v>3607</v>
      </c>
      <c r="B50" s="49" t="s">
        <v>3027</v>
      </c>
      <c r="C50" s="51" t="s">
        <v>225</v>
      </c>
      <c r="D50" s="54"/>
      <c r="E50" s="5"/>
      <c r="F50" s="5"/>
      <c r="G50" s="5"/>
      <c r="J50" s="5"/>
      <c r="M50" s="5"/>
      <c r="N50" s="5"/>
      <c r="P50" s="5"/>
    </row>
    <row r="51" spans="1:16" ht="15.75" customHeight="1">
      <c r="A51" s="48" t="s">
        <v>3608</v>
      </c>
      <c r="B51" s="58" t="str">
        <f>HYPERLINK("https://bulbapedia.bulbagarden.net/wiki/Crobat_G_(Platinum_47)","CrobatG")</f>
        <v>CrobatG</v>
      </c>
      <c r="C51" s="51" t="s">
        <v>195</v>
      </c>
      <c r="D51" s="54"/>
      <c r="E51" s="5"/>
      <c r="F51" s="5"/>
      <c r="G51" s="5"/>
      <c r="J51" s="5"/>
      <c r="M51" s="5"/>
      <c r="N51" s="5"/>
      <c r="P51" s="5"/>
    </row>
    <row r="52" spans="1:16" ht="15.75" customHeight="1">
      <c r="A52" s="48" t="s">
        <v>3609</v>
      </c>
      <c r="B52" s="49" t="s">
        <v>824</v>
      </c>
      <c r="C52" s="51" t="s">
        <v>192</v>
      </c>
      <c r="D52" s="54"/>
      <c r="E52" s="5"/>
      <c r="F52" s="5"/>
      <c r="G52" s="5"/>
      <c r="J52" s="5"/>
      <c r="M52" s="5"/>
      <c r="N52" s="5"/>
      <c r="P52" s="5"/>
    </row>
    <row r="53" spans="1:16" ht="13">
      <c r="A53" s="48" t="s">
        <v>3610</v>
      </c>
      <c r="B53" s="49" t="s">
        <v>3135</v>
      </c>
      <c r="C53" s="51" t="s">
        <v>205</v>
      </c>
      <c r="D53" s="54"/>
      <c r="E53" s="5"/>
      <c r="F53" s="5"/>
      <c r="G53" s="5"/>
      <c r="J53" s="5"/>
      <c r="M53" s="5"/>
      <c r="N53" s="5"/>
      <c r="P53" s="5"/>
    </row>
    <row r="54" spans="1:16" ht="13">
      <c r="A54" s="48" t="s">
        <v>3611</v>
      </c>
      <c r="B54" s="58" t="str">
        <f>HYPERLINK("https://bulbapedia.bulbagarden.net/wiki/Houndoom_G_(Platinum_50)","HoundoomG")</f>
        <v>HoundoomG</v>
      </c>
      <c r="C54" s="51" t="s">
        <v>199</v>
      </c>
      <c r="D54" s="54"/>
      <c r="E54" s="5"/>
      <c r="F54" s="5"/>
      <c r="G54" s="5"/>
      <c r="J54" s="5"/>
      <c r="M54" s="5"/>
      <c r="N54" s="5"/>
      <c r="P54" s="5"/>
    </row>
    <row r="55" spans="1:16" ht="13">
      <c r="A55" s="48" t="s">
        <v>3612</v>
      </c>
      <c r="B55" s="49" t="s">
        <v>1262</v>
      </c>
      <c r="C55" s="51" t="s">
        <v>195</v>
      </c>
      <c r="D55" s="54"/>
      <c r="E55" s="5"/>
      <c r="F55" s="5"/>
      <c r="G55" s="5"/>
      <c r="J55" s="5"/>
      <c r="M55" s="5"/>
      <c r="N55" s="5"/>
      <c r="P55" s="5"/>
    </row>
    <row r="56" spans="1:16" ht="13">
      <c r="A56" s="48" t="s">
        <v>3613</v>
      </c>
      <c r="B56" s="49" t="s">
        <v>1416</v>
      </c>
      <c r="C56" s="51" t="s">
        <v>205</v>
      </c>
      <c r="D56" s="54"/>
      <c r="E56" s="5"/>
      <c r="F56" s="5"/>
      <c r="G56" s="5"/>
      <c r="J56" s="5"/>
      <c r="M56" s="5"/>
      <c r="N56" s="5"/>
      <c r="P56" s="5"/>
    </row>
    <row r="57" spans="1:16" ht="13">
      <c r="A57" s="48" t="s">
        <v>3614</v>
      </c>
      <c r="B57" s="49" t="s">
        <v>3113</v>
      </c>
      <c r="C57" s="51" t="s">
        <v>220</v>
      </c>
      <c r="D57" s="54"/>
      <c r="E57" s="5"/>
      <c r="F57" s="5"/>
      <c r="G57" s="5"/>
      <c r="J57" s="5"/>
      <c r="M57" s="5"/>
      <c r="N57" s="5"/>
      <c r="P57" s="5"/>
    </row>
    <row r="58" spans="1:16" ht="13">
      <c r="A58" s="48" t="s">
        <v>3615</v>
      </c>
      <c r="B58" s="49" t="s">
        <v>1226</v>
      </c>
      <c r="C58" s="51" t="s">
        <v>808</v>
      </c>
      <c r="D58" s="51"/>
      <c r="E58" s="5"/>
      <c r="F58" s="5"/>
      <c r="G58" s="5"/>
      <c r="J58" s="5"/>
      <c r="M58" s="5"/>
      <c r="N58" s="5"/>
      <c r="P58" s="5"/>
    </row>
    <row r="59" spans="1:16" ht="13">
      <c r="A59" s="48" t="s">
        <v>3616</v>
      </c>
      <c r="B59" s="49" t="s">
        <v>3116</v>
      </c>
      <c r="C59" s="51" t="s">
        <v>195</v>
      </c>
      <c r="D59" s="51"/>
      <c r="E59" s="5"/>
      <c r="F59" s="5"/>
      <c r="G59" s="5"/>
      <c r="J59" s="5"/>
      <c r="M59" s="5"/>
      <c r="N59" s="5"/>
      <c r="P59" s="5"/>
    </row>
    <row r="60" spans="1:16" ht="13">
      <c r="A60" s="48" t="s">
        <v>3617</v>
      </c>
      <c r="B60" s="49" t="s">
        <v>3139</v>
      </c>
      <c r="C60" s="51" t="s">
        <v>199</v>
      </c>
      <c r="D60" s="54"/>
      <c r="E60" s="5"/>
      <c r="F60" s="5"/>
      <c r="G60" s="5"/>
      <c r="J60" s="5"/>
      <c r="M60" s="5"/>
      <c r="N60" s="5"/>
      <c r="P60" s="5"/>
    </row>
    <row r="61" spans="1:16" ht="13">
      <c r="A61" s="48" t="s">
        <v>3618</v>
      </c>
      <c r="B61" s="49" t="s">
        <v>365</v>
      </c>
      <c r="C61" s="51" t="s">
        <v>195</v>
      </c>
      <c r="D61" s="54"/>
      <c r="E61" s="5"/>
      <c r="F61" s="5"/>
      <c r="G61" s="5"/>
      <c r="J61" s="5"/>
      <c r="M61" s="5"/>
      <c r="N61" s="5"/>
      <c r="P61" s="5"/>
    </row>
    <row r="62" spans="1:16" ht="13">
      <c r="A62" s="48" t="s">
        <v>3619</v>
      </c>
      <c r="B62" s="49" t="s">
        <v>975</v>
      </c>
      <c r="C62" s="51" t="s">
        <v>208</v>
      </c>
      <c r="D62" s="54"/>
      <c r="E62" s="5"/>
      <c r="F62" s="5"/>
      <c r="G62" s="5"/>
      <c r="J62" s="5"/>
      <c r="M62" s="5"/>
      <c r="N62" s="5"/>
      <c r="P62" s="5"/>
    </row>
    <row r="63" spans="1:16" ht="13">
      <c r="A63" s="48" t="s">
        <v>3620</v>
      </c>
      <c r="B63" s="49" t="s">
        <v>3140</v>
      </c>
      <c r="C63" s="51" t="s">
        <v>208</v>
      </c>
      <c r="D63" s="51"/>
      <c r="E63" s="5"/>
      <c r="F63" s="5"/>
      <c r="G63" s="5"/>
      <c r="J63" s="5"/>
      <c r="M63" s="5"/>
      <c r="N63" s="5"/>
      <c r="P63" s="5"/>
    </row>
    <row r="64" spans="1:16" ht="13">
      <c r="A64" s="48" t="s">
        <v>3621</v>
      </c>
      <c r="B64" s="49" t="s">
        <v>3386</v>
      </c>
      <c r="C64" s="51" t="s">
        <v>225</v>
      </c>
      <c r="D64" s="54"/>
      <c r="E64" s="5"/>
      <c r="F64" s="5"/>
      <c r="G64" s="5"/>
      <c r="J64" s="5"/>
      <c r="M64" s="5"/>
      <c r="N64" s="5"/>
      <c r="P64" s="5"/>
    </row>
    <row r="65" spans="1:16" ht="13">
      <c r="A65" s="48" t="s">
        <v>3622</v>
      </c>
      <c r="B65" s="49" t="s">
        <v>1372</v>
      </c>
      <c r="C65" s="51" t="s">
        <v>195</v>
      </c>
      <c r="D65" s="54"/>
      <c r="E65" s="5"/>
      <c r="F65" s="5"/>
      <c r="G65" s="5"/>
      <c r="J65" s="5"/>
      <c r="M65" s="5"/>
      <c r="N65" s="5"/>
      <c r="P65" s="5"/>
    </row>
    <row r="66" spans="1:16" ht="13">
      <c r="A66" s="48" t="s">
        <v>3623</v>
      </c>
      <c r="B66" s="49" t="s">
        <v>3029</v>
      </c>
      <c r="C66" s="51" t="s">
        <v>220</v>
      </c>
      <c r="D66" s="54"/>
      <c r="E66" s="5"/>
      <c r="F66" s="5"/>
      <c r="G66" s="5"/>
      <c r="J66" s="5"/>
      <c r="M66" s="5"/>
      <c r="N66" s="5"/>
      <c r="P66" s="5"/>
    </row>
    <row r="67" spans="1:16" ht="13">
      <c r="A67" s="48" t="s">
        <v>3624</v>
      </c>
      <c r="B67" s="49" t="s">
        <v>1274</v>
      </c>
      <c r="C67" s="51" t="s">
        <v>205</v>
      </c>
      <c r="D67" s="54"/>
      <c r="E67" s="5"/>
      <c r="F67" s="5"/>
      <c r="G67" s="5"/>
      <c r="J67" s="5"/>
      <c r="M67" s="5"/>
      <c r="N67" s="5"/>
      <c r="P67" s="5"/>
    </row>
    <row r="68" spans="1:16" ht="13">
      <c r="A68" s="48" t="s">
        <v>3625</v>
      </c>
      <c r="B68" s="49" t="s">
        <v>1282</v>
      </c>
      <c r="C68" s="51" t="s">
        <v>197</v>
      </c>
      <c r="D68" s="54"/>
      <c r="E68" s="5"/>
      <c r="F68" s="5"/>
      <c r="G68" s="5"/>
      <c r="J68" s="5"/>
      <c r="M68" s="5"/>
      <c r="N68" s="5"/>
      <c r="P68" s="5"/>
    </row>
    <row r="69" spans="1:16" ht="13">
      <c r="A69" s="48" t="s">
        <v>3626</v>
      </c>
      <c r="B69" s="49" t="s">
        <v>274</v>
      </c>
      <c r="C69" s="51" t="s">
        <v>208</v>
      </c>
      <c r="D69" s="54"/>
      <c r="E69" s="5"/>
      <c r="F69" s="5"/>
      <c r="G69" s="5"/>
      <c r="J69" s="5"/>
      <c r="M69" s="5"/>
      <c r="N69" s="5"/>
      <c r="P69" s="5"/>
    </row>
    <row r="70" spans="1:16" ht="13">
      <c r="A70" s="48" t="s">
        <v>3627</v>
      </c>
      <c r="B70" s="49" t="s">
        <v>1378</v>
      </c>
      <c r="C70" s="51" t="s">
        <v>197</v>
      </c>
      <c r="D70" s="54"/>
      <c r="E70" s="51"/>
      <c r="F70" s="5"/>
      <c r="G70" s="5"/>
      <c r="J70" s="5"/>
      <c r="M70" s="5"/>
      <c r="N70" s="5"/>
      <c r="P70" s="5"/>
    </row>
    <row r="71" spans="1:16" ht="13">
      <c r="A71" s="48" t="s">
        <v>3628</v>
      </c>
      <c r="B71" s="49" t="s">
        <v>1432</v>
      </c>
      <c r="C71" s="51" t="s">
        <v>205</v>
      </c>
      <c r="D71" s="5"/>
      <c r="J71" s="5"/>
      <c r="M71" s="5"/>
      <c r="N71" s="5"/>
      <c r="P71" s="5"/>
    </row>
    <row r="72" spans="1:16" ht="13">
      <c r="A72" s="48" t="s">
        <v>3629</v>
      </c>
      <c r="B72" s="49" t="s">
        <v>3123</v>
      </c>
      <c r="C72" s="51" t="s">
        <v>205</v>
      </c>
      <c r="D72" s="54"/>
      <c r="E72" s="5"/>
      <c r="F72" s="5"/>
      <c r="G72" s="5"/>
      <c r="J72" s="5"/>
      <c r="M72" s="5"/>
      <c r="N72" s="5"/>
      <c r="P72" s="5"/>
    </row>
    <row r="73" spans="1:16" ht="13">
      <c r="A73" s="48" t="s">
        <v>3630</v>
      </c>
      <c r="B73" s="49" t="s">
        <v>241</v>
      </c>
      <c r="C73" s="51" t="s">
        <v>197</v>
      </c>
      <c r="D73" s="54"/>
      <c r="E73" s="5"/>
      <c r="F73" s="5"/>
      <c r="G73" s="5"/>
      <c r="J73" s="5"/>
      <c r="M73" s="5"/>
      <c r="N73" s="5"/>
      <c r="P73" s="5"/>
    </row>
    <row r="74" spans="1:16" ht="13">
      <c r="A74" s="48" t="s">
        <v>3631</v>
      </c>
      <c r="B74" s="49" t="s">
        <v>3018</v>
      </c>
      <c r="C74" s="51" t="s">
        <v>199</v>
      </c>
      <c r="D74" s="54"/>
      <c r="E74" s="5"/>
      <c r="F74" s="5"/>
      <c r="G74" s="5"/>
      <c r="J74" s="5"/>
      <c r="M74" s="5"/>
      <c r="N74" s="5"/>
      <c r="P74" s="5"/>
    </row>
    <row r="75" spans="1:16" ht="13">
      <c r="A75" s="48" t="s">
        <v>3632</v>
      </c>
      <c r="B75" s="49" t="s">
        <v>3146</v>
      </c>
      <c r="C75" s="51" t="s">
        <v>205</v>
      </c>
      <c r="D75" s="54"/>
      <c r="E75" s="5"/>
      <c r="F75" s="5"/>
      <c r="G75" s="5"/>
      <c r="J75" s="5"/>
      <c r="M75" s="5"/>
      <c r="N75" s="5"/>
      <c r="P75" s="5"/>
    </row>
    <row r="76" spans="1:16" ht="13">
      <c r="A76" s="48" t="s">
        <v>3633</v>
      </c>
      <c r="B76" s="49" t="s">
        <v>279</v>
      </c>
      <c r="C76" s="51" t="s">
        <v>225</v>
      </c>
      <c r="D76" s="54"/>
      <c r="E76" s="5"/>
      <c r="F76" s="5"/>
      <c r="G76" s="5"/>
      <c r="J76" s="5"/>
      <c r="M76" s="5"/>
      <c r="N76" s="5"/>
      <c r="P76" s="5"/>
    </row>
    <row r="77" spans="1:16" ht="13">
      <c r="A77" s="48" t="s">
        <v>3634</v>
      </c>
      <c r="B77" s="49" t="s">
        <v>954</v>
      </c>
      <c r="C77" s="51" t="s">
        <v>197</v>
      </c>
      <c r="D77" s="51"/>
      <c r="E77" s="5"/>
      <c r="F77" s="5"/>
      <c r="G77" s="5"/>
      <c r="J77" s="5"/>
      <c r="M77" s="5"/>
      <c r="N77" s="5"/>
      <c r="P77" s="5"/>
    </row>
    <row r="78" spans="1:16" ht="13">
      <c r="A78" s="48" t="s">
        <v>3635</v>
      </c>
      <c r="B78" s="49" t="s">
        <v>1257</v>
      </c>
      <c r="C78" s="51" t="s">
        <v>192</v>
      </c>
      <c r="D78" s="54"/>
      <c r="E78" s="5"/>
      <c r="F78" s="5"/>
      <c r="G78" s="5"/>
      <c r="J78" s="5"/>
      <c r="M78" s="5"/>
      <c r="N78" s="5"/>
      <c r="P78" s="5"/>
    </row>
    <row r="79" spans="1:16" ht="13">
      <c r="A79" s="48" t="s">
        <v>3636</v>
      </c>
      <c r="B79" s="49" t="s">
        <v>381</v>
      </c>
      <c r="C79" s="51" t="s">
        <v>195</v>
      </c>
      <c r="D79" s="54"/>
      <c r="E79" s="5"/>
      <c r="F79" s="5"/>
      <c r="G79" s="5"/>
      <c r="J79" s="5"/>
      <c r="M79" s="5"/>
      <c r="N79" s="5"/>
      <c r="P79" s="5"/>
    </row>
    <row r="80" spans="1:16" ht="13">
      <c r="A80" s="48" t="s">
        <v>3637</v>
      </c>
      <c r="B80" s="49" t="s">
        <v>3222</v>
      </c>
      <c r="C80" s="51" t="s">
        <v>197</v>
      </c>
      <c r="D80" s="54"/>
      <c r="E80" s="5"/>
      <c r="F80" s="5"/>
      <c r="G80" s="5"/>
      <c r="J80" s="5"/>
      <c r="M80" s="5"/>
      <c r="N80" s="5"/>
      <c r="P80" s="5"/>
    </row>
    <row r="81" spans="1:16" ht="13">
      <c r="A81" s="48" t="s">
        <v>3638</v>
      </c>
      <c r="B81" s="58" t="str">
        <f>HYPERLINK("https://bulbapedia.bulbagarden.net/wiki/Honchkrow_G_(Platinum_77)","HonchkrowG")</f>
        <v>HonchkrowG</v>
      </c>
      <c r="C81" s="51" t="s">
        <v>808</v>
      </c>
      <c r="D81" s="54"/>
      <c r="E81" s="5"/>
      <c r="F81" s="5"/>
      <c r="G81" s="5"/>
      <c r="J81" s="5"/>
      <c r="M81" s="5"/>
      <c r="N81" s="5"/>
      <c r="P81" s="5"/>
    </row>
    <row r="82" spans="1:16" ht="13">
      <c r="A82" s="48" t="s">
        <v>3639</v>
      </c>
      <c r="B82" s="49" t="s">
        <v>3261</v>
      </c>
      <c r="C82" s="51" t="s">
        <v>205</v>
      </c>
      <c r="D82" s="51"/>
      <c r="E82" s="5"/>
      <c r="F82" s="5"/>
      <c r="G82" s="5"/>
      <c r="J82" s="5"/>
      <c r="M82" s="5"/>
      <c r="N82" s="5"/>
      <c r="P82" s="5"/>
    </row>
    <row r="83" spans="1:16" ht="13">
      <c r="A83" s="48" t="s">
        <v>3640</v>
      </c>
      <c r="B83" s="49" t="s">
        <v>364</v>
      </c>
      <c r="C83" s="51" t="s">
        <v>208</v>
      </c>
      <c r="D83" s="54"/>
      <c r="E83" s="5"/>
      <c r="F83" s="5"/>
      <c r="G83" s="5"/>
      <c r="J83" s="5"/>
      <c r="M83" s="5"/>
      <c r="N83" s="5"/>
      <c r="P83" s="5"/>
    </row>
    <row r="84" spans="1:16" ht="13">
      <c r="A84" s="48" t="s">
        <v>3641</v>
      </c>
      <c r="B84" s="49" t="s">
        <v>336</v>
      </c>
      <c r="C84" s="51" t="s">
        <v>197</v>
      </c>
      <c r="D84" s="54"/>
      <c r="E84" s="5"/>
      <c r="F84" s="5"/>
      <c r="G84" s="5"/>
      <c r="J84" s="5"/>
      <c r="M84" s="5"/>
      <c r="N84" s="5"/>
      <c r="P84" s="5"/>
    </row>
    <row r="85" spans="1:16" ht="13">
      <c r="A85" s="48" t="s">
        <v>3642</v>
      </c>
      <c r="B85" s="49" t="s">
        <v>1443</v>
      </c>
      <c r="C85" s="51" t="s">
        <v>205</v>
      </c>
      <c r="D85" s="54"/>
      <c r="E85" s="5"/>
      <c r="F85" s="5"/>
      <c r="G85" s="5"/>
      <c r="J85" s="5"/>
      <c r="M85" s="5"/>
      <c r="N85" s="5"/>
      <c r="P85" s="5"/>
    </row>
    <row r="86" spans="1:16" ht="13">
      <c r="A86" s="48" t="s">
        <v>3643</v>
      </c>
      <c r="B86" s="49" t="s">
        <v>878</v>
      </c>
      <c r="C86" s="51" t="s">
        <v>192</v>
      </c>
      <c r="D86" s="54"/>
      <c r="E86" s="5"/>
      <c r="F86" s="5"/>
      <c r="G86" s="5"/>
      <c r="J86" s="5"/>
      <c r="M86" s="5"/>
      <c r="N86" s="5"/>
      <c r="P86" s="5"/>
    </row>
    <row r="87" spans="1:16" ht="13">
      <c r="A87" s="48" t="s">
        <v>3644</v>
      </c>
      <c r="B87" s="49" t="s">
        <v>227</v>
      </c>
      <c r="C87" s="51" t="s">
        <v>195</v>
      </c>
      <c r="D87" s="51"/>
      <c r="E87" s="5"/>
      <c r="F87" s="5"/>
      <c r="G87" s="5"/>
      <c r="J87" s="5"/>
      <c r="M87" s="5"/>
      <c r="N87" s="5"/>
      <c r="P87" s="5"/>
    </row>
    <row r="88" spans="1:16" ht="13">
      <c r="A88" s="48" t="s">
        <v>3645</v>
      </c>
      <c r="B88" s="49" t="s">
        <v>1240</v>
      </c>
      <c r="C88" s="51" t="s">
        <v>225</v>
      </c>
      <c r="D88" s="54"/>
      <c r="E88" s="5"/>
      <c r="F88" s="5"/>
      <c r="G88" s="5"/>
      <c r="J88" s="5"/>
      <c r="M88" s="5"/>
      <c r="N88" s="5"/>
      <c r="P88" s="5"/>
    </row>
    <row r="89" spans="1:16" ht="13">
      <c r="A89" s="48" t="s">
        <v>3646</v>
      </c>
      <c r="B89" s="49" t="s">
        <v>3020</v>
      </c>
      <c r="C89" s="51" t="s">
        <v>208</v>
      </c>
      <c r="D89" s="54"/>
      <c r="E89" s="5"/>
      <c r="F89" s="5"/>
      <c r="G89" s="5"/>
      <c r="J89" s="5"/>
      <c r="M89" s="5"/>
      <c r="N89" s="5"/>
      <c r="P89" s="5"/>
    </row>
    <row r="90" spans="1:16" ht="13">
      <c r="A90" s="48" t="s">
        <v>3647</v>
      </c>
      <c r="B90" s="49" t="s">
        <v>1303</v>
      </c>
      <c r="C90" s="51" t="s">
        <v>808</v>
      </c>
      <c r="D90" s="54"/>
      <c r="E90" s="5"/>
      <c r="F90" s="5"/>
      <c r="G90" s="5"/>
      <c r="J90" s="5"/>
      <c r="M90" s="5"/>
      <c r="N90" s="5"/>
      <c r="P90" s="5"/>
    </row>
    <row r="91" spans="1:16" ht="13">
      <c r="A91" s="48" t="s">
        <v>3648</v>
      </c>
      <c r="B91" s="49" t="s">
        <v>207</v>
      </c>
      <c r="C91" s="51" t="s">
        <v>208</v>
      </c>
      <c r="D91" s="54"/>
      <c r="E91" s="5"/>
      <c r="F91" s="5"/>
      <c r="G91" s="5"/>
      <c r="J91" s="5"/>
      <c r="M91" s="5"/>
      <c r="N91" s="5"/>
      <c r="P91" s="5"/>
    </row>
    <row r="92" spans="1:16" ht="13">
      <c r="A92" s="48" t="s">
        <v>3649</v>
      </c>
      <c r="B92" s="58" t="str">
        <f>HYPERLINK("https://bulbapedia.bulbagarden.net/wiki/Purugly_G_(Platinum_88)","PuruglyG")</f>
        <v>PuruglyG</v>
      </c>
      <c r="C92" s="51" t="s">
        <v>197</v>
      </c>
      <c r="D92" s="54"/>
      <c r="E92" s="5"/>
      <c r="F92" s="5"/>
      <c r="G92" s="5"/>
      <c r="J92" s="5"/>
      <c r="M92" s="5"/>
      <c r="N92" s="5"/>
      <c r="P92" s="5"/>
    </row>
    <row r="93" spans="1:16" ht="13">
      <c r="A93" s="48" t="s">
        <v>3650</v>
      </c>
      <c r="B93" s="49" t="s">
        <v>1307</v>
      </c>
      <c r="C93" s="51" t="s">
        <v>195</v>
      </c>
      <c r="D93" s="54"/>
      <c r="E93" s="5"/>
      <c r="F93" s="5"/>
      <c r="G93" s="5"/>
      <c r="J93" s="5"/>
      <c r="M93" s="5"/>
      <c r="N93" s="5"/>
      <c r="P93" s="5"/>
    </row>
    <row r="94" spans="1:16" ht="13">
      <c r="A94" s="48" t="s">
        <v>3651</v>
      </c>
      <c r="B94" s="49" t="s">
        <v>979</v>
      </c>
      <c r="C94" s="51" t="s">
        <v>208</v>
      </c>
      <c r="D94" s="54"/>
      <c r="E94" s="5"/>
      <c r="F94" s="5"/>
      <c r="G94" s="5"/>
      <c r="J94" s="5"/>
      <c r="M94" s="5"/>
      <c r="N94" s="5"/>
      <c r="P94" s="5"/>
    </row>
    <row r="95" spans="1:16" ht="13">
      <c r="A95" s="48" t="s">
        <v>3652</v>
      </c>
      <c r="B95" s="49" t="s">
        <v>3141</v>
      </c>
      <c r="C95" s="51" t="s">
        <v>225</v>
      </c>
      <c r="D95" s="51"/>
      <c r="E95" s="5"/>
      <c r="F95" s="5"/>
      <c r="G95" s="5"/>
      <c r="J95" s="5"/>
      <c r="M95" s="5"/>
      <c r="N95" s="5"/>
      <c r="P95" s="5"/>
    </row>
    <row r="96" spans="1:16" ht="13">
      <c r="A96" s="48" t="s">
        <v>3653</v>
      </c>
      <c r="B96" s="49" t="s">
        <v>1548</v>
      </c>
      <c r="C96" s="51" t="s">
        <v>195</v>
      </c>
      <c r="D96" s="54"/>
      <c r="E96" s="5"/>
      <c r="F96" s="5"/>
      <c r="G96" s="5"/>
      <c r="J96" s="5"/>
      <c r="M96" s="5"/>
      <c r="N96" s="5"/>
      <c r="P96" s="5"/>
    </row>
    <row r="97" spans="1:16" ht="13">
      <c r="A97" s="48" t="s">
        <v>3654</v>
      </c>
      <c r="B97" s="49" t="s">
        <v>1276</v>
      </c>
      <c r="C97" s="51" t="s">
        <v>197</v>
      </c>
      <c r="D97" s="54"/>
      <c r="E97" s="5"/>
      <c r="F97" s="5"/>
      <c r="G97" s="5"/>
      <c r="J97" s="5"/>
      <c r="M97" s="5"/>
      <c r="N97" s="5"/>
      <c r="P97" s="5"/>
    </row>
    <row r="98" spans="1:16" ht="13">
      <c r="A98" s="48" t="s">
        <v>3655</v>
      </c>
      <c r="B98" s="58" t="str">
        <f>HYPERLINK("https://bulbapedia.bulbagarden.net/wiki/Skuntank_G_(Platinum_94)","SkuntankG")</f>
        <v>SkuntankG</v>
      </c>
      <c r="C98" s="51" t="s">
        <v>195</v>
      </c>
      <c r="D98" s="54"/>
      <c r="E98" s="5"/>
      <c r="F98" s="5"/>
      <c r="G98" s="5"/>
      <c r="J98" s="5"/>
      <c r="M98" s="5"/>
      <c r="N98" s="5"/>
      <c r="P98" s="5"/>
    </row>
    <row r="99" spans="1:16" ht="13">
      <c r="A99" s="48" t="s">
        <v>3656</v>
      </c>
      <c r="B99" s="49" t="s">
        <v>1278</v>
      </c>
      <c r="C99" s="51" t="s">
        <v>197</v>
      </c>
      <c r="D99" s="51"/>
      <c r="E99" s="5"/>
      <c r="F99" s="5"/>
      <c r="G99" s="5"/>
      <c r="J99" s="5"/>
      <c r="M99" s="5"/>
      <c r="N99" s="5"/>
      <c r="P99" s="5"/>
    </row>
    <row r="100" spans="1:16" ht="13">
      <c r="A100" s="48" t="s">
        <v>3657</v>
      </c>
      <c r="B100" s="49" t="s">
        <v>294</v>
      </c>
      <c r="C100" s="51" t="s">
        <v>208</v>
      </c>
      <c r="D100" s="51"/>
      <c r="E100" s="5"/>
      <c r="F100" s="5"/>
      <c r="G100" s="5"/>
      <c r="J100" s="5"/>
      <c r="M100" s="5"/>
      <c r="N100" s="5"/>
      <c r="P100" s="5"/>
    </row>
    <row r="101" spans="1:16" ht="13">
      <c r="A101" s="48" t="s">
        <v>3658</v>
      </c>
      <c r="B101" s="49" t="s">
        <v>1587</v>
      </c>
      <c r="C101" s="51" t="s">
        <v>197</v>
      </c>
      <c r="D101" s="54"/>
      <c r="E101" s="5"/>
      <c r="F101" s="5"/>
      <c r="G101" s="5"/>
      <c r="J101" s="5"/>
      <c r="M101" s="5"/>
      <c r="N101" s="5"/>
      <c r="P101" s="5"/>
    </row>
    <row r="102" spans="1:16" ht="13">
      <c r="A102" s="48" t="s">
        <v>3659</v>
      </c>
      <c r="B102" s="49" t="s">
        <v>344</v>
      </c>
      <c r="C102" s="51" t="s">
        <v>197</v>
      </c>
      <c r="D102" s="54"/>
      <c r="E102" s="51"/>
      <c r="F102" s="5"/>
      <c r="G102" s="5"/>
      <c r="J102" s="5"/>
      <c r="M102" s="5"/>
      <c r="N102" s="5"/>
      <c r="P102" s="5"/>
    </row>
    <row r="103" spans="1:16" ht="13">
      <c r="A103" s="48" t="s">
        <v>3660</v>
      </c>
      <c r="B103" s="49" t="s">
        <v>1190</v>
      </c>
      <c r="C103" s="51" t="s">
        <v>199</v>
      </c>
      <c r="D103" s="54"/>
      <c r="E103" s="5"/>
      <c r="F103" s="5"/>
      <c r="G103" s="5"/>
      <c r="J103" s="5"/>
      <c r="M103" s="5"/>
      <c r="N103" s="5"/>
      <c r="P103" s="5"/>
    </row>
    <row r="104" spans="1:16" ht="13">
      <c r="A104" s="48" t="s">
        <v>3661</v>
      </c>
      <c r="B104" s="49" t="s">
        <v>1511</v>
      </c>
      <c r="C104" s="51" t="s">
        <v>199</v>
      </c>
      <c r="D104" s="54"/>
      <c r="E104" s="5"/>
      <c r="F104" s="5"/>
      <c r="G104" s="5"/>
      <c r="J104" s="5"/>
      <c r="M104" s="5"/>
      <c r="N104" s="5"/>
      <c r="P104" s="5"/>
    </row>
    <row r="105" spans="1:16" ht="13">
      <c r="A105" s="48" t="s">
        <v>3662</v>
      </c>
      <c r="B105" s="49" t="s">
        <v>3016</v>
      </c>
      <c r="C105" s="51" t="s">
        <v>205</v>
      </c>
      <c r="D105" s="54"/>
      <c r="E105" s="5"/>
      <c r="F105" s="5"/>
      <c r="G105" s="5"/>
      <c r="J105" s="5"/>
      <c r="M105" s="5"/>
      <c r="N105" s="5"/>
      <c r="P105" s="5"/>
    </row>
    <row r="106" spans="1:16" ht="13">
      <c r="A106" s="48" t="s">
        <v>3663</v>
      </c>
      <c r="B106" s="49" t="s">
        <v>299</v>
      </c>
      <c r="C106" s="51" t="s">
        <v>199</v>
      </c>
      <c r="D106" s="54"/>
      <c r="E106" s="5"/>
      <c r="F106" s="5"/>
      <c r="G106" s="5"/>
      <c r="J106" s="5"/>
      <c r="M106" s="5"/>
      <c r="N106" s="5"/>
      <c r="P106" s="5"/>
    </row>
    <row r="107" spans="1:16" ht="13">
      <c r="A107" s="48" t="s">
        <v>3664</v>
      </c>
      <c r="B107" s="49" t="s">
        <v>1323</v>
      </c>
      <c r="C107" s="51" t="s">
        <v>205</v>
      </c>
      <c r="D107" s="51"/>
      <c r="E107" s="5"/>
      <c r="F107" s="5"/>
      <c r="G107" s="5"/>
      <c r="J107" s="5"/>
      <c r="M107" s="5"/>
      <c r="N107" s="5"/>
      <c r="P107" s="5"/>
    </row>
    <row r="108" spans="1:16" ht="13">
      <c r="A108" s="48" t="s">
        <v>3665</v>
      </c>
      <c r="B108" s="49" t="s">
        <v>3666</v>
      </c>
      <c r="C108" s="51" t="s">
        <v>229</v>
      </c>
      <c r="D108" s="54"/>
      <c r="E108" s="5"/>
      <c r="F108" s="5"/>
      <c r="G108" s="5"/>
      <c r="J108" s="5"/>
      <c r="M108" s="5"/>
      <c r="N108" s="5"/>
      <c r="P108" s="5"/>
    </row>
    <row r="109" spans="1:16" ht="13">
      <c r="A109" s="48" t="s">
        <v>3667</v>
      </c>
      <c r="B109" s="49" t="s">
        <v>3668</v>
      </c>
      <c r="C109" s="51" t="s">
        <v>1013</v>
      </c>
      <c r="D109" s="54"/>
      <c r="E109" s="5"/>
      <c r="F109" s="5"/>
      <c r="G109" s="5"/>
      <c r="J109" s="5"/>
      <c r="M109" s="5"/>
      <c r="N109" s="5"/>
      <c r="P109" s="5"/>
    </row>
    <row r="110" spans="1:16" ht="13">
      <c r="A110" s="48" t="s">
        <v>3669</v>
      </c>
      <c r="B110" s="49" t="s">
        <v>3670</v>
      </c>
      <c r="C110" s="51" t="s">
        <v>229</v>
      </c>
      <c r="D110" s="54"/>
      <c r="E110" s="5"/>
      <c r="F110" s="5"/>
      <c r="G110" s="5"/>
      <c r="J110" s="5"/>
      <c r="M110" s="5"/>
      <c r="N110" s="5"/>
      <c r="P110" s="5"/>
    </row>
    <row r="111" spans="1:16" ht="13">
      <c r="A111" s="48" t="s">
        <v>3671</v>
      </c>
      <c r="B111" s="49" t="s">
        <v>3672</v>
      </c>
      <c r="C111" s="51" t="s">
        <v>206</v>
      </c>
      <c r="D111" s="54"/>
      <c r="E111" s="5"/>
      <c r="F111" s="5"/>
      <c r="G111" s="5"/>
      <c r="J111" s="5"/>
      <c r="M111" s="5"/>
      <c r="N111" s="5"/>
      <c r="P111" s="5"/>
    </row>
    <row r="112" spans="1:16" ht="13">
      <c r="A112" s="48" t="s">
        <v>3673</v>
      </c>
      <c r="B112" s="49" t="s">
        <v>1913</v>
      </c>
      <c r="C112" s="51" t="s">
        <v>206</v>
      </c>
      <c r="D112" s="54"/>
      <c r="E112" s="51"/>
      <c r="F112" s="5"/>
      <c r="G112" s="5"/>
      <c r="J112" s="5"/>
      <c r="M112" s="5"/>
      <c r="N112" s="5"/>
      <c r="P112" s="5"/>
    </row>
    <row r="113" spans="1:16" ht="13">
      <c r="A113" s="48" t="s">
        <v>3674</v>
      </c>
      <c r="B113" s="49" t="s">
        <v>3675</v>
      </c>
      <c r="C113" s="51" t="s">
        <v>1013</v>
      </c>
      <c r="D113" s="54"/>
      <c r="E113" s="5"/>
      <c r="F113" s="5"/>
      <c r="G113" s="5"/>
      <c r="J113" s="5"/>
      <c r="M113" s="5"/>
      <c r="N113" s="5"/>
      <c r="P113" s="5"/>
    </row>
    <row r="114" spans="1:16" ht="13">
      <c r="A114" s="48" t="s">
        <v>3676</v>
      </c>
      <c r="B114" s="49" t="s">
        <v>1149</v>
      </c>
      <c r="C114" s="51" t="s">
        <v>206</v>
      </c>
      <c r="D114" s="51"/>
      <c r="E114" s="5"/>
      <c r="F114" s="5"/>
      <c r="G114" s="5"/>
      <c r="J114" s="5"/>
      <c r="M114" s="5"/>
      <c r="N114" s="5"/>
      <c r="P114" s="5"/>
    </row>
    <row r="115" spans="1:16" ht="13">
      <c r="A115" s="48" t="s">
        <v>3677</v>
      </c>
      <c r="B115" s="49" t="s">
        <v>3678</v>
      </c>
      <c r="C115" s="51" t="s">
        <v>229</v>
      </c>
      <c r="D115" s="54"/>
      <c r="E115" s="5"/>
      <c r="F115" s="5"/>
      <c r="G115" s="5"/>
      <c r="J115" s="5"/>
      <c r="M115" s="5"/>
      <c r="N115" s="5"/>
      <c r="P115" s="5"/>
    </row>
    <row r="116" spans="1:16" ht="13">
      <c r="A116" s="48" t="s">
        <v>3679</v>
      </c>
      <c r="B116" s="49" t="s">
        <v>310</v>
      </c>
      <c r="C116" s="51" t="s">
        <v>206</v>
      </c>
      <c r="D116" s="51"/>
      <c r="E116" s="5"/>
      <c r="F116" s="5"/>
      <c r="G116" s="5"/>
      <c r="J116" s="5"/>
      <c r="M116" s="5"/>
      <c r="N116" s="5"/>
      <c r="P116" s="5"/>
    </row>
    <row r="117" spans="1:16" ht="13">
      <c r="A117" s="48" t="s">
        <v>3680</v>
      </c>
      <c r="B117" s="49" t="s">
        <v>357</v>
      </c>
      <c r="C117" s="51" t="s">
        <v>206</v>
      </c>
      <c r="D117" s="54"/>
      <c r="E117" s="5"/>
      <c r="F117" s="5"/>
      <c r="G117" s="5"/>
      <c r="J117" s="5"/>
      <c r="M117" s="5"/>
      <c r="N117" s="5"/>
      <c r="P117" s="5"/>
    </row>
    <row r="118" spans="1:16" ht="13">
      <c r="A118" s="48" t="s">
        <v>3681</v>
      </c>
      <c r="B118" s="49" t="s">
        <v>3151</v>
      </c>
      <c r="C118" s="51" t="s">
        <v>206</v>
      </c>
      <c r="D118" s="54"/>
      <c r="E118" s="5"/>
      <c r="F118" s="5"/>
      <c r="G118" s="5"/>
      <c r="J118" s="5"/>
      <c r="M118" s="5"/>
      <c r="N118" s="5"/>
      <c r="P118" s="5"/>
    </row>
    <row r="119" spans="1:16" ht="13">
      <c r="A119" s="48" t="s">
        <v>3682</v>
      </c>
      <c r="B119" s="49" t="s">
        <v>3683</v>
      </c>
      <c r="C119" s="51" t="s">
        <v>206</v>
      </c>
      <c r="D119" s="54"/>
      <c r="E119" s="5"/>
      <c r="F119" s="5"/>
      <c r="G119" s="5"/>
      <c r="J119" s="5"/>
      <c r="M119" s="5"/>
      <c r="N119" s="5"/>
      <c r="P119" s="5"/>
    </row>
    <row r="120" spans="1:16" ht="13">
      <c r="A120" s="48" t="s">
        <v>3684</v>
      </c>
      <c r="B120" s="49" t="s">
        <v>3685</v>
      </c>
      <c r="C120" s="51" t="s">
        <v>206</v>
      </c>
      <c r="D120" s="54"/>
      <c r="E120" s="5"/>
      <c r="F120" s="5"/>
      <c r="G120" s="5"/>
      <c r="J120" s="5"/>
      <c r="M120" s="5"/>
      <c r="N120" s="5"/>
      <c r="P120" s="5"/>
    </row>
    <row r="121" spans="1:16" ht="13">
      <c r="A121" s="48" t="s">
        <v>3686</v>
      </c>
      <c r="B121" s="49" t="s">
        <v>3687</v>
      </c>
      <c r="C121" s="51" t="s">
        <v>206</v>
      </c>
      <c r="D121" s="54"/>
      <c r="E121" s="5"/>
      <c r="F121" s="5"/>
      <c r="G121" s="5"/>
      <c r="J121" s="5"/>
      <c r="M121" s="5"/>
      <c r="N121" s="5"/>
      <c r="P121" s="5"/>
    </row>
    <row r="122" spans="1:16" ht="13">
      <c r="A122" s="48" t="s">
        <v>3688</v>
      </c>
      <c r="B122" s="49" t="s">
        <v>3689</v>
      </c>
      <c r="C122" s="51" t="s">
        <v>206</v>
      </c>
      <c r="D122" s="54"/>
      <c r="E122" s="5"/>
      <c r="F122" s="5"/>
      <c r="G122" s="5"/>
      <c r="J122" s="5"/>
      <c r="M122" s="5"/>
      <c r="N122" s="5"/>
      <c r="P122" s="5"/>
    </row>
    <row r="123" spans="1:16" ht="13">
      <c r="A123" s="48" t="s">
        <v>3690</v>
      </c>
      <c r="B123" s="49" t="s">
        <v>3300</v>
      </c>
      <c r="C123" s="51" t="s">
        <v>206</v>
      </c>
      <c r="D123" s="54"/>
      <c r="E123" s="5"/>
      <c r="F123" s="5"/>
      <c r="G123" s="5"/>
      <c r="J123" s="5"/>
      <c r="M123" s="5"/>
      <c r="N123" s="5"/>
      <c r="P123" s="5"/>
    </row>
    <row r="124" spans="1:16" ht="13">
      <c r="A124" s="48" t="s">
        <v>3691</v>
      </c>
      <c r="B124" s="49" t="s">
        <v>3302</v>
      </c>
      <c r="C124" s="51" t="s">
        <v>206</v>
      </c>
      <c r="D124" s="54"/>
      <c r="E124" s="5"/>
      <c r="F124" s="5"/>
      <c r="G124" s="5"/>
      <c r="J124" s="5"/>
      <c r="M124" s="5"/>
      <c r="N124" s="5"/>
      <c r="P124" s="5"/>
    </row>
    <row r="125" spans="1:16" ht="13">
      <c r="A125" s="48" t="s">
        <v>3692</v>
      </c>
      <c r="B125" s="49" t="s">
        <v>524</v>
      </c>
      <c r="C125" s="51" t="s">
        <v>317</v>
      </c>
      <c r="D125" s="54"/>
      <c r="E125" s="5"/>
      <c r="F125" s="5"/>
      <c r="G125" s="5"/>
      <c r="J125" s="5"/>
      <c r="M125" s="5"/>
      <c r="N125" s="5"/>
      <c r="P125" s="5"/>
    </row>
    <row r="126" spans="1:16" ht="13">
      <c r="A126" s="48" t="s">
        <v>3693</v>
      </c>
      <c r="B126" s="58" t="str">
        <f>HYPERLINK("https://bulbapedia.bulbagarden.net/wiki/Dialga_G_LV.X_(Platinum_122)","DialgaG  LV.X")</f>
        <v>DialgaG  LV.X</v>
      </c>
      <c r="C126" s="51" t="s">
        <v>220</v>
      </c>
      <c r="D126" s="54"/>
      <c r="E126" s="5"/>
      <c r="F126" s="5"/>
      <c r="G126" s="5"/>
      <c r="J126" s="5"/>
      <c r="M126" s="5"/>
      <c r="N126" s="5"/>
      <c r="P126" s="5"/>
    </row>
    <row r="127" spans="1:16" ht="13">
      <c r="A127" s="48" t="s">
        <v>3694</v>
      </c>
      <c r="B127" s="49" t="s">
        <v>3695</v>
      </c>
      <c r="C127" s="51" t="s">
        <v>808</v>
      </c>
      <c r="D127" s="54"/>
      <c r="E127" s="5"/>
      <c r="F127" s="5"/>
      <c r="G127" s="5"/>
      <c r="J127" s="5"/>
      <c r="M127" s="5"/>
      <c r="N127" s="5"/>
      <c r="P127" s="5"/>
    </row>
    <row r="128" spans="1:16" ht="13">
      <c r="A128" s="48" t="s">
        <v>3696</v>
      </c>
      <c r="B128" s="49" t="s">
        <v>3085</v>
      </c>
      <c r="C128" s="51" t="s">
        <v>195</v>
      </c>
      <c r="D128" s="54"/>
      <c r="E128" s="5"/>
      <c r="F128" s="5"/>
      <c r="G128" s="5"/>
      <c r="J128" s="5"/>
      <c r="M128" s="5"/>
      <c r="N128" s="5"/>
      <c r="P128" s="5"/>
    </row>
    <row r="129" spans="1:16" ht="13">
      <c r="A129" s="48" t="s">
        <v>3697</v>
      </c>
      <c r="B129" s="58" t="str">
        <f>HYPERLINK("https://bulbapedia.bulbagarden.net/wiki/Palkia_G_LV.X_(Platinum_125)","PalkiaG  LV.X")</f>
        <v>PalkiaG  LV.X</v>
      </c>
      <c r="C129" s="51" t="s">
        <v>208</v>
      </c>
      <c r="D129" s="54"/>
      <c r="E129" s="5"/>
      <c r="F129" s="5"/>
      <c r="G129" s="5"/>
      <c r="J129" s="5"/>
      <c r="M129" s="5"/>
      <c r="N129" s="5"/>
      <c r="P129" s="5"/>
    </row>
    <row r="130" spans="1:16" ht="13">
      <c r="A130" s="48" t="s">
        <v>3698</v>
      </c>
      <c r="B130" s="49" t="s">
        <v>3087</v>
      </c>
      <c r="C130" s="51" t="s">
        <v>205</v>
      </c>
      <c r="D130" s="54"/>
      <c r="E130" s="5"/>
      <c r="F130" s="5"/>
      <c r="G130" s="5"/>
      <c r="J130" s="5"/>
      <c r="M130" s="5"/>
      <c r="N130" s="5"/>
      <c r="P130" s="5"/>
    </row>
    <row r="131" spans="1:16" ht="13">
      <c r="A131" s="48" t="s">
        <v>3699</v>
      </c>
      <c r="B131" s="49" t="s">
        <v>3087</v>
      </c>
      <c r="C131" s="51" t="s">
        <v>205</v>
      </c>
      <c r="D131" s="54"/>
      <c r="E131" s="5"/>
      <c r="F131" s="5"/>
      <c r="G131" s="5"/>
      <c r="J131" s="5"/>
      <c r="M131" s="5"/>
      <c r="N131" s="5"/>
      <c r="P131" s="5"/>
    </row>
    <row r="132" spans="1:16" ht="13">
      <c r="A132" s="48" t="s">
        <v>3700</v>
      </c>
      <c r="B132" s="49" t="s">
        <v>193</v>
      </c>
      <c r="C132" s="51" t="s">
        <v>192</v>
      </c>
      <c r="D132" s="54"/>
      <c r="E132" s="5"/>
      <c r="F132" s="5"/>
      <c r="G132" s="5"/>
      <c r="J132" s="5"/>
      <c r="M132" s="5"/>
      <c r="N132" s="5"/>
      <c r="P132" s="5"/>
    </row>
    <row r="133" spans="1:16" ht="13">
      <c r="A133" s="48" t="s">
        <v>3701</v>
      </c>
      <c r="B133" s="49" t="s">
        <v>246</v>
      </c>
      <c r="C133" s="51" t="s">
        <v>225</v>
      </c>
      <c r="D133" s="54"/>
      <c r="E133" s="5"/>
      <c r="F133" s="5"/>
      <c r="G133" s="5"/>
      <c r="J133" s="5"/>
      <c r="M133" s="5"/>
      <c r="N133" s="5"/>
      <c r="P133" s="5"/>
    </row>
    <row r="134" spans="1:16" ht="13">
      <c r="A134" s="48" t="s">
        <v>3702</v>
      </c>
      <c r="B134" s="49" t="s">
        <v>232</v>
      </c>
      <c r="C134" s="51" t="s">
        <v>205</v>
      </c>
      <c r="D134" s="54"/>
      <c r="E134" s="5"/>
      <c r="F134" s="5"/>
      <c r="G134" s="5"/>
      <c r="J134" s="5"/>
      <c r="M134" s="5"/>
      <c r="N134" s="5"/>
      <c r="P134" s="5"/>
    </row>
    <row r="135" spans="1:16" ht="13">
      <c r="A135" s="48" t="s">
        <v>3703</v>
      </c>
      <c r="B135" s="49" t="s">
        <v>1443</v>
      </c>
      <c r="C135" s="51" t="s">
        <v>205</v>
      </c>
      <c r="D135" s="54"/>
      <c r="E135" s="5"/>
      <c r="F135" s="5"/>
      <c r="G135" s="5"/>
      <c r="J135" s="5"/>
      <c r="M135" s="5"/>
      <c r="N135" s="5"/>
      <c r="P135" s="5"/>
    </row>
    <row r="136" spans="1:16" ht="13">
      <c r="A136" s="48" t="s">
        <v>3704</v>
      </c>
      <c r="B136" s="49" t="s">
        <v>1587</v>
      </c>
      <c r="C136" s="51" t="s">
        <v>197</v>
      </c>
      <c r="D136" s="54"/>
      <c r="E136" s="5"/>
      <c r="F136" s="5"/>
      <c r="G136" s="5"/>
      <c r="J136" s="5"/>
      <c r="M136" s="5"/>
      <c r="N136" s="5"/>
      <c r="P136" s="5"/>
    </row>
    <row r="137" spans="1:16" ht="13">
      <c r="A137" s="48" t="s">
        <v>3705</v>
      </c>
      <c r="B137" s="49" t="s">
        <v>299</v>
      </c>
      <c r="C137" s="51" t="s">
        <v>199</v>
      </c>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100-000000000000}"/>
    <hyperlink ref="B6" r:id="rId2" xr:uid="{00000000-0004-0000-3100-000001000000}"/>
    <hyperlink ref="B7" r:id="rId3" xr:uid="{00000000-0004-0000-3100-000002000000}"/>
    <hyperlink ref="B8" r:id="rId4" xr:uid="{00000000-0004-0000-3100-000003000000}"/>
    <hyperlink ref="B9" r:id="rId5" xr:uid="{00000000-0004-0000-3100-000004000000}"/>
    <hyperlink ref="B10" r:id="rId6" xr:uid="{00000000-0004-0000-3100-000005000000}"/>
    <hyperlink ref="B12" r:id="rId7" xr:uid="{00000000-0004-0000-3100-000006000000}"/>
    <hyperlink ref="B13" r:id="rId8" xr:uid="{00000000-0004-0000-3100-000007000000}"/>
    <hyperlink ref="B14" r:id="rId9" xr:uid="{00000000-0004-0000-3100-000008000000}"/>
    <hyperlink ref="B15" r:id="rId10" xr:uid="{00000000-0004-0000-3100-000009000000}"/>
    <hyperlink ref="B17" r:id="rId11" xr:uid="{00000000-0004-0000-3100-00000A000000}"/>
    <hyperlink ref="B18" r:id="rId12" xr:uid="{00000000-0004-0000-3100-00000B000000}"/>
    <hyperlink ref="B19" r:id="rId13" xr:uid="{00000000-0004-0000-3100-00000C000000}"/>
    <hyperlink ref="B20" r:id="rId14" xr:uid="{00000000-0004-0000-3100-00000D000000}"/>
    <hyperlink ref="B22" r:id="rId15" xr:uid="{00000000-0004-0000-3100-00000E000000}"/>
    <hyperlink ref="B23" r:id="rId16" xr:uid="{00000000-0004-0000-3100-00000F000000}"/>
    <hyperlink ref="B24" r:id="rId17" xr:uid="{00000000-0004-0000-3100-000010000000}"/>
    <hyperlink ref="B25" r:id="rId18" xr:uid="{00000000-0004-0000-3100-000011000000}"/>
    <hyperlink ref="B26" r:id="rId19" xr:uid="{00000000-0004-0000-3100-000012000000}"/>
    <hyperlink ref="B27" r:id="rId20" xr:uid="{00000000-0004-0000-3100-000013000000}"/>
    <hyperlink ref="B28" r:id="rId21" xr:uid="{00000000-0004-0000-3100-000014000000}"/>
    <hyperlink ref="B29" r:id="rId22" xr:uid="{00000000-0004-0000-3100-000015000000}"/>
    <hyperlink ref="B30" r:id="rId23" xr:uid="{00000000-0004-0000-3100-000016000000}"/>
    <hyperlink ref="B31" r:id="rId24" xr:uid="{00000000-0004-0000-3100-000017000000}"/>
    <hyperlink ref="B32" r:id="rId25" xr:uid="{00000000-0004-0000-3100-000018000000}"/>
    <hyperlink ref="B33" r:id="rId26" xr:uid="{00000000-0004-0000-3100-000019000000}"/>
    <hyperlink ref="B35" r:id="rId27" xr:uid="{00000000-0004-0000-3100-00001A000000}"/>
    <hyperlink ref="B36" r:id="rId28" xr:uid="{00000000-0004-0000-3100-00001B000000}"/>
    <hyperlink ref="B37" r:id="rId29" xr:uid="{00000000-0004-0000-3100-00001C000000}"/>
    <hyperlink ref="B38" r:id="rId30" xr:uid="{00000000-0004-0000-3100-00001D000000}"/>
    <hyperlink ref="B39" r:id="rId31" xr:uid="{00000000-0004-0000-3100-00001E000000}"/>
    <hyperlink ref="B40" r:id="rId32" xr:uid="{00000000-0004-0000-3100-00001F000000}"/>
    <hyperlink ref="B41" r:id="rId33" xr:uid="{00000000-0004-0000-3100-000020000000}"/>
    <hyperlink ref="B42" r:id="rId34" xr:uid="{00000000-0004-0000-3100-000021000000}"/>
    <hyperlink ref="B43" r:id="rId35" xr:uid="{00000000-0004-0000-3100-000022000000}"/>
    <hyperlink ref="B46" r:id="rId36" xr:uid="{00000000-0004-0000-3100-000023000000}"/>
    <hyperlink ref="B47" r:id="rId37" xr:uid="{00000000-0004-0000-3100-000024000000}"/>
    <hyperlink ref="B48" r:id="rId38" xr:uid="{00000000-0004-0000-3100-000025000000}"/>
    <hyperlink ref="B49" r:id="rId39" xr:uid="{00000000-0004-0000-3100-000026000000}"/>
    <hyperlink ref="B50" r:id="rId40" xr:uid="{00000000-0004-0000-3100-000027000000}"/>
    <hyperlink ref="B52" r:id="rId41" xr:uid="{00000000-0004-0000-3100-000028000000}"/>
    <hyperlink ref="B53" r:id="rId42" xr:uid="{00000000-0004-0000-3100-000029000000}"/>
    <hyperlink ref="B55" r:id="rId43" xr:uid="{00000000-0004-0000-3100-00002A000000}"/>
    <hyperlink ref="B56" r:id="rId44" xr:uid="{00000000-0004-0000-3100-00002B000000}"/>
    <hyperlink ref="B57" r:id="rId45" xr:uid="{00000000-0004-0000-3100-00002C000000}"/>
    <hyperlink ref="B58" r:id="rId46" xr:uid="{00000000-0004-0000-3100-00002D000000}"/>
    <hyperlink ref="B59" r:id="rId47" xr:uid="{00000000-0004-0000-3100-00002E000000}"/>
    <hyperlink ref="B60" r:id="rId48" xr:uid="{00000000-0004-0000-3100-00002F000000}"/>
    <hyperlink ref="B61" r:id="rId49" xr:uid="{00000000-0004-0000-3100-000030000000}"/>
    <hyperlink ref="B62" r:id="rId50" xr:uid="{00000000-0004-0000-3100-000031000000}"/>
    <hyperlink ref="B63" r:id="rId51" xr:uid="{00000000-0004-0000-3100-000032000000}"/>
    <hyperlink ref="B64" r:id="rId52" xr:uid="{00000000-0004-0000-3100-000033000000}"/>
    <hyperlink ref="B65" r:id="rId53" xr:uid="{00000000-0004-0000-3100-000034000000}"/>
    <hyperlink ref="B66" r:id="rId54" xr:uid="{00000000-0004-0000-3100-000035000000}"/>
    <hyperlink ref="B67" r:id="rId55" xr:uid="{00000000-0004-0000-3100-000036000000}"/>
    <hyperlink ref="B68" r:id="rId56" xr:uid="{00000000-0004-0000-3100-000037000000}"/>
    <hyperlink ref="B69" r:id="rId57" xr:uid="{00000000-0004-0000-3100-000038000000}"/>
    <hyperlink ref="B70" r:id="rId58" xr:uid="{00000000-0004-0000-3100-000039000000}"/>
    <hyperlink ref="B71" r:id="rId59" xr:uid="{00000000-0004-0000-3100-00003A000000}"/>
    <hyperlink ref="B72" r:id="rId60" xr:uid="{00000000-0004-0000-3100-00003B000000}"/>
    <hyperlink ref="B73" r:id="rId61" xr:uid="{00000000-0004-0000-3100-00003C000000}"/>
    <hyperlink ref="B74" r:id="rId62" xr:uid="{00000000-0004-0000-3100-00003D000000}"/>
    <hyperlink ref="B75" r:id="rId63" xr:uid="{00000000-0004-0000-3100-00003E000000}"/>
    <hyperlink ref="B76" r:id="rId64" xr:uid="{00000000-0004-0000-3100-00003F000000}"/>
    <hyperlink ref="B77" r:id="rId65" xr:uid="{00000000-0004-0000-3100-000040000000}"/>
    <hyperlink ref="B78" r:id="rId66" xr:uid="{00000000-0004-0000-3100-000041000000}"/>
    <hyperlink ref="B79" r:id="rId67" xr:uid="{00000000-0004-0000-3100-000042000000}"/>
    <hyperlink ref="B80" r:id="rId68" xr:uid="{00000000-0004-0000-3100-000043000000}"/>
    <hyperlink ref="B82" r:id="rId69" xr:uid="{00000000-0004-0000-3100-000044000000}"/>
    <hyperlink ref="B83" r:id="rId70" xr:uid="{00000000-0004-0000-3100-000045000000}"/>
    <hyperlink ref="B84" r:id="rId71" xr:uid="{00000000-0004-0000-3100-000046000000}"/>
    <hyperlink ref="B85" r:id="rId72" xr:uid="{00000000-0004-0000-3100-000047000000}"/>
    <hyperlink ref="B86" r:id="rId73" xr:uid="{00000000-0004-0000-3100-000048000000}"/>
    <hyperlink ref="B87" r:id="rId74" xr:uid="{00000000-0004-0000-3100-000049000000}"/>
    <hyperlink ref="B88" r:id="rId75" xr:uid="{00000000-0004-0000-3100-00004A000000}"/>
    <hyperlink ref="B89" r:id="rId76" xr:uid="{00000000-0004-0000-3100-00004B000000}"/>
    <hyperlink ref="B90" r:id="rId77" xr:uid="{00000000-0004-0000-3100-00004C000000}"/>
    <hyperlink ref="B91" r:id="rId78" xr:uid="{00000000-0004-0000-3100-00004D000000}"/>
    <hyperlink ref="B93" r:id="rId79" xr:uid="{00000000-0004-0000-3100-00004E000000}"/>
    <hyperlink ref="B94" r:id="rId80" xr:uid="{00000000-0004-0000-3100-00004F000000}"/>
    <hyperlink ref="B95" r:id="rId81" xr:uid="{00000000-0004-0000-3100-000050000000}"/>
    <hyperlink ref="B96" r:id="rId82" xr:uid="{00000000-0004-0000-3100-000051000000}"/>
    <hyperlink ref="B97" r:id="rId83" xr:uid="{00000000-0004-0000-3100-000052000000}"/>
    <hyperlink ref="B99" r:id="rId84" xr:uid="{00000000-0004-0000-3100-000053000000}"/>
    <hyperlink ref="B100" r:id="rId85" xr:uid="{00000000-0004-0000-3100-000054000000}"/>
    <hyperlink ref="B101" r:id="rId86" xr:uid="{00000000-0004-0000-3100-000055000000}"/>
    <hyperlink ref="B102" r:id="rId87" xr:uid="{00000000-0004-0000-3100-000056000000}"/>
    <hyperlink ref="B103" r:id="rId88" xr:uid="{00000000-0004-0000-3100-000057000000}"/>
    <hyperlink ref="B104" r:id="rId89" xr:uid="{00000000-0004-0000-3100-000058000000}"/>
    <hyperlink ref="B105" r:id="rId90" xr:uid="{00000000-0004-0000-3100-000059000000}"/>
    <hyperlink ref="B106" r:id="rId91" xr:uid="{00000000-0004-0000-3100-00005A000000}"/>
    <hyperlink ref="B107" r:id="rId92" xr:uid="{00000000-0004-0000-3100-00005B000000}"/>
    <hyperlink ref="B108" r:id="rId93" xr:uid="{00000000-0004-0000-3100-00005C000000}"/>
    <hyperlink ref="B109" r:id="rId94" xr:uid="{00000000-0004-0000-3100-00005D000000}"/>
    <hyperlink ref="B110" r:id="rId95" xr:uid="{00000000-0004-0000-3100-00005E000000}"/>
    <hyperlink ref="B111" r:id="rId96" xr:uid="{00000000-0004-0000-3100-00005F000000}"/>
    <hyperlink ref="B112" r:id="rId97" xr:uid="{00000000-0004-0000-3100-000060000000}"/>
    <hyperlink ref="B113" r:id="rId98" xr:uid="{00000000-0004-0000-3100-000061000000}"/>
    <hyperlink ref="B114" r:id="rId99" xr:uid="{00000000-0004-0000-3100-000062000000}"/>
    <hyperlink ref="B115" r:id="rId100" xr:uid="{00000000-0004-0000-3100-000063000000}"/>
    <hyperlink ref="B116" r:id="rId101" xr:uid="{00000000-0004-0000-3100-000064000000}"/>
    <hyperlink ref="B117" r:id="rId102" xr:uid="{00000000-0004-0000-3100-000065000000}"/>
    <hyperlink ref="B118" r:id="rId103" xr:uid="{00000000-0004-0000-3100-000066000000}"/>
    <hyperlink ref="B119" r:id="rId104" xr:uid="{00000000-0004-0000-3100-000067000000}"/>
    <hyperlink ref="B120" r:id="rId105" xr:uid="{00000000-0004-0000-3100-000068000000}"/>
    <hyperlink ref="B121" r:id="rId106" xr:uid="{00000000-0004-0000-3100-000069000000}"/>
    <hyperlink ref="B122" r:id="rId107" xr:uid="{00000000-0004-0000-3100-00006A000000}"/>
    <hyperlink ref="B123" r:id="rId108" xr:uid="{00000000-0004-0000-3100-00006B000000}"/>
    <hyperlink ref="B124" r:id="rId109" xr:uid="{00000000-0004-0000-3100-00006C000000}"/>
    <hyperlink ref="B125" r:id="rId110" xr:uid="{00000000-0004-0000-3100-00006D000000}"/>
    <hyperlink ref="B127" r:id="rId111" xr:uid="{00000000-0004-0000-3100-00006E000000}"/>
    <hyperlink ref="B128" r:id="rId112" xr:uid="{00000000-0004-0000-3100-00006F000000}"/>
    <hyperlink ref="B130" r:id="rId113" xr:uid="{00000000-0004-0000-3100-000070000000}"/>
    <hyperlink ref="B131" r:id="rId114" xr:uid="{00000000-0004-0000-3100-000071000000}"/>
    <hyperlink ref="B132" r:id="rId115" xr:uid="{00000000-0004-0000-3100-000072000000}"/>
    <hyperlink ref="B133" r:id="rId116" xr:uid="{00000000-0004-0000-3100-000073000000}"/>
    <hyperlink ref="B134" r:id="rId117" xr:uid="{00000000-0004-0000-3100-000074000000}"/>
    <hyperlink ref="B135" r:id="rId118" xr:uid="{00000000-0004-0000-3100-000075000000}"/>
    <hyperlink ref="B136" r:id="rId119" xr:uid="{00000000-0004-0000-3100-000076000000}"/>
    <hyperlink ref="B137" r:id="rId120" xr:uid="{00000000-0004-0000-3100-000077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39.6640625" customWidth="1"/>
    <col min="3" max="3" width="13.5" customWidth="1"/>
    <col min="4" max="4" width="14.83203125" customWidth="1"/>
    <col min="5" max="5" width="14.33203125" customWidth="1"/>
    <col min="11" max="11" width="13.83203125" customWidth="1"/>
  </cols>
  <sheetData>
    <row r="1" spans="1:23" ht="15.75" customHeight="1">
      <c r="A1" s="1" t="s">
        <v>54</v>
      </c>
      <c r="B1" s="36"/>
      <c r="C1" s="46"/>
      <c r="D1" s="7" t="s">
        <v>181</v>
      </c>
      <c r="E1" s="5"/>
      <c r="F1" s="5"/>
      <c r="G1" s="5"/>
      <c r="K1" s="1"/>
      <c r="M1" s="5"/>
      <c r="N1" s="5"/>
      <c r="S1" s="1"/>
      <c r="U1" s="5"/>
    </row>
    <row r="2" spans="1:23" ht="15.75" customHeight="1">
      <c r="A2" s="7" t="s">
        <v>182</v>
      </c>
      <c r="B2" s="38">
        <v>39953</v>
      </c>
      <c r="C2" s="46"/>
      <c r="D2" s="39">
        <f>SUM(D5:G137)</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1" t="s">
        <v>765</v>
      </c>
      <c r="B5" s="60" t="s">
        <v>198</v>
      </c>
      <c r="C5" s="51" t="s">
        <v>199</v>
      </c>
      <c r="D5" s="54"/>
      <c r="E5" s="5"/>
      <c r="F5" s="5"/>
      <c r="G5" s="5"/>
      <c r="L5" s="43"/>
      <c r="M5" s="43"/>
      <c r="N5" s="42"/>
      <c r="O5" s="44"/>
      <c r="S5" s="42"/>
      <c r="T5" s="43"/>
      <c r="U5" s="43"/>
      <c r="V5" s="42"/>
      <c r="W5" s="44"/>
    </row>
    <row r="6" spans="1:23" ht="15.75" customHeight="1">
      <c r="A6" s="51" t="s">
        <v>767</v>
      </c>
      <c r="B6" s="61" t="s">
        <v>3706</v>
      </c>
      <c r="C6" s="51" t="s">
        <v>220</v>
      </c>
      <c r="D6" s="54"/>
      <c r="E6" s="5"/>
      <c r="F6" s="5"/>
      <c r="G6" s="5"/>
      <c r="L6" s="50"/>
      <c r="M6" s="51"/>
      <c r="N6" s="5"/>
      <c r="S6" s="52"/>
      <c r="T6" s="50"/>
      <c r="U6" s="51"/>
    </row>
    <row r="7" spans="1:23" ht="15.75" customHeight="1">
      <c r="A7" s="51" t="s">
        <v>769</v>
      </c>
      <c r="B7" s="61" t="s">
        <v>3707</v>
      </c>
      <c r="C7" s="51" t="s">
        <v>808</v>
      </c>
      <c r="D7" s="54"/>
      <c r="E7" s="5"/>
      <c r="F7" s="5"/>
      <c r="G7" s="5"/>
      <c r="K7" s="52"/>
      <c r="L7" s="50"/>
      <c r="M7" s="51"/>
      <c r="N7" s="5"/>
      <c r="S7" s="52"/>
      <c r="T7" s="50"/>
      <c r="U7" s="51"/>
    </row>
    <row r="8" spans="1:23" ht="15.75" customHeight="1">
      <c r="A8" s="51" t="s">
        <v>771</v>
      </c>
      <c r="B8" s="61" t="s">
        <v>3708</v>
      </c>
      <c r="C8" s="51" t="s">
        <v>208</v>
      </c>
      <c r="D8" s="54"/>
      <c r="E8" s="5"/>
      <c r="F8" s="5"/>
      <c r="G8" s="5"/>
      <c r="K8" s="52"/>
      <c r="L8" s="50"/>
      <c r="M8" s="51"/>
      <c r="N8" s="51"/>
      <c r="S8" s="52"/>
      <c r="T8" s="50"/>
      <c r="U8" s="51"/>
    </row>
    <row r="9" spans="1:23" ht="15.75" customHeight="1">
      <c r="A9" s="51" t="s">
        <v>773</v>
      </c>
      <c r="B9" s="60" t="s">
        <v>1200</v>
      </c>
      <c r="C9" s="51" t="s">
        <v>197</v>
      </c>
      <c r="D9" s="54"/>
      <c r="E9" s="5"/>
      <c r="F9" s="5"/>
      <c r="G9" s="5"/>
      <c r="K9" s="52"/>
      <c r="L9" s="50"/>
      <c r="M9" s="51"/>
      <c r="N9" s="51"/>
      <c r="S9" s="52"/>
      <c r="T9" s="50"/>
      <c r="U9" s="51"/>
    </row>
    <row r="10" spans="1:23" ht="15.75" customHeight="1">
      <c r="A10" s="51" t="s">
        <v>774</v>
      </c>
      <c r="B10" s="61" t="s">
        <v>3709</v>
      </c>
      <c r="C10" s="51" t="s">
        <v>208</v>
      </c>
      <c r="D10" s="54"/>
      <c r="E10" s="5"/>
      <c r="F10" s="5"/>
      <c r="G10" s="5"/>
      <c r="K10" s="52"/>
      <c r="L10" s="50"/>
      <c r="M10" s="51"/>
      <c r="N10" s="5"/>
      <c r="S10" s="52"/>
      <c r="T10" s="50"/>
      <c r="U10" s="51"/>
    </row>
    <row r="11" spans="1:23" ht="15.75" customHeight="1">
      <c r="A11" s="51" t="s">
        <v>776</v>
      </c>
      <c r="B11" s="60" t="s">
        <v>1196</v>
      </c>
      <c r="C11" s="51" t="s">
        <v>220</v>
      </c>
      <c r="D11" s="54"/>
      <c r="E11" s="5"/>
      <c r="F11" s="5"/>
      <c r="G11" s="5"/>
      <c r="K11" s="52"/>
      <c r="L11" s="50"/>
      <c r="M11" s="51"/>
      <c r="N11" s="51"/>
      <c r="S11" s="52"/>
      <c r="T11" s="50"/>
      <c r="U11" s="51"/>
    </row>
    <row r="12" spans="1:23" ht="15.75" customHeight="1">
      <c r="A12" s="51" t="s">
        <v>778</v>
      </c>
      <c r="B12" s="61" t="s">
        <v>3710</v>
      </c>
      <c r="C12" s="51" t="s">
        <v>225</v>
      </c>
      <c r="D12" s="54"/>
      <c r="E12" s="5"/>
      <c r="F12" s="5"/>
      <c r="G12" s="5"/>
      <c r="K12" s="52"/>
      <c r="L12" s="50"/>
      <c r="M12" s="51"/>
      <c r="N12" s="51"/>
      <c r="S12" s="52"/>
      <c r="T12" s="50"/>
      <c r="U12" s="51"/>
    </row>
    <row r="13" spans="1:23" ht="15.75" customHeight="1">
      <c r="A13" s="51" t="s">
        <v>780</v>
      </c>
      <c r="B13" s="61" t="s">
        <v>3711</v>
      </c>
      <c r="C13" s="51" t="s">
        <v>192</v>
      </c>
      <c r="D13" s="54"/>
      <c r="E13" s="5"/>
      <c r="F13" s="5"/>
      <c r="G13" s="5"/>
      <c r="K13" s="52"/>
      <c r="L13" s="50"/>
      <c r="M13" s="51"/>
      <c r="N13" s="5"/>
      <c r="S13" s="52"/>
      <c r="T13" s="50"/>
      <c r="U13" s="51"/>
    </row>
    <row r="14" spans="1:23" ht="15.75" customHeight="1">
      <c r="A14" s="51" t="s">
        <v>782</v>
      </c>
      <c r="B14" s="61" t="s">
        <v>3712</v>
      </c>
      <c r="C14" s="51" t="s">
        <v>195</v>
      </c>
      <c r="D14" s="54"/>
      <c r="E14" s="5"/>
      <c r="F14" s="5"/>
      <c r="G14" s="5"/>
      <c r="K14" s="52"/>
      <c r="L14" s="50"/>
      <c r="M14" s="51"/>
      <c r="N14" s="51"/>
      <c r="S14" s="52"/>
      <c r="T14" s="50"/>
      <c r="U14" s="51"/>
    </row>
    <row r="15" spans="1:23" ht="15.75" customHeight="1">
      <c r="A15" s="51" t="s">
        <v>784</v>
      </c>
      <c r="B15" s="61" t="s">
        <v>3713</v>
      </c>
      <c r="C15" s="51" t="s">
        <v>225</v>
      </c>
      <c r="D15" s="54"/>
      <c r="E15" s="5"/>
      <c r="F15" s="5"/>
      <c r="G15" s="5"/>
      <c r="K15" s="52"/>
      <c r="L15" s="50"/>
      <c r="M15" s="51"/>
      <c r="N15" s="51"/>
      <c r="S15" s="52"/>
      <c r="T15" s="50"/>
      <c r="U15" s="51"/>
    </row>
    <row r="16" spans="1:23" ht="15.75" customHeight="1">
      <c r="A16" s="51" t="s">
        <v>785</v>
      </c>
      <c r="B16" s="61" t="s">
        <v>3714</v>
      </c>
      <c r="C16" s="51" t="s">
        <v>205</v>
      </c>
      <c r="D16" s="54"/>
      <c r="E16" s="5"/>
      <c r="F16" s="5"/>
      <c r="G16" s="5"/>
      <c r="K16" s="52"/>
      <c r="L16" s="50"/>
      <c r="M16" s="51"/>
      <c r="N16" s="51"/>
      <c r="S16" s="52"/>
      <c r="T16" s="50"/>
      <c r="U16" s="51"/>
    </row>
    <row r="17" spans="1:27" ht="15.75" customHeight="1">
      <c r="A17" s="51" t="s">
        <v>786</v>
      </c>
      <c r="B17" s="60" t="s">
        <v>1374</v>
      </c>
      <c r="C17" s="51" t="s">
        <v>808</v>
      </c>
      <c r="D17" s="54"/>
      <c r="E17" s="5"/>
      <c r="F17" s="5"/>
      <c r="G17" s="5"/>
      <c r="K17" s="52"/>
      <c r="L17" s="50"/>
      <c r="M17" s="51"/>
      <c r="N17" s="51"/>
      <c r="S17" s="52"/>
      <c r="T17" s="50"/>
      <c r="U17" s="51"/>
    </row>
    <row r="18" spans="1:27" ht="15.75" customHeight="1">
      <c r="A18" s="51" t="s">
        <v>788</v>
      </c>
      <c r="B18" s="60" t="s">
        <v>1208</v>
      </c>
      <c r="C18" s="51" t="s">
        <v>220</v>
      </c>
      <c r="D18" s="54"/>
      <c r="E18" s="5"/>
      <c r="F18" s="5"/>
      <c r="G18" s="5"/>
      <c r="M18" s="5"/>
      <c r="N18" s="5"/>
      <c r="U18" s="5"/>
      <c r="AA18" s="5"/>
    </row>
    <row r="19" spans="1:27" ht="15.75" customHeight="1">
      <c r="A19" s="51" t="s">
        <v>790</v>
      </c>
      <c r="B19" s="60" t="s">
        <v>253</v>
      </c>
      <c r="C19" s="51" t="s">
        <v>205</v>
      </c>
      <c r="D19" s="54"/>
      <c r="E19" s="5"/>
      <c r="F19" s="5"/>
      <c r="G19" s="5"/>
      <c r="K19" s="1"/>
      <c r="M19" s="5"/>
      <c r="N19" s="5"/>
      <c r="U19" s="5"/>
      <c r="AA19" s="5"/>
    </row>
    <row r="20" spans="1:27" ht="15.75" customHeight="1">
      <c r="A20" s="51" t="s">
        <v>792</v>
      </c>
      <c r="B20" s="61" t="s">
        <v>3715</v>
      </c>
      <c r="C20" s="51" t="s">
        <v>195</v>
      </c>
      <c r="D20" s="54"/>
      <c r="E20" s="5"/>
      <c r="F20" s="5"/>
      <c r="G20" s="5"/>
      <c r="L20" s="40"/>
      <c r="M20" s="5"/>
      <c r="N20" s="5"/>
      <c r="AA20" s="5"/>
    </row>
    <row r="21" spans="1:27" ht="15.75" customHeight="1">
      <c r="A21" s="51" t="s">
        <v>794</v>
      </c>
      <c r="B21" s="61" t="s">
        <v>3716</v>
      </c>
      <c r="C21" s="51" t="s">
        <v>220</v>
      </c>
      <c r="D21" s="54"/>
      <c r="E21" s="5"/>
      <c r="F21" s="5"/>
      <c r="G21" s="5"/>
      <c r="M21" s="5"/>
      <c r="N21" s="5"/>
      <c r="AA21" s="5"/>
    </row>
    <row r="22" spans="1:27" ht="15.75" customHeight="1">
      <c r="A22" s="51" t="s">
        <v>796</v>
      </c>
      <c r="B22" s="61" t="s">
        <v>3717</v>
      </c>
      <c r="C22" s="51" t="s">
        <v>195</v>
      </c>
      <c r="D22" s="54"/>
      <c r="E22" s="5"/>
      <c r="F22" s="5"/>
      <c r="G22" s="5"/>
      <c r="K22" s="42"/>
      <c r="L22" s="45"/>
      <c r="M22" s="46"/>
      <c r="N22" s="47"/>
      <c r="AA22" s="5"/>
    </row>
    <row r="23" spans="1:27" ht="15.75" customHeight="1">
      <c r="A23" s="51" t="s">
        <v>797</v>
      </c>
      <c r="B23" s="60" t="s">
        <v>319</v>
      </c>
      <c r="C23" s="51" t="s">
        <v>199</v>
      </c>
      <c r="D23" s="54"/>
      <c r="E23" s="5"/>
      <c r="F23" s="5"/>
      <c r="G23" s="5"/>
      <c r="K23" s="42"/>
      <c r="L23" s="43"/>
      <c r="M23" s="43"/>
      <c r="N23" s="42"/>
      <c r="O23" s="44"/>
      <c r="AA23" s="5"/>
    </row>
    <row r="24" spans="1:27" ht="15.75" customHeight="1">
      <c r="A24" s="51" t="s">
        <v>799</v>
      </c>
      <c r="B24" s="61" t="s">
        <v>3718</v>
      </c>
      <c r="C24" s="51" t="s">
        <v>195</v>
      </c>
      <c r="D24" s="54"/>
      <c r="E24" s="5"/>
      <c r="F24" s="5"/>
      <c r="G24" s="5"/>
      <c r="K24" s="52"/>
      <c r="L24" s="50"/>
      <c r="M24" s="51"/>
      <c r="N24" s="5"/>
      <c r="AA24" s="5"/>
    </row>
    <row r="25" spans="1:27" ht="15.75" customHeight="1">
      <c r="A25" s="51" t="s">
        <v>800</v>
      </c>
      <c r="B25" s="60" t="s">
        <v>3315</v>
      </c>
      <c r="C25" s="51" t="s">
        <v>208</v>
      </c>
      <c r="D25" s="54"/>
      <c r="E25" s="5"/>
      <c r="F25" s="5"/>
      <c r="G25" s="5"/>
      <c r="K25" s="52"/>
      <c r="L25" s="50"/>
      <c r="M25" s="51"/>
      <c r="N25" s="5"/>
      <c r="AA25" s="5"/>
    </row>
    <row r="26" spans="1:27" ht="15.75" customHeight="1">
      <c r="A26" s="51" t="s">
        <v>802</v>
      </c>
      <c r="B26" s="60" t="s">
        <v>3316</v>
      </c>
      <c r="C26" s="51" t="s">
        <v>225</v>
      </c>
      <c r="D26" s="54"/>
      <c r="E26" s="5"/>
      <c r="F26" s="5"/>
      <c r="G26" s="5"/>
      <c r="K26" s="52"/>
      <c r="L26" s="50"/>
      <c r="M26" s="51"/>
      <c r="N26" s="51"/>
      <c r="AA26" s="5"/>
    </row>
    <row r="27" spans="1:27" ht="15.75" customHeight="1">
      <c r="A27" s="51" t="s">
        <v>804</v>
      </c>
      <c r="B27" s="61" t="s">
        <v>3719</v>
      </c>
      <c r="C27" s="51" t="s">
        <v>225</v>
      </c>
      <c r="D27" s="54"/>
      <c r="E27" s="5"/>
      <c r="F27" s="51"/>
      <c r="G27" s="5"/>
      <c r="K27" s="52"/>
      <c r="L27" s="50"/>
      <c r="M27" s="51"/>
      <c r="N27" s="51"/>
      <c r="AA27" s="5"/>
    </row>
    <row r="28" spans="1:27" ht="15.75" customHeight="1">
      <c r="A28" s="51" t="s">
        <v>806</v>
      </c>
      <c r="B28" s="61" t="s">
        <v>3720</v>
      </c>
      <c r="C28" s="51" t="s">
        <v>205</v>
      </c>
      <c r="D28" s="54"/>
      <c r="E28" s="5"/>
      <c r="F28" s="5"/>
      <c r="G28" s="5"/>
      <c r="J28" s="5"/>
      <c r="K28" s="52"/>
      <c r="L28" s="50"/>
      <c r="M28" s="51"/>
      <c r="N28" s="5"/>
      <c r="P28" s="5"/>
    </row>
    <row r="29" spans="1:27" ht="15.75" customHeight="1">
      <c r="A29" s="51" t="s">
        <v>809</v>
      </c>
      <c r="B29" s="60" t="s">
        <v>3126</v>
      </c>
      <c r="C29" s="51" t="s">
        <v>225</v>
      </c>
      <c r="D29" s="54"/>
      <c r="E29" s="5"/>
      <c r="F29" s="5"/>
      <c r="G29" s="5"/>
      <c r="J29" s="5"/>
      <c r="K29" s="52"/>
      <c r="L29" s="50"/>
      <c r="M29" s="51"/>
      <c r="N29" s="51"/>
      <c r="P29" s="5"/>
    </row>
    <row r="30" spans="1:27" ht="15.75" customHeight="1">
      <c r="A30" s="51" t="s">
        <v>811</v>
      </c>
      <c r="B30" s="60" t="s">
        <v>320</v>
      </c>
      <c r="C30" s="51" t="s">
        <v>192</v>
      </c>
      <c r="D30" s="54"/>
      <c r="E30" s="5"/>
      <c r="F30" s="5"/>
      <c r="G30" s="5"/>
      <c r="J30" s="5"/>
      <c r="K30" s="52"/>
      <c r="L30" s="50"/>
      <c r="M30" s="51"/>
      <c r="N30" s="5"/>
      <c r="P30" s="5"/>
    </row>
    <row r="31" spans="1:27" ht="15.75" customHeight="1">
      <c r="A31" s="51" t="s">
        <v>813</v>
      </c>
      <c r="B31" s="61" t="s">
        <v>3721</v>
      </c>
      <c r="C31" s="51" t="s">
        <v>208</v>
      </c>
      <c r="D31" s="54"/>
      <c r="E31" s="5"/>
      <c r="F31" s="5"/>
      <c r="G31" s="5"/>
      <c r="J31" s="5"/>
      <c r="K31" s="52"/>
      <c r="L31" s="50"/>
      <c r="M31" s="51"/>
      <c r="N31" s="51"/>
      <c r="P31" s="5"/>
    </row>
    <row r="32" spans="1:27" ht="15.75" customHeight="1">
      <c r="A32" s="51" t="s">
        <v>815</v>
      </c>
      <c r="B32" s="61" t="s">
        <v>3722</v>
      </c>
      <c r="C32" s="51" t="s">
        <v>195</v>
      </c>
      <c r="D32" s="54"/>
      <c r="E32" s="5"/>
      <c r="F32" s="5"/>
      <c r="G32" s="5"/>
      <c r="J32" s="5"/>
      <c r="K32" s="52"/>
      <c r="L32" s="50"/>
      <c r="M32" s="51"/>
      <c r="N32" s="5"/>
      <c r="P32" s="5"/>
    </row>
    <row r="33" spans="1:16" ht="15.75" customHeight="1">
      <c r="A33" s="51" t="s">
        <v>817</v>
      </c>
      <c r="B33" s="60" t="s">
        <v>248</v>
      </c>
      <c r="C33" s="51" t="s">
        <v>225</v>
      </c>
      <c r="D33" s="54"/>
      <c r="E33" s="5"/>
      <c r="F33" s="5"/>
      <c r="G33" s="5"/>
      <c r="J33" s="5"/>
      <c r="K33" s="52"/>
      <c r="L33" s="50"/>
      <c r="M33" s="51"/>
      <c r="N33" s="5"/>
      <c r="P33" s="5"/>
    </row>
    <row r="34" spans="1:16" ht="15.75" customHeight="1">
      <c r="A34" s="51" t="s">
        <v>818</v>
      </c>
      <c r="B34" s="60" t="s">
        <v>323</v>
      </c>
      <c r="C34" s="51" t="s">
        <v>195</v>
      </c>
      <c r="D34" s="54"/>
      <c r="E34" s="5"/>
      <c r="F34" s="5"/>
      <c r="G34" s="5"/>
      <c r="J34" s="5"/>
      <c r="K34" s="52"/>
      <c r="L34" s="50"/>
      <c r="M34" s="51"/>
      <c r="N34" s="5"/>
      <c r="P34" s="5"/>
    </row>
    <row r="35" spans="1:16" ht="15.75" customHeight="1">
      <c r="A35" s="51" t="s">
        <v>819</v>
      </c>
      <c r="B35" s="61" t="s">
        <v>3723</v>
      </c>
      <c r="C35" s="51" t="s">
        <v>192</v>
      </c>
      <c r="D35" s="54"/>
      <c r="E35" s="5"/>
      <c r="F35" s="5"/>
      <c r="G35" s="5"/>
      <c r="J35" s="5"/>
      <c r="K35" s="52"/>
      <c r="L35" s="50"/>
      <c r="M35" s="51"/>
      <c r="N35" s="51"/>
      <c r="P35" s="5"/>
    </row>
    <row r="36" spans="1:16" ht="15.75" customHeight="1">
      <c r="A36" s="51" t="s">
        <v>821</v>
      </c>
      <c r="B36" s="61" t="s">
        <v>3724</v>
      </c>
      <c r="C36" s="51" t="s">
        <v>225</v>
      </c>
      <c r="D36" s="54"/>
      <c r="E36" s="5"/>
      <c r="F36" s="5"/>
      <c r="G36" s="5"/>
      <c r="J36" s="5"/>
      <c r="M36" s="5"/>
      <c r="N36" s="5"/>
      <c r="P36" s="5"/>
    </row>
    <row r="37" spans="1:16" ht="15.75" customHeight="1">
      <c r="A37" s="51" t="s">
        <v>822</v>
      </c>
      <c r="B37" s="60" t="s">
        <v>233</v>
      </c>
      <c r="C37" s="51" t="s">
        <v>197</v>
      </c>
      <c r="D37" s="54"/>
      <c r="E37" s="5"/>
      <c r="F37" s="5"/>
      <c r="G37" s="5"/>
      <c r="J37" s="5"/>
      <c r="M37" s="5"/>
      <c r="N37" s="5"/>
    </row>
    <row r="38" spans="1:16" ht="15.75" customHeight="1">
      <c r="A38" s="51" t="s">
        <v>823</v>
      </c>
      <c r="B38" s="60" t="s">
        <v>326</v>
      </c>
      <c r="C38" s="51" t="s">
        <v>208</v>
      </c>
      <c r="D38" s="54"/>
      <c r="E38" s="5"/>
      <c r="F38" s="5"/>
      <c r="G38" s="5"/>
      <c r="J38" s="5"/>
      <c r="M38" s="51"/>
      <c r="N38" s="51"/>
    </row>
    <row r="39" spans="1:16" ht="15.75" customHeight="1">
      <c r="A39" s="51" t="s">
        <v>825</v>
      </c>
      <c r="B39" s="61" t="s">
        <v>3725</v>
      </c>
      <c r="C39" s="51" t="s">
        <v>205</v>
      </c>
      <c r="D39" s="54"/>
      <c r="E39" s="5"/>
      <c r="F39" s="5"/>
      <c r="G39" s="5"/>
      <c r="J39" s="5"/>
      <c r="M39" s="51"/>
      <c r="N39" s="51"/>
    </row>
    <row r="40" spans="1:16" ht="15.75" customHeight="1">
      <c r="A40" s="51" t="s">
        <v>827</v>
      </c>
      <c r="B40" s="60" t="s">
        <v>1810</v>
      </c>
      <c r="C40" s="51" t="s">
        <v>208</v>
      </c>
      <c r="D40" s="54"/>
      <c r="E40" s="5"/>
      <c r="F40" s="5"/>
      <c r="G40" s="5"/>
      <c r="J40" s="5"/>
      <c r="M40" s="51"/>
      <c r="N40" s="51"/>
    </row>
    <row r="41" spans="1:16" ht="15.75" customHeight="1">
      <c r="A41" s="51" t="s">
        <v>828</v>
      </c>
      <c r="B41" s="61" t="s">
        <v>3726</v>
      </c>
      <c r="C41" s="51" t="s">
        <v>205</v>
      </c>
      <c r="D41" s="54"/>
      <c r="E41" s="5"/>
      <c r="F41" s="5"/>
      <c r="G41" s="5"/>
      <c r="J41" s="5"/>
      <c r="M41" s="51"/>
      <c r="N41" s="51"/>
    </row>
    <row r="42" spans="1:16" ht="15.75" customHeight="1">
      <c r="A42" s="51" t="s">
        <v>830</v>
      </c>
      <c r="B42" s="61" t="s">
        <v>3727</v>
      </c>
      <c r="C42" s="51" t="s">
        <v>195</v>
      </c>
      <c r="D42" s="54"/>
      <c r="E42" s="5"/>
      <c r="F42" s="5"/>
      <c r="G42" s="5"/>
      <c r="J42" s="5"/>
      <c r="M42" s="51"/>
      <c r="N42" s="51"/>
    </row>
    <row r="43" spans="1:16" ht="15.75" customHeight="1">
      <c r="A43" s="51" t="s">
        <v>832</v>
      </c>
      <c r="B43" s="61" t="s">
        <v>3728</v>
      </c>
      <c r="C43" s="51" t="s">
        <v>192</v>
      </c>
      <c r="D43" s="54"/>
      <c r="E43" s="5"/>
      <c r="F43" s="5"/>
      <c r="G43" s="5"/>
      <c r="J43" s="5"/>
      <c r="M43" s="51"/>
      <c r="N43" s="51"/>
    </row>
    <row r="44" spans="1:16" ht="15.75" customHeight="1">
      <c r="A44" s="51" t="s">
        <v>834</v>
      </c>
      <c r="B44" s="61" t="s">
        <v>3729</v>
      </c>
      <c r="C44" s="51" t="s">
        <v>195</v>
      </c>
      <c r="D44" s="54"/>
      <c r="E44" s="5"/>
      <c r="F44" s="5"/>
      <c r="G44" s="5"/>
      <c r="J44" s="5"/>
      <c r="M44" s="51"/>
      <c r="N44" s="51"/>
    </row>
    <row r="45" spans="1:16" ht="15.75" customHeight="1">
      <c r="A45" s="51" t="s">
        <v>835</v>
      </c>
      <c r="B45" s="60" t="s">
        <v>3353</v>
      </c>
      <c r="C45" s="51" t="s">
        <v>208</v>
      </c>
      <c r="D45" s="54"/>
      <c r="E45" s="5"/>
      <c r="F45" s="5"/>
      <c r="G45" s="5"/>
      <c r="J45" s="5"/>
      <c r="M45" s="51"/>
      <c r="N45" s="51"/>
      <c r="P45" s="5"/>
    </row>
    <row r="46" spans="1:16" ht="15.75" customHeight="1">
      <c r="A46" s="51" t="s">
        <v>837</v>
      </c>
      <c r="B46" s="61" t="s">
        <v>3730</v>
      </c>
      <c r="C46" s="51" t="s">
        <v>225</v>
      </c>
      <c r="D46" s="54"/>
      <c r="E46" s="5"/>
      <c r="F46" s="5"/>
      <c r="G46" s="5"/>
      <c r="J46" s="5"/>
      <c r="M46" s="51"/>
      <c r="N46" s="51"/>
      <c r="P46" s="5"/>
    </row>
    <row r="47" spans="1:16" ht="15.75" customHeight="1">
      <c r="A47" s="51" t="s">
        <v>839</v>
      </c>
      <c r="B47" s="61" t="s">
        <v>3731</v>
      </c>
      <c r="C47" s="51" t="s">
        <v>199</v>
      </c>
      <c r="D47" s="54"/>
      <c r="E47" s="5"/>
      <c r="F47" s="5"/>
      <c r="G47" s="5"/>
      <c r="J47" s="5"/>
      <c r="M47" s="5"/>
      <c r="N47" s="5"/>
      <c r="P47" s="5"/>
    </row>
    <row r="48" spans="1:16" ht="15.75" customHeight="1">
      <c r="A48" s="51" t="s">
        <v>841</v>
      </c>
      <c r="B48" s="60" t="s">
        <v>1265</v>
      </c>
      <c r="C48" s="51" t="s">
        <v>220</v>
      </c>
      <c r="D48" s="54"/>
      <c r="E48" s="5"/>
      <c r="F48" s="5"/>
      <c r="G48" s="5"/>
      <c r="J48" s="5"/>
      <c r="M48" s="5"/>
      <c r="N48" s="5"/>
      <c r="P48" s="5"/>
    </row>
    <row r="49" spans="1:16" ht="15.75" customHeight="1">
      <c r="A49" s="51" t="s">
        <v>843</v>
      </c>
      <c r="B49" s="60" t="s">
        <v>3354</v>
      </c>
      <c r="C49" s="51" t="s">
        <v>205</v>
      </c>
      <c r="D49" s="54"/>
      <c r="E49" s="5"/>
      <c r="F49" s="5"/>
      <c r="G49" s="5"/>
      <c r="J49" s="5"/>
      <c r="M49" s="5"/>
      <c r="N49" s="5"/>
      <c r="P49" s="5"/>
    </row>
    <row r="50" spans="1:16" ht="15.75" customHeight="1">
      <c r="A50" s="51" t="s">
        <v>845</v>
      </c>
      <c r="B50" s="61" t="s">
        <v>3732</v>
      </c>
      <c r="C50" s="51" t="s">
        <v>225</v>
      </c>
      <c r="D50" s="54"/>
      <c r="E50" s="5"/>
      <c r="F50" s="5"/>
      <c r="G50" s="5"/>
      <c r="J50" s="5"/>
      <c r="M50" s="5"/>
      <c r="N50" s="5"/>
      <c r="P50" s="5"/>
    </row>
    <row r="51" spans="1:16" ht="15.75" customHeight="1">
      <c r="A51" s="51" t="s">
        <v>847</v>
      </c>
      <c r="B51" s="61" t="s">
        <v>3733</v>
      </c>
      <c r="C51" s="51" t="s">
        <v>199</v>
      </c>
      <c r="D51" s="54"/>
      <c r="E51" s="5"/>
      <c r="F51" s="5"/>
      <c r="G51" s="5"/>
      <c r="J51" s="5"/>
      <c r="M51" s="5"/>
      <c r="N51" s="5"/>
      <c r="P51" s="5"/>
    </row>
    <row r="52" spans="1:16" ht="15.75" customHeight="1">
      <c r="A52" s="51" t="s">
        <v>848</v>
      </c>
      <c r="B52" s="61" t="s">
        <v>3734</v>
      </c>
      <c r="C52" s="51" t="s">
        <v>205</v>
      </c>
      <c r="D52" s="54"/>
      <c r="E52" s="5"/>
      <c r="F52" s="5"/>
      <c r="G52" s="5"/>
      <c r="J52" s="5"/>
      <c r="M52" s="5"/>
      <c r="N52" s="5"/>
      <c r="P52" s="5"/>
    </row>
    <row r="53" spans="1:16" ht="13">
      <c r="A53" s="51" t="s">
        <v>849</v>
      </c>
      <c r="B53" s="60" t="s">
        <v>1246</v>
      </c>
      <c r="C53" s="51" t="s">
        <v>808</v>
      </c>
      <c r="D53" s="54"/>
      <c r="E53" s="5"/>
      <c r="F53" s="5"/>
      <c r="G53" s="5"/>
      <c r="J53" s="5"/>
      <c r="M53" s="5"/>
      <c r="N53" s="5"/>
      <c r="P53" s="5"/>
    </row>
    <row r="54" spans="1:16" ht="13">
      <c r="A54" s="51" t="s">
        <v>851</v>
      </c>
      <c r="B54" s="60" t="s">
        <v>295</v>
      </c>
      <c r="C54" s="51" t="s">
        <v>208</v>
      </c>
      <c r="D54" s="54"/>
      <c r="E54" s="5"/>
      <c r="F54" s="5"/>
      <c r="G54" s="5"/>
      <c r="J54" s="5"/>
      <c r="M54" s="5"/>
      <c r="N54" s="5"/>
      <c r="P54" s="5"/>
    </row>
    <row r="55" spans="1:16" ht="13">
      <c r="A55" s="51" t="s">
        <v>853</v>
      </c>
      <c r="B55" s="61" t="s">
        <v>3735</v>
      </c>
      <c r="C55" s="51" t="s">
        <v>220</v>
      </c>
      <c r="D55" s="54"/>
      <c r="E55" s="5"/>
      <c r="F55" s="5"/>
      <c r="G55" s="5"/>
      <c r="J55" s="5"/>
      <c r="M55" s="5"/>
      <c r="N55" s="5"/>
      <c r="P55" s="5"/>
    </row>
    <row r="56" spans="1:16" ht="13">
      <c r="A56" s="51" t="s">
        <v>854</v>
      </c>
      <c r="B56" s="60" t="s">
        <v>1830</v>
      </c>
      <c r="C56" s="51" t="s">
        <v>205</v>
      </c>
      <c r="D56" s="54"/>
      <c r="E56" s="5"/>
      <c r="F56" s="5"/>
      <c r="G56" s="5"/>
      <c r="J56" s="5"/>
      <c r="M56" s="5"/>
      <c r="N56" s="5"/>
      <c r="P56" s="5"/>
    </row>
    <row r="57" spans="1:16" ht="13">
      <c r="A57" s="51" t="s">
        <v>856</v>
      </c>
      <c r="B57" s="61" t="s">
        <v>1524</v>
      </c>
      <c r="C57" s="51" t="s">
        <v>197</v>
      </c>
      <c r="D57" s="54"/>
      <c r="E57" s="5"/>
      <c r="F57" s="5"/>
      <c r="G57" s="5"/>
      <c r="J57" s="5"/>
      <c r="M57" s="5"/>
      <c r="N57" s="5"/>
      <c r="P57" s="5"/>
    </row>
    <row r="58" spans="1:16" ht="13">
      <c r="A58" s="51" t="s">
        <v>858</v>
      </c>
      <c r="B58" s="61" t="s">
        <v>3736</v>
      </c>
      <c r="C58" s="51" t="s">
        <v>225</v>
      </c>
      <c r="D58" s="54"/>
      <c r="E58" s="5"/>
      <c r="F58" s="5"/>
      <c r="G58" s="5"/>
      <c r="J58" s="5"/>
      <c r="M58" s="5"/>
      <c r="N58" s="5"/>
      <c r="P58" s="5"/>
    </row>
    <row r="59" spans="1:16" ht="13">
      <c r="A59" s="51" t="s">
        <v>859</v>
      </c>
      <c r="B59" s="61" t="s">
        <v>3737</v>
      </c>
      <c r="C59" s="51" t="s">
        <v>225</v>
      </c>
      <c r="D59" s="54"/>
      <c r="E59" s="5"/>
      <c r="F59" s="5"/>
      <c r="G59" s="5"/>
      <c r="J59" s="5"/>
      <c r="M59" s="5"/>
      <c r="N59" s="5"/>
      <c r="P59" s="5"/>
    </row>
    <row r="60" spans="1:16" ht="13">
      <c r="A60" s="51" t="s">
        <v>861</v>
      </c>
      <c r="B60" s="61" t="s">
        <v>3738</v>
      </c>
      <c r="C60" s="51" t="s">
        <v>197</v>
      </c>
      <c r="D60" s="54"/>
      <c r="E60" s="5"/>
      <c r="F60" s="5"/>
      <c r="G60" s="5"/>
      <c r="J60" s="5"/>
      <c r="M60" s="5"/>
      <c r="N60" s="5"/>
      <c r="P60" s="5"/>
    </row>
    <row r="61" spans="1:16" ht="13">
      <c r="A61" s="51" t="s">
        <v>863</v>
      </c>
      <c r="B61" s="60" t="s">
        <v>1250</v>
      </c>
      <c r="C61" s="51" t="s">
        <v>220</v>
      </c>
      <c r="D61" s="51"/>
      <c r="E61" s="5"/>
      <c r="F61" s="5"/>
      <c r="G61" s="5"/>
      <c r="J61" s="5"/>
      <c r="M61" s="5"/>
      <c r="N61" s="5"/>
      <c r="P61" s="5"/>
    </row>
    <row r="62" spans="1:16" ht="13">
      <c r="A62" s="51" t="s">
        <v>864</v>
      </c>
      <c r="B62" s="60" t="s">
        <v>1288</v>
      </c>
      <c r="C62" s="51" t="s">
        <v>808</v>
      </c>
      <c r="D62" s="54"/>
      <c r="E62" s="5"/>
      <c r="F62" s="5"/>
      <c r="G62" s="5"/>
      <c r="J62" s="5"/>
      <c r="M62" s="5"/>
      <c r="N62" s="5"/>
      <c r="P62" s="5"/>
    </row>
    <row r="63" spans="1:16" ht="13">
      <c r="A63" s="51" t="s">
        <v>866</v>
      </c>
      <c r="B63" s="60" t="s">
        <v>203</v>
      </c>
      <c r="C63" s="51" t="s">
        <v>197</v>
      </c>
      <c r="D63" s="54"/>
      <c r="E63" s="5"/>
      <c r="F63" s="5"/>
      <c r="G63" s="5"/>
      <c r="J63" s="5"/>
      <c r="M63" s="5"/>
      <c r="N63" s="5"/>
      <c r="P63" s="5"/>
    </row>
    <row r="64" spans="1:16" ht="13">
      <c r="A64" s="51" t="s">
        <v>868</v>
      </c>
      <c r="B64" s="61" t="s">
        <v>3739</v>
      </c>
      <c r="C64" s="51" t="s">
        <v>199</v>
      </c>
      <c r="D64" s="54"/>
      <c r="E64" s="5"/>
      <c r="F64" s="5"/>
      <c r="G64" s="5"/>
      <c r="J64" s="5"/>
      <c r="M64" s="5"/>
      <c r="N64" s="5"/>
      <c r="P64" s="5"/>
    </row>
    <row r="65" spans="1:16" ht="13">
      <c r="A65" s="51" t="s">
        <v>870</v>
      </c>
      <c r="B65" s="61" t="s">
        <v>3740</v>
      </c>
      <c r="C65" s="51" t="s">
        <v>220</v>
      </c>
      <c r="D65" s="54"/>
      <c r="E65" s="5"/>
      <c r="F65" s="5"/>
      <c r="G65" s="5"/>
      <c r="J65" s="5"/>
      <c r="M65" s="5"/>
      <c r="N65" s="5"/>
      <c r="P65" s="5"/>
    </row>
    <row r="66" spans="1:16" ht="13">
      <c r="A66" s="51" t="s">
        <v>872</v>
      </c>
      <c r="B66" s="61" t="s">
        <v>3741</v>
      </c>
      <c r="C66" s="51" t="s">
        <v>225</v>
      </c>
      <c r="D66" s="54"/>
      <c r="E66" s="5"/>
      <c r="F66" s="5"/>
      <c r="G66" s="5"/>
      <c r="J66" s="5"/>
      <c r="M66" s="5"/>
      <c r="N66" s="5"/>
      <c r="P66" s="5"/>
    </row>
    <row r="67" spans="1:16" ht="13">
      <c r="A67" s="51" t="s">
        <v>873</v>
      </c>
      <c r="B67" s="60" t="s">
        <v>262</v>
      </c>
      <c r="C67" s="51" t="s">
        <v>199</v>
      </c>
      <c r="D67" s="54"/>
      <c r="E67" s="5"/>
      <c r="F67" s="5"/>
      <c r="G67" s="5"/>
      <c r="J67" s="5"/>
      <c r="M67" s="5"/>
      <c r="N67" s="5"/>
      <c r="P67" s="5"/>
    </row>
    <row r="68" spans="1:16" ht="13">
      <c r="A68" s="51" t="s">
        <v>875</v>
      </c>
      <c r="B68" s="60" t="s">
        <v>3136</v>
      </c>
      <c r="C68" s="51" t="s">
        <v>225</v>
      </c>
      <c r="D68" s="54"/>
      <c r="E68" s="5"/>
      <c r="F68" s="5"/>
      <c r="G68" s="5"/>
      <c r="J68" s="5"/>
      <c r="M68" s="5"/>
      <c r="N68" s="5"/>
      <c r="P68" s="5"/>
    </row>
    <row r="69" spans="1:16" ht="13">
      <c r="A69" s="51" t="s">
        <v>877</v>
      </c>
      <c r="B69" s="61" t="s">
        <v>3742</v>
      </c>
      <c r="C69" s="51" t="s">
        <v>808</v>
      </c>
      <c r="D69" s="54"/>
      <c r="E69" s="5"/>
      <c r="F69" s="5"/>
      <c r="G69" s="5"/>
      <c r="J69" s="5"/>
      <c r="M69" s="5"/>
      <c r="N69" s="5"/>
      <c r="P69" s="5"/>
    </row>
    <row r="70" spans="1:16" ht="13">
      <c r="A70" s="51" t="s">
        <v>879</v>
      </c>
      <c r="B70" s="60" t="s">
        <v>266</v>
      </c>
      <c r="C70" s="51" t="s">
        <v>205</v>
      </c>
      <c r="D70" s="54"/>
      <c r="E70" s="51"/>
      <c r="F70" s="5"/>
      <c r="G70" s="5"/>
      <c r="J70" s="5"/>
      <c r="M70" s="5"/>
      <c r="N70" s="5"/>
      <c r="P70" s="5"/>
    </row>
    <row r="71" spans="1:16" ht="13">
      <c r="A71" s="51" t="s">
        <v>880</v>
      </c>
      <c r="B71" s="60" t="s">
        <v>1383</v>
      </c>
      <c r="C71" s="51" t="s">
        <v>197</v>
      </c>
      <c r="D71" s="5"/>
      <c r="J71" s="5"/>
      <c r="M71" s="5"/>
      <c r="N71" s="5"/>
      <c r="P71" s="5"/>
    </row>
    <row r="72" spans="1:16" ht="13">
      <c r="A72" s="51" t="s">
        <v>882</v>
      </c>
      <c r="B72" s="60" t="s">
        <v>283</v>
      </c>
      <c r="C72" s="51" t="s">
        <v>195</v>
      </c>
      <c r="D72" s="54"/>
      <c r="E72" s="5"/>
      <c r="F72" s="5"/>
      <c r="G72" s="5"/>
      <c r="J72" s="5"/>
      <c r="M72" s="5"/>
      <c r="N72" s="5"/>
      <c r="P72" s="5"/>
    </row>
    <row r="73" spans="1:16" ht="13">
      <c r="A73" s="51" t="s">
        <v>883</v>
      </c>
      <c r="B73" s="60" t="s">
        <v>3128</v>
      </c>
      <c r="C73" s="51" t="s">
        <v>197</v>
      </c>
      <c r="D73" s="54"/>
      <c r="E73" s="5"/>
      <c r="F73" s="5"/>
      <c r="G73" s="5"/>
      <c r="J73" s="5"/>
      <c r="M73" s="5"/>
      <c r="N73" s="5"/>
      <c r="P73" s="5"/>
    </row>
    <row r="74" spans="1:16" ht="13">
      <c r="A74" s="51" t="s">
        <v>884</v>
      </c>
      <c r="B74" s="60" t="s">
        <v>3128</v>
      </c>
      <c r="C74" s="51" t="s">
        <v>197</v>
      </c>
      <c r="D74" s="54"/>
      <c r="E74" s="5"/>
      <c r="F74" s="5"/>
      <c r="G74" s="5"/>
      <c r="J74" s="5"/>
      <c r="M74" s="5"/>
      <c r="N74" s="5"/>
      <c r="P74" s="5"/>
    </row>
    <row r="75" spans="1:16" ht="13">
      <c r="A75" s="51" t="s">
        <v>885</v>
      </c>
      <c r="B75" s="60" t="s">
        <v>351</v>
      </c>
      <c r="C75" s="51" t="s">
        <v>195</v>
      </c>
      <c r="D75" s="54"/>
      <c r="E75" s="5"/>
      <c r="F75" s="5"/>
      <c r="G75" s="5"/>
      <c r="J75" s="5"/>
      <c r="M75" s="5"/>
      <c r="N75" s="5"/>
      <c r="P75" s="5"/>
    </row>
    <row r="76" spans="1:16" ht="13">
      <c r="A76" s="51" t="s">
        <v>887</v>
      </c>
      <c r="B76" s="60" t="s">
        <v>287</v>
      </c>
      <c r="C76" s="51" t="s">
        <v>195</v>
      </c>
      <c r="D76" s="54"/>
      <c r="E76" s="5"/>
      <c r="F76" s="5"/>
      <c r="G76" s="5"/>
      <c r="J76" s="5"/>
      <c r="M76" s="5"/>
      <c r="N76" s="5"/>
      <c r="P76" s="5"/>
    </row>
    <row r="77" spans="1:16" ht="13">
      <c r="A77" s="51" t="s">
        <v>889</v>
      </c>
      <c r="B77" s="60" t="s">
        <v>338</v>
      </c>
      <c r="C77" s="51" t="s">
        <v>195</v>
      </c>
      <c r="D77" s="54"/>
      <c r="E77" s="5"/>
      <c r="F77" s="5"/>
      <c r="G77" s="5"/>
      <c r="J77" s="5"/>
      <c r="M77" s="5"/>
      <c r="N77" s="5"/>
      <c r="P77" s="5"/>
    </row>
    <row r="78" spans="1:16" ht="13">
      <c r="A78" s="51" t="s">
        <v>890</v>
      </c>
      <c r="B78" s="60" t="s">
        <v>269</v>
      </c>
      <c r="C78" s="51" t="s">
        <v>195</v>
      </c>
      <c r="D78" s="54"/>
      <c r="E78" s="5"/>
      <c r="F78" s="5"/>
      <c r="G78" s="5"/>
      <c r="J78" s="5"/>
      <c r="M78" s="5"/>
      <c r="N78" s="5"/>
      <c r="P78" s="5"/>
    </row>
    <row r="79" spans="1:16" ht="13">
      <c r="A79" s="51" t="s">
        <v>892</v>
      </c>
      <c r="B79" s="60" t="s">
        <v>1420</v>
      </c>
      <c r="C79" s="51" t="s">
        <v>808</v>
      </c>
      <c r="D79" s="54"/>
      <c r="E79" s="5"/>
      <c r="F79" s="5"/>
      <c r="G79" s="5"/>
      <c r="J79" s="5"/>
      <c r="M79" s="5"/>
      <c r="N79" s="5"/>
      <c r="P79" s="5"/>
    </row>
    <row r="80" spans="1:16" ht="13">
      <c r="A80" s="51" t="s">
        <v>894</v>
      </c>
      <c r="B80" s="61" t="s">
        <v>3743</v>
      </c>
      <c r="C80" s="51" t="s">
        <v>208</v>
      </c>
      <c r="D80" s="54"/>
      <c r="E80" s="5"/>
      <c r="F80" s="5"/>
      <c r="G80" s="5"/>
      <c r="J80" s="5"/>
      <c r="M80" s="5"/>
      <c r="N80" s="5"/>
      <c r="P80" s="5"/>
    </row>
    <row r="81" spans="1:16" ht="13">
      <c r="A81" s="51" t="s">
        <v>896</v>
      </c>
      <c r="B81" s="60" t="s">
        <v>1855</v>
      </c>
      <c r="C81" s="51" t="s">
        <v>208</v>
      </c>
      <c r="D81" s="54"/>
      <c r="E81" s="5"/>
      <c r="F81" s="5"/>
      <c r="G81" s="5"/>
      <c r="J81" s="5"/>
      <c r="M81" s="5"/>
      <c r="N81" s="5"/>
      <c r="P81" s="5"/>
    </row>
    <row r="82" spans="1:16" ht="13">
      <c r="A82" s="51" t="s">
        <v>898</v>
      </c>
      <c r="B82" s="60" t="s">
        <v>1454</v>
      </c>
      <c r="C82" s="51" t="s">
        <v>205</v>
      </c>
      <c r="D82" s="54"/>
      <c r="E82" s="5"/>
      <c r="F82" s="5"/>
      <c r="G82" s="5"/>
      <c r="J82" s="5"/>
      <c r="M82" s="5"/>
      <c r="N82" s="5"/>
      <c r="P82" s="5"/>
    </row>
    <row r="83" spans="1:16" ht="13">
      <c r="A83" s="51" t="s">
        <v>900</v>
      </c>
      <c r="B83" s="60" t="s">
        <v>3325</v>
      </c>
      <c r="C83" s="51" t="s">
        <v>208</v>
      </c>
      <c r="D83" s="54"/>
      <c r="E83" s="5"/>
      <c r="F83" s="5"/>
      <c r="G83" s="5"/>
      <c r="J83" s="5"/>
      <c r="M83" s="5"/>
      <c r="N83" s="5"/>
      <c r="P83" s="5"/>
    </row>
    <row r="84" spans="1:16" ht="13">
      <c r="A84" s="51" t="s">
        <v>902</v>
      </c>
      <c r="B84" s="60" t="s">
        <v>3326</v>
      </c>
      <c r="C84" s="51" t="s">
        <v>208</v>
      </c>
      <c r="D84" s="54"/>
      <c r="E84" s="5"/>
      <c r="F84" s="5"/>
      <c r="G84" s="5"/>
      <c r="J84" s="5"/>
      <c r="M84" s="5"/>
      <c r="N84" s="5"/>
      <c r="P84" s="5"/>
    </row>
    <row r="85" spans="1:16" ht="13">
      <c r="A85" s="51" t="s">
        <v>904</v>
      </c>
      <c r="B85" s="60" t="s">
        <v>233</v>
      </c>
      <c r="C85" s="51" t="s">
        <v>197</v>
      </c>
      <c r="D85" s="54"/>
      <c r="E85" s="5"/>
      <c r="F85" s="5"/>
      <c r="G85" s="5"/>
      <c r="J85" s="5"/>
      <c r="M85" s="5"/>
      <c r="N85" s="5"/>
      <c r="P85" s="5"/>
    </row>
    <row r="86" spans="1:16" ht="13">
      <c r="A86" s="51" t="s">
        <v>905</v>
      </c>
      <c r="B86" s="60" t="s">
        <v>1888</v>
      </c>
      <c r="C86" s="51" t="s">
        <v>208</v>
      </c>
      <c r="D86" s="54"/>
      <c r="E86" s="5"/>
      <c r="F86" s="5"/>
      <c r="G86" s="5"/>
      <c r="J86" s="5"/>
      <c r="M86" s="5"/>
      <c r="N86" s="5"/>
      <c r="P86" s="5"/>
    </row>
    <row r="87" spans="1:16" ht="13">
      <c r="A87" s="51" t="s">
        <v>907</v>
      </c>
      <c r="B87" s="60" t="s">
        <v>296</v>
      </c>
      <c r="C87" s="51" t="s">
        <v>208</v>
      </c>
      <c r="D87" s="54"/>
      <c r="E87" s="5"/>
      <c r="F87" s="5"/>
      <c r="G87" s="5"/>
      <c r="J87" s="5"/>
      <c r="M87" s="5"/>
      <c r="N87" s="5"/>
      <c r="P87" s="5"/>
    </row>
    <row r="88" spans="1:16" ht="13">
      <c r="A88" s="51" t="s">
        <v>908</v>
      </c>
      <c r="B88" s="60" t="s">
        <v>1461</v>
      </c>
      <c r="C88" s="51" t="s">
        <v>225</v>
      </c>
      <c r="D88" s="54"/>
      <c r="E88" s="5"/>
      <c r="F88" s="5"/>
      <c r="G88" s="5"/>
      <c r="J88" s="5"/>
      <c r="M88" s="5"/>
      <c r="N88" s="5"/>
      <c r="P88" s="5"/>
    </row>
    <row r="89" spans="1:16" ht="13">
      <c r="A89" s="51" t="s">
        <v>909</v>
      </c>
      <c r="B89" s="61" t="s">
        <v>3744</v>
      </c>
      <c r="C89" s="51" t="s">
        <v>205</v>
      </c>
      <c r="D89" s="54"/>
      <c r="E89" s="5"/>
      <c r="F89" s="5"/>
      <c r="G89" s="5"/>
      <c r="J89" s="5"/>
      <c r="M89" s="5"/>
      <c r="N89" s="5"/>
      <c r="P89" s="5"/>
    </row>
    <row r="90" spans="1:16" ht="13">
      <c r="A90" s="51" t="s">
        <v>911</v>
      </c>
      <c r="B90" s="60" t="s">
        <v>300</v>
      </c>
      <c r="C90" s="51" t="s">
        <v>205</v>
      </c>
      <c r="D90" s="54"/>
      <c r="E90" s="5"/>
      <c r="F90" s="5"/>
      <c r="G90" s="5"/>
      <c r="J90" s="5"/>
      <c r="M90" s="5"/>
      <c r="N90" s="5"/>
      <c r="P90" s="5"/>
    </row>
    <row r="91" spans="1:16" ht="13">
      <c r="A91" s="51" t="s">
        <v>913</v>
      </c>
      <c r="B91" s="60" t="s">
        <v>378</v>
      </c>
      <c r="C91" s="51" t="s">
        <v>195</v>
      </c>
      <c r="D91" s="54"/>
      <c r="E91" s="5"/>
      <c r="F91" s="5"/>
      <c r="G91" s="5"/>
      <c r="J91" s="5"/>
      <c r="M91" s="5"/>
      <c r="N91" s="5"/>
      <c r="P91" s="5"/>
    </row>
    <row r="92" spans="1:16" ht="13">
      <c r="A92" s="51" t="s">
        <v>914</v>
      </c>
      <c r="B92" s="60" t="s">
        <v>3745</v>
      </c>
      <c r="C92" s="51" t="s">
        <v>1013</v>
      </c>
      <c r="D92" s="54"/>
      <c r="E92" s="5"/>
      <c r="F92" s="5"/>
      <c r="G92" s="5"/>
      <c r="J92" s="5"/>
      <c r="M92" s="5"/>
      <c r="N92" s="5"/>
      <c r="P92" s="5"/>
    </row>
    <row r="93" spans="1:16" ht="13">
      <c r="A93" s="51" t="s">
        <v>915</v>
      </c>
      <c r="B93" s="60" t="s">
        <v>3286</v>
      </c>
      <c r="C93" s="51" t="s">
        <v>1013</v>
      </c>
      <c r="D93" s="54"/>
      <c r="E93" s="5"/>
      <c r="F93" s="5"/>
      <c r="G93" s="5"/>
      <c r="J93" s="5"/>
      <c r="M93" s="5"/>
      <c r="N93" s="5"/>
      <c r="P93" s="5"/>
    </row>
    <row r="94" spans="1:16" ht="13">
      <c r="A94" s="51" t="s">
        <v>916</v>
      </c>
      <c r="B94" s="60" t="s">
        <v>3746</v>
      </c>
      <c r="C94" s="51" t="s">
        <v>1013</v>
      </c>
      <c r="D94" s="54"/>
      <c r="E94" s="5"/>
      <c r="F94" s="5"/>
      <c r="G94" s="5"/>
      <c r="J94" s="5"/>
      <c r="M94" s="5"/>
      <c r="N94" s="5"/>
      <c r="P94" s="5"/>
    </row>
    <row r="95" spans="1:16" ht="13">
      <c r="A95" s="51" t="s">
        <v>917</v>
      </c>
      <c r="B95" s="60" t="s">
        <v>3747</v>
      </c>
      <c r="C95" s="51" t="s">
        <v>1013</v>
      </c>
      <c r="D95" s="54"/>
      <c r="E95" s="5"/>
      <c r="F95" s="5"/>
      <c r="G95" s="5"/>
      <c r="J95" s="5"/>
      <c r="M95" s="5"/>
      <c r="N95" s="5"/>
      <c r="P95" s="5"/>
    </row>
    <row r="96" spans="1:16" ht="13">
      <c r="A96" s="51" t="s">
        <v>918</v>
      </c>
      <c r="B96" s="60" t="s">
        <v>3748</v>
      </c>
      <c r="C96" s="51" t="s">
        <v>1013</v>
      </c>
      <c r="D96" s="54"/>
      <c r="E96" s="5"/>
      <c r="F96" s="5"/>
      <c r="G96" s="5"/>
      <c r="J96" s="5"/>
      <c r="M96" s="5"/>
      <c r="N96" s="5"/>
      <c r="P96" s="5"/>
    </row>
    <row r="97" spans="1:16" ht="13">
      <c r="A97" s="51" t="s">
        <v>919</v>
      </c>
      <c r="B97" s="60" t="s">
        <v>3749</v>
      </c>
      <c r="C97" s="51" t="s">
        <v>229</v>
      </c>
      <c r="D97" s="54"/>
      <c r="E97" s="5"/>
      <c r="F97" s="5"/>
      <c r="G97" s="5"/>
      <c r="J97" s="5"/>
      <c r="M97" s="5"/>
      <c r="N97" s="5"/>
      <c r="P97" s="5"/>
    </row>
    <row r="98" spans="1:16" ht="13">
      <c r="A98" s="51" t="s">
        <v>920</v>
      </c>
      <c r="B98" s="60" t="s">
        <v>3750</v>
      </c>
      <c r="C98" s="51" t="s">
        <v>229</v>
      </c>
      <c r="D98" s="54"/>
      <c r="E98" s="5"/>
      <c r="F98" s="5"/>
      <c r="G98" s="5"/>
      <c r="J98" s="5"/>
      <c r="M98" s="5"/>
      <c r="N98" s="5"/>
      <c r="P98" s="5"/>
    </row>
    <row r="99" spans="1:16" ht="13">
      <c r="A99" s="51" t="s">
        <v>921</v>
      </c>
      <c r="B99" s="61" t="s">
        <v>3751</v>
      </c>
      <c r="C99" s="51" t="s">
        <v>206</v>
      </c>
      <c r="D99" s="54"/>
      <c r="E99" s="5"/>
      <c r="F99" s="5"/>
      <c r="G99" s="5"/>
      <c r="J99" s="5"/>
      <c r="M99" s="5"/>
      <c r="N99" s="5"/>
      <c r="P99" s="5"/>
    </row>
    <row r="100" spans="1:16" ht="13">
      <c r="A100" s="51" t="s">
        <v>922</v>
      </c>
      <c r="B100" s="60" t="s">
        <v>3752</v>
      </c>
      <c r="C100" s="51" t="s">
        <v>206</v>
      </c>
      <c r="D100" s="54"/>
      <c r="E100" s="5"/>
      <c r="F100" s="5"/>
      <c r="G100" s="5"/>
      <c r="J100" s="5"/>
      <c r="M100" s="5"/>
      <c r="N100" s="5"/>
      <c r="P100" s="5"/>
    </row>
    <row r="101" spans="1:16" ht="13">
      <c r="A101" s="51" t="s">
        <v>923</v>
      </c>
      <c r="B101" s="60" t="s">
        <v>1183</v>
      </c>
      <c r="C101" s="51" t="s">
        <v>1013</v>
      </c>
      <c r="D101" s="54"/>
      <c r="E101" s="5"/>
      <c r="F101" s="5"/>
      <c r="G101" s="5"/>
      <c r="J101" s="5"/>
      <c r="M101" s="5"/>
      <c r="N101" s="5"/>
      <c r="P101" s="5"/>
    </row>
    <row r="102" spans="1:16" ht="13">
      <c r="A102" s="51" t="s">
        <v>924</v>
      </c>
      <c r="B102" s="60" t="s">
        <v>3753</v>
      </c>
      <c r="C102" s="51" t="s">
        <v>1013</v>
      </c>
      <c r="D102" s="54"/>
      <c r="E102" s="51"/>
      <c r="F102" s="5"/>
      <c r="G102" s="5"/>
      <c r="J102" s="5"/>
      <c r="M102" s="5"/>
      <c r="N102" s="5"/>
      <c r="P102" s="5"/>
    </row>
    <row r="103" spans="1:16" ht="13">
      <c r="A103" s="51" t="s">
        <v>926</v>
      </c>
      <c r="B103" s="60" t="s">
        <v>933</v>
      </c>
      <c r="C103" s="51" t="s">
        <v>317</v>
      </c>
      <c r="D103" s="54"/>
      <c r="E103" s="5"/>
      <c r="F103" s="5"/>
      <c r="G103" s="5"/>
      <c r="J103" s="5"/>
      <c r="M103" s="5"/>
      <c r="N103" s="5"/>
      <c r="P103" s="5"/>
    </row>
    <row r="104" spans="1:16" ht="13">
      <c r="A104" s="51" t="s">
        <v>927</v>
      </c>
      <c r="B104" s="60" t="s">
        <v>798</v>
      </c>
      <c r="C104" s="51" t="s">
        <v>317</v>
      </c>
      <c r="D104" s="54"/>
      <c r="E104" s="5"/>
      <c r="F104" s="5"/>
      <c r="G104" s="5"/>
      <c r="J104" s="5"/>
      <c r="M104" s="5"/>
      <c r="N104" s="5"/>
      <c r="P104" s="5"/>
    </row>
    <row r="105" spans="1:16" ht="13">
      <c r="A105" s="51" t="s">
        <v>928</v>
      </c>
      <c r="B105" s="60" t="s">
        <v>3754</v>
      </c>
      <c r="C105" s="51" t="s">
        <v>317</v>
      </c>
      <c r="D105" s="54"/>
      <c r="E105" s="5"/>
      <c r="F105" s="5"/>
      <c r="G105" s="5"/>
      <c r="J105" s="5"/>
      <c r="M105" s="5"/>
      <c r="N105" s="5"/>
      <c r="P105" s="5"/>
    </row>
    <row r="106" spans="1:16" ht="13">
      <c r="A106" s="51" t="s">
        <v>929</v>
      </c>
      <c r="B106" s="60" t="s">
        <v>3755</v>
      </c>
      <c r="C106" s="51" t="s">
        <v>317</v>
      </c>
      <c r="D106" s="54"/>
      <c r="E106" s="5"/>
      <c r="F106" s="5"/>
      <c r="G106" s="5"/>
      <c r="J106" s="5"/>
      <c r="M106" s="5"/>
      <c r="N106" s="5"/>
      <c r="P106" s="5"/>
    </row>
    <row r="107" spans="1:16" ht="13">
      <c r="A107" s="51" t="s">
        <v>930</v>
      </c>
      <c r="B107" s="61" t="s">
        <v>3756</v>
      </c>
      <c r="C107" s="51" t="s">
        <v>195</v>
      </c>
      <c r="D107" s="54"/>
      <c r="E107" s="5"/>
      <c r="F107" s="5"/>
      <c r="G107" s="5"/>
      <c r="J107" s="5"/>
      <c r="M107" s="5"/>
      <c r="N107" s="5"/>
      <c r="P107" s="5"/>
    </row>
    <row r="108" spans="1:16" ht="13">
      <c r="A108" s="51" t="s">
        <v>932</v>
      </c>
      <c r="B108" s="61" t="s">
        <v>3757</v>
      </c>
      <c r="C108" s="51" t="s">
        <v>208</v>
      </c>
      <c r="D108" s="54"/>
      <c r="E108" s="5"/>
      <c r="F108" s="5"/>
      <c r="G108" s="5"/>
      <c r="J108" s="5"/>
      <c r="M108" s="5"/>
      <c r="N108" s="5"/>
      <c r="P108" s="5"/>
    </row>
    <row r="109" spans="1:16" ht="13">
      <c r="A109" s="51" t="s">
        <v>934</v>
      </c>
      <c r="B109" s="60" t="s">
        <v>3758</v>
      </c>
      <c r="C109" s="51" t="s">
        <v>197</v>
      </c>
      <c r="D109" s="54"/>
      <c r="E109" s="5"/>
      <c r="F109" s="5"/>
      <c r="G109" s="5"/>
      <c r="J109" s="5"/>
      <c r="M109" s="5"/>
      <c r="N109" s="5"/>
      <c r="P109" s="5"/>
    </row>
    <row r="110" spans="1:16" ht="13">
      <c r="A110" s="51" t="s">
        <v>3759</v>
      </c>
      <c r="B110" s="61" t="s">
        <v>3760</v>
      </c>
      <c r="C110" s="51" t="s">
        <v>195</v>
      </c>
      <c r="D110" s="54"/>
      <c r="E110" s="5"/>
      <c r="F110" s="5"/>
      <c r="G110" s="5"/>
      <c r="J110" s="5"/>
      <c r="M110" s="5"/>
      <c r="N110" s="5"/>
      <c r="P110" s="5"/>
    </row>
    <row r="111" spans="1:16" ht="13">
      <c r="A111" s="51" t="s">
        <v>3761</v>
      </c>
      <c r="B111" s="60" t="s">
        <v>3762</v>
      </c>
      <c r="C111" s="51" t="s">
        <v>225</v>
      </c>
      <c r="D111" s="54"/>
      <c r="E111" s="5"/>
      <c r="F111" s="5"/>
      <c r="G111" s="5"/>
      <c r="J111" s="5"/>
      <c r="M111" s="5"/>
      <c r="N111" s="5"/>
      <c r="P111" s="5"/>
    </row>
    <row r="112" spans="1:16" ht="13">
      <c r="A112" s="51" t="s">
        <v>3763</v>
      </c>
      <c r="B112" s="61" t="s">
        <v>3764</v>
      </c>
      <c r="C112" s="51" t="s">
        <v>199</v>
      </c>
      <c r="D112" s="54"/>
      <c r="E112" s="51"/>
      <c r="F112" s="5"/>
      <c r="G112" s="5"/>
      <c r="J112" s="5"/>
      <c r="M112" s="5"/>
      <c r="N112" s="5"/>
      <c r="P112" s="5"/>
    </row>
    <row r="113" spans="1:16" ht="13">
      <c r="A113" s="51" t="s">
        <v>3765</v>
      </c>
      <c r="B113" s="61" t="s">
        <v>3766</v>
      </c>
      <c r="C113" s="51" t="s">
        <v>192</v>
      </c>
      <c r="D113" s="54"/>
      <c r="E113" s="5"/>
      <c r="F113" s="5"/>
      <c r="G113" s="5"/>
      <c r="J113" s="5"/>
      <c r="M113" s="5"/>
      <c r="N113" s="5"/>
      <c r="P113" s="5"/>
    </row>
    <row r="114" spans="1:16" ht="13">
      <c r="A114" s="51" t="s">
        <v>3767</v>
      </c>
      <c r="B114" s="61" t="s">
        <v>3768</v>
      </c>
      <c r="C114" s="51" t="s">
        <v>195</v>
      </c>
      <c r="D114" s="54"/>
      <c r="E114" s="5"/>
      <c r="F114" s="5"/>
      <c r="G114" s="5"/>
      <c r="J114" s="5"/>
      <c r="M114" s="5"/>
      <c r="N114" s="5"/>
      <c r="P114" s="5"/>
    </row>
    <row r="115" spans="1:16" ht="13">
      <c r="A115" s="51" t="s">
        <v>3769</v>
      </c>
      <c r="B115" s="60" t="s">
        <v>3770</v>
      </c>
      <c r="C115" s="51" t="s">
        <v>197</v>
      </c>
      <c r="D115" s="54"/>
      <c r="E115" s="5"/>
      <c r="F115" s="5"/>
      <c r="G115" s="5"/>
      <c r="J115" s="5"/>
      <c r="M115" s="5"/>
      <c r="N115" s="5"/>
      <c r="P115" s="5"/>
    </row>
    <row r="116" spans="1:16" ht="13">
      <c r="A116" s="51" t="s">
        <v>3771</v>
      </c>
      <c r="B116" s="60" t="s">
        <v>191</v>
      </c>
      <c r="C116" s="51" t="s">
        <v>192</v>
      </c>
      <c r="D116" s="54"/>
      <c r="E116" s="5"/>
      <c r="F116" s="5"/>
      <c r="G116" s="5"/>
      <c r="J116" s="5"/>
      <c r="M116" s="5"/>
      <c r="N116" s="5"/>
      <c r="P116" s="5"/>
    </row>
    <row r="117" spans="1:16" ht="13">
      <c r="A117" s="51" t="s">
        <v>3772</v>
      </c>
      <c r="B117" s="60" t="s">
        <v>213</v>
      </c>
      <c r="C117" s="51" t="s">
        <v>192</v>
      </c>
      <c r="D117" s="54"/>
      <c r="E117" s="5"/>
      <c r="F117" s="5"/>
      <c r="G117" s="5"/>
      <c r="J117" s="5"/>
      <c r="M117" s="5"/>
      <c r="N117" s="5"/>
      <c r="P117" s="5"/>
    </row>
    <row r="118" spans="1:16" ht="13">
      <c r="A118" s="51" t="s">
        <v>3773</v>
      </c>
      <c r="B118" s="60" t="s">
        <v>214</v>
      </c>
      <c r="C118" s="51" t="s">
        <v>192</v>
      </c>
      <c r="D118" s="54"/>
      <c r="E118" s="5"/>
      <c r="F118" s="5"/>
      <c r="G118" s="5"/>
      <c r="J118" s="5"/>
      <c r="M118" s="5"/>
      <c r="N118" s="5"/>
      <c r="P118" s="5"/>
    </row>
    <row r="119" spans="1:16" ht="13">
      <c r="A119" s="48"/>
      <c r="B119" s="50"/>
      <c r="C119" s="51"/>
      <c r="D119" s="54"/>
      <c r="E119" s="5"/>
      <c r="F119" s="5"/>
      <c r="G119" s="5"/>
      <c r="J119" s="5"/>
      <c r="M119" s="5"/>
      <c r="N119" s="5"/>
      <c r="P119" s="5"/>
    </row>
    <row r="120" spans="1:16" ht="13">
      <c r="A120" s="42" t="s">
        <v>3774</v>
      </c>
      <c r="B120" s="50"/>
      <c r="C120" s="51"/>
      <c r="D120" s="54"/>
      <c r="E120" s="5"/>
      <c r="F120" s="5"/>
      <c r="G120" s="5"/>
      <c r="J120" s="5"/>
      <c r="M120" s="5"/>
      <c r="N120" s="5"/>
      <c r="P120" s="5"/>
    </row>
    <row r="121" spans="1:16" ht="13">
      <c r="A121" s="51" t="s">
        <v>3775</v>
      </c>
      <c r="B121" s="60" t="s">
        <v>3776</v>
      </c>
      <c r="C121" s="51" t="s">
        <v>192</v>
      </c>
      <c r="D121" s="54"/>
      <c r="E121" s="5"/>
      <c r="F121" s="5"/>
      <c r="G121" s="5"/>
      <c r="J121" s="5"/>
      <c r="M121" s="5"/>
      <c r="N121" s="5"/>
      <c r="P121" s="5"/>
    </row>
    <row r="122" spans="1:16" ht="13">
      <c r="A122" s="51" t="s">
        <v>3777</v>
      </c>
      <c r="B122" s="60" t="s">
        <v>3778</v>
      </c>
      <c r="C122" s="51" t="s">
        <v>192</v>
      </c>
      <c r="D122" s="54"/>
      <c r="E122" s="5"/>
      <c r="F122" s="5"/>
      <c r="G122" s="5"/>
      <c r="J122" s="5"/>
      <c r="M122" s="5"/>
      <c r="N122" s="5"/>
      <c r="P122" s="5"/>
    </row>
    <row r="123" spans="1:16" ht="13">
      <c r="A123" s="51" t="s">
        <v>3779</v>
      </c>
      <c r="B123" s="60" t="s">
        <v>3780</v>
      </c>
      <c r="C123" s="51" t="s">
        <v>192</v>
      </c>
      <c r="D123" s="54"/>
      <c r="E123" s="5"/>
      <c r="F123" s="5"/>
      <c r="G123" s="5"/>
      <c r="J123" s="5"/>
      <c r="M123" s="5"/>
      <c r="N123" s="5"/>
      <c r="P123" s="5"/>
    </row>
    <row r="124" spans="1:16" ht="13">
      <c r="A124" s="51" t="s">
        <v>3781</v>
      </c>
      <c r="B124" s="60" t="s">
        <v>3782</v>
      </c>
      <c r="C124" s="51" t="s">
        <v>192</v>
      </c>
      <c r="D124" s="54"/>
      <c r="E124" s="5"/>
      <c r="F124" s="5"/>
      <c r="G124" s="5"/>
      <c r="J124" s="5"/>
      <c r="M124" s="5"/>
      <c r="N124" s="5"/>
      <c r="P124" s="5"/>
    </row>
    <row r="125" spans="1:16" ht="13">
      <c r="A125" s="51" t="s">
        <v>3783</v>
      </c>
      <c r="B125" s="60" t="s">
        <v>3784</v>
      </c>
      <c r="C125" s="51" t="s">
        <v>192</v>
      </c>
      <c r="D125" s="54"/>
      <c r="E125" s="5"/>
      <c r="F125" s="5"/>
      <c r="G125" s="5"/>
      <c r="J125" s="5"/>
      <c r="M125" s="5"/>
      <c r="N125" s="5"/>
      <c r="P125" s="5"/>
    </row>
    <row r="126" spans="1:16" ht="13">
      <c r="A126" s="51" t="s">
        <v>3785</v>
      </c>
      <c r="B126" s="60" t="s">
        <v>3786</v>
      </c>
      <c r="C126" s="51" t="s">
        <v>1013</v>
      </c>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3"/>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200-000000000000}"/>
    <hyperlink ref="B6" r:id="rId2" xr:uid="{00000000-0004-0000-3200-000001000000}"/>
    <hyperlink ref="B7" r:id="rId3" xr:uid="{00000000-0004-0000-3200-000002000000}"/>
    <hyperlink ref="B8" r:id="rId4" xr:uid="{00000000-0004-0000-3200-000003000000}"/>
    <hyperlink ref="B9" r:id="rId5" xr:uid="{00000000-0004-0000-3200-000004000000}"/>
    <hyperlink ref="B10" r:id="rId6" xr:uid="{00000000-0004-0000-3200-000005000000}"/>
    <hyperlink ref="B11" r:id="rId7" xr:uid="{00000000-0004-0000-3200-000006000000}"/>
    <hyperlink ref="B12" r:id="rId8" xr:uid="{00000000-0004-0000-3200-000007000000}"/>
    <hyperlink ref="B13" r:id="rId9" xr:uid="{00000000-0004-0000-3200-000008000000}"/>
    <hyperlink ref="B14" r:id="rId10" xr:uid="{00000000-0004-0000-3200-000009000000}"/>
    <hyperlink ref="B15" r:id="rId11" xr:uid="{00000000-0004-0000-3200-00000A000000}"/>
    <hyperlink ref="B16" r:id="rId12" xr:uid="{00000000-0004-0000-3200-00000B000000}"/>
    <hyperlink ref="B17" r:id="rId13" xr:uid="{00000000-0004-0000-3200-00000C000000}"/>
    <hyperlink ref="B18" r:id="rId14" xr:uid="{00000000-0004-0000-3200-00000D000000}"/>
    <hyperlink ref="B19" r:id="rId15" xr:uid="{00000000-0004-0000-3200-00000E000000}"/>
    <hyperlink ref="B20" r:id="rId16" xr:uid="{00000000-0004-0000-3200-00000F000000}"/>
    <hyperlink ref="B21" r:id="rId17" xr:uid="{00000000-0004-0000-3200-000010000000}"/>
    <hyperlink ref="B22" r:id="rId18" xr:uid="{00000000-0004-0000-3200-000011000000}"/>
    <hyperlink ref="B23" r:id="rId19" xr:uid="{00000000-0004-0000-3200-000012000000}"/>
    <hyperlink ref="B24" r:id="rId20" xr:uid="{00000000-0004-0000-3200-000013000000}"/>
    <hyperlink ref="B25" r:id="rId21" xr:uid="{00000000-0004-0000-3200-000014000000}"/>
    <hyperlink ref="B26" r:id="rId22" xr:uid="{00000000-0004-0000-3200-000015000000}"/>
    <hyperlink ref="B27" r:id="rId23" xr:uid="{00000000-0004-0000-3200-000016000000}"/>
    <hyperlink ref="B28" r:id="rId24" xr:uid="{00000000-0004-0000-3200-000017000000}"/>
    <hyperlink ref="B29" r:id="rId25" xr:uid="{00000000-0004-0000-3200-000018000000}"/>
    <hyperlink ref="B30" r:id="rId26" xr:uid="{00000000-0004-0000-3200-000019000000}"/>
    <hyperlink ref="B31" r:id="rId27" xr:uid="{00000000-0004-0000-3200-00001A000000}"/>
    <hyperlink ref="B32" r:id="rId28" xr:uid="{00000000-0004-0000-3200-00001B000000}"/>
    <hyperlink ref="B33" r:id="rId29" xr:uid="{00000000-0004-0000-3200-00001C000000}"/>
    <hyperlink ref="B34" r:id="rId30" xr:uid="{00000000-0004-0000-3200-00001D000000}"/>
    <hyperlink ref="B35" r:id="rId31" xr:uid="{00000000-0004-0000-3200-00001E000000}"/>
    <hyperlink ref="B36" r:id="rId32" xr:uid="{00000000-0004-0000-3200-00001F000000}"/>
    <hyperlink ref="B37" r:id="rId33" xr:uid="{00000000-0004-0000-3200-000020000000}"/>
    <hyperlink ref="B38" r:id="rId34" xr:uid="{00000000-0004-0000-3200-000021000000}"/>
    <hyperlink ref="B39" r:id="rId35" xr:uid="{00000000-0004-0000-3200-000022000000}"/>
    <hyperlink ref="B40" r:id="rId36" xr:uid="{00000000-0004-0000-3200-000023000000}"/>
    <hyperlink ref="B41" r:id="rId37" xr:uid="{00000000-0004-0000-3200-000024000000}"/>
    <hyperlink ref="B42" r:id="rId38" xr:uid="{00000000-0004-0000-3200-000025000000}"/>
    <hyperlink ref="B43" r:id="rId39" xr:uid="{00000000-0004-0000-3200-000026000000}"/>
    <hyperlink ref="B44" r:id="rId40" xr:uid="{00000000-0004-0000-3200-000027000000}"/>
    <hyperlink ref="B45" r:id="rId41" xr:uid="{00000000-0004-0000-3200-000028000000}"/>
    <hyperlink ref="B46" r:id="rId42" xr:uid="{00000000-0004-0000-3200-000029000000}"/>
    <hyperlink ref="B47" r:id="rId43" xr:uid="{00000000-0004-0000-3200-00002A000000}"/>
    <hyperlink ref="B48" r:id="rId44" xr:uid="{00000000-0004-0000-3200-00002B000000}"/>
    <hyperlink ref="B49" r:id="rId45" xr:uid="{00000000-0004-0000-3200-00002C000000}"/>
    <hyperlink ref="B50" r:id="rId46" xr:uid="{00000000-0004-0000-3200-00002D000000}"/>
    <hyperlink ref="B51" r:id="rId47" xr:uid="{00000000-0004-0000-3200-00002E000000}"/>
    <hyperlink ref="B52" r:id="rId48" xr:uid="{00000000-0004-0000-3200-00002F000000}"/>
    <hyperlink ref="B53" r:id="rId49" xr:uid="{00000000-0004-0000-3200-000030000000}"/>
    <hyperlink ref="B54" r:id="rId50" xr:uid="{00000000-0004-0000-3200-000031000000}"/>
    <hyperlink ref="B55" r:id="rId51" xr:uid="{00000000-0004-0000-3200-000032000000}"/>
    <hyperlink ref="B56" r:id="rId52" xr:uid="{00000000-0004-0000-3200-000033000000}"/>
    <hyperlink ref="B57" r:id="rId53" xr:uid="{00000000-0004-0000-3200-000034000000}"/>
    <hyperlink ref="B58" r:id="rId54" xr:uid="{00000000-0004-0000-3200-000035000000}"/>
    <hyperlink ref="B59" r:id="rId55" xr:uid="{00000000-0004-0000-3200-000036000000}"/>
    <hyperlink ref="B60" r:id="rId56" xr:uid="{00000000-0004-0000-3200-000037000000}"/>
    <hyperlink ref="B61" r:id="rId57" xr:uid="{00000000-0004-0000-3200-000038000000}"/>
    <hyperlink ref="B62" r:id="rId58" xr:uid="{00000000-0004-0000-3200-000039000000}"/>
    <hyperlink ref="B63" r:id="rId59" xr:uid="{00000000-0004-0000-3200-00003A000000}"/>
    <hyperlink ref="B64" r:id="rId60" xr:uid="{00000000-0004-0000-3200-00003B000000}"/>
    <hyperlink ref="B65" r:id="rId61" xr:uid="{00000000-0004-0000-3200-00003C000000}"/>
    <hyperlink ref="B66" r:id="rId62" xr:uid="{00000000-0004-0000-3200-00003D000000}"/>
    <hyperlink ref="B67" r:id="rId63" xr:uid="{00000000-0004-0000-3200-00003E000000}"/>
    <hyperlink ref="B68" r:id="rId64" xr:uid="{00000000-0004-0000-3200-00003F000000}"/>
    <hyperlink ref="B69" r:id="rId65" xr:uid="{00000000-0004-0000-3200-000040000000}"/>
    <hyperlink ref="B70" r:id="rId66" xr:uid="{00000000-0004-0000-3200-000041000000}"/>
    <hyperlink ref="B71" r:id="rId67" xr:uid="{00000000-0004-0000-3200-000042000000}"/>
    <hyperlink ref="B72" r:id="rId68" xr:uid="{00000000-0004-0000-3200-000043000000}"/>
    <hyperlink ref="B73" r:id="rId69" xr:uid="{00000000-0004-0000-3200-000044000000}"/>
    <hyperlink ref="B74" r:id="rId70" xr:uid="{00000000-0004-0000-3200-000045000000}"/>
    <hyperlink ref="B75" r:id="rId71" xr:uid="{00000000-0004-0000-3200-000046000000}"/>
    <hyperlink ref="B76" r:id="rId72" xr:uid="{00000000-0004-0000-3200-000047000000}"/>
    <hyperlink ref="B77" r:id="rId73" xr:uid="{00000000-0004-0000-3200-000048000000}"/>
    <hyperlink ref="B78" r:id="rId74" xr:uid="{00000000-0004-0000-3200-000049000000}"/>
    <hyperlink ref="B79" r:id="rId75" xr:uid="{00000000-0004-0000-3200-00004A000000}"/>
    <hyperlink ref="B80" r:id="rId76" xr:uid="{00000000-0004-0000-3200-00004B000000}"/>
    <hyperlink ref="B81" r:id="rId77" xr:uid="{00000000-0004-0000-3200-00004C000000}"/>
    <hyperlink ref="B82" r:id="rId78" xr:uid="{00000000-0004-0000-3200-00004D000000}"/>
    <hyperlink ref="B83" r:id="rId79" xr:uid="{00000000-0004-0000-3200-00004E000000}"/>
    <hyperlink ref="B84" r:id="rId80" xr:uid="{00000000-0004-0000-3200-00004F000000}"/>
    <hyperlink ref="B85" r:id="rId81" xr:uid="{00000000-0004-0000-3200-000050000000}"/>
    <hyperlink ref="B86" r:id="rId82" xr:uid="{00000000-0004-0000-3200-000051000000}"/>
    <hyperlink ref="B87" r:id="rId83" xr:uid="{00000000-0004-0000-3200-000052000000}"/>
    <hyperlink ref="B88" r:id="rId84" xr:uid="{00000000-0004-0000-3200-000053000000}"/>
    <hyperlink ref="B89" r:id="rId85" xr:uid="{00000000-0004-0000-3200-000054000000}"/>
    <hyperlink ref="B90" r:id="rId86" xr:uid="{00000000-0004-0000-3200-000055000000}"/>
    <hyperlink ref="B91" r:id="rId87" xr:uid="{00000000-0004-0000-3200-000056000000}"/>
    <hyperlink ref="B92" r:id="rId88" xr:uid="{00000000-0004-0000-3200-000057000000}"/>
    <hyperlink ref="B93" r:id="rId89" xr:uid="{00000000-0004-0000-3200-000058000000}"/>
    <hyperlink ref="B94" r:id="rId90" xr:uid="{00000000-0004-0000-3200-000059000000}"/>
    <hyperlink ref="B95" r:id="rId91" xr:uid="{00000000-0004-0000-3200-00005A000000}"/>
    <hyperlink ref="B96" r:id="rId92" xr:uid="{00000000-0004-0000-3200-00005B000000}"/>
    <hyperlink ref="B97" r:id="rId93" xr:uid="{00000000-0004-0000-3200-00005C000000}"/>
    <hyperlink ref="B98" r:id="rId94" xr:uid="{00000000-0004-0000-3200-00005D000000}"/>
    <hyperlink ref="B99" r:id="rId95" xr:uid="{00000000-0004-0000-3200-00005E000000}"/>
    <hyperlink ref="B100" r:id="rId96" xr:uid="{00000000-0004-0000-3200-00005F000000}"/>
    <hyperlink ref="B101" r:id="rId97" xr:uid="{00000000-0004-0000-3200-000060000000}"/>
    <hyperlink ref="B102" r:id="rId98" xr:uid="{00000000-0004-0000-3200-000061000000}"/>
    <hyperlink ref="B103" r:id="rId99" xr:uid="{00000000-0004-0000-3200-000062000000}"/>
    <hyperlink ref="B104" r:id="rId100" xr:uid="{00000000-0004-0000-3200-000063000000}"/>
    <hyperlink ref="B105" r:id="rId101" xr:uid="{00000000-0004-0000-3200-000064000000}"/>
    <hyperlink ref="B106" r:id="rId102" xr:uid="{00000000-0004-0000-3200-000065000000}"/>
    <hyperlink ref="B107" r:id="rId103" xr:uid="{00000000-0004-0000-3200-000066000000}"/>
    <hyperlink ref="B108" r:id="rId104" xr:uid="{00000000-0004-0000-3200-000067000000}"/>
    <hyperlink ref="B109" r:id="rId105" xr:uid="{00000000-0004-0000-3200-000068000000}"/>
    <hyperlink ref="B110" r:id="rId106" xr:uid="{00000000-0004-0000-3200-000069000000}"/>
    <hyperlink ref="B111" r:id="rId107" xr:uid="{00000000-0004-0000-3200-00006A000000}"/>
    <hyperlink ref="B112" r:id="rId108" xr:uid="{00000000-0004-0000-3200-00006B000000}"/>
    <hyperlink ref="B113" r:id="rId109" xr:uid="{00000000-0004-0000-3200-00006C000000}"/>
    <hyperlink ref="B114" r:id="rId110" xr:uid="{00000000-0004-0000-3200-00006D000000}"/>
    <hyperlink ref="B115" r:id="rId111" xr:uid="{00000000-0004-0000-3200-00006E000000}"/>
    <hyperlink ref="B116" r:id="rId112" xr:uid="{00000000-0004-0000-3200-00006F000000}"/>
    <hyperlink ref="B117" r:id="rId113" xr:uid="{00000000-0004-0000-3200-000070000000}"/>
    <hyperlink ref="B118" r:id="rId114" xr:uid="{00000000-0004-0000-3200-000071000000}"/>
    <hyperlink ref="B121" r:id="rId115" xr:uid="{00000000-0004-0000-3200-000072000000}"/>
    <hyperlink ref="B122" r:id="rId116" xr:uid="{00000000-0004-0000-3200-000073000000}"/>
    <hyperlink ref="B123" r:id="rId117" xr:uid="{00000000-0004-0000-3200-000074000000}"/>
    <hyperlink ref="B124" r:id="rId118" xr:uid="{00000000-0004-0000-3200-000075000000}"/>
    <hyperlink ref="B125" r:id="rId119" xr:uid="{00000000-0004-0000-3200-000076000000}"/>
    <hyperlink ref="B126" r:id="rId120" xr:uid="{00000000-0004-0000-3200-000077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83203125" customWidth="1"/>
    <col min="3" max="3" width="13.5" customWidth="1"/>
    <col min="4" max="4" width="14.83203125" customWidth="1"/>
    <col min="5" max="5" width="14.33203125" customWidth="1"/>
    <col min="11" max="11" width="13.83203125" customWidth="1"/>
  </cols>
  <sheetData>
    <row r="1" spans="1:23" ht="15.75" customHeight="1">
      <c r="A1" s="1" t="s">
        <v>56</v>
      </c>
      <c r="B1" s="36"/>
      <c r="C1" s="46"/>
      <c r="D1" s="7" t="s">
        <v>181</v>
      </c>
      <c r="E1" s="5"/>
      <c r="F1" s="5"/>
      <c r="G1" s="5"/>
      <c r="K1" s="1"/>
      <c r="M1" s="5"/>
      <c r="N1" s="5"/>
      <c r="S1" s="1"/>
      <c r="U1" s="5"/>
    </row>
    <row r="2" spans="1:23" ht="15.75" customHeight="1">
      <c r="A2" s="7" t="s">
        <v>182</v>
      </c>
      <c r="B2" s="38">
        <v>40121</v>
      </c>
      <c r="C2" s="46"/>
      <c r="D2" s="39">
        <f>SUM(D5:G117)</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1" t="s">
        <v>3787</v>
      </c>
      <c r="B5" s="60" t="s">
        <v>243</v>
      </c>
      <c r="C5" s="51" t="s">
        <v>199</v>
      </c>
      <c r="D5" s="54"/>
      <c r="E5" s="5"/>
      <c r="F5" s="5"/>
      <c r="G5" s="5"/>
      <c r="L5" s="43"/>
      <c r="M5" s="43"/>
      <c r="N5" s="42"/>
      <c r="O5" s="44"/>
      <c r="S5" s="42"/>
      <c r="T5" s="43"/>
      <c r="U5" s="43"/>
      <c r="V5" s="42"/>
      <c r="W5" s="44"/>
    </row>
    <row r="6" spans="1:23" ht="15.75" customHeight="1">
      <c r="A6" s="51" t="s">
        <v>3788</v>
      </c>
      <c r="B6" s="60" t="s">
        <v>3372</v>
      </c>
      <c r="C6" s="51" t="s">
        <v>208</v>
      </c>
      <c r="D6" s="54"/>
      <c r="E6" s="5"/>
      <c r="F6" s="5"/>
      <c r="G6" s="5"/>
      <c r="L6" s="50"/>
      <c r="M6" s="51"/>
      <c r="N6" s="5"/>
      <c r="S6" s="52"/>
      <c r="T6" s="50"/>
      <c r="U6" s="51"/>
    </row>
    <row r="7" spans="1:23" ht="15.75" customHeight="1">
      <c r="A7" s="51" t="s">
        <v>3789</v>
      </c>
      <c r="B7" s="60" t="s">
        <v>3377</v>
      </c>
      <c r="C7" s="51" t="s">
        <v>199</v>
      </c>
      <c r="D7" s="54"/>
      <c r="E7" s="5"/>
      <c r="F7" s="5"/>
      <c r="G7" s="5"/>
      <c r="K7" s="52"/>
      <c r="L7" s="50"/>
      <c r="M7" s="51"/>
      <c r="N7" s="5"/>
      <c r="S7" s="52"/>
      <c r="T7" s="50"/>
      <c r="U7" s="51"/>
    </row>
    <row r="8" spans="1:23" ht="15.75" customHeight="1">
      <c r="A8" s="51" t="s">
        <v>3790</v>
      </c>
      <c r="B8" s="60" t="s">
        <v>363</v>
      </c>
      <c r="C8" s="51" t="s">
        <v>225</v>
      </c>
      <c r="D8" s="54"/>
      <c r="E8" s="5"/>
      <c r="F8" s="5"/>
      <c r="G8" s="5"/>
      <c r="K8" s="52"/>
      <c r="L8" s="50"/>
      <c r="M8" s="51"/>
      <c r="N8" s="51"/>
      <c r="S8" s="52"/>
      <c r="T8" s="50"/>
      <c r="U8" s="51"/>
    </row>
    <row r="9" spans="1:23" ht="15.75" customHeight="1">
      <c r="A9" s="51" t="s">
        <v>3791</v>
      </c>
      <c r="B9" s="60" t="s">
        <v>3114</v>
      </c>
      <c r="C9" s="51" t="s">
        <v>192</v>
      </c>
      <c r="D9" s="54"/>
      <c r="E9" s="5"/>
      <c r="F9" s="5"/>
      <c r="G9" s="5"/>
      <c r="K9" s="52"/>
      <c r="L9" s="50"/>
      <c r="M9" s="51"/>
      <c r="N9" s="51"/>
      <c r="S9" s="52"/>
      <c r="T9" s="50"/>
      <c r="U9" s="51"/>
    </row>
    <row r="10" spans="1:23" ht="15.75" customHeight="1">
      <c r="A10" s="51" t="s">
        <v>3792</v>
      </c>
      <c r="B10" s="60" t="s">
        <v>3318</v>
      </c>
      <c r="C10" s="51" t="s">
        <v>205</v>
      </c>
      <c r="D10" s="54"/>
      <c r="E10" s="5"/>
      <c r="F10" s="5"/>
      <c r="G10" s="5"/>
      <c r="K10" s="52"/>
      <c r="L10" s="50"/>
      <c r="M10" s="51"/>
      <c r="N10" s="5"/>
      <c r="S10" s="52"/>
      <c r="T10" s="50"/>
      <c r="U10" s="51"/>
    </row>
    <row r="11" spans="1:23" ht="15.75" customHeight="1">
      <c r="A11" s="51" t="s">
        <v>3793</v>
      </c>
      <c r="B11" s="60" t="s">
        <v>3386</v>
      </c>
      <c r="C11" s="51" t="s">
        <v>220</v>
      </c>
      <c r="D11" s="54"/>
      <c r="E11" s="5"/>
      <c r="F11" s="5"/>
      <c r="G11" s="5"/>
      <c r="K11" s="52"/>
      <c r="L11" s="50"/>
      <c r="M11" s="51"/>
      <c r="N11" s="51"/>
      <c r="S11" s="52"/>
      <c r="T11" s="50"/>
      <c r="U11" s="51"/>
    </row>
    <row r="12" spans="1:23" ht="15.75" customHeight="1">
      <c r="A12" s="51" t="s">
        <v>3794</v>
      </c>
      <c r="B12" s="60" t="s">
        <v>1507</v>
      </c>
      <c r="C12" s="51" t="s">
        <v>197</v>
      </c>
      <c r="D12" s="54"/>
      <c r="E12" s="5"/>
      <c r="F12" s="5"/>
      <c r="G12" s="5"/>
      <c r="K12" s="52"/>
      <c r="L12" s="50"/>
      <c r="M12" s="51"/>
      <c r="N12" s="51"/>
      <c r="S12" s="52"/>
      <c r="T12" s="50"/>
      <c r="U12" s="51"/>
    </row>
    <row r="13" spans="1:23" ht="15.75" customHeight="1">
      <c r="A13" s="51" t="s">
        <v>3795</v>
      </c>
      <c r="B13" s="60" t="s">
        <v>1860</v>
      </c>
      <c r="C13" s="51" t="s">
        <v>195</v>
      </c>
      <c r="D13" s="54"/>
      <c r="E13" s="5"/>
      <c r="F13" s="5"/>
      <c r="G13" s="5"/>
      <c r="K13" s="52"/>
      <c r="L13" s="50"/>
      <c r="M13" s="51"/>
      <c r="N13" s="5"/>
      <c r="S13" s="52"/>
      <c r="T13" s="50"/>
      <c r="U13" s="51"/>
    </row>
    <row r="14" spans="1:23" ht="15.75" customHeight="1">
      <c r="A14" s="51" t="s">
        <v>3796</v>
      </c>
      <c r="B14" s="60" t="s">
        <v>3339</v>
      </c>
      <c r="C14" s="51" t="s">
        <v>205</v>
      </c>
      <c r="D14" s="54"/>
      <c r="E14" s="5"/>
      <c r="F14" s="5"/>
      <c r="G14" s="5"/>
      <c r="K14" s="52"/>
      <c r="L14" s="50"/>
      <c r="M14" s="51"/>
      <c r="N14" s="51"/>
      <c r="S14" s="52"/>
      <c r="T14" s="50"/>
      <c r="U14" s="51"/>
    </row>
    <row r="15" spans="1:23" ht="15.75" customHeight="1">
      <c r="A15" s="51" t="s">
        <v>3797</v>
      </c>
      <c r="B15" s="60" t="s">
        <v>3203</v>
      </c>
      <c r="C15" s="51" t="s">
        <v>225</v>
      </c>
      <c r="D15" s="54"/>
      <c r="E15" s="5"/>
      <c r="F15" s="5"/>
      <c r="G15" s="5"/>
      <c r="K15" s="52"/>
      <c r="L15" s="50"/>
      <c r="M15" s="51"/>
      <c r="N15" s="51"/>
      <c r="S15" s="52"/>
      <c r="T15" s="50"/>
      <c r="U15" s="51"/>
    </row>
    <row r="16" spans="1:23" ht="15.75" customHeight="1">
      <c r="A16" s="51" t="s">
        <v>3798</v>
      </c>
      <c r="B16" s="61" t="s">
        <v>3799</v>
      </c>
      <c r="C16" s="51" t="s">
        <v>192</v>
      </c>
      <c r="D16" s="54"/>
      <c r="E16" s="5"/>
      <c r="F16" s="5"/>
      <c r="G16" s="5"/>
      <c r="K16" s="52"/>
      <c r="L16" s="50"/>
      <c r="M16" s="51"/>
      <c r="N16" s="51"/>
      <c r="S16" s="52"/>
      <c r="T16" s="50"/>
      <c r="U16" s="51"/>
    </row>
    <row r="17" spans="1:27" ht="15.75" customHeight="1">
      <c r="A17" s="51" t="s">
        <v>3800</v>
      </c>
      <c r="B17" s="60" t="s">
        <v>358</v>
      </c>
      <c r="C17" s="51" t="s">
        <v>225</v>
      </c>
      <c r="D17" s="54"/>
      <c r="E17" s="5"/>
      <c r="F17" s="5"/>
      <c r="G17" s="5"/>
      <c r="K17" s="52"/>
      <c r="L17" s="50"/>
      <c r="M17" s="51"/>
      <c r="N17" s="51"/>
      <c r="S17" s="52"/>
      <c r="T17" s="50"/>
      <c r="U17" s="51"/>
    </row>
    <row r="18" spans="1:27" ht="15.75" customHeight="1">
      <c r="A18" s="51" t="s">
        <v>3801</v>
      </c>
      <c r="B18" s="60" t="s">
        <v>3163</v>
      </c>
      <c r="C18" s="51" t="s">
        <v>220</v>
      </c>
      <c r="D18" s="54"/>
      <c r="E18" s="5"/>
      <c r="F18" s="5"/>
      <c r="G18" s="5"/>
      <c r="M18" s="5"/>
      <c r="N18" s="5"/>
      <c r="U18" s="5"/>
      <c r="AA18" s="5"/>
    </row>
    <row r="19" spans="1:27" ht="15.75" customHeight="1">
      <c r="A19" s="51" t="s">
        <v>3802</v>
      </c>
      <c r="B19" s="60" t="s">
        <v>3133</v>
      </c>
      <c r="C19" s="51" t="s">
        <v>205</v>
      </c>
      <c r="D19" s="54"/>
      <c r="E19" s="5"/>
      <c r="F19" s="5"/>
      <c r="G19" s="5"/>
      <c r="K19" s="1"/>
      <c r="M19" s="5"/>
      <c r="N19" s="5"/>
      <c r="U19" s="5"/>
      <c r="AA19" s="5"/>
    </row>
    <row r="20" spans="1:27" ht="15.75" customHeight="1">
      <c r="A20" s="51" t="s">
        <v>3803</v>
      </c>
      <c r="B20" s="60" t="s">
        <v>360</v>
      </c>
      <c r="C20" s="51" t="s">
        <v>195</v>
      </c>
      <c r="D20" s="54"/>
      <c r="E20" s="5"/>
      <c r="F20" s="5"/>
      <c r="G20" s="5"/>
      <c r="L20" s="40"/>
      <c r="M20" s="5"/>
      <c r="N20" s="5"/>
      <c r="AA20" s="5"/>
    </row>
    <row r="21" spans="1:27" ht="15.75" customHeight="1">
      <c r="A21" s="51" t="s">
        <v>3804</v>
      </c>
      <c r="B21" s="60" t="s">
        <v>360</v>
      </c>
      <c r="C21" s="51" t="s">
        <v>195</v>
      </c>
      <c r="D21" s="54"/>
      <c r="E21" s="5"/>
      <c r="F21" s="5"/>
      <c r="G21" s="5"/>
      <c r="M21" s="5"/>
      <c r="N21" s="5"/>
      <c r="AA21" s="5"/>
    </row>
    <row r="22" spans="1:27" ht="15.75" customHeight="1">
      <c r="A22" s="51" t="s">
        <v>3805</v>
      </c>
      <c r="B22" s="60" t="s">
        <v>1839</v>
      </c>
      <c r="C22" s="51" t="s">
        <v>208</v>
      </c>
      <c r="D22" s="54"/>
      <c r="E22" s="5"/>
      <c r="F22" s="5"/>
      <c r="G22" s="5"/>
      <c r="K22" s="42"/>
      <c r="L22" s="45"/>
      <c r="M22" s="46"/>
      <c r="N22" s="47"/>
      <c r="AA22" s="5"/>
    </row>
    <row r="23" spans="1:27" ht="15.75" customHeight="1">
      <c r="A23" s="51" t="s">
        <v>3806</v>
      </c>
      <c r="B23" s="60" t="s">
        <v>370</v>
      </c>
      <c r="C23" s="51" t="s">
        <v>225</v>
      </c>
      <c r="D23" s="54"/>
      <c r="E23" s="5"/>
      <c r="F23" s="5"/>
      <c r="G23" s="5"/>
      <c r="K23" s="42"/>
      <c r="L23" s="43"/>
      <c r="M23" s="43"/>
      <c r="N23" s="42"/>
      <c r="O23" s="44"/>
      <c r="AA23" s="5"/>
    </row>
    <row r="24" spans="1:27" ht="15.75" customHeight="1">
      <c r="A24" s="51" t="s">
        <v>3807</v>
      </c>
      <c r="B24" s="60" t="s">
        <v>1222</v>
      </c>
      <c r="C24" s="51" t="s">
        <v>225</v>
      </c>
      <c r="D24" s="54"/>
      <c r="E24" s="5"/>
      <c r="F24" s="5"/>
      <c r="G24" s="5"/>
      <c r="K24" s="52"/>
      <c r="L24" s="50"/>
      <c r="M24" s="51"/>
      <c r="N24" s="5"/>
      <c r="AA24" s="5"/>
    </row>
    <row r="25" spans="1:27" ht="15.75" customHeight="1">
      <c r="A25" s="51" t="s">
        <v>3808</v>
      </c>
      <c r="B25" s="60" t="s">
        <v>3127</v>
      </c>
      <c r="C25" s="51" t="s">
        <v>197</v>
      </c>
      <c r="D25" s="54"/>
      <c r="E25" s="5"/>
      <c r="F25" s="5"/>
      <c r="G25" s="5"/>
      <c r="K25" s="52"/>
      <c r="L25" s="50"/>
      <c r="M25" s="51"/>
      <c r="N25" s="5"/>
      <c r="AA25" s="5"/>
    </row>
    <row r="26" spans="1:27" ht="15.75" customHeight="1">
      <c r="A26" s="51" t="s">
        <v>3809</v>
      </c>
      <c r="B26" s="60" t="s">
        <v>1224</v>
      </c>
      <c r="C26" s="51" t="s">
        <v>192</v>
      </c>
      <c r="D26" s="54"/>
      <c r="E26" s="5"/>
      <c r="F26" s="5"/>
      <c r="G26" s="5"/>
      <c r="K26" s="52"/>
      <c r="L26" s="50"/>
      <c r="M26" s="51"/>
      <c r="N26" s="51"/>
      <c r="AA26" s="5"/>
    </row>
    <row r="27" spans="1:27" ht="15.75" customHeight="1">
      <c r="A27" s="51" t="s">
        <v>3810</v>
      </c>
      <c r="B27" s="60" t="s">
        <v>373</v>
      </c>
      <c r="C27" s="51" t="s">
        <v>208</v>
      </c>
      <c r="D27" s="54"/>
      <c r="E27" s="5"/>
      <c r="F27" s="51"/>
      <c r="G27" s="5"/>
      <c r="K27" s="52"/>
      <c r="L27" s="50"/>
      <c r="M27" s="51"/>
      <c r="N27" s="51"/>
      <c r="AA27" s="5"/>
    </row>
    <row r="28" spans="1:27" ht="15.75" customHeight="1">
      <c r="A28" s="51" t="s">
        <v>3811</v>
      </c>
      <c r="B28" s="60" t="s">
        <v>1242</v>
      </c>
      <c r="C28" s="51" t="s">
        <v>208</v>
      </c>
      <c r="D28" s="54"/>
      <c r="E28" s="5"/>
      <c r="F28" s="5"/>
      <c r="G28" s="5"/>
      <c r="J28" s="5"/>
      <c r="K28" s="52"/>
      <c r="L28" s="50"/>
      <c r="M28" s="51"/>
      <c r="N28" s="5"/>
      <c r="P28" s="5"/>
    </row>
    <row r="29" spans="1:27" ht="15.75" customHeight="1">
      <c r="A29" s="51" t="s">
        <v>3812</v>
      </c>
      <c r="B29" s="60" t="s">
        <v>222</v>
      </c>
      <c r="C29" s="51" t="s">
        <v>192</v>
      </c>
      <c r="D29" s="54"/>
      <c r="E29" s="5"/>
      <c r="F29" s="5"/>
      <c r="G29" s="5"/>
      <c r="J29" s="5"/>
      <c r="K29" s="52"/>
      <c r="L29" s="50"/>
      <c r="M29" s="51"/>
      <c r="N29" s="51"/>
      <c r="P29" s="5"/>
    </row>
    <row r="30" spans="1:27" ht="15.75" customHeight="1">
      <c r="A30" s="51" t="s">
        <v>3813</v>
      </c>
      <c r="B30" s="61" t="s">
        <v>3814</v>
      </c>
      <c r="C30" s="51" t="s">
        <v>197</v>
      </c>
      <c r="D30" s="54"/>
      <c r="E30" s="5"/>
      <c r="F30" s="5"/>
      <c r="G30" s="5"/>
      <c r="J30" s="5"/>
      <c r="K30" s="52"/>
      <c r="L30" s="50"/>
      <c r="M30" s="51"/>
      <c r="N30" s="5"/>
      <c r="P30" s="5"/>
    </row>
    <row r="31" spans="1:27" ht="15.75" customHeight="1">
      <c r="A31" s="51" t="s">
        <v>3815</v>
      </c>
      <c r="B31" s="60" t="s">
        <v>251</v>
      </c>
      <c r="C31" s="51" t="s">
        <v>192</v>
      </c>
      <c r="D31" s="54"/>
      <c r="E31" s="5"/>
      <c r="F31" s="5"/>
      <c r="G31" s="5"/>
      <c r="J31" s="5"/>
      <c r="K31" s="52"/>
      <c r="L31" s="50"/>
      <c r="M31" s="51"/>
      <c r="N31" s="51"/>
      <c r="P31" s="5"/>
    </row>
    <row r="32" spans="1:27" ht="15.75" customHeight="1">
      <c r="A32" s="51" t="s">
        <v>3816</v>
      </c>
      <c r="B32" s="60" t="s">
        <v>235</v>
      </c>
      <c r="C32" s="51" t="s">
        <v>199</v>
      </c>
      <c r="D32" s="54"/>
      <c r="E32" s="5"/>
      <c r="F32" s="5"/>
      <c r="G32" s="5"/>
      <c r="J32" s="5"/>
      <c r="K32" s="52"/>
      <c r="L32" s="50"/>
      <c r="M32" s="51"/>
      <c r="N32" s="5"/>
      <c r="P32" s="5"/>
    </row>
    <row r="33" spans="1:16" ht="15.75" customHeight="1">
      <c r="A33" s="51" t="s">
        <v>3817</v>
      </c>
      <c r="B33" s="60" t="s">
        <v>272</v>
      </c>
      <c r="C33" s="51" t="s">
        <v>197</v>
      </c>
      <c r="D33" s="54"/>
      <c r="E33" s="5"/>
      <c r="F33" s="5"/>
      <c r="G33" s="5"/>
      <c r="J33" s="5"/>
      <c r="K33" s="52"/>
      <c r="L33" s="50"/>
      <c r="M33" s="51"/>
      <c r="N33" s="5"/>
      <c r="P33" s="5"/>
    </row>
    <row r="34" spans="1:16" ht="15.75" customHeight="1">
      <c r="A34" s="51" t="s">
        <v>3818</v>
      </c>
      <c r="B34" s="60" t="s">
        <v>1228</v>
      </c>
      <c r="C34" s="51" t="s">
        <v>205</v>
      </c>
      <c r="D34" s="54"/>
      <c r="E34" s="5"/>
      <c r="F34" s="5"/>
      <c r="G34" s="5"/>
      <c r="J34" s="5"/>
      <c r="K34" s="52"/>
      <c r="L34" s="50"/>
      <c r="M34" s="51"/>
      <c r="N34" s="5"/>
      <c r="P34" s="5"/>
    </row>
    <row r="35" spans="1:16" ht="15.75" customHeight="1">
      <c r="A35" s="51" t="s">
        <v>3819</v>
      </c>
      <c r="B35" s="60" t="s">
        <v>1228</v>
      </c>
      <c r="C35" s="51" t="s">
        <v>205</v>
      </c>
      <c r="D35" s="54"/>
      <c r="E35" s="5"/>
      <c r="F35" s="5"/>
      <c r="G35" s="5"/>
      <c r="J35" s="5"/>
      <c r="K35" s="52"/>
      <c r="L35" s="50"/>
      <c r="M35" s="51"/>
      <c r="N35" s="51"/>
      <c r="P35" s="5"/>
    </row>
    <row r="36" spans="1:16" ht="15.75" customHeight="1">
      <c r="A36" s="51" t="s">
        <v>3820</v>
      </c>
      <c r="B36" s="60" t="s">
        <v>3390</v>
      </c>
      <c r="C36" s="51" t="s">
        <v>808</v>
      </c>
      <c r="D36" s="54"/>
      <c r="E36" s="5"/>
      <c r="F36" s="5"/>
      <c r="G36" s="5"/>
      <c r="J36" s="5"/>
      <c r="M36" s="5"/>
      <c r="N36" s="5"/>
      <c r="P36" s="5"/>
    </row>
    <row r="37" spans="1:16" ht="15.75" customHeight="1">
      <c r="A37" s="51" t="s">
        <v>3821</v>
      </c>
      <c r="B37" s="60" t="s">
        <v>3163</v>
      </c>
      <c r="C37" s="51" t="s">
        <v>220</v>
      </c>
      <c r="D37" s="54"/>
      <c r="E37" s="5"/>
      <c r="F37" s="5"/>
      <c r="G37" s="5"/>
      <c r="J37" s="5"/>
      <c r="M37" s="5"/>
      <c r="N37" s="5"/>
    </row>
    <row r="38" spans="1:16" ht="15.75" customHeight="1">
      <c r="A38" s="51" t="s">
        <v>3822</v>
      </c>
      <c r="B38" s="60" t="s">
        <v>3245</v>
      </c>
      <c r="C38" s="51" t="s">
        <v>220</v>
      </c>
      <c r="D38" s="54"/>
      <c r="E38" s="5"/>
      <c r="F38" s="5"/>
      <c r="G38" s="5"/>
      <c r="J38" s="5"/>
      <c r="M38" s="51"/>
      <c r="N38" s="51"/>
    </row>
    <row r="39" spans="1:16" ht="15.75" customHeight="1">
      <c r="A39" s="51" t="s">
        <v>3823</v>
      </c>
      <c r="B39" s="60" t="s">
        <v>258</v>
      </c>
      <c r="C39" s="51" t="s">
        <v>199</v>
      </c>
      <c r="D39" s="54"/>
      <c r="E39" s="5"/>
      <c r="F39" s="5"/>
      <c r="G39" s="5"/>
      <c r="J39" s="5"/>
      <c r="M39" s="51"/>
      <c r="N39" s="51"/>
    </row>
    <row r="40" spans="1:16" ht="15.75" customHeight="1">
      <c r="A40" s="51" t="s">
        <v>3824</v>
      </c>
      <c r="B40" s="60" t="s">
        <v>282</v>
      </c>
      <c r="C40" s="51" t="s">
        <v>195</v>
      </c>
      <c r="D40" s="54"/>
      <c r="E40" s="5"/>
      <c r="F40" s="5"/>
      <c r="G40" s="5"/>
      <c r="J40" s="5"/>
      <c r="M40" s="51"/>
      <c r="N40" s="51"/>
    </row>
    <row r="41" spans="1:16" ht="15.75" customHeight="1">
      <c r="A41" s="51" t="s">
        <v>3825</v>
      </c>
      <c r="B41" s="60" t="s">
        <v>371</v>
      </c>
      <c r="C41" s="51" t="s">
        <v>225</v>
      </c>
      <c r="D41" s="54"/>
      <c r="E41" s="5"/>
      <c r="F41" s="5"/>
      <c r="G41" s="5"/>
      <c r="J41" s="5"/>
      <c r="M41" s="51"/>
      <c r="N41" s="51"/>
    </row>
    <row r="42" spans="1:16" ht="15.75" customHeight="1">
      <c r="A42" s="51" t="s">
        <v>3826</v>
      </c>
      <c r="B42" s="60" t="s">
        <v>1188</v>
      </c>
      <c r="C42" s="51" t="s">
        <v>205</v>
      </c>
      <c r="D42" s="54"/>
      <c r="E42" s="5"/>
      <c r="F42" s="5"/>
      <c r="G42" s="5"/>
      <c r="J42" s="5"/>
      <c r="M42" s="51"/>
      <c r="N42" s="51"/>
    </row>
    <row r="43" spans="1:16" ht="15.75" customHeight="1">
      <c r="A43" s="51" t="s">
        <v>3827</v>
      </c>
      <c r="B43" s="60" t="s">
        <v>1188</v>
      </c>
      <c r="C43" s="51" t="s">
        <v>205</v>
      </c>
      <c r="D43" s="54"/>
      <c r="E43" s="5"/>
      <c r="F43" s="5"/>
      <c r="G43" s="5"/>
      <c r="J43" s="5"/>
      <c r="M43" s="51"/>
      <c r="N43" s="51"/>
    </row>
    <row r="44" spans="1:16" ht="15.75" customHeight="1">
      <c r="A44" s="51" t="s">
        <v>3828</v>
      </c>
      <c r="B44" s="60" t="s">
        <v>1875</v>
      </c>
      <c r="C44" s="51" t="s">
        <v>195</v>
      </c>
      <c r="D44" s="54"/>
      <c r="E44" s="5"/>
      <c r="F44" s="5"/>
      <c r="G44" s="5"/>
      <c r="J44" s="5"/>
      <c r="M44" s="51"/>
      <c r="N44" s="51"/>
    </row>
    <row r="45" spans="1:16" ht="15.75" customHeight="1">
      <c r="A45" s="51" t="s">
        <v>3829</v>
      </c>
      <c r="B45" s="60" t="s">
        <v>263</v>
      </c>
      <c r="C45" s="51" t="s">
        <v>195</v>
      </c>
      <c r="D45" s="54"/>
      <c r="E45" s="5"/>
      <c r="F45" s="5"/>
      <c r="G45" s="5"/>
      <c r="J45" s="5"/>
      <c r="M45" s="51"/>
      <c r="N45" s="51"/>
      <c r="P45" s="5"/>
    </row>
    <row r="46" spans="1:16" ht="15.75" customHeight="1">
      <c r="A46" s="51" t="s">
        <v>3830</v>
      </c>
      <c r="B46" s="60" t="s">
        <v>263</v>
      </c>
      <c r="C46" s="51" t="s">
        <v>195</v>
      </c>
      <c r="D46" s="54"/>
      <c r="E46" s="5"/>
      <c r="F46" s="5"/>
      <c r="G46" s="5"/>
      <c r="J46" s="5"/>
      <c r="M46" s="51"/>
      <c r="N46" s="51"/>
      <c r="P46" s="5"/>
    </row>
    <row r="47" spans="1:16" ht="15.75" customHeight="1">
      <c r="A47" s="51" t="s">
        <v>3831</v>
      </c>
      <c r="B47" s="60" t="s">
        <v>3137</v>
      </c>
      <c r="C47" s="51" t="s">
        <v>192</v>
      </c>
      <c r="D47" s="54"/>
      <c r="E47" s="5"/>
      <c r="F47" s="5"/>
      <c r="G47" s="5"/>
      <c r="J47" s="5"/>
      <c r="M47" s="5"/>
      <c r="N47" s="5"/>
      <c r="P47" s="5"/>
    </row>
    <row r="48" spans="1:16" ht="15.75" customHeight="1">
      <c r="A48" s="51" t="s">
        <v>3832</v>
      </c>
      <c r="B48" s="60" t="s">
        <v>1224</v>
      </c>
      <c r="C48" s="51" t="s">
        <v>192</v>
      </c>
      <c r="D48" s="54"/>
      <c r="E48" s="5"/>
      <c r="F48" s="5"/>
      <c r="G48" s="5"/>
      <c r="J48" s="5"/>
      <c r="M48" s="5"/>
      <c r="N48" s="5"/>
      <c r="P48" s="5"/>
    </row>
    <row r="49" spans="1:16" ht="15.75" customHeight="1">
      <c r="A49" s="51" t="s">
        <v>3833</v>
      </c>
      <c r="B49" s="60" t="s">
        <v>1242</v>
      </c>
      <c r="C49" s="51" t="s">
        <v>208</v>
      </c>
      <c r="D49" s="54"/>
      <c r="E49" s="5"/>
      <c r="F49" s="5"/>
      <c r="G49" s="5"/>
      <c r="J49" s="5"/>
      <c r="M49" s="5"/>
      <c r="N49" s="5"/>
      <c r="P49" s="5"/>
    </row>
    <row r="50" spans="1:16" ht="15.75" customHeight="1">
      <c r="A50" s="51" t="s">
        <v>3834</v>
      </c>
      <c r="B50" s="60" t="s">
        <v>291</v>
      </c>
      <c r="C50" s="51" t="s">
        <v>199</v>
      </c>
      <c r="D50" s="54"/>
      <c r="E50" s="5"/>
      <c r="F50" s="5"/>
      <c r="G50" s="5"/>
      <c r="J50" s="5"/>
      <c r="M50" s="5"/>
      <c r="N50" s="5"/>
      <c r="P50" s="5"/>
    </row>
    <row r="51" spans="1:16" ht="15.75" customHeight="1">
      <c r="A51" s="51" t="s">
        <v>3835</v>
      </c>
      <c r="B51" s="60" t="s">
        <v>235</v>
      </c>
      <c r="C51" s="51" t="s">
        <v>199</v>
      </c>
      <c r="D51" s="54"/>
      <c r="E51" s="5"/>
      <c r="F51" s="5"/>
      <c r="G51" s="5"/>
      <c r="J51" s="5"/>
      <c r="M51" s="5"/>
      <c r="N51" s="5"/>
      <c r="P51" s="5"/>
    </row>
    <row r="52" spans="1:16" ht="15.75" customHeight="1">
      <c r="A52" s="51" t="s">
        <v>3836</v>
      </c>
      <c r="B52" s="60" t="s">
        <v>1521</v>
      </c>
      <c r="C52" s="51" t="s">
        <v>197</v>
      </c>
      <c r="D52" s="54"/>
      <c r="E52" s="5"/>
      <c r="F52" s="5"/>
      <c r="G52" s="5"/>
      <c r="J52" s="5"/>
      <c r="M52" s="5"/>
      <c r="N52" s="5"/>
      <c r="P52" s="5"/>
    </row>
    <row r="53" spans="1:16" ht="13">
      <c r="A53" s="51" t="s">
        <v>3837</v>
      </c>
      <c r="B53" s="60" t="s">
        <v>3319</v>
      </c>
      <c r="C53" s="51" t="s">
        <v>205</v>
      </c>
      <c r="D53" s="54"/>
      <c r="E53" s="5"/>
      <c r="F53" s="5"/>
      <c r="G53" s="5"/>
      <c r="J53" s="5"/>
      <c r="M53" s="5"/>
      <c r="N53" s="5"/>
      <c r="P53" s="5"/>
    </row>
    <row r="54" spans="1:16" ht="13">
      <c r="A54" s="51" t="s">
        <v>3838</v>
      </c>
      <c r="B54" s="60" t="s">
        <v>3320</v>
      </c>
      <c r="C54" s="51" t="s">
        <v>225</v>
      </c>
      <c r="D54" s="54"/>
      <c r="E54" s="5"/>
      <c r="F54" s="5"/>
      <c r="G54" s="5"/>
      <c r="J54" s="5"/>
      <c r="M54" s="5"/>
      <c r="N54" s="5"/>
      <c r="P54" s="5"/>
    </row>
    <row r="55" spans="1:16" ht="13">
      <c r="A55" s="51" t="s">
        <v>3839</v>
      </c>
      <c r="B55" s="60" t="s">
        <v>3321</v>
      </c>
      <c r="C55" s="51" t="s">
        <v>220</v>
      </c>
      <c r="D55" s="54"/>
      <c r="E55" s="5"/>
      <c r="F55" s="5"/>
      <c r="G55" s="5"/>
      <c r="J55" s="5"/>
      <c r="M55" s="5"/>
      <c r="N55" s="5"/>
      <c r="P55" s="5"/>
    </row>
    <row r="56" spans="1:16" ht="13">
      <c r="A56" s="51" t="s">
        <v>3840</v>
      </c>
      <c r="B56" s="60" t="s">
        <v>1526</v>
      </c>
      <c r="C56" s="51" t="s">
        <v>197</v>
      </c>
      <c r="D56" s="54"/>
      <c r="E56" s="5"/>
      <c r="F56" s="5"/>
      <c r="G56" s="5"/>
      <c r="J56" s="5"/>
      <c r="M56" s="5"/>
      <c r="N56" s="5"/>
      <c r="P56" s="5"/>
    </row>
    <row r="57" spans="1:16" ht="13">
      <c r="A57" s="51" t="s">
        <v>3841</v>
      </c>
      <c r="B57" s="60" t="s">
        <v>253</v>
      </c>
      <c r="C57" s="51" t="s">
        <v>205</v>
      </c>
      <c r="D57" s="54"/>
      <c r="E57" s="5"/>
      <c r="F57" s="5"/>
      <c r="G57" s="5"/>
      <c r="J57" s="5"/>
      <c r="M57" s="5"/>
      <c r="N57" s="5"/>
      <c r="P57" s="5"/>
    </row>
    <row r="58" spans="1:16" ht="13">
      <c r="A58" s="51" t="s">
        <v>3842</v>
      </c>
      <c r="B58" s="60" t="s">
        <v>3245</v>
      </c>
      <c r="C58" s="51" t="s">
        <v>220</v>
      </c>
      <c r="D58" s="54"/>
      <c r="E58" s="5"/>
      <c r="F58" s="5"/>
      <c r="G58" s="5"/>
      <c r="J58" s="5"/>
      <c r="M58" s="5"/>
      <c r="N58" s="5"/>
      <c r="P58" s="5"/>
    </row>
    <row r="59" spans="1:16" ht="13">
      <c r="A59" s="51" t="s">
        <v>3843</v>
      </c>
      <c r="B59" s="60" t="s">
        <v>3025</v>
      </c>
      <c r="C59" s="51" t="s">
        <v>197</v>
      </c>
      <c r="D59" s="54"/>
      <c r="E59" s="5"/>
      <c r="F59" s="5"/>
      <c r="G59" s="5"/>
      <c r="J59" s="5"/>
      <c r="M59" s="5"/>
      <c r="N59" s="5"/>
      <c r="P59" s="5"/>
    </row>
    <row r="60" spans="1:16" ht="13">
      <c r="A60" s="51" t="s">
        <v>3844</v>
      </c>
      <c r="B60" s="60" t="s">
        <v>3322</v>
      </c>
      <c r="C60" s="51" t="s">
        <v>205</v>
      </c>
      <c r="D60" s="54"/>
      <c r="E60" s="5"/>
      <c r="F60" s="5"/>
      <c r="G60" s="5"/>
      <c r="J60" s="5"/>
      <c r="M60" s="5"/>
      <c r="N60" s="5"/>
      <c r="P60" s="5"/>
    </row>
    <row r="61" spans="1:16" ht="13">
      <c r="A61" s="51" t="s">
        <v>3845</v>
      </c>
      <c r="B61" s="60" t="s">
        <v>3323</v>
      </c>
      <c r="C61" s="51" t="s">
        <v>225</v>
      </c>
      <c r="D61" s="54"/>
      <c r="E61" s="5"/>
      <c r="F61" s="5"/>
      <c r="G61" s="5"/>
      <c r="J61" s="5"/>
      <c r="M61" s="5"/>
      <c r="N61" s="5"/>
      <c r="P61" s="5"/>
    </row>
    <row r="62" spans="1:16" ht="13">
      <c r="A62" s="51" t="s">
        <v>3846</v>
      </c>
      <c r="B62" s="60" t="s">
        <v>3324</v>
      </c>
      <c r="C62" s="51" t="s">
        <v>220</v>
      </c>
      <c r="D62" s="54"/>
      <c r="E62" s="5"/>
      <c r="F62" s="5"/>
      <c r="G62" s="5"/>
      <c r="J62" s="5"/>
      <c r="M62" s="5"/>
      <c r="N62" s="5"/>
      <c r="P62" s="5"/>
    </row>
    <row r="63" spans="1:16" ht="13">
      <c r="A63" s="51" t="s">
        <v>3847</v>
      </c>
      <c r="B63" s="60" t="s">
        <v>278</v>
      </c>
      <c r="C63" s="51" t="s">
        <v>199</v>
      </c>
      <c r="D63" s="54"/>
      <c r="E63" s="5"/>
      <c r="F63" s="5"/>
      <c r="G63" s="5"/>
      <c r="J63" s="5"/>
      <c r="M63" s="5"/>
      <c r="N63" s="5"/>
      <c r="P63" s="5"/>
    </row>
    <row r="64" spans="1:16" ht="13">
      <c r="A64" s="51" t="s">
        <v>3848</v>
      </c>
      <c r="B64" s="60" t="s">
        <v>3145</v>
      </c>
      <c r="C64" s="51" t="s">
        <v>205</v>
      </c>
      <c r="D64" s="54"/>
      <c r="E64" s="5"/>
      <c r="F64" s="5"/>
      <c r="G64" s="5"/>
      <c r="J64" s="5"/>
      <c r="M64" s="5"/>
      <c r="N64" s="5"/>
      <c r="P64" s="5"/>
    </row>
    <row r="65" spans="1:16" ht="13">
      <c r="A65" s="51" t="s">
        <v>3849</v>
      </c>
      <c r="B65" s="60" t="s">
        <v>3250</v>
      </c>
      <c r="C65" s="51" t="s">
        <v>225</v>
      </c>
      <c r="D65" s="54"/>
      <c r="E65" s="5"/>
      <c r="F65" s="5"/>
      <c r="G65" s="5"/>
      <c r="J65" s="5"/>
      <c r="M65" s="5"/>
      <c r="N65" s="5"/>
      <c r="P65" s="5"/>
    </row>
    <row r="66" spans="1:16" ht="13">
      <c r="A66" s="51" t="s">
        <v>3850</v>
      </c>
      <c r="B66" s="60" t="s">
        <v>1257</v>
      </c>
      <c r="C66" s="51" t="s">
        <v>192</v>
      </c>
      <c r="D66" s="51"/>
      <c r="E66" s="5"/>
      <c r="F66" s="5"/>
      <c r="G66" s="5"/>
      <c r="J66" s="5"/>
      <c r="M66" s="5"/>
      <c r="N66" s="5"/>
      <c r="P66" s="5"/>
    </row>
    <row r="67" spans="1:16" ht="13">
      <c r="A67" s="51" t="s">
        <v>3851</v>
      </c>
      <c r="B67" s="60" t="s">
        <v>1257</v>
      </c>
      <c r="C67" s="51" t="s">
        <v>192</v>
      </c>
      <c r="D67" s="54"/>
      <c r="E67" s="5"/>
      <c r="F67" s="5"/>
      <c r="G67" s="5"/>
      <c r="J67" s="5"/>
      <c r="M67" s="5"/>
      <c r="N67" s="5"/>
      <c r="P67" s="5"/>
    </row>
    <row r="68" spans="1:16" ht="13">
      <c r="A68" s="51" t="s">
        <v>3852</v>
      </c>
      <c r="B68" s="60" t="s">
        <v>282</v>
      </c>
      <c r="C68" s="51" t="s">
        <v>195</v>
      </c>
      <c r="D68" s="54"/>
      <c r="E68" s="5"/>
      <c r="F68" s="5"/>
      <c r="G68" s="5"/>
      <c r="J68" s="5"/>
      <c r="M68" s="5"/>
      <c r="N68" s="5"/>
      <c r="P68" s="5"/>
    </row>
    <row r="69" spans="1:16" ht="13">
      <c r="A69" s="51" t="s">
        <v>3853</v>
      </c>
      <c r="B69" s="60" t="s">
        <v>380</v>
      </c>
      <c r="C69" s="51" t="s">
        <v>225</v>
      </c>
      <c r="D69" s="54"/>
      <c r="E69" s="5"/>
      <c r="F69" s="5"/>
      <c r="G69" s="5"/>
      <c r="J69" s="5"/>
      <c r="M69" s="5"/>
      <c r="N69" s="5"/>
      <c r="P69" s="5"/>
    </row>
    <row r="70" spans="1:16" ht="13">
      <c r="A70" s="51" t="s">
        <v>3854</v>
      </c>
      <c r="B70" s="60" t="s">
        <v>1875</v>
      </c>
      <c r="C70" s="51" t="s">
        <v>195</v>
      </c>
      <c r="D70" s="54"/>
      <c r="E70" s="51"/>
      <c r="F70" s="5"/>
      <c r="G70" s="5"/>
      <c r="J70" s="5"/>
      <c r="M70" s="5"/>
      <c r="N70" s="5"/>
      <c r="P70" s="5"/>
    </row>
    <row r="71" spans="1:16" ht="13">
      <c r="A71" s="51" t="s">
        <v>3855</v>
      </c>
      <c r="B71" s="60" t="s">
        <v>383</v>
      </c>
      <c r="C71" s="51" t="s">
        <v>225</v>
      </c>
      <c r="D71" s="5"/>
      <c r="J71" s="5"/>
      <c r="M71" s="5"/>
      <c r="N71" s="5"/>
      <c r="P71" s="5"/>
    </row>
    <row r="72" spans="1:16" ht="13">
      <c r="A72" s="51" t="s">
        <v>3856</v>
      </c>
      <c r="B72" s="60" t="s">
        <v>1294</v>
      </c>
      <c r="C72" s="51" t="s">
        <v>225</v>
      </c>
      <c r="D72" s="54"/>
      <c r="E72" s="5"/>
      <c r="F72" s="5"/>
      <c r="G72" s="5"/>
      <c r="J72" s="5"/>
      <c r="M72" s="5"/>
      <c r="N72" s="5"/>
      <c r="P72" s="5"/>
    </row>
    <row r="73" spans="1:16" ht="13">
      <c r="A73" s="51" t="s">
        <v>3857</v>
      </c>
      <c r="B73" s="60" t="s">
        <v>1240</v>
      </c>
      <c r="C73" s="51" t="s">
        <v>225</v>
      </c>
      <c r="D73" s="54"/>
      <c r="E73" s="5"/>
      <c r="F73" s="5"/>
      <c r="G73" s="5"/>
      <c r="J73" s="5"/>
      <c r="M73" s="5"/>
      <c r="N73" s="5"/>
      <c r="P73" s="5"/>
    </row>
    <row r="74" spans="1:16" ht="13">
      <c r="A74" s="51" t="s">
        <v>3858</v>
      </c>
      <c r="B74" s="60" t="s">
        <v>385</v>
      </c>
      <c r="C74" s="51" t="s">
        <v>208</v>
      </c>
      <c r="D74" s="54"/>
      <c r="E74" s="5"/>
      <c r="F74" s="5"/>
      <c r="G74" s="5"/>
      <c r="J74" s="5"/>
      <c r="M74" s="5"/>
      <c r="N74" s="5"/>
      <c r="P74" s="5"/>
    </row>
    <row r="75" spans="1:16" ht="13">
      <c r="A75" s="51" t="s">
        <v>3859</v>
      </c>
      <c r="B75" s="60" t="s">
        <v>191</v>
      </c>
      <c r="C75" s="51" t="s">
        <v>192</v>
      </c>
      <c r="D75" s="54"/>
      <c r="E75" s="5"/>
      <c r="F75" s="5"/>
      <c r="G75" s="5"/>
      <c r="J75" s="5"/>
      <c r="M75" s="5"/>
      <c r="N75" s="5"/>
      <c r="P75" s="5"/>
    </row>
    <row r="76" spans="1:16" ht="13">
      <c r="A76" s="51" t="s">
        <v>3860</v>
      </c>
      <c r="B76" s="60" t="s">
        <v>291</v>
      </c>
      <c r="C76" s="51" t="s">
        <v>199</v>
      </c>
      <c r="D76" s="51"/>
      <c r="E76" s="5"/>
      <c r="F76" s="5"/>
      <c r="G76" s="5"/>
      <c r="J76" s="5"/>
      <c r="M76" s="5"/>
      <c r="N76" s="5"/>
      <c r="P76" s="5"/>
    </row>
    <row r="77" spans="1:16" ht="13">
      <c r="A77" s="51" t="s">
        <v>3861</v>
      </c>
      <c r="B77" s="60" t="s">
        <v>292</v>
      </c>
      <c r="C77" s="51" t="s">
        <v>197</v>
      </c>
      <c r="D77" s="54"/>
      <c r="E77" s="5"/>
      <c r="F77" s="5"/>
      <c r="G77" s="5"/>
      <c r="J77" s="5"/>
      <c r="M77" s="5"/>
      <c r="N77" s="5"/>
      <c r="P77" s="5"/>
    </row>
    <row r="78" spans="1:16" ht="13">
      <c r="A78" s="51" t="s">
        <v>3862</v>
      </c>
      <c r="B78" s="60" t="s">
        <v>3043</v>
      </c>
      <c r="C78" s="51" t="s">
        <v>192</v>
      </c>
      <c r="D78" s="51"/>
      <c r="E78" s="5"/>
      <c r="F78" s="5"/>
      <c r="G78" s="5"/>
      <c r="J78" s="5"/>
      <c r="M78" s="5"/>
      <c r="N78" s="5"/>
      <c r="P78" s="5"/>
    </row>
    <row r="79" spans="1:16" ht="13">
      <c r="A79" s="51" t="s">
        <v>3863</v>
      </c>
      <c r="B79" s="60" t="s">
        <v>1550</v>
      </c>
      <c r="C79" s="51" t="s">
        <v>208</v>
      </c>
      <c r="D79" s="51"/>
      <c r="E79" s="5"/>
      <c r="F79" s="5"/>
      <c r="G79" s="5"/>
      <c r="J79" s="5"/>
      <c r="M79" s="5"/>
      <c r="N79" s="5"/>
      <c r="P79" s="5"/>
    </row>
    <row r="80" spans="1:16" ht="13">
      <c r="A80" s="51" t="s">
        <v>3864</v>
      </c>
      <c r="B80" s="60" t="s">
        <v>297</v>
      </c>
      <c r="C80" s="51" t="s">
        <v>205</v>
      </c>
      <c r="D80" s="51"/>
      <c r="E80" s="5"/>
      <c r="F80" s="5"/>
      <c r="G80" s="5"/>
      <c r="J80" s="5"/>
      <c r="M80" s="5"/>
      <c r="N80" s="5"/>
      <c r="P80" s="5"/>
    </row>
    <row r="81" spans="1:16" ht="13">
      <c r="A81" s="51" t="s">
        <v>3865</v>
      </c>
      <c r="B81" s="60" t="s">
        <v>297</v>
      </c>
      <c r="C81" s="51" t="s">
        <v>205</v>
      </c>
      <c r="D81" s="54"/>
      <c r="E81" s="5"/>
      <c r="F81" s="5"/>
      <c r="G81" s="5"/>
      <c r="J81" s="5"/>
      <c r="M81" s="5"/>
      <c r="N81" s="5"/>
      <c r="P81" s="5"/>
    </row>
    <row r="82" spans="1:16" ht="13">
      <c r="A82" s="51" t="s">
        <v>3866</v>
      </c>
      <c r="B82" s="60" t="s">
        <v>1187</v>
      </c>
      <c r="C82" s="51" t="s">
        <v>205</v>
      </c>
      <c r="D82" s="54"/>
      <c r="E82" s="5"/>
      <c r="F82" s="5"/>
      <c r="G82" s="5"/>
      <c r="J82" s="5"/>
      <c r="M82" s="5"/>
      <c r="N82" s="5"/>
      <c r="P82" s="5"/>
    </row>
    <row r="83" spans="1:16" ht="13">
      <c r="A83" s="51" t="s">
        <v>3867</v>
      </c>
      <c r="B83" s="60" t="s">
        <v>1187</v>
      </c>
      <c r="C83" s="51" t="s">
        <v>205</v>
      </c>
      <c r="D83" s="54"/>
      <c r="E83" s="5"/>
      <c r="F83" s="5"/>
      <c r="G83" s="5"/>
      <c r="J83" s="5"/>
      <c r="M83" s="5"/>
      <c r="N83" s="5"/>
      <c r="P83" s="5"/>
    </row>
    <row r="84" spans="1:16" ht="13">
      <c r="A84" s="51" t="s">
        <v>3868</v>
      </c>
      <c r="B84" s="60" t="s">
        <v>1321</v>
      </c>
      <c r="C84" s="51" t="s">
        <v>208</v>
      </c>
      <c r="D84" s="54"/>
      <c r="E84" s="5"/>
      <c r="F84" s="5"/>
      <c r="G84" s="5"/>
      <c r="J84" s="5"/>
      <c r="M84" s="5"/>
      <c r="N84" s="5"/>
      <c r="P84" s="5"/>
    </row>
    <row r="85" spans="1:16" ht="13">
      <c r="A85" s="51" t="s">
        <v>3869</v>
      </c>
      <c r="B85" s="60" t="s">
        <v>1321</v>
      </c>
      <c r="C85" s="51" t="s">
        <v>208</v>
      </c>
      <c r="D85" s="54"/>
      <c r="E85" s="5"/>
      <c r="F85" s="5"/>
      <c r="G85" s="5"/>
      <c r="J85" s="5"/>
      <c r="M85" s="5"/>
      <c r="N85" s="5"/>
      <c r="P85" s="5"/>
    </row>
    <row r="86" spans="1:16" ht="13">
      <c r="A86" s="51" t="s">
        <v>3870</v>
      </c>
      <c r="B86" s="60" t="s">
        <v>3106</v>
      </c>
      <c r="C86" s="51" t="s">
        <v>206</v>
      </c>
      <c r="D86" s="54"/>
      <c r="E86" s="5"/>
      <c r="F86" s="5"/>
      <c r="G86" s="5"/>
      <c r="J86" s="5"/>
      <c r="M86" s="5"/>
      <c r="N86" s="5"/>
      <c r="P86" s="5"/>
    </row>
    <row r="87" spans="1:16" ht="13">
      <c r="A87" s="51" t="s">
        <v>3871</v>
      </c>
      <c r="B87" s="60" t="s">
        <v>3872</v>
      </c>
      <c r="C87" s="51" t="s">
        <v>206</v>
      </c>
      <c r="D87" s="54"/>
      <c r="E87" s="5"/>
      <c r="F87" s="5"/>
      <c r="G87" s="5"/>
      <c r="J87" s="5"/>
      <c r="M87" s="5"/>
      <c r="N87" s="5"/>
      <c r="P87" s="5"/>
    </row>
    <row r="88" spans="1:16" ht="13">
      <c r="A88" s="51" t="s">
        <v>3873</v>
      </c>
      <c r="B88" s="60" t="s">
        <v>1596</v>
      </c>
      <c r="C88" s="51" t="s">
        <v>206</v>
      </c>
      <c r="D88" s="54"/>
      <c r="E88" s="5"/>
      <c r="F88" s="5"/>
      <c r="G88" s="5"/>
      <c r="J88" s="5"/>
      <c r="M88" s="5"/>
      <c r="N88" s="5"/>
      <c r="P88" s="5"/>
    </row>
    <row r="89" spans="1:16" ht="13">
      <c r="A89" s="51" t="s">
        <v>3874</v>
      </c>
      <c r="B89" s="60" t="s">
        <v>3875</v>
      </c>
      <c r="C89" s="51" t="s">
        <v>1013</v>
      </c>
      <c r="D89" s="54"/>
      <c r="E89" s="5"/>
      <c r="F89" s="5"/>
      <c r="G89" s="5"/>
      <c r="J89" s="5"/>
      <c r="M89" s="5"/>
      <c r="N89" s="5"/>
      <c r="P89" s="5"/>
    </row>
    <row r="90" spans="1:16" ht="13">
      <c r="A90" s="51" t="s">
        <v>3876</v>
      </c>
      <c r="B90" s="60" t="s">
        <v>1017</v>
      </c>
      <c r="C90" s="51" t="s">
        <v>206</v>
      </c>
      <c r="D90" s="54"/>
      <c r="E90" s="5"/>
      <c r="F90" s="5"/>
      <c r="G90" s="5"/>
      <c r="J90" s="5"/>
      <c r="M90" s="5"/>
      <c r="N90" s="5"/>
      <c r="P90" s="5"/>
    </row>
    <row r="91" spans="1:16" ht="13">
      <c r="A91" s="51" t="s">
        <v>3877</v>
      </c>
      <c r="B91" s="60" t="s">
        <v>3878</v>
      </c>
      <c r="C91" s="51" t="s">
        <v>206</v>
      </c>
      <c r="D91" s="54"/>
      <c r="E91" s="5"/>
      <c r="F91" s="5"/>
      <c r="G91" s="5"/>
      <c r="J91" s="5"/>
      <c r="M91" s="5"/>
      <c r="N91" s="5"/>
      <c r="P91" s="5"/>
    </row>
    <row r="92" spans="1:16" ht="13">
      <c r="A92" s="51" t="s">
        <v>3879</v>
      </c>
      <c r="B92" s="60" t="s">
        <v>3880</v>
      </c>
      <c r="C92" s="51" t="s">
        <v>206</v>
      </c>
      <c r="D92" s="54"/>
      <c r="E92" s="5"/>
      <c r="F92" s="5"/>
      <c r="G92" s="5"/>
      <c r="J92" s="5"/>
      <c r="M92" s="5"/>
      <c r="N92" s="5"/>
      <c r="P92" s="5"/>
    </row>
    <row r="93" spans="1:16" ht="13">
      <c r="A93" s="51" t="s">
        <v>3881</v>
      </c>
      <c r="B93" s="60" t="s">
        <v>3358</v>
      </c>
      <c r="C93" s="51" t="s">
        <v>206</v>
      </c>
      <c r="D93" s="54"/>
      <c r="E93" s="5"/>
      <c r="F93" s="5"/>
      <c r="G93" s="5"/>
      <c r="J93" s="5"/>
      <c r="M93" s="5"/>
      <c r="N93" s="5"/>
      <c r="P93" s="5"/>
    </row>
    <row r="94" spans="1:16" ht="13">
      <c r="A94" s="51" t="s">
        <v>3882</v>
      </c>
      <c r="B94" s="60" t="s">
        <v>3327</v>
      </c>
      <c r="C94" s="51" t="s">
        <v>1013</v>
      </c>
      <c r="D94" s="54"/>
      <c r="E94" s="5"/>
      <c r="F94" s="5"/>
      <c r="G94" s="5"/>
      <c r="J94" s="5"/>
      <c r="M94" s="5"/>
      <c r="N94" s="5"/>
      <c r="P94" s="5"/>
    </row>
    <row r="95" spans="1:16" ht="13">
      <c r="A95" s="51" t="s">
        <v>3883</v>
      </c>
      <c r="B95" s="60" t="s">
        <v>3108</v>
      </c>
      <c r="C95" s="51" t="s">
        <v>229</v>
      </c>
      <c r="D95" s="54"/>
      <c r="E95" s="5"/>
      <c r="F95" s="5"/>
      <c r="G95" s="5"/>
      <c r="J95" s="5"/>
      <c r="M95" s="5"/>
      <c r="N95" s="5"/>
      <c r="P95" s="5"/>
    </row>
    <row r="96" spans="1:16" ht="13">
      <c r="A96" s="51" t="s">
        <v>3884</v>
      </c>
      <c r="B96" s="60" t="s">
        <v>3359</v>
      </c>
      <c r="C96" s="51" t="s">
        <v>206</v>
      </c>
      <c r="D96" s="54"/>
      <c r="E96" s="5"/>
      <c r="F96" s="5"/>
      <c r="G96" s="5"/>
      <c r="J96" s="5"/>
      <c r="M96" s="5"/>
      <c r="N96" s="5"/>
      <c r="P96" s="5"/>
    </row>
    <row r="97" spans="1:16" ht="13">
      <c r="A97" s="51" t="s">
        <v>3885</v>
      </c>
      <c r="B97" s="60" t="s">
        <v>3360</v>
      </c>
      <c r="C97" s="51" t="s">
        <v>206</v>
      </c>
      <c r="D97" s="54"/>
      <c r="E97" s="5"/>
      <c r="F97" s="5"/>
      <c r="G97" s="5"/>
      <c r="J97" s="5"/>
      <c r="M97" s="5"/>
      <c r="N97" s="5"/>
      <c r="P97" s="5"/>
    </row>
    <row r="98" spans="1:16" ht="13">
      <c r="A98" s="51" t="s">
        <v>3886</v>
      </c>
      <c r="B98" s="60" t="s">
        <v>3104</v>
      </c>
      <c r="C98" s="51" t="s">
        <v>197</v>
      </c>
      <c r="D98" s="54"/>
      <c r="E98" s="5"/>
      <c r="F98" s="5"/>
      <c r="G98" s="5"/>
      <c r="J98" s="5"/>
      <c r="M98" s="5"/>
      <c r="N98" s="5"/>
      <c r="P98" s="5"/>
    </row>
    <row r="99" spans="1:16" ht="13">
      <c r="A99" s="51" t="s">
        <v>3887</v>
      </c>
      <c r="B99" s="60" t="s">
        <v>3104</v>
      </c>
      <c r="C99" s="51" t="s">
        <v>197</v>
      </c>
      <c r="D99" s="54"/>
      <c r="E99" s="5"/>
      <c r="F99" s="5"/>
      <c r="G99" s="5"/>
      <c r="J99" s="5"/>
      <c r="M99" s="5"/>
      <c r="N99" s="5"/>
      <c r="P99" s="5"/>
    </row>
    <row r="100" spans="1:16" ht="13">
      <c r="A100" s="51" t="s">
        <v>3888</v>
      </c>
      <c r="B100" s="60" t="s">
        <v>3104</v>
      </c>
      <c r="C100" s="51" t="s">
        <v>197</v>
      </c>
      <c r="D100" s="54"/>
      <c r="E100" s="5"/>
      <c r="F100" s="5"/>
      <c r="G100" s="5"/>
      <c r="J100" s="5"/>
      <c r="M100" s="5"/>
      <c r="N100" s="5"/>
      <c r="P100" s="5"/>
    </row>
    <row r="101" spans="1:16" ht="13">
      <c r="A101" s="51" t="s">
        <v>3889</v>
      </c>
      <c r="B101" s="60" t="s">
        <v>3890</v>
      </c>
      <c r="C101" s="51" t="s">
        <v>195</v>
      </c>
      <c r="D101" s="54"/>
      <c r="E101" s="5"/>
      <c r="F101" s="5"/>
      <c r="G101" s="5"/>
      <c r="J101" s="5"/>
      <c r="M101" s="5"/>
      <c r="N101" s="5"/>
      <c r="P101" s="5"/>
    </row>
    <row r="102" spans="1:16" ht="13">
      <c r="A102" s="51" t="s">
        <v>3891</v>
      </c>
      <c r="B102" s="60" t="s">
        <v>3892</v>
      </c>
      <c r="C102" s="51" t="s">
        <v>197</v>
      </c>
      <c r="D102" s="54"/>
      <c r="E102" s="51"/>
      <c r="F102" s="5"/>
      <c r="G102" s="5"/>
      <c r="J102" s="5"/>
      <c r="M102" s="5"/>
      <c r="N102" s="5"/>
      <c r="P102" s="5"/>
    </row>
    <row r="103" spans="1:16" ht="13">
      <c r="A103" s="51" t="s">
        <v>3893</v>
      </c>
      <c r="B103" s="60" t="s">
        <v>3894</v>
      </c>
      <c r="C103" s="51" t="s">
        <v>205</v>
      </c>
      <c r="D103" s="54"/>
      <c r="E103" s="5"/>
      <c r="F103" s="5"/>
      <c r="G103" s="5"/>
      <c r="J103" s="5"/>
      <c r="M103" s="5"/>
      <c r="N103" s="5"/>
      <c r="P103" s="5"/>
    </row>
    <row r="104" spans="1:16" ht="13">
      <c r="A104" s="51" t="s">
        <v>3895</v>
      </c>
      <c r="B104" s="60" t="s">
        <v>1526</v>
      </c>
      <c r="C104" s="51" t="s">
        <v>197</v>
      </c>
      <c r="D104" s="54"/>
      <c r="E104" s="5"/>
      <c r="F104" s="5"/>
      <c r="G104" s="5"/>
      <c r="J104" s="5"/>
      <c r="M104" s="5"/>
      <c r="N104" s="5"/>
      <c r="P104" s="5"/>
    </row>
    <row r="105" spans="1:16" ht="13">
      <c r="A105" s="51" t="s">
        <v>3896</v>
      </c>
      <c r="B105" s="60" t="s">
        <v>291</v>
      </c>
      <c r="C105" s="51" t="s">
        <v>199</v>
      </c>
      <c r="D105" s="54"/>
      <c r="E105" s="5"/>
      <c r="F105" s="5"/>
      <c r="G105" s="5"/>
      <c r="J105" s="5"/>
      <c r="M105" s="5"/>
      <c r="N105" s="5"/>
      <c r="P105" s="5"/>
    </row>
    <row r="106" spans="1:16" ht="13">
      <c r="A106" s="51" t="s">
        <v>3897</v>
      </c>
      <c r="B106" s="60" t="s">
        <v>3043</v>
      </c>
      <c r="C106" s="51" t="s">
        <v>192</v>
      </c>
      <c r="D106" s="54"/>
      <c r="E106" s="5"/>
      <c r="F106" s="5"/>
      <c r="G106" s="5"/>
      <c r="J106" s="5"/>
      <c r="M106" s="5"/>
      <c r="N106" s="5"/>
      <c r="P106" s="5"/>
    </row>
    <row r="107" spans="1:16" ht="13">
      <c r="C107" s="54"/>
      <c r="D107" s="54"/>
      <c r="E107" s="5"/>
      <c r="F107" s="5"/>
      <c r="G107" s="5"/>
      <c r="J107" s="5"/>
      <c r="M107" s="5"/>
      <c r="N107" s="5"/>
      <c r="P107" s="5"/>
    </row>
    <row r="108" spans="1:16" ht="13">
      <c r="A108" s="62" t="s">
        <v>3898</v>
      </c>
      <c r="C108" s="54"/>
      <c r="D108" s="54"/>
      <c r="E108" s="5"/>
      <c r="F108" s="5"/>
      <c r="G108" s="5"/>
      <c r="J108" s="5"/>
      <c r="M108" s="5"/>
      <c r="N108" s="5"/>
      <c r="P108" s="5"/>
    </row>
    <row r="109" spans="1:16" ht="13">
      <c r="A109" s="51" t="s">
        <v>3899</v>
      </c>
      <c r="B109" s="60" t="s">
        <v>56</v>
      </c>
      <c r="C109" s="51" t="s">
        <v>808</v>
      </c>
      <c r="D109" s="54"/>
      <c r="E109" s="5"/>
      <c r="F109" s="5"/>
      <c r="G109" s="5"/>
      <c r="J109" s="5"/>
      <c r="M109" s="5"/>
      <c r="N109" s="5"/>
      <c r="P109" s="5"/>
    </row>
    <row r="110" spans="1:16" ht="13">
      <c r="A110" s="51" t="s">
        <v>3900</v>
      </c>
      <c r="B110" s="60" t="s">
        <v>56</v>
      </c>
      <c r="C110" s="51" t="s">
        <v>205</v>
      </c>
      <c r="E110" s="5"/>
      <c r="F110" s="5"/>
      <c r="G110" s="5"/>
      <c r="J110" s="5"/>
      <c r="M110" s="5"/>
      <c r="N110" s="5"/>
      <c r="P110" s="5"/>
    </row>
    <row r="111" spans="1:16" ht="13">
      <c r="A111" s="51" t="s">
        <v>3901</v>
      </c>
      <c r="B111" s="60" t="s">
        <v>56</v>
      </c>
      <c r="C111" s="51" t="s">
        <v>199</v>
      </c>
      <c r="D111" s="54"/>
      <c r="E111" s="5"/>
      <c r="F111" s="5"/>
      <c r="G111" s="5"/>
      <c r="J111" s="5"/>
      <c r="M111" s="5"/>
      <c r="N111" s="5"/>
      <c r="P111" s="5"/>
    </row>
    <row r="112" spans="1:16" ht="13">
      <c r="A112" s="51" t="s">
        <v>3902</v>
      </c>
      <c r="B112" s="60" t="s">
        <v>56</v>
      </c>
      <c r="C112" s="51" t="s">
        <v>208</v>
      </c>
      <c r="D112" s="54"/>
      <c r="E112" s="51"/>
      <c r="F112" s="5"/>
      <c r="G112" s="5"/>
      <c r="J112" s="5"/>
      <c r="M112" s="5"/>
      <c r="N112" s="5"/>
      <c r="P112" s="5"/>
    </row>
    <row r="113" spans="1:16" ht="13">
      <c r="A113" s="51" t="s">
        <v>3903</v>
      </c>
      <c r="B113" s="60" t="s">
        <v>56</v>
      </c>
      <c r="C113" s="51" t="s">
        <v>197</v>
      </c>
      <c r="D113" s="54"/>
      <c r="E113" s="5"/>
      <c r="F113" s="5"/>
      <c r="G113" s="5"/>
      <c r="J113" s="5"/>
      <c r="M113" s="5"/>
      <c r="N113" s="5"/>
      <c r="P113" s="5"/>
    </row>
    <row r="114" spans="1:16" ht="13">
      <c r="A114" s="51" t="s">
        <v>3904</v>
      </c>
      <c r="B114" s="60" t="s">
        <v>56</v>
      </c>
      <c r="C114" s="51" t="s">
        <v>192</v>
      </c>
      <c r="D114" s="54"/>
      <c r="E114" s="5"/>
      <c r="F114" s="51"/>
      <c r="G114" s="5"/>
      <c r="J114" s="5"/>
      <c r="M114" s="5"/>
      <c r="N114" s="5"/>
      <c r="P114" s="5"/>
    </row>
    <row r="115" spans="1:16" ht="13">
      <c r="A115" s="51" t="s">
        <v>3905</v>
      </c>
      <c r="B115" s="60" t="s">
        <v>56</v>
      </c>
      <c r="C115" s="51" t="s">
        <v>195</v>
      </c>
      <c r="D115" s="54"/>
      <c r="E115" s="5"/>
      <c r="F115" s="5"/>
      <c r="G115" s="5"/>
      <c r="J115" s="5"/>
      <c r="M115" s="5"/>
      <c r="N115" s="5"/>
      <c r="P115" s="5"/>
    </row>
    <row r="116" spans="1:16" ht="13">
      <c r="A116" s="51" t="s">
        <v>3906</v>
      </c>
      <c r="B116" s="60" t="s">
        <v>56</v>
      </c>
      <c r="C116" s="51" t="s">
        <v>225</v>
      </c>
      <c r="D116" s="51"/>
      <c r="E116" s="5"/>
      <c r="F116" s="5"/>
      <c r="G116" s="5"/>
      <c r="J116" s="5"/>
      <c r="M116" s="5"/>
      <c r="N116" s="5"/>
      <c r="P116" s="5"/>
    </row>
    <row r="117" spans="1:16" ht="13">
      <c r="A117" s="51" t="s">
        <v>3907</v>
      </c>
      <c r="B117" s="60" t="s">
        <v>56</v>
      </c>
      <c r="C117" s="51" t="s">
        <v>220</v>
      </c>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3"/>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3"/>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300-000000000000}"/>
    <hyperlink ref="B6" r:id="rId2" xr:uid="{00000000-0004-0000-3300-000001000000}"/>
    <hyperlink ref="B7" r:id="rId3" xr:uid="{00000000-0004-0000-3300-000002000000}"/>
    <hyperlink ref="B8" r:id="rId4" xr:uid="{00000000-0004-0000-3300-000003000000}"/>
    <hyperlink ref="B9" r:id="rId5" xr:uid="{00000000-0004-0000-3300-000004000000}"/>
    <hyperlink ref="B10" r:id="rId6" xr:uid="{00000000-0004-0000-3300-000005000000}"/>
    <hyperlink ref="B11" r:id="rId7" xr:uid="{00000000-0004-0000-3300-000006000000}"/>
    <hyperlink ref="B12" r:id="rId8" xr:uid="{00000000-0004-0000-3300-000007000000}"/>
    <hyperlink ref="B13" r:id="rId9" xr:uid="{00000000-0004-0000-3300-000008000000}"/>
    <hyperlink ref="B14" r:id="rId10" xr:uid="{00000000-0004-0000-3300-000009000000}"/>
    <hyperlink ref="B15" r:id="rId11" xr:uid="{00000000-0004-0000-3300-00000A000000}"/>
    <hyperlink ref="B16" r:id="rId12" xr:uid="{00000000-0004-0000-3300-00000B000000}"/>
    <hyperlink ref="B17" r:id="rId13" xr:uid="{00000000-0004-0000-3300-00000C000000}"/>
    <hyperlink ref="B18" r:id="rId14" xr:uid="{00000000-0004-0000-3300-00000D000000}"/>
    <hyperlink ref="B19" r:id="rId15" xr:uid="{00000000-0004-0000-3300-00000E000000}"/>
    <hyperlink ref="B20" r:id="rId16" xr:uid="{00000000-0004-0000-3300-00000F000000}"/>
    <hyperlink ref="B21" r:id="rId17" xr:uid="{00000000-0004-0000-3300-000010000000}"/>
    <hyperlink ref="B22" r:id="rId18" xr:uid="{00000000-0004-0000-3300-000011000000}"/>
    <hyperlink ref="B23" r:id="rId19" xr:uid="{00000000-0004-0000-3300-000012000000}"/>
    <hyperlink ref="B24" r:id="rId20" xr:uid="{00000000-0004-0000-3300-000013000000}"/>
    <hyperlink ref="B25" r:id="rId21" xr:uid="{00000000-0004-0000-3300-000014000000}"/>
    <hyperlink ref="B26" r:id="rId22" xr:uid="{00000000-0004-0000-3300-000015000000}"/>
    <hyperlink ref="B27" r:id="rId23" xr:uid="{00000000-0004-0000-3300-000016000000}"/>
    <hyperlink ref="B28" r:id="rId24" xr:uid="{00000000-0004-0000-3300-000017000000}"/>
    <hyperlink ref="B29" r:id="rId25" xr:uid="{00000000-0004-0000-3300-000018000000}"/>
    <hyperlink ref="B30" r:id="rId26" xr:uid="{00000000-0004-0000-3300-000019000000}"/>
    <hyperlink ref="B31" r:id="rId27" xr:uid="{00000000-0004-0000-3300-00001A000000}"/>
    <hyperlink ref="B32" r:id="rId28" xr:uid="{00000000-0004-0000-3300-00001B000000}"/>
    <hyperlink ref="B33" r:id="rId29" xr:uid="{00000000-0004-0000-3300-00001C000000}"/>
    <hyperlink ref="B34" r:id="rId30" xr:uid="{00000000-0004-0000-3300-00001D000000}"/>
    <hyperlink ref="B35" r:id="rId31" xr:uid="{00000000-0004-0000-3300-00001E000000}"/>
    <hyperlink ref="B36" r:id="rId32" xr:uid="{00000000-0004-0000-3300-00001F000000}"/>
    <hyperlink ref="B37" r:id="rId33" xr:uid="{00000000-0004-0000-3300-000020000000}"/>
    <hyperlink ref="B38" r:id="rId34" xr:uid="{00000000-0004-0000-3300-000021000000}"/>
    <hyperlink ref="B39" r:id="rId35" xr:uid="{00000000-0004-0000-3300-000022000000}"/>
    <hyperlink ref="B40" r:id="rId36" xr:uid="{00000000-0004-0000-3300-000023000000}"/>
    <hyperlink ref="B41" r:id="rId37" xr:uid="{00000000-0004-0000-3300-000024000000}"/>
    <hyperlink ref="B42" r:id="rId38" xr:uid="{00000000-0004-0000-3300-000025000000}"/>
    <hyperlink ref="B43" r:id="rId39" xr:uid="{00000000-0004-0000-3300-000026000000}"/>
    <hyperlink ref="B44" r:id="rId40" xr:uid="{00000000-0004-0000-3300-000027000000}"/>
    <hyperlink ref="B45" r:id="rId41" xr:uid="{00000000-0004-0000-3300-000028000000}"/>
    <hyperlink ref="B46" r:id="rId42" xr:uid="{00000000-0004-0000-3300-000029000000}"/>
    <hyperlink ref="B47" r:id="rId43" xr:uid="{00000000-0004-0000-3300-00002A000000}"/>
    <hyperlink ref="B48" r:id="rId44" xr:uid="{00000000-0004-0000-3300-00002B000000}"/>
    <hyperlink ref="B49" r:id="rId45" xr:uid="{00000000-0004-0000-3300-00002C000000}"/>
    <hyperlink ref="B50" r:id="rId46" xr:uid="{00000000-0004-0000-3300-00002D000000}"/>
    <hyperlink ref="B51" r:id="rId47" xr:uid="{00000000-0004-0000-3300-00002E000000}"/>
    <hyperlink ref="B52" r:id="rId48" xr:uid="{00000000-0004-0000-3300-00002F000000}"/>
    <hyperlink ref="B53" r:id="rId49" xr:uid="{00000000-0004-0000-3300-000030000000}"/>
    <hyperlink ref="B54" r:id="rId50" xr:uid="{00000000-0004-0000-3300-000031000000}"/>
    <hyperlink ref="B55" r:id="rId51" xr:uid="{00000000-0004-0000-3300-000032000000}"/>
    <hyperlink ref="B56" r:id="rId52" xr:uid="{00000000-0004-0000-3300-000033000000}"/>
    <hyperlink ref="B57" r:id="rId53" xr:uid="{00000000-0004-0000-3300-000034000000}"/>
    <hyperlink ref="B58" r:id="rId54" xr:uid="{00000000-0004-0000-3300-000035000000}"/>
    <hyperlink ref="B59" r:id="rId55" xr:uid="{00000000-0004-0000-3300-000036000000}"/>
    <hyperlink ref="B60" r:id="rId56" xr:uid="{00000000-0004-0000-3300-000037000000}"/>
    <hyperlink ref="B61" r:id="rId57" xr:uid="{00000000-0004-0000-3300-000038000000}"/>
    <hyperlink ref="B62" r:id="rId58" xr:uid="{00000000-0004-0000-3300-000039000000}"/>
    <hyperlink ref="B63" r:id="rId59" xr:uid="{00000000-0004-0000-3300-00003A000000}"/>
    <hyperlink ref="B64" r:id="rId60" xr:uid="{00000000-0004-0000-3300-00003B000000}"/>
    <hyperlink ref="B65" r:id="rId61" xr:uid="{00000000-0004-0000-3300-00003C000000}"/>
    <hyperlink ref="B66" r:id="rId62" xr:uid="{00000000-0004-0000-3300-00003D000000}"/>
    <hyperlink ref="B67" r:id="rId63" xr:uid="{00000000-0004-0000-3300-00003E000000}"/>
    <hyperlink ref="B68" r:id="rId64" xr:uid="{00000000-0004-0000-3300-00003F000000}"/>
    <hyperlink ref="B69" r:id="rId65" xr:uid="{00000000-0004-0000-3300-000040000000}"/>
    <hyperlink ref="B70" r:id="rId66" xr:uid="{00000000-0004-0000-3300-000041000000}"/>
    <hyperlink ref="B71" r:id="rId67" xr:uid="{00000000-0004-0000-3300-000042000000}"/>
    <hyperlink ref="B72" r:id="rId68" xr:uid="{00000000-0004-0000-3300-000043000000}"/>
    <hyperlink ref="B73" r:id="rId69" xr:uid="{00000000-0004-0000-3300-000044000000}"/>
    <hyperlink ref="B74" r:id="rId70" xr:uid="{00000000-0004-0000-3300-000045000000}"/>
    <hyperlink ref="B75" r:id="rId71" xr:uid="{00000000-0004-0000-3300-000046000000}"/>
    <hyperlink ref="B76" r:id="rId72" xr:uid="{00000000-0004-0000-3300-000047000000}"/>
    <hyperlink ref="B77" r:id="rId73" xr:uid="{00000000-0004-0000-3300-000048000000}"/>
    <hyperlink ref="B78" r:id="rId74" xr:uid="{00000000-0004-0000-3300-000049000000}"/>
    <hyperlink ref="B79" r:id="rId75" xr:uid="{00000000-0004-0000-3300-00004A000000}"/>
    <hyperlink ref="B80" r:id="rId76" xr:uid="{00000000-0004-0000-3300-00004B000000}"/>
    <hyperlink ref="B81" r:id="rId77" xr:uid="{00000000-0004-0000-3300-00004C000000}"/>
    <hyperlink ref="B82" r:id="rId78" xr:uid="{00000000-0004-0000-3300-00004D000000}"/>
    <hyperlink ref="B83" r:id="rId79" xr:uid="{00000000-0004-0000-3300-00004E000000}"/>
    <hyperlink ref="B84" r:id="rId80" xr:uid="{00000000-0004-0000-3300-00004F000000}"/>
    <hyperlink ref="B85" r:id="rId81" xr:uid="{00000000-0004-0000-3300-000050000000}"/>
    <hyperlink ref="B86" r:id="rId82" xr:uid="{00000000-0004-0000-3300-000051000000}"/>
    <hyperlink ref="B87" r:id="rId83" xr:uid="{00000000-0004-0000-3300-000052000000}"/>
    <hyperlink ref="B88" r:id="rId84" xr:uid="{00000000-0004-0000-3300-000053000000}"/>
    <hyperlink ref="B89" r:id="rId85" xr:uid="{00000000-0004-0000-3300-000054000000}"/>
    <hyperlink ref="B90" r:id="rId86" xr:uid="{00000000-0004-0000-3300-000055000000}"/>
    <hyperlink ref="B91" r:id="rId87" xr:uid="{00000000-0004-0000-3300-000056000000}"/>
    <hyperlink ref="B92" r:id="rId88" xr:uid="{00000000-0004-0000-3300-000057000000}"/>
    <hyperlink ref="B93" r:id="rId89" xr:uid="{00000000-0004-0000-3300-000058000000}"/>
    <hyperlink ref="B94" r:id="rId90" xr:uid="{00000000-0004-0000-3300-000059000000}"/>
    <hyperlink ref="B95" r:id="rId91" xr:uid="{00000000-0004-0000-3300-00005A000000}"/>
    <hyperlink ref="B96" r:id="rId92" xr:uid="{00000000-0004-0000-3300-00005B000000}"/>
    <hyperlink ref="B97" r:id="rId93" xr:uid="{00000000-0004-0000-3300-00005C000000}"/>
    <hyperlink ref="B98" r:id="rId94" xr:uid="{00000000-0004-0000-3300-00005D000000}"/>
    <hyperlink ref="B99" r:id="rId95" xr:uid="{00000000-0004-0000-3300-00005E000000}"/>
    <hyperlink ref="B100" r:id="rId96" xr:uid="{00000000-0004-0000-3300-00005F000000}"/>
    <hyperlink ref="B101" r:id="rId97" xr:uid="{00000000-0004-0000-3300-000060000000}"/>
    <hyperlink ref="B102" r:id="rId98" xr:uid="{00000000-0004-0000-3300-000061000000}"/>
    <hyperlink ref="B103" r:id="rId99" xr:uid="{00000000-0004-0000-3300-000062000000}"/>
    <hyperlink ref="B104" r:id="rId100" xr:uid="{00000000-0004-0000-3300-000063000000}"/>
    <hyperlink ref="B105" r:id="rId101" xr:uid="{00000000-0004-0000-3300-000064000000}"/>
    <hyperlink ref="B106" r:id="rId102" xr:uid="{00000000-0004-0000-3300-000065000000}"/>
    <hyperlink ref="B109" r:id="rId103" xr:uid="{00000000-0004-0000-3300-000066000000}"/>
    <hyperlink ref="B110" r:id="rId104" xr:uid="{00000000-0004-0000-3300-000067000000}"/>
    <hyperlink ref="B111" r:id="rId105" xr:uid="{00000000-0004-0000-3300-000068000000}"/>
    <hyperlink ref="B112" r:id="rId106" xr:uid="{00000000-0004-0000-3300-000069000000}"/>
    <hyperlink ref="B113" r:id="rId107" xr:uid="{00000000-0004-0000-3300-00006A000000}"/>
    <hyperlink ref="B114" r:id="rId108" xr:uid="{00000000-0004-0000-3300-00006B000000}"/>
    <hyperlink ref="B115" r:id="rId109" xr:uid="{00000000-0004-0000-3300-00006C000000}"/>
    <hyperlink ref="B116" r:id="rId110" xr:uid="{00000000-0004-0000-3300-00006D000000}"/>
    <hyperlink ref="B117" r:id="rId111" xr:uid="{00000000-0004-0000-3300-00006E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83203125" customWidth="1"/>
    <col min="3" max="3" width="13.5" customWidth="1"/>
    <col min="4" max="4" width="14.83203125" customWidth="1"/>
    <col min="5" max="5" width="14.33203125" customWidth="1"/>
    <col min="11" max="11" width="13.83203125" customWidth="1"/>
  </cols>
  <sheetData>
    <row r="1" spans="1:23" ht="15.75" customHeight="1">
      <c r="A1" s="1" t="s">
        <v>58</v>
      </c>
      <c r="B1" s="36"/>
      <c r="C1" s="46"/>
      <c r="D1" s="7" t="s">
        <v>181</v>
      </c>
      <c r="E1" s="5"/>
      <c r="F1" s="5"/>
      <c r="G1" s="5"/>
      <c r="K1" s="1"/>
      <c r="M1" s="5"/>
      <c r="N1" s="5"/>
      <c r="S1" s="1"/>
      <c r="U1" s="5"/>
    </row>
    <row r="2" spans="1:23" ht="15.75" customHeight="1">
      <c r="A2" s="7" t="s">
        <v>182</v>
      </c>
      <c r="B2" s="38">
        <v>40310</v>
      </c>
      <c r="C2" s="46"/>
      <c r="D2" s="39">
        <f>SUM(D5:G100)</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1" t="s">
        <v>1627</v>
      </c>
      <c r="B5" s="60" t="s">
        <v>1196</v>
      </c>
      <c r="C5" s="51" t="s">
        <v>195</v>
      </c>
      <c r="D5" s="54"/>
      <c r="E5" s="5"/>
      <c r="F5" s="5"/>
      <c r="G5" s="5"/>
      <c r="L5" s="43"/>
      <c r="M5" s="43"/>
      <c r="N5" s="42"/>
      <c r="O5" s="44"/>
      <c r="S5" s="42"/>
      <c r="T5" s="43"/>
      <c r="U5" s="43"/>
      <c r="V5" s="42"/>
      <c r="W5" s="44"/>
    </row>
    <row r="6" spans="1:23" ht="15.75" customHeight="1">
      <c r="A6" s="51" t="s">
        <v>1630</v>
      </c>
      <c r="B6" s="60" t="s">
        <v>3052</v>
      </c>
      <c r="C6" s="51" t="s">
        <v>199</v>
      </c>
      <c r="D6" s="54"/>
      <c r="E6" s="5"/>
      <c r="F6" s="5"/>
      <c r="G6" s="5"/>
      <c r="L6" s="50"/>
      <c r="M6" s="51"/>
      <c r="N6" s="5"/>
      <c r="S6" s="52"/>
      <c r="T6" s="50"/>
      <c r="U6" s="51"/>
    </row>
    <row r="7" spans="1:23" ht="15.75" customHeight="1">
      <c r="A7" s="51" t="s">
        <v>1633</v>
      </c>
      <c r="B7" s="60" t="s">
        <v>3115</v>
      </c>
      <c r="C7" s="51" t="s">
        <v>208</v>
      </c>
      <c r="D7" s="54"/>
      <c r="E7" s="5"/>
      <c r="F7" s="5"/>
      <c r="G7" s="5"/>
      <c r="K7" s="52"/>
      <c r="L7" s="50"/>
      <c r="M7" s="51"/>
      <c r="N7" s="5"/>
      <c r="S7" s="52"/>
      <c r="T7" s="50"/>
      <c r="U7" s="51"/>
    </row>
    <row r="8" spans="1:23" ht="15.75" customHeight="1">
      <c r="A8" s="51" t="s">
        <v>1635</v>
      </c>
      <c r="B8" s="60" t="s">
        <v>1804</v>
      </c>
      <c r="C8" s="51" t="s">
        <v>195</v>
      </c>
      <c r="D8" s="54"/>
      <c r="E8" s="5"/>
      <c r="F8" s="5"/>
      <c r="G8" s="5"/>
      <c r="K8" s="52"/>
      <c r="L8" s="50"/>
      <c r="M8" s="51"/>
      <c r="N8" s="51"/>
      <c r="S8" s="52"/>
      <c r="T8" s="50"/>
      <c r="U8" s="51"/>
    </row>
    <row r="9" spans="1:23" ht="15.75" customHeight="1">
      <c r="A9" s="51" t="s">
        <v>1638</v>
      </c>
      <c r="B9" s="60" t="s">
        <v>3116</v>
      </c>
      <c r="C9" s="51" t="s">
        <v>195</v>
      </c>
      <c r="D9" s="54"/>
      <c r="E9" s="5"/>
      <c r="F9" s="5"/>
      <c r="G9" s="5"/>
      <c r="K9" s="52"/>
      <c r="L9" s="50"/>
      <c r="M9" s="51"/>
      <c r="N9" s="51"/>
      <c r="S9" s="52"/>
      <c r="T9" s="50"/>
      <c r="U9" s="51"/>
    </row>
    <row r="10" spans="1:23" ht="15.75" customHeight="1">
      <c r="A10" s="51" t="s">
        <v>1640</v>
      </c>
      <c r="B10" s="60" t="s">
        <v>975</v>
      </c>
      <c r="C10" s="51" t="s">
        <v>208</v>
      </c>
      <c r="D10" s="54"/>
      <c r="E10" s="5"/>
      <c r="F10" s="5"/>
      <c r="G10" s="5"/>
      <c r="K10" s="52"/>
      <c r="L10" s="50"/>
      <c r="M10" s="51"/>
      <c r="N10" s="5"/>
      <c r="S10" s="52"/>
      <c r="T10" s="50"/>
      <c r="U10" s="51"/>
    </row>
    <row r="11" spans="1:23" ht="15.75" customHeight="1">
      <c r="A11" s="51" t="s">
        <v>1642</v>
      </c>
      <c r="B11" s="60" t="s">
        <v>940</v>
      </c>
      <c r="C11" s="51" t="s">
        <v>208</v>
      </c>
      <c r="D11" s="54"/>
      <c r="E11" s="5"/>
      <c r="F11" s="5"/>
      <c r="G11" s="5"/>
      <c r="K11" s="52"/>
      <c r="L11" s="50"/>
      <c r="M11" s="51"/>
      <c r="N11" s="51"/>
      <c r="S11" s="52"/>
      <c r="T11" s="50"/>
      <c r="U11" s="51"/>
    </row>
    <row r="12" spans="1:23" ht="15.75" customHeight="1">
      <c r="A12" s="51" t="s">
        <v>1645</v>
      </c>
      <c r="B12" s="60" t="s">
        <v>3575</v>
      </c>
      <c r="C12" s="51" t="s">
        <v>205</v>
      </c>
      <c r="D12" s="54"/>
      <c r="E12" s="5"/>
      <c r="F12" s="5"/>
      <c r="G12" s="5"/>
      <c r="K12" s="52"/>
      <c r="L12" s="50"/>
      <c r="M12" s="51"/>
      <c r="N12" s="51"/>
      <c r="S12" s="52"/>
      <c r="T12" s="50"/>
      <c r="U12" s="51"/>
    </row>
    <row r="13" spans="1:23" ht="15.75" customHeight="1">
      <c r="A13" s="51" t="s">
        <v>1648</v>
      </c>
      <c r="B13" s="60" t="s">
        <v>897</v>
      </c>
      <c r="C13" s="51" t="s">
        <v>225</v>
      </c>
      <c r="D13" s="54"/>
      <c r="E13" s="5"/>
      <c r="F13" s="5"/>
      <c r="G13" s="5"/>
      <c r="K13" s="52"/>
      <c r="L13" s="50"/>
      <c r="M13" s="51"/>
      <c r="N13" s="5"/>
      <c r="S13" s="52"/>
      <c r="T13" s="50"/>
      <c r="U13" s="51"/>
    </row>
    <row r="14" spans="1:23" ht="15.75" customHeight="1">
      <c r="A14" s="51" t="s">
        <v>1650</v>
      </c>
      <c r="B14" s="60" t="s">
        <v>3121</v>
      </c>
      <c r="C14" s="51" t="s">
        <v>205</v>
      </c>
      <c r="D14" s="54"/>
      <c r="E14" s="5"/>
      <c r="F14" s="5"/>
      <c r="G14" s="5"/>
      <c r="K14" s="52"/>
      <c r="L14" s="50"/>
      <c r="M14" s="51"/>
      <c r="N14" s="51"/>
      <c r="S14" s="52"/>
      <c r="T14" s="50"/>
      <c r="U14" s="51"/>
    </row>
    <row r="15" spans="1:23" ht="15.75" customHeight="1">
      <c r="A15" s="51" t="s">
        <v>1653</v>
      </c>
      <c r="B15" s="60" t="s">
        <v>855</v>
      </c>
      <c r="C15" s="51" t="s">
        <v>195</v>
      </c>
      <c r="D15" s="54"/>
      <c r="E15" s="5"/>
      <c r="F15" s="5"/>
      <c r="G15" s="5"/>
      <c r="K15" s="52"/>
      <c r="L15" s="50"/>
      <c r="M15" s="51"/>
      <c r="N15" s="51"/>
      <c r="S15" s="52"/>
      <c r="T15" s="50"/>
      <c r="U15" s="51"/>
    </row>
    <row r="16" spans="1:23" ht="15.75" customHeight="1">
      <c r="A16" s="51" t="s">
        <v>1655</v>
      </c>
      <c r="B16" s="60" t="s">
        <v>253</v>
      </c>
      <c r="C16" s="51" t="s">
        <v>205</v>
      </c>
      <c r="D16" s="54"/>
      <c r="E16" s="5"/>
      <c r="F16" s="5"/>
      <c r="G16" s="5"/>
      <c r="K16" s="52"/>
      <c r="L16" s="50"/>
      <c r="M16" s="51"/>
      <c r="N16" s="51"/>
      <c r="S16" s="52"/>
      <c r="T16" s="50"/>
      <c r="U16" s="51"/>
    </row>
    <row r="17" spans="1:27" ht="15.75" customHeight="1">
      <c r="A17" s="51" t="s">
        <v>1657</v>
      </c>
      <c r="B17" s="60" t="s">
        <v>240</v>
      </c>
      <c r="C17" s="51" t="s">
        <v>208</v>
      </c>
      <c r="D17" s="54"/>
      <c r="E17" s="5"/>
      <c r="F17" s="5"/>
      <c r="G17" s="5"/>
      <c r="K17" s="52"/>
      <c r="L17" s="50"/>
      <c r="M17" s="51"/>
      <c r="N17" s="51"/>
      <c r="S17" s="52"/>
      <c r="T17" s="50"/>
      <c r="U17" s="51"/>
    </row>
    <row r="18" spans="1:27" ht="15.75" customHeight="1">
      <c r="A18" s="51" t="s">
        <v>1658</v>
      </c>
      <c r="B18" s="60" t="s">
        <v>969</v>
      </c>
      <c r="C18" s="51" t="s">
        <v>195</v>
      </c>
      <c r="D18" s="54"/>
      <c r="E18" s="5"/>
      <c r="F18" s="5"/>
      <c r="G18" s="5"/>
      <c r="M18" s="5"/>
      <c r="N18" s="5"/>
      <c r="U18" s="5"/>
      <c r="AA18" s="5"/>
    </row>
    <row r="19" spans="1:27" ht="15.75" customHeight="1">
      <c r="A19" s="51" t="s">
        <v>1659</v>
      </c>
      <c r="B19" s="60" t="s">
        <v>334</v>
      </c>
      <c r="C19" s="51" t="s">
        <v>197</v>
      </c>
      <c r="D19" s="54"/>
      <c r="E19" s="5"/>
      <c r="F19" s="5"/>
      <c r="G19" s="5"/>
      <c r="K19" s="1"/>
      <c r="M19" s="5"/>
      <c r="N19" s="5"/>
      <c r="U19" s="5"/>
      <c r="AA19" s="5"/>
    </row>
    <row r="20" spans="1:27" ht="15.75" customHeight="1">
      <c r="A20" s="51" t="s">
        <v>1661</v>
      </c>
      <c r="B20" s="60" t="s">
        <v>3125</v>
      </c>
      <c r="C20" s="51" t="s">
        <v>208</v>
      </c>
      <c r="D20" s="54"/>
      <c r="E20" s="5"/>
      <c r="F20" s="5"/>
      <c r="G20" s="5"/>
      <c r="L20" s="40"/>
      <c r="M20" s="5"/>
      <c r="N20" s="5"/>
      <c r="AA20" s="5"/>
    </row>
    <row r="21" spans="1:27" ht="15.75" customHeight="1">
      <c r="A21" s="51" t="s">
        <v>1663</v>
      </c>
      <c r="B21" s="60" t="s">
        <v>779</v>
      </c>
      <c r="C21" s="51" t="s">
        <v>208</v>
      </c>
      <c r="D21" s="54"/>
      <c r="E21" s="5"/>
      <c r="F21" s="5"/>
      <c r="G21" s="5"/>
      <c r="M21" s="5"/>
      <c r="N21" s="5"/>
      <c r="AA21" s="5"/>
    </row>
    <row r="22" spans="1:27" ht="15.75" customHeight="1">
      <c r="A22" s="51" t="s">
        <v>1665</v>
      </c>
      <c r="B22" s="60" t="s">
        <v>831</v>
      </c>
      <c r="C22" s="51" t="s">
        <v>192</v>
      </c>
      <c r="D22" s="54"/>
      <c r="E22" s="5"/>
      <c r="F22" s="5"/>
      <c r="G22" s="5"/>
      <c r="K22" s="42"/>
      <c r="L22" s="45"/>
      <c r="M22" s="46"/>
      <c r="N22" s="47"/>
      <c r="AA22" s="5"/>
    </row>
    <row r="23" spans="1:27" ht="15.75" customHeight="1">
      <c r="A23" s="51" t="s">
        <v>1666</v>
      </c>
      <c r="B23" s="60" t="s">
        <v>3113</v>
      </c>
      <c r="C23" s="51" t="s">
        <v>225</v>
      </c>
      <c r="D23" s="54"/>
      <c r="E23" s="5"/>
      <c r="F23" s="5"/>
      <c r="G23" s="5"/>
      <c r="K23" s="42"/>
      <c r="L23" s="43"/>
      <c r="M23" s="43"/>
      <c r="N23" s="42"/>
      <c r="O23" s="44"/>
      <c r="AA23" s="5"/>
    </row>
    <row r="24" spans="1:27" ht="15.75" customHeight="1">
      <c r="A24" s="51" t="s">
        <v>1668</v>
      </c>
      <c r="B24" s="60" t="s">
        <v>249</v>
      </c>
      <c r="C24" s="51" t="s">
        <v>199</v>
      </c>
      <c r="D24" s="54"/>
      <c r="E24" s="5"/>
      <c r="F24" s="5"/>
      <c r="G24" s="5"/>
      <c r="K24" s="52"/>
      <c r="L24" s="50"/>
      <c r="M24" s="51"/>
      <c r="N24" s="5"/>
      <c r="AA24" s="5"/>
    </row>
    <row r="25" spans="1:27" ht="15.75" customHeight="1">
      <c r="A25" s="51" t="s">
        <v>1670</v>
      </c>
      <c r="B25" s="60" t="s">
        <v>250</v>
      </c>
      <c r="C25" s="51" t="s">
        <v>208</v>
      </c>
      <c r="D25" s="54"/>
      <c r="E25" s="5"/>
      <c r="F25" s="5"/>
      <c r="G25" s="5"/>
      <c r="K25" s="52"/>
      <c r="L25" s="50"/>
      <c r="M25" s="51"/>
      <c r="N25" s="5"/>
      <c r="AA25" s="5"/>
    </row>
    <row r="26" spans="1:27" ht="15.75" customHeight="1">
      <c r="A26" s="51" t="s">
        <v>1672</v>
      </c>
      <c r="B26" s="60" t="s">
        <v>341</v>
      </c>
      <c r="C26" s="51" t="s">
        <v>225</v>
      </c>
      <c r="D26" s="54"/>
      <c r="E26" s="5"/>
      <c r="F26" s="5"/>
      <c r="G26" s="5"/>
      <c r="K26" s="52"/>
      <c r="L26" s="50"/>
      <c r="M26" s="51"/>
      <c r="N26" s="51"/>
      <c r="AA26" s="5"/>
    </row>
    <row r="27" spans="1:27" ht="15.75" customHeight="1">
      <c r="A27" s="51" t="s">
        <v>1673</v>
      </c>
      <c r="B27" s="60" t="s">
        <v>3118</v>
      </c>
      <c r="C27" s="51" t="s">
        <v>205</v>
      </c>
      <c r="D27" s="54"/>
      <c r="E27" s="5"/>
      <c r="F27" s="51"/>
      <c r="G27" s="5"/>
      <c r="K27" s="52"/>
      <c r="L27" s="50"/>
      <c r="M27" s="51"/>
      <c r="N27" s="51"/>
      <c r="AA27" s="5"/>
    </row>
    <row r="28" spans="1:27" ht="15.75" customHeight="1">
      <c r="A28" s="51" t="s">
        <v>1675</v>
      </c>
      <c r="B28" s="60" t="s">
        <v>791</v>
      </c>
      <c r="C28" s="51" t="s">
        <v>220</v>
      </c>
      <c r="D28" s="54"/>
      <c r="E28" s="5"/>
      <c r="F28" s="5"/>
      <c r="G28" s="5"/>
      <c r="J28" s="5"/>
      <c r="K28" s="52"/>
      <c r="L28" s="50"/>
      <c r="M28" s="51"/>
      <c r="N28" s="5"/>
      <c r="P28" s="5"/>
    </row>
    <row r="29" spans="1:27" ht="15.75" customHeight="1">
      <c r="A29" s="51" t="s">
        <v>1677</v>
      </c>
      <c r="B29" s="60" t="s">
        <v>1511</v>
      </c>
      <c r="C29" s="51" t="s">
        <v>199</v>
      </c>
      <c r="D29" s="54"/>
      <c r="E29" s="5"/>
      <c r="F29" s="5"/>
      <c r="G29" s="5"/>
      <c r="J29" s="5"/>
      <c r="K29" s="52"/>
      <c r="L29" s="50"/>
      <c r="M29" s="51"/>
      <c r="N29" s="51"/>
      <c r="P29" s="5"/>
    </row>
    <row r="30" spans="1:27" ht="15.75" customHeight="1">
      <c r="A30" s="51" t="s">
        <v>1679</v>
      </c>
      <c r="B30" s="60" t="s">
        <v>941</v>
      </c>
      <c r="C30" s="51" t="s">
        <v>808</v>
      </c>
      <c r="D30" s="54"/>
      <c r="E30" s="5"/>
      <c r="F30" s="5"/>
      <c r="G30" s="5"/>
      <c r="J30" s="5"/>
      <c r="K30" s="52"/>
      <c r="L30" s="50"/>
      <c r="M30" s="51"/>
      <c r="N30" s="5"/>
      <c r="P30" s="5"/>
    </row>
    <row r="31" spans="1:27" ht="15.75" customHeight="1">
      <c r="A31" s="51" t="s">
        <v>1681</v>
      </c>
      <c r="B31" s="60" t="s">
        <v>944</v>
      </c>
      <c r="C31" s="51" t="s">
        <v>197</v>
      </c>
      <c r="D31" s="54"/>
      <c r="E31" s="5"/>
      <c r="F31" s="5"/>
      <c r="G31" s="5"/>
      <c r="J31" s="5"/>
      <c r="K31" s="52"/>
      <c r="L31" s="50"/>
      <c r="M31" s="51"/>
      <c r="N31" s="51"/>
      <c r="P31" s="5"/>
    </row>
    <row r="32" spans="1:27" ht="15.75" customHeight="1">
      <c r="A32" s="51" t="s">
        <v>1683</v>
      </c>
      <c r="B32" s="60" t="s">
        <v>3133</v>
      </c>
      <c r="C32" s="51" t="s">
        <v>205</v>
      </c>
      <c r="D32" s="54"/>
      <c r="E32" s="5"/>
      <c r="F32" s="5"/>
      <c r="G32" s="5"/>
      <c r="J32" s="5"/>
      <c r="K32" s="52"/>
      <c r="L32" s="50"/>
      <c r="M32" s="51"/>
      <c r="N32" s="5"/>
      <c r="P32" s="5"/>
    </row>
    <row r="33" spans="1:16" ht="15.75" customHeight="1">
      <c r="A33" s="51" t="s">
        <v>1685</v>
      </c>
      <c r="B33" s="60" t="s">
        <v>954</v>
      </c>
      <c r="C33" s="51" t="s">
        <v>197</v>
      </c>
      <c r="D33" s="54"/>
      <c r="E33" s="5"/>
      <c r="F33" s="5"/>
      <c r="G33" s="5"/>
      <c r="J33" s="5"/>
      <c r="K33" s="52"/>
      <c r="L33" s="50"/>
      <c r="M33" s="51"/>
      <c r="N33" s="5"/>
      <c r="P33" s="5"/>
    </row>
    <row r="34" spans="1:16" ht="15.75" customHeight="1">
      <c r="A34" s="51" t="s">
        <v>1686</v>
      </c>
      <c r="B34" s="60" t="s">
        <v>368</v>
      </c>
      <c r="C34" s="51" t="s">
        <v>195</v>
      </c>
      <c r="D34" s="54"/>
      <c r="E34" s="5"/>
      <c r="F34" s="5"/>
      <c r="G34" s="5"/>
      <c r="J34" s="5"/>
      <c r="K34" s="52"/>
      <c r="L34" s="50"/>
      <c r="M34" s="51"/>
      <c r="N34" s="5"/>
      <c r="P34" s="5"/>
    </row>
    <row r="35" spans="1:16" ht="15.75" customHeight="1">
      <c r="A35" s="51" t="s">
        <v>1687</v>
      </c>
      <c r="B35" s="60" t="s">
        <v>3135</v>
      </c>
      <c r="C35" s="51" t="s">
        <v>205</v>
      </c>
      <c r="D35" s="54"/>
      <c r="E35" s="5"/>
      <c r="F35" s="5"/>
      <c r="G35" s="5"/>
      <c r="J35" s="5"/>
      <c r="K35" s="52"/>
      <c r="L35" s="50"/>
      <c r="M35" s="51"/>
      <c r="N35" s="51"/>
      <c r="P35" s="5"/>
    </row>
    <row r="36" spans="1:16" ht="15.75" customHeight="1">
      <c r="A36" s="51" t="s">
        <v>1688</v>
      </c>
      <c r="B36" s="60" t="s">
        <v>266</v>
      </c>
      <c r="C36" s="51" t="s">
        <v>205</v>
      </c>
      <c r="D36" s="54"/>
      <c r="E36" s="5"/>
      <c r="F36" s="5"/>
      <c r="G36" s="5"/>
      <c r="J36" s="5"/>
      <c r="M36" s="5"/>
      <c r="N36" s="5"/>
      <c r="P36" s="5"/>
    </row>
    <row r="37" spans="1:16" ht="15.75" customHeight="1">
      <c r="A37" s="51" t="s">
        <v>1690</v>
      </c>
      <c r="B37" s="60" t="s">
        <v>1198</v>
      </c>
      <c r="C37" s="51" t="s">
        <v>195</v>
      </c>
      <c r="D37" s="54"/>
      <c r="E37" s="5"/>
      <c r="F37" s="5"/>
      <c r="G37" s="5"/>
      <c r="J37" s="5"/>
      <c r="M37" s="5"/>
      <c r="N37" s="5"/>
    </row>
    <row r="38" spans="1:16" ht="15.75" customHeight="1">
      <c r="A38" s="51" t="s">
        <v>1691</v>
      </c>
      <c r="B38" s="60" t="s">
        <v>1501</v>
      </c>
      <c r="C38" s="51" t="s">
        <v>192</v>
      </c>
      <c r="D38" s="54"/>
      <c r="E38" s="5"/>
      <c r="F38" s="5"/>
      <c r="G38" s="5"/>
      <c r="J38" s="5"/>
      <c r="M38" s="51"/>
      <c r="N38" s="51"/>
    </row>
    <row r="39" spans="1:16" ht="15.75" customHeight="1">
      <c r="A39" s="51" t="s">
        <v>1692</v>
      </c>
      <c r="B39" s="60" t="s">
        <v>1300</v>
      </c>
      <c r="C39" s="51" t="s">
        <v>199</v>
      </c>
      <c r="D39" s="54"/>
      <c r="E39" s="5"/>
      <c r="F39" s="5"/>
      <c r="G39" s="5"/>
      <c r="J39" s="5"/>
      <c r="M39" s="51"/>
      <c r="N39" s="51"/>
    </row>
    <row r="40" spans="1:16" ht="15.75" customHeight="1">
      <c r="A40" s="51" t="s">
        <v>1694</v>
      </c>
      <c r="B40" s="60" t="s">
        <v>1503</v>
      </c>
      <c r="C40" s="51" t="s">
        <v>192</v>
      </c>
      <c r="D40" s="54"/>
      <c r="E40" s="5"/>
      <c r="F40" s="5"/>
      <c r="G40" s="5"/>
      <c r="J40" s="5"/>
      <c r="M40" s="51"/>
      <c r="N40" s="51"/>
    </row>
    <row r="41" spans="1:16" ht="15.75" customHeight="1">
      <c r="A41" s="51" t="s">
        <v>1695</v>
      </c>
      <c r="B41" s="60" t="s">
        <v>270</v>
      </c>
      <c r="C41" s="51" t="s">
        <v>208</v>
      </c>
      <c r="D41" s="54"/>
      <c r="E41" s="5"/>
      <c r="F41" s="5"/>
      <c r="G41" s="5"/>
      <c r="J41" s="5"/>
      <c r="M41" s="51"/>
      <c r="N41" s="51"/>
    </row>
    <row r="42" spans="1:16" ht="15.75" customHeight="1">
      <c r="A42" s="51" t="s">
        <v>1696</v>
      </c>
      <c r="B42" s="60" t="s">
        <v>948</v>
      </c>
      <c r="C42" s="51" t="s">
        <v>225</v>
      </c>
      <c r="D42" s="54"/>
      <c r="E42" s="5"/>
      <c r="F42" s="5"/>
      <c r="G42" s="5"/>
      <c r="J42" s="5"/>
      <c r="M42" s="51"/>
      <c r="N42" s="51"/>
    </row>
    <row r="43" spans="1:16" ht="15.75" customHeight="1">
      <c r="A43" s="51" t="s">
        <v>1698</v>
      </c>
      <c r="B43" s="60" t="s">
        <v>948</v>
      </c>
      <c r="C43" s="51" t="s">
        <v>225</v>
      </c>
      <c r="D43" s="54"/>
      <c r="E43" s="5"/>
      <c r="F43" s="5"/>
      <c r="G43" s="5"/>
      <c r="J43" s="5"/>
      <c r="M43" s="51"/>
      <c r="N43" s="51"/>
    </row>
    <row r="44" spans="1:16" ht="15.75" customHeight="1">
      <c r="A44" s="51" t="s">
        <v>1699</v>
      </c>
      <c r="B44" s="60" t="s">
        <v>375</v>
      </c>
      <c r="C44" s="51" t="s">
        <v>208</v>
      </c>
      <c r="D44" s="54"/>
      <c r="E44" s="5"/>
      <c r="F44" s="5"/>
      <c r="G44" s="5"/>
      <c r="J44" s="5"/>
      <c r="M44" s="51"/>
      <c r="N44" s="51"/>
    </row>
    <row r="45" spans="1:16" ht="15.75" customHeight="1">
      <c r="A45" s="51" t="s">
        <v>1700</v>
      </c>
      <c r="B45" s="60" t="s">
        <v>344</v>
      </c>
      <c r="C45" s="51" t="s">
        <v>197</v>
      </c>
      <c r="D45" s="54"/>
      <c r="E45" s="5"/>
      <c r="F45" s="5"/>
      <c r="G45" s="5"/>
      <c r="J45" s="5"/>
      <c r="M45" s="51"/>
      <c r="N45" s="51"/>
      <c r="P45" s="5"/>
    </row>
    <row r="46" spans="1:16" ht="15.75" customHeight="1">
      <c r="A46" s="51" t="s">
        <v>1701</v>
      </c>
      <c r="B46" s="60" t="s">
        <v>274</v>
      </c>
      <c r="C46" s="51" t="s">
        <v>208</v>
      </c>
      <c r="D46" s="54"/>
      <c r="E46" s="5"/>
      <c r="F46" s="5"/>
      <c r="G46" s="5"/>
      <c r="J46" s="5"/>
      <c r="M46" s="51"/>
      <c r="N46" s="51"/>
      <c r="P46" s="5"/>
    </row>
    <row r="47" spans="1:16" ht="15.75" customHeight="1">
      <c r="A47" s="51" t="s">
        <v>1702</v>
      </c>
      <c r="B47" s="60" t="s">
        <v>812</v>
      </c>
      <c r="C47" s="51" t="s">
        <v>197</v>
      </c>
      <c r="D47" s="54"/>
      <c r="E47" s="5"/>
      <c r="F47" s="5"/>
      <c r="G47" s="5"/>
      <c r="J47" s="5"/>
      <c r="M47" s="5"/>
      <c r="N47" s="5"/>
      <c r="P47" s="5"/>
    </row>
    <row r="48" spans="1:16" ht="15.75" customHeight="1">
      <c r="A48" s="51" t="s">
        <v>1703</v>
      </c>
      <c r="B48" s="60" t="s">
        <v>1197</v>
      </c>
      <c r="C48" s="51" t="s">
        <v>195</v>
      </c>
      <c r="D48" s="54"/>
      <c r="E48" s="5"/>
      <c r="F48" s="5"/>
      <c r="G48" s="5"/>
      <c r="J48" s="5"/>
      <c r="M48" s="5"/>
      <c r="N48" s="5"/>
      <c r="P48" s="5"/>
    </row>
    <row r="49" spans="1:16" ht="15.75" customHeight="1">
      <c r="A49" s="51" t="s">
        <v>1704</v>
      </c>
      <c r="B49" s="60" t="s">
        <v>3039</v>
      </c>
      <c r="C49" s="51" t="s">
        <v>208</v>
      </c>
      <c r="D49" s="54"/>
      <c r="E49" s="5"/>
      <c r="F49" s="5"/>
      <c r="G49" s="5"/>
      <c r="J49" s="5"/>
      <c r="M49" s="5"/>
      <c r="N49" s="5"/>
      <c r="P49" s="5"/>
    </row>
    <row r="50" spans="1:16" ht="15.75" customHeight="1">
      <c r="A50" s="51" t="s">
        <v>1705</v>
      </c>
      <c r="B50" s="60" t="s">
        <v>3123</v>
      </c>
      <c r="C50" s="51" t="s">
        <v>205</v>
      </c>
      <c r="D50" s="54"/>
      <c r="E50" s="5"/>
      <c r="F50" s="5"/>
      <c r="G50" s="5"/>
      <c r="J50" s="5"/>
      <c r="M50" s="5"/>
      <c r="N50" s="5"/>
      <c r="P50" s="5"/>
    </row>
    <row r="51" spans="1:16" ht="15.75" customHeight="1">
      <c r="A51" s="51" t="s">
        <v>1706</v>
      </c>
      <c r="B51" s="60" t="s">
        <v>3145</v>
      </c>
      <c r="C51" s="51" t="s">
        <v>205</v>
      </c>
      <c r="D51" s="54"/>
      <c r="E51" s="5"/>
      <c r="F51" s="5"/>
      <c r="G51" s="5"/>
      <c r="J51" s="5"/>
      <c r="M51" s="5"/>
      <c r="N51" s="5"/>
      <c r="P51" s="5"/>
    </row>
    <row r="52" spans="1:16" ht="15.75" customHeight="1">
      <c r="A52" s="51" t="s">
        <v>1707</v>
      </c>
      <c r="B52" s="60" t="s">
        <v>860</v>
      </c>
      <c r="C52" s="51" t="s">
        <v>192</v>
      </c>
      <c r="D52" s="54"/>
      <c r="E52" s="5"/>
      <c r="F52" s="5"/>
      <c r="G52" s="5"/>
      <c r="J52" s="5"/>
      <c r="M52" s="5"/>
      <c r="N52" s="5"/>
      <c r="P52" s="5"/>
    </row>
    <row r="53" spans="1:16" ht="13">
      <c r="A53" s="51" t="s">
        <v>1708</v>
      </c>
      <c r="B53" s="60" t="s">
        <v>382</v>
      </c>
      <c r="C53" s="51" t="s">
        <v>208</v>
      </c>
      <c r="D53" s="54"/>
      <c r="E53" s="5"/>
      <c r="F53" s="5"/>
      <c r="G53" s="5"/>
      <c r="J53" s="5"/>
      <c r="M53" s="5"/>
      <c r="N53" s="5"/>
      <c r="P53" s="5"/>
    </row>
    <row r="54" spans="1:16" ht="13">
      <c r="A54" s="51" t="s">
        <v>1710</v>
      </c>
      <c r="B54" s="60" t="s">
        <v>955</v>
      </c>
      <c r="C54" s="51" t="s">
        <v>225</v>
      </c>
      <c r="D54" s="54"/>
      <c r="E54" s="5"/>
      <c r="F54" s="5"/>
      <c r="G54" s="5"/>
      <c r="J54" s="5"/>
      <c r="M54" s="5"/>
      <c r="N54" s="5"/>
      <c r="P54" s="5"/>
    </row>
    <row r="55" spans="1:16" ht="13">
      <c r="A55" s="51" t="s">
        <v>1711</v>
      </c>
      <c r="B55" s="60" t="s">
        <v>955</v>
      </c>
      <c r="C55" s="51" t="s">
        <v>225</v>
      </c>
      <c r="D55" s="54"/>
      <c r="E55" s="5"/>
      <c r="F55" s="5"/>
      <c r="G55" s="5"/>
      <c r="J55" s="5"/>
      <c r="M55" s="5"/>
      <c r="N55" s="5"/>
      <c r="P55" s="5"/>
    </row>
    <row r="56" spans="1:16" ht="13">
      <c r="A56" s="51" t="s">
        <v>1712</v>
      </c>
      <c r="B56" s="60" t="s">
        <v>231</v>
      </c>
      <c r="C56" s="51" t="s">
        <v>199</v>
      </c>
      <c r="D56" s="54"/>
      <c r="E56" s="5"/>
      <c r="F56" s="5"/>
      <c r="G56" s="5"/>
      <c r="J56" s="5"/>
      <c r="M56" s="5"/>
      <c r="N56" s="5"/>
      <c r="P56" s="5"/>
    </row>
    <row r="57" spans="1:16" ht="13">
      <c r="A57" s="51" t="s">
        <v>1713</v>
      </c>
      <c r="B57" s="60" t="s">
        <v>350</v>
      </c>
      <c r="C57" s="51" t="s">
        <v>225</v>
      </c>
      <c r="D57" s="54"/>
      <c r="E57" s="5"/>
      <c r="F57" s="5"/>
      <c r="G57" s="5"/>
      <c r="J57" s="5"/>
      <c r="M57" s="5"/>
      <c r="N57" s="5"/>
      <c r="P57" s="5"/>
    </row>
    <row r="58" spans="1:16" ht="13">
      <c r="A58" s="51" t="s">
        <v>1714</v>
      </c>
      <c r="B58" s="60" t="s">
        <v>227</v>
      </c>
      <c r="C58" s="51" t="s">
        <v>195</v>
      </c>
      <c r="D58" s="54"/>
      <c r="E58" s="5"/>
      <c r="F58" s="5"/>
      <c r="G58" s="5"/>
      <c r="J58" s="5"/>
      <c r="M58" s="5"/>
      <c r="N58" s="5"/>
      <c r="P58" s="5"/>
    </row>
    <row r="59" spans="1:16" ht="13">
      <c r="A59" s="51" t="s">
        <v>1716</v>
      </c>
      <c r="B59" s="60" t="s">
        <v>881</v>
      </c>
      <c r="C59" s="51" t="s">
        <v>195</v>
      </c>
      <c r="D59" s="54"/>
      <c r="E59" s="5"/>
      <c r="F59" s="5"/>
      <c r="G59" s="5"/>
      <c r="J59" s="5"/>
      <c r="M59" s="5"/>
      <c r="N59" s="5"/>
      <c r="P59" s="5"/>
    </row>
    <row r="60" spans="1:16" ht="13">
      <c r="A60" s="51" t="s">
        <v>1717</v>
      </c>
      <c r="B60" s="60" t="s">
        <v>288</v>
      </c>
      <c r="C60" s="51" t="s">
        <v>225</v>
      </c>
      <c r="D60" s="54"/>
      <c r="E60" s="5"/>
      <c r="F60" s="5"/>
      <c r="G60" s="5"/>
      <c r="J60" s="5"/>
      <c r="M60" s="5"/>
      <c r="N60" s="5"/>
      <c r="P60" s="5"/>
    </row>
    <row r="61" spans="1:16" ht="13">
      <c r="A61" s="51" t="s">
        <v>1719</v>
      </c>
      <c r="B61" s="60" t="s">
        <v>288</v>
      </c>
      <c r="C61" s="51" t="s">
        <v>225</v>
      </c>
      <c r="D61" s="54"/>
      <c r="E61" s="5"/>
      <c r="F61" s="5"/>
      <c r="G61" s="5"/>
      <c r="J61" s="5"/>
      <c r="M61" s="5"/>
      <c r="N61" s="5"/>
      <c r="P61" s="5"/>
    </row>
    <row r="62" spans="1:16" ht="13">
      <c r="A62" s="51" t="s">
        <v>1720</v>
      </c>
      <c r="B62" s="60" t="s">
        <v>290</v>
      </c>
      <c r="C62" s="51" t="s">
        <v>208</v>
      </c>
      <c r="D62" s="54"/>
      <c r="E62" s="5"/>
      <c r="F62" s="5"/>
      <c r="G62" s="5"/>
      <c r="J62" s="5"/>
      <c r="M62" s="5"/>
      <c r="N62" s="5"/>
      <c r="P62" s="5"/>
    </row>
    <row r="63" spans="1:16" ht="13">
      <c r="A63" s="51" t="s">
        <v>1722</v>
      </c>
      <c r="B63" s="60" t="s">
        <v>979</v>
      </c>
      <c r="C63" s="51" t="s">
        <v>208</v>
      </c>
      <c r="D63" s="54"/>
      <c r="E63" s="5"/>
      <c r="F63" s="5"/>
      <c r="G63" s="5"/>
      <c r="J63" s="5"/>
      <c r="M63" s="5"/>
      <c r="N63" s="5"/>
      <c r="P63" s="5"/>
    </row>
    <row r="64" spans="1:16" ht="13">
      <c r="A64" s="51" t="s">
        <v>1723</v>
      </c>
      <c r="B64" s="60" t="s">
        <v>3141</v>
      </c>
      <c r="C64" s="51" t="s">
        <v>225</v>
      </c>
      <c r="D64" s="54"/>
      <c r="E64" s="5"/>
      <c r="F64" s="5"/>
      <c r="G64" s="5"/>
      <c r="J64" s="5"/>
      <c r="M64" s="5"/>
      <c r="N64" s="5"/>
      <c r="P64" s="5"/>
    </row>
    <row r="65" spans="1:16" ht="13">
      <c r="A65" s="51" t="s">
        <v>1724</v>
      </c>
      <c r="B65" s="60" t="s">
        <v>1505</v>
      </c>
      <c r="C65" s="51" t="s">
        <v>205</v>
      </c>
      <c r="D65" s="54"/>
      <c r="E65" s="5"/>
      <c r="F65" s="5"/>
      <c r="G65" s="5"/>
      <c r="J65" s="5"/>
      <c r="M65" s="5"/>
      <c r="N65" s="5"/>
      <c r="P65" s="5"/>
    </row>
    <row r="66" spans="1:16" ht="13">
      <c r="A66" s="51" t="s">
        <v>1725</v>
      </c>
      <c r="B66" s="60" t="s">
        <v>355</v>
      </c>
      <c r="C66" s="51" t="s">
        <v>197</v>
      </c>
      <c r="D66" s="54"/>
      <c r="E66" s="5"/>
      <c r="F66" s="5"/>
      <c r="G66" s="5"/>
      <c r="J66" s="5"/>
      <c r="M66" s="5"/>
      <c r="N66" s="5"/>
      <c r="P66" s="5"/>
    </row>
    <row r="67" spans="1:16" ht="13">
      <c r="A67" s="51" t="s">
        <v>1726</v>
      </c>
      <c r="B67" s="60" t="s">
        <v>294</v>
      </c>
      <c r="C67" s="51" t="s">
        <v>208</v>
      </c>
      <c r="D67" s="54"/>
      <c r="E67" s="5"/>
      <c r="F67" s="5"/>
      <c r="G67" s="5"/>
      <c r="J67" s="5"/>
      <c r="M67" s="5"/>
      <c r="N67" s="5"/>
      <c r="P67" s="5"/>
    </row>
    <row r="68" spans="1:16" ht="13">
      <c r="A68" s="51" t="s">
        <v>1727</v>
      </c>
      <c r="B68" s="60" t="s">
        <v>895</v>
      </c>
      <c r="C68" s="51" t="s">
        <v>197</v>
      </c>
      <c r="D68" s="54"/>
      <c r="E68" s="5"/>
      <c r="F68" s="5"/>
      <c r="G68" s="5"/>
      <c r="J68" s="5"/>
      <c r="M68" s="5"/>
      <c r="N68" s="5"/>
      <c r="P68" s="5"/>
    </row>
    <row r="69" spans="1:16" ht="13">
      <c r="A69" s="51" t="s">
        <v>1729</v>
      </c>
      <c r="B69" s="60" t="s">
        <v>957</v>
      </c>
      <c r="C69" s="51" t="s">
        <v>197</v>
      </c>
      <c r="D69" s="54"/>
      <c r="E69" s="5"/>
      <c r="F69" s="5"/>
      <c r="G69" s="5"/>
      <c r="J69" s="5"/>
      <c r="M69" s="5"/>
      <c r="N69" s="5"/>
      <c r="P69" s="5"/>
    </row>
    <row r="70" spans="1:16" ht="13">
      <c r="A70" s="51" t="s">
        <v>1731</v>
      </c>
      <c r="B70" s="60" t="s">
        <v>1830</v>
      </c>
      <c r="C70" s="51" t="s">
        <v>205</v>
      </c>
      <c r="D70" s="54"/>
      <c r="E70" s="51"/>
      <c r="F70" s="5"/>
      <c r="G70" s="5"/>
      <c r="J70" s="5"/>
      <c r="M70" s="5"/>
      <c r="N70" s="5"/>
      <c r="P70" s="5"/>
    </row>
    <row r="71" spans="1:16" ht="13">
      <c r="A71" s="51" t="s">
        <v>1732</v>
      </c>
      <c r="B71" s="60" t="s">
        <v>3016</v>
      </c>
      <c r="C71" s="51" t="s">
        <v>205</v>
      </c>
      <c r="D71" s="5"/>
      <c r="J71" s="5"/>
      <c r="M71" s="5"/>
      <c r="N71" s="5"/>
      <c r="P71" s="5"/>
    </row>
    <row r="72" spans="1:16" ht="13">
      <c r="A72" s="51" t="s">
        <v>1733</v>
      </c>
      <c r="B72" s="60" t="s">
        <v>299</v>
      </c>
      <c r="C72" s="51" t="s">
        <v>199</v>
      </c>
      <c r="D72" s="54"/>
      <c r="E72" s="5"/>
      <c r="F72" s="5"/>
      <c r="G72" s="5"/>
      <c r="J72" s="5"/>
      <c r="M72" s="5"/>
      <c r="N72" s="5"/>
      <c r="P72" s="5"/>
    </row>
    <row r="73" spans="1:16" ht="13">
      <c r="A73" s="51" t="s">
        <v>1734</v>
      </c>
      <c r="B73" s="60" t="s">
        <v>300</v>
      </c>
      <c r="C73" s="51" t="s">
        <v>205</v>
      </c>
      <c r="D73" s="54"/>
      <c r="E73" s="5"/>
      <c r="F73" s="5"/>
      <c r="G73" s="5"/>
      <c r="J73" s="5"/>
      <c r="M73" s="5"/>
      <c r="N73" s="5"/>
      <c r="P73" s="5"/>
    </row>
    <row r="74" spans="1:16" ht="13">
      <c r="A74" s="51" t="s">
        <v>1736</v>
      </c>
      <c r="B74" s="60" t="s">
        <v>389</v>
      </c>
      <c r="C74" s="51" t="s">
        <v>195</v>
      </c>
      <c r="D74" s="54"/>
      <c r="E74" s="5"/>
      <c r="F74" s="5"/>
      <c r="G74" s="5"/>
      <c r="J74" s="5"/>
      <c r="M74" s="5"/>
      <c r="N74" s="5"/>
      <c r="P74" s="5"/>
    </row>
    <row r="75" spans="1:16" ht="13">
      <c r="A75" s="51" t="s">
        <v>1738</v>
      </c>
      <c r="B75" s="60" t="s">
        <v>3908</v>
      </c>
      <c r="C75" s="51" t="s">
        <v>1013</v>
      </c>
      <c r="D75" s="54"/>
      <c r="E75" s="5"/>
      <c r="F75" s="5"/>
      <c r="G75" s="5"/>
      <c r="J75" s="5"/>
      <c r="M75" s="5"/>
      <c r="N75" s="5"/>
      <c r="P75" s="5"/>
    </row>
    <row r="76" spans="1:16" ht="13">
      <c r="A76" s="51" t="s">
        <v>1740</v>
      </c>
      <c r="B76" s="60" t="s">
        <v>1015</v>
      </c>
      <c r="C76" s="51" t="s">
        <v>206</v>
      </c>
      <c r="D76" s="54"/>
      <c r="E76" s="5"/>
      <c r="F76" s="5"/>
      <c r="G76" s="5"/>
      <c r="J76" s="5"/>
      <c r="M76" s="5"/>
      <c r="N76" s="5"/>
      <c r="P76" s="5"/>
    </row>
    <row r="77" spans="1:16" ht="13">
      <c r="A77" s="51" t="s">
        <v>1741</v>
      </c>
      <c r="B77" s="60" t="s">
        <v>3909</v>
      </c>
      <c r="C77" s="51" t="s">
        <v>1013</v>
      </c>
      <c r="D77" s="54"/>
      <c r="E77" s="5"/>
      <c r="F77" s="5"/>
      <c r="G77" s="5"/>
      <c r="J77" s="5"/>
      <c r="M77" s="5"/>
      <c r="N77" s="5"/>
      <c r="P77" s="5"/>
    </row>
    <row r="78" spans="1:16" ht="13">
      <c r="A78" s="51" t="s">
        <v>1743</v>
      </c>
      <c r="B78" s="60" t="s">
        <v>3910</v>
      </c>
      <c r="C78" s="51" t="s">
        <v>206</v>
      </c>
      <c r="D78" s="54"/>
      <c r="E78" s="5"/>
      <c r="F78" s="5"/>
      <c r="G78" s="5"/>
      <c r="J78" s="5"/>
      <c r="M78" s="5"/>
      <c r="N78" s="5"/>
      <c r="P78" s="5"/>
    </row>
    <row r="79" spans="1:16" ht="13">
      <c r="A79" s="51" t="s">
        <v>1744</v>
      </c>
      <c r="B79" s="60" t="s">
        <v>3911</v>
      </c>
      <c r="C79" s="51" t="s">
        <v>1013</v>
      </c>
      <c r="D79" s="54"/>
      <c r="E79" s="5"/>
      <c r="F79" s="5"/>
      <c r="G79" s="5"/>
      <c r="J79" s="5"/>
      <c r="M79" s="5"/>
      <c r="N79" s="5"/>
      <c r="P79" s="5"/>
    </row>
    <row r="80" spans="1:16" ht="13">
      <c r="A80" s="51" t="s">
        <v>1746</v>
      </c>
      <c r="B80" s="60" t="s">
        <v>3912</v>
      </c>
      <c r="C80" s="51" t="s">
        <v>206</v>
      </c>
      <c r="D80" s="54"/>
      <c r="E80" s="5"/>
      <c r="F80" s="5"/>
      <c r="G80" s="5"/>
      <c r="J80" s="5"/>
      <c r="M80" s="5"/>
      <c r="N80" s="5"/>
      <c r="P80" s="5"/>
    </row>
    <row r="81" spans="1:16" ht="13">
      <c r="A81" s="51" t="s">
        <v>1748</v>
      </c>
      <c r="B81" s="60" t="s">
        <v>3913</v>
      </c>
      <c r="C81" s="51" t="s">
        <v>1013</v>
      </c>
      <c r="D81" s="54"/>
      <c r="E81" s="5"/>
      <c r="F81" s="5"/>
      <c r="G81" s="5"/>
      <c r="J81" s="5"/>
      <c r="M81" s="5"/>
      <c r="N81" s="5"/>
      <c r="P81" s="5"/>
    </row>
    <row r="82" spans="1:16" ht="13">
      <c r="A82" s="51" t="s">
        <v>1750</v>
      </c>
      <c r="B82" s="60" t="s">
        <v>3914</v>
      </c>
      <c r="C82" s="51" t="s">
        <v>1013</v>
      </c>
      <c r="D82" s="54"/>
      <c r="E82" s="5"/>
      <c r="F82" s="5"/>
      <c r="G82" s="5"/>
      <c r="J82" s="5"/>
      <c r="M82" s="5"/>
      <c r="N82" s="5"/>
      <c r="P82" s="5"/>
    </row>
    <row r="83" spans="1:16" ht="13">
      <c r="A83" s="51" t="s">
        <v>1752</v>
      </c>
      <c r="B83" s="60" t="s">
        <v>1913</v>
      </c>
      <c r="C83" s="51" t="s">
        <v>206</v>
      </c>
      <c r="D83" s="54"/>
      <c r="E83" s="5"/>
      <c r="F83" s="5"/>
      <c r="G83" s="5"/>
      <c r="J83" s="5"/>
      <c r="M83" s="5"/>
      <c r="N83" s="5"/>
      <c r="P83" s="5"/>
    </row>
    <row r="84" spans="1:16" ht="13">
      <c r="A84" s="51" t="s">
        <v>1754</v>
      </c>
      <c r="B84" s="60" t="s">
        <v>310</v>
      </c>
      <c r="C84" s="51" t="s">
        <v>206</v>
      </c>
      <c r="D84" s="54"/>
      <c r="E84" s="5"/>
      <c r="F84" s="5"/>
      <c r="G84" s="5"/>
      <c r="J84" s="5"/>
      <c r="M84" s="5"/>
      <c r="N84" s="5"/>
      <c r="P84" s="5"/>
    </row>
    <row r="85" spans="1:16" ht="13">
      <c r="A85" s="51" t="s">
        <v>1756</v>
      </c>
      <c r="B85" s="60" t="s">
        <v>3915</v>
      </c>
      <c r="C85" s="51" t="s">
        <v>206</v>
      </c>
      <c r="D85" s="54"/>
      <c r="E85" s="5"/>
      <c r="F85" s="5"/>
      <c r="G85" s="5"/>
      <c r="J85" s="5"/>
      <c r="M85" s="5"/>
      <c r="N85" s="5"/>
      <c r="P85" s="5"/>
    </row>
    <row r="86" spans="1:16" ht="13">
      <c r="A86" s="51" t="s">
        <v>1758</v>
      </c>
      <c r="B86" s="60" t="s">
        <v>1470</v>
      </c>
      <c r="C86" s="51" t="s">
        <v>206</v>
      </c>
      <c r="D86" s="54"/>
      <c r="E86" s="5"/>
      <c r="F86" s="5"/>
      <c r="G86" s="5"/>
      <c r="J86" s="5"/>
      <c r="M86" s="5"/>
      <c r="N86" s="5"/>
      <c r="P86" s="5"/>
    </row>
    <row r="87" spans="1:16" ht="13">
      <c r="A87" s="51" t="s">
        <v>1760</v>
      </c>
      <c r="B87" s="60" t="s">
        <v>925</v>
      </c>
      <c r="C87" s="51" t="s">
        <v>206</v>
      </c>
      <c r="D87" s="54"/>
      <c r="E87" s="5"/>
      <c r="F87" s="5"/>
      <c r="G87" s="5"/>
      <c r="J87" s="5"/>
      <c r="M87" s="5"/>
      <c r="N87" s="5"/>
      <c r="P87" s="5"/>
    </row>
    <row r="88" spans="1:16" ht="13">
      <c r="A88" s="51" t="s">
        <v>1762</v>
      </c>
      <c r="B88" s="60" t="s">
        <v>969</v>
      </c>
      <c r="C88" s="51" t="s">
        <v>195</v>
      </c>
      <c r="D88" s="54"/>
      <c r="E88" s="5"/>
      <c r="F88" s="5"/>
      <c r="G88" s="5"/>
      <c r="J88" s="5"/>
      <c r="M88" s="5"/>
      <c r="N88" s="5"/>
      <c r="P88" s="5"/>
    </row>
    <row r="89" spans="1:16" ht="13">
      <c r="A89" s="51" t="s">
        <v>1764</v>
      </c>
      <c r="B89" s="60" t="s">
        <v>779</v>
      </c>
      <c r="C89" s="51" t="s">
        <v>208</v>
      </c>
      <c r="D89" s="54"/>
      <c r="E89" s="5"/>
      <c r="F89" s="5"/>
      <c r="G89" s="5"/>
      <c r="J89" s="5"/>
      <c r="M89" s="5"/>
      <c r="N89" s="5"/>
      <c r="P89" s="5"/>
    </row>
    <row r="90" spans="1:16" ht="13">
      <c r="A90" s="51" t="s">
        <v>1765</v>
      </c>
      <c r="B90" s="60" t="s">
        <v>831</v>
      </c>
      <c r="C90" s="51" t="s">
        <v>192</v>
      </c>
      <c r="D90" s="54"/>
      <c r="E90" s="5"/>
      <c r="F90" s="5"/>
      <c r="G90" s="5"/>
      <c r="J90" s="5"/>
      <c r="M90" s="5"/>
      <c r="N90" s="5"/>
      <c r="P90" s="5"/>
    </row>
    <row r="91" spans="1:16" ht="13">
      <c r="A91" s="51" t="s">
        <v>1767</v>
      </c>
      <c r="B91" s="60" t="s">
        <v>791</v>
      </c>
      <c r="C91" s="51" t="s">
        <v>220</v>
      </c>
      <c r="D91" s="54"/>
      <c r="E91" s="5"/>
      <c r="F91" s="5"/>
      <c r="G91" s="5"/>
      <c r="J91" s="5"/>
      <c r="M91" s="5"/>
      <c r="N91" s="5"/>
      <c r="P91" s="5"/>
    </row>
    <row r="92" spans="1:16" ht="13">
      <c r="A92" s="51" t="s">
        <v>1769</v>
      </c>
      <c r="B92" s="60" t="s">
        <v>941</v>
      </c>
      <c r="C92" s="51" t="s">
        <v>808</v>
      </c>
      <c r="D92" s="54"/>
      <c r="E92" s="5"/>
      <c r="F92" s="5"/>
      <c r="G92" s="5"/>
      <c r="J92" s="5"/>
      <c r="M92" s="5"/>
      <c r="N92" s="5"/>
      <c r="P92" s="5"/>
    </row>
    <row r="93" spans="1:16" ht="13">
      <c r="A93" s="51" t="s">
        <v>1771</v>
      </c>
      <c r="B93" s="60" t="s">
        <v>944</v>
      </c>
      <c r="C93" s="51" t="s">
        <v>197</v>
      </c>
      <c r="D93" s="54"/>
      <c r="E93" s="5"/>
      <c r="F93" s="5"/>
      <c r="G93" s="5"/>
      <c r="J93" s="5"/>
      <c r="M93" s="5"/>
      <c r="N93" s="5"/>
      <c r="P93" s="5"/>
    </row>
    <row r="94" spans="1:16" ht="13">
      <c r="A94" s="51" t="s">
        <v>1773</v>
      </c>
      <c r="B94" s="60" t="s">
        <v>3916</v>
      </c>
      <c r="C94" s="51" t="s">
        <v>3917</v>
      </c>
      <c r="D94" s="54"/>
      <c r="E94" s="5"/>
      <c r="F94" s="5"/>
      <c r="G94" s="5"/>
      <c r="J94" s="5"/>
      <c r="M94" s="5"/>
      <c r="N94" s="5"/>
      <c r="P94" s="5"/>
    </row>
    <row r="95" spans="1:16" ht="13">
      <c r="A95" s="51" t="s">
        <v>1775</v>
      </c>
      <c r="B95" s="60" t="s">
        <v>3916</v>
      </c>
      <c r="C95" s="51" t="s">
        <v>3917</v>
      </c>
      <c r="D95" s="54"/>
      <c r="E95" s="5"/>
      <c r="F95" s="5"/>
      <c r="G95" s="5"/>
      <c r="J95" s="5"/>
      <c r="M95" s="5"/>
      <c r="N95" s="5"/>
      <c r="P95" s="5"/>
    </row>
    <row r="96" spans="1:16" ht="13">
      <c r="A96" s="51" t="s">
        <v>1777</v>
      </c>
      <c r="B96" s="60" t="s">
        <v>3918</v>
      </c>
      <c r="C96" s="51" t="s">
        <v>3919</v>
      </c>
      <c r="D96" s="54"/>
      <c r="E96" s="5"/>
      <c r="F96" s="5"/>
      <c r="G96" s="5"/>
      <c r="J96" s="5"/>
      <c r="M96" s="5"/>
      <c r="N96" s="5"/>
      <c r="P96" s="5"/>
    </row>
    <row r="97" spans="1:16" ht="13">
      <c r="A97" s="51" t="s">
        <v>1779</v>
      </c>
      <c r="B97" s="60" t="s">
        <v>3918</v>
      </c>
      <c r="C97" s="51" t="s">
        <v>3919</v>
      </c>
      <c r="D97" s="54"/>
      <c r="E97" s="5"/>
      <c r="F97" s="5"/>
      <c r="G97" s="5"/>
      <c r="J97" s="5"/>
      <c r="M97" s="5"/>
      <c r="N97" s="5"/>
      <c r="P97" s="5"/>
    </row>
    <row r="98" spans="1:16" ht="13">
      <c r="A98" s="51" t="s">
        <v>1781</v>
      </c>
      <c r="B98" s="60" t="s">
        <v>3920</v>
      </c>
      <c r="C98" s="51" t="s">
        <v>3921</v>
      </c>
      <c r="D98" s="54"/>
      <c r="E98" s="5"/>
      <c r="F98" s="5"/>
      <c r="G98" s="5"/>
      <c r="J98" s="5"/>
      <c r="M98" s="5"/>
      <c r="N98" s="5"/>
      <c r="P98" s="5"/>
    </row>
    <row r="99" spans="1:16" ht="13">
      <c r="A99" s="51" t="s">
        <v>1783</v>
      </c>
      <c r="B99" s="60" t="s">
        <v>3920</v>
      </c>
      <c r="C99" s="51" t="s">
        <v>3921</v>
      </c>
      <c r="D99" s="54"/>
      <c r="E99" s="5"/>
      <c r="F99" s="5"/>
      <c r="G99" s="5"/>
      <c r="J99" s="5"/>
      <c r="M99" s="5"/>
      <c r="N99" s="5"/>
      <c r="P99" s="5"/>
    </row>
    <row r="100" spans="1:16" ht="13">
      <c r="A100" s="51" t="s">
        <v>3922</v>
      </c>
      <c r="B100" s="60" t="s">
        <v>3923</v>
      </c>
      <c r="C100" s="51" t="s">
        <v>206</v>
      </c>
      <c r="D100" s="54"/>
      <c r="E100" s="5"/>
      <c r="F100" s="5"/>
      <c r="G100" s="5"/>
      <c r="J100" s="5"/>
      <c r="M100" s="5"/>
      <c r="N100" s="5"/>
      <c r="P100" s="5"/>
    </row>
    <row r="101" spans="1:16" ht="13">
      <c r="A101" s="51"/>
      <c r="C101" s="51"/>
      <c r="D101" s="54"/>
      <c r="E101" s="5"/>
      <c r="F101" s="5"/>
      <c r="G101" s="5"/>
      <c r="J101" s="5"/>
      <c r="M101" s="5"/>
      <c r="N101" s="5"/>
      <c r="P101" s="5"/>
    </row>
    <row r="102" spans="1:16" ht="13">
      <c r="A102" s="51"/>
      <c r="C102" s="51"/>
      <c r="D102" s="54"/>
      <c r="E102" s="51"/>
      <c r="F102" s="5"/>
      <c r="G102" s="5"/>
      <c r="J102" s="5"/>
      <c r="M102" s="5"/>
      <c r="N102" s="5"/>
      <c r="P102" s="5"/>
    </row>
    <row r="103" spans="1:16" ht="13">
      <c r="A103" s="51"/>
      <c r="C103" s="51"/>
      <c r="D103" s="54"/>
      <c r="E103" s="5"/>
      <c r="F103" s="5"/>
      <c r="G103" s="5"/>
      <c r="J103" s="5"/>
      <c r="M103" s="5"/>
      <c r="N103" s="5"/>
      <c r="P103" s="5"/>
    </row>
    <row r="104" spans="1:16" ht="13">
      <c r="A104" s="51"/>
      <c r="C104" s="51"/>
      <c r="D104" s="54"/>
      <c r="E104" s="5"/>
      <c r="F104" s="5"/>
      <c r="G104" s="5"/>
      <c r="J104" s="5"/>
      <c r="M104" s="5"/>
      <c r="N104" s="5"/>
      <c r="P104" s="5"/>
    </row>
    <row r="105" spans="1:16" ht="13">
      <c r="A105" s="51"/>
      <c r="C105" s="51"/>
      <c r="D105" s="54"/>
      <c r="E105" s="5"/>
      <c r="F105" s="5"/>
      <c r="G105" s="5"/>
      <c r="J105" s="5"/>
      <c r="M105" s="5"/>
      <c r="N105" s="5"/>
      <c r="P105" s="5"/>
    </row>
    <row r="106" spans="1:16" ht="13">
      <c r="A106" s="51"/>
      <c r="C106" s="51"/>
      <c r="D106" s="54"/>
      <c r="E106" s="5"/>
      <c r="F106" s="5"/>
      <c r="G106" s="5"/>
      <c r="J106" s="5"/>
      <c r="M106" s="5"/>
      <c r="N106" s="5"/>
      <c r="P106" s="5"/>
    </row>
    <row r="107" spans="1:16" ht="13">
      <c r="C107" s="54"/>
      <c r="D107" s="54"/>
      <c r="E107" s="5"/>
      <c r="F107" s="5"/>
      <c r="G107" s="5"/>
      <c r="J107" s="5"/>
      <c r="M107" s="5"/>
      <c r="N107" s="5"/>
      <c r="P107" s="5"/>
    </row>
    <row r="108" spans="1:16" ht="13">
      <c r="A108" s="62"/>
      <c r="C108" s="54"/>
      <c r="D108" s="54"/>
      <c r="E108" s="5"/>
      <c r="F108" s="5"/>
      <c r="G108" s="5"/>
      <c r="J108" s="5"/>
      <c r="M108" s="5"/>
      <c r="N108" s="5"/>
      <c r="P108" s="5"/>
    </row>
    <row r="109" spans="1:16" ht="13">
      <c r="A109" s="51"/>
      <c r="C109" s="51"/>
      <c r="D109" s="54"/>
      <c r="E109" s="5"/>
      <c r="F109" s="5"/>
      <c r="G109" s="5"/>
      <c r="J109" s="5"/>
      <c r="M109" s="5"/>
      <c r="N109" s="5"/>
      <c r="P109" s="5"/>
    </row>
    <row r="110" spans="1:16" ht="13">
      <c r="A110" s="51"/>
      <c r="C110" s="51"/>
      <c r="E110" s="5"/>
      <c r="F110" s="5"/>
      <c r="G110" s="5"/>
      <c r="J110" s="5"/>
      <c r="M110" s="5"/>
      <c r="N110" s="5"/>
      <c r="P110" s="5"/>
    </row>
    <row r="111" spans="1:16" ht="13">
      <c r="A111" s="51"/>
      <c r="C111" s="51"/>
      <c r="D111" s="54"/>
      <c r="E111" s="5"/>
      <c r="F111" s="5"/>
      <c r="G111" s="5"/>
      <c r="J111" s="5"/>
      <c r="M111" s="5"/>
      <c r="N111" s="5"/>
      <c r="P111" s="5"/>
    </row>
    <row r="112" spans="1:16" ht="13">
      <c r="A112" s="51"/>
      <c r="C112" s="51"/>
      <c r="D112" s="54"/>
      <c r="E112" s="51"/>
      <c r="F112" s="5"/>
      <c r="G112" s="5"/>
      <c r="J112" s="5"/>
      <c r="M112" s="5"/>
      <c r="N112" s="5"/>
      <c r="P112" s="5"/>
    </row>
    <row r="113" spans="1:16" ht="13">
      <c r="A113" s="51"/>
      <c r="C113" s="51"/>
      <c r="D113" s="54"/>
      <c r="E113" s="5"/>
      <c r="F113" s="5"/>
      <c r="G113" s="5"/>
      <c r="J113" s="5"/>
      <c r="M113" s="5"/>
      <c r="N113" s="5"/>
      <c r="P113" s="5"/>
    </row>
    <row r="114" spans="1:16" ht="13">
      <c r="A114" s="51"/>
      <c r="C114" s="51"/>
      <c r="D114" s="54"/>
      <c r="E114" s="5"/>
      <c r="F114" s="51"/>
      <c r="G114" s="5"/>
      <c r="J114" s="5"/>
      <c r="M114" s="5"/>
      <c r="N114" s="5"/>
      <c r="P114" s="5"/>
    </row>
    <row r="115" spans="1:16" ht="13">
      <c r="A115" s="51"/>
      <c r="C115" s="51"/>
      <c r="D115" s="54"/>
      <c r="E115" s="5"/>
      <c r="F115" s="5"/>
      <c r="G115" s="5"/>
      <c r="J115" s="5"/>
      <c r="M115" s="5"/>
      <c r="N115" s="5"/>
      <c r="P115" s="5"/>
    </row>
    <row r="116" spans="1:16" ht="13">
      <c r="A116" s="51"/>
      <c r="C116" s="51"/>
      <c r="D116" s="51"/>
      <c r="E116" s="5"/>
      <c r="F116" s="5"/>
      <c r="G116" s="5"/>
      <c r="J116" s="5"/>
      <c r="M116" s="5"/>
      <c r="N116" s="5"/>
      <c r="P116" s="5"/>
    </row>
    <row r="117" spans="1:16" ht="13">
      <c r="A117" s="51"/>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3"/>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3"/>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400-000000000000}"/>
    <hyperlink ref="B6" r:id="rId2" xr:uid="{00000000-0004-0000-3400-000001000000}"/>
    <hyperlink ref="B7" r:id="rId3" xr:uid="{00000000-0004-0000-3400-000002000000}"/>
    <hyperlink ref="B8" r:id="rId4" xr:uid="{00000000-0004-0000-3400-000003000000}"/>
    <hyperlink ref="B9" r:id="rId5" xr:uid="{00000000-0004-0000-3400-000004000000}"/>
    <hyperlink ref="B10" r:id="rId6" xr:uid="{00000000-0004-0000-3400-000005000000}"/>
    <hyperlink ref="B11" r:id="rId7" xr:uid="{00000000-0004-0000-3400-000006000000}"/>
    <hyperlink ref="B12" r:id="rId8" xr:uid="{00000000-0004-0000-3400-000007000000}"/>
    <hyperlink ref="B13" r:id="rId9" xr:uid="{00000000-0004-0000-3400-000008000000}"/>
    <hyperlink ref="B14" r:id="rId10" xr:uid="{00000000-0004-0000-3400-000009000000}"/>
    <hyperlink ref="B15" r:id="rId11" xr:uid="{00000000-0004-0000-3400-00000A000000}"/>
    <hyperlink ref="B16" r:id="rId12" xr:uid="{00000000-0004-0000-3400-00000B000000}"/>
    <hyperlink ref="B17" r:id="rId13" xr:uid="{00000000-0004-0000-3400-00000C000000}"/>
    <hyperlink ref="B18" r:id="rId14" xr:uid="{00000000-0004-0000-3400-00000D000000}"/>
    <hyperlink ref="B19" r:id="rId15" xr:uid="{00000000-0004-0000-3400-00000E000000}"/>
    <hyperlink ref="B20" r:id="rId16" xr:uid="{00000000-0004-0000-3400-00000F000000}"/>
    <hyperlink ref="B21" r:id="rId17" xr:uid="{00000000-0004-0000-3400-000010000000}"/>
    <hyperlink ref="B22" r:id="rId18" xr:uid="{00000000-0004-0000-3400-000011000000}"/>
    <hyperlink ref="B23" r:id="rId19" xr:uid="{00000000-0004-0000-3400-000012000000}"/>
    <hyperlink ref="B24" r:id="rId20" xr:uid="{00000000-0004-0000-3400-000013000000}"/>
    <hyperlink ref="B25" r:id="rId21" xr:uid="{00000000-0004-0000-3400-000014000000}"/>
    <hyperlink ref="B26" r:id="rId22" xr:uid="{00000000-0004-0000-3400-000015000000}"/>
    <hyperlink ref="B27" r:id="rId23" xr:uid="{00000000-0004-0000-3400-000016000000}"/>
    <hyperlink ref="B28" r:id="rId24" xr:uid="{00000000-0004-0000-3400-000017000000}"/>
    <hyperlink ref="B29" r:id="rId25" xr:uid="{00000000-0004-0000-3400-000018000000}"/>
    <hyperlink ref="B30" r:id="rId26" xr:uid="{00000000-0004-0000-3400-000019000000}"/>
    <hyperlink ref="B31" r:id="rId27" xr:uid="{00000000-0004-0000-3400-00001A000000}"/>
    <hyperlink ref="B32" r:id="rId28" xr:uid="{00000000-0004-0000-3400-00001B000000}"/>
    <hyperlink ref="B33" r:id="rId29" xr:uid="{00000000-0004-0000-3400-00001C000000}"/>
    <hyperlink ref="B34" r:id="rId30" xr:uid="{00000000-0004-0000-3400-00001D000000}"/>
    <hyperlink ref="B35" r:id="rId31" xr:uid="{00000000-0004-0000-3400-00001E000000}"/>
    <hyperlink ref="B36" r:id="rId32" xr:uid="{00000000-0004-0000-3400-00001F000000}"/>
    <hyperlink ref="B37" r:id="rId33" xr:uid="{00000000-0004-0000-3400-000020000000}"/>
    <hyperlink ref="B38" r:id="rId34" xr:uid="{00000000-0004-0000-3400-000021000000}"/>
    <hyperlink ref="B39" r:id="rId35" xr:uid="{00000000-0004-0000-3400-000022000000}"/>
    <hyperlink ref="B40" r:id="rId36" xr:uid="{00000000-0004-0000-3400-000023000000}"/>
    <hyperlink ref="B41" r:id="rId37" xr:uid="{00000000-0004-0000-3400-000024000000}"/>
    <hyperlink ref="B42" r:id="rId38" xr:uid="{00000000-0004-0000-3400-000025000000}"/>
    <hyperlink ref="B43" r:id="rId39" xr:uid="{00000000-0004-0000-3400-000026000000}"/>
    <hyperlink ref="B44" r:id="rId40" xr:uid="{00000000-0004-0000-3400-000027000000}"/>
    <hyperlink ref="B45" r:id="rId41" xr:uid="{00000000-0004-0000-3400-000028000000}"/>
    <hyperlink ref="B46" r:id="rId42" xr:uid="{00000000-0004-0000-3400-000029000000}"/>
    <hyperlink ref="B47" r:id="rId43" xr:uid="{00000000-0004-0000-3400-00002A000000}"/>
    <hyperlink ref="B48" r:id="rId44" xr:uid="{00000000-0004-0000-3400-00002B000000}"/>
    <hyperlink ref="B49" r:id="rId45" xr:uid="{00000000-0004-0000-3400-00002C000000}"/>
    <hyperlink ref="B50" r:id="rId46" xr:uid="{00000000-0004-0000-3400-00002D000000}"/>
    <hyperlink ref="B51" r:id="rId47" xr:uid="{00000000-0004-0000-3400-00002E000000}"/>
    <hyperlink ref="B52" r:id="rId48" xr:uid="{00000000-0004-0000-3400-00002F000000}"/>
    <hyperlink ref="B53" r:id="rId49" xr:uid="{00000000-0004-0000-3400-000030000000}"/>
    <hyperlink ref="B54" r:id="rId50" xr:uid="{00000000-0004-0000-3400-000031000000}"/>
    <hyperlink ref="B55" r:id="rId51" xr:uid="{00000000-0004-0000-3400-000032000000}"/>
    <hyperlink ref="B56" r:id="rId52" xr:uid="{00000000-0004-0000-3400-000033000000}"/>
    <hyperlink ref="B57" r:id="rId53" xr:uid="{00000000-0004-0000-3400-000034000000}"/>
    <hyperlink ref="B58" r:id="rId54" xr:uid="{00000000-0004-0000-3400-000035000000}"/>
    <hyperlink ref="B59" r:id="rId55" xr:uid="{00000000-0004-0000-3400-000036000000}"/>
    <hyperlink ref="B60" r:id="rId56" xr:uid="{00000000-0004-0000-3400-000037000000}"/>
    <hyperlink ref="B61" r:id="rId57" xr:uid="{00000000-0004-0000-3400-000038000000}"/>
    <hyperlink ref="B62" r:id="rId58" xr:uid="{00000000-0004-0000-3400-000039000000}"/>
    <hyperlink ref="B63" r:id="rId59" xr:uid="{00000000-0004-0000-3400-00003A000000}"/>
    <hyperlink ref="B64" r:id="rId60" xr:uid="{00000000-0004-0000-3400-00003B000000}"/>
    <hyperlink ref="B65" r:id="rId61" xr:uid="{00000000-0004-0000-3400-00003C000000}"/>
    <hyperlink ref="B66" r:id="rId62" xr:uid="{00000000-0004-0000-3400-00003D000000}"/>
    <hyperlink ref="B67" r:id="rId63" xr:uid="{00000000-0004-0000-3400-00003E000000}"/>
    <hyperlink ref="B68" r:id="rId64" xr:uid="{00000000-0004-0000-3400-00003F000000}"/>
    <hyperlink ref="B69" r:id="rId65" xr:uid="{00000000-0004-0000-3400-000040000000}"/>
    <hyperlink ref="B70" r:id="rId66" xr:uid="{00000000-0004-0000-3400-000041000000}"/>
    <hyperlink ref="B71" r:id="rId67" xr:uid="{00000000-0004-0000-3400-000042000000}"/>
    <hyperlink ref="B72" r:id="rId68" xr:uid="{00000000-0004-0000-3400-000043000000}"/>
    <hyperlink ref="B73" r:id="rId69" xr:uid="{00000000-0004-0000-3400-000044000000}"/>
    <hyperlink ref="B74" r:id="rId70" xr:uid="{00000000-0004-0000-3400-000045000000}"/>
    <hyperlink ref="B75" r:id="rId71" xr:uid="{00000000-0004-0000-3400-000046000000}"/>
    <hyperlink ref="B76" r:id="rId72" xr:uid="{00000000-0004-0000-3400-000047000000}"/>
    <hyperlink ref="B77" r:id="rId73" xr:uid="{00000000-0004-0000-3400-000048000000}"/>
    <hyperlink ref="B78" r:id="rId74" xr:uid="{00000000-0004-0000-3400-000049000000}"/>
    <hyperlink ref="B79" r:id="rId75" xr:uid="{00000000-0004-0000-3400-00004A000000}"/>
    <hyperlink ref="B80" r:id="rId76" xr:uid="{00000000-0004-0000-3400-00004B000000}"/>
    <hyperlink ref="B81" r:id="rId77" xr:uid="{00000000-0004-0000-3400-00004C000000}"/>
    <hyperlink ref="B82" r:id="rId78" xr:uid="{00000000-0004-0000-3400-00004D000000}"/>
    <hyperlink ref="B83" r:id="rId79" xr:uid="{00000000-0004-0000-3400-00004E000000}"/>
    <hyperlink ref="B84" r:id="rId80" xr:uid="{00000000-0004-0000-3400-00004F000000}"/>
    <hyperlink ref="B85" r:id="rId81" xr:uid="{00000000-0004-0000-3400-000050000000}"/>
    <hyperlink ref="B86" r:id="rId82" xr:uid="{00000000-0004-0000-3400-000051000000}"/>
    <hyperlink ref="B87" r:id="rId83" xr:uid="{00000000-0004-0000-3400-000052000000}"/>
    <hyperlink ref="B88" r:id="rId84" xr:uid="{00000000-0004-0000-3400-000053000000}"/>
    <hyperlink ref="B89" r:id="rId85" xr:uid="{00000000-0004-0000-3400-000054000000}"/>
    <hyperlink ref="B90" r:id="rId86" xr:uid="{00000000-0004-0000-3400-000055000000}"/>
    <hyperlink ref="B91" r:id="rId87" xr:uid="{00000000-0004-0000-3400-000056000000}"/>
    <hyperlink ref="B92" r:id="rId88" xr:uid="{00000000-0004-0000-3400-000057000000}"/>
    <hyperlink ref="B93" r:id="rId89" xr:uid="{00000000-0004-0000-3400-000058000000}"/>
    <hyperlink ref="B94" r:id="rId90" xr:uid="{00000000-0004-0000-3400-000059000000}"/>
    <hyperlink ref="B95" r:id="rId91" xr:uid="{00000000-0004-0000-3400-00005A000000}"/>
    <hyperlink ref="B96" r:id="rId92" xr:uid="{00000000-0004-0000-3400-00005B000000}"/>
    <hyperlink ref="B97" r:id="rId93" xr:uid="{00000000-0004-0000-3400-00005C000000}"/>
    <hyperlink ref="B98" r:id="rId94" xr:uid="{00000000-0004-0000-3400-00005D000000}"/>
    <hyperlink ref="B99" r:id="rId95" xr:uid="{00000000-0004-0000-3400-00005E000000}"/>
    <hyperlink ref="B100" r:id="rId96" xr:uid="{00000000-0004-0000-3400-00005F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83203125" customWidth="1"/>
    <col min="3" max="3" width="13.83203125" customWidth="1"/>
    <col min="4" max="4" width="14.83203125" customWidth="1"/>
    <col min="5" max="5" width="14.33203125" customWidth="1"/>
    <col min="11" max="11" width="13.83203125" customWidth="1"/>
  </cols>
  <sheetData>
    <row r="1" spans="1:23" ht="15.75" customHeight="1">
      <c r="A1" s="1" t="s">
        <v>60</v>
      </c>
      <c r="B1" s="36"/>
      <c r="C1" s="46"/>
      <c r="D1" s="7" t="s">
        <v>181</v>
      </c>
      <c r="E1" s="5"/>
      <c r="F1" s="5"/>
      <c r="G1" s="5"/>
      <c r="K1" s="1"/>
      <c r="M1" s="5"/>
      <c r="N1" s="5"/>
      <c r="S1" s="1"/>
      <c r="U1" s="5"/>
    </row>
    <row r="2" spans="1:23" ht="15.75" customHeight="1">
      <c r="A2" s="7" t="s">
        <v>182</v>
      </c>
      <c r="B2" s="38">
        <v>40408</v>
      </c>
      <c r="C2" s="46"/>
      <c r="D2" s="39">
        <f>SUM(D5:G95)</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1" t="s">
        <v>3924</v>
      </c>
      <c r="B5" s="60" t="s">
        <v>770</v>
      </c>
      <c r="C5" s="51" t="s">
        <v>205</v>
      </c>
      <c r="D5" s="54"/>
      <c r="E5" s="5"/>
      <c r="F5" s="5"/>
      <c r="G5" s="5"/>
      <c r="L5" s="43"/>
      <c r="M5" s="43"/>
      <c r="N5" s="42"/>
      <c r="O5" s="44"/>
      <c r="S5" s="42"/>
      <c r="T5" s="43"/>
      <c r="U5" s="43"/>
      <c r="V5" s="42"/>
      <c r="W5" s="44"/>
    </row>
    <row r="6" spans="1:23" ht="15.75" customHeight="1">
      <c r="A6" s="51" t="s">
        <v>3925</v>
      </c>
      <c r="B6" s="60" t="s">
        <v>936</v>
      </c>
      <c r="C6" s="51" t="s">
        <v>195</v>
      </c>
      <c r="D6" s="54"/>
      <c r="E6" s="5"/>
      <c r="F6" s="5"/>
      <c r="G6" s="5"/>
      <c r="L6" s="50"/>
      <c r="M6" s="51"/>
      <c r="N6" s="5"/>
      <c r="S6" s="52"/>
      <c r="T6" s="50"/>
      <c r="U6" s="51"/>
    </row>
    <row r="7" spans="1:23" ht="15.75" customHeight="1">
      <c r="A7" s="51" t="s">
        <v>3926</v>
      </c>
      <c r="B7" s="60" t="s">
        <v>937</v>
      </c>
      <c r="C7" s="51" t="s">
        <v>220</v>
      </c>
      <c r="D7" s="54"/>
      <c r="E7" s="5"/>
      <c r="F7" s="5"/>
      <c r="G7" s="5"/>
      <c r="K7" s="52"/>
      <c r="L7" s="50"/>
      <c r="M7" s="51"/>
      <c r="N7" s="5"/>
      <c r="S7" s="52"/>
      <c r="T7" s="50"/>
      <c r="U7" s="51"/>
    </row>
    <row r="8" spans="1:23" ht="15.75" customHeight="1">
      <c r="A8" s="51" t="s">
        <v>3927</v>
      </c>
      <c r="B8" s="60" t="s">
        <v>3082</v>
      </c>
      <c r="C8" s="51" t="s">
        <v>225</v>
      </c>
      <c r="D8" s="54"/>
      <c r="E8" s="5"/>
      <c r="F8" s="5"/>
      <c r="G8" s="5"/>
      <c r="K8" s="52"/>
      <c r="L8" s="50"/>
      <c r="M8" s="51"/>
      <c r="N8" s="51"/>
      <c r="S8" s="52"/>
      <c r="T8" s="50"/>
      <c r="U8" s="51"/>
    </row>
    <row r="9" spans="1:23" ht="15.75" customHeight="1">
      <c r="A9" s="51" t="s">
        <v>3928</v>
      </c>
      <c r="B9" s="60" t="s">
        <v>938</v>
      </c>
      <c r="C9" s="51" t="s">
        <v>808</v>
      </c>
      <c r="D9" s="54"/>
      <c r="E9" s="5"/>
      <c r="F9" s="5"/>
      <c r="G9" s="5"/>
      <c r="K9" s="52"/>
      <c r="L9" s="50"/>
      <c r="M9" s="51"/>
      <c r="N9" s="51"/>
      <c r="S9" s="52"/>
      <c r="T9" s="50"/>
      <c r="U9" s="51"/>
    </row>
    <row r="10" spans="1:23" ht="15.75" customHeight="1">
      <c r="A10" s="51" t="s">
        <v>3929</v>
      </c>
      <c r="B10" s="60" t="s">
        <v>974</v>
      </c>
      <c r="C10" s="51" t="s">
        <v>199</v>
      </c>
      <c r="D10" s="54"/>
      <c r="E10" s="5"/>
      <c r="F10" s="5"/>
      <c r="G10" s="5"/>
      <c r="K10" s="52"/>
      <c r="L10" s="50"/>
      <c r="M10" s="51"/>
      <c r="N10" s="5"/>
      <c r="S10" s="52"/>
      <c r="T10" s="50"/>
      <c r="U10" s="51"/>
    </row>
    <row r="11" spans="1:23" ht="15.75" customHeight="1">
      <c r="A11" s="51" t="s">
        <v>3930</v>
      </c>
      <c r="B11" s="60" t="s">
        <v>219</v>
      </c>
      <c r="C11" s="51" t="s">
        <v>220</v>
      </c>
      <c r="D11" s="54"/>
      <c r="E11" s="5"/>
      <c r="F11" s="5"/>
      <c r="G11" s="5"/>
      <c r="K11" s="52"/>
      <c r="L11" s="50"/>
      <c r="M11" s="51"/>
      <c r="N11" s="51"/>
      <c r="S11" s="52"/>
      <c r="T11" s="50"/>
      <c r="U11" s="51"/>
    </row>
    <row r="12" spans="1:23" ht="15.75" customHeight="1">
      <c r="A12" s="51" t="s">
        <v>3931</v>
      </c>
      <c r="B12" s="60" t="s">
        <v>218</v>
      </c>
      <c r="C12" s="51" t="s">
        <v>197</v>
      </c>
      <c r="D12" s="54"/>
      <c r="E12" s="5"/>
      <c r="F12" s="5"/>
      <c r="G12" s="5"/>
      <c r="K12" s="52"/>
      <c r="L12" s="50"/>
      <c r="M12" s="51"/>
      <c r="N12" s="51"/>
      <c r="S12" s="52"/>
      <c r="T12" s="50"/>
      <c r="U12" s="51"/>
    </row>
    <row r="13" spans="1:23" ht="15.75" customHeight="1">
      <c r="A13" s="51" t="s">
        <v>3932</v>
      </c>
      <c r="B13" s="60" t="s">
        <v>3340</v>
      </c>
      <c r="C13" s="51" t="s">
        <v>197</v>
      </c>
      <c r="D13" s="54"/>
      <c r="E13" s="5"/>
      <c r="F13" s="5"/>
      <c r="G13" s="5"/>
      <c r="K13" s="52"/>
      <c r="L13" s="50"/>
      <c r="M13" s="51"/>
      <c r="N13" s="5"/>
      <c r="S13" s="52"/>
      <c r="T13" s="50"/>
      <c r="U13" s="51"/>
    </row>
    <row r="14" spans="1:23" ht="15.75" customHeight="1">
      <c r="A14" s="51" t="s">
        <v>3933</v>
      </c>
      <c r="B14" s="60" t="s">
        <v>942</v>
      </c>
      <c r="C14" s="51" t="s">
        <v>808</v>
      </c>
      <c r="D14" s="54"/>
      <c r="E14" s="5"/>
      <c r="F14" s="5"/>
      <c r="G14" s="5"/>
      <c r="K14" s="52"/>
      <c r="L14" s="50"/>
      <c r="M14" s="51"/>
      <c r="N14" s="51"/>
      <c r="S14" s="52"/>
      <c r="T14" s="50"/>
      <c r="U14" s="51"/>
    </row>
    <row r="15" spans="1:23" ht="15.75" customHeight="1">
      <c r="A15" s="51" t="s">
        <v>3934</v>
      </c>
      <c r="B15" s="60" t="s">
        <v>332</v>
      </c>
      <c r="C15" s="51" t="s">
        <v>197</v>
      </c>
      <c r="D15" s="54"/>
      <c r="E15" s="5"/>
      <c r="F15" s="5"/>
      <c r="G15" s="5"/>
      <c r="K15" s="52"/>
      <c r="L15" s="50"/>
      <c r="M15" s="51"/>
      <c r="N15" s="51"/>
      <c r="S15" s="52"/>
      <c r="T15" s="50"/>
      <c r="U15" s="51"/>
    </row>
    <row r="16" spans="1:23" ht="15.75" customHeight="1">
      <c r="A16" s="51" t="s">
        <v>3935</v>
      </c>
      <c r="B16" s="60" t="s">
        <v>3078</v>
      </c>
      <c r="C16" s="51" t="s">
        <v>195</v>
      </c>
      <c r="D16" s="54"/>
      <c r="E16" s="5"/>
      <c r="F16" s="5"/>
      <c r="G16" s="5"/>
      <c r="K16" s="52"/>
      <c r="L16" s="50"/>
      <c r="M16" s="51"/>
      <c r="N16" s="51"/>
      <c r="S16" s="52"/>
      <c r="T16" s="50"/>
      <c r="U16" s="51"/>
    </row>
    <row r="17" spans="1:27" ht="15.75" customHeight="1">
      <c r="A17" s="51" t="s">
        <v>3936</v>
      </c>
      <c r="B17" s="60" t="s">
        <v>937</v>
      </c>
      <c r="C17" s="51" t="s">
        <v>220</v>
      </c>
      <c r="D17" s="54"/>
      <c r="E17" s="5"/>
      <c r="F17" s="5"/>
      <c r="G17" s="5"/>
      <c r="K17" s="52"/>
      <c r="L17" s="50"/>
      <c r="M17" s="51"/>
      <c r="N17" s="51"/>
      <c r="S17" s="52"/>
      <c r="T17" s="50"/>
      <c r="U17" s="51"/>
    </row>
    <row r="18" spans="1:27" ht="15.75" customHeight="1">
      <c r="A18" s="51" t="s">
        <v>3937</v>
      </c>
      <c r="B18" s="60" t="s">
        <v>1222</v>
      </c>
      <c r="C18" s="51" t="s">
        <v>225</v>
      </c>
      <c r="D18" s="54"/>
      <c r="E18" s="5"/>
      <c r="F18" s="5"/>
      <c r="G18" s="5"/>
      <c r="M18" s="5"/>
      <c r="N18" s="5"/>
      <c r="U18" s="5"/>
      <c r="AA18" s="5"/>
    </row>
    <row r="19" spans="1:27" ht="15.75" customHeight="1">
      <c r="A19" s="51" t="s">
        <v>3938</v>
      </c>
      <c r="B19" s="60" t="s">
        <v>3169</v>
      </c>
      <c r="C19" s="51" t="s">
        <v>808</v>
      </c>
      <c r="D19" s="54"/>
      <c r="E19" s="5"/>
      <c r="F19" s="5"/>
      <c r="G19" s="5"/>
      <c r="K19" s="1"/>
      <c r="M19" s="5"/>
      <c r="N19" s="5"/>
      <c r="U19" s="5"/>
      <c r="AA19" s="5"/>
    </row>
    <row r="20" spans="1:27" ht="15.75" customHeight="1">
      <c r="A20" s="51" t="s">
        <v>3939</v>
      </c>
      <c r="B20" s="60" t="s">
        <v>3169</v>
      </c>
      <c r="C20" s="51" t="s">
        <v>808</v>
      </c>
      <c r="D20" s="54"/>
      <c r="E20" s="5"/>
      <c r="F20" s="5"/>
      <c r="G20" s="5"/>
      <c r="L20" s="40"/>
      <c r="M20" s="5"/>
      <c r="N20" s="5"/>
      <c r="AA20" s="5"/>
    </row>
    <row r="21" spans="1:27" ht="15.75" customHeight="1">
      <c r="A21" s="51" t="s">
        <v>3940</v>
      </c>
      <c r="B21" s="60" t="s">
        <v>3354</v>
      </c>
      <c r="C21" s="51" t="s">
        <v>205</v>
      </c>
      <c r="D21" s="54"/>
      <c r="E21" s="5"/>
      <c r="F21" s="5"/>
      <c r="G21" s="5"/>
      <c r="M21" s="5"/>
      <c r="N21" s="5"/>
      <c r="AA21" s="5"/>
    </row>
    <row r="22" spans="1:27" ht="15.75" customHeight="1">
      <c r="A22" s="51" t="s">
        <v>3941</v>
      </c>
      <c r="B22" s="60" t="s">
        <v>1804</v>
      </c>
      <c r="C22" s="51" t="s">
        <v>220</v>
      </c>
      <c r="D22" s="54"/>
      <c r="E22" s="5"/>
      <c r="F22" s="5"/>
      <c r="G22" s="5"/>
      <c r="K22" s="42"/>
      <c r="L22" s="45"/>
      <c r="M22" s="46"/>
      <c r="N22" s="47"/>
      <c r="AA22" s="5"/>
    </row>
    <row r="23" spans="1:27" ht="15.75" customHeight="1">
      <c r="A23" s="51" t="s">
        <v>3942</v>
      </c>
      <c r="B23" s="60" t="s">
        <v>3116</v>
      </c>
      <c r="C23" s="51" t="s">
        <v>195</v>
      </c>
      <c r="D23" s="54"/>
      <c r="E23" s="5"/>
      <c r="F23" s="5"/>
      <c r="G23" s="5"/>
      <c r="K23" s="42"/>
      <c r="L23" s="43"/>
      <c r="M23" s="43"/>
      <c r="N23" s="42"/>
      <c r="O23" s="44"/>
      <c r="AA23" s="5"/>
    </row>
    <row r="24" spans="1:27" ht="15.75" customHeight="1">
      <c r="A24" s="51" t="s">
        <v>3943</v>
      </c>
      <c r="B24" s="60" t="s">
        <v>3338</v>
      </c>
      <c r="C24" s="51" t="s">
        <v>192</v>
      </c>
      <c r="D24" s="54"/>
      <c r="E24" s="5"/>
      <c r="F24" s="5"/>
      <c r="G24" s="5"/>
      <c r="K24" s="52"/>
      <c r="L24" s="50"/>
      <c r="M24" s="51"/>
      <c r="N24" s="5"/>
      <c r="AA24" s="5"/>
    </row>
    <row r="25" spans="1:27" ht="15.75" customHeight="1">
      <c r="A25" s="51" t="s">
        <v>3944</v>
      </c>
      <c r="B25" s="60" t="s">
        <v>787</v>
      </c>
      <c r="C25" s="51" t="s">
        <v>220</v>
      </c>
      <c r="D25" s="54"/>
      <c r="E25" s="5"/>
      <c r="F25" s="5"/>
      <c r="G25" s="5"/>
      <c r="K25" s="52"/>
      <c r="L25" s="50"/>
      <c r="M25" s="51"/>
      <c r="N25" s="5"/>
      <c r="AA25" s="5"/>
    </row>
    <row r="26" spans="1:27" ht="15.75" customHeight="1">
      <c r="A26" s="51" t="s">
        <v>3945</v>
      </c>
      <c r="B26" s="60" t="s">
        <v>1830</v>
      </c>
      <c r="C26" s="51" t="s">
        <v>205</v>
      </c>
      <c r="D26" s="54"/>
      <c r="E26" s="5"/>
      <c r="F26" s="5"/>
      <c r="G26" s="5"/>
      <c r="K26" s="52"/>
      <c r="L26" s="50"/>
      <c r="M26" s="51"/>
      <c r="N26" s="51"/>
      <c r="AA26" s="5"/>
    </row>
    <row r="27" spans="1:27" ht="15.75" customHeight="1">
      <c r="A27" s="51" t="s">
        <v>3946</v>
      </c>
      <c r="B27" s="60" t="s">
        <v>3130</v>
      </c>
      <c r="C27" s="51" t="s">
        <v>205</v>
      </c>
      <c r="D27" s="54"/>
      <c r="E27" s="5"/>
      <c r="F27" s="51"/>
      <c r="G27" s="5"/>
      <c r="K27" s="52"/>
      <c r="L27" s="50"/>
      <c r="M27" s="51"/>
      <c r="N27" s="51"/>
      <c r="AA27" s="5"/>
    </row>
    <row r="28" spans="1:27" ht="15.75" customHeight="1">
      <c r="A28" s="51" t="s">
        <v>3947</v>
      </c>
      <c r="B28" s="60" t="s">
        <v>329</v>
      </c>
      <c r="C28" s="51" t="s">
        <v>205</v>
      </c>
      <c r="D28" s="54"/>
      <c r="E28" s="5"/>
      <c r="F28" s="5"/>
      <c r="G28" s="5"/>
      <c r="J28" s="5"/>
      <c r="K28" s="52"/>
      <c r="L28" s="50"/>
      <c r="M28" s="51"/>
      <c r="N28" s="5"/>
      <c r="P28" s="5"/>
    </row>
    <row r="29" spans="1:27" ht="15.75" customHeight="1">
      <c r="A29" s="51" t="s">
        <v>3948</v>
      </c>
      <c r="B29" s="60" t="s">
        <v>3131</v>
      </c>
      <c r="C29" s="51" t="s">
        <v>808</v>
      </c>
      <c r="D29" s="54"/>
      <c r="E29" s="5"/>
      <c r="F29" s="5"/>
      <c r="G29" s="5"/>
      <c r="J29" s="5"/>
      <c r="K29" s="52"/>
      <c r="L29" s="50"/>
      <c r="M29" s="51"/>
      <c r="N29" s="51"/>
      <c r="P29" s="5"/>
    </row>
    <row r="30" spans="1:27" ht="15.75" customHeight="1">
      <c r="A30" s="51" t="s">
        <v>3949</v>
      </c>
      <c r="B30" s="60" t="s">
        <v>319</v>
      </c>
      <c r="C30" s="51" t="s">
        <v>199</v>
      </c>
      <c r="D30" s="54"/>
      <c r="E30" s="5"/>
      <c r="F30" s="5"/>
      <c r="G30" s="5"/>
      <c r="J30" s="5"/>
      <c r="K30" s="52"/>
      <c r="L30" s="50"/>
      <c r="M30" s="51"/>
      <c r="N30" s="5"/>
      <c r="P30" s="5"/>
    </row>
    <row r="31" spans="1:27" ht="15.75" customHeight="1">
      <c r="A31" s="51" t="s">
        <v>3950</v>
      </c>
      <c r="B31" s="60" t="s">
        <v>335</v>
      </c>
      <c r="C31" s="51" t="s">
        <v>205</v>
      </c>
      <c r="D31" s="54"/>
      <c r="E31" s="5"/>
      <c r="F31" s="5"/>
      <c r="G31" s="5"/>
      <c r="J31" s="5"/>
      <c r="K31" s="52"/>
      <c r="L31" s="50"/>
      <c r="M31" s="51"/>
      <c r="N31" s="51"/>
      <c r="P31" s="5"/>
    </row>
    <row r="32" spans="1:27" ht="15.75" customHeight="1">
      <c r="A32" s="51" t="s">
        <v>3951</v>
      </c>
      <c r="B32" s="60" t="s">
        <v>320</v>
      </c>
      <c r="C32" s="51" t="s">
        <v>192</v>
      </c>
      <c r="D32" s="54"/>
      <c r="E32" s="5"/>
      <c r="F32" s="5"/>
      <c r="G32" s="5"/>
      <c r="J32" s="5"/>
      <c r="K32" s="52"/>
      <c r="L32" s="50"/>
      <c r="M32" s="51"/>
      <c r="N32" s="5"/>
      <c r="P32" s="5"/>
    </row>
    <row r="33" spans="1:16" ht="15.75" customHeight="1">
      <c r="A33" s="51" t="s">
        <v>3952</v>
      </c>
      <c r="B33" s="60" t="s">
        <v>1265</v>
      </c>
      <c r="C33" s="51" t="s">
        <v>220</v>
      </c>
      <c r="D33" s="54"/>
      <c r="E33" s="5"/>
      <c r="F33" s="5"/>
      <c r="G33" s="5"/>
      <c r="J33" s="5"/>
      <c r="K33" s="52"/>
      <c r="L33" s="50"/>
      <c r="M33" s="51"/>
      <c r="N33" s="5"/>
      <c r="P33" s="5"/>
    </row>
    <row r="34" spans="1:16" ht="15.75" customHeight="1">
      <c r="A34" s="51" t="s">
        <v>3953</v>
      </c>
      <c r="B34" s="60" t="s">
        <v>1198</v>
      </c>
      <c r="C34" s="51" t="s">
        <v>220</v>
      </c>
      <c r="D34" s="54"/>
      <c r="E34" s="5"/>
      <c r="F34" s="5"/>
      <c r="G34" s="5"/>
      <c r="J34" s="5"/>
      <c r="K34" s="52"/>
      <c r="L34" s="50"/>
      <c r="M34" s="51"/>
      <c r="N34" s="5"/>
      <c r="P34" s="5"/>
    </row>
    <row r="35" spans="1:16" ht="15.75" customHeight="1">
      <c r="A35" s="51" t="s">
        <v>3954</v>
      </c>
      <c r="B35" s="60" t="s">
        <v>365</v>
      </c>
      <c r="C35" s="51" t="s">
        <v>195</v>
      </c>
      <c r="D35" s="54"/>
      <c r="E35" s="5"/>
      <c r="F35" s="5"/>
      <c r="G35" s="5"/>
      <c r="J35" s="5"/>
      <c r="K35" s="52"/>
      <c r="L35" s="50"/>
      <c r="M35" s="51"/>
      <c r="N35" s="51"/>
      <c r="P35" s="5"/>
    </row>
    <row r="36" spans="1:16" ht="15.75" customHeight="1">
      <c r="A36" s="51" t="s">
        <v>3955</v>
      </c>
      <c r="B36" s="60" t="s">
        <v>325</v>
      </c>
      <c r="C36" s="51" t="s">
        <v>205</v>
      </c>
      <c r="D36" s="54"/>
      <c r="E36" s="5"/>
      <c r="F36" s="5"/>
      <c r="G36" s="5"/>
      <c r="J36" s="5"/>
      <c r="M36" s="5"/>
      <c r="N36" s="5"/>
      <c r="P36" s="5"/>
    </row>
    <row r="37" spans="1:16" ht="15.75" customHeight="1">
      <c r="A37" s="51" t="s">
        <v>3956</v>
      </c>
      <c r="B37" s="60" t="s">
        <v>251</v>
      </c>
      <c r="C37" s="51" t="s">
        <v>192</v>
      </c>
      <c r="D37" s="54"/>
      <c r="E37" s="5"/>
      <c r="F37" s="5"/>
      <c r="G37" s="5"/>
      <c r="J37" s="5"/>
      <c r="M37" s="5"/>
      <c r="N37" s="5"/>
    </row>
    <row r="38" spans="1:16" ht="15.75" customHeight="1">
      <c r="A38" s="51" t="s">
        <v>3957</v>
      </c>
      <c r="B38" s="60" t="s">
        <v>272</v>
      </c>
      <c r="C38" s="51" t="s">
        <v>197</v>
      </c>
      <c r="D38" s="54"/>
      <c r="E38" s="5"/>
      <c r="F38" s="5"/>
      <c r="G38" s="5"/>
      <c r="J38" s="5"/>
      <c r="M38" s="51"/>
      <c r="N38" s="51"/>
    </row>
    <row r="39" spans="1:16" ht="15.75" customHeight="1">
      <c r="A39" s="51" t="s">
        <v>3958</v>
      </c>
      <c r="B39" s="60" t="s">
        <v>1370</v>
      </c>
      <c r="C39" s="51" t="s">
        <v>808</v>
      </c>
      <c r="D39" s="54"/>
      <c r="E39" s="5"/>
      <c r="F39" s="5"/>
      <c r="G39" s="5"/>
      <c r="J39" s="5"/>
      <c r="M39" s="51"/>
      <c r="N39" s="51"/>
    </row>
    <row r="40" spans="1:16" ht="15.75" customHeight="1">
      <c r="A40" s="51" t="s">
        <v>3959</v>
      </c>
      <c r="B40" s="60" t="s">
        <v>232</v>
      </c>
      <c r="C40" s="51" t="s">
        <v>205</v>
      </c>
      <c r="D40" s="54"/>
      <c r="E40" s="5"/>
      <c r="F40" s="5"/>
      <c r="G40" s="5"/>
      <c r="J40" s="5"/>
      <c r="M40" s="51"/>
      <c r="N40" s="51"/>
    </row>
    <row r="41" spans="1:16" ht="15.75" customHeight="1">
      <c r="A41" s="51" t="s">
        <v>3960</v>
      </c>
      <c r="B41" s="60" t="s">
        <v>3119</v>
      </c>
      <c r="C41" s="51" t="s">
        <v>808</v>
      </c>
      <c r="D41" s="54"/>
      <c r="E41" s="5"/>
      <c r="F41" s="5"/>
      <c r="G41" s="5"/>
      <c r="J41" s="5"/>
      <c r="M41" s="51"/>
      <c r="N41" s="51"/>
    </row>
    <row r="42" spans="1:16" ht="15.75" customHeight="1">
      <c r="A42" s="51" t="s">
        <v>3961</v>
      </c>
      <c r="B42" s="60" t="s">
        <v>376</v>
      </c>
      <c r="C42" s="51" t="s">
        <v>208</v>
      </c>
      <c r="D42" s="54"/>
      <c r="E42" s="5"/>
      <c r="F42" s="5"/>
      <c r="G42" s="5"/>
      <c r="J42" s="5"/>
      <c r="M42" s="51"/>
      <c r="N42" s="51"/>
    </row>
    <row r="43" spans="1:16" ht="15.75" customHeight="1">
      <c r="A43" s="51" t="s">
        <v>3962</v>
      </c>
      <c r="B43" s="60" t="s">
        <v>793</v>
      </c>
      <c r="C43" s="51" t="s">
        <v>197</v>
      </c>
      <c r="D43" s="54"/>
      <c r="E43" s="5"/>
      <c r="F43" s="5"/>
      <c r="G43" s="5"/>
      <c r="J43" s="5"/>
      <c r="M43" s="51"/>
      <c r="N43" s="51"/>
    </row>
    <row r="44" spans="1:16" ht="15.75" customHeight="1">
      <c r="A44" s="51" t="s">
        <v>3963</v>
      </c>
      <c r="B44" s="60" t="s">
        <v>3964</v>
      </c>
      <c r="C44" s="51" t="s">
        <v>195</v>
      </c>
      <c r="D44" s="54"/>
      <c r="E44" s="5"/>
      <c r="F44" s="5"/>
      <c r="G44" s="5"/>
      <c r="J44" s="5"/>
      <c r="M44" s="51"/>
      <c r="N44" s="51"/>
    </row>
    <row r="45" spans="1:16" ht="15.75" customHeight="1">
      <c r="A45" s="51" t="s">
        <v>3965</v>
      </c>
      <c r="B45" s="60" t="s">
        <v>326</v>
      </c>
      <c r="C45" s="51" t="s">
        <v>208</v>
      </c>
      <c r="D45" s="54"/>
      <c r="E45" s="5"/>
      <c r="F45" s="5"/>
      <c r="G45" s="5"/>
      <c r="J45" s="5"/>
      <c r="M45" s="51"/>
      <c r="N45" s="51"/>
      <c r="P45" s="5"/>
    </row>
    <row r="46" spans="1:16" ht="15.75" customHeight="1">
      <c r="A46" s="51" t="s">
        <v>3966</v>
      </c>
      <c r="B46" s="60" t="s">
        <v>1250</v>
      </c>
      <c r="C46" s="51" t="s">
        <v>220</v>
      </c>
      <c r="D46" s="54"/>
      <c r="E46" s="5"/>
      <c r="F46" s="5"/>
      <c r="G46" s="5"/>
      <c r="J46" s="5"/>
      <c r="M46" s="51"/>
      <c r="N46" s="51"/>
      <c r="P46" s="5"/>
    </row>
    <row r="47" spans="1:16" ht="15.75" customHeight="1">
      <c r="A47" s="51" t="s">
        <v>3967</v>
      </c>
      <c r="B47" s="60" t="s">
        <v>1197</v>
      </c>
      <c r="C47" s="51" t="s">
        <v>220</v>
      </c>
      <c r="D47" s="54"/>
      <c r="E47" s="5"/>
      <c r="F47" s="5"/>
      <c r="G47" s="5"/>
      <c r="J47" s="5"/>
      <c r="M47" s="5"/>
      <c r="N47" s="5"/>
      <c r="P47" s="5"/>
    </row>
    <row r="48" spans="1:16" ht="15.75" customHeight="1">
      <c r="A48" s="51" t="s">
        <v>3968</v>
      </c>
      <c r="B48" s="60" t="s">
        <v>3146</v>
      </c>
      <c r="C48" s="51" t="s">
        <v>205</v>
      </c>
      <c r="D48" s="54"/>
      <c r="E48" s="5"/>
      <c r="F48" s="5"/>
      <c r="G48" s="5"/>
      <c r="J48" s="5"/>
      <c r="M48" s="5"/>
      <c r="N48" s="5"/>
      <c r="P48" s="5"/>
    </row>
    <row r="49" spans="1:16" ht="15.75" customHeight="1">
      <c r="A49" s="51" t="s">
        <v>3969</v>
      </c>
      <c r="B49" s="60" t="s">
        <v>280</v>
      </c>
      <c r="C49" s="51" t="s">
        <v>197</v>
      </c>
      <c r="D49" s="54"/>
      <c r="E49" s="5"/>
      <c r="F49" s="5"/>
      <c r="G49" s="5"/>
      <c r="J49" s="5"/>
      <c r="M49" s="5"/>
      <c r="N49" s="5"/>
      <c r="P49" s="5"/>
    </row>
    <row r="50" spans="1:16" ht="15.75" customHeight="1">
      <c r="A50" s="51" t="s">
        <v>3970</v>
      </c>
      <c r="B50" s="60" t="s">
        <v>3134</v>
      </c>
      <c r="C50" s="51" t="s">
        <v>195</v>
      </c>
      <c r="D50" s="54"/>
      <c r="E50" s="5"/>
      <c r="F50" s="5"/>
      <c r="G50" s="5"/>
      <c r="J50" s="5"/>
      <c r="M50" s="5"/>
      <c r="N50" s="5"/>
      <c r="P50" s="5"/>
    </row>
    <row r="51" spans="1:16" ht="15.75" customHeight="1">
      <c r="A51" s="51" t="s">
        <v>3971</v>
      </c>
      <c r="B51" s="60" t="s">
        <v>203</v>
      </c>
      <c r="C51" s="51" t="s">
        <v>197</v>
      </c>
      <c r="D51" s="54"/>
      <c r="E51" s="5"/>
      <c r="F51" s="5"/>
      <c r="G51" s="5"/>
      <c r="J51" s="5"/>
      <c r="M51" s="5"/>
      <c r="N51" s="5"/>
      <c r="P51" s="5"/>
    </row>
    <row r="52" spans="1:16" ht="15.75" customHeight="1">
      <c r="A52" s="51" t="s">
        <v>3972</v>
      </c>
      <c r="B52" s="60" t="s">
        <v>203</v>
      </c>
      <c r="C52" s="51" t="s">
        <v>197</v>
      </c>
      <c r="D52" s="54"/>
      <c r="E52" s="5"/>
      <c r="F52" s="5"/>
      <c r="G52" s="5"/>
      <c r="J52" s="5"/>
      <c r="M52" s="5"/>
      <c r="N52" s="5"/>
      <c r="P52" s="5"/>
    </row>
    <row r="53" spans="1:16" ht="13">
      <c r="A53" s="51" t="s">
        <v>3973</v>
      </c>
      <c r="B53" s="60" t="s">
        <v>867</v>
      </c>
      <c r="C53" s="51" t="s">
        <v>225</v>
      </c>
      <c r="D53" s="54"/>
      <c r="E53" s="5"/>
      <c r="F53" s="5"/>
      <c r="G53" s="5"/>
      <c r="J53" s="5"/>
      <c r="M53" s="5"/>
      <c r="N53" s="5"/>
      <c r="P53" s="5"/>
    </row>
    <row r="54" spans="1:16" ht="13">
      <c r="A54" s="51" t="s">
        <v>3974</v>
      </c>
      <c r="B54" s="60" t="s">
        <v>381</v>
      </c>
      <c r="C54" s="51" t="s">
        <v>195</v>
      </c>
      <c r="D54" s="54"/>
      <c r="E54" s="5"/>
      <c r="F54" s="5"/>
      <c r="G54" s="5"/>
      <c r="J54" s="5"/>
      <c r="M54" s="5"/>
      <c r="N54" s="5"/>
      <c r="P54" s="5"/>
    </row>
    <row r="55" spans="1:16" ht="13">
      <c r="A55" s="51" t="s">
        <v>3975</v>
      </c>
      <c r="B55" s="60" t="s">
        <v>246</v>
      </c>
      <c r="C55" s="51" t="s">
        <v>225</v>
      </c>
      <c r="D55" s="54"/>
      <c r="E55" s="5"/>
      <c r="F55" s="5"/>
      <c r="G55" s="5"/>
      <c r="J55" s="5"/>
      <c r="M55" s="5"/>
      <c r="N55" s="5"/>
      <c r="P55" s="5"/>
    </row>
    <row r="56" spans="1:16" ht="13">
      <c r="A56" s="51" t="s">
        <v>3976</v>
      </c>
      <c r="B56" s="60" t="s">
        <v>361</v>
      </c>
      <c r="C56" s="51" t="s">
        <v>225</v>
      </c>
      <c r="D56" s="54"/>
      <c r="E56" s="5"/>
      <c r="F56" s="5"/>
      <c r="G56" s="5"/>
      <c r="J56" s="5"/>
      <c r="M56" s="5"/>
      <c r="N56" s="5"/>
      <c r="P56" s="5"/>
    </row>
    <row r="57" spans="1:16" ht="13">
      <c r="A57" s="51" t="s">
        <v>3977</v>
      </c>
      <c r="B57" s="60" t="s">
        <v>939</v>
      </c>
      <c r="C57" s="51" t="s">
        <v>808</v>
      </c>
      <c r="D57" s="54"/>
      <c r="E57" s="5"/>
      <c r="F57" s="5"/>
      <c r="G57" s="5"/>
      <c r="J57" s="5"/>
      <c r="M57" s="5"/>
      <c r="N57" s="5"/>
      <c r="P57" s="5"/>
    </row>
    <row r="58" spans="1:16" ht="13">
      <c r="A58" s="51" t="s">
        <v>3978</v>
      </c>
      <c r="B58" s="60" t="s">
        <v>939</v>
      </c>
      <c r="C58" s="51" t="s">
        <v>808</v>
      </c>
      <c r="D58" s="54"/>
      <c r="E58" s="5"/>
      <c r="F58" s="5"/>
      <c r="G58" s="5"/>
      <c r="J58" s="5"/>
      <c r="M58" s="5"/>
      <c r="N58" s="5"/>
      <c r="P58" s="5"/>
    </row>
    <row r="59" spans="1:16" ht="13">
      <c r="A59" s="51" t="s">
        <v>3979</v>
      </c>
      <c r="B59" s="60" t="s">
        <v>1294</v>
      </c>
      <c r="C59" s="51" t="s">
        <v>225</v>
      </c>
      <c r="D59" s="54"/>
      <c r="E59" s="5"/>
      <c r="F59" s="5"/>
      <c r="G59" s="5"/>
      <c r="J59" s="5"/>
      <c r="M59" s="5"/>
      <c r="N59" s="5"/>
      <c r="P59" s="5"/>
    </row>
    <row r="60" spans="1:16" ht="13">
      <c r="A60" s="51" t="s">
        <v>3980</v>
      </c>
      <c r="B60" s="60" t="s">
        <v>1368</v>
      </c>
      <c r="C60" s="51" t="s">
        <v>220</v>
      </c>
      <c r="D60" s="54"/>
      <c r="E60" s="5"/>
      <c r="F60" s="5"/>
      <c r="G60" s="5"/>
      <c r="J60" s="5"/>
      <c r="M60" s="5"/>
      <c r="N60" s="5"/>
      <c r="P60" s="5"/>
    </row>
    <row r="61" spans="1:16" ht="13">
      <c r="A61" s="51" t="s">
        <v>3981</v>
      </c>
      <c r="B61" s="60" t="s">
        <v>227</v>
      </c>
      <c r="C61" s="51" t="s">
        <v>195</v>
      </c>
      <c r="D61" s="54"/>
      <c r="E61" s="5"/>
      <c r="F61" s="5"/>
      <c r="G61" s="5"/>
      <c r="J61" s="5"/>
      <c r="M61" s="5"/>
      <c r="N61" s="5"/>
      <c r="P61" s="5"/>
    </row>
    <row r="62" spans="1:16" ht="13">
      <c r="A62" s="51" t="s">
        <v>3982</v>
      </c>
      <c r="B62" s="60" t="s">
        <v>807</v>
      </c>
      <c r="C62" s="51" t="s">
        <v>808</v>
      </c>
      <c r="D62" s="54"/>
      <c r="E62" s="5"/>
      <c r="F62" s="5"/>
      <c r="G62" s="5"/>
      <c r="J62" s="5"/>
      <c r="M62" s="5"/>
      <c r="N62" s="5"/>
      <c r="P62" s="5"/>
    </row>
    <row r="63" spans="1:16" ht="13">
      <c r="A63" s="51" t="s">
        <v>3983</v>
      </c>
      <c r="B63" s="60" t="s">
        <v>807</v>
      </c>
      <c r="C63" s="51" t="s">
        <v>808</v>
      </c>
      <c r="D63" s="54"/>
      <c r="E63" s="5"/>
      <c r="F63" s="5"/>
      <c r="G63" s="5"/>
      <c r="J63" s="5"/>
      <c r="M63" s="5"/>
      <c r="N63" s="5"/>
      <c r="P63" s="5"/>
    </row>
    <row r="64" spans="1:16" ht="13">
      <c r="A64" s="51" t="s">
        <v>3984</v>
      </c>
      <c r="B64" s="60" t="s">
        <v>352</v>
      </c>
      <c r="C64" s="51" t="s">
        <v>205</v>
      </c>
      <c r="D64" s="54"/>
      <c r="E64" s="5"/>
      <c r="F64" s="5"/>
      <c r="G64" s="5"/>
      <c r="J64" s="5"/>
      <c r="M64" s="5"/>
      <c r="N64" s="5"/>
      <c r="P64" s="5"/>
    </row>
    <row r="65" spans="1:16" ht="13">
      <c r="A65" s="51" t="s">
        <v>3985</v>
      </c>
      <c r="B65" s="60" t="s">
        <v>191</v>
      </c>
      <c r="C65" s="51" t="s">
        <v>192</v>
      </c>
      <c r="D65" s="54"/>
      <c r="E65" s="5"/>
      <c r="F65" s="5"/>
      <c r="G65" s="5"/>
      <c r="J65" s="5"/>
      <c r="M65" s="5"/>
      <c r="N65" s="5"/>
      <c r="P65" s="5"/>
    </row>
    <row r="66" spans="1:16" ht="13">
      <c r="A66" s="51" t="s">
        <v>3986</v>
      </c>
      <c r="B66" s="60" t="s">
        <v>956</v>
      </c>
      <c r="C66" s="51" t="s">
        <v>205</v>
      </c>
      <c r="D66" s="54"/>
      <c r="E66" s="5"/>
      <c r="F66" s="5"/>
      <c r="G66" s="5"/>
      <c r="J66" s="5"/>
      <c r="M66" s="5"/>
      <c r="N66" s="5"/>
      <c r="P66" s="5"/>
    </row>
    <row r="67" spans="1:16" ht="13">
      <c r="A67" s="51" t="s">
        <v>3987</v>
      </c>
      <c r="B67" s="60" t="s">
        <v>956</v>
      </c>
      <c r="C67" s="51" t="s">
        <v>205</v>
      </c>
      <c r="D67" s="54"/>
      <c r="E67" s="5"/>
      <c r="F67" s="5"/>
      <c r="G67" s="5"/>
      <c r="J67" s="5"/>
      <c r="M67" s="5"/>
      <c r="N67" s="5"/>
      <c r="P67" s="5"/>
    </row>
    <row r="68" spans="1:16" ht="13">
      <c r="A68" s="51" t="s">
        <v>3988</v>
      </c>
      <c r="B68" s="60" t="s">
        <v>292</v>
      </c>
      <c r="C68" s="51" t="s">
        <v>197</v>
      </c>
      <c r="D68" s="54"/>
      <c r="E68" s="5"/>
      <c r="F68" s="5"/>
      <c r="G68" s="5"/>
      <c r="J68" s="5"/>
      <c r="M68" s="5"/>
      <c r="N68" s="5"/>
      <c r="P68" s="5"/>
    </row>
    <row r="69" spans="1:16" ht="13">
      <c r="A69" s="51" t="s">
        <v>3989</v>
      </c>
      <c r="B69" s="60" t="s">
        <v>232</v>
      </c>
      <c r="C69" s="51" t="s">
        <v>205</v>
      </c>
      <c r="D69" s="54"/>
      <c r="E69" s="5"/>
      <c r="F69" s="5"/>
      <c r="G69" s="5"/>
      <c r="J69" s="5"/>
      <c r="M69" s="5"/>
      <c r="N69" s="5"/>
      <c r="P69" s="5"/>
    </row>
    <row r="70" spans="1:16" ht="13">
      <c r="A70" s="51" t="s">
        <v>3990</v>
      </c>
      <c r="B70" s="60" t="s">
        <v>387</v>
      </c>
      <c r="C70" s="51" t="s">
        <v>208</v>
      </c>
      <c r="D70" s="54"/>
      <c r="E70" s="51"/>
      <c r="F70" s="5"/>
      <c r="G70" s="5"/>
      <c r="J70" s="5"/>
      <c r="M70" s="5"/>
      <c r="N70" s="5"/>
      <c r="P70" s="5"/>
    </row>
    <row r="71" spans="1:16" ht="13">
      <c r="A71" s="51" t="s">
        <v>3991</v>
      </c>
      <c r="B71" s="60" t="s">
        <v>980</v>
      </c>
      <c r="C71" s="51" t="s">
        <v>199</v>
      </c>
      <c r="D71" s="5"/>
      <c r="J71" s="5"/>
      <c r="M71" s="5"/>
      <c r="N71" s="5"/>
      <c r="P71" s="5"/>
    </row>
    <row r="72" spans="1:16" ht="13">
      <c r="A72" s="51" t="s">
        <v>3992</v>
      </c>
      <c r="B72" s="60" t="s">
        <v>810</v>
      </c>
      <c r="C72" s="51" t="s">
        <v>808</v>
      </c>
      <c r="D72" s="54"/>
      <c r="E72" s="5"/>
      <c r="F72" s="5"/>
      <c r="G72" s="5"/>
      <c r="J72" s="5"/>
      <c r="M72" s="5"/>
      <c r="N72" s="5"/>
      <c r="P72" s="5"/>
    </row>
    <row r="73" spans="1:16" ht="13">
      <c r="A73" s="51" t="s">
        <v>3993</v>
      </c>
      <c r="B73" s="60" t="s">
        <v>3149</v>
      </c>
      <c r="C73" s="51" t="s">
        <v>808</v>
      </c>
      <c r="D73" s="54"/>
      <c r="E73" s="5"/>
      <c r="F73" s="5"/>
      <c r="G73" s="5"/>
      <c r="J73" s="5"/>
      <c r="M73" s="5"/>
      <c r="N73" s="5"/>
      <c r="P73" s="5"/>
    </row>
    <row r="74" spans="1:16" ht="13">
      <c r="A74" s="51" t="s">
        <v>3994</v>
      </c>
      <c r="B74" s="60" t="s">
        <v>216</v>
      </c>
      <c r="C74" s="51" t="s">
        <v>197</v>
      </c>
      <c r="D74" s="54"/>
      <c r="E74" s="5"/>
      <c r="F74" s="5"/>
      <c r="G74" s="5"/>
      <c r="J74" s="5"/>
      <c r="M74" s="5"/>
      <c r="N74" s="5"/>
      <c r="P74" s="5"/>
    </row>
    <row r="75" spans="1:16" ht="13">
      <c r="A75" s="51" t="s">
        <v>3995</v>
      </c>
      <c r="B75" s="60" t="s">
        <v>3996</v>
      </c>
      <c r="C75" s="51" t="s">
        <v>229</v>
      </c>
      <c r="D75" s="54"/>
      <c r="E75" s="5"/>
      <c r="F75" s="5"/>
      <c r="G75" s="5"/>
      <c r="J75" s="5"/>
      <c r="M75" s="5"/>
      <c r="N75" s="5"/>
      <c r="P75" s="5"/>
    </row>
    <row r="76" spans="1:16" ht="13">
      <c r="A76" s="51" t="s">
        <v>3997</v>
      </c>
      <c r="B76" s="60" t="s">
        <v>306</v>
      </c>
      <c r="C76" s="51" t="s">
        <v>206</v>
      </c>
      <c r="D76" s="54"/>
      <c r="E76" s="5"/>
      <c r="F76" s="5"/>
      <c r="G76" s="5"/>
      <c r="J76" s="5"/>
      <c r="M76" s="5"/>
      <c r="N76" s="5"/>
      <c r="P76" s="5"/>
    </row>
    <row r="77" spans="1:16" ht="13">
      <c r="A77" s="51" t="s">
        <v>3998</v>
      </c>
      <c r="B77" s="60" t="s">
        <v>3999</v>
      </c>
      <c r="C77" s="51" t="s">
        <v>206</v>
      </c>
      <c r="D77" s="54"/>
      <c r="E77" s="5"/>
      <c r="F77" s="5"/>
      <c r="G77" s="5"/>
      <c r="J77" s="5"/>
      <c r="M77" s="5"/>
      <c r="N77" s="5"/>
      <c r="P77" s="5"/>
    </row>
    <row r="78" spans="1:16" ht="13">
      <c r="A78" s="51" t="s">
        <v>4000</v>
      </c>
      <c r="B78" s="60" t="s">
        <v>4001</v>
      </c>
      <c r="C78" s="51" t="s">
        <v>1013</v>
      </c>
      <c r="D78" s="54"/>
      <c r="E78" s="5"/>
      <c r="F78" s="5"/>
      <c r="G78" s="5"/>
      <c r="J78" s="5"/>
      <c r="M78" s="5"/>
      <c r="N78" s="5"/>
      <c r="P78" s="5"/>
    </row>
    <row r="79" spans="1:16" ht="13">
      <c r="A79" s="51" t="s">
        <v>4002</v>
      </c>
      <c r="B79" s="60" t="s">
        <v>4003</v>
      </c>
      <c r="C79" s="51" t="s">
        <v>206</v>
      </c>
      <c r="D79" s="54"/>
      <c r="E79" s="5"/>
      <c r="F79" s="5"/>
      <c r="G79" s="5"/>
      <c r="J79" s="5"/>
      <c r="M79" s="5"/>
      <c r="N79" s="5"/>
      <c r="P79" s="5"/>
    </row>
    <row r="80" spans="1:16" ht="13">
      <c r="A80" s="51" t="s">
        <v>4004</v>
      </c>
      <c r="B80" s="60" t="s">
        <v>4005</v>
      </c>
      <c r="C80" s="51" t="s">
        <v>229</v>
      </c>
      <c r="D80" s="54"/>
      <c r="E80" s="5"/>
      <c r="F80" s="5"/>
      <c r="G80" s="5"/>
      <c r="J80" s="5"/>
      <c r="M80" s="5"/>
      <c r="N80" s="5"/>
      <c r="P80" s="5"/>
    </row>
    <row r="81" spans="1:16" ht="13">
      <c r="A81" s="51" t="s">
        <v>4006</v>
      </c>
      <c r="B81" s="60" t="s">
        <v>4007</v>
      </c>
      <c r="C81" s="51" t="s">
        <v>1013</v>
      </c>
      <c r="D81" s="54"/>
      <c r="E81" s="5"/>
      <c r="F81" s="5"/>
      <c r="G81" s="5"/>
      <c r="J81" s="5"/>
      <c r="M81" s="5"/>
      <c r="N81" s="5"/>
      <c r="P81" s="5"/>
    </row>
    <row r="82" spans="1:16" ht="13">
      <c r="A82" s="51" t="s">
        <v>4008</v>
      </c>
      <c r="B82" s="60" t="s">
        <v>4009</v>
      </c>
      <c r="C82" s="51" t="s">
        <v>1013</v>
      </c>
      <c r="D82" s="54"/>
      <c r="E82" s="5"/>
      <c r="F82" s="5"/>
      <c r="G82" s="5"/>
      <c r="J82" s="5"/>
      <c r="M82" s="5"/>
      <c r="N82" s="5"/>
      <c r="P82" s="5"/>
    </row>
    <row r="83" spans="1:16" ht="13">
      <c r="A83" s="51" t="s">
        <v>4010</v>
      </c>
      <c r="B83" s="60" t="s">
        <v>933</v>
      </c>
      <c r="C83" s="51" t="s">
        <v>317</v>
      </c>
      <c r="D83" s="54"/>
      <c r="E83" s="5"/>
      <c r="F83" s="5"/>
      <c r="G83" s="5"/>
      <c r="J83" s="5"/>
      <c r="M83" s="5"/>
      <c r="N83" s="5"/>
      <c r="P83" s="5"/>
    </row>
    <row r="84" spans="1:16" ht="13">
      <c r="A84" s="51" t="s">
        <v>4011</v>
      </c>
      <c r="B84" s="60" t="s">
        <v>798</v>
      </c>
      <c r="C84" s="51" t="s">
        <v>317</v>
      </c>
      <c r="D84" s="54"/>
      <c r="E84" s="5"/>
      <c r="F84" s="5"/>
      <c r="G84" s="5"/>
      <c r="J84" s="5"/>
      <c r="M84" s="5"/>
      <c r="N84" s="5"/>
      <c r="P84" s="5"/>
    </row>
    <row r="85" spans="1:16" ht="13">
      <c r="A85" s="51" t="s">
        <v>4012</v>
      </c>
      <c r="B85" s="60" t="s">
        <v>936</v>
      </c>
      <c r="C85" s="51" t="s">
        <v>195</v>
      </c>
      <c r="D85" s="54"/>
      <c r="E85" s="5"/>
      <c r="F85" s="5"/>
      <c r="G85" s="5"/>
      <c r="J85" s="5"/>
      <c r="M85" s="5"/>
      <c r="N85" s="5"/>
      <c r="P85" s="5"/>
    </row>
    <row r="86" spans="1:16" ht="13">
      <c r="A86" s="51" t="s">
        <v>4013</v>
      </c>
      <c r="B86" s="60" t="s">
        <v>938</v>
      </c>
      <c r="C86" s="51" t="s">
        <v>808</v>
      </c>
      <c r="D86" s="54"/>
      <c r="E86" s="5"/>
      <c r="F86" s="5"/>
      <c r="G86" s="5"/>
      <c r="J86" s="5"/>
      <c r="M86" s="5"/>
      <c r="N86" s="5"/>
      <c r="P86" s="5"/>
    </row>
    <row r="87" spans="1:16" ht="13">
      <c r="A87" s="51" t="s">
        <v>4014</v>
      </c>
      <c r="B87" s="60" t="s">
        <v>251</v>
      </c>
      <c r="C87" s="51" t="s">
        <v>192</v>
      </c>
      <c r="D87" s="54"/>
      <c r="E87" s="5"/>
      <c r="F87" s="5"/>
      <c r="G87" s="5"/>
      <c r="J87" s="5"/>
      <c r="M87" s="5"/>
      <c r="N87" s="5"/>
      <c r="P87" s="5"/>
    </row>
    <row r="88" spans="1:16" ht="13">
      <c r="A88" s="51" t="s">
        <v>4015</v>
      </c>
      <c r="B88" s="60" t="s">
        <v>219</v>
      </c>
      <c r="C88" s="51" t="s">
        <v>220</v>
      </c>
      <c r="D88" s="54"/>
      <c r="E88" s="5"/>
      <c r="F88" s="5"/>
      <c r="G88" s="5"/>
      <c r="J88" s="5"/>
      <c r="M88" s="5"/>
      <c r="N88" s="5"/>
      <c r="P88" s="5"/>
    </row>
    <row r="89" spans="1:16" ht="13">
      <c r="A89" s="51" t="s">
        <v>4016</v>
      </c>
      <c r="B89" s="60" t="s">
        <v>789</v>
      </c>
      <c r="C89" s="51" t="s">
        <v>195</v>
      </c>
      <c r="D89" s="54"/>
      <c r="E89" s="5"/>
      <c r="F89" s="5"/>
      <c r="G89" s="5"/>
      <c r="J89" s="5"/>
      <c r="M89" s="5"/>
      <c r="N89" s="5"/>
      <c r="P89" s="5"/>
    </row>
    <row r="90" spans="1:16" ht="13">
      <c r="A90" s="51" t="s">
        <v>4017</v>
      </c>
      <c r="B90" s="60" t="s">
        <v>942</v>
      </c>
      <c r="C90" s="51" t="s">
        <v>808</v>
      </c>
      <c r="D90" s="54"/>
      <c r="E90" s="5"/>
      <c r="F90" s="5"/>
      <c r="G90" s="5"/>
      <c r="J90" s="5"/>
      <c r="M90" s="5"/>
      <c r="N90" s="5"/>
      <c r="P90" s="5"/>
    </row>
    <row r="91" spans="1:16" ht="13">
      <c r="A91" s="51" t="s">
        <v>4018</v>
      </c>
      <c r="B91" s="61" t="s">
        <v>4019</v>
      </c>
      <c r="C91" s="51" t="s">
        <v>4020</v>
      </c>
      <c r="D91" s="51"/>
      <c r="E91" s="5"/>
      <c r="F91" s="5"/>
      <c r="G91" s="5"/>
      <c r="J91" s="5"/>
      <c r="M91" s="5"/>
      <c r="N91" s="5"/>
      <c r="P91" s="5"/>
    </row>
    <row r="92" spans="1:16" ht="13">
      <c r="A92" s="51" t="s">
        <v>4021</v>
      </c>
      <c r="B92" s="61" t="s">
        <v>4019</v>
      </c>
      <c r="C92" s="51" t="s">
        <v>4020</v>
      </c>
      <c r="D92" s="54"/>
      <c r="E92" s="5"/>
      <c r="F92" s="5"/>
      <c r="G92" s="5"/>
      <c r="J92" s="5"/>
      <c r="M92" s="5"/>
      <c r="N92" s="5"/>
      <c r="P92" s="5"/>
    </row>
    <row r="93" spans="1:16" ht="13">
      <c r="A93" s="51" t="s">
        <v>4022</v>
      </c>
      <c r="B93" s="61" t="s">
        <v>4023</v>
      </c>
      <c r="C93" s="51" t="s">
        <v>4024</v>
      </c>
      <c r="D93" s="54"/>
      <c r="E93" s="5"/>
      <c r="F93" s="5"/>
      <c r="G93" s="5"/>
      <c r="J93" s="5"/>
      <c r="M93" s="5"/>
      <c r="N93" s="5"/>
      <c r="P93" s="5"/>
    </row>
    <row r="94" spans="1:16" ht="13">
      <c r="A94" s="51" t="s">
        <v>4025</v>
      </c>
      <c r="B94" s="61" t="s">
        <v>4023</v>
      </c>
      <c r="C94" s="51" t="s">
        <v>4024</v>
      </c>
      <c r="D94" s="54"/>
      <c r="E94" s="5"/>
      <c r="F94" s="5"/>
      <c r="G94" s="5"/>
      <c r="J94" s="5"/>
      <c r="M94" s="5"/>
      <c r="N94" s="5"/>
      <c r="P94" s="5"/>
    </row>
    <row r="95" spans="1:16" ht="13">
      <c r="A95" s="51" t="s">
        <v>4026</v>
      </c>
      <c r="B95" s="60" t="s">
        <v>3923</v>
      </c>
      <c r="C95" s="51" t="s">
        <v>206</v>
      </c>
      <c r="D95" s="54"/>
      <c r="E95" s="5"/>
      <c r="F95" s="5"/>
      <c r="G95" s="5"/>
      <c r="J95" s="5"/>
      <c r="M95" s="5"/>
      <c r="N95" s="5"/>
      <c r="P95" s="5"/>
    </row>
    <row r="96" spans="1:16" ht="13">
      <c r="A96" s="51"/>
      <c r="C96" s="51"/>
      <c r="D96" s="54"/>
      <c r="E96" s="5"/>
      <c r="F96" s="5"/>
      <c r="G96" s="5"/>
      <c r="J96" s="5"/>
      <c r="M96" s="5"/>
      <c r="N96" s="5"/>
      <c r="P96" s="5"/>
    </row>
    <row r="97" spans="1:16" ht="13">
      <c r="A97" s="51"/>
      <c r="C97" s="51"/>
      <c r="D97" s="54"/>
      <c r="E97" s="5"/>
      <c r="F97" s="5"/>
      <c r="G97" s="5"/>
      <c r="J97" s="5"/>
      <c r="M97" s="5"/>
      <c r="N97" s="5"/>
      <c r="P97" s="5"/>
    </row>
    <row r="98" spans="1:16" ht="13">
      <c r="A98" s="51"/>
      <c r="C98" s="51"/>
      <c r="D98" s="54"/>
      <c r="E98" s="5"/>
      <c r="F98" s="5"/>
      <c r="G98" s="5"/>
      <c r="J98" s="5"/>
      <c r="M98" s="5"/>
      <c r="N98" s="5"/>
      <c r="P98" s="5"/>
    </row>
    <row r="99" spans="1:16" ht="13">
      <c r="A99" s="51"/>
      <c r="C99" s="51"/>
      <c r="D99" s="54"/>
      <c r="E99" s="5"/>
      <c r="F99" s="5"/>
      <c r="G99" s="5"/>
      <c r="J99" s="5"/>
      <c r="M99" s="5"/>
      <c r="N99" s="5"/>
      <c r="P99" s="5"/>
    </row>
    <row r="100" spans="1:16" ht="13">
      <c r="A100" s="51"/>
      <c r="C100" s="51"/>
      <c r="D100" s="54"/>
      <c r="E100" s="5"/>
      <c r="F100" s="5"/>
      <c r="G100" s="5"/>
      <c r="J100" s="5"/>
      <c r="M100" s="5"/>
      <c r="N100" s="5"/>
      <c r="P100" s="5"/>
    </row>
    <row r="101" spans="1:16" ht="13">
      <c r="A101" s="51"/>
      <c r="C101" s="51"/>
      <c r="D101" s="54"/>
      <c r="E101" s="5"/>
      <c r="F101" s="5"/>
      <c r="G101" s="5"/>
      <c r="J101" s="5"/>
      <c r="M101" s="5"/>
      <c r="N101" s="5"/>
      <c r="P101" s="5"/>
    </row>
    <row r="102" spans="1:16" ht="13">
      <c r="A102" s="51"/>
      <c r="C102" s="51"/>
      <c r="D102" s="54"/>
      <c r="E102" s="51"/>
      <c r="F102" s="5"/>
      <c r="G102" s="5"/>
      <c r="J102" s="5"/>
      <c r="M102" s="5"/>
      <c r="N102" s="5"/>
      <c r="P102" s="5"/>
    </row>
    <row r="103" spans="1:16" ht="13">
      <c r="A103" s="51"/>
      <c r="C103" s="51"/>
      <c r="D103" s="54"/>
      <c r="E103" s="5"/>
      <c r="F103" s="5"/>
      <c r="G103" s="5"/>
      <c r="J103" s="5"/>
      <c r="M103" s="5"/>
      <c r="N103" s="5"/>
      <c r="P103" s="5"/>
    </row>
    <row r="104" spans="1:16" ht="13">
      <c r="A104" s="51"/>
      <c r="C104" s="51"/>
      <c r="D104" s="54"/>
      <c r="E104" s="5"/>
      <c r="F104" s="5"/>
      <c r="G104" s="5"/>
      <c r="J104" s="5"/>
      <c r="M104" s="5"/>
      <c r="N104" s="5"/>
      <c r="P104" s="5"/>
    </row>
    <row r="105" spans="1:16" ht="13">
      <c r="A105" s="51"/>
      <c r="C105" s="51"/>
      <c r="D105" s="54"/>
      <c r="E105" s="5"/>
      <c r="F105" s="5"/>
      <c r="G105" s="5"/>
      <c r="J105" s="5"/>
      <c r="M105" s="5"/>
      <c r="N105" s="5"/>
      <c r="P105" s="5"/>
    </row>
    <row r="106" spans="1:16" ht="13">
      <c r="A106" s="51"/>
      <c r="C106" s="51"/>
      <c r="D106" s="54"/>
      <c r="E106" s="5"/>
      <c r="F106" s="5"/>
      <c r="G106" s="5"/>
      <c r="J106" s="5"/>
      <c r="M106" s="5"/>
      <c r="N106" s="5"/>
      <c r="P106" s="5"/>
    </row>
    <row r="107" spans="1:16" ht="13">
      <c r="C107" s="54"/>
      <c r="D107" s="54"/>
      <c r="E107" s="5"/>
      <c r="F107" s="5"/>
      <c r="G107" s="5"/>
      <c r="J107" s="5"/>
      <c r="M107" s="5"/>
      <c r="N107" s="5"/>
      <c r="P107" s="5"/>
    </row>
    <row r="108" spans="1:16" ht="13">
      <c r="A108" s="62"/>
      <c r="C108" s="54"/>
      <c r="D108" s="54"/>
      <c r="E108" s="5"/>
      <c r="F108" s="5"/>
      <c r="G108" s="5"/>
      <c r="J108" s="5"/>
      <c r="M108" s="5"/>
      <c r="N108" s="5"/>
      <c r="P108" s="5"/>
    </row>
    <row r="109" spans="1:16" ht="13">
      <c r="A109" s="51"/>
      <c r="C109" s="51"/>
      <c r="D109" s="54"/>
      <c r="E109" s="5"/>
      <c r="F109" s="5"/>
      <c r="G109" s="5"/>
      <c r="J109" s="5"/>
      <c r="M109" s="5"/>
      <c r="N109" s="5"/>
      <c r="P109" s="5"/>
    </row>
    <row r="110" spans="1:16" ht="13">
      <c r="A110" s="51"/>
      <c r="C110" s="51"/>
      <c r="E110" s="5"/>
      <c r="F110" s="5"/>
      <c r="G110" s="5"/>
      <c r="J110" s="5"/>
      <c r="M110" s="5"/>
      <c r="N110" s="5"/>
      <c r="P110" s="5"/>
    </row>
    <row r="111" spans="1:16" ht="13">
      <c r="A111" s="51"/>
      <c r="C111" s="51"/>
      <c r="D111" s="54"/>
      <c r="E111" s="5"/>
      <c r="F111" s="5"/>
      <c r="G111" s="5"/>
      <c r="J111" s="5"/>
      <c r="M111" s="5"/>
      <c r="N111" s="5"/>
      <c r="P111" s="5"/>
    </row>
    <row r="112" spans="1:16" ht="13">
      <c r="A112" s="51"/>
      <c r="C112" s="51"/>
      <c r="D112" s="54"/>
      <c r="E112" s="51"/>
      <c r="F112" s="5"/>
      <c r="G112" s="5"/>
      <c r="J112" s="5"/>
      <c r="M112" s="5"/>
      <c r="N112" s="5"/>
      <c r="P112" s="5"/>
    </row>
    <row r="113" spans="1:16" ht="13">
      <c r="A113" s="51"/>
      <c r="C113" s="51"/>
      <c r="D113" s="54"/>
      <c r="E113" s="5"/>
      <c r="F113" s="5"/>
      <c r="G113" s="5"/>
      <c r="J113" s="5"/>
      <c r="M113" s="5"/>
      <c r="N113" s="5"/>
      <c r="P113" s="5"/>
    </row>
    <row r="114" spans="1:16" ht="13">
      <c r="A114" s="51"/>
      <c r="C114" s="51"/>
      <c r="D114" s="54"/>
      <c r="E114" s="5"/>
      <c r="F114" s="51"/>
      <c r="G114" s="5"/>
      <c r="J114" s="5"/>
      <c r="M114" s="5"/>
      <c r="N114" s="5"/>
      <c r="P114" s="5"/>
    </row>
    <row r="115" spans="1:16" ht="13">
      <c r="A115" s="51"/>
      <c r="C115" s="51"/>
      <c r="D115" s="54"/>
      <c r="E115" s="5"/>
      <c r="F115" s="5"/>
      <c r="G115" s="5"/>
      <c r="J115" s="5"/>
      <c r="M115" s="5"/>
      <c r="N115" s="5"/>
      <c r="P115" s="5"/>
    </row>
    <row r="116" spans="1:16" ht="13">
      <c r="A116" s="51"/>
      <c r="C116" s="51"/>
      <c r="D116" s="51"/>
      <c r="E116" s="5"/>
      <c r="F116" s="5"/>
      <c r="G116" s="5"/>
      <c r="J116" s="5"/>
      <c r="M116" s="5"/>
      <c r="N116" s="5"/>
      <c r="P116" s="5"/>
    </row>
    <row r="117" spans="1:16" ht="13">
      <c r="A117" s="51"/>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3"/>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3"/>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500-000000000000}"/>
    <hyperlink ref="B6" r:id="rId2" xr:uid="{00000000-0004-0000-3500-000001000000}"/>
    <hyperlink ref="B7" r:id="rId3" xr:uid="{00000000-0004-0000-3500-000002000000}"/>
    <hyperlink ref="B8" r:id="rId4" xr:uid="{00000000-0004-0000-3500-000003000000}"/>
    <hyperlink ref="B9" r:id="rId5" xr:uid="{00000000-0004-0000-3500-000004000000}"/>
    <hyperlink ref="B10" r:id="rId6" xr:uid="{00000000-0004-0000-3500-000005000000}"/>
    <hyperlink ref="B11" r:id="rId7" xr:uid="{00000000-0004-0000-3500-000006000000}"/>
    <hyperlink ref="B12" r:id="rId8" xr:uid="{00000000-0004-0000-3500-000007000000}"/>
    <hyperlink ref="B13" r:id="rId9" xr:uid="{00000000-0004-0000-3500-000008000000}"/>
    <hyperlink ref="B14" r:id="rId10" xr:uid="{00000000-0004-0000-3500-000009000000}"/>
    <hyperlink ref="B15" r:id="rId11" xr:uid="{00000000-0004-0000-3500-00000A000000}"/>
    <hyperlink ref="B16" r:id="rId12" xr:uid="{00000000-0004-0000-3500-00000B000000}"/>
    <hyperlink ref="B17" r:id="rId13" xr:uid="{00000000-0004-0000-3500-00000C000000}"/>
    <hyperlink ref="B18" r:id="rId14" xr:uid="{00000000-0004-0000-3500-00000D000000}"/>
    <hyperlink ref="B19" r:id="rId15" xr:uid="{00000000-0004-0000-3500-00000E000000}"/>
    <hyperlink ref="B20" r:id="rId16" xr:uid="{00000000-0004-0000-3500-00000F000000}"/>
    <hyperlink ref="B21" r:id="rId17" xr:uid="{00000000-0004-0000-3500-000010000000}"/>
    <hyperlink ref="B22" r:id="rId18" xr:uid="{00000000-0004-0000-3500-000011000000}"/>
    <hyperlink ref="B23" r:id="rId19" xr:uid="{00000000-0004-0000-3500-000012000000}"/>
    <hyperlink ref="B24" r:id="rId20" xr:uid="{00000000-0004-0000-3500-000013000000}"/>
    <hyperlink ref="B25" r:id="rId21" xr:uid="{00000000-0004-0000-3500-000014000000}"/>
    <hyperlink ref="B26" r:id="rId22" xr:uid="{00000000-0004-0000-3500-000015000000}"/>
    <hyperlink ref="B27" r:id="rId23" xr:uid="{00000000-0004-0000-3500-000016000000}"/>
    <hyperlink ref="B28" r:id="rId24" xr:uid="{00000000-0004-0000-3500-000017000000}"/>
    <hyperlink ref="B29" r:id="rId25" xr:uid="{00000000-0004-0000-3500-000018000000}"/>
    <hyperlink ref="B30" r:id="rId26" xr:uid="{00000000-0004-0000-3500-000019000000}"/>
    <hyperlink ref="B31" r:id="rId27" xr:uid="{00000000-0004-0000-3500-00001A000000}"/>
    <hyperlink ref="B32" r:id="rId28" xr:uid="{00000000-0004-0000-3500-00001B000000}"/>
    <hyperlink ref="B33" r:id="rId29" xr:uid="{00000000-0004-0000-3500-00001C000000}"/>
    <hyperlink ref="B34" r:id="rId30" xr:uid="{00000000-0004-0000-3500-00001D000000}"/>
    <hyperlink ref="B35" r:id="rId31" xr:uid="{00000000-0004-0000-3500-00001E000000}"/>
    <hyperlink ref="B36" r:id="rId32" xr:uid="{00000000-0004-0000-3500-00001F000000}"/>
    <hyperlink ref="B37" r:id="rId33" xr:uid="{00000000-0004-0000-3500-000020000000}"/>
    <hyperlink ref="B38" r:id="rId34" xr:uid="{00000000-0004-0000-3500-000021000000}"/>
    <hyperlink ref="B39" r:id="rId35" xr:uid="{00000000-0004-0000-3500-000022000000}"/>
    <hyperlink ref="B40" r:id="rId36" xr:uid="{00000000-0004-0000-3500-000023000000}"/>
    <hyperlink ref="B41" r:id="rId37" xr:uid="{00000000-0004-0000-3500-000024000000}"/>
    <hyperlink ref="B42" r:id="rId38" xr:uid="{00000000-0004-0000-3500-000025000000}"/>
    <hyperlink ref="B43" r:id="rId39" xr:uid="{00000000-0004-0000-3500-000026000000}"/>
    <hyperlink ref="B44" r:id="rId40" xr:uid="{00000000-0004-0000-3500-000027000000}"/>
    <hyperlink ref="B45" r:id="rId41" xr:uid="{00000000-0004-0000-3500-000028000000}"/>
    <hyperlink ref="B46" r:id="rId42" xr:uid="{00000000-0004-0000-3500-000029000000}"/>
    <hyperlink ref="B47" r:id="rId43" xr:uid="{00000000-0004-0000-3500-00002A000000}"/>
    <hyperlink ref="B48" r:id="rId44" xr:uid="{00000000-0004-0000-3500-00002B000000}"/>
    <hyperlink ref="B49" r:id="rId45" xr:uid="{00000000-0004-0000-3500-00002C000000}"/>
    <hyperlink ref="B50" r:id="rId46" xr:uid="{00000000-0004-0000-3500-00002D000000}"/>
    <hyperlink ref="B51" r:id="rId47" xr:uid="{00000000-0004-0000-3500-00002E000000}"/>
    <hyperlink ref="B52" r:id="rId48" xr:uid="{00000000-0004-0000-3500-00002F000000}"/>
    <hyperlink ref="B53" r:id="rId49" xr:uid="{00000000-0004-0000-3500-000030000000}"/>
    <hyperlink ref="B54" r:id="rId50" xr:uid="{00000000-0004-0000-3500-000031000000}"/>
    <hyperlink ref="B55" r:id="rId51" xr:uid="{00000000-0004-0000-3500-000032000000}"/>
    <hyperlink ref="B56" r:id="rId52" xr:uid="{00000000-0004-0000-3500-000033000000}"/>
    <hyperlink ref="B57" r:id="rId53" xr:uid="{00000000-0004-0000-3500-000034000000}"/>
    <hyperlink ref="B58" r:id="rId54" xr:uid="{00000000-0004-0000-3500-000035000000}"/>
    <hyperlink ref="B59" r:id="rId55" xr:uid="{00000000-0004-0000-3500-000036000000}"/>
    <hyperlink ref="B60" r:id="rId56" xr:uid="{00000000-0004-0000-3500-000037000000}"/>
    <hyperlink ref="B61" r:id="rId57" xr:uid="{00000000-0004-0000-3500-000038000000}"/>
    <hyperlink ref="B62" r:id="rId58" xr:uid="{00000000-0004-0000-3500-000039000000}"/>
    <hyperlink ref="B63" r:id="rId59" xr:uid="{00000000-0004-0000-3500-00003A000000}"/>
    <hyperlink ref="B64" r:id="rId60" xr:uid="{00000000-0004-0000-3500-00003B000000}"/>
    <hyperlink ref="B65" r:id="rId61" xr:uid="{00000000-0004-0000-3500-00003C000000}"/>
    <hyperlink ref="B66" r:id="rId62" xr:uid="{00000000-0004-0000-3500-00003D000000}"/>
    <hyperlink ref="B67" r:id="rId63" xr:uid="{00000000-0004-0000-3500-00003E000000}"/>
    <hyperlink ref="B68" r:id="rId64" xr:uid="{00000000-0004-0000-3500-00003F000000}"/>
    <hyperlink ref="B69" r:id="rId65" xr:uid="{00000000-0004-0000-3500-000040000000}"/>
    <hyperlink ref="B70" r:id="rId66" xr:uid="{00000000-0004-0000-3500-000041000000}"/>
    <hyperlink ref="B71" r:id="rId67" xr:uid="{00000000-0004-0000-3500-000042000000}"/>
    <hyperlink ref="B72" r:id="rId68" xr:uid="{00000000-0004-0000-3500-000043000000}"/>
    <hyperlink ref="B73" r:id="rId69" xr:uid="{00000000-0004-0000-3500-000044000000}"/>
    <hyperlink ref="B74" r:id="rId70" xr:uid="{00000000-0004-0000-3500-000045000000}"/>
    <hyperlink ref="B75" r:id="rId71" xr:uid="{00000000-0004-0000-3500-000046000000}"/>
    <hyperlink ref="B76" r:id="rId72" xr:uid="{00000000-0004-0000-3500-000047000000}"/>
    <hyperlink ref="B77" r:id="rId73" xr:uid="{00000000-0004-0000-3500-000048000000}"/>
    <hyperlink ref="B78" r:id="rId74" xr:uid="{00000000-0004-0000-3500-000049000000}"/>
    <hyperlink ref="B79" r:id="rId75" xr:uid="{00000000-0004-0000-3500-00004A000000}"/>
    <hyperlink ref="B80" r:id="rId76" xr:uid="{00000000-0004-0000-3500-00004B000000}"/>
    <hyperlink ref="B81" r:id="rId77" xr:uid="{00000000-0004-0000-3500-00004C000000}"/>
    <hyperlink ref="B82" r:id="rId78" xr:uid="{00000000-0004-0000-3500-00004D000000}"/>
    <hyperlink ref="B83" r:id="rId79" xr:uid="{00000000-0004-0000-3500-00004E000000}"/>
    <hyperlink ref="B84" r:id="rId80" xr:uid="{00000000-0004-0000-3500-00004F000000}"/>
    <hyperlink ref="B85" r:id="rId81" xr:uid="{00000000-0004-0000-3500-000050000000}"/>
    <hyperlink ref="B86" r:id="rId82" xr:uid="{00000000-0004-0000-3500-000051000000}"/>
    <hyperlink ref="B87" r:id="rId83" xr:uid="{00000000-0004-0000-3500-000052000000}"/>
    <hyperlink ref="B88" r:id="rId84" xr:uid="{00000000-0004-0000-3500-000053000000}"/>
    <hyperlink ref="B89" r:id="rId85" xr:uid="{00000000-0004-0000-3500-000054000000}"/>
    <hyperlink ref="B90" r:id="rId86" xr:uid="{00000000-0004-0000-3500-000055000000}"/>
    <hyperlink ref="B91" r:id="rId87" xr:uid="{00000000-0004-0000-3500-000056000000}"/>
    <hyperlink ref="B92" r:id="rId88" xr:uid="{00000000-0004-0000-3500-000057000000}"/>
    <hyperlink ref="B93" r:id="rId89" xr:uid="{00000000-0004-0000-3500-000058000000}"/>
    <hyperlink ref="B94" r:id="rId90" xr:uid="{00000000-0004-0000-3500-000059000000}"/>
    <hyperlink ref="B95" r:id="rId91" xr:uid="{00000000-0004-0000-3500-00005A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83203125" customWidth="1"/>
    <col min="3" max="3" width="13.83203125" customWidth="1"/>
    <col min="4" max="4" width="14.83203125" customWidth="1"/>
    <col min="5" max="5" width="14.33203125" customWidth="1"/>
    <col min="11" max="11" width="13.83203125" customWidth="1"/>
  </cols>
  <sheetData>
    <row r="1" spans="1:23" ht="15.75" customHeight="1">
      <c r="A1" s="1" t="s">
        <v>4027</v>
      </c>
      <c r="B1" s="36"/>
      <c r="C1" s="46"/>
      <c r="D1" s="7" t="s">
        <v>181</v>
      </c>
      <c r="E1" s="5"/>
      <c r="F1" s="5"/>
      <c r="G1" s="5"/>
      <c r="K1" s="1"/>
      <c r="M1" s="5"/>
      <c r="N1" s="5"/>
      <c r="S1" s="1"/>
      <c r="U1" s="5"/>
    </row>
    <row r="2" spans="1:23" ht="15.75" customHeight="1">
      <c r="A2" s="7" t="s">
        <v>182</v>
      </c>
      <c r="B2" s="38">
        <v>40711</v>
      </c>
      <c r="C2" s="46"/>
      <c r="D2" s="39">
        <f>SUM(D5:G16)</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9">
        <v>43842</v>
      </c>
      <c r="B5" s="60" t="s">
        <v>4028</v>
      </c>
      <c r="C5" s="51" t="s">
        <v>205</v>
      </c>
      <c r="D5" s="51"/>
      <c r="E5" s="5"/>
      <c r="F5" s="5"/>
      <c r="G5" s="5"/>
      <c r="L5" s="43"/>
      <c r="M5" s="43"/>
      <c r="N5" s="42"/>
      <c r="O5" s="44"/>
      <c r="S5" s="42"/>
      <c r="T5" s="43"/>
      <c r="U5" s="43"/>
      <c r="V5" s="42"/>
      <c r="W5" s="44"/>
    </row>
    <row r="6" spans="1:23" ht="15.75" customHeight="1">
      <c r="A6" s="59">
        <v>43873</v>
      </c>
      <c r="B6" s="60" t="s">
        <v>4029</v>
      </c>
      <c r="C6" s="51" t="s">
        <v>205</v>
      </c>
      <c r="D6" s="51"/>
      <c r="E6" s="5"/>
      <c r="F6" s="51"/>
      <c r="G6" s="5"/>
      <c r="L6" s="50"/>
      <c r="M6" s="51"/>
      <c r="N6" s="5"/>
      <c r="S6" s="52"/>
      <c r="T6" s="50"/>
      <c r="U6" s="51"/>
    </row>
    <row r="7" spans="1:23" ht="15.75" customHeight="1">
      <c r="A7" s="59">
        <v>43902</v>
      </c>
      <c r="B7" s="60" t="s">
        <v>4030</v>
      </c>
      <c r="C7" s="51" t="s">
        <v>199</v>
      </c>
      <c r="D7" s="51"/>
      <c r="E7" s="5"/>
      <c r="F7" s="51"/>
      <c r="G7" s="5"/>
      <c r="K7" s="52"/>
      <c r="L7" s="50"/>
      <c r="M7" s="51"/>
      <c r="N7" s="5"/>
      <c r="S7" s="52"/>
      <c r="T7" s="50"/>
      <c r="U7" s="51"/>
    </row>
    <row r="8" spans="1:23" ht="15.75" customHeight="1">
      <c r="A8" s="59">
        <v>43933</v>
      </c>
      <c r="B8" s="60" t="s">
        <v>4031</v>
      </c>
      <c r="C8" s="51" t="s">
        <v>208</v>
      </c>
      <c r="D8" s="51"/>
      <c r="E8" s="5"/>
      <c r="F8" s="51"/>
      <c r="G8" s="5"/>
      <c r="K8" s="52"/>
      <c r="L8" s="50"/>
      <c r="M8" s="51"/>
      <c r="N8" s="51"/>
      <c r="S8" s="52"/>
      <c r="T8" s="50"/>
      <c r="U8" s="51"/>
    </row>
    <row r="9" spans="1:23" ht="15.75" customHeight="1">
      <c r="A9" s="59">
        <v>43963</v>
      </c>
      <c r="B9" s="60" t="s">
        <v>4032</v>
      </c>
      <c r="C9" s="51" t="s">
        <v>208</v>
      </c>
      <c r="D9" s="51"/>
      <c r="E9" s="5"/>
      <c r="F9" s="51"/>
      <c r="G9" s="5"/>
      <c r="K9" s="52"/>
      <c r="L9" s="50"/>
      <c r="M9" s="51"/>
      <c r="N9" s="51"/>
      <c r="S9" s="52"/>
      <c r="T9" s="50"/>
      <c r="U9" s="51"/>
    </row>
    <row r="10" spans="1:23" ht="15.75" customHeight="1">
      <c r="A10" s="59">
        <v>43994</v>
      </c>
      <c r="B10" s="60" t="s">
        <v>4033</v>
      </c>
      <c r="C10" s="51" t="s">
        <v>192</v>
      </c>
      <c r="D10" s="51"/>
      <c r="E10" s="5"/>
      <c r="F10" s="51"/>
      <c r="G10" s="5"/>
      <c r="K10" s="52"/>
      <c r="L10" s="50"/>
      <c r="M10" s="51"/>
      <c r="N10" s="5"/>
      <c r="S10" s="52"/>
      <c r="T10" s="50"/>
      <c r="U10" s="51"/>
    </row>
    <row r="11" spans="1:23" ht="15.75" customHeight="1">
      <c r="A11" s="59">
        <v>44024</v>
      </c>
      <c r="B11" s="60" t="s">
        <v>4034</v>
      </c>
      <c r="C11" s="51" t="s">
        <v>195</v>
      </c>
      <c r="D11" s="51"/>
      <c r="E11" s="5"/>
      <c r="F11" s="5"/>
      <c r="G11" s="5"/>
      <c r="K11" s="52"/>
      <c r="L11" s="50"/>
      <c r="M11" s="51"/>
      <c r="N11" s="51"/>
      <c r="S11" s="52"/>
      <c r="T11" s="50"/>
      <c r="U11" s="51"/>
    </row>
    <row r="12" spans="1:23" ht="15.75" customHeight="1">
      <c r="A12" s="59">
        <v>44055</v>
      </c>
      <c r="B12" s="60" t="s">
        <v>4035</v>
      </c>
      <c r="C12" s="51" t="s">
        <v>225</v>
      </c>
      <c r="D12" s="51"/>
      <c r="E12" s="5"/>
      <c r="F12" s="5"/>
      <c r="G12" s="5"/>
      <c r="K12" s="52"/>
      <c r="L12" s="50"/>
      <c r="M12" s="51"/>
      <c r="N12" s="51"/>
      <c r="S12" s="52"/>
      <c r="T12" s="50"/>
      <c r="U12" s="51"/>
    </row>
    <row r="13" spans="1:23" ht="15.75" customHeight="1">
      <c r="A13" s="59">
        <v>44086</v>
      </c>
      <c r="B13" s="60" t="s">
        <v>4036</v>
      </c>
      <c r="C13" s="51" t="s">
        <v>808</v>
      </c>
      <c r="D13" s="51"/>
      <c r="E13" s="5"/>
      <c r="F13" s="51"/>
      <c r="G13" s="5"/>
      <c r="K13" s="52"/>
      <c r="L13" s="50"/>
      <c r="M13" s="51"/>
      <c r="N13" s="5"/>
      <c r="S13" s="52"/>
      <c r="T13" s="50"/>
      <c r="U13" s="51"/>
    </row>
    <row r="14" spans="1:23" ht="15.75" customHeight="1">
      <c r="A14" s="59">
        <v>44116</v>
      </c>
      <c r="B14" s="60" t="s">
        <v>4037</v>
      </c>
      <c r="C14" s="51" t="s">
        <v>220</v>
      </c>
      <c r="D14" s="51"/>
      <c r="E14" s="5"/>
      <c r="F14" s="51"/>
      <c r="G14" s="5"/>
      <c r="K14" s="52"/>
      <c r="L14" s="50"/>
      <c r="M14" s="51"/>
      <c r="N14" s="51"/>
      <c r="S14" s="52"/>
      <c r="T14" s="50"/>
      <c r="U14" s="51"/>
    </row>
    <row r="15" spans="1:23" ht="15.75" customHeight="1">
      <c r="A15" s="59">
        <v>44147</v>
      </c>
      <c r="B15" s="60" t="s">
        <v>4038</v>
      </c>
      <c r="C15" s="51" t="s">
        <v>197</v>
      </c>
      <c r="D15" s="51"/>
      <c r="E15" s="5"/>
      <c r="F15" s="5"/>
      <c r="G15" s="5"/>
      <c r="K15" s="52"/>
      <c r="L15" s="50"/>
      <c r="M15" s="51"/>
      <c r="N15" s="51"/>
      <c r="S15" s="52"/>
      <c r="T15" s="50"/>
      <c r="U15" s="51"/>
    </row>
    <row r="16" spans="1:23" ht="15.75" customHeight="1">
      <c r="A16" s="59">
        <v>44177</v>
      </c>
      <c r="B16" s="60" t="s">
        <v>4039</v>
      </c>
      <c r="C16" s="63" t="s">
        <v>197</v>
      </c>
      <c r="D16" s="54"/>
      <c r="E16" s="5"/>
      <c r="F16" s="5"/>
      <c r="G16" s="5"/>
      <c r="K16" s="52"/>
      <c r="L16" s="50"/>
      <c r="M16" s="51"/>
      <c r="N16" s="51"/>
      <c r="S16" s="52"/>
      <c r="T16" s="50"/>
      <c r="U16" s="51"/>
    </row>
    <row r="17" spans="1:27" ht="15.75" customHeight="1">
      <c r="A17" s="51"/>
      <c r="C17" s="51"/>
      <c r="D17" s="54"/>
      <c r="E17" s="5"/>
      <c r="F17" s="5"/>
      <c r="G17" s="5"/>
      <c r="K17" s="52"/>
      <c r="L17" s="50"/>
      <c r="M17" s="51"/>
      <c r="N17" s="51"/>
      <c r="S17" s="52"/>
      <c r="T17" s="50"/>
      <c r="U17" s="51"/>
    </row>
    <row r="18" spans="1:27" ht="15.75" customHeight="1">
      <c r="A18" s="51"/>
      <c r="C18" s="51"/>
      <c r="D18" s="54"/>
      <c r="E18" s="5"/>
      <c r="F18" s="5"/>
      <c r="G18" s="5"/>
      <c r="M18" s="5"/>
      <c r="N18" s="5"/>
      <c r="U18" s="5"/>
      <c r="AA18" s="5"/>
    </row>
    <row r="19" spans="1:27" ht="15.75" customHeight="1">
      <c r="A19" s="51"/>
      <c r="C19" s="51"/>
      <c r="D19" s="54"/>
      <c r="E19" s="5"/>
      <c r="F19" s="5"/>
      <c r="G19" s="5"/>
      <c r="K19" s="1"/>
      <c r="M19" s="5"/>
      <c r="N19" s="5"/>
      <c r="U19" s="5"/>
      <c r="AA19" s="5"/>
    </row>
    <row r="20" spans="1:27" ht="15.75" customHeight="1">
      <c r="A20" s="51"/>
      <c r="C20" s="51"/>
      <c r="D20" s="54"/>
      <c r="E20" s="5"/>
      <c r="F20" s="5"/>
      <c r="G20" s="5"/>
      <c r="L20" s="40"/>
      <c r="M20" s="5"/>
      <c r="N20" s="5"/>
      <c r="AA20" s="5"/>
    </row>
    <row r="21" spans="1:27" ht="15.75" customHeight="1">
      <c r="A21" s="51"/>
      <c r="C21" s="51"/>
      <c r="D21" s="54"/>
      <c r="E21" s="5"/>
      <c r="F21" s="5"/>
      <c r="G21" s="5"/>
      <c r="M21" s="5"/>
      <c r="N21" s="5"/>
      <c r="AA21" s="5"/>
    </row>
    <row r="22" spans="1:27" ht="15.75" customHeight="1">
      <c r="A22" s="51"/>
      <c r="C22" s="51"/>
      <c r="D22" s="54"/>
      <c r="E22" s="5"/>
      <c r="F22" s="5"/>
      <c r="G22" s="5"/>
      <c r="K22" s="42"/>
      <c r="L22" s="45"/>
      <c r="M22" s="46"/>
      <c r="N22" s="47"/>
      <c r="AA22" s="5"/>
    </row>
    <row r="23" spans="1:27" ht="15.75" customHeight="1">
      <c r="A23" s="51"/>
      <c r="C23" s="51"/>
      <c r="D23" s="54"/>
      <c r="E23" s="5"/>
      <c r="F23" s="5"/>
      <c r="G23" s="5"/>
      <c r="K23" s="42"/>
      <c r="L23" s="43"/>
      <c r="M23" s="43"/>
      <c r="N23" s="42"/>
      <c r="O23" s="44"/>
      <c r="AA23" s="5"/>
    </row>
    <row r="24" spans="1:27" ht="15.75" customHeight="1">
      <c r="A24" s="51"/>
      <c r="C24" s="51"/>
      <c r="D24" s="54"/>
      <c r="E24" s="5"/>
      <c r="F24" s="5"/>
      <c r="G24" s="5"/>
      <c r="K24" s="52"/>
      <c r="L24" s="50"/>
      <c r="M24" s="51"/>
      <c r="N24" s="5"/>
      <c r="AA24" s="5"/>
    </row>
    <row r="25" spans="1:27" ht="15.75" customHeight="1">
      <c r="A25" s="51"/>
      <c r="C25" s="51"/>
      <c r="D25" s="54"/>
      <c r="E25" s="5"/>
      <c r="F25" s="5"/>
      <c r="G25" s="5"/>
      <c r="K25" s="52"/>
      <c r="L25" s="50"/>
      <c r="M25" s="51"/>
      <c r="N25" s="5"/>
      <c r="AA25" s="5"/>
    </row>
    <row r="26" spans="1:27" ht="15.75" customHeight="1">
      <c r="A26" s="51"/>
      <c r="C26" s="51"/>
      <c r="D26" s="54"/>
      <c r="E26" s="5"/>
      <c r="F26" s="5"/>
      <c r="G26" s="5"/>
      <c r="K26" s="52"/>
      <c r="L26" s="50"/>
      <c r="M26" s="51"/>
      <c r="N26" s="51"/>
      <c r="AA26" s="5"/>
    </row>
    <row r="27" spans="1:27" ht="15.75" customHeight="1">
      <c r="A27" s="51"/>
      <c r="C27" s="51"/>
      <c r="D27" s="54"/>
      <c r="E27" s="5"/>
      <c r="F27" s="51"/>
      <c r="G27" s="5"/>
      <c r="K27" s="52"/>
      <c r="L27" s="50"/>
      <c r="M27" s="51"/>
      <c r="N27" s="51"/>
      <c r="AA27" s="5"/>
    </row>
    <row r="28" spans="1:27" ht="15.75" customHeight="1">
      <c r="A28" s="51"/>
      <c r="C28" s="51"/>
      <c r="D28" s="54"/>
      <c r="E28" s="5"/>
      <c r="F28" s="5"/>
      <c r="G28" s="5"/>
      <c r="J28" s="5"/>
      <c r="K28" s="52"/>
      <c r="L28" s="50"/>
      <c r="M28" s="51"/>
      <c r="N28" s="5"/>
      <c r="P28" s="5"/>
    </row>
    <row r="29" spans="1:27" ht="15.75" customHeight="1">
      <c r="A29" s="51"/>
      <c r="C29" s="51"/>
      <c r="D29" s="54"/>
      <c r="E29" s="5"/>
      <c r="F29" s="5"/>
      <c r="G29" s="5"/>
      <c r="J29" s="5"/>
      <c r="K29" s="52"/>
      <c r="L29" s="50"/>
      <c r="M29" s="51"/>
      <c r="N29" s="51"/>
      <c r="P29" s="5"/>
    </row>
    <row r="30" spans="1:27" ht="15.75" customHeight="1">
      <c r="A30" s="51"/>
      <c r="C30" s="51"/>
      <c r="D30" s="54"/>
      <c r="E30" s="5"/>
      <c r="F30" s="5"/>
      <c r="G30" s="5"/>
      <c r="J30" s="5"/>
      <c r="K30" s="52"/>
      <c r="L30" s="50"/>
      <c r="M30" s="51"/>
      <c r="N30" s="5"/>
      <c r="P30" s="5"/>
    </row>
    <row r="31" spans="1:27" ht="15.75" customHeight="1">
      <c r="A31" s="51"/>
      <c r="C31" s="51"/>
      <c r="D31" s="54"/>
      <c r="E31" s="5"/>
      <c r="F31" s="5"/>
      <c r="G31" s="5"/>
      <c r="J31" s="5"/>
      <c r="K31" s="52"/>
      <c r="L31" s="50"/>
      <c r="M31" s="51"/>
      <c r="N31" s="51"/>
      <c r="P31" s="5"/>
    </row>
    <row r="32" spans="1:27" ht="15.75" customHeight="1">
      <c r="A32" s="51"/>
      <c r="C32" s="51"/>
      <c r="D32" s="54"/>
      <c r="E32" s="5"/>
      <c r="F32" s="5"/>
      <c r="G32" s="5"/>
      <c r="J32" s="5"/>
      <c r="K32" s="52"/>
      <c r="L32" s="50"/>
      <c r="M32" s="51"/>
      <c r="N32" s="5"/>
      <c r="P32" s="5"/>
    </row>
    <row r="33" spans="1:16" ht="15.75" customHeight="1">
      <c r="A33" s="51"/>
      <c r="C33" s="51"/>
      <c r="D33" s="54"/>
      <c r="E33" s="5"/>
      <c r="F33" s="5"/>
      <c r="G33" s="5"/>
      <c r="J33" s="5"/>
      <c r="K33" s="52"/>
      <c r="L33" s="50"/>
      <c r="M33" s="51"/>
      <c r="N33" s="5"/>
      <c r="P33" s="5"/>
    </row>
    <row r="34" spans="1:16" ht="15.75" customHeight="1">
      <c r="A34" s="51"/>
      <c r="C34" s="51"/>
      <c r="D34" s="54"/>
      <c r="E34" s="5"/>
      <c r="F34" s="5"/>
      <c r="G34" s="5"/>
      <c r="J34" s="5"/>
      <c r="K34" s="52"/>
      <c r="L34" s="50"/>
      <c r="M34" s="51"/>
      <c r="N34" s="5"/>
      <c r="P34" s="5"/>
    </row>
    <row r="35" spans="1:16" ht="15.75" customHeight="1">
      <c r="A35" s="51"/>
      <c r="C35" s="51"/>
      <c r="D35" s="54"/>
      <c r="E35" s="5"/>
      <c r="F35" s="5"/>
      <c r="G35" s="5"/>
      <c r="J35" s="5"/>
      <c r="K35" s="52"/>
      <c r="L35" s="50"/>
      <c r="M35" s="51"/>
      <c r="N35" s="51"/>
      <c r="P35" s="5"/>
    </row>
    <row r="36" spans="1:16" ht="15.75" customHeight="1">
      <c r="A36" s="51"/>
      <c r="C36" s="51"/>
      <c r="D36" s="54"/>
      <c r="E36" s="5"/>
      <c r="F36" s="5"/>
      <c r="G36" s="5"/>
      <c r="J36" s="5"/>
      <c r="M36" s="5"/>
      <c r="N36" s="5"/>
      <c r="P36" s="5"/>
    </row>
    <row r="37" spans="1:16" ht="15.75" customHeight="1">
      <c r="A37" s="51"/>
      <c r="C37" s="51"/>
      <c r="D37" s="54"/>
      <c r="E37" s="5"/>
      <c r="F37" s="5"/>
      <c r="G37" s="5"/>
      <c r="J37" s="5"/>
      <c r="M37" s="5"/>
      <c r="N37" s="5"/>
    </row>
    <row r="38" spans="1:16" ht="15.75" customHeight="1">
      <c r="A38" s="51"/>
      <c r="C38" s="51"/>
      <c r="D38" s="54"/>
      <c r="E38" s="5"/>
      <c r="F38" s="5"/>
      <c r="G38" s="5"/>
      <c r="J38" s="5"/>
      <c r="M38" s="51"/>
      <c r="N38" s="51"/>
    </row>
    <row r="39" spans="1:16" ht="15.75" customHeight="1">
      <c r="A39" s="51"/>
      <c r="C39" s="51"/>
      <c r="D39" s="54"/>
      <c r="E39" s="5"/>
      <c r="F39" s="5"/>
      <c r="G39" s="5"/>
      <c r="J39" s="5"/>
      <c r="M39" s="51"/>
      <c r="N39" s="51"/>
    </row>
    <row r="40" spans="1:16" ht="15.75" customHeight="1">
      <c r="A40" s="51"/>
      <c r="C40" s="51"/>
      <c r="D40" s="54"/>
      <c r="E40" s="5"/>
      <c r="F40" s="5"/>
      <c r="G40" s="5"/>
      <c r="J40" s="5"/>
      <c r="M40" s="51"/>
      <c r="N40" s="51"/>
    </row>
    <row r="41" spans="1:16" ht="15.75" customHeight="1">
      <c r="A41" s="51"/>
      <c r="C41" s="51"/>
      <c r="D41" s="54"/>
      <c r="E41" s="5"/>
      <c r="F41" s="5"/>
      <c r="G41" s="5"/>
      <c r="J41" s="5"/>
      <c r="M41" s="51"/>
      <c r="N41" s="51"/>
    </row>
    <row r="42" spans="1:16" ht="15.75" customHeight="1">
      <c r="A42" s="51"/>
      <c r="C42" s="51"/>
      <c r="D42" s="54"/>
      <c r="E42" s="5"/>
      <c r="F42" s="5"/>
      <c r="G42" s="5"/>
      <c r="J42" s="5"/>
      <c r="M42" s="51"/>
      <c r="N42" s="51"/>
    </row>
    <row r="43" spans="1:16" ht="15.75" customHeight="1">
      <c r="A43" s="51"/>
      <c r="C43" s="51"/>
      <c r="D43" s="54"/>
      <c r="E43" s="5"/>
      <c r="F43" s="5"/>
      <c r="G43" s="5"/>
      <c r="J43" s="5"/>
      <c r="M43" s="51"/>
      <c r="N43" s="51"/>
    </row>
    <row r="44" spans="1:16" ht="15.75" customHeight="1">
      <c r="A44" s="51"/>
      <c r="C44" s="51"/>
      <c r="D44" s="54"/>
      <c r="E44" s="5"/>
      <c r="F44" s="5"/>
      <c r="G44" s="5"/>
      <c r="J44" s="5"/>
      <c r="M44" s="51"/>
      <c r="N44" s="51"/>
    </row>
    <row r="45" spans="1:16" ht="15.75" customHeight="1">
      <c r="A45" s="51"/>
      <c r="C45" s="51"/>
      <c r="D45" s="54"/>
      <c r="E45" s="5"/>
      <c r="F45" s="5"/>
      <c r="G45" s="5"/>
      <c r="J45" s="5"/>
      <c r="M45" s="51"/>
      <c r="N45" s="51"/>
      <c r="P45" s="5"/>
    </row>
    <row r="46" spans="1:16" ht="15.75" customHeight="1">
      <c r="A46" s="51"/>
      <c r="C46" s="51"/>
      <c r="D46" s="54"/>
      <c r="E46" s="5"/>
      <c r="F46" s="5"/>
      <c r="G46" s="5"/>
      <c r="J46" s="5"/>
      <c r="M46" s="51"/>
      <c r="N46" s="51"/>
      <c r="P46" s="5"/>
    </row>
    <row r="47" spans="1:16" ht="15.75" customHeight="1">
      <c r="A47" s="51"/>
      <c r="C47" s="51"/>
      <c r="D47" s="54"/>
      <c r="E47" s="5"/>
      <c r="F47" s="5"/>
      <c r="G47" s="5"/>
      <c r="J47" s="5"/>
      <c r="M47" s="5"/>
      <c r="N47" s="5"/>
      <c r="P47" s="5"/>
    </row>
    <row r="48" spans="1:16" ht="15.75" customHeight="1">
      <c r="A48" s="51"/>
      <c r="C48" s="51"/>
      <c r="D48" s="54"/>
      <c r="E48" s="5"/>
      <c r="F48" s="5"/>
      <c r="G48" s="5"/>
      <c r="J48" s="5"/>
      <c r="M48" s="5"/>
      <c r="N48" s="5"/>
      <c r="P48" s="5"/>
    </row>
    <row r="49" spans="1:16" ht="15.75" customHeight="1">
      <c r="A49" s="51"/>
      <c r="C49" s="51"/>
      <c r="D49" s="54"/>
      <c r="E49" s="5"/>
      <c r="F49" s="5"/>
      <c r="G49" s="5"/>
      <c r="J49" s="5"/>
      <c r="M49" s="5"/>
      <c r="N49" s="5"/>
      <c r="P49" s="5"/>
    </row>
    <row r="50" spans="1:16" ht="15.75" customHeight="1">
      <c r="A50" s="51"/>
      <c r="C50" s="51"/>
      <c r="D50" s="54"/>
      <c r="E50" s="5"/>
      <c r="F50" s="5"/>
      <c r="G50" s="5"/>
      <c r="J50" s="5"/>
      <c r="M50" s="5"/>
      <c r="N50" s="5"/>
      <c r="P50" s="5"/>
    </row>
    <row r="51" spans="1:16" ht="15.75" customHeight="1">
      <c r="A51" s="51"/>
      <c r="C51" s="51"/>
      <c r="D51" s="54"/>
      <c r="E51" s="5"/>
      <c r="F51" s="5"/>
      <c r="G51" s="5"/>
      <c r="J51" s="5"/>
      <c r="M51" s="5"/>
      <c r="N51" s="5"/>
      <c r="P51" s="5"/>
    </row>
    <row r="52" spans="1:16" ht="15.75" customHeight="1">
      <c r="A52" s="51"/>
      <c r="C52" s="51"/>
      <c r="D52" s="54"/>
      <c r="E52" s="5"/>
      <c r="F52" s="5"/>
      <c r="G52" s="5"/>
      <c r="J52" s="5"/>
      <c r="M52" s="5"/>
      <c r="N52" s="5"/>
      <c r="P52" s="5"/>
    </row>
    <row r="53" spans="1:16" ht="13">
      <c r="A53" s="51"/>
      <c r="C53" s="51"/>
      <c r="D53" s="54"/>
      <c r="E53" s="5"/>
      <c r="F53" s="5"/>
      <c r="G53" s="5"/>
      <c r="J53" s="5"/>
      <c r="M53" s="5"/>
      <c r="N53" s="5"/>
      <c r="P53" s="5"/>
    </row>
    <row r="54" spans="1:16" ht="13">
      <c r="A54" s="51"/>
      <c r="C54" s="51"/>
      <c r="D54" s="54"/>
      <c r="E54" s="5"/>
      <c r="F54" s="5"/>
      <c r="G54" s="5"/>
      <c r="J54" s="5"/>
      <c r="M54" s="5"/>
      <c r="N54" s="5"/>
      <c r="P54" s="5"/>
    </row>
    <row r="55" spans="1:16" ht="13">
      <c r="A55" s="51"/>
      <c r="C55" s="51"/>
      <c r="D55" s="54"/>
      <c r="E55" s="5"/>
      <c r="F55" s="5"/>
      <c r="G55" s="5"/>
      <c r="J55" s="5"/>
      <c r="M55" s="5"/>
      <c r="N55" s="5"/>
      <c r="P55" s="5"/>
    </row>
    <row r="56" spans="1:16" ht="13">
      <c r="A56" s="51"/>
      <c r="C56" s="51"/>
      <c r="D56" s="54"/>
      <c r="E56" s="5"/>
      <c r="F56" s="5"/>
      <c r="G56" s="5"/>
      <c r="J56" s="5"/>
      <c r="M56" s="5"/>
      <c r="N56" s="5"/>
      <c r="P56" s="5"/>
    </row>
    <row r="57" spans="1:16" ht="13">
      <c r="A57" s="51"/>
      <c r="C57" s="51"/>
      <c r="D57" s="54"/>
      <c r="E57" s="5"/>
      <c r="F57" s="5"/>
      <c r="G57" s="5"/>
      <c r="J57" s="5"/>
      <c r="M57" s="5"/>
      <c r="N57" s="5"/>
      <c r="P57" s="5"/>
    </row>
    <row r="58" spans="1:16" ht="13">
      <c r="A58" s="51"/>
      <c r="C58" s="51"/>
      <c r="D58" s="54"/>
      <c r="E58" s="5"/>
      <c r="F58" s="5"/>
      <c r="G58" s="5"/>
      <c r="J58" s="5"/>
      <c r="M58" s="5"/>
      <c r="N58" s="5"/>
      <c r="P58" s="5"/>
    </row>
    <row r="59" spans="1:16" ht="13">
      <c r="A59" s="51"/>
      <c r="C59" s="51"/>
      <c r="D59" s="54"/>
      <c r="E59" s="5"/>
      <c r="F59" s="5"/>
      <c r="G59" s="5"/>
      <c r="J59" s="5"/>
      <c r="M59" s="5"/>
      <c r="N59" s="5"/>
      <c r="P59" s="5"/>
    </row>
    <row r="60" spans="1:16" ht="13">
      <c r="A60" s="51"/>
      <c r="C60" s="51"/>
      <c r="D60" s="54"/>
      <c r="E60" s="5"/>
      <c r="F60" s="5"/>
      <c r="G60" s="5"/>
      <c r="J60" s="5"/>
      <c r="M60" s="5"/>
      <c r="N60" s="5"/>
      <c r="P60" s="5"/>
    </row>
    <row r="61" spans="1:16" ht="13">
      <c r="A61" s="51"/>
      <c r="C61" s="51"/>
      <c r="D61" s="54"/>
      <c r="E61" s="5"/>
      <c r="F61" s="5"/>
      <c r="G61" s="5"/>
      <c r="J61" s="5"/>
      <c r="M61" s="5"/>
      <c r="N61" s="5"/>
      <c r="P61" s="5"/>
    </row>
    <row r="62" spans="1:16" ht="13">
      <c r="A62" s="51"/>
      <c r="C62" s="51"/>
      <c r="D62" s="54"/>
      <c r="E62" s="5"/>
      <c r="F62" s="5"/>
      <c r="G62" s="5"/>
      <c r="J62" s="5"/>
      <c r="M62" s="5"/>
      <c r="N62" s="5"/>
      <c r="P62" s="5"/>
    </row>
    <row r="63" spans="1:16" ht="13">
      <c r="A63" s="51"/>
      <c r="C63" s="51"/>
      <c r="D63" s="54"/>
      <c r="E63" s="5"/>
      <c r="F63" s="5"/>
      <c r="G63" s="5"/>
      <c r="J63" s="5"/>
      <c r="M63" s="5"/>
      <c r="N63" s="5"/>
      <c r="P63" s="5"/>
    </row>
    <row r="64" spans="1:16" ht="13">
      <c r="A64" s="51"/>
      <c r="C64" s="51"/>
      <c r="D64" s="54"/>
      <c r="E64" s="5"/>
      <c r="F64" s="5"/>
      <c r="G64" s="5"/>
      <c r="J64" s="5"/>
      <c r="M64" s="5"/>
      <c r="N64" s="5"/>
      <c r="P64" s="5"/>
    </row>
    <row r="65" spans="1:16" ht="13">
      <c r="A65" s="51"/>
      <c r="C65" s="51"/>
      <c r="D65" s="54"/>
      <c r="E65" s="5"/>
      <c r="F65" s="5"/>
      <c r="G65" s="5"/>
      <c r="J65" s="5"/>
      <c r="M65" s="5"/>
      <c r="N65" s="5"/>
      <c r="P65" s="5"/>
    </row>
    <row r="66" spans="1:16" ht="13">
      <c r="A66" s="51"/>
      <c r="C66" s="51"/>
      <c r="D66" s="54"/>
      <c r="E66" s="5"/>
      <c r="F66" s="5"/>
      <c r="G66" s="5"/>
      <c r="J66" s="5"/>
      <c r="M66" s="5"/>
      <c r="N66" s="5"/>
      <c r="P66" s="5"/>
    </row>
    <row r="67" spans="1:16" ht="13">
      <c r="A67" s="51"/>
      <c r="C67" s="51"/>
      <c r="D67" s="54"/>
      <c r="E67" s="5"/>
      <c r="F67" s="5"/>
      <c r="G67" s="5"/>
      <c r="J67" s="5"/>
      <c r="M67" s="5"/>
      <c r="N67" s="5"/>
      <c r="P67" s="5"/>
    </row>
    <row r="68" spans="1:16" ht="13">
      <c r="A68" s="51"/>
      <c r="C68" s="51"/>
      <c r="D68" s="54"/>
      <c r="E68" s="5"/>
      <c r="F68" s="5"/>
      <c r="G68" s="5"/>
      <c r="J68" s="5"/>
      <c r="M68" s="5"/>
      <c r="N68" s="5"/>
      <c r="P68" s="5"/>
    </row>
    <row r="69" spans="1:16" ht="13">
      <c r="A69" s="51"/>
      <c r="C69" s="51"/>
      <c r="D69" s="54"/>
      <c r="E69" s="5"/>
      <c r="F69" s="5"/>
      <c r="G69" s="5"/>
      <c r="J69" s="5"/>
      <c r="M69" s="5"/>
      <c r="N69" s="5"/>
      <c r="P69" s="5"/>
    </row>
    <row r="70" spans="1:16" ht="13">
      <c r="A70" s="51"/>
      <c r="C70" s="51"/>
      <c r="D70" s="54"/>
      <c r="E70" s="51"/>
      <c r="F70" s="5"/>
      <c r="G70" s="5"/>
      <c r="J70" s="5"/>
      <c r="M70" s="5"/>
      <c r="N70" s="5"/>
      <c r="P70" s="5"/>
    </row>
    <row r="71" spans="1:16" ht="13">
      <c r="A71" s="51"/>
      <c r="C71" s="51"/>
      <c r="D71" s="5"/>
      <c r="J71" s="5"/>
      <c r="M71" s="5"/>
      <c r="N71" s="5"/>
      <c r="P71" s="5"/>
    </row>
    <row r="72" spans="1:16" ht="13">
      <c r="A72" s="51"/>
      <c r="C72" s="51"/>
      <c r="D72" s="54"/>
      <c r="E72" s="5"/>
      <c r="F72" s="5"/>
      <c r="G72" s="5"/>
      <c r="J72" s="5"/>
      <c r="M72" s="5"/>
      <c r="N72" s="5"/>
      <c r="P72" s="5"/>
    </row>
    <row r="73" spans="1:16" ht="13">
      <c r="A73" s="51"/>
      <c r="C73" s="51"/>
      <c r="D73" s="54"/>
      <c r="E73" s="5"/>
      <c r="F73" s="5"/>
      <c r="G73" s="5"/>
      <c r="J73" s="5"/>
      <c r="M73" s="5"/>
      <c r="N73" s="5"/>
      <c r="P73" s="5"/>
    </row>
    <row r="74" spans="1:16" ht="13">
      <c r="A74" s="51"/>
      <c r="C74" s="51"/>
      <c r="D74" s="54"/>
      <c r="E74" s="5"/>
      <c r="F74" s="5"/>
      <c r="G74" s="5"/>
      <c r="J74" s="5"/>
      <c r="M74" s="5"/>
      <c r="N74" s="5"/>
      <c r="P74" s="5"/>
    </row>
    <row r="75" spans="1:16" ht="13">
      <c r="A75" s="51"/>
      <c r="C75" s="51"/>
      <c r="D75" s="54"/>
      <c r="E75" s="5"/>
      <c r="F75" s="5"/>
      <c r="G75" s="5"/>
      <c r="J75" s="5"/>
      <c r="M75" s="5"/>
      <c r="N75" s="5"/>
      <c r="P75" s="5"/>
    </row>
    <row r="76" spans="1:16" ht="13">
      <c r="A76" s="51"/>
      <c r="C76" s="51"/>
      <c r="D76" s="54"/>
      <c r="E76" s="5"/>
      <c r="F76" s="5"/>
      <c r="G76" s="5"/>
      <c r="J76" s="5"/>
      <c r="M76" s="5"/>
      <c r="N76" s="5"/>
      <c r="P76" s="5"/>
    </row>
    <row r="77" spans="1:16" ht="13">
      <c r="A77" s="51"/>
      <c r="C77" s="51"/>
      <c r="D77" s="54"/>
      <c r="E77" s="5"/>
      <c r="F77" s="5"/>
      <c r="G77" s="5"/>
      <c r="J77" s="5"/>
      <c r="M77" s="5"/>
      <c r="N77" s="5"/>
      <c r="P77" s="5"/>
    </row>
    <row r="78" spans="1:16" ht="13">
      <c r="A78" s="51"/>
      <c r="C78" s="51"/>
      <c r="D78" s="54"/>
      <c r="E78" s="5"/>
      <c r="F78" s="5"/>
      <c r="G78" s="5"/>
      <c r="J78" s="5"/>
      <c r="M78" s="5"/>
      <c r="N78" s="5"/>
      <c r="P78" s="5"/>
    </row>
    <row r="79" spans="1:16" ht="13">
      <c r="A79" s="51"/>
      <c r="C79" s="51"/>
      <c r="D79" s="54"/>
      <c r="E79" s="5"/>
      <c r="F79" s="5"/>
      <c r="G79" s="5"/>
      <c r="J79" s="5"/>
      <c r="M79" s="5"/>
      <c r="N79" s="5"/>
      <c r="P79" s="5"/>
    </row>
    <row r="80" spans="1:16" ht="13">
      <c r="A80" s="51"/>
      <c r="C80" s="51"/>
      <c r="D80" s="54"/>
      <c r="E80" s="5"/>
      <c r="F80" s="5"/>
      <c r="G80" s="5"/>
      <c r="J80" s="5"/>
      <c r="M80" s="5"/>
      <c r="N80" s="5"/>
      <c r="P80" s="5"/>
    </row>
    <row r="81" spans="1:16" ht="13">
      <c r="A81" s="51"/>
      <c r="C81" s="51"/>
      <c r="D81" s="54"/>
      <c r="E81" s="5"/>
      <c r="F81" s="5"/>
      <c r="G81" s="5"/>
      <c r="J81" s="5"/>
      <c r="M81" s="5"/>
      <c r="N81" s="5"/>
      <c r="P81" s="5"/>
    </row>
    <row r="82" spans="1:16" ht="13">
      <c r="A82" s="51"/>
      <c r="C82" s="51"/>
      <c r="D82" s="54"/>
      <c r="E82" s="5"/>
      <c r="F82" s="5"/>
      <c r="G82" s="5"/>
      <c r="J82" s="5"/>
      <c r="M82" s="5"/>
      <c r="N82" s="5"/>
      <c r="P82" s="5"/>
    </row>
    <row r="83" spans="1:16" ht="13">
      <c r="A83" s="51"/>
      <c r="C83" s="51"/>
      <c r="D83" s="54"/>
      <c r="E83" s="5"/>
      <c r="F83" s="5"/>
      <c r="G83" s="5"/>
      <c r="J83" s="5"/>
      <c r="M83" s="5"/>
      <c r="N83" s="5"/>
      <c r="P83" s="5"/>
    </row>
    <row r="84" spans="1:16" ht="13">
      <c r="A84" s="51"/>
      <c r="C84" s="51"/>
      <c r="D84" s="54"/>
      <c r="E84" s="5"/>
      <c r="F84" s="5"/>
      <c r="G84" s="5"/>
      <c r="J84" s="5"/>
      <c r="M84" s="5"/>
      <c r="N84" s="5"/>
      <c r="P84" s="5"/>
    </row>
    <row r="85" spans="1:16" ht="13">
      <c r="A85" s="51"/>
      <c r="C85" s="51"/>
      <c r="D85" s="54"/>
      <c r="E85" s="5"/>
      <c r="F85" s="5"/>
      <c r="G85" s="5"/>
      <c r="J85" s="5"/>
      <c r="M85" s="5"/>
      <c r="N85" s="5"/>
      <c r="P85" s="5"/>
    </row>
    <row r="86" spans="1:16" ht="13">
      <c r="A86" s="51"/>
      <c r="C86" s="51"/>
      <c r="D86" s="54"/>
      <c r="E86" s="5"/>
      <c r="F86" s="5"/>
      <c r="G86" s="5"/>
      <c r="J86" s="5"/>
      <c r="M86" s="5"/>
      <c r="N86" s="5"/>
      <c r="P86" s="5"/>
    </row>
    <row r="87" spans="1:16" ht="13">
      <c r="A87" s="51"/>
      <c r="C87" s="51"/>
      <c r="D87" s="54"/>
      <c r="E87" s="5"/>
      <c r="F87" s="5"/>
      <c r="G87" s="5"/>
      <c r="J87" s="5"/>
      <c r="M87" s="5"/>
      <c r="N87" s="5"/>
      <c r="P87" s="5"/>
    </row>
    <row r="88" spans="1:16" ht="13">
      <c r="A88" s="51"/>
      <c r="C88" s="51"/>
      <c r="D88" s="54"/>
      <c r="E88" s="5"/>
      <c r="F88" s="5"/>
      <c r="G88" s="5"/>
      <c r="J88" s="5"/>
      <c r="M88" s="5"/>
      <c r="N88" s="5"/>
      <c r="P88" s="5"/>
    </row>
    <row r="89" spans="1:16" ht="13">
      <c r="A89" s="51"/>
      <c r="C89" s="51"/>
      <c r="D89" s="54"/>
      <c r="E89" s="5"/>
      <c r="F89" s="5"/>
      <c r="G89" s="5"/>
      <c r="J89" s="5"/>
      <c r="M89" s="5"/>
      <c r="N89" s="5"/>
      <c r="P89" s="5"/>
    </row>
    <row r="90" spans="1:16" ht="13">
      <c r="A90" s="51"/>
      <c r="C90" s="51"/>
      <c r="D90" s="54"/>
      <c r="E90" s="5"/>
      <c r="F90" s="5"/>
      <c r="G90" s="5"/>
      <c r="J90" s="5"/>
      <c r="M90" s="5"/>
      <c r="N90" s="5"/>
      <c r="P90" s="5"/>
    </row>
    <row r="91" spans="1:16" ht="13">
      <c r="A91" s="51"/>
      <c r="B91" s="61"/>
      <c r="C91" s="51"/>
      <c r="D91" s="51"/>
      <c r="E91" s="5"/>
      <c r="F91" s="5"/>
      <c r="G91" s="5"/>
      <c r="J91" s="5"/>
      <c r="M91" s="5"/>
      <c r="N91" s="5"/>
      <c r="P91" s="5"/>
    </row>
    <row r="92" spans="1:16" ht="13">
      <c r="A92" s="51"/>
      <c r="B92" s="61"/>
      <c r="C92" s="51"/>
      <c r="D92" s="54"/>
      <c r="E92" s="5"/>
      <c r="F92" s="5"/>
      <c r="G92" s="5"/>
      <c r="J92" s="5"/>
      <c r="M92" s="5"/>
      <c r="N92" s="5"/>
      <c r="P92" s="5"/>
    </row>
    <row r="93" spans="1:16" ht="13">
      <c r="A93" s="51"/>
      <c r="B93" s="61"/>
      <c r="C93" s="51"/>
      <c r="D93" s="54"/>
      <c r="E93" s="5"/>
      <c r="F93" s="5"/>
      <c r="G93" s="5"/>
      <c r="J93" s="5"/>
      <c r="M93" s="5"/>
      <c r="N93" s="5"/>
      <c r="P93" s="5"/>
    </row>
    <row r="94" spans="1:16" ht="13">
      <c r="A94" s="51"/>
      <c r="B94" s="61"/>
      <c r="C94" s="51"/>
      <c r="D94" s="54"/>
      <c r="E94" s="5"/>
      <c r="F94" s="5"/>
      <c r="G94" s="5"/>
      <c r="J94" s="5"/>
      <c r="M94" s="5"/>
      <c r="N94" s="5"/>
      <c r="P94" s="5"/>
    </row>
    <row r="95" spans="1:16" ht="13">
      <c r="A95" s="51"/>
      <c r="C95" s="51"/>
      <c r="D95" s="54"/>
      <c r="E95" s="5"/>
      <c r="F95" s="5"/>
      <c r="G95" s="5"/>
      <c r="J95" s="5"/>
      <c r="M95" s="5"/>
      <c r="N95" s="5"/>
      <c r="P95" s="5"/>
    </row>
    <row r="96" spans="1:16" ht="13">
      <c r="A96" s="51"/>
      <c r="C96" s="51"/>
      <c r="D96" s="54"/>
      <c r="E96" s="5"/>
      <c r="F96" s="5"/>
      <c r="G96" s="5"/>
      <c r="J96" s="5"/>
      <c r="M96" s="5"/>
      <c r="N96" s="5"/>
      <c r="P96" s="5"/>
    </row>
    <row r="97" spans="1:16" ht="13">
      <c r="A97" s="51"/>
      <c r="C97" s="51"/>
      <c r="D97" s="54"/>
      <c r="E97" s="5"/>
      <c r="F97" s="5"/>
      <c r="G97" s="5"/>
      <c r="J97" s="5"/>
      <c r="M97" s="5"/>
      <c r="N97" s="5"/>
      <c r="P97" s="5"/>
    </row>
    <row r="98" spans="1:16" ht="13">
      <c r="A98" s="51"/>
      <c r="C98" s="51"/>
      <c r="D98" s="54"/>
      <c r="E98" s="5"/>
      <c r="F98" s="5"/>
      <c r="G98" s="5"/>
      <c r="J98" s="5"/>
      <c r="M98" s="5"/>
      <c r="N98" s="5"/>
      <c r="P98" s="5"/>
    </row>
    <row r="99" spans="1:16" ht="13">
      <c r="A99" s="51"/>
      <c r="C99" s="51"/>
      <c r="D99" s="54"/>
      <c r="E99" s="5"/>
      <c r="F99" s="5"/>
      <c r="G99" s="5"/>
      <c r="J99" s="5"/>
      <c r="M99" s="5"/>
      <c r="N99" s="5"/>
      <c r="P99" s="5"/>
    </row>
    <row r="100" spans="1:16" ht="13">
      <c r="A100" s="51"/>
      <c r="C100" s="51"/>
      <c r="D100" s="54"/>
      <c r="E100" s="5"/>
      <c r="F100" s="5"/>
      <c r="G100" s="5"/>
      <c r="J100" s="5"/>
      <c r="M100" s="5"/>
      <c r="N100" s="5"/>
      <c r="P100" s="5"/>
    </row>
    <row r="101" spans="1:16" ht="13">
      <c r="A101" s="51"/>
      <c r="C101" s="51"/>
      <c r="D101" s="54"/>
      <c r="E101" s="5"/>
      <c r="F101" s="5"/>
      <c r="G101" s="5"/>
      <c r="J101" s="5"/>
      <c r="M101" s="5"/>
      <c r="N101" s="5"/>
      <c r="P101" s="5"/>
    </row>
    <row r="102" spans="1:16" ht="13">
      <c r="A102" s="51"/>
      <c r="C102" s="51"/>
      <c r="D102" s="54"/>
      <c r="E102" s="51"/>
      <c r="F102" s="5"/>
      <c r="G102" s="5"/>
      <c r="J102" s="5"/>
      <c r="M102" s="5"/>
      <c r="N102" s="5"/>
      <c r="P102" s="5"/>
    </row>
    <row r="103" spans="1:16" ht="13">
      <c r="A103" s="51"/>
      <c r="C103" s="51"/>
      <c r="D103" s="54"/>
      <c r="E103" s="5"/>
      <c r="F103" s="5"/>
      <c r="G103" s="5"/>
      <c r="J103" s="5"/>
      <c r="M103" s="5"/>
      <c r="N103" s="5"/>
      <c r="P103" s="5"/>
    </row>
    <row r="104" spans="1:16" ht="13">
      <c r="A104" s="51"/>
      <c r="C104" s="51"/>
      <c r="D104" s="54"/>
      <c r="E104" s="5"/>
      <c r="F104" s="5"/>
      <c r="G104" s="5"/>
      <c r="J104" s="5"/>
      <c r="M104" s="5"/>
      <c r="N104" s="5"/>
      <c r="P104" s="5"/>
    </row>
    <row r="105" spans="1:16" ht="13">
      <c r="A105" s="51"/>
      <c r="C105" s="51"/>
      <c r="D105" s="54"/>
      <c r="E105" s="5"/>
      <c r="F105" s="5"/>
      <c r="G105" s="5"/>
      <c r="J105" s="5"/>
      <c r="M105" s="5"/>
      <c r="N105" s="5"/>
      <c r="P105" s="5"/>
    </row>
    <row r="106" spans="1:16" ht="13">
      <c r="A106" s="51"/>
      <c r="C106" s="51"/>
      <c r="D106" s="54"/>
      <c r="E106" s="5"/>
      <c r="F106" s="5"/>
      <c r="G106" s="5"/>
      <c r="J106" s="5"/>
      <c r="M106" s="5"/>
      <c r="N106" s="5"/>
      <c r="P106" s="5"/>
    </row>
    <row r="107" spans="1:16" ht="13">
      <c r="C107" s="54"/>
      <c r="D107" s="54"/>
      <c r="E107" s="5"/>
      <c r="F107" s="5"/>
      <c r="G107" s="5"/>
      <c r="J107" s="5"/>
      <c r="M107" s="5"/>
      <c r="N107" s="5"/>
      <c r="P107" s="5"/>
    </row>
    <row r="108" spans="1:16" ht="13">
      <c r="A108" s="62"/>
      <c r="C108" s="54"/>
      <c r="D108" s="54"/>
      <c r="E108" s="5"/>
      <c r="F108" s="5"/>
      <c r="G108" s="5"/>
      <c r="J108" s="5"/>
      <c r="M108" s="5"/>
      <c r="N108" s="5"/>
      <c r="P108" s="5"/>
    </row>
    <row r="109" spans="1:16" ht="13">
      <c r="A109" s="51"/>
      <c r="C109" s="51"/>
      <c r="D109" s="54"/>
      <c r="E109" s="5"/>
      <c r="F109" s="5"/>
      <c r="G109" s="5"/>
      <c r="J109" s="5"/>
      <c r="M109" s="5"/>
      <c r="N109" s="5"/>
      <c r="P109" s="5"/>
    </row>
    <row r="110" spans="1:16" ht="13">
      <c r="A110" s="51"/>
      <c r="C110" s="51"/>
      <c r="E110" s="5"/>
      <c r="F110" s="5"/>
      <c r="G110" s="5"/>
      <c r="J110" s="5"/>
      <c r="M110" s="5"/>
      <c r="N110" s="5"/>
      <c r="P110" s="5"/>
    </row>
    <row r="111" spans="1:16" ht="13">
      <c r="A111" s="51"/>
      <c r="C111" s="51"/>
      <c r="D111" s="54"/>
      <c r="E111" s="5"/>
      <c r="F111" s="5"/>
      <c r="G111" s="5"/>
      <c r="J111" s="5"/>
      <c r="M111" s="5"/>
      <c r="N111" s="5"/>
      <c r="P111" s="5"/>
    </row>
    <row r="112" spans="1:16" ht="13">
      <c r="A112" s="51"/>
      <c r="C112" s="51"/>
      <c r="D112" s="54"/>
      <c r="E112" s="51"/>
      <c r="F112" s="5"/>
      <c r="G112" s="5"/>
      <c r="J112" s="5"/>
      <c r="M112" s="5"/>
      <c r="N112" s="5"/>
      <c r="P112" s="5"/>
    </row>
    <row r="113" spans="1:16" ht="13">
      <c r="A113" s="51"/>
      <c r="C113" s="51"/>
      <c r="D113" s="54"/>
      <c r="E113" s="5"/>
      <c r="F113" s="5"/>
      <c r="G113" s="5"/>
      <c r="J113" s="5"/>
      <c r="M113" s="5"/>
      <c r="N113" s="5"/>
      <c r="P113" s="5"/>
    </row>
    <row r="114" spans="1:16" ht="13">
      <c r="A114" s="51"/>
      <c r="C114" s="51"/>
      <c r="D114" s="54"/>
      <c r="E114" s="5"/>
      <c r="F114" s="51"/>
      <c r="G114" s="5"/>
      <c r="J114" s="5"/>
      <c r="M114" s="5"/>
      <c r="N114" s="5"/>
      <c r="P114" s="5"/>
    </row>
    <row r="115" spans="1:16" ht="13">
      <c r="A115" s="51"/>
      <c r="C115" s="51"/>
      <c r="D115" s="54"/>
      <c r="E115" s="5"/>
      <c r="F115" s="5"/>
      <c r="G115" s="5"/>
      <c r="J115" s="5"/>
      <c r="M115" s="5"/>
      <c r="N115" s="5"/>
      <c r="P115" s="5"/>
    </row>
    <row r="116" spans="1:16" ht="13">
      <c r="A116" s="51"/>
      <c r="C116" s="51"/>
      <c r="D116" s="51"/>
      <c r="E116" s="5"/>
      <c r="F116" s="5"/>
      <c r="G116" s="5"/>
      <c r="J116" s="5"/>
      <c r="M116" s="5"/>
      <c r="N116" s="5"/>
      <c r="P116" s="5"/>
    </row>
    <row r="117" spans="1:16" ht="13">
      <c r="A117" s="51"/>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3"/>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3"/>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600-000000000000}"/>
    <hyperlink ref="B6" r:id="rId2" xr:uid="{00000000-0004-0000-3600-000001000000}"/>
    <hyperlink ref="B7" r:id="rId3" xr:uid="{00000000-0004-0000-3600-000002000000}"/>
    <hyperlink ref="B8" r:id="rId4" xr:uid="{00000000-0004-0000-3600-000003000000}"/>
    <hyperlink ref="B9" r:id="rId5" xr:uid="{00000000-0004-0000-3600-000004000000}"/>
    <hyperlink ref="B10" r:id="rId6" xr:uid="{00000000-0004-0000-3600-000005000000}"/>
    <hyperlink ref="B11" r:id="rId7" xr:uid="{00000000-0004-0000-3600-000006000000}"/>
    <hyperlink ref="B12" r:id="rId8" xr:uid="{00000000-0004-0000-3600-000007000000}"/>
    <hyperlink ref="B13" r:id="rId9" xr:uid="{00000000-0004-0000-3600-000008000000}"/>
    <hyperlink ref="B14" r:id="rId10" xr:uid="{00000000-0004-0000-3600-000009000000}"/>
    <hyperlink ref="B15" r:id="rId11" xr:uid="{00000000-0004-0000-3600-00000A000000}"/>
    <hyperlink ref="B16" r:id="rId12" xr:uid="{00000000-0004-0000-3600-00000B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83203125" customWidth="1"/>
    <col min="3" max="3" width="13.5" customWidth="1"/>
    <col min="4" max="4" width="14.83203125" customWidth="1"/>
    <col min="5" max="5" width="14.33203125" customWidth="1"/>
    <col min="11" max="11" width="13.83203125" customWidth="1"/>
  </cols>
  <sheetData>
    <row r="1" spans="1:23" ht="15.75" customHeight="1">
      <c r="A1" s="1" t="s">
        <v>79</v>
      </c>
      <c r="B1" s="36"/>
      <c r="C1" s="46"/>
      <c r="D1" s="7" t="s">
        <v>181</v>
      </c>
      <c r="E1" s="5"/>
      <c r="F1" s="5"/>
      <c r="G1" s="5"/>
      <c r="K1" s="1"/>
      <c r="M1" s="5"/>
      <c r="N1" s="5"/>
      <c r="S1" s="1"/>
      <c r="U1" s="5"/>
    </row>
    <row r="2" spans="1:23" ht="15.75" customHeight="1">
      <c r="A2" s="7" t="s">
        <v>182</v>
      </c>
      <c r="B2" s="38">
        <v>40863</v>
      </c>
      <c r="C2" s="46"/>
      <c r="D2" s="39">
        <f>SUM(D5:G106)</f>
        <v>0</v>
      </c>
      <c r="E2" s="5"/>
      <c r="F2" s="5"/>
      <c r="G2" s="5"/>
      <c r="L2" s="40"/>
      <c r="M2" s="5"/>
      <c r="N2" s="5"/>
      <c r="T2" s="40"/>
      <c r="U2" s="5"/>
    </row>
    <row r="3" spans="1:23" ht="15.75" customHeight="1">
      <c r="B3" s="41"/>
      <c r="C3" s="46"/>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1" t="s">
        <v>1787</v>
      </c>
      <c r="B5" s="60" t="s">
        <v>4040</v>
      </c>
      <c r="C5" s="51" t="s">
        <v>205</v>
      </c>
      <c r="D5" s="54"/>
      <c r="E5" s="5"/>
      <c r="F5" s="5"/>
      <c r="G5" s="5"/>
      <c r="L5" s="43"/>
      <c r="M5" s="43"/>
      <c r="N5" s="42"/>
      <c r="O5" s="44"/>
      <c r="S5" s="42"/>
      <c r="T5" s="43"/>
      <c r="U5" s="43"/>
      <c r="V5" s="42"/>
      <c r="W5" s="44"/>
    </row>
    <row r="6" spans="1:23" ht="15.75" customHeight="1">
      <c r="A6" s="51" t="s">
        <v>1789</v>
      </c>
      <c r="B6" s="60" t="s">
        <v>4041</v>
      </c>
      <c r="C6" s="51" t="s">
        <v>205</v>
      </c>
      <c r="D6" s="54"/>
      <c r="E6" s="5"/>
      <c r="F6" s="5"/>
      <c r="G6" s="5"/>
      <c r="L6" s="50"/>
      <c r="M6" s="51"/>
      <c r="N6" s="5"/>
      <c r="S6" s="52"/>
      <c r="T6" s="50"/>
      <c r="U6" s="51"/>
    </row>
    <row r="7" spans="1:23" ht="15.75" customHeight="1">
      <c r="A7" s="51" t="s">
        <v>1791</v>
      </c>
      <c r="B7" s="60" t="s">
        <v>4042</v>
      </c>
      <c r="C7" s="51" t="s">
        <v>205</v>
      </c>
      <c r="D7" s="54"/>
      <c r="E7" s="5"/>
      <c r="F7" s="5"/>
      <c r="G7" s="5"/>
      <c r="K7" s="52"/>
      <c r="L7" s="50"/>
      <c r="M7" s="51"/>
      <c r="N7" s="5"/>
      <c r="S7" s="52"/>
      <c r="T7" s="50"/>
      <c r="U7" s="51"/>
    </row>
    <row r="8" spans="1:23" ht="15.75" customHeight="1">
      <c r="A8" s="51" t="s">
        <v>1792</v>
      </c>
      <c r="B8" s="60" t="s">
        <v>4043</v>
      </c>
      <c r="C8" s="51" t="s">
        <v>205</v>
      </c>
      <c r="D8" s="54"/>
      <c r="E8" s="5"/>
      <c r="F8" s="5"/>
      <c r="G8" s="5"/>
      <c r="K8" s="52"/>
      <c r="L8" s="50"/>
      <c r="M8" s="51"/>
      <c r="N8" s="51"/>
      <c r="S8" s="52"/>
      <c r="T8" s="50"/>
      <c r="U8" s="51"/>
    </row>
    <row r="9" spans="1:23" ht="15.75" customHeight="1">
      <c r="A9" s="51" t="s">
        <v>1794</v>
      </c>
      <c r="B9" s="60" t="s">
        <v>4044</v>
      </c>
      <c r="C9" s="51" t="s">
        <v>205</v>
      </c>
      <c r="D9" s="54"/>
      <c r="E9" s="5"/>
      <c r="F9" s="5"/>
      <c r="G9" s="5"/>
      <c r="K9" s="52"/>
      <c r="L9" s="50"/>
      <c r="M9" s="51"/>
      <c r="N9" s="51"/>
      <c r="S9" s="52"/>
      <c r="T9" s="50"/>
      <c r="U9" s="51"/>
    </row>
    <row r="10" spans="1:23" ht="15.75" customHeight="1">
      <c r="A10" s="51" t="s">
        <v>1795</v>
      </c>
      <c r="B10" s="60" t="s">
        <v>4045</v>
      </c>
      <c r="C10" s="51" t="s">
        <v>205</v>
      </c>
      <c r="D10" s="54"/>
      <c r="E10" s="5"/>
      <c r="F10" s="5"/>
      <c r="G10" s="5"/>
      <c r="K10" s="52"/>
      <c r="L10" s="50"/>
      <c r="M10" s="51"/>
      <c r="N10" s="5"/>
      <c r="S10" s="52"/>
      <c r="T10" s="50"/>
      <c r="U10" s="51"/>
    </row>
    <row r="11" spans="1:23" ht="15.75" customHeight="1">
      <c r="A11" s="51" t="s">
        <v>1797</v>
      </c>
      <c r="B11" s="60" t="s">
        <v>4046</v>
      </c>
      <c r="C11" s="51" t="s">
        <v>205</v>
      </c>
      <c r="D11" s="54"/>
      <c r="E11" s="5"/>
      <c r="F11" s="5"/>
      <c r="G11" s="5"/>
      <c r="K11" s="52"/>
      <c r="L11" s="50"/>
      <c r="M11" s="51"/>
      <c r="N11" s="51"/>
      <c r="S11" s="52"/>
      <c r="T11" s="50"/>
      <c r="U11" s="51"/>
    </row>
    <row r="12" spans="1:23" ht="15.75" customHeight="1">
      <c r="A12" s="51" t="s">
        <v>1798</v>
      </c>
      <c r="B12" s="60" t="s">
        <v>4047</v>
      </c>
      <c r="C12" s="51" t="s">
        <v>205</v>
      </c>
      <c r="D12" s="54"/>
      <c r="E12" s="5"/>
      <c r="F12" s="5"/>
      <c r="G12" s="5"/>
      <c r="K12" s="52"/>
      <c r="L12" s="50"/>
      <c r="M12" s="51"/>
      <c r="N12" s="51"/>
      <c r="S12" s="52"/>
      <c r="T12" s="50"/>
      <c r="U12" s="51"/>
    </row>
    <row r="13" spans="1:23" ht="15.75" customHeight="1">
      <c r="A13" s="51" t="s">
        <v>1800</v>
      </c>
      <c r="B13" s="60" t="s">
        <v>4048</v>
      </c>
      <c r="C13" s="51" t="s">
        <v>205</v>
      </c>
      <c r="D13" s="54"/>
      <c r="E13" s="5"/>
      <c r="F13" s="5"/>
      <c r="G13" s="5"/>
      <c r="K13" s="52"/>
      <c r="L13" s="50"/>
      <c r="M13" s="51"/>
      <c r="N13" s="5"/>
      <c r="S13" s="52"/>
      <c r="T13" s="50"/>
      <c r="U13" s="51"/>
    </row>
    <row r="14" spans="1:23" ht="15.75" customHeight="1">
      <c r="A14" s="51" t="s">
        <v>1801</v>
      </c>
      <c r="B14" s="60" t="s">
        <v>4049</v>
      </c>
      <c r="C14" s="51" t="s">
        <v>205</v>
      </c>
      <c r="D14" s="54"/>
      <c r="E14" s="5"/>
      <c r="F14" s="5"/>
      <c r="G14" s="5"/>
      <c r="K14" s="52"/>
      <c r="L14" s="50"/>
      <c r="M14" s="51"/>
      <c r="N14" s="51"/>
      <c r="S14" s="52"/>
      <c r="T14" s="50"/>
      <c r="U14" s="51"/>
    </row>
    <row r="15" spans="1:23" ht="15.75" customHeight="1">
      <c r="A15" s="51" t="s">
        <v>1803</v>
      </c>
      <c r="B15" s="60" t="s">
        <v>4050</v>
      </c>
      <c r="C15" s="51" t="s">
        <v>205</v>
      </c>
      <c r="D15" s="54"/>
      <c r="E15" s="5"/>
      <c r="F15" s="5"/>
      <c r="G15" s="5"/>
      <c r="K15" s="52"/>
      <c r="L15" s="50"/>
      <c r="M15" s="51"/>
      <c r="N15" s="51"/>
      <c r="S15" s="52"/>
      <c r="T15" s="50"/>
      <c r="U15" s="51"/>
    </row>
    <row r="16" spans="1:23" ht="15.75" customHeight="1">
      <c r="A16" s="51" t="s">
        <v>1805</v>
      </c>
      <c r="B16" s="60" t="s">
        <v>4051</v>
      </c>
      <c r="C16" s="51" t="s">
        <v>205</v>
      </c>
      <c r="D16" s="54"/>
      <c r="E16" s="5"/>
      <c r="F16" s="5"/>
      <c r="G16" s="5"/>
      <c r="K16" s="52"/>
      <c r="L16" s="50"/>
      <c r="M16" s="51"/>
      <c r="N16" s="51"/>
      <c r="S16" s="52"/>
      <c r="T16" s="50"/>
      <c r="U16" s="51"/>
    </row>
    <row r="17" spans="1:27" ht="15.75" customHeight="1">
      <c r="A17" s="51" t="s">
        <v>1807</v>
      </c>
      <c r="B17" s="60" t="s">
        <v>4052</v>
      </c>
      <c r="C17" s="51" t="s">
        <v>205</v>
      </c>
      <c r="D17" s="54"/>
      <c r="E17" s="5"/>
      <c r="F17" s="5"/>
      <c r="G17" s="5"/>
      <c r="K17" s="52"/>
      <c r="L17" s="50"/>
      <c r="M17" s="51"/>
      <c r="N17" s="51"/>
      <c r="S17" s="52"/>
      <c r="T17" s="50"/>
      <c r="U17" s="51"/>
    </row>
    <row r="18" spans="1:27" ht="15.75" customHeight="1">
      <c r="A18" s="51" t="s">
        <v>1808</v>
      </c>
      <c r="B18" s="60" t="s">
        <v>4053</v>
      </c>
      <c r="C18" s="51" t="s">
        <v>199</v>
      </c>
      <c r="D18" s="54"/>
      <c r="E18" s="5"/>
      <c r="F18" s="5"/>
      <c r="G18" s="5"/>
      <c r="M18" s="5"/>
      <c r="N18" s="5"/>
      <c r="U18" s="5"/>
      <c r="AA18" s="5"/>
    </row>
    <row r="19" spans="1:27" ht="15.75" customHeight="1">
      <c r="A19" s="51" t="s">
        <v>1809</v>
      </c>
      <c r="B19" s="60" t="s">
        <v>4053</v>
      </c>
      <c r="C19" s="51" t="s">
        <v>199</v>
      </c>
      <c r="D19" s="54"/>
      <c r="E19" s="5"/>
      <c r="F19" s="5"/>
      <c r="G19" s="5"/>
      <c r="K19" s="1"/>
      <c r="M19" s="5"/>
      <c r="N19" s="5"/>
      <c r="U19" s="5"/>
      <c r="AA19" s="5"/>
    </row>
    <row r="20" spans="1:27" ht="15.75" customHeight="1">
      <c r="A20" s="51" t="s">
        <v>1811</v>
      </c>
      <c r="B20" s="60" t="s">
        <v>4054</v>
      </c>
      <c r="C20" s="51" t="s">
        <v>199</v>
      </c>
      <c r="D20" s="54"/>
      <c r="E20" s="5"/>
      <c r="F20" s="5"/>
      <c r="G20" s="5"/>
      <c r="L20" s="40"/>
      <c r="M20" s="5"/>
      <c r="N20" s="5"/>
      <c r="AA20" s="5"/>
    </row>
    <row r="21" spans="1:27" ht="15.75" customHeight="1">
      <c r="A21" s="51" t="s">
        <v>1812</v>
      </c>
      <c r="B21" s="60" t="s">
        <v>4055</v>
      </c>
      <c r="C21" s="51" t="s">
        <v>199</v>
      </c>
      <c r="D21" s="54"/>
      <c r="E21" s="5"/>
      <c r="F21" s="5"/>
      <c r="G21" s="5"/>
      <c r="M21" s="5"/>
      <c r="N21" s="5"/>
      <c r="AA21" s="5"/>
    </row>
    <row r="22" spans="1:27" ht="15.75" customHeight="1">
      <c r="A22" s="51" t="s">
        <v>1813</v>
      </c>
      <c r="B22" s="60" t="s">
        <v>4056</v>
      </c>
      <c r="C22" s="51" t="s">
        <v>199</v>
      </c>
      <c r="D22" s="54"/>
      <c r="E22" s="5"/>
      <c r="F22" s="5"/>
      <c r="G22" s="5"/>
      <c r="K22" s="42"/>
      <c r="L22" s="45"/>
      <c r="M22" s="46"/>
      <c r="N22" s="47"/>
      <c r="AA22" s="5"/>
    </row>
    <row r="23" spans="1:27" ht="15.75" customHeight="1">
      <c r="A23" s="51" t="s">
        <v>1815</v>
      </c>
      <c r="B23" s="60" t="s">
        <v>4057</v>
      </c>
      <c r="C23" s="51" t="s">
        <v>199</v>
      </c>
      <c r="D23" s="54"/>
      <c r="E23" s="5"/>
      <c r="F23" s="5"/>
      <c r="G23" s="5"/>
      <c r="K23" s="42"/>
      <c r="L23" s="43"/>
      <c r="M23" s="43"/>
      <c r="N23" s="42"/>
      <c r="O23" s="44"/>
      <c r="AA23" s="5"/>
    </row>
    <row r="24" spans="1:27" ht="15.75" customHeight="1">
      <c r="A24" s="51" t="s">
        <v>1817</v>
      </c>
      <c r="B24" s="60" t="s">
        <v>4057</v>
      </c>
      <c r="C24" s="51" t="s">
        <v>199</v>
      </c>
      <c r="D24" s="54"/>
      <c r="E24" s="5"/>
      <c r="F24" s="5"/>
      <c r="G24" s="5"/>
      <c r="K24" s="52"/>
      <c r="L24" s="50"/>
      <c r="M24" s="51"/>
      <c r="N24" s="5"/>
      <c r="AA24" s="5"/>
    </row>
    <row r="25" spans="1:27" ht="15.75" customHeight="1">
      <c r="A25" s="51" t="s">
        <v>1819</v>
      </c>
      <c r="B25" s="60" t="s">
        <v>4058</v>
      </c>
      <c r="C25" s="51" t="s">
        <v>199</v>
      </c>
      <c r="D25" s="54"/>
      <c r="E25" s="5"/>
      <c r="F25" s="5"/>
      <c r="G25" s="5"/>
      <c r="K25" s="52"/>
      <c r="L25" s="50"/>
      <c r="M25" s="51"/>
      <c r="N25" s="5"/>
      <c r="AA25" s="5"/>
    </row>
    <row r="26" spans="1:27" ht="15.75" customHeight="1">
      <c r="A26" s="51" t="s">
        <v>1820</v>
      </c>
      <c r="B26" s="60" t="s">
        <v>4059</v>
      </c>
      <c r="C26" s="51" t="s">
        <v>208</v>
      </c>
      <c r="D26" s="54"/>
      <c r="E26" s="5"/>
      <c r="F26" s="5"/>
      <c r="G26" s="5"/>
      <c r="K26" s="52"/>
      <c r="L26" s="50"/>
      <c r="M26" s="51"/>
      <c r="N26" s="51"/>
      <c r="AA26" s="5"/>
    </row>
    <row r="27" spans="1:27" ht="15.75" customHeight="1">
      <c r="A27" s="51" t="s">
        <v>1821</v>
      </c>
      <c r="B27" s="60" t="s">
        <v>4060</v>
      </c>
      <c r="C27" s="51" t="s">
        <v>208</v>
      </c>
      <c r="D27" s="54"/>
      <c r="E27" s="5"/>
      <c r="F27" s="51"/>
      <c r="G27" s="5"/>
      <c r="K27" s="52"/>
      <c r="L27" s="50"/>
      <c r="M27" s="51"/>
      <c r="N27" s="51"/>
      <c r="AA27" s="5"/>
    </row>
    <row r="28" spans="1:27" ht="15.75" customHeight="1">
      <c r="A28" s="51" t="s">
        <v>1823</v>
      </c>
      <c r="B28" s="60" t="s">
        <v>4061</v>
      </c>
      <c r="C28" s="51" t="s">
        <v>208</v>
      </c>
      <c r="D28" s="54"/>
      <c r="E28" s="5"/>
      <c r="F28" s="5"/>
      <c r="G28" s="5"/>
      <c r="J28" s="5"/>
      <c r="K28" s="52"/>
      <c r="L28" s="50"/>
      <c r="M28" s="51"/>
      <c r="N28" s="5"/>
      <c r="P28" s="5"/>
    </row>
    <row r="29" spans="1:27" ht="15.75" customHeight="1">
      <c r="A29" s="51" t="s">
        <v>1825</v>
      </c>
      <c r="B29" s="60" t="s">
        <v>4062</v>
      </c>
      <c r="C29" s="51" t="s">
        <v>208</v>
      </c>
      <c r="D29" s="54"/>
      <c r="E29" s="5"/>
      <c r="F29" s="5"/>
      <c r="G29" s="5"/>
      <c r="J29" s="5"/>
      <c r="K29" s="52"/>
      <c r="L29" s="50"/>
      <c r="M29" s="51"/>
      <c r="N29" s="51"/>
      <c r="P29" s="5"/>
    </row>
    <row r="30" spans="1:27" ht="15.75" customHeight="1">
      <c r="A30" s="51" t="s">
        <v>1827</v>
      </c>
      <c r="B30" s="60" t="s">
        <v>4063</v>
      </c>
      <c r="C30" s="51" t="s">
        <v>208</v>
      </c>
      <c r="D30" s="54"/>
      <c r="E30" s="5"/>
      <c r="F30" s="5"/>
      <c r="G30" s="5"/>
      <c r="J30" s="5"/>
      <c r="K30" s="52"/>
      <c r="L30" s="50"/>
      <c r="M30" s="51"/>
      <c r="N30" s="5"/>
      <c r="P30" s="5"/>
    </row>
    <row r="31" spans="1:27" ht="15.75" customHeight="1">
      <c r="A31" s="51" t="s">
        <v>1829</v>
      </c>
      <c r="B31" s="60" t="s">
        <v>4064</v>
      </c>
      <c r="C31" s="51" t="s">
        <v>208</v>
      </c>
      <c r="D31" s="54"/>
      <c r="E31" s="5"/>
      <c r="F31" s="5"/>
      <c r="G31" s="5"/>
      <c r="J31" s="5"/>
      <c r="K31" s="52"/>
      <c r="L31" s="50"/>
      <c r="M31" s="51"/>
      <c r="N31" s="51"/>
      <c r="P31" s="5"/>
    </row>
    <row r="32" spans="1:27" ht="15.75" customHeight="1">
      <c r="A32" s="51" t="s">
        <v>1831</v>
      </c>
      <c r="B32" s="60" t="s">
        <v>4065</v>
      </c>
      <c r="C32" s="51" t="s">
        <v>208</v>
      </c>
      <c r="D32" s="54"/>
      <c r="E32" s="5"/>
      <c r="F32" s="5"/>
      <c r="G32" s="5"/>
      <c r="J32" s="5"/>
      <c r="K32" s="52"/>
      <c r="L32" s="50"/>
      <c r="M32" s="51"/>
      <c r="N32" s="5"/>
      <c r="P32" s="5"/>
    </row>
    <row r="33" spans="1:16" ht="15.75" customHeight="1">
      <c r="A33" s="51" t="s">
        <v>1832</v>
      </c>
      <c r="B33" s="60" t="s">
        <v>4066</v>
      </c>
      <c r="C33" s="51" t="s">
        <v>208</v>
      </c>
      <c r="D33" s="54"/>
      <c r="E33" s="5"/>
      <c r="F33" s="5"/>
      <c r="G33" s="5"/>
      <c r="J33" s="5"/>
      <c r="K33" s="52"/>
      <c r="L33" s="50"/>
      <c r="M33" s="51"/>
      <c r="N33" s="5"/>
      <c r="P33" s="5"/>
    </row>
    <row r="34" spans="1:16" ht="15.75" customHeight="1">
      <c r="A34" s="51" t="s">
        <v>1833</v>
      </c>
      <c r="B34" s="60" t="s">
        <v>4067</v>
      </c>
      <c r="C34" s="51" t="s">
        <v>208</v>
      </c>
      <c r="D34" s="54"/>
      <c r="E34" s="5"/>
      <c r="F34" s="5"/>
      <c r="G34" s="5"/>
      <c r="J34" s="5"/>
      <c r="K34" s="52"/>
      <c r="L34" s="50"/>
      <c r="M34" s="51"/>
      <c r="N34" s="5"/>
      <c r="P34" s="5"/>
    </row>
    <row r="35" spans="1:16" ht="15.75" customHeight="1">
      <c r="A35" s="51" t="s">
        <v>1835</v>
      </c>
      <c r="B35" s="60" t="s">
        <v>4068</v>
      </c>
      <c r="C35" s="51" t="s">
        <v>208</v>
      </c>
      <c r="D35" s="54"/>
      <c r="E35" s="5"/>
      <c r="F35" s="5"/>
      <c r="G35" s="5"/>
      <c r="J35" s="5"/>
      <c r="K35" s="52"/>
      <c r="L35" s="50"/>
      <c r="M35" s="51"/>
      <c r="N35" s="51"/>
      <c r="P35" s="5"/>
    </row>
    <row r="36" spans="1:16" ht="15.75" customHeight="1">
      <c r="A36" s="51" t="s">
        <v>1836</v>
      </c>
      <c r="B36" s="60" t="s">
        <v>4069</v>
      </c>
      <c r="C36" s="51" t="s">
        <v>208</v>
      </c>
      <c r="D36" s="54"/>
      <c r="E36" s="5"/>
      <c r="F36" s="5"/>
      <c r="G36" s="5"/>
      <c r="J36" s="5"/>
      <c r="M36" s="5"/>
      <c r="N36" s="5"/>
      <c r="P36" s="5"/>
    </row>
    <row r="37" spans="1:16" ht="15.75" customHeight="1">
      <c r="A37" s="51" t="s">
        <v>1837</v>
      </c>
      <c r="B37" s="60" t="s">
        <v>4069</v>
      </c>
      <c r="C37" s="51" t="s">
        <v>208</v>
      </c>
      <c r="D37" s="54"/>
      <c r="E37" s="5"/>
      <c r="F37" s="5"/>
      <c r="G37" s="5"/>
      <c r="J37" s="5"/>
      <c r="M37" s="5"/>
      <c r="N37" s="5"/>
    </row>
    <row r="38" spans="1:16" ht="15.75" customHeight="1">
      <c r="A38" s="51" t="s">
        <v>1838</v>
      </c>
      <c r="B38" s="60" t="s">
        <v>4070</v>
      </c>
      <c r="C38" s="51" t="s">
        <v>208</v>
      </c>
      <c r="D38" s="54"/>
      <c r="E38" s="5"/>
      <c r="F38" s="5"/>
      <c r="G38" s="5"/>
      <c r="J38" s="5"/>
      <c r="M38" s="51"/>
      <c r="N38" s="51"/>
    </row>
    <row r="39" spans="1:16" ht="15.75" customHeight="1">
      <c r="A39" s="51" t="s">
        <v>1840</v>
      </c>
      <c r="B39" s="60" t="s">
        <v>4033</v>
      </c>
      <c r="C39" s="51" t="s">
        <v>192</v>
      </c>
      <c r="D39" s="54"/>
      <c r="E39" s="5"/>
      <c r="F39" s="5"/>
      <c r="G39" s="5"/>
      <c r="J39" s="5"/>
      <c r="M39" s="51"/>
      <c r="N39" s="51"/>
    </row>
    <row r="40" spans="1:16" ht="15.75" customHeight="1">
      <c r="A40" s="51" t="s">
        <v>1841</v>
      </c>
      <c r="B40" s="60" t="s">
        <v>4071</v>
      </c>
      <c r="C40" s="51" t="s">
        <v>192</v>
      </c>
      <c r="D40" s="54"/>
      <c r="E40" s="5"/>
      <c r="F40" s="5"/>
      <c r="G40" s="5"/>
      <c r="J40" s="5"/>
      <c r="M40" s="51"/>
      <c r="N40" s="51"/>
    </row>
    <row r="41" spans="1:16" ht="15.75" customHeight="1">
      <c r="A41" s="51" t="s">
        <v>1842</v>
      </c>
      <c r="B41" s="60" t="s">
        <v>4072</v>
      </c>
      <c r="C41" s="51" t="s">
        <v>192</v>
      </c>
      <c r="D41" s="54"/>
      <c r="E41" s="5"/>
      <c r="F41" s="5"/>
      <c r="G41" s="5"/>
      <c r="J41" s="5"/>
      <c r="M41" s="51"/>
      <c r="N41" s="51"/>
    </row>
    <row r="42" spans="1:16" ht="15.75" customHeight="1">
      <c r="A42" s="51" t="s">
        <v>1843</v>
      </c>
      <c r="B42" s="60" t="s">
        <v>4073</v>
      </c>
      <c r="C42" s="51" t="s">
        <v>192</v>
      </c>
      <c r="D42" s="54"/>
      <c r="E42" s="5"/>
      <c r="F42" s="5"/>
      <c r="G42" s="5"/>
      <c r="J42" s="5"/>
      <c r="M42" s="51"/>
      <c r="N42" s="51"/>
    </row>
    <row r="43" spans="1:16" ht="15.75" customHeight="1">
      <c r="A43" s="51" t="s">
        <v>1844</v>
      </c>
      <c r="B43" s="60" t="s">
        <v>4073</v>
      </c>
      <c r="C43" s="51" t="s">
        <v>192</v>
      </c>
      <c r="D43" s="54"/>
      <c r="E43" s="5"/>
      <c r="F43" s="5"/>
      <c r="G43" s="5"/>
      <c r="J43" s="5"/>
      <c r="M43" s="51"/>
      <c r="N43" s="51"/>
    </row>
    <row r="44" spans="1:16" ht="15.75" customHeight="1">
      <c r="A44" s="51" t="s">
        <v>1846</v>
      </c>
      <c r="B44" s="60" t="s">
        <v>4074</v>
      </c>
      <c r="C44" s="51" t="s">
        <v>192</v>
      </c>
      <c r="D44" s="54"/>
      <c r="E44" s="5"/>
      <c r="F44" s="5"/>
      <c r="G44" s="5"/>
      <c r="J44" s="5"/>
      <c r="M44" s="51"/>
      <c r="N44" s="51"/>
    </row>
    <row r="45" spans="1:16" ht="15.75" customHeight="1">
      <c r="A45" s="51" t="s">
        <v>1848</v>
      </c>
      <c r="B45" s="60" t="s">
        <v>4075</v>
      </c>
      <c r="C45" s="51" t="s">
        <v>192</v>
      </c>
      <c r="D45" s="54"/>
      <c r="E45" s="5"/>
      <c r="F45" s="5"/>
      <c r="G45" s="5"/>
      <c r="J45" s="5"/>
      <c r="M45" s="51"/>
      <c r="N45" s="51"/>
      <c r="P45" s="5"/>
    </row>
    <row r="46" spans="1:16" ht="15.75" customHeight="1">
      <c r="A46" s="51" t="s">
        <v>1849</v>
      </c>
      <c r="B46" s="60" t="s">
        <v>4076</v>
      </c>
      <c r="C46" s="51" t="s">
        <v>192</v>
      </c>
      <c r="D46" s="54"/>
      <c r="E46" s="5"/>
      <c r="F46" s="5"/>
      <c r="G46" s="5"/>
      <c r="J46" s="5"/>
      <c r="M46" s="51"/>
      <c r="N46" s="51"/>
      <c r="P46" s="5"/>
    </row>
    <row r="47" spans="1:16" ht="15.75" customHeight="1">
      <c r="A47" s="51" t="s">
        <v>1850</v>
      </c>
      <c r="B47" s="60" t="s">
        <v>4053</v>
      </c>
      <c r="C47" s="51" t="s">
        <v>195</v>
      </c>
      <c r="D47" s="54"/>
      <c r="E47" s="5"/>
      <c r="F47" s="5"/>
      <c r="G47" s="5"/>
      <c r="J47" s="5"/>
      <c r="M47" s="5"/>
      <c r="N47" s="5"/>
      <c r="P47" s="5"/>
    </row>
    <row r="48" spans="1:16" ht="15.75" customHeight="1">
      <c r="A48" s="51" t="s">
        <v>1851</v>
      </c>
      <c r="B48" s="60" t="s">
        <v>4077</v>
      </c>
      <c r="C48" s="51" t="s">
        <v>195</v>
      </c>
      <c r="D48" s="54"/>
      <c r="E48" s="5"/>
      <c r="F48" s="5"/>
      <c r="G48" s="5"/>
      <c r="J48" s="5"/>
      <c r="M48" s="5"/>
      <c r="N48" s="5"/>
      <c r="P48" s="5"/>
    </row>
    <row r="49" spans="1:16" ht="15.75" customHeight="1">
      <c r="A49" s="51" t="s">
        <v>1852</v>
      </c>
      <c r="B49" s="60" t="s">
        <v>4077</v>
      </c>
      <c r="C49" s="51" t="s">
        <v>195</v>
      </c>
      <c r="D49" s="54"/>
      <c r="E49" s="5"/>
      <c r="F49" s="5"/>
      <c r="G49" s="5"/>
      <c r="J49" s="5"/>
      <c r="M49" s="5"/>
      <c r="N49" s="5"/>
      <c r="P49" s="5"/>
    </row>
    <row r="50" spans="1:16" ht="15.75" customHeight="1">
      <c r="A50" s="51" t="s">
        <v>1853</v>
      </c>
      <c r="B50" s="60" t="s">
        <v>4078</v>
      </c>
      <c r="C50" s="51" t="s">
        <v>195</v>
      </c>
      <c r="D50" s="54"/>
      <c r="E50" s="5"/>
      <c r="F50" s="5"/>
      <c r="G50" s="5"/>
      <c r="J50" s="5"/>
      <c r="M50" s="5"/>
      <c r="N50" s="5"/>
      <c r="P50" s="5"/>
    </row>
    <row r="51" spans="1:16" ht="15.75" customHeight="1">
      <c r="A51" s="51" t="s">
        <v>1854</v>
      </c>
      <c r="B51" s="60" t="s">
        <v>4078</v>
      </c>
      <c r="C51" s="51" t="s">
        <v>195</v>
      </c>
      <c r="D51" s="54"/>
      <c r="E51" s="5"/>
      <c r="F51" s="5"/>
      <c r="G51" s="5"/>
      <c r="J51" s="5"/>
      <c r="M51" s="5"/>
      <c r="N51" s="5"/>
      <c r="P51" s="5"/>
    </row>
    <row r="52" spans="1:16" ht="15.75" customHeight="1">
      <c r="A52" s="51" t="s">
        <v>1856</v>
      </c>
      <c r="B52" s="60" t="s">
        <v>4079</v>
      </c>
      <c r="C52" s="51" t="s">
        <v>195</v>
      </c>
      <c r="D52" s="54"/>
      <c r="E52" s="5"/>
      <c r="F52" s="5"/>
      <c r="G52" s="5"/>
      <c r="J52" s="5"/>
      <c r="M52" s="5"/>
      <c r="N52" s="5"/>
      <c r="P52" s="5"/>
    </row>
    <row r="53" spans="1:16" ht="13">
      <c r="A53" s="51" t="s">
        <v>1858</v>
      </c>
      <c r="B53" s="60" t="s">
        <v>4080</v>
      </c>
      <c r="C53" s="51" t="s">
        <v>195</v>
      </c>
      <c r="D53" s="54"/>
      <c r="E53" s="5"/>
      <c r="F53" s="5"/>
      <c r="G53" s="5"/>
      <c r="J53" s="5"/>
      <c r="M53" s="5"/>
      <c r="N53" s="5"/>
      <c r="P53" s="5"/>
    </row>
    <row r="54" spans="1:16" ht="13">
      <c r="A54" s="51" t="s">
        <v>1859</v>
      </c>
      <c r="B54" s="60" t="s">
        <v>4081</v>
      </c>
      <c r="C54" s="51" t="s">
        <v>195</v>
      </c>
      <c r="D54" s="54"/>
      <c r="E54" s="5"/>
      <c r="F54" s="5"/>
      <c r="G54" s="5"/>
      <c r="J54" s="5"/>
      <c r="M54" s="5"/>
      <c r="N54" s="5"/>
      <c r="P54" s="5"/>
    </row>
    <row r="55" spans="1:16" ht="13">
      <c r="A55" s="51" t="s">
        <v>1861</v>
      </c>
      <c r="B55" s="60" t="s">
        <v>4082</v>
      </c>
      <c r="C55" s="51" t="s">
        <v>195</v>
      </c>
      <c r="D55" s="54"/>
      <c r="E55" s="5"/>
      <c r="F55" s="5"/>
      <c r="G55" s="5"/>
      <c r="J55" s="5"/>
      <c r="M55" s="5"/>
      <c r="N55" s="5"/>
      <c r="P55" s="5"/>
    </row>
    <row r="56" spans="1:16" ht="13">
      <c r="A56" s="51" t="s">
        <v>1862</v>
      </c>
      <c r="B56" s="60" t="s">
        <v>4083</v>
      </c>
      <c r="C56" s="51" t="s">
        <v>195</v>
      </c>
      <c r="D56" s="54"/>
      <c r="E56" s="5"/>
      <c r="F56" s="5"/>
      <c r="G56" s="5"/>
      <c r="J56" s="5"/>
      <c r="M56" s="5"/>
      <c r="N56" s="5"/>
      <c r="P56" s="5"/>
    </row>
    <row r="57" spans="1:16" ht="13">
      <c r="A57" s="51" t="s">
        <v>1863</v>
      </c>
      <c r="B57" s="60" t="s">
        <v>4083</v>
      </c>
      <c r="C57" s="51" t="s">
        <v>195</v>
      </c>
      <c r="D57" s="54"/>
      <c r="E57" s="5"/>
      <c r="F57" s="5"/>
      <c r="G57" s="5"/>
      <c r="J57" s="5"/>
      <c r="M57" s="5"/>
      <c r="N57" s="5"/>
      <c r="P57" s="5"/>
    </row>
    <row r="58" spans="1:16" ht="13">
      <c r="A58" s="51" t="s">
        <v>1864</v>
      </c>
      <c r="B58" s="60" t="s">
        <v>4084</v>
      </c>
      <c r="C58" s="51" t="s">
        <v>195</v>
      </c>
      <c r="D58" s="54"/>
      <c r="E58" s="5"/>
      <c r="F58" s="5"/>
      <c r="G58" s="5"/>
      <c r="J58" s="5"/>
      <c r="M58" s="5"/>
      <c r="N58" s="5"/>
      <c r="P58" s="5"/>
    </row>
    <row r="59" spans="1:16" ht="13">
      <c r="A59" s="51" t="s">
        <v>1865</v>
      </c>
      <c r="B59" s="60" t="s">
        <v>4084</v>
      </c>
      <c r="C59" s="51" t="s">
        <v>195</v>
      </c>
      <c r="D59" s="54"/>
      <c r="E59" s="5"/>
      <c r="F59" s="5"/>
      <c r="G59" s="5"/>
      <c r="J59" s="5"/>
      <c r="M59" s="5"/>
      <c r="N59" s="5"/>
      <c r="P59" s="5"/>
    </row>
    <row r="60" spans="1:16" ht="13">
      <c r="A60" s="51" t="s">
        <v>1866</v>
      </c>
      <c r="B60" s="60" t="s">
        <v>4085</v>
      </c>
      <c r="C60" s="51" t="s">
        <v>195</v>
      </c>
      <c r="D60" s="54"/>
      <c r="E60" s="5"/>
      <c r="F60" s="5"/>
      <c r="G60" s="5"/>
      <c r="J60" s="5"/>
      <c r="M60" s="5"/>
      <c r="N60" s="5"/>
      <c r="P60" s="5"/>
    </row>
    <row r="61" spans="1:16" ht="13">
      <c r="A61" s="51" t="s">
        <v>1867</v>
      </c>
      <c r="B61" s="60" t="s">
        <v>4086</v>
      </c>
      <c r="C61" s="51" t="s">
        <v>195</v>
      </c>
      <c r="D61" s="54"/>
      <c r="E61" s="5"/>
      <c r="F61" s="5"/>
      <c r="G61" s="5"/>
      <c r="J61" s="5"/>
      <c r="M61" s="5"/>
      <c r="N61" s="5"/>
      <c r="P61" s="5"/>
    </row>
    <row r="62" spans="1:16" ht="13">
      <c r="A62" s="51" t="s">
        <v>1868</v>
      </c>
      <c r="B62" s="60" t="s">
        <v>4086</v>
      </c>
      <c r="C62" s="51" t="s">
        <v>195</v>
      </c>
      <c r="D62" s="54"/>
      <c r="E62" s="5"/>
      <c r="F62" s="5"/>
      <c r="G62" s="5"/>
      <c r="J62" s="5"/>
      <c r="M62" s="5"/>
      <c r="N62" s="5"/>
      <c r="P62" s="5"/>
    </row>
    <row r="63" spans="1:16" ht="13">
      <c r="A63" s="51" t="s">
        <v>1870</v>
      </c>
      <c r="B63" s="60" t="s">
        <v>4087</v>
      </c>
      <c r="C63" s="51" t="s">
        <v>195</v>
      </c>
      <c r="D63" s="54"/>
      <c r="E63" s="5"/>
      <c r="F63" s="5"/>
      <c r="G63" s="5"/>
      <c r="J63" s="5"/>
      <c r="M63" s="5"/>
      <c r="N63" s="5"/>
      <c r="P63" s="5"/>
    </row>
    <row r="64" spans="1:16" ht="13">
      <c r="A64" s="51" t="s">
        <v>1871</v>
      </c>
      <c r="B64" s="60" t="s">
        <v>4088</v>
      </c>
      <c r="C64" s="51" t="s">
        <v>195</v>
      </c>
      <c r="D64" s="54"/>
      <c r="E64" s="5"/>
      <c r="F64" s="5"/>
      <c r="G64" s="5"/>
      <c r="J64" s="5"/>
      <c r="M64" s="5"/>
      <c r="N64" s="5"/>
      <c r="P64" s="5"/>
    </row>
    <row r="65" spans="1:16" ht="13">
      <c r="A65" s="51" t="s">
        <v>1872</v>
      </c>
      <c r="B65" s="60" t="s">
        <v>4089</v>
      </c>
      <c r="C65" s="51" t="s">
        <v>225</v>
      </c>
      <c r="D65" s="51"/>
      <c r="E65" s="5"/>
      <c r="F65" s="5"/>
      <c r="G65" s="5"/>
      <c r="J65" s="5"/>
      <c r="M65" s="5"/>
      <c r="N65" s="5"/>
      <c r="P65" s="5"/>
    </row>
    <row r="66" spans="1:16" ht="13">
      <c r="A66" s="51" t="s">
        <v>1874</v>
      </c>
      <c r="B66" s="60" t="s">
        <v>4090</v>
      </c>
      <c r="C66" s="51" t="s">
        <v>225</v>
      </c>
      <c r="D66" s="54"/>
      <c r="E66" s="5"/>
      <c r="F66" s="5"/>
      <c r="G66" s="5"/>
      <c r="J66" s="5"/>
      <c r="M66" s="5"/>
      <c r="N66" s="5"/>
      <c r="P66" s="5"/>
    </row>
    <row r="67" spans="1:16" ht="13">
      <c r="A67" s="51" t="s">
        <v>1876</v>
      </c>
      <c r="B67" s="60" t="s">
        <v>4091</v>
      </c>
      <c r="C67" s="51" t="s">
        <v>225</v>
      </c>
      <c r="D67" s="54"/>
      <c r="E67" s="5"/>
      <c r="F67" s="5"/>
      <c r="G67" s="5"/>
      <c r="J67" s="5"/>
      <c r="M67" s="5"/>
      <c r="N67" s="5"/>
      <c r="P67" s="5"/>
    </row>
    <row r="68" spans="1:16" ht="13">
      <c r="A68" s="51" t="s">
        <v>1877</v>
      </c>
      <c r="B68" s="60" t="s">
        <v>4092</v>
      </c>
      <c r="C68" s="51" t="s">
        <v>225</v>
      </c>
      <c r="D68" s="54"/>
      <c r="E68" s="5"/>
      <c r="F68" s="5"/>
      <c r="G68" s="5"/>
      <c r="J68" s="5"/>
      <c r="M68" s="5"/>
      <c r="N68" s="5"/>
      <c r="P68" s="5"/>
    </row>
    <row r="69" spans="1:16" ht="13">
      <c r="A69" s="51" t="s">
        <v>1878</v>
      </c>
      <c r="B69" s="60" t="s">
        <v>4092</v>
      </c>
      <c r="C69" s="51" t="s">
        <v>225</v>
      </c>
      <c r="D69" s="54"/>
      <c r="E69" s="5"/>
      <c r="F69" s="5"/>
      <c r="G69" s="5"/>
      <c r="J69" s="5"/>
      <c r="M69" s="5"/>
      <c r="N69" s="5"/>
      <c r="P69" s="5"/>
    </row>
    <row r="70" spans="1:16" ht="13">
      <c r="A70" s="51" t="s">
        <v>1879</v>
      </c>
      <c r="B70" s="60" t="s">
        <v>4093</v>
      </c>
      <c r="C70" s="51" t="s">
        <v>225</v>
      </c>
      <c r="D70" s="54"/>
      <c r="E70" s="51"/>
      <c r="F70" s="5"/>
      <c r="G70" s="5"/>
      <c r="J70" s="5"/>
      <c r="M70" s="5"/>
      <c r="N70" s="5"/>
      <c r="P70" s="5"/>
    </row>
    <row r="71" spans="1:16" ht="13">
      <c r="A71" s="51" t="s">
        <v>1880</v>
      </c>
      <c r="B71" s="60" t="s">
        <v>4094</v>
      </c>
      <c r="C71" s="51" t="s">
        <v>225</v>
      </c>
      <c r="D71" s="5"/>
      <c r="J71" s="5"/>
      <c r="M71" s="5"/>
      <c r="N71" s="5"/>
      <c r="P71" s="5"/>
    </row>
    <row r="72" spans="1:16" ht="13">
      <c r="A72" s="51" t="s">
        <v>1881</v>
      </c>
      <c r="B72" s="60" t="s">
        <v>4076</v>
      </c>
      <c r="C72" s="51" t="s">
        <v>225</v>
      </c>
      <c r="D72" s="54"/>
      <c r="E72" s="5"/>
      <c r="F72" s="5"/>
      <c r="G72" s="5"/>
      <c r="J72" s="5"/>
      <c r="M72" s="5"/>
      <c r="N72" s="5"/>
      <c r="P72" s="5"/>
    </row>
    <row r="73" spans="1:16" ht="13">
      <c r="A73" s="51" t="s">
        <v>1882</v>
      </c>
      <c r="B73" s="60" t="s">
        <v>4095</v>
      </c>
      <c r="C73" s="51" t="s">
        <v>225</v>
      </c>
      <c r="D73" s="54"/>
      <c r="E73" s="5"/>
      <c r="F73" s="5"/>
      <c r="G73" s="5"/>
      <c r="J73" s="5"/>
      <c r="M73" s="5"/>
      <c r="N73" s="5"/>
      <c r="P73" s="5"/>
    </row>
    <row r="74" spans="1:16" ht="13">
      <c r="A74" s="51" t="s">
        <v>1883</v>
      </c>
      <c r="B74" s="60" t="s">
        <v>4096</v>
      </c>
      <c r="C74" s="51" t="s">
        <v>225</v>
      </c>
      <c r="D74" s="54"/>
      <c r="E74" s="5"/>
      <c r="F74" s="5"/>
      <c r="G74" s="5"/>
      <c r="J74" s="5"/>
      <c r="M74" s="5"/>
      <c r="N74" s="5"/>
      <c r="P74" s="5"/>
    </row>
    <row r="75" spans="1:16" ht="13">
      <c r="A75" s="51" t="s">
        <v>1884</v>
      </c>
      <c r="B75" s="60" t="s">
        <v>4097</v>
      </c>
      <c r="C75" s="51" t="s">
        <v>225</v>
      </c>
      <c r="D75" s="54"/>
      <c r="E75" s="5"/>
      <c r="F75" s="5"/>
      <c r="G75" s="5"/>
      <c r="J75" s="5"/>
      <c r="M75" s="5"/>
      <c r="N75" s="5"/>
      <c r="P75" s="5"/>
    </row>
    <row r="76" spans="1:16" ht="13">
      <c r="A76" s="51" t="s">
        <v>1885</v>
      </c>
      <c r="B76" s="60" t="s">
        <v>4098</v>
      </c>
      <c r="C76" s="51" t="s">
        <v>225</v>
      </c>
      <c r="D76" s="54"/>
      <c r="E76" s="5"/>
      <c r="F76" s="5"/>
      <c r="G76" s="5"/>
      <c r="J76" s="5"/>
      <c r="M76" s="5"/>
      <c r="N76" s="5"/>
      <c r="P76" s="5"/>
    </row>
    <row r="77" spans="1:16" ht="13">
      <c r="A77" s="51" t="s">
        <v>1886</v>
      </c>
      <c r="B77" s="60" t="s">
        <v>4099</v>
      </c>
      <c r="C77" s="51" t="s">
        <v>225</v>
      </c>
      <c r="D77" s="54"/>
      <c r="E77" s="5"/>
      <c r="F77" s="5"/>
      <c r="G77" s="5"/>
      <c r="J77" s="5"/>
      <c r="M77" s="5"/>
      <c r="N77" s="5"/>
      <c r="P77" s="5"/>
    </row>
    <row r="78" spans="1:16" ht="13">
      <c r="A78" s="51" t="s">
        <v>1887</v>
      </c>
      <c r="B78" s="60" t="s">
        <v>4100</v>
      </c>
      <c r="C78" s="51" t="s">
        <v>225</v>
      </c>
      <c r="D78" s="54"/>
      <c r="E78" s="5"/>
      <c r="F78" s="5"/>
      <c r="G78" s="5"/>
      <c r="J78" s="5"/>
      <c r="M78" s="5"/>
      <c r="N78" s="5"/>
      <c r="P78" s="5"/>
    </row>
    <row r="79" spans="1:16" ht="13">
      <c r="A79" s="51" t="s">
        <v>1889</v>
      </c>
      <c r="B79" s="60" t="s">
        <v>4101</v>
      </c>
      <c r="C79" s="51" t="s">
        <v>808</v>
      </c>
      <c r="D79" s="54"/>
      <c r="E79" s="5"/>
      <c r="F79" s="5"/>
      <c r="G79" s="5"/>
      <c r="J79" s="5"/>
      <c r="M79" s="5"/>
      <c r="N79" s="5"/>
      <c r="P79" s="5"/>
    </row>
    <row r="80" spans="1:16" ht="13">
      <c r="A80" s="51" t="s">
        <v>1890</v>
      </c>
      <c r="B80" s="60" t="s">
        <v>4102</v>
      </c>
      <c r="C80" s="51" t="s">
        <v>808</v>
      </c>
      <c r="D80" s="54"/>
      <c r="E80" s="5"/>
      <c r="F80" s="5"/>
      <c r="G80" s="5"/>
      <c r="J80" s="5"/>
      <c r="M80" s="5"/>
      <c r="N80" s="5"/>
      <c r="P80" s="5"/>
    </row>
    <row r="81" spans="1:16" ht="13">
      <c r="A81" s="51" t="s">
        <v>1892</v>
      </c>
      <c r="B81" s="60" t="s">
        <v>4103</v>
      </c>
      <c r="C81" s="51" t="s">
        <v>808</v>
      </c>
      <c r="D81" s="54"/>
      <c r="E81" s="5"/>
      <c r="F81" s="5"/>
      <c r="G81" s="5"/>
      <c r="J81" s="5"/>
      <c r="M81" s="5"/>
      <c r="N81" s="5"/>
      <c r="P81" s="5"/>
    </row>
    <row r="82" spans="1:16" ht="13">
      <c r="A82" s="51" t="s">
        <v>1893</v>
      </c>
      <c r="B82" s="60" t="s">
        <v>4104</v>
      </c>
      <c r="C82" s="51" t="s">
        <v>808</v>
      </c>
      <c r="D82" s="54"/>
      <c r="E82" s="5"/>
      <c r="F82" s="5"/>
      <c r="G82" s="5"/>
      <c r="J82" s="5"/>
      <c r="M82" s="5"/>
      <c r="N82" s="5"/>
      <c r="P82" s="5"/>
    </row>
    <row r="83" spans="1:16" ht="13">
      <c r="A83" s="51" t="s">
        <v>1894</v>
      </c>
      <c r="B83" s="60" t="s">
        <v>4105</v>
      </c>
      <c r="C83" s="51" t="s">
        <v>808</v>
      </c>
      <c r="D83" s="54"/>
      <c r="E83" s="5"/>
      <c r="F83" s="5"/>
      <c r="G83" s="5"/>
      <c r="J83" s="5"/>
      <c r="M83" s="5"/>
      <c r="N83" s="5"/>
      <c r="P83" s="5"/>
    </row>
    <row r="84" spans="1:16" ht="13">
      <c r="A84" s="51" t="s">
        <v>1895</v>
      </c>
      <c r="B84" s="60" t="s">
        <v>4106</v>
      </c>
      <c r="C84" s="51" t="s">
        <v>220</v>
      </c>
      <c r="D84" s="54"/>
      <c r="E84" s="5"/>
      <c r="F84" s="5"/>
      <c r="G84" s="5"/>
      <c r="J84" s="5"/>
      <c r="M84" s="5"/>
      <c r="N84" s="5"/>
      <c r="P84" s="5"/>
    </row>
    <row r="85" spans="1:16" ht="13">
      <c r="A85" s="51" t="s">
        <v>1896</v>
      </c>
      <c r="B85" s="60" t="s">
        <v>4101</v>
      </c>
      <c r="C85" s="51" t="s">
        <v>220</v>
      </c>
      <c r="D85" s="54"/>
      <c r="E85" s="5"/>
      <c r="F85" s="5"/>
      <c r="G85" s="5"/>
      <c r="J85" s="5"/>
      <c r="M85" s="5"/>
      <c r="N85" s="5"/>
      <c r="P85" s="5"/>
    </row>
    <row r="86" spans="1:16" ht="13">
      <c r="A86" s="51" t="s">
        <v>1897</v>
      </c>
      <c r="B86" s="60" t="s">
        <v>4102</v>
      </c>
      <c r="C86" s="51" t="s">
        <v>220</v>
      </c>
      <c r="D86" s="54"/>
      <c r="E86" s="5"/>
      <c r="F86" s="5"/>
      <c r="G86" s="5"/>
      <c r="J86" s="5"/>
      <c r="M86" s="5"/>
      <c r="N86" s="5"/>
      <c r="P86" s="5"/>
    </row>
    <row r="87" spans="1:16" ht="13">
      <c r="A87" s="51" t="s">
        <v>1899</v>
      </c>
      <c r="B87" s="60" t="s">
        <v>4107</v>
      </c>
      <c r="C87" s="51" t="s">
        <v>220</v>
      </c>
      <c r="D87" s="54"/>
      <c r="E87" s="5"/>
      <c r="F87" s="5"/>
      <c r="G87" s="5"/>
      <c r="J87" s="5"/>
      <c r="M87" s="5"/>
      <c r="N87" s="5"/>
      <c r="P87" s="5"/>
    </row>
    <row r="88" spans="1:16" ht="13">
      <c r="A88" s="51" t="s">
        <v>1900</v>
      </c>
      <c r="B88" s="60" t="s">
        <v>4108</v>
      </c>
      <c r="C88" s="51" t="s">
        <v>220</v>
      </c>
      <c r="D88" s="54"/>
      <c r="E88" s="5"/>
      <c r="F88" s="5"/>
      <c r="G88" s="5"/>
      <c r="J88" s="5"/>
      <c r="M88" s="5"/>
      <c r="N88" s="5"/>
      <c r="P88" s="5"/>
    </row>
    <row r="89" spans="1:16" ht="13">
      <c r="A89" s="51" t="s">
        <v>1902</v>
      </c>
      <c r="B89" s="60" t="s">
        <v>4039</v>
      </c>
      <c r="C89" s="51" t="s">
        <v>197</v>
      </c>
      <c r="D89" s="54"/>
      <c r="E89" s="5"/>
      <c r="F89" s="5"/>
      <c r="G89" s="5"/>
      <c r="J89" s="5"/>
      <c r="M89" s="5"/>
      <c r="N89" s="5"/>
      <c r="P89" s="5"/>
    </row>
    <row r="90" spans="1:16" ht="13">
      <c r="A90" s="51" t="s">
        <v>1904</v>
      </c>
      <c r="B90" s="60" t="s">
        <v>4109</v>
      </c>
      <c r="C90" s="51" t="s">
        <v>197</v>
      </c>
      <c r="D90" s="54"/>
      <c r="E90" s="5"/>
      <c r="F90" s="5"/>
      <c r="G90" s="5"/>
      <c r="J90" s="5"/>
      <c r="M90" s="5"/>
      <c r="N90" s="5"/>
      <c r="P90" s="5"/>
    </row>
    <row r="91" spans="1:16" ht="13">
      <c r="A91" s="51" t="s">
        <v>1906</v>
      </c>
      <c r="B91" s="60" t="s">
        <v>4110</v>
      </c>
      <c r="C91" s="51" t="s">
        <v>197</v>
      </c>
      <c r="D91" s="54"/>
      <c r="E91" s="5"/>
      <c r="F91" s="5"/>
      <c r="G91" s="5"/>
      <c r="J91" s="5"/>
      <c r="M91" s="5"/>
      <c r="N91" s="5"/>
      <c r="P91" s="5"/>
    </row>
    <row r="92" spans="1:16" ht="13">
      <c r="A92" s="51" t="s">
        <v>1908</v>
      </c>
      <c r="B92" s="60" t="s">
        <v>4111</v>
      </c>
      <c r="C92" s="51" t="s">
        <v>197</v>
      </c>
      <c r="D92" s="54"/>
      <c r="E92" s="5"/>
      <c r="F92" s="5"/>
      <c r="G92" s="5"/>
      <c r="J92" s="5"/>
      <c r="M92" s="5"/>
      <c r="N92" s="5"/>
      <c r="P92" s="5"/>
    </row>
    <row r="93" spans="1:16" ht="13">
      <c r="A93" s="51" t="s">
        <v>1910</v>
      </c>
      <c r="B93" s="60" t="s">
        <v>4112</v>
      </c>
      <c r="C93" s="51" t="s">
        <v>197</v>
      </c>
      <c r="D93" s="54"/>
      <c r="E93" s="5"/>
      <c r="F93" s="5"/>
      <c r="G93" s="5"/>
      <c r="J93" s="5"/>
      <c r="M93" s="5"/>
      <c r="N93" s="5"/>
      <c r="P93" s="5"/>
    </row>
    <row r="94" spans="1:16" ht="13">
      <c r="A94" s="51" t="s">
        <v>1912</v>
      </c>
      <c r="B94" s="60" t="s">
        <v>4113</v>
      </c>
      <c r="C94" s="51" t="s">
        <v>4114</v>
      </c>
      <c r="D94" s="54"/>
      <c r="E94" s="5"/>
      <c r="F94" s="5"/>
      <c r="G94" s="5"/>
      <c r="J94" s="5"/>
      <c r="M94" s="5"/>
      <c r="N94" s="5"/>
      <c r="P94" s="5"/>
    </row>
    <row r="95" spans="1:16" ht="13">
      <c r="A95" s="51" t="s">
        <v>1914</v>
      </c>
      <c r="B95" s="60" t="s">
        <v>4115</v>
      </c>
      <c r="C95" s="51" t="s">
        <v>4114</v>
      </c>
      <c r="D95" s="54"/>
      <c r="E95" s="5"/>
      <c r="F95" s="5"/>
      <c r="G95" s="5"/>
      <c r="J95" s="5"/>
      <c r="M95" s="5"/>
      <c r="N95" s="5"/>
      <c r="P95" s="5"/>
    </row>
    <row r="96" spans="1:16" ht="13">
      <c r="A96" s="51" t="s">
        <v>1916</v>
      </c>
      <c r="B96" s="60" t="s">
        <v>4116</v>
      </c>
      <c r="C96" s="51" t="s">
        <v>1013</v>
      </c>
      <c r="D96" s="54"/>
      <c r="E96" s="5"/>
      <c r="F96" s="5"/>
      <c r="G96" s="5"/>
      <c r="J96" s="5"/>
      <c r="M96" s="5"/>
      <c r="N96" s="5"/>
      <c r="P96" s="5"/>
    </row>
    <row r="97" spans="1:16" ht="13">
      <c r="A97" s="51" t="s">
        <v>1918</v>
      </c>
      <c r="B97" s="60" t="s">
        <v>4117</v>
      </c>
      <c r="C97" s="51" t="s">
        <v>4114</v>
      </c>
      <c r="D97" s="54"/>
      <c r="E97" s="5"/>
      <c r="F97" s="5"/>
      <c r="G97" s="5"/>
      <c r="J97" s="5"/>
      <c r="M97" s="5"/>
      <c r="N97" s="5"/>
      <c r="P97" s="5"/>
    </row>
    <row r="98" spans="1:16" ht="13">
      <c r="A98" s="51" t="s">
        <v>1919</v>
      </c>
      <c r="B98" s="60" t="s">
        <v>4118</v>
      </c>
      <c r="C98" s="51" t="s">
        <v>4114</v>
      </c>
      <c r="D98" s="54"/>
      <c r="E98" s="5"/>
      <c r="F98" s="5"/>
      <c r="G98" s="5"/>
      <c r="J98" s="5"/>
      <c r="M98" s="5"/>
      <c r="N98" s="5"/>
      <c r="P98" s="5"/>
    </row>
    <row r="99" spans="1:16" ht="13">
      <c r="A99" s="51" t="s">
        <v>1920</v>
      </c>
      <c r="B99" s="60" t="s">
        <v>931</v>
      </c>
      <c r="C99" s="51" t="s">
        <v>4114</v>
      </c>
      <c r="D99" s="54"/>
      <c r="E99" s="5"/>
      <c r="F99" s="5"/>
      <c r="G99" s="5"/>
      <c r="J99" s="5"/>
      <c r="M99" s="5"/>
      <c r="N99" s="5"/>
      <c r="P99" s="5"/>
    </row>
    <row r="100" spans="1:16" ht="13">
      <c r="A100" s="51" t="s">
        <v>1922</v>
      </c>
      <c r="B100" s="60" t="s">
        <v>4119</v>
      </c>
      <c r="C100" s="51" t="s">
        <v>4114</v>
      </c>
      <c r="D100" s="54"/>
      <c r="E100" s="5"/>
      <c r="F100" s="5"/>
      <c r="G100" s="5"/>
      <c r="J100" s="5"/>
      <c r="M100" s="5"/>
      <c r="N100" s="5"/>
      <c r="P100" s="5"/>
    </row>
    <row r="101" spans="1:16" ht="13">
      <c r="A101" s="51" t="s">
        <v>1924</v>
      </c>
      <c r="B101" s="60" t="s">
        <v>4052</v>
      </c>
      <c r="C101" s="51" t="s">
        <v>205</v>
      </c>
      <c r="D101" s="54"/>
      <c r="E101" s="5"/>
      <c r="F101" s="5"/>
      <c r="G101" s="5"/>
      <c r="J101" s="5"/>
      <c r="M101" s="5"/>
      <c r="N101" s="5"/>
      <c r="P101" s="5"/>
    </row>
    <row r="102" spans="1:16" ht="13">
      <c r="A102" s="51" t="s">
        <v>1926</v>
      </c>
      <c r="B102" s="60" t="s">
        <v>4053</v>
      </c>
      <c r="C102" s="51" t="s">
        <v>199</v>
      </c>
      <c r="D102" s="54"/>
      <c r="E102" s="51"/>
      <c r="F102" s="5"/>
      <c r="G102" s="5"/>
      <c r="J102" s="5"/>
      <c r="M102" s="5"/>
      <c r="N102" s="5"/>
      <c r="P102" s="5"/>
    </row>
    <row r="103" spans="1:16" ht="13">
      <c r="A103" s="51" t="s">
        <v>1928</v>
      </c>
      <c r="B103" s="60" t="s">
        <v>4099</v>
      </c>
      <c r="C103" s="51" t="s">
        <v>225</v>
      </c>
      <c r="D103" s="54"/>
      <c r="E103" s="5"/>
      <c r="F103" s="5"/>
      <c r="G103" s="5"/>
      <c r="J103" s="5"/>
      <c r="M103" s="5"/>
      <c r="N103" s="5"/>
      <c r="P103" s="5"/>
    </row>
    <row r="104" spans="1:16" ht="13">
      <c r="A104" s="51" t="s">
        <v>1930</v>
      </c>
      <c r="B104" s="60" t="s">
        <v>4108</v>
      </c>
      <c r="C104" s="51" t="s">
        <v>220</v>
      </c>
      <c r="D104" s="54"/>
      <c r="E104" s="5"/>
      <c r="F104" s="5"/>
      <c r="G104" s="5"/>
      <c r="J104" s="5"/>
      <c r="M104" s="5"/>
      <c r="N104" s="5"/>
      <c r="P104" s="5"/>
    </row>
    <row r="105" spans="1:16" ht="13">
      <c r="A105" s="51" t="s">
        <v>1932</v>
      </c>
      <c r="B105" s="60" t="s">
        <v>4116</v>
      </c>
      <c r="C105" s="51" t="s">
        <v>1013</v>
      </c>
      <c r="D105" s="54"/>
      <c r="E105" s="5"/>
      <c r="F105" s="5"/>
      <c r="G105" s="5"/>
      <c r="J105" s="5"/>
      <c r="M105" s="5"/>
      <c r="N105" s="5"/>
      <c r="P105" s="5"/>
    </row>
    <row r="106" spans="1:16" ht="13">
      <c r="A106" s="51" t="s">
        <v>1934</v>
      </c>
      <c r="B106" s="60" t="s">
        <v>202</v>
      </c>
      <c r="C106" s="51" t="s">
        <v>197</v>
      </c>
      <c r="D106" s="54"/>
      <c r="E106" s="5"/>
      <c r="F106" s="5"/>
      <c r="G106" s="5"/>
      <c r="J106" s="5"/>
      <c r="M106" s="5"/>
      <c r="N106" s="5"/>
      <c r="P106" s="5"/>
    </row>
    <row r="107" spans="1:16" ht="13">
      <c r="C107" s="54"/>
      <c r="D107" s="54"/>
      <c r="E107" s="5"/>
      <c r="F107" s="5"/>
      <c r="G107" s="5"/>
      <c r="J107" s="5"/>
      <c r="M107" s="5"/>
      <c r="N107" s="5"/>
      <c r="P107" s="5"/>
    </row>
    <row r="108" spans="1:16" ht="13">
      <c r="A108" s="62"/>
      <c r="C108" s="54"/>
      <c r="D108" s="54"/>
      <c r="E108" s="5"/>
      <c r="F108" s="5"/>
      <c r="G108" s="5"/>
      <c r="J108" s="5"/>
      <c r="M108" s="5"/>
      <c r="N108" s="5"/>
      <c r="P108" s="5"/>
    </row>
    <row r="109" spans="1:16" ht="13">
      <c r="A109" s="51"/>
      <c r="C109" s="51"/>
      <c r="D109" s="54"/>
      <c r="E109" s="5"/>
      <c r="F109" s="5"/>
      <c r="G109" s="5"/>
      <c r="J109" s="5"/>
      <c r="M109" s="5"/>
      <c r="N109" s="5"/>
      <c r="P109" s="5"/>
    </row>
    <row r="110" spans="1:16" ht="13">
      <c r="A110" s="51"/>
      <c r="C110" s="51"/>
      <c r="E110" s="5"/>
      <c r="F110" s="5"/>
      <c r="G110" s="5"/>
      <c r="J110" s="5"/>
      <c r="M110" s="5"/>
      <c r="N110" s="5"/>
      <c r="P110" s="5"/>
    </row>
    <row r="111" spans="1:16" ht="13">
      <c r="A111" s="51"/>
      <c r="C111" s="51"/>
      <c r="D111" s="54"/>
      <c r="E111" s="5"/>
      <c r="F111" s="5"/>
      <c r="G111" s="5"/>
      <c r="J111" s="5"/>
      <c r="M111" s="5"/>
      <c r="N111" s="5"/>
      <c r="P111" s="5"/>
    </row>
    <row r="112" spans="1:16" ht="13">
      <c r="A112" s="51"/>
      <c r="C112" s="51"/>
      <c r="D112" s="54"/>
      <c r="E112" s="51"/>
      <c r="F112" s="5"/>
      <c r="G112" s="5"/>
      <c r="J112" s="5"/>
      <c r="M112" s="5"/>
      <c r="N112" s="5"/>
      <c r="P112" s="5"/>
    </row>
    <row r="113" spans="1:16" ht="13">
      <c r="A113" s="51"/>
      <c r="C113" s="51"/>
      <c r="D113" s="54"/>
      <c r="E113" s="5"/>
      <c r="F113" s="5"/>
      <c r="G113" s="5"/>
      <c r="J113" s="5"/>
      <c r="M113" s="5"/>
      <c r="N113" s="5"/>
      <c r="P113" s="5"/>
    </row>
    <row r="114" spans="1:16" ht="13">
      <c r="A114" s="51"/>
      <c r="C114" s="51"/>
      <c r="D114" s="54"/>
      <c r="E114" s="5"/>
      <c r="F114" s="51"/>
      <c r="G114" s="5"/>
      <c r="J114" s="5"/>
      <c r="M114" s="5"/>
      <c r="N114" s="5"/>
      <c r="P114" s="5"/>
    </row>
    <row r="115" spans="1:16" ht="13">
      <c r="A115" s="51"/>
      <c r="C115" s="51"/>
      <c r="D115" s="54"/>
      <c r="E115" s="5"/>
      <c r="F115" s="5"/>
      <c r="G115" s="5"/>
      <c r="J115" s="5"/>
      <c r="M115" s="5"/>
      <c r="N115" s="5"/>
      <c r="P115" s="5"/>
    </row>
    <row r="116" spans="1:16" ht="13">
      <c r="A116" s="51"/>
      <c r="C116" s="51"/>
      <c r="D116" s="51"/>
      <c r="E116" s="5"/>
      <c r="F116" s="5"/>
      <c r="G116" s="5"/>
      <c r="J116" s="5"/>
      <c r="M116" s="5"/>
      <c r="N116" s="5"/>
      <c r="P116" s="5"/>
    </row>
    <row r="117" spans="1:16" ht="13">
      <c r="A117" s="51"/>
      <c r="C117" s="51"/>
      <c r="D117" s="54"/>
      <c r="E117" s="5"/>
      <c r="F117" s="5"/>
      <c r="G117" s="5"/>
      <c r="J117" s="5"/>
      <c r="M117" s="5"/>
      <c r="N117" s="5"/>
      <c r="P117" s="5"/>
    </row>
    <row r="118" spans="1:16" ht="13">
      <c r="A118" s="48"/>
      <c r="B118" s="50"/>
      <c r="C118" s="51"/>
      <c r="D118" s="54"/>
      <c r="E118" s="5"/>
      <c r="F118" s="5"/>
      <c r="G118" s="5"/>
      <c r="J118" s="5"/>
      <c r="M118" s="5"/>
      <c r="N118" s="5"/>
      <c r="P118" s="5"/>
    </row>
    <row r="119" spans="1:16" ht="13">
      <c r="A119" s="48"/>
      <c r="B119" s="50"/>
      <c r="C119" s="51"/>
      <c r="D119" s="54"/>
      <c r="E119" s="5"/>
      <c r="F119" s="5"/>
      <c r="G119" s="5"/>
      <c r="J119" s="5"/>
      <c r="M119" s="5"/>
      <c r="N119" s="5"/>
      <c r="P119" s="5"/>
    </row>
    <row r="120" spans="1:16" ht="13">
      <c r="A120" s="48"/>
      <c r="B120" s="50"/>
      <c r="C120" s="51"/>
      <c r="D120" s="54"/>
      <c r="E120" s="5"/>
      <c r="F120" s="5"/>
      <c r="G120" s="5"/>
      <c r="J120" s="5"/>
      <c r="M120" s="5"/>
      <c r="N120" s="5"/>
      <c r="P120" s="5"/>
    </row>
    <row r="121" spans="1:16" ht="13">
      <c r="A121" s="48"/>
      <c r="B121" s="50"/>
      <c r="C121" s="51"/>
      <c r="D121" s="54"/>
      <c r="E121" s="5"/>
      <c r="F121" s="5"/>
      <c r="G121" s="5"/>
      <c r="J121" s="5"/>
      <c r="M121" s="5"/>
      <c r="N121" s="5"/>
      <c r="P121" s="5"/>
    </row>
    <row r="122" spans="1:16" ht="13">
      <c r="A122" s="48"/>
      <c r="B122" s="50"/>
      <c r="C122" s="51"/>
      <c r="D122" s="54"/>
      <c r="E122" s="5"/>
      <c r="F122" s="5"/>
      <c r="G122" s="5"/>
      <c r="J122" s="5"/>
      <c r="M122" s="5"/>
      <c r="N122" s="5"/>
      <c r="P122" s="5"/>
    </row>
    <row r="123" spans="1:16" ht="13">
      <c r="A123" s="48"/>
      <c r="B123" s="50"/>
      <c r="C123" s="51"/>
      <c r="D123" s="54"/>
      <c r="E123" s="5"/>
      <c r="F123" s="5"/>
      <c r="G123" s="5"/>
      <c r="J123" s="5"/>
      <c r="M123" s="5"/>
      <c r="N123" s="5"/>
      <c r="P123" s="5"/>
    </row>
    <row r="124" spans="1:16" ht="13">
      <c r="A124" s="48"/>
      <c r="B124" s="50"/>
      <c r="C124" s="51"/>
      <c r="D124" s="54"/>
      <c r="E124" s="5"/>
      <c r="F124" s="5"/>
      <c r="G124" s="5"/>
      <c r="J124" s="5"/>
      <c r="M124" s="5"/>
      <c r="N124" s="5"/>
      <c r="P124" s="5"/>
    </row>
    <row r="125" spans="1:16" ht="13">
      <c r="A125" s="48"/>
      <c r="B125" s="50"/>
      <c r="C125" s="51"/>
      <c r="D125" s="54"/>
      <c r="E125" s="5"/>
      <c r="F125" s="5"/>
      <c r="G125" s="5"/>
      <c r="J125" s="5"/>
      <c r="M125" s="5"/>
      <c r="N125" s="5"/>
      <c r="P125" s="5"/>
    </row>
    <row r="126" spans="1:16" ht="13">
      <c r="A126" s="48"/>
      <c r="B126" s="53"/>
      <c r="C126" s="51"/>
      <c r="D126" s="54"/>
      <c r="E126" s="5"/>
      <c r="F126" s="5"/>
      <c r="G126" s="5"/>
      <c r="J126" s="5"/>
      <c r="M126" s="5"/>
      <c r="N126" s="5"/>
      <c r="P126" s="5"/>
    </row>
    <row r="127" spans="1:16" ht="13">
      <c r="A127" s="48"/>
      <c r="B127" s="50"/>
      <c r="C127" s="51"/>
      <c r="D127" s="54"/>
      <c r="E127" s="5"/>
      <c r="F127" s="5"/>
      <c r="G127" s="5"/>
      <c r="J127" s="5"/>
      <c r="M127" s="5"/>
      <c r="N127" s="5"/>
      <c r="P127" s="5"/>
    </row>
    <row r="128" spans="1:16" ht="13">
      <c r="A128" s="48"/>
      <c r="B128" s="50"/>
      <c r="C128" s="51"/>
      <c r="D128" s="54"/>
      <c r="E128" s="5"/>
      <c r="F128" s="5"/>
      <c r="G128" s="5"/>
      <c r="J128" s="5"/>
      <c r="M128" s="5"/>
      <c r="N128" s="5"/>
      <c r="P128" s="5"/>
    </row>
    <row r="129" spans="1:16" ht="13">
      <c r="A129" s="48"/>
      <c r="B129" s="53"/>
      <c r="C129" s="51"/>
      <c r="D129" s="54"/>
      <c r="E129" s="5"/>
      <c r="F129" s="5"/>
      <c r="G129" s="5"/>
      <c r="J129" s="5"/>
      <c r="M129" s="5"/>
      <c r="N129" s="5"/>
      <c r="P129" s="5"/>
    </row>
    <row r="130" spans="1:16" ht="13">
      <c r="A130" s="48"/>
      <c r="B130" s="50"/>
      <c r="C130" s="51"/>
      <c r="D130" s="54"/>
      <c r="E130" s="5"/>
      <c r="F130" s="5"/>
      <c r="G130" s="5"/>
      <c r="J130" s="5"/>
      <c r="M130" s="5"/>
      <c r="N130" s="5"/>
      <c r="P130" s="5"/>
    </row>
    <row r="131" spans="1:16" ht="13">
      <c r="A131" s="48"/>
      <c r="B131" s="50"/>
      <c r="C131" s="51"/>
      <c r="D131" s="54"/>
      <c r="E131" s="5"/>
      <c r="F131" s="5"/>
      <c r="G131" s="5"/>
      <c r="J131" s="5"/>
      <c r="M131" s="5"/>
      <c r="N131" s="5"/>
      <c r="P131" s="5"/>
    </row>
    <row r="132" spans="1:16" ht="13">
      <c r="A132" s="48"/>
      <c r="B132" s="50"/>
      <c r="C132" s="51"/>
      <c r="D132" s="54"/>
      <c r="E132" s="5"/>
      <c r="F132" s="5"/>
      <c r="G132" s="5"/>
      <c r="J132" s="5"/>
      <c r="M132" s="5"/>
      <c r="N132" s="5"/>
      <c r="P132" s="5"/>
    </row>
    <row r="133" spans="1:16" ht="13">
      <c r="A133" s="48"/>
      <c r="B133" s="50"/>
      <c r="C133" s="51"/>
      <c r="D133" s="54"/>
      <c r="E133" s="5"/>
      <c r="F133" s="5"/>
      <c r="G133" s="5"/>
      <c r="J133" s="5"/>
      <c r="M133" s="5"/>
      <c r="N133" s="5"/>
      <c r="P133" s="5"/>
    </row>
    <row r="134" spans="1:16" ht="13">
      <c r="A134" s="48"/>
      <c r="B134" s="50"/>
      <c r="C134" s="51"/>
      <c r="D134" s="54"/>
      <c r="E134" s="5"/>
      <c r="F134" s="5"/>
      <c r="G134" s="5"/>
      <c r="J134" s="5"/>
      <c r="M134" s="5"/>
      <c r="N134" s="5"/>
      <c r="P134" s="5"/>
    </row>
    <row r="135" spans="1:16" ht="13">
      <c r="A135" s="48"/>
      <c r="B135" s="50"/>
      <c r="C135" s="51"/>
      <c r="D135" s="54"/>
      <c r="E135" s="5"/>
      <c r="F135" s="5"/>
      <c r="G135" s="5"/>
      <c r="J135" s="5"/>
      <c r="M135" s="5"/>
      <c r="N135" s="5"/>
      <c r="P135" s="5"/>
    </row>
    <row r="136" spans="1:16" ht="13">
      <c r="A136" s="48"/>
      <c r="B136" s="50"/>
      <c r="C136" s="51"/>
      <c r="D136" s="54"/>
      <c r="E136" s="5"/>
      <c r="F136" s="5"/>
      <c r="G136" s="5"/>
      <c r="J136" s="5"/>
      <c r="M136" s="5"/>
      <c r="N136" s="5"/>
      <c r="P136" s="5"/>
    </row>
    <row r="137" spans="1:16" ht="13">
      <c r="A137" s="48"/>
      <c r="B137" s="50"/>
      <c r="C137" s="51"/>
      <c r="D137" s="54"/>
      <c r="E137" s="5"/>
      <c r="F137" s="5"/>
      <c r="G137" s="5"/>
      <c r="J137" s="5"/>
      <c r="M137" s="5"/>
      <c r="N137" s="5"/>
      <c r="P137" s="5"/>
    </row>
    <row r="138" spans="1:16" ht="13">
      <c r="A138" s="48"/>
      <c r="B138" s="50"/>
      <c r="C138" s="51"/>
      <c r="D138" s="54"/>
      <c r="E138" s="5"/>
      <c r="F138" s="5"/>
      <c r="G138" s="5"/>
      <c r="J138" s="5"/>
      <c r="M138" s="5"/>
      <c r="N138" s="5"/>
      <c r="P138" s="5"/>
    </row>
    <row r="139" spans="1:16" ht="13">
      <c r="A139" s="48"/>
      <c r="B139" s="50"/>
      <c r="C139" s="51"/>
      <c r="D139" s="54"/>
      <c r="E139" s="5"/>
      <c r="F139" s="5"/>
      <c r="G139" s="5"/>
      <c r="J139" s="5"/>
      <c r="M139" s="5"/>
      <c r="N139" s="5"/>
      <c r="P139" s="5"/>
    </row>
    <row r="140" spans="1:16" ht="13">
      <c r="A140" s="48"/>
      <c r="B140" s="50"/>
      <c r="C140" s="51"/>
      <c r="D140" s="54"/>
      <c r="E140" s="5"/>
      <c r="F140" s="5"/>
      <c r="G140" s="5"/>
      <c r="J140" s="5"/>
      <c r="M140" s="5"/>
      <c r="N140" s="5"/>
      <c r="P140" s="5"/>
    </row>
    <row r="141" spans="1:16" ht="13">
      <c r="A141" s="48"/>
      <c r="B141" s="50"/>
      <c r="C141" s="51"/>
      <c r="D141" s="54"/>
      <c r="E141" s="5"/>
      <c r="F141" s="5"/>
      <c r="G141" s="5"/>
      <c r="J141" s="5"/>
      <c r="M141" s="5"/>
      <c r="N141" s="5"/>
      <c r="P141" s="5"/>
    </row>
    <row r="142" spans="1:16" ht="13">
      <c r="A142" s="48"/>
      <c r="B142" s="50"/>
      <c r="C142" s="51"/>
      <c r="D142" s="54"/>
      <c r="E142" s="5"/>
      <c r="F142" s="5"/>
      <c r="G142" s="5"/>
      <c r="J142" s="5"/>
      <c r="M142" s="5"/>
      <c r="N142" s="5"/>
      <c r="P142" s="5"/>
    </row>
    <row r="143" spans="1:16" ht="13">
      <c r="A143" s="48"/>
      <c r="B143" s="50"/>
      <c r="C143" s="51"/>
      <c r="D143" s="54"/>
      <c r="E143" s="5"/>
      <c r="F143" s="5"/>
      <c r="G143" s="5"/>
      <c r="J143" s="5"/>
      <c r="M143" s="5"/>
      <c r="N143" s="5"/>
      <c r="P143" s="5"/>
    </row>
    <row r="144" spans="1:16" ht="13">
      <c r="A144" s="48"/>
      <c r="B144" s="50"/>
      <c r="C144" s="51"/>
      <c r="D144" s="54"/>
      <c r="E144" s="5"/>
      <c r="F144" s="5"/>
      <c r="G144" s="5"/>
      <c r="J144" s="5"/>
      <c r="M144" s="5"/>
      <c r="N144" s="5"/>
      <c r="P144" s="5"/>
    </row>
    <row r="145" spans="1:16" ht="13">
      <c r="A145" s="48"/>
      <c r="B145" s="50"/>
      <c r="C145" s="51"/>
      <c r="D145" s="54"/>
      <c r="E145" s="5"/>
      <c r="F145" s="5"/>
      <c r="G145" s="5"/>
      <c r="J145" s="5"/>
      <c r="M145" s="5"/>
      <c r="N145" s="5"/>
      <c r="P145" s="5"/>
    </row>
    <row r="146" spans="1:16" ht="13">
      <c r="A146" s="48"/>
      <c r="B146" s="50"/>
      <c r="C146" s="51"/>
      <c r="D146" s="54"/>
      <c r="E146" s="5"/>
      <c r="F146" s="5"/>
      <c r="G146" s="5"/>
      <c r="J146" s="5"/>
      <c r="M146" s="5"/>
      <c r="N146" s="5"/>
      <c r="P146" s="5"/>
    </row>
    <row r="147" spans="1:16" ht="13">
      <c r="A147" s="48"/>
      <c r="B147" s="50"/>
      <c r="C147" s="51"/>
      <c r="D147" s="54"/>
      <c r="E147" s="5"/>
      <c r="F147" s="5"/>
      <c r="G147" s="5"/>
      <c r="J147" s="5"/>
      <c r="M147" s="5"/>
      <c r="N147" s="5"/>
      <c r="P147" s="5"/>
    </row>
    <row r="148" spans="1:16" ht="13">
      <c r="A148" s="48"/>
      <c r="B148" s="50"/>
      <c r="C148" s="51"/>
      <c r="D148" s="54"/>
      <c r="E148" s="5"/>
      <c r="F148" s="5"/>
      <c r="G148" s="5"/>
      <c r="J148" s="5"/>
      <c r="M148" s="5"/>
      <c r="N148" s="5"/>
      <c r="P148" s="5"/>
    </row>
    <row r="149" spans="1:16" ht="13">
      <c r="A149" s="48"/>
      <c r="B149" s="50"/>
      <c r="C149" s="51"/>
      <c r="D149" s="54"/>
      <c r="E149" s="5"/>
      <c r="F149" s="5"/>
      <c r="G149" s="5"/>
      <c r="J149" s="5"/>
      <c r="M149" s="5"/>
      <c r="N149" s="5"/>
      <c r="P149" s="5"/>
    </row>
    <row r="150" spans="1:16" ht="13">
      <c r="A150" s="48"/>
      <c r="B150" s="50"/>
      <c r="C150" s="51"/>
      <c r="D150" s="54"/>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46"/>
      <c r="D222" s="5"/>
      <c r="E222" s="5"/>
      <c r="F222" s="5"/>
      <c r="G222" s="5"/>
      <c r="J222" s="5"/>
      <c r="M222" s="5"/>
      <c r="N222" s="5"/>
      <c r="P222" s="5"/>
    </row>
    <row r="223" spans="1:16" ht="13">
      <c r="B223" s="36"/>
      <c r="C223" s="46"/>
      <c r="D223" s="5"/>
      <c r="E223" s="5"/>
      <c r="F223" s="5"/>
      <c r="G223" s="5"/>
      <c r="J223" s="5"/>
      <c r="M223" s="5"/>
      <c r="N223" s="5"/>
      <c r="P223" s="5"/>
    </row>
    <row r="224" spans="1:16" ht="13">
      <c r="B224" s="36"/>
      <c r="C224" s="46"/>
      <c r="D224" s="5"/>
      <c r="E224" s="5"/>
      <c r="F224" s="5"/>
      <c r="G224" s="5"/>
      <c r="J224" s="5"/>
      <c r="M224" s="5"/>
      <c r="N224" s="5"/>
      <c r="P224" s="5"/>
    </row>
    <row r="225" spans="2:16" ht="13">
      <c r="B225" s="36"/>
      <c r="C225" s="46"/>
      <c r="D225" s="5"/>
      <c r="E225" s="5"/>
      <c r="F225" s="5"/>
      <c r="G225" s="5"/>
      <c r="J225" s="5"/>
      <c r="M225" s="5"/>
      <c r="N225" s="5"/>
      <c r="P225" s="5"/>
    </row>
    <row r="226" spans="2:16" ht="13">
      <c r="B226" s="36"/>
      <c r="C226" s="46"/>
      <c r="D226" s="5"/>
      <c r="E226" s="5"/>
      <c r="F226" s="5"/>
      <c r="G226" s="5"/>
      <c r="J226" s="5"/>
      <c r="M226" s="5"/>
      <c r="N226" s="5"/>
      <c r="P226" s="5"/>
    </row>
    <row r="227" spans="2:16" ht="13">
      <c r="B227" s="36"/>
      <c r="C227" s="46"/>
      <c r="D227" s="5"/>
      <c r="E227" s="5"/>
      <c r="F227" s="5"/>
      <c r="G227" s="5"/>
      <c r="J227" s="5"/>
      <c r="M227" s="5"/>
      <c r="N227" s="5"/>
      <c r="P227" s="5"/>
    </row>
    <row r="228" spans="2:16" ht="13">
      <c r="B228" s="36"/>
      <c r="C228" s="46"/>
      <c r="D228" s="5"/>
      <c r="E228" s="5"/>
      <c r="F228" s="5"/>
      <c r="G228" s="5"/>
      <c r="J228" s="5"/>
      <c r="M228" s="5"/>
      <c r="N228" s="5"/>
      <c r="P228" s="5"/>
    </row>
    <row r="229" spans="2:16" ht="13">
      <c r="B229" s="36"/>
      <c r="C229" s="46"/>
      <c r="D229" s="5"/>
      <c r="E229" s="5"/>
      <c r="F229" s="5"/>
      <c r="G229" s="5"/>
      <c r="J229" s="5"/>
      <c r="M229" s="5"/>
      <c r="N229" s="5"/>
      <c r="P229" s="5"/>
    </row>
    <row r="230" spans="2:16" ht="13">
      <c r="B230" s="36"/>
      <c r="C230" s="46"/>
      <c r="D230" s="5"/>
      <c r="E230" s="5"/>
      <c r="F230" s="5"/>
      <c r="G230" s="5"/>
      <c r="J230" s="5"/>
      <c r="M230" s="5"/>
      <c r="N230" s="5"/>
      <c r="P230" s="5"/>
    </row>
    <row r="231" spans="2:16" ht="13">
      <c r="B231" s="36"/>
      <c r="C231" s="46"/>
      <c r="D231" s="5"/>
      <c r="E231" s="5"/>
      <c r="F231" s="5"/>
      <c r="G231" s="5"/>
      <c r="J231" s="5"/>
      <c r="M231" s="5"/>
      <c r="N231" s="5"/>
      <c r="P231" s="5"/>
    </row>
    <row r="232" spans="2:16" ht="13">
      <c r="B232" s="36"/>
      <c r="C232" s="46"/>
      <c r="D232" s="5"/>
      <c r="E232" s="5"/>
      <c r="F232" s="5"/>
      <c r="G232" s="5"/>
      <c r="J232" s="5"/>
      <c r="M232" s="5"/>
      <c r="N232" s="5"/>
      <c r="P232" s="5"/>
    </row>
    <row r="233" spans="2:16" ht="13">
      <c r="B233" s="36"/>
      <c r="C233" s="46"/>
      <c r="D233" s="5"/>
      <c r="E233" s="5"/>
      <c r="F233" s="5"/>
      <c r="G233" s="5"/>
      <c r="J233" s="5"/>
      <c r="M233" s="5"/>
      <c r="N233" s="5"/>
      <c r="P233" s="5"/>
    </row>
    <row r="234" spans="2:16" ht="13">
      <c r="B234" s="36"/>
      <c r="C234" s="46"/>
      <c r="D234" s="5"/>
      <c r="E234" s="5"/>
      <c r="F234" s="5"/>
      <c r="G234" s="5"/>
      <c r="J234" s="5"/>
      <c r="M234" s="5"/>
      <c r="N234" s="5"/>
      <c r="P234" s="5"/>
    </row>
    <row r="235" spans="2:16" ht="13">
      <c r="B235" s="36"/>
      <c r="C235" s="46"/>
      <c r="D235" s="5"/>
      <c r="E235" s="5"/>
      <c r="F235" s="5"/>
      <c r="G235" s="5"/>
      <c r="J235" s="5"/>
      <c r="M235" s="5"/>
      <c r="N235" s="5"/>
      <c r="P235" s="5"/>
    </row>
    <row r="236" spans="2:16" ht="13">
      <c r="B236" s="36"/>
      <c r="C236" s="46"/>
      <c r="D236" s="5"/>
      <c r="E236" s="5"/>
      <c r="F236" s="5"/>
      <c r="G236" s="5"/>
      <c r="J236" s="5"/>
      <c r="M236" s="5"/>
      <c r="N236" s="5"/>
      <c r="P236" s="5"/>
    </row>
    <row r="237" spans="2:16" ht="13">
      <c r="B237" s="36"/>
      <c r="C237" s="46"/>
      <c r="D237" s="5"/>
      <c r="E237" s="5"/>
      <c r="F237" s="5"/>
      <c r="G237" s="5"/>
      <c r="J237" s="5"/>
      <c r="M237" s="5"/>
      <c r="N237" s="5"/>
      <c r="P237" s="5"/>
    </row>
    <row r="238" spans="2:16" ht="13">
      <c r="B238" s="36"/>
      <c r="C238" s="46"/>
      <c r="D238" s="5"/>
      <c r="E238" s="5"/>
      <c r="F238" s="5"/>
      <c r="G238" s="5"/>
      <c r="J238" s="5"/>
      <c r="M238" s="5"/>
      <c r="N238" s="5"/>
      <c r="P238" s="5"/>
    </row>
    <row r="239" spans="2:16" ht="13">
      <c r="B239" s="36"/>
      <c r="C239" s="46"/>
      <c r="D239" s="5"/>
      <c r="E239" s="5"/>
      <c r="F239" s="5"/>
      <c r="G239" s="5"/>
      <c r="J239" s="5"/>
      <c r="M239" s="5"/>
      <c r="N239" s="5"/>
      <c r="P239" s="5"/>
    </row>
    <row r="240" spans="2:16" ht="13">
      <c r="B240" s="36"/>
      <c r="C240" s="46"/>
      <c r="D240" s="5"/>
      <c r="E240" s="5"/>
      <c r="F240" s="5"/>
      <c r="G240" s="5"/>
      <c r="J240" s="5"/>
      <c r="M240" s="5"/>
      <c r="N240" s="5"/>
      <c r="P240" s="5"/>
    </row>
    <row r="241" spans="2:16" ht="13">
      <c r="B241" s="36"/>
      <c r="C241" s="46"/>
      <c r="D241" s="5"/>
      <c r="E241" s="5"/>
      <c r="F241" s="5"/>
      <c r="G241" s="5"/>
      <c r="J241" s="5"/>
      <c r="M241" s="5"/>
      <c r="N241" s="5"/>
      <c r="P241" s="5"/>
    </row>
    <row r="242" spans="2:16" ht="13">
      <c r="B242" s="36"/>
      <c r="C242" s="46"/>
      <c r="D242" s="5"/>
      <c r="E242" s="5"/>
      <c r="F242" s="5"/>
      <c r="G242" s="5"/>
      <c r="J242" s="5"/>
      <c r="M242" s="5"/>
      <c r="N242" s="5"/>
      <c r="P242" s="5"/>
    </row>
    <row r="243" spans="2:16" ht="13">
      <c r="B243" s="36"/>
      <c r="C243" s="46"/>
      <c r="D243" s="5"/>
      <c r="E243" s="5"/>
      <c r="F243" s="5"/>
      <c r="G243" s="5"/>
      <c r="J243" s="5"/>
      <c r="M243" s="5"/>
      <c r="N243" s="5"/>
      <c r="P243" s="5"/>
    </row>
    <row r="244" spans="2:16" ht="13">
      <c r="B244" s="36"/>
      <c r="C244" s="46"/>
      <c r="D244" s="5"/>
      <c r="E244" s="5"/>
      <c r="F244" s="5"/>
      <c r="G244" s="5"/>
      <c r="J244" s="5"/>
      <c r="M244" s="5"/>
      <c r="N244" s="5"/>
      <c r="P244" s="5"/>
    </row>
    <row r="245" spans="2:16" ht="13">
      <c r="B245" s="36"/>
      <c r="C245" s="46"/>
      <c r="D245" s="5"/>
      <c r="E245" s="5"/>
      <c r="F245" s="5"/>
      <c r="G245" s="5"/>
      <c r="J245" s="5"/>
      <c r="M245" s="5"/>
      <c r="N245" s="5"/>
      <c r="P245" s="5"/>
    </row>
    <row r="246" spans="2:16" ht="13">
      <c r="B246" s="36"/>
      <c r="C246" s="46"/>
      <c r="D246" s="5"/>
      <c r="E246" s="5"/>
      <c r="F246" s="5"/>
      <c r="G246" s="5"/>
      <c r="J246" s="5"/>
      <c r="M246" s="5"/>
      <c r="N246" s="5"/>
      <c r="P246" s="5"/>
    </row>
    <row r="247" spans="2:16" ht="13">
      <c r="B247" s="36"/>
      <c r="C247" s="46"/>
      <c r="D247" s="5"/>
      <c r="E247" s="5"/>
      <c r="F247" s="5"/>
      <c r="G247" s="5"/>
      <c r="J247" s="5"/>
      <c r="M247" s="5"/>
      <c r="N247" s="5"/>
      <c r="P247" s="5"/>
    </row>
    <row r="248" spans="2:16" ht="13">
      <c r="B248" s="36"/>
      <c r="C248" s="46"/>
      <c r="D248" s="5"/>
      <c r="E248" s="5"/>
      <c r="F248" s="5"/>
      <c r="G248" s="5"/>
      <c r="J248" s="5"/>
      <c r="M248" s="5"/>
      <c r="N248" s="5"/>
      <c r="P248" s="5"/>
    </row>
    <row r="249" spans="2:16" ht="13">
      <c r="B249" s="36"/>
      <c r="C249" s="46"/>
      <c r="D249" s="5"/>
      <c r="E249" s="5"/>
      <c r="F249" s="5"/>
      <c r="G249" s="5"/>
      <c r="J249" s="5"/>
      <c r="M249" s="5"/>
      <c r="N249" s="5"/>
      <c r="P249" s="5"/>
    </row>
    <row r="250" spans="2:16" ht="13">
      <c r="B250" s="36"/>
      <c r="C250" s="46"/>
      <c r="D250" s="5"/>
      <c r="E250" s="5"/>
      <c r="F250" s="5"/>
      <c r="G250" s="5"/>
      <c r="J250" s="5"/>
      <c r="M250" s="5"/>
      <c r="N250" s="5"/>
      <c r="P250" s="5"/>
    </row>
    <row r="251" spans="2:16" ht="13">
      <c r="B251" s="36"/>
      <c r="C251" s="46"/>
      <c r="D251" s="5"/>
      <c r="E251" s="5"/>
      <c r="F251" s="5"/>
      <c r="G251" s="5"/>
      <c r="J251" s="5"/>
      <c r="M251" s="5"/>
      <c r="N251" s="5"/>
      <c r="P251" s="5"/>
    </row>
    <row r="252" spans="2:16" ht="13">
      <c r="B252" s="36"/>
      <c r="C252" s="46"/>
      <c r="D252" s="5"/>
      <c r="E252" s="5"/>
      <c r="F252" s="5"/>
      <c r="G252" s="5"/>
      <c r="J252" s="5"/>
      <c r="M252" s="5"/>
      <c r="N252" s="5"/>
      <c r="P252" s="5"/>
    </row>
    <row r="253" spans="2:16" ht="13">
      <c r="B253" s="36"/>
      <c r="C253" s="46"/>
      <c r="D253" s="5"/>
      <c r="E253" s="5"/>
      <c r="F253" s="5"/>
      <c r="G253" s="5"/>
      <c r="J253" s="5"/>
      <c r="M253" s="5"/>
      <c r="N253" s="5"/>
      <c r="P253" s="5"/>
    </row>
    <row r="254" spans="2:16" ht="13">
      <c r="B254" s="36"/>
      <c r="C254" s="46"/>
      <c r="D254" s="5"/>
      <c r="E254" s="5"/>
      <c r="F254" s="5"/>
      <c r="G254" s="5"/>
      <c r="J254" s="5"/>
      <c r="M254" s="5"/>
      <c r="N254" s="5"/>
      <c r="P254" s="5"/>
    </row>
    <row r="255" spans="2:16" ht="13">
      <c r="B255" s="36"/>
      <c r="C255" s="46"/>
      <c r="D255" s="5"/>
      <c r="E255" s="5"/>
      <c r="F255" s="5"/>
      <c r="G255" s="5"/>
      <c r="J255" s="5"/>
      <c r="M255" s="5"/>
      <c r="N255" s="5"/>
      <c r="P255" s="5"/>
    </row>
    <row r="256" spans="2:16" ht="13">
      <c r="B256" s="36"/>
      <c r="C256" s="46"/>
      <c r="D256" s="5"/>
      <c r="E256" s="5"/>
      <c r="F256" s="5"/>
      <c r="G256" s="5"/>
      <c r="J256" s="5"/>
      <c r="M256" s="5"/>
      <c r="N256" s="5"/>
      <c r="P256" s="5"/>
    </row>
    <row r="257" spans="2:16" ht="13">
      <c r="B257" s="36"/>
      <c r="C257" s="46"/>
      <c r="D257" s="5"/>
      <c r="E257" s="5"/>
      <c r="F257" s="5"/>
      <c r="G257" s="5"/>
      <c r="J257" s="5"/>
      <c r="M257" s="5"/>
      <c r="N257" s="5"/>
      <c r="P257" s="5"/>
    </row>
    <row r="258" spans="2:16" ht="13">
      <c r="B258" s="36"/>
      <c r="C258" s="46"/>
      <c r="D258" s="5"/>
      <c r="E258" s="5"/>
      <c r="F258" s="5"/>
      <c r="G258" s="5"/>
      <c r="J258" s="5"/>
      <c r="M258" s="5"/>
      <c r="N258" s="5"/>
      <c r="P258" s="5"/>
    </row>
    <row r="259" spans="2:16" ht="13">
      <c r="B259" s="36"/>
      <c r="C259" s="46"/>
      <c r="D259" s="5"/>
      <c r="E259" s="5"/>
      <c r="F259" s="5"/>
      <c r="G259" s="5"/>
      <c r="J259" s="5"/>
      <c r="M259" s="5"/>
      <c r="N259" s="5"/>
      <c r="P259" s="5"/>
    </row>
    <row r="260" spans="2:16" ht="13">
      <c r="B260" s="36"/>
      <c r="C260" s="46"/>
      <c r="D260" s="5"/>
      <c r="E260" s="5"/>
      <c r="F260" s="5"/>
      <c r="G260" s="5"/>
      <c r="J260" s="5"/>
      <c r="M260" s="5"/>
      <c r="N260" s="5"/>
      <c r="P260" s="5"/>
    </row>
    <row r="261" spans="2:16" ht="13">
      <c r="B261" s="36"/>
      <c r="C261" s="46"/>
      <c r="D261" s="5"/>
      <c r="E261" s="5"/>
      <c r="F261" s="5"/>
      <c r="G261" s="5"/>
      <c r="J261" s="5"/>
      <c r="M261" s="5"/>
      <c r="N261" s="5"/>
      <c r="P261" s="5"/>
    </row>
    <row r="262" spans="2:16" ht="13">
      <c r="B262" s="36"/>
      <c r="C262" s="46"/>
      <c r="D262" s="5"/>
      <c r="E262" s="5"/>
      <c r="F262" s="5"/>
      <c r="G262" s="5"/>
      <c r="J262" s="5"/>
      <c r="M262" s="5"/>
      <c r="N262" s="5"/>
      <c r="P262" s="5"/>
    </row>
    <row r="263" spans="2:16" ht="13">
      <c r="B263" s="36"/>
      <c r="C263" s="46"/>
      <c r="D263" s="5"/>
      <c r="E263" s="5"/>
      <c r="F263" s="5"/>
      <c r="G263" s="5"/>
      <c r="J263" s="5"/>
      <c r="M263" s="5"/>
      <c r="N263" s="5"/>
      <c r="P263" s="5"/>
    </row>
    <row r="264" spans="2:16" ht="13">
      <c r="B264" s="36"/>
      <c r="C264" s="46"/>
      <c r="D264" s="5"/>
      <c r="E264" s="5"/>
      <c r="F264" s="5"/>
      <c r="G264" s="5"/>
      <c r="J264" s="5"/>
      <c r="M264" s="5"/>
      <c r="N264" s="5"/>
      <c r="P264" s="5"/>
    </row>
    <row r="265" spans="2:16" ht="13">
      <c r="B265" s="36"/>
      <c r="C265" s="46"/>
      <c r="D265" s="5"/>
      <c r="E265" s="5"/>
      <c r="F265" s="5"/>
      <c r="G265" s="5"/>
      <c r="J265" s="5"/>
      <c r="M265" s="5"/>
      <c r="N265" s="5"/>
      <c r="P265" s="5"/>
    </row>
    <row r="266" spans="2:16" ht="13">
      <c r="B266" s="36"/>
      <c r="C266" s="46"/>
      <c r="D266" s="5"/>
      <c r="E266" s="5"/>
      <c r="F266" s="5"/>
      <c r="G266" s="5"/>
      <c r="J266" s="5"/>
      <c r="M266" s="5"/>
      <c r="N266" s="5"/>
      <c r="P266" s="5"/>
    </row>
    <row r="267" spans="2:16" ht="13">
      <c r="B267" s="36"/>
      <c r="C267" s="46"/>
      <c r="D267" s="5"/>
      <c r="E267" s="5"/>
      <c r="F267" s="5"/>
      <c r="G267" s="5"/>
      <c r="J267" s="5"/>
      <c r="M267" s="5"/>
      <c r="N267" s="5"/>
      <c r="P267" s="5"/>
    </row>
    <row r="268" spans="2:16" ht="13">
      <c r="B268" s="36"/>
      <c r="C268" s="46"/>
      <c r="D268" s="5"/>
      <c r="E268" s="5"/>
      <c r="F268" s="5"/>
      <c r="G268" s="5"/>
      <c r="J268" s="5"/>
      <c r="M268" s="5"/>
      <c r="N268" s="5"/>
      <c r="P268" s="5"/>
    </row>
    <row r="269" spans="2:16" ht="13">
      <c r="B269" s="36"/>
      <c r="C269" s="46"/>
      <c r="D269" s="5"/>
      <c r="E269" s="5"/>
      <c r="F269" s="5"/>
      <c r="G269" s="5"/>
      <c r="J269" s="5"/>
      <c r="M269" s="5"/>
      <c r="N269" s="5"/>
      <c r="P269" s="5"/>
    </row>
    <row r="270" spans="2:16" ht="13">
      <c r="B270" s="36"/>
      <c r="C270" s="46"/>
      <c r="D270" s="5"/>
      <c r="E270" s="5"/>
      <c r="F270" s="5"/>
      <c r="G270" s="5"/>
      <c r="J270" s="5"/>
      <c r="M270" s="5"/>
      <c r="N270" s="5"/>
      <c r="P270" s="5"/>
    </row>
    <row r="271" spans="2:16" ht="13">
      <c r="B271" s="36"/>
      <c r="C271" s="46"/>
      <c r="D271" s="5"/>
      <c r="E271" s="5"/>
      <c r="F271" s="5"/>
      <c r="G271" s="5"/>
      <c r="J271" s="5"/>
      <c r="M271" s="5"/>
      <c r="N271" s="5"/>
      <c r="P271" s="5"/>
    </row>
    <row r="272" spans="2:16" ht="13">
      <c r="B272" s="36"/>
      <c r="C272" s="46"/>
      <c r="D272" s="5"/>
      <c r="E272" s="5"/>
      <c r="F272" s="5"/>
      <c r="G272" s="5"/>
      <c r="J272" s="5"/>
      <c r="M272" s="5"/>
      <c r="N272" s="5"/>
      <c r="P272" s="5"/>
    </row>
    <row r="273" spans="2:16" ht="13">
      <c r="B273" s="36"/>
      <c r="C273" s="46"/>
      <c r="D273" s="5"/>
      <c r="E273" s="5"/>
      <c r="F273" s="5"/>
      <c r="G273" s="5"/>
      <c r="J273" s="5"/>
      <c r="M273" s="5"/>
      <c r="N273" s="5"/>
      <c r="P273" s="5"/>
    </row>
    <row r="274" spans="2:16" ht="13">
      <c r="B274" s="36"/>
      <c r="C274" s="46"/>
      <c r="D274" s="5"/>
      <c r="E274" s="5"/>
      <c r="F274" s="5"/>
      <c r="G274" s="5"/>
      <c r="J274" s="5"/>
      <c r="M274" s="5"/>
      <c r="N274" s="5"/>
      <c r="P274" s="5"/>
    </row>
    <row r="275" spans="2:16" ht="13">
      <c r="B275" s="36"/>
      <c r="C275" s="46"/>
      <c r="D275" s="5"/>
      <c r="E275" s="5"/>
      <c r="F275" s="5"/>
      <c r="G275" s="5"/>
      <c r="J275" s="5"/>
      <c r="M275" s="5"/>
      <c r="N275" s="5"/>
      <c r="P275" s="5"/>
    </row>
    <row r="276" spans="2:16" ht="13">
      <c r="B276" s="36"/>
      <c r="C276" s="46"/>
      <c r="D276" s="5"/>
      <c r="E276" s="5"/>
      <c r="F276" s="5"/>
      <c r="G276" s="5"/>
      <c r="J276" s="5"/>
      <c r="M276" s="5"/>
      <c r="N276" s="5"/>
      <c r="P276" s="5"/>
    </row>
    <row r="277" spans="2:16" ht="13">
      <c r="B277" s="36"/>
      <c r="C277" s="46"/>
      <c r="D277" s="5"/>
      <c r="E277" s="5"/>
      <c r="F277" s="5"/>
      <c r="G277" s="5"/>
      <c r="J277" s="5"/>
      <c r="M277" s="5"/>
      <c r="N277" s="5"/>
      <c r="P277" s="5"/>
    </row>
    <row r="278" spans="2:16" ht="13">
      <c r="B278" s="36"/>
      <c r="C278" s="46"/>
      <c r="D278" s="5"/>
      <c r="E278" s="5"/>
      <c r="F278" s="5"/>
      <c r="G278" s="5"/>
      <c r="J278" s="5"/>
      <c r="M278" s="5"/>
      <c r="N278" s="5"/>
      <c r="P278" s="5"/>
    </row>
    <row r="279" spans="2:16" ht="13">
      <c r="B279" s="36"/>
      <c r="C279" s="46"/>
      <c r="D279" s="5"/>
      <c r="E279" s="5"/>
      <c r="F279" s="5"/>
      <c r="G279" s="5"/>
      <c r="J279" s="5"/>
      <c r="M279" s="5"/>
      <c r="N279" s="5"/>
      <c r="P279" s="5"/>
    </row>
    <row r="280" spans="2:16" ht="13">
      <c r="B280" s="36"/>
      <c r="C280" s="46"/>
      <c r="D280" s="5"/>
      <c r="E280" s="5"/>
      <c r="F280" s="5"/>
      <c r="G280" s="5"/>
      <c r="J280" s="5"/>
      <c r="M280" s="5"/>
      <c r="N280" s="5"/>
      <c r="P280" s="5"/>
    </row>
    <row r="281" spans="2:16" ht="13">
      <c r="B281" s="36"/>
      <c r="C281" s="46"/>
      <c r="D281" s="5"/>
      <c r="E281" s="5"/>
      <c r="F281" s="5"/>
      <c r="G281" s="5"/>
      <c r="J281" s="5"/>
      <c r="M281" s="5"/>
      <c r="N281" s="5"/>
      <c r="P281" s="5"/>
    </row>
    <row r="282" spans="2:16" ht="13">
      <c r="B282" s="36"/>
      <c r="C282" s="46"/>
      <c r="D282" s="5"/>
      <c r="E282" s="5"/>
      <c r="F282" s="5"/>
      <c r="G282" s="5"/>
      <c r="J282" s="5"/>
      <c r="M282" s="5"/>
      <c r="N282" s="5"/>
      <c r="P282" s="5"/>
    </row>
    <row r="283" spans="2:16" ht="13">
      <c r="B283" s="36"/>
      <c r="C283" s="46"/>
      <c r="D283" s="5"/>
      <c r="E283" s="5"/>
      <c r="F283" s="5"/>
      <c r="G283" s="5"/>
      <c r="J283" s="5"/>
      <c r="M283" s="5"/>
      <c r="N283" s="5"/>
      <c r="P283" s="5"/>
    </row>
    <row r="284" spans="2:16" ht="13">
      <c r="B284" s="36"/>
      <c r="C284" s="46"/>
      <c r="D284" s="5"/>
      <c r="E284" s="5"/>
      <c r="F284" s="5"/>
      <c r="G284" s="5"/>
      <c r="J284" s="5"/>
      <c r="M284" s="5"/>
      <c r="N284" s="5"/>
      <c r="P284" s="5"/>
    </row>
    <row r="285" spans="2:16" ht="13">
      <c r="B285" s="36"/>
      <c r="C285" s="46"/>
      <c r="D285" s="5"/>
      <c r="E285" s="5"/>
      <c r="F285" s="5"/>
      <c r="G285" s="5"/>
      <c r="J285" s="5"/>
      <c r="M285" s="5"/>
      <c r="N285" s="5"/>
      <c r="P285" s="5"/>
    </row>
    <row r="286" spans="2:16" ht="13">
      <c r="B286" s="36"/>
      <c r="C286" s="46"/>
      <c r="D286" s="5"/>
      <c r="E286" s="5"/>
      <c r="F286" s="5"/>
      <c r="G286" s="5"/>
      <c r="J286" s="5"/>
      <c r="M286" s="5"/>
      <c r="N286" s="5"/>
      <c r="P286" s="5"/>
    </row>
    <row r="287" spans="2:16" ht="13">
      <c r="B287" s="36"/>
      <c r="C287" s="46"/>
      <c r="D287" s="5"/>
      <c r="E287" s="5"/>
      <c r="F287" s="5"/>
      <c r="G287" s="5"/>
      <c r="J287" s="5"/>
      <c r="M287" s="5"/>
      <c r="N287" s="5"/>
      <c r="P287" s="5"/>
    </row>
    <row r="288" spans="2:16" ht="13">
      <c r="B288" s="36"/>
      <c r="C288" s="46"/>
      <c r="D288" s="5"/>
      <c r="E288" s="5"/>
      <c r="F288" s="5"/>
      <c r="G288" s="5"/>
      <c r="J288" s="5"/>
      <c r="M288" s="5"/>
      <c r="N288" s="5"/>
      <c r="P288" s="5"/>
    </row>
    <row r="289" spans="2:16" ht="13">
      <c r="B289" s="36"/>
      <c r="C289" s="46"/>
      <c r="D289" s="5"/>
      <c r="E289" s="5"/>
      <c r="F289" s="5"/>
      <c r="G289" s="5"/>
      <c r="J289" s="5"/>
      <c r="M289" s="5"/>
      <c r="N289" s="5"/>
      <c r="P289" s="5"/>
    </row>
    <row r="290" spans="2:16" ht="13">
      <c r="B290" s="36"/>
      <c r="C290" s="46"/>
      <c r="D290" s="5"/>
      <c r="E290" s="5"/>
      <c r="F290" s="5"/>
      <c r="G290" s="5"/>
      <c r="J290" s="5"/>
      <c r="M290" s="5"/>
      <c r="N290" s="5"/>
      <c r="P290" s="5"/>
    </row>
    <row r="291" spans="2:16" ht="13">
      <c r="B291" s="36"/>
      <c r="C291" s="46"/>
      <c r="D291" s="5"/>
      <c r="E291" s="5"/>
      <c r="F291" s="5"/>
      <c r="G291" s="5"/>
      <c r="J291" s="5"/>
      <c r="M291" s="5"/>
      <c r="N291" s="5"/>
      <c r="P291" s="5"/>
    </row>
    <row r="292" spans="2:16" ht="13">
      <c r="B292" s="36"/>
      <c r="C292" s="46"/>
      <c r="D292" s="5"/>
      <c r="E292" s="5"/>
      <c r="F292" s="5"/>
      <c r="G292" s="5"/>
      <c r="J292" s="5"/>
      <c r="M292" s="5"/>
      <c r="N292" s="5"/>
      <c r="P292" s="5"/>
    </row>
    <row r="293" spans="2:16" ht="13">
      <c r="B293" s="36"/>
      <c r="C293" s="46"/>
      <c r="D293" s="5"/>
      <c r="E293" s="5"/>
      <c r="F293" s="5"/>
      <c r="G293" s="5"/>
      <c r="J293" s="5"/>
      <c r="M293" s="5"/>
      <c r="N293" s="5"/>
      <c r="P293" s="5"/>
    </row>
    <row r="294" spans="2:16" ht="13">
      <c r="B294" s="36"/>
      <c r="C294" s="46"/>
      <c r="D294" s="5"/>
      <c r="E294" s="5"/>
      <c r="F294" s="5"/>
      <c r="G294" s="5"/>
      <c r="J294" s="5"/>
      <c r="M294" s="5"/>
      <c r="N294" s="5"/>
      <c r="P294" s="5"/>
    </row>
    <row r="295" spans="2:16" ht="13">
      <c r="B295" s="36"/>
      <c r="C295" s="46"/>
      <c r="D295" s="5"/>
      <c r="E295" s="5"/>
      <c r="F295" s="5"/>
      <c r="G295" s="5"/>
      <c r="J295" s="5"/>
      <c r="M295" s="5"/>
      <c r="N295" s="5"/>
      <c r="P295" s="5"/>
    </row>
    <row r="296" spans="2:16" ht="13">
      <c r="B296" s="36"/>
      <c r="C296" s="46"/>
      <c r="D296" s="5"/>
      <c r="E296" s="5"/>
      <c r="F296" s="5"/>
      <c r="G296" s="5"/>
      <c r="J296" s="5"/>
      <c r="M296" s="5"/>
      <c r="N296" s="5"/>
      <c r="P296" s="5"/>
    </row>
    <row r="297" spans="2:16" ht="13">
      <c r="B297" s="36"/>
      <c r="C297" s="46"/>
      <c r="D297" s="5"/>
      <c r="E297" s="5"/>
      <c r="F297" s="5"/>
      <c r="G297" s="5"/>
      <c r="J297" s="5"/>
      <c r="M297" s="5"/>
      <c r="N297" s="5"/>
      <c r="P297" s="5"/>
    </row>
    <row r="298" spans="2:16" ht="13">
      <c r="B298" s="36"/>
      <c r="C298" s="46"/>
      <c r="D298" s="5"/>
      <c r="E298" s="5"/>
      <c r="F298" s="5"/>
      <c r="G298" s="5"/>
      <c r="J298" s="5"/>
      <c r="M298" s="5"/>
      <c r="N298" s="5"/>
      <c r="P298" s="5"/>
    </row>
    <row r="299" spans="2:16" ht="13">
      <c r="B299" s="36"/>
      <c r="C299" s="46"/>
      <c r="D299" s="5"/>
      <c r="E299" s="5"/>
      <c r="F299" s="5"/>
      <c r="G299" s="5"/>
      <c r="J299" s="5"/>
      <c r="M299" s="5"/>
      <c r="N299" s="5"/>
      <c r="P299" s="5"/>
    </row>
    <row r="300" spans="2:16" ht="13">
      <c r="B300" s="36"/>
      <c r="C300" s="46"/>
      <c r="D300" s="5"/>
      <c r="E300" s="5"/>
      <c r="F300" s="5"/>
      <c r="G300" s="5"/>
      <c r="J300" s="5"/>
      <c r="M300" s="5"/>
      <c r="N300" s="5"/>
      <c r="P300" s="5"/>
    </row>
    <row r="301" spans="2:16" ht="13">
      <c r="B301" s="36"/>
      <c r="C301" s="46"/>
      <c r="D301" s="5"/>
      <c r="E301" s="5"/>
      <c r="F301" s="5"/>
      <c r="G301" s="5"/>
      <c r="J301" s="5"/>
      <c r="M301" s="5"/>
      <c r="N301" s="5"/>
      <c r="P301" s="5"/>
    </row>
    <row r="302" spans="2:16" ht="13">
      <c r="B302" s="36"/>
      <c r="C302" s="46"/>
      <c r="D302" s="5"/>
      <c r="E302" s="5"/>
      <c r="F302" s="5"/>
      <c r="G302" s="5"/>
      <c r="J302" s="5"/>
      <c r="M302" s="5"/>
      <c r="N302" s="5"/>
      <c r="P302" s="5"/>
    </row>
    <row r="303" spans="2:16" ht="13">
      <c r="B303" s="36"/>
      <c r="C303" s="46"/>
      <c r="D303" s="5"/>
      <c r="E303" s="5"/>
      <c r="F303" s="5"/>
      <c r="G303" s="5"/>
      <c r="J303" s="5"/>
      <c r="M303" s="5"/>
      <c r="N303" s="5"/>
      <c r="P303" s="5"/>
    </row>
    <row r="304" spans="2:16" ht="13">
      <c r="B304" s="36"/>
      <c r="C304" s="46"/>
      <c r="D304" s="5"/>
      <c r="E304" s="5"/>
      <c r="F304" s="5"/>
      <c r="G304" s="5"/>
      <c r="J304" s="5"/>
      <c r="M304" s="5"/>
      <c r="N304" s="5"/>
      <c r="P304" s="5"/>
    </row>
    <row r="305" spans="2:16" ht="13">
      <c r="B305" s="36"/>
      <c r="C305" s="46"/>
      <c r="D305" s="5"/>
      <c r="E305" s="5"/>
      <c r="F305" s="5"/>
      <c r="G305" s="5"/>
      <c r="J305" s="5"/>
      <c r="M305" s="5"/>
      <c r="N305" s="5"/>
      <c r="P305" s="5"/>
    </row>
    <row r="306" spans="2:16" ht="13">
      <c r="B306" s="36"/>
      <c r="C306" s="46"/>
      <c r="D306" s="5"/>
      <c r="E306" s="5"/>
      <c r="F306" s="5"/>
      <c r="G306" s="5"/>
      <c r="J306" s="5"/>
      <c r="M306" s="5"/>
      <c r="N306" s="5"/>
      <c r="P306" s="5"/>
    </row>
    <row r="307" spans="2:16" ht="13">
      <c r="B307" s="36"/>
      <c r="C307" s="46"/>
      <c r="D307" s="5"/>
      <c r="E307" s="5"/>
      <c r="F307" s="5"/>
      <c r="G307" s="5"/>
      <c r="J307" s="5"/>
      <c r="M307" s="5"/>
      <c r="N307" s="5"/>
      <c r="P307" s="5"/>
    </row>
    <row r="308" spans="2:16" ht="13">
      <c r="B308" s="36"/>
      <c r="C308" s="46"/>
      <c r="D308" s="5"/>
      <c r="E308" s="5"/>
      <c r="F308" s="5"/>
      <c r="G308" s="5"/>
      <c r="J308" s="5"/>
      <c r="M308" s="5"/>
      <c r="N308" s="5"/>
      <c r="P308" s="5"/>
    </row>
    <row r="309" spans="2:16" ht="13">
      <c r="B309" s="36"/>
      <c r="C309" s="46"/>
      <c r="D309" s="5"/>
      <c r="E309" s="5"/>
      <c r="F309" s="5"/>
      <c r="G309" s="5"/>
      <c r="J309" s="5"/>
      <c r="M309" s="5"/>
      <c r="N309" s="5"/>
      <c r="P309" s="5"/>
    </row>
    <row r="310" spans="2:16" ht="13">
      <c r="B310" s="36"/>
      <c r="C310" s="46"/>
      <c r="D310" s="5"/>
      <c r="E310" s="5"/>
      <c r="F310" s="5"/>
      <c r="G310" s="5"/>
      <c r="J310" s="5"/>
      <c r="M310" s="5"/>
      <c r="N310" s="5"/>
      <c r="P310" s="5"/>
    </row>
    <row r="311" spans="2:16" ht="13">
      <c r="B311" s="36"/>
      <c r="C311" s="46"/>
      <c r="D311" s="5"/>
      <c r="E311" s="5"/>
      <c r="F311" s="5"/>
      <c r="G311" s="5"/>
      <c r="J311" s="5"/>
      <c r="M311" s="5"/>
      <c r="N311" s="5"/>
      <c r="P311" s="5"/>
    </row>
    <row r="312" spans="2:16" ht="13">
      <c r="B312" s="36"/>
      <c r="C312" s="46"/>
      <c r="D312" s="5"/>
      <c r="E312" s="5"/>
      <c r="F312" s="5"/>
      <c r="G312" s="5"/>
      <c r="J312" s="5"/>
      <c r="M312" s="5"/>
      <c r="N312" s="5"/>
      <c r="P312" s="5"/>
    </row>
    <row r="313" spans="2:16" ht="13">
      <c r="B313" s="36"/>
      <c r="C313" s="46"/>
      <c r="D313" s="5"/>
      <c r="E313" s="5"/>
      <c r="F313" s="5"/>
      <c r="G313" s="5"/>
      <c r="J313" s="5"/>
      <c r="M313" s="5"/>
      <c r="N313" s="5"/>
      <c r="P313" s="5"/>
    </row>
    <row r="314" spans="2:16" ht="13">
      <c r="B314" s="36"/>
      <c r="C314" s="46"/>
      <c r="D314" s="5"/>
      <c r="E314" s="5"/>
      <c r="F314" s="5"/>
      <c r="G314" s="5"/>
      <c r="J314" s="5"/>
      <c r="M314" s="5"/>
      <c r="N314" s="5"/>
      <c r="P314" s="5"/>
    </row>
    <row r="315" spans="2:16" ht="13">
      <c r="B315" s="36"/>
      <c r="C315" s="46"/>
      <c r="D315" s="5"/>
      <c r="E315" s="5"/>
      <c r="F315" s="5"/>
      <c r="G315" s="5"/>
      <c r="J315" s="5"/>
      <c r="M315" s="5"/>
      <c r="N315" s="5"/>
      <c r="P315" s="5"/>
    </row>
    <row r="316" spans="2:16" ht="13">
      <c r="B316" s="36"/>
      <c r="C316" s="46"/>
      <c r="D316" s="5"/>
      <c r="E316" s="5"/>
      <c r="F316" s="5"/>
      <c r="G316" s="5"/>
      <c r="J316" s="5"/>
      <c r="M316" s="5"/>
      <c r="N316" s="5"/>
      <c r="P316" s="5"/>
    </row>
    <row r="317" spans="2:16" ht="13">
      <c r="B317" s="36"/>
      <c r="C317" s="46"/>
      <c r="D317" s="5"/>
      <c r="E317" s="5"/>
      <c r="F317" s="5"/>
      <c r="G317" s="5"/>
      <c r="J317" s="5"/>
      <c r="M317" s="5"/>
      <c r="N317" s="5"/>
      <c r="P317" s="5"/>
    </row>
    <row r="318" spans="2:16" ht="13">
      <c r="B318" s="36"/>
      <c r="C318" s="46"/>
      <c r="D318" s="5"/>
      <c r="E318" s="5"/>
      <c r="F318" s="5"/>
      <c r="G318" s="5"/>
      <c r="J318" s="5"/>
      <c r="M318" s="5"/>
      <c r="N318" s="5"/>
      <c r="P318" s="5"/>
    </row>
    <row r="319" spans="2:16" ht="13">
      <c r="B319" s="36"/>
      <c r="C319" s="46"/>
      <c r="D319" s="5"/>
      <c r="E319" s="5"/>
      <c r="F319" s="5"/>
      <c r="G319" s="5"/>
      <c r="J319" s="5"/>
      <c r="M319" s="5"/>
      <c r="N319" s="5"/>
      <c r="P319" s="5"/>
    </row>
    <row r="320" spans="2:16" ht="13">
      <c r="B320" s="36"/>
      <c r="C320" s="46"/>
      <c r="D320" s="5"/>
      <c r="E320" s="5"/>
      <c r="F320" s="5"/>
      <c r="G320" s="5"/>
      <c r="J320" s="5"/>
      <c r="M320" s="5"/>
      <c r="N320" s="5"/>
      <c r="P320" s="5"/>
    </row>
    <row r="321" spans="2:16" ht="13">
      <c r="B321" s="36"/>
      <c r="C321" s="46"/>
      <c r="D321" s="5"/>
      <c r="E321" s="5"/>
      <c r="F321" s="5"/>
      <c r="G321" s="5"/>
      <c r="J321" s="5"/>
      <c r="M321" s="5"/>
      <c r="N321" s="5"/>
      <c r="P321" s="5"/>
    </row>
    <row r="322" spans="2:16" ht="13">
      <c r="B322" s="36"/>
      <c r="C322" s="46"/>
      <c r="D322" s="5"/>
      <c r="E322" s="5"/>
      <c r="F322" s="5"/>
      <c r="G322" s="5"/>
      <c r="J322" s="5"/>
      <c r="M322" s="5"/>
      <c r="N322" s="5"/>
      <c r="P322" s="5"/>
    </row>
    <row r="323" spans="2:16" ht="13">
      <c r="B323" s="36"/>
      <c r="C323" s="46"/>
      <c r="D323" s="5"/>
      <c r="E323" s="5"/>
      <c r="F323" s="5"/>
      <c r="G323" s="5"/>
      <c r="J323" s="5"/>
      <c r="M323" s="5"/>
      <c r="N323" s="5"/>
      <c r="P323" s="5"/>
    </row>
    <row r="324" spans="2:16" ht="13">
      <c r="B324" s="36"/>
      <c r="C324" s="46"/>
      <c r="D324" s="5"/>
      <c r="E324" s="5"/>
      <c r="F324" s="5"/>
      <c r="G324" s="5"/>
      <c r="J324" s="5"/>
      <c r="M324" s="5"/>
      <c r="N324" s="5"/>
      <c r="P324" s="5"/>
    </row>
    <row r="325" spans="2:16" ht="13">
      <c r="B325" s="36"/>
      <c r="C325" s="46"/>
      <c r="D325" s="5"/>
      <c r="E325" s="5"/>
      <c r="F325" s="5"/>
      <c r="G325" s="5"/>
      <c r="J325" s="5"/>
      <c r="M325" s="5"/>
      <c r="N325" s="5"/>
      <c r="P325" s="5"/>
    </row>
    <row r="326" spans="2:16" ht="13">
      <c r="B326" s="36"/>
      <c r="C326" s="46"/>
      <c r="D326" s="5"/>
      <c r="E326" s="5"/>
      <c r="F326" s="5"/>
      <c r="G326" s="5"/>
      <c r="J326" s="5"/>
      <c r="M326" s="5"/>
      <c r="N326" s="5"/>
      <c r="P326" s="5"/>
    </row>
    <row r="327" spans="2:16" ht="13">
      <c r="B327" s="36"/>
      <c r="C327" s="46"/>
      <c r="D327" s="5"/>
      <c r="E327" s="5"/>
      <c r="F327" s="5"/>
      <c r="G327" s="5"/>
      <c r="J327" s="5"/>
      <c r="M327" s="5"/>
      <c r="N327" s="5"/>
      <c r="P327" s="5"/>
    </row>
    <row r="328" spans="2:16" ht="13">
      <c r="B328" s="36"/>
      <c r="C328" s="46"/>
      <c r="D328" s="5"/>
      <c r="E328" s="5"/>
      <c r="F328" s="5"/>
      <c r="G328" s="5"/>
      <c r="J328" s="5"/>
      <c r="M328" s="5"/>
      <c r="N328" s="5"/>
      <c r="P328" s="5"/>
    </row>
    <row r="329" spans="2:16" ht="13">
      <c r="B329" s="36"/>
      <c r="C329" s="46"/>
      <c r="D329" s="5"/>
      <c r="E329" s="5"/>
      <c r="F329" s="5"/>
      <c r="G329" s="5"/>
      <c r="J329" s="5"/>
      <c r="M329" s="5"/>
      <c r="N329" s="5"/>
      <c r="P329" s="5"/>
    </row>
    <row r="330" spans="2:16" ht="13">
      <c r="B330" s="36"/>
      <c r="C330" s="46"/>
      <c r="D330" s="5"/>
      <c r="E330" s="5"/>
      <c r="F330" s="5"/>
      <c r="G330" s="5"/>
      <c r="J330" s="5"/>
      <c r="M330" s="5"/>
      <c r="N330" s="5"/>
      <c r="P330" s="5"/>
    </row>
    <row r="331" spans="2:16" ht="13">
      <c r="B331" s="36"/>
      <c r="C331" s="46"/>
      <c r="D331" s="5"/>
      <c r="E331" s="5"/>
      <c r="F331" s="5"/>
      <c r="G331" s="5"/>
      <c r="J331" s="5"/>
      <c r="M331" s="5"/>
      <c r="N331" s="5"/>
      <c r="P331" s="5"/>
    </row>
    <row r="332" spans="2:16" ht="13">
      <c r="B332" s="36"/>
      <c r="C332" s="46"/>
      <c r="D332" s="5"/>
      <c r="E332" s="5"/>
      <c r="F332" s="5"/>
      <c r="G332" s="5"/>
      <c r="J332" s="5"/>
      <c r="M332" s="5"/>
      <c r="N332" s="5"/>
      <c r="P332" s="5"/>
    </row>
    <row r="333" spans="2:16" ht="13">
      <c r="B333" s="36"/>
      <c r="C333" s="46"/>
      <c r="D333" s="5"/>
      <c r="E333" s="5"/>
      <c r="F333" s="5"/>
      <c r="G333" s="5"/>
      <c r="J333" s="5"/>
      <c r="M333" s="5"/>
      <c r="N333" s="5"/>
      <c r="P333" s="5"/>
    </row>
    <row r="334" spans="2:16" ht="13">
      <c r="B334" s="36"/>
      <c r="C334" s="46"/>
      <c r="D334" s="5"/>
      <c r="E334" s="5"/>
      <c r="F334" s="5"/>
      <c r="G334" s="5"/>
      <c r="J334" s="5"/>
      <c r="M334" s="5"/>
      <c r="N334" s="5"/>
      <c r="P334" s="5"/>
    </row>
    <row r="335" spans="2:16" ht="13">
      <c r="B335" s="36"/>
      <c r="C335" s="46"/>
      <c r="D335" s="5"/>
      <c r="E335" s="5"/>
      <c r="F335" s="5"/>
      <c r="G335" s="5"/>
      <c r="J335" s="5"/>
      <c r="M335" s="5"/>
      <c r="N335" s="5"/>
      <c r="P335" s="5"/>
    </row>
    <row r="336" spans="2:16" ht="13">
      <c r="B336" s="36"/>
      <c r="C336" s="46"/>
      <c r="D336" s="5"/>
      <c r="E336" s="5"/>
      <c r="F336" s="5"/>
      <c r="G336" s="5"/>
      <c r="J336" s="5"/>
      <c r="M336" s="5"/>
      <c r="N336" s="5"/>
      <c r="P336" s="5"/>
    </row>
    <row r="337" spans="2:16" ht="13">
      <c r="B337" s="36"/>
      <c r="C337" s="46"/>
      <c r="D337" s="5"/>
      <c r="E337" s="5"/>
      <c r="F337" s="5"/>
      <c r="G337" s="5"/>
      <c r="J337" s="5"/>
      <c r="M337" s="5"/>
      <c r="N337" s="5"/>
      <c r="P337" s="5"/>
    </row>
    <row r="338" spans="2:16" ht="13">
      <c r="B338" s="36"/>
      <c r="C338" s="46"/>
      <c r="D338" s="5"/>
      <c r="E338" s="5"/>
      <c r="F338" s="5"/>
      <c r="G338" s="5"/>
      <c r="J338" s="5"/>
      <c r="M338" s="5"/>
      <c r="N338" s="5"/>
      <c r="P338" s="5"/>
    </row>
    <row r="339" spans="2:16" ht="13">
      <c r="B339" s="36"/>
      <c r="C339" s="46"/>
      <c r="D339" s="5"/>
      <c r="E339" s="5"/>
      <c r="F339" s="5"/>
      <c r="G339" s="5"/>
      <c r="J339" s="5"/>
      <c r="M339" s="5"/>
      <c r="N339" s="5"/>
      <c r="P339" s="5"/>
    </row>
    <row r="340" spans="2:16" ht="13">
      <c r="B340" s="36"/>
      <c r="C340" s="46"/>
      <c r="D340" s="5"/>
      <c r="E340" s="5"/>
      <c r="F340" s="5"/>
      <c r="G340" s="5"/>
      <c r="J340" s="5"/>
      <c r="M340" s="5"/>
      <c r="N340" s="5"/>
      <c r="P340" s="5"/>
    </row>
    <row r="341" spans="2:16" ht="13">
      <c r="B341" s="36"/>
      <c r="C341" s="46"/>
      <c r="D341" s="5"/>
      <c r="E341" s="5"/>
      <c r="F341" s="5"/>
      <c r="G341" s="5"/>
      <c r="J341" s="5"/>
      <c r="M341" s="5"/>
      <c r="N341" s="5"/>
      <c r="P341" s="5"/>
    </row>
    <row r="342" spans="2:16" ht="13">
      <c r="B342" s="36"/>
      <c r="C342" s="46"/>
      <c r="D342" s="5"/>
      <c r="E342" s="5"/>
      <c r="F342" s="5"/>
      <c r="G342" s="5"/>
      <c r="J342" s="5"/>
      <c r="M342" s="5"/>
      <c r="N342" s="5"/>
      <c r="P342" s="5"/>
    </row>
    <row r="343" spans="2:16" ht="13">
      <c r="B343" s="36"/>
      <c r="C343" s="46"/>
      <c r="D343" s="5"/>
      <c r="E343" s="5"/>
      <c r="F343" s="5"/>
      <c r="G343" s="5"/>
      <c r="J343" s="5"/>
      <c r="M343" s="5"/>
      <c r="N343" s="5"/>
      <c r="P343" s="5"/>
    </row>
    <row r="344" spans="2:16" ht="13">
      <c r="B344" s="36"/>
      <c r="C344" s="46"/>
      <c r="D344" s="5"/>
      <c r="E344" s="5"/>
      <c r="F344" s="5"/>
      <c r="G344" s="5"/>
      <c r="J344" s="5"/>
      <c r="M344" s="5"/>
      <c r="N344" s="5"/>
      <c r="P344" s="5"/>
    </row>
    <row r="345" spans="2:16" ht="13">
      <c r="B345" s="36"/>
      <c r="C345" s="46"/>
      <c r="D345" s="5"/>
      <c r="E345" s="5"/>
      <c r="F345" s="5"/>
      <c r="G345" s="5"/>
      <c r="J345" s="5"/>
      <c r="M345" s="5"/>
      <c r="N345" s="5"/>
      <c r="P345" s="5"/>
    </row>
    <row r="346" spans="2:16" ht="13">
      <c r="B346" s="36"/>
      <c r="C346" s="46"/>
      <c r="D346" s="5"/>
      <c r="E346" s="5"/>
      <c r="F346" s="5"/>
      <c r="G346" s="5"/>
      <c r="J346" s="5"/>
      <c r="M346" s="5"/>
      <c r="N346" s="5"/>
      <c r="P346" s="5"/>
    </row>
    <row r="347" spans="2:16" ht="13">
      <c r="B347" s="36"/>
      <c r="C347" s="46"/>
      <c r="D347" s="5"/>
      <c r="E347" s="5"/>
      <c r="F347" s="5"/>
      <c r="G347" s="5"/>
      <c r="J347" s="5"/>
      <c r="M347" s="5"/>
      <c r="N347" s="5"/>
      <c r="P347" s="5"/>
    </row>
    <row r="348" spans="2:16" ht="13">
      <c r="B348" s="36"/>
      <c r="C348" s="46"/>
      <c r="D348" s="5"/>
      <c r="E348" s="5"/>
      <c r="F348" s="5"/>
      <c r="G348" s="5"/>
      <c r="J348" s="5"/>
      <c r="M348" s="5"/>
      <c r="N348" s="5"/>
      <c r="P348" s="5"/>
    </row>
    <row r="349" spans="2:16" ht="13">
      <c r="B349" s="36"/>
      <c r="C349" s="46"/>
      <c r="D349" s="5"/>
      <c r="E349" s="5"/>
      <c r="F349" s="5"/>
      <c r="G349" s="5"/>
      <c r="J349" s="5"/>
      <c r="M349" s="5"/>
      <c r="N349" s="5"/>
      <c r="P349" s="5"/>
    </row>
    <row r="350" spans="2:16" ht="13">
      <c r="B350" s="36"/>
      <c r="C350" s="46"/>
      <c r="D350" s="5"/>
      <c r="E350" s="5"/>
      <c r="F350" s="5"/>
      <c r="G350" s="5"/>
      <c r="J350" s="5"/>
      <c r="M350" s="5"/>
      <c r="N350" s="5"/>
      <c r="P350" s="5"/>
    </row>
    <row r="351" spans="2:16" ht="13">
      <c r="B351" s="36"/>
      <c r="C351" s="46"/>
      <c r="D351" s="5"/>
      <c r="E351" s="5"/>
      <c r="F351" s="5"/>
      <c r="G351" s="5"/>
      <c r="J351" s="5"/>
      <c r="M351" s="5"/>
      <c r="N351" s="5"/>
      <c r="P351" s="5"/>
    </row>
    <row r="352" spans="2:16" ht="13">
      <c r="B352" s="36"/>
      <c r="C352" s="46"/>
      <c r="D352" s="5"/>
      <c r="E352" s="5"/>
      <c r="F352" s="5"/>
      <c r="G352" s="5"/>
      <c r="J352" s="5"/>
      <c r="M352" s="5"/>
      <c r="N352" s="5"/>
      <c r="P352" s="5"/>
    </row>
    <row r="353" spans="2:16" ht="13">
      <c r="B353" s="36"/>
      <c r="C353" s="46"/>
      <c r="D353" s="5"/>
      <c r="E353" s="5"/>
      <c r="F353" s="5"/>
      <c r="G353" s="5"/>
      <c r="J353" s="5"/>
      <c r="M353" s="5"/>
      <c r="N353" s="5"/>
      <c r="P353" s="5"/>
    </row>
    <row r="354" spans="2:16" ht="13">
      <c r="B354" s="36"/>
      <c r="C354" s="46"/>
      <c r="D354" s="5"/>
      <c r="E354" s="5"/>
      <c r="F354" s="5"/>
      <c r="G354" s="5"/>
      <c r="J354" s="5"/>
      <c r="M354" s="5"/>
      <c r="N354" s="5"/>
      <c r="P354" s="5"/>
    </row>
    <row r="355" spans="2:16" ht="13">
      <c r="B355" s="36"/>
      <c r="C355" s="46"/>
      <c r="D355" s="5"/>
      <c r="E355" s="5"/>
      <c r="F355" s="5"/>
      <c r="G355" s="5"/>
      <c r="J355" s="5"/>
      <c r="M355" s="5"/>
      <c r="N355" s="5"/>
      <c r="P355" s="5"/>
    </row>
    <row r="356" spans="2:16" ht="13">
      <c r="B356" s="36"/>
      <c r="C356" s="46"/>
      <c r="D356" s="5"/>
      <c r="E356" s="5"/>
      <c r="F356" s="5"/>
      <c r="G356" s="5"/>
      <c r="J356" s="5"/>
      <c r="M356" s="5"/>
      <c r="N356" s="5"/>
      <c r="P356" s="5"/>
    </row>
    <row r="357" spans="2:16" ht="13">
      <c r="B357" s="36"/>
      <c r="C357" s="46"/>
      <c r="D357" s="5"/>
      <c r="E357" s="5"/>
      <c r="F357" s="5"/>
      <c r="G357" s="5"/>
      <c r="J357" s="5"/>
      <c r="M357" s="5"/>
      <c r="N357" s="5"/>
      <c r="P357" s="5"/>
    </row>
    <row r="358" spans="2:16" ht="13">
      <c r="B358" s="36"/>
      <c r="C358" s="46"/>
      <c r="D358" s="5"/>
      <c r="E358" s="5"/>
      <c r="F358" s="5"/>
      <c r="G358" s="5"/>
      <c r="J358" s="5"/>
      <c r="M358" s="5"/>
      <c r="N358" s="5"/>
      <c r="P358" s="5"/>
    </row>
    <row r="359" spans="2:16" ht="13">
      <c r="B359" s="36"/>
      <c r="C359" s="46"/>
      <c r="D359" s="5"/>
      <c r="E359" s="5"/>
      <c r="F359" s="5"/>
      <c r="G359" s="5"/>
      <c r="J359" s="5"/>
      <c r="M359" s="5"/>
      <c r="N359" s="5"/>
      <c r="P359" s="5"/>
    </row>
    <row r="360" spans="2:16" ht="13">
      <c r="B360" s="36"/>
      <c r="C360" s="46"/>
      <c r="D360" s="5"/>
      <c r="E360" s="5"/>
      <c r="F360" s="5"/>
      <c r="G360" s="5"/>
      <c r="J360" s="5"/>
      <c r="M360" s="5"/>
      <c r="N360" s="5"/>
      <c r="P360" s="5"/>
    </row>
    <row r="361" spans="2:16" ht="13">
      <c r="B361" s="36"/>
      <c r="C361" s="46"/>
      <c r="D361" s="5"/>
      <c r="E361" s="5"/>
      <c r="F361" s="5"/>
      <c r="G361" s="5"/>
      <c r="J361" s="5"/>
      <c r="M361" s="5"/>
      <c r="N361" s="5"/>
      <c r="P361" s="5"/>
    </row>
    <row r="362" spans="2:16" ht="13">
      <c r="B362" s="36"/>
      <c r="C362" s="46"/>
      <c r="D362" s="5"/>
      <c r="E362" s="5"/>
      <c r="F362" s="5"/>
      <c r="G362" s="5"/>
      <c r="J362" s="5"/>
      <c r="M362" s="5"/>
      <c r="N362" s="5"/>
      <c r="P362" s="5"/>
    </row>
    <row r="363" spans="2:16" ht="13">
      <c r="B363" s="36"/>
      <c r="C363" s="46"/>
      <c r="D363" s="5"/>
      <c r="E363" s="5"/>
      <c r="F363" s="5"/>
      <c r="G363" s="5"/>
      <c r="J363" s="5"/>
      <c r="M363" s="5"/>
      <c r="N363" s="5"/>
      <c r="P363" s="5"/>
    </row>
    <row r="364" spans="2:16" ht="13">
      <c r="B364" s="36"/>
      <c r="C364" s="46"/>
      <c r="D364" s="5"/>
      <c r="E364" s="5"/>
      <c r="F364" s="5"/>
      <c r="G364" s="5"/>
      <c r="J364" s="5"/>
      <c r="M364" s="5"/>
      <c r="N364" s="5"/>
      <c r="P364" s="5"/>
    </row>
    <row r="365" spans="2:16" ht="13">
      <c r="B365" s="36"/>
      <c r="C365" s="46"/>
      <c r="D365" s="5"/>
      <c r="E365" s="5"/>
      <c r="F365" s="5"/>
      <c r="G365" s="5"/>
      <c r="J365" s="5"/>
      <c r="M365" s="5"/>
      <c r="N365" s="5"/>
      <c r="P365" s="5"/>
    </row>
    <row r="366" spans="2:16" ht="13">
      <c r="B366" s="36"/>
      <c r="C366" s="46"/>
      <c r="D366" s="5"/>
      <c r="E366" s="5"/>
      <c r="F366" s="5"/>
      <c r="G366" s="5"/>
      <c r="J366" s="5"/>
      <c r="M366" s="5"/>
      <c r="N366" s="5"/>
      <c r="P366" s="5"/>
    </row>
    <row r="367" spans="2:16" ht="13">
      <c r="B367" s="36"/>
      <c r="C367" s="46"/>
      <c r="D367" s="5"/>
      <c r="E367" s="5"/>
      <c r="F367" s="5"/>
      <c r="G367" s="5"/>
      <c r="J367" s="5"/>
      <c r="M367" s="5"/>
      <c r="N367" s="5"/>
      <c r="P367" s="5"/>
    </row>
    <row r="368" spans="2:16" ht="13">
      <c r="B368" s="36"/>
      <c r="C368" s="46"/>
      <c r="D368" s="5"/>
      <c r="E368" s="5"/>
      <c r="F368" s="5"/>
      <c r="G368" s="5"/>
      <c r="J368" s="5"/>
      <c r="M368" s="5"/>
      <c r="N368" s="5"/>
      <c r="P368" s="5"/>
    </row>
    <row r="369" spans="2:16" ht="13">
      <c r="B369" s="36"/>
      <c r="C369" s="46"/>
      <c r="D369" s="5"/>
      <c r="E369" s="5"/>
      <c r="F369" s="5"/>
      <c r="G369" s="5"/>
      <c r="J369" s="5"/>
      <c r="M369" s="5"/>
      <c r="N369" s="5"/>
      <c r="P369" s="5"/>
    </row>
    <row r="370" spans="2:16" ht="13">
      <c r="B370" s="36"/>
      <c r="C370" s="46"/>
      <c r="D370" s="5"/>
      <c r="E370" s="5"/>
      <c r="F370" s="5"/>
      <c r="G370" s="5"/>
      <c r="J370" s="5"/>
      <c r="M370" s="5"/>
      <c r="N370" s="5"/>
      <c r="P370" s="5"/>
    </row>
    <row r="371" spans="2:16" ht="13">
      <c r="B371" s="36"/>
      <c r="C371" s="46"/>
      <c r="D371" s="5"/>
      <c r="E371" s="5"/>
      <c r="F371" s="5"/>
      <c r="G371" s="5"/>
      <c r="J371" s="5"/>
      <c r="M371" s="5"/>
      <c r="N371" s="5"/>
      <c r="P371" s="5"/>
    </row>
    <row r="372" spans="2:16" ht="13">
      <c r="B372" s="36"/>
      <c r="C372" s="46"/>
      <c r="D372" s="5"/>
      <c r="E372" s="5"/>
      <c r="F372" s="5"/>
      <c r="G372" s="5"/>
      <c r="J372" s="5"/>
      <c r="M372" s="5"/>
      <c r="N372" s="5"/>
      <c r="P372" s="5"/>
    </row>
    <row r="373" spans="2:16" ht="13">
      <c r="B373" s="36"/>
      <c r="C373" s="46"/>
      <c r="D373" s="5"/>
      <c r="E373" s="5"/>
      <c r="F373" s="5"/>
      <c r="G373" s="5"/>
      <c r="J373" s="5"/>
      <c r="M373" s="5"/>
      <c r="N373" s="5"/>
      <c r="P373" s="5"/>
    </row>
    <row r="374" spans="2:16" ht="13">
      <c r="B374" s="36"/>
      <c r="C374" s="46"/>
      <c r="D374" s="5"/>
      <c r="E374" s="5"/>
      <c r="F374" s="5"/>
      <c r="G374" s="5"/>
      <c r="J374" s="5"/>
      <c r="M374" s="5"/>
      <c r="N374" s="5"/>
      <c r="P374" s="5"/>
    </row>
    <row r="375" spans="2:16" ht="13">
      <c r="B375" s="36"/>
      <c r="C375" s="46"/>
      <c r="D375" s="5"/>
      <c r="E375" s="5"/>
      <c r="F375" s="5"/>
      <c r="G375" s="5"/>
      <c r="J375" s="5"/>
      <c r="M375" s="5"/>
      <c r="N375" s="5"/>
      <c r="P375" s="5"/>
    </row>
    <row r="376" spans="2:16" ht="13">
      <c r="B376" s="36"/>
      <c r="C376" s="46"/>
      <c r="D376" s="5"/>
      <c r="E376" s="5"/>
      <c r="F376" s="5"/>
      <c r="G376" s="5"/>
      <c r="J376" s="5"/>
      <c r="M376" s="5"/>
      <c r="N376" s="5"/>
      <c r="P376" s="5"/>
    </row>
    <row r="377" spans="2:16" ht="13">
      <c r="B377" s="36"/>
      <c r="C377" s="46"/>
      <c r="D377" s="5"/>
      <c r="E377" s="5"/>
      <c r="F377" s="5"/>
      <c r="G377" s="5"/>
      <c r="J377" s="5"/>
      <c r="M377" s="5"/>
      <c r="N377" s="5"/>
      <c r="P377" s="5"/>
    </row>
    <row r="378" spans="2:16" ht="13">
      <c r="B378" s="36"/>
      <c r="C378" s="46"/>
      <c r="D378" s="5"/>
      <c r="E378" s="5"/>
      <c r="F378" s="5"/>
      <c r="G378" s="5"/>
      <c r="J378" s="5"/>
      <c r="M378" s="5"/>
      <c r="N378" s="5"/>
      <c r="P378" s="5"/>
    </row>
    <row r="379" spans="2:16" ht="13">
      <c r="B379" s="36"/>
      <c r="C379" s="46"/>
      <c r="D379" s="5"/>
      <c r="E379" s="5"/>
      <c r="F379" s="5"/>
      <c r="G379" s="5"/>
      <c r="J379" s="5"/>
      <c r="M379" s="5"/>
      <c r="N379" s="5"/>
      <c r="P379" s="5"/>
    </row>
    <row r="380" spans="2:16" ht="13">
      <c r="B380" s="36"/>
      <c r="C380" s="46"/>
      <c r="D380" s="5"/>
      <c r="E380" s="5"/>
      <c r="F380" s="5"/>
      <c r="G380" s="5"/>
      <c r="J380" s="5"/>
      <c r="M380" s="5"/>
      <c r="N380" s="5"/>
      <c r="P380" s="5"/>
    </row>
    <row r="381" spans="2:16" ht="13">
      <c r="B381" s="36"/>
      <c r="C381" s="46"/>
      <c r="D381" s="5"/>
      <c r="E381" s="5"/>
      <c r="F381" s="5"/>
      <c r="G381" s="5"/>
      <c r="J381" s="5"/>
      <c r="M381" s="5"/>
      <c r="N381" s="5"/>
      <c r="P381" s="5"/>
    </row>
    <row r="382" spans="2:16" ht="13">
      <c r="B382" s="36"/>
      <c r="C382" s="46"/>
      <c r="D382" s="5"/>
      <c r="E382" s="5"/>
      <c r="F382" s="5"/>
      <c r="G382" s="5"/>
      <c r="J382" s="5"/>
      <c r="M382" s="5"/>
      <c r="N382" s="5"/>
      <c r="P382" s="5"/>
    </row>
    <row r="383" spans="2:16" ht="13">
      <c r="B383" s="36"/>
      <c r="C383" s="46"/>
      <c r="D383" s="5"/>
      <c r="E383" s="5"/>
      <c r="F383" s="5"/>
      <c r="G383" s="5"/>
      <c r="J383" s="5"/>
      <c r="M383" s="5"/>
      <c r="N383" s="5"/>
      <c r="P383" s="5"/>
    </row>
    <row r="384" spans="2:16" ht="13">
      <c r="B384" s="36"/>
      <c r="C384" s="46"/>
      <c r="D384" s="5"/>
      <c r="E384" s="5"/>
      <c r="F384" s="5"/>
      <c r="G384" s="5"/>
      <c r="J384" s="5"/>
      <c r="M384" s="5"/>
      <c r="N384" s="5"/>
      <c r="P384" s="5"/>
    </row>
    <row r="385" spans="2:16" ht="13">
      <c r="B385" s="36"/>
      <c r="C385" s="46"/>
      <c r="D385" s="5"/>
      <c r="E385" s="5"/>
      <c r="F385" s="5"/>
      <c r="G385" s="5"/>
      <c r="J385" s="5"/>
      <c r="M385" s="5"/>
      <c r="N385" s="5"/>
      <c r="P385" s="5"/>
    </row>
    <row r="386" spans="2:16" ht="13">
      <c r="B386" s="36"/>
      <c r="C386" s="46"/>
      <c r="D386" s="5"/>
      <c r="E386" s="5"/>
      <c r="F386" s="5"/>
      <c r="G386" s="5"/>
      <c r="J386" s="5"/>
      <c r="M386" s="5"/>
      <c r="N386" s="5"/>
      <c r="P386" s="5"/>
    </row>
    <row r="387" spans="2:16" ht="13">
      <c r="B387" s="36"/>
      <c r="C387" s="46"/>
      <c r="D387" s="5"/>
      <c r="E387" s="5"/>
      <c r="F387" s="5"/>
      <c r="G387" s="5"/>
      <c r="J387" s="5"/>
      <c r="M387" s="5"/>
      <c r="N387" s="5"/>
      <c r="P387" s="5"/>
    </row>
    <row r="388" spans="2:16" ht="13">
      <c r="B388" s="36"/>
      <c r="C388" s="46"/>
      <c r="D388" s="5"/>
      <c r="E388" s="5"/>
      <c r="F388" s="5"/>
      <c r="G388" s="5"/>
      <c r="J388" s="5"/>
      <c r="M388" s="5"/>
      <c r="N388" s="5"/>
      <c r="P388" s="5"/>
    </row>
    <row r="389" spans="2:16" ht="13">
      <c r="B389" s="36"/>
      <c r="C389" s="46"/>
      <c r="D389" s="5"/>
      <c r="E389" s="5"/>
      <c r="F389" s="5"/>
      <c r="G389" s="5"/>
      <c r="J389" s="5"/>
      <c r="M389" s="5"/>
      <c r="N389" s="5"/>
      <c r="P389" s="5"/>
    </row>
    <row r="390" spans="2:16" ht="13">
      <c r="B390" s="36"/>
      <c r="C390" s="46"/>
      <c r="D390" s="5"/>
      <c r="E390" s="5"/>
      <c r="F390" s="5"/>
      <c r="G390" s="5"/>
      <c r="J390" s="5"/>
      <c r="M390" s="5"/>
      <c r="N390" s="5"/>
      <c r="P390" s="5"/>
    </row>
    <row r="391" spans="2:16" ht="13">
      <c r="B391" s="36"/>
      <c r="C391" s="46"/>
      <c r="D391" s="5"/>
      <c r="E391" s="5"/>
      <c r="F391" s="5"/>
      <c r="G391" s="5"/>
      <c r="J391" s="5"/>
      <c r="M391" s="5"/>
      <c r="N391" s="5"/>
      <c r="P391" s="5"/>
    </row>
    <row r="392" spans="2:16" ht="13">
      <c r="B392" s="36"/>
      <c r="C392" s="46"/>
      <c r="D392" s="5"/>
      <c r="E392" s="5"/>
      <c r="F392" s="5"/>
      <c r="G392" s="5"/>
      <c r="J392" s="5"/>
      <c r="M392" s="5"/>
      <c r="N392" s="5"/>
      <c r="P392" s="5"/>
    </row>
    <row r="393" spans="2:16" ht="13">
      <c r="B393" s="36"/>
      <c r="C393" s="46"/>
      <c r="D393" s="5"/>
      <c r="E393" s="5"/>
      <c r="F393" s="5"/>
      <c r="G393" s="5"/>
      <c r="J393" s="5"/>
      <c r="M393" s="5"/>
      <c r="N393" s="5"/>
      <c r="P393" s="5"/>
    </row>
    <row r="394" spans="2:16" ht="13">
      <c r="B394" s="36"/>
      <c r="C394" s="46"/>
      <c r="D394" s="5"/>
      <c r="E394" s="5"/>
      <c r="F394" s="5"/>
      <c r="G394" s="5"/>
      <c r="J394" s="5"/>
      <c r="M394" s="5"/>
      <c r="N394" s="5"/>
      <c r="P394" s="5"/>
    </row>
    <row r="395" spans="2:16" ht="13">
      <c r="B395" s="36"/>
      <c r="C395" s="46"/>
      <c r="D395" s="5"/>
      <c r="E395" s="5"/>
      <c r="F395" s="5"/>
      <c r="G395" s="5"/>
      <c r="J395" s="5"/>
      <c r="M395" s="5"/>
      <c r="N395" s="5"/>
      <c r="P395" s="5"/>
    </row>
    <row r="396" spans="2:16" ht="13">
      <c r="B396" s="36"/>
      <c r="C396" s="46"/>
      <c r="D396" s="5"/>
      <c r="E396" s="5"/>
      <c r="F396" s="5"/>
      <c r="G396" s="5"/>
      <c r="J396" s="5"/>
      <c r="M396" s="5"/>
      <c r="N396" s="5"/>
      <c r="P396" s="5"/>
    </row>
    <row r="397" spans="2:16" ht="13">
      <c r="B397" s="36"/>
      <c r="C397" s="46"/>
      <c r="D397" s="5"/>
      <c r="E397" s="5"/>
      <c r="F397" s="5"/>
      <c r="G397" s="5"/>
      <c r="J397" s="5"/>
      <c r="M397" s="5"/>
      <c r="N397" s="5"/>
      <c r="P397" s="5"/>
    </row>
    <row r="398" spans="2:16" ht="13">
      <c r="B398" s="36"/>
      <c r="C398" s="46"/>
      <c r="D398" s="5"/>
      <c r="E398" s="5"/>
      <c r="F398" s="5"/>
      <c r="G398" s="5"/>
      <c r="J398" s="5"/>
      <c r="M398" s="5"/>
      <c r="N398" s="5"/>
      <c r="P398" s="5"/>
    </row>
    <row r="399" spans="2:16" ht="13">
      <c r="B399" s="36"/>
      <c r="C399" s="46"/>
      <c r="D399" s="5"/>
      <c r="E399" s="5"/>
      <c r="F399" s="5"/>
      <c r="G399" s="5"/>
      <c r="J399" s="5"/>
      <c r="M399" s="5"/>
      <c r="N399" s="5"/>
      <c r="P399" s="5"/>
    </row>
    <row r="400" spans="2:16" ht="13">
      <c r="B400" s="36"/>
      <c r="C400" s="46"/>
      <c r="D400" s="5"/>
      <c r="E400" s="5"/>
      <c r="F400" s="5"/>
      <c r="G400" s="5"/>
      <c r="J400" s="5"/>
      <c r="M400" s="5"/>
      <c r="N400" s="5"/>
      <c r="P400" s="5"/>
    </row>
    <row r="401" spans="2:16" ht="13">
      <c r="B401" s="36"/>
      <c r="C401" s="46"/>
      <c r="D401" s="5"/>
      <c r="E401" s="5"/>
      <c r="F401" s="5"/>
      <c r="G401" s="5"/>
      <c r="J401" s="5"/>
      <c r="M401" s="5"/>
      <c r="N401" s="5"/>
      <c r="P401" s="5"/>
    </row>
    <row r="402" spans="2:16" ht="13">
      <c r="B402" s="36"/>
      <c r="C402" s="46"/>
      <c r="D402" s="5"/>
      <c r="E402" s="5"/>
      <c r="F402" s="5"/>
      <c r="G402" s="5"/>
      <c r="J402" s="5"/>
      <c r="M402" s="5"/>
      <c r="N402" s="5"/>
      <c r="P402" s="5"/>
    </row>
    <row r="403" spans="2:16" ht="13">
      <c r="B403" s="36"/>
      <c r="C403" s="46"/>
      <c r="D403" s="5"/>
      <c r="E403" s="5"/>
      <c r="F403" s="5"/>
      <c r="G403" s="5"/>
      <c r="J403" s="5"/>
      <c r="M403" s="5"/>
      <c r="N403" s="5"/>
      <c r="P403" s="5"/>
    </row>
    <row r="404" spans="2:16" ht="13">
      <c r="B404" s="36"/>
      <c r="C404" s="46"/>
      <c r="D404" s="5"/>
      <c r="E404" s="5"/>
      <c r="F404" s="5"/>
      <c r="G404" s="5"/>
      <c r="J404" s="5"/>
      <c r="M404" s="5"/>
      <c r="N404" s="5"/>
      <c r="P404" s="5"/>
    </row>
    <row r="405" spans="2:16" ht="13">
      <c r="B405" s="36"/>
      <c r="C405" s="46"/>
      <c r="D405" s="5"/>
      <c r="E405" s="5"/>
      <c r="F405" s="5"/>
      <c r="G405" s="5"/>
      <c r="J405" s="5"/>
      <c r="M405" s="5"/>
      <c r="N405" s="5"/>
      <c r="P405" s="5"/>
    </row>
    <row r="406" spans="2:16" ht="13">
      <c r="B406" s="36"/>
      <c r="C406" s="46"/>
      <c r="D406" s="5"/>
      <c r="E406" s="5"/>
      <c r="F406" s="5"/>
      <c r="G406" s="5"/>
      <c r="J406" s="5"/>
      <c r="M406" s="5"/>
      <c r="N406" s="5"/>
      <c r="P406" s="5"/>
    </row>
    <row r="407" spans="2:16" ht="13">
      <c r="B407" s="36"/>
      <c r="C407" s="46"/>
      <c r="D407" s="5"/>
      <c r="E407" s="5"/>
      <c r="F407" s="5"/>
      <c r="G407" s="5"/>
      <c r="J407" s="5"/>
      <c r="M407" s="5"/>
      <c r="N407" s="5"/>
      <c r="P407" s="5"/>
    </row>
    <row r="408" spans="2:16" ht="13">
      <c r="B408" s="36"/>
      <c r="C408" s="46"/>
      <c r="D408" s="5"/>
      <c r="E408" s="5"/>
      <c r="F408" s="5"/>
      <c r="G408" s="5"/>
      <c r="J408" s="5"/>
      <c r="M408" s="5"/>
      <c r="N408" s="5"/>
      <c r="P408" s="5"/>
    </row>
    <row r="409" spans="2:16" ht="13">
      <c r="B409" s="36"/>
      <c r="C409" s="46"/>
      <c r="D409" s="5"/>
      <c r="E409" s="5"/>
      <c r="F409" s="5"/>
      <c r="G409" s="5"/>
      <c r="J409" s="5"/>
      <c r="M409" s="5"/>
      <c r="N409" s="5"/>
      <c r="P409" s="5"/>
    </row>
    <row r="410" spans="2:16" ht="13">
      <c r="B410" s="36"/>
      <c r="C410" s="46"/>
      <c r="D410" s="5"/>
      <c r="E410" s="5"/>
      <c r="F410" s="5"/>
      <c r="G410" s="5"/>
      <c r="J410" s="5"/>
      <c r="M410" s="5"/>
      <c r="N410" s="5"/>
      <c r="P410" s="5"/>
    </row>
    <row r="411" spans="2:16" ht="13">
      <c r="B411" s="36"/>
      <c r="C411" s="46"/>
      <c r="D411" s="5"/>
      <c r="E411" s="5"/>
      <c r="F411" s="5"/>
      <c r="G411" s="5"/>
      <c r="J411" s="5"/>
      <c r="M411" s="5"/>
      <c r="N411" s="5"/>
      <c r="P411" s="5"/>
    </row>
    <row r="412" spans="2:16" ht="13">
      <c r="B412" s="36"/>
      <c r="C412" s="46"/>
      <c r="D412" s="5"/>
      <c r="E412" s="5"/>
      <c r="F412" s="5"/>
      <c r="G412" s="5"/>
      <c r="J412" s="5"/>
      <c r="M412" s="5"/>
      <c r="N412" s="5"/>
      <c r="P412" s="5"/>
    </row>
    <row r="413" spans="2:16" ht="13">
      <c r="B413" s="36"/>
      <c r="C413" s="46"/>
      <c r="D413" s="5"/>
      <c r="E413" s="5"/>
      <c r="F413" s="5"/>
      <c r="G413" s="5"/>
      <c r="J413" s="5"/>
      <c r="M413" s="5"/>
      <c r="N413" s="5"/>
      <c r="P413" s="5"/>
    </row>
    <row r="414" spans="2:16" ht="13">
      <c r="B414" s="36"/>
      <c r="C414" s="46"/>
      <c r="D414" s="5"/>
      <c r="E414" s="5"/>
      <c r="F414" s="5"/>
      <c r="G414" s="5"/>
      <c r="J414" s="5"/>
      <c r="M414" s="5"/>
      <c r="N414" s="5"/>
      <c r="P414" s="5"/>
    </row>
    <row r="415" spans="2:16" ht="13">
      <c r="B415" s="36"/>
      <c r="C415" s="46"/>
      <c r="D415" s="5"/>
      <c r="E415" s="5"/>
      <c r="F415" s="5"/>
      <c r="G415" s="5"/>
      <c r="J415" s="5"/>
      <c r="M415" s="5"/>
      <c r="N415" s="5"/>
      <c r="P415" s="5"/>
    </row>
    <row r="416" spans="2:16" ht="13">
      <c r="B416" s="36"/>
      <c r="C416" s="46"/>
      <c r="D416" s="5"/>
      <c r="E416" s="5"/>
      <c r="F416" s="5"/>
      <c r="G416" s="5"/>
      <c r="J416" s="5"/>
      <c r="M416" s="5"/>
      <c r="N416" s="5"/>
      <c r="P416" s="5"/>
    </row>
    <row r="417" spans="2:16" ht="13">
      <c r="B417" s="36"/>
      <c r="C417" s="46"/>
      <c r="D417" s="5"/>
      <c r="E417" s="5"/>
      <c r="F417" s="5"/>
      <c r="G417" s="5"/>
      <c r="J417" s="5"/>
      <c r="M417" s="5"/>
      <c r="N417" s="5"/>
      <c r="P417" s="5"/>
    </row>
    <row r="418" spans="2:16" ht="13">
      <c r="B418" s="36"/>
      <c r="C418" s="46"/>
      <c r="D418" s="5"/>
      <c r="E418" s="5"/>
      <c r="F418" s="5"/>
      <c r="G418" s="5"/>
      <c r="J418" s="5"/>
      <c r="M418" s="5"/>
      <c r="N418" s="5"/>
      <c r="P418" s="5"/>
    </row>
    <row r="419" spans="2:16" ht="13">
      <c r="B419" s="36"/>
      <c r="C419" s="46"/>
      <c r="D419" s="5"/>
      <c r="E419" s="5"/>
      <c r="F419" s="5"/>
      <c r="G419" s="5"/>
      <c r="J419" s="5"/>
      <c r="M419" s="5"/>
      <c r="N419" s="5"/>
      <c r="P419" s="5"/>
    </row>
    <row r="420" spans="2:16" ht="13">
      <c r="B420" s="36"/>
      <c r="C420" s="46"/>
      <c r="D420" s="5"/>
      <c r="E420" s="5"/>
      <c r="F420" s="5"/>
      <c r="G420" s="5"/>
      <c r="J420" s="5"/>
      <c r="M420" s="5"/>
      <c r="N420" s="5"/>
      <c r="P420" s="5"/>
    </row>
    <row r="421" spans="2:16" ht="13">
      <c r="B421" s="36"/>
      <c r="C421" s="46"/>
      <c r="D421" s="5"/>
      <c r="E421" s="5"/>
      <c r="F421" s="5"/>
      <c r="G421" s="5"/>
      <c r="J421" s="5"/>
      <c r="M421" s="5"/>
      <c r="N421" s="5"/>
      <c r="P421" s="5"/>
    </row>
    <row r="422" spans="2:16" ht="13">
      <c r="B422" s="36"/>
      <c r="C422" s="46"/>
      <c r="D422" s="5"/>
      <c r="E422" s="5"/>
      <c r="F422" s="5"/>
      <c r="G422" s="5"/>
      <c r="J422" s="5"/>
      <c r="M422" s="5"/>
      <c r="N422" s="5"/>
      <c r="P422" s="5"/>
    </row>
    <row r="423" spans="2:16" ht="13">
      <c r="B423" s="36"/>
      <c r="C423" s="46"/>
      <c r="D423" s="5"/>
      <c r="E423" s="5"/>
      <c r="F423" s="5"/>
      <c r="G423" s="5"/>
      <c r="J423" s="5"/>
      <c r="M423" s="5"/>
      <c r="N423" s="5"/>
      <c r="P423" s="5"/>
    </row>
    <row r="424" spans="2:16" ht="13">
      <c r="B424" s="36"/>
      <c r="C424" s="46"/>
      <c r="D424" s="5"/>
      <c r="E424" s="5"/>
      <c r="F424" s="5"/>
      <c r="G424" s="5"/>
      <c r="J424" s="5"/>
      <c r="M424" s="5"/>
      <c r="N424" s="5"/>
      <c r="P424" s="5"/>
    </row>
    <row r="425" spans="2:16" ht="13">
      <c r="B425" s="36"/>
      <c r="C425" s="46"/>
      <c r="D425" s="5"/>
      <c r="E425" s="5"/>
      <c r="F425" s="5"/>
      <c r="G425" s="5"/>
      <c r="J425" s="5"/>
      <c r="M425" s="5"/>
      <c r="N425" s="5"/>
      <c r="P425" s="5"/>
    </row>
    <row r="426" spans="2:16" ht="13">
      <c r="B426" s="36"/>
      <c r="C426" s="46"/>
      <c r="D426" s="5"/>
      <c r="E426" s="5"/>
      <c r="F426" s="5"/>
      <c r="G426" s="5"/>
      <c r="J426" s="5"/>
      <c r="M426" s="5"/>
      <c r="N426" s="5"/>
      <c r="P426" s="5"/>
    </row>
    <row r="427" spans="2:16" ht="13">
      <c r="B427" s="36"/>
      <c r="C427" s="46"/>
      <c r="D427" s="5"/>
      <c r="E427" s="5"/>
      <c r="F427" s="5"/>
      <c r="G427" s="5"/>
      <c r="J427" s="5"/>
      <c r="M427" s="5"/>
      <c r="N427" s="5"/>
      <c r="P427" s="5"/>
    </row>
    <row r="428" spans="2:16" ht="13">
      <c r="B428" s="36"/>
      <c r="C428" s="46"/>
      <c r="D428" s="5"/>
      <c r="E428" s="5"/>
      <c r="F428" s="5"/>
      <c r="G428" s="5"/>
      <c r="J428" s="5"/>
      <c r="M428" s="5"/>
      <c r="N428" s="5"/>
      <c r="P428" s="5"/>
    </row>
    <row r="429" spans="2:16" ht="13">
      <c r="B429" s="36"/>
      <c r="C429" s="46"/>
      <c r="D429" s="5"/>
      <c r="E429" s="5"/>
      <c r="F429" s="5"/>
      <c r="G429" s="5"/>
      <c r="J429" s="5"/>
      <c r="M429" s="5"/>
      <c r="N429" s="5"/>
      <c r="P429" s="5"/>
    </row>
    <row r="430" spans="2:16" ht="13">
      <c r="B430" s="36"/>
      <c r="C430" s="46"/>
      <c r="D430" s="5"/>
      <c r="E430" s="5"/>
      <c r="F430" s="5"/>
      <c r="G430" s="5"/>
      <c r="J430" s="5"/>
      <c r="M430" s="5"/>
      <c r="N430" s="5"/>
      <c r="P430" s="5"/>
    </row>
    <row r="431" spans="2:16" ht="13">
      <c r="B431" s="36"/>
      <c r="C431" s="46"/>
      <c r="D431" s="5"/>
      <c r="E431" s="5"/>
      <c r="F431" s="5"/>
      <c r="G431" s="5"/>
      <c r="J431" s="5"/>
      <c r="M431" s="5"/>
      <c r="N431" s="5"/>
      <c r="P431" s="5"/>
    </row>
    <row r="432" spans="2:16" ht="13">
      <c r="B432" s="36"/>
      <c r="C432" s="46"/>
      <c r="D432" s="5"/>
      <c r="E432" s="5"/>
      <c r="F432" s="5"/>
      <c r="G432" s="5"/>
      <c r="J432" s="5"/>
      <c r="M432" s="5"/>
      <c r="N432" s="5"/>
      <c r="P432" s="5"/>
    </row>
    <row r="433" spans="2:16" ht="13">
      <c r="B433" s="36"/>
      <c r="C433" s="46"/>
      <c r="D433" s="5"/>
      <c r="E433" s="5"/>
      <c r="F433" s="5"/>
      <c r="G433" s="5"/>
      <c r="J433" s="5"/>
      <c r="M433" s="5"/>
      <c r="N433" s="5"/>
      <c r="P433" s="5"/>
    </row>
    <row r="434" spans="2:16" ht="13">
      <c r="B434" s="36"/>
      <c r="C434" s="46"/>
      <c r="D434" s="5"/>
      <c r="E434" s="5"/>
      <c r="F434" s="5"/>
      <c r="G434" s="5"/>
      <c r="J434" s="5"/>
      <c r="M434" s="5"/>
      <c r="N434" s="5"/>
      <c r="P434" s="5"/>
    </row>
    <row r="435" spans="2:16" ht="13">
      <c r="B435" s="36"/>
      <c r="C435" s="46"/>
      <c r="D435" s="5"/>
      <c r="E435" s="5"/>
      <c r="F435" s="5"/>
      <c r="G435" s="5"/>
      <c r="J435" s="5"/>
      <c r="M435" s="5"/>
      <c r="N435" s="5"/>
      <c r="P435" s="5"/>
    </row>
    <row r="436" spans="2:16" ht="13">
      <c r="B436" s="36"/>
      <c r="C436" s="46"/>
      <c r="D436" s="5"/>
      <c r="E436" s="5"/>
      <c r="F436" s="5"/>
      <c r="G436" s="5"/>
      <c r="J436" s="5"/>
      <c r="M436" s="5"/>
      <c r="N436" s="5"/>
      <c r="P436" s="5"/>
    </row>
    <row r="437" spans="2:16" ht="13">
      <c r="B437" s="36"/>
      <c r="C437" s="46"/>
      <c r="D437" s="5"/>
      <c r="E437" s="5"/>
      <c r="F437" s="5"/>
      <c r="G437" s="5"/>
      <c r="J437" s="5"/>
      <c r="M437" s="5"/>
      <c r="N437" s="5"/>
      <c r="P437" s="5"/>
    </row>
    <row r="438" spans="2:16" ht="13">
      <c r="B438" s="36"/>
      <c r="C438" s="46"/>
      <c r="D438" s="5"/>
      <c r="E438" s="5"/>
      <c r="F438" s="5"/>
      <c r="G438" s="5"/>
      <c r="J438" s="5"/>
      <c r="M438" s="5"/>
      <c r="N438" s="5"/>
      <c r="P438" s="5"/>
    </row>
    <row r="439" spans="2:16" ht="13">
      <c r="B439" s="36"/>
      <c r="C439" s="46"/>
      <c r="D439" s="5"/>
      <c r="E439" s="5"/>
      <c r="F439" s="5"/>
      <c r="G439" s="5"/>
      <c r="J439" s="5"/>
      <c r="M439" s="5"/>
      <c r="N439" s="5"/>
      <c r="P439" s="5"/>
    </row>
    <row r="440" spans="2:16" ht="13">
      <c r="B440" s="36"/>
      <c r="C440" s="46"/>
      <c r="D440" s="5"/>
      <c r="E440" s="5"/>
      <c r="F440" s="5"/>
      <c r="G440" s="5"/>
      <c r="J440" s="5"/>
      <c r="M440" s="5"/>
      <c r="N440" s="5"/>
      <c r="P440" s="5"/>
    </row>
    <row r="441" spans="2:16" ht="13">
      <c r="B441" s="36"/>
      <c r="C441" s="46"/>
      <c r="D441" s="5"/>
      <c r="E441" s="5"/>
      <c r="F441" s="5"/>
      <c r="G441" s="5"/>
      <c r="J441" s="5"/>
      <c r="M441" s="5"/>
      <c r="N441" s="5"/>
      <c r="P441" s="5"/>
    </row>
    <row r="442" spans="2:16" ht="13">
      <c r="B442" s="36"/>
      <c r="C442" s="46"/>
      <c r="D442" s="5"/>
      <c r="E442" s="5"/>
      <c r="F442" s="5"/>
      <c r="G442" s="5"/>
      <c r="J442" s="5"/>
      <c r="M442" s="5"/>
      <c r="N442" s="5"/>
      <c r="P442" s="5"/>
    </row>
    <row r="443" spans="2:16" ht="13">
      <c r="B443" s="36"/>
      <c r="C443" s="46"/>
      <c r="D443" s="5"/>
      <c r="E443" s="5"/>
      <c r="F443" s="5"/>
      <c r="G443" s="5"/>
      <c r="J443" s="5"/>
      <c r="M443" s="5"/>
      <c r="N443" s="5"/>
      <c r="P443" s="5"/>
    </row>
    <row r="444" spans="2:16" ht="13">
      <c r="B444" s="36"/>
      <c r="C444" s="46"/>
      <c r="D444" s="5"/>
      <c r="E444" s="5"/>
      <c r="F444" s="5"/>
      <c r="G444" s="5"/>
      <c r="J444" s="5"/>
      <c r="M444" s="5"/>
      <c r="N444" s="5"/>
      <c r="P444" s="5"/>
    </row>
    <row r="445" spans="2:16" ht="13">
      <c r="B445" s="36"/>
      <c r="C445" s="46"/>
      <c r="D445" s="5"/>
      <c r="E445" s="5"/>
      <c r="F445" s="5"/>
      <c r="G445" s="5"/>
      <c r="J445" s="5"/>
      <c r="M445" s="5"/>
      <c r="N445" s="5"/>
      <c r="P445" s="5"/>
    </row>
    <row r="446" spans="2:16" ht="13">
      <c r="B446" s="36"/>
      <c r="C446" s="46"/>
      <c r="D446" s="5"/>
      <c r="E446" s="5"/>
      <c r="F446" s="5"/>
      <c r="G446" s="5"/>
      <c r="J446" s="5"/>
      <c r="M446" s="5"/>
      <c r="N446" s="5"/>
      <c r="P446" s="5"/>
    </row>
    <row r="447" spans="2:16" ht="13">
      <c r="B447" s="36"/>
      <c r="C447" s="46"/>
      <c r="D447" s="5"/>
      <c r="E447" s="5"/>
      <c r="F447" s="5"/>
      <c r="G447" s="5"/>
      <c r="J447" s="5"/>
      <c r="M447" s="5"/>
      <c r="N447" s="5"/>
      <c r="P447" s="5"/>
    </row>
    <row r="448" spans="2:16" ht="13">
      <c r="B448" s="36"/>
      <c r="C448" s="46"/>
      <c r="D448" s="5"/>
      <c r="E448" s="5"/>
      <c r="F448" s="5"/>
      <c r="G448" s="5"/>
      <c r="J448" s="5"/>
      <c r="M448" s="5"/>
      <c r="N448" s="5"/>
      <c r="P448" s="5"/>
    </row>
    <row r="449" spans="2:16" ht="13">
      <c r="B449" s="36"/>
      <c r="C449" s="46"/>
      <c r="D449" s="5"/>
      <c r="E449" s="5"/>
      <c r="F449" s="5"/>
      <c r="G449" s="5"/>
      <c r="J449" s="5"/>
      <c r="M449" s="5"/>
      <c r="N449" s="5"/>
      <c r="P449" s="5"/>
    </row>
    <row r="450" spans="2:16" ht="13">
      <c r="B450" s="36"/>
      <c r="C450" s="46"/>
      <c r="D450" s="5"/>
      <c r="E450" s="5"/>
      <c r="F450" s="5"/>
      <c r="G450" s="5"/>
      <c r="J450" s="5"/>
      <c r="M450" s="5"/>
      <c r="N450" s="5"/>
      <c r="P450" s="5"/>
    </row>
    <row r="451" spans="2:16" ht="13">
      <c r="B451" s="36"/>
      <c r="C451" s="46"/>
      <c r="D451" s="5"/>
      <c r="E451" s="5"/>
      <c r="F451" s="5"/>
      <c r="G451" s="5"/>
      <c r="J451" s="5"/>
      <c r="M451" s="5"/>
      <c r="N451" s="5"/>
      <c r="P451" s="5"/>
    </row>
    <row r="452" spans="2:16" ht="13">
      <c r="B452" s="36"/>
      <c r="C452" s="46"/>
      <c r="D452" s="5"/>
      <c r="E452" s="5"/>
      <c r="F452" s="5"/>
      <c r="G452" s="5"/>
      <c r="J452" s="5"/>
      <c r="M452" s="5"/>
      <c r="N452" s="5"/>
      <c r="P452" s="5"/>
    </row>
    <row r="453" spans="2:16" ht="13">
      <c r="B453" s="36"/>
      <c r="C453" s="46"/>
      <c r="D453" s="5"/>
      <c r="E453" s="5"/>
      <c r="F453" s="5"/>
      <c r="G453" s="5"/>
      <c r="J453" s="5"/>
      <c r="M453" s="5"/>
      <c r="N453" s="5"/>
      <c r="P453" s="5"/>
    </row>
    <row r="454" spans="2:16" ht="13">
      <c r="B454" s="36"/>
      <c r="C454" s="46"/>
      <c r="D454" s="5"/>
      <c r="E454" s="5"/>
      <c r="F454" s="5"/>
      <c r="G454" s="5"/>
      <c r="J454" s="5"/>
      <c r="M454" s="5"/>
      <c r="N454" s="5"/>
      <c r="P454" s="5"/>
    </row>
    <row r="455" spans="2:16" ht="13">
      <c r="B455" s="36"/>
      <c r="C455" s="46"/>
      <c r="D455" s="5"/>
      <c r="E455" s="5"/>
      <c r="F455" s="5"/>
      <c r="G455" s="5"/>
      <c r="J455" s="5"/>
      <c r="M455" s="5"/>
      <c r="N455" s="5"/>
      <c r="P455" s="5"/>
    </row>
    <row r="456" spans="2:16" ht="13">
      <c r="B456" s="36"/>
      <c r="C456" s="46"/>
      <c r="D456" s="5"/>
      <c r="E456" s="5"/>
      <c r="F456" s="5"/>
      <c r="G456" s="5"/>
      <c r="J456" s="5"/>
      <c r="M456" s="5"/>
      <c r="N456" s="5"/>
      <c r="P456" s="5"/>
    </row>
    <row r="457" spans="2:16" ht="13">
      <c r="B457" s="36"/>
      <c r="C457" s="46"/>
      <c r="D457" s="5"/>
      <c r="E457" s="5"/>
      <c r="F457" s="5"/>
      <c r="G457" s="5"/>
      <c r="J457" s="5"/>
      <c r="M457" s="5"/>
      <c r="N457" s="5"/>
      <c r="P457" s="5"/>
    </row>
    <row r="458" spans="2:16" ht="13">
      <c r="B458" s="36"/>
      <c r="C458" s="46"/>
      <c r="D458" s="5"/>
      <c r="E458" s="5"/>
      <c r="F458" s="5"/>
      <c r="G458" s="5"/>
      <c r="J458" s="5"/>
      <c r="M458" s="5"/>
      <c r="N458" s="5"/>
      <c r="P458" s="5"/>
    </row>
    <row r="459" spans="2:16" ht="13">
      <c r="B459" s="36"/>
      <c r="C459" s="46"/>
      <c r="D459" s="5"/>
      <c r="E459" s="5"/>
      <c r="F459" s="5"/>
      <c r="G459" s="5"/>
      <c r="J459" s="5"/>
      <c r="M459" s="5"/>
      <c r="N459" s="5"/>
      <c r="P459" s="5"/>
    </row>
    <row r="460" spans="2:16" ht="13">
      <c r="B460" s="36"/>
      <c r="C460" s="46"/>
      <c r="D460" s="5"/>
      <c r="E460" s="5"/>
      <c r="F460" s="5"/>
      <c r="G460" s="5"/>
      <c r="J460" s="5"/>
      <c r="M460" s="5"/>
      <c r="N460" s="5"/>
      <c r="P460" s="5"/>
    </row>
    <row r="461" spans="2:16" ht="13">
      <c r="B461" s="36"/>
      <c r="C461" s="46"/>
      <c r="D461" s="5"/>
      <c r="E461" s="5"/>
      <c r="F461" s="5"/>
      <c r="G461" s="5"/>
      <c r="J461" s="5"/>
      <c r="M461" s="5"/>
      <c r="N461" s="5"/>
      <c r="P461" s="5"/>
    </row>
    <row r="462" spans="2:16" ht="13">
      <c r="B462" s="36"/>
      <c r="C462" s="46"/>
      <c r="D462" s="5"/>
      <c r="E462" s="5"/>
      <c r="F462" s="5"/>
      <c r="G462" s="5"/>
      <c r="J462" s="5"/>
      <c r="M462" s="5"/>
      <c r="N462" s="5"/>
      <c r="P462" s="5"/>
    </row>
    <row r="463" spans="2:16" ht="13">
      <c r="B463" s="36"/>
      <c r="C463" s="46"/>
      <c r="D463" s="5"/>
      <c r="E463" s="5"/>
      <c r="F463" s="5"/>
      <c r="G463" s="5"/>
      <c r="J463" s="5"/>
      <c r="M463" s="5"/>
      <c r="N463" s="5"/>
      <c r="P463" s="5"/>
    </row>
    <row r="464" spans="2:16" ht="13">
      <c r="B464" s="36"/>
      <c r="C464" s="46"/>
      <c r="D464" s="5"/>
      <c r="E464" s="5"/>
      <c r="F464" s="5"/>
      <c r="G464" s="5"/>
      <c r="J464" s="5"/>
      <c r="M464" s="5"/>
      <c r="N464" s="5"/>
      <c r="P464" s="5"/>
    </row>
    <row r="465" spans="2:16" ht="13">
      <c r="B465" s="36"/>
      <c r="C465" s="46"/>
      <c r="D465" s="5"/>
      <c r="E465" s="5"/>
      <c r="F465" s="5"/>
      <c r="G465" s="5"/>
      <c r="J465" s="5"/>
      <c r="M465" s="5"/>
      <c r="N465" s="5"/>
      <c r="P465" s="5"/>
    </row>
    <row r="466" spans="2:16" ht="13">
      <c r="B466" s="36"/>
      <c r="C466" s="46"/>
      <c r="D466" s="5"/>
      <c r="E466" s="5"/>
      <c r="F466" s="5"/>
      <c r="G466" s="5"/>
      <c r="J466" s="5"/>
      <c r="M466" s="5"/>
      <c r="N466" s="5"/>
      <c r="P466" s="5"/>
    </row>
    <row r="467" spans="2:16" ht="13">
      <c r="B467" s="36"/>
      <c r="C467" s="46"/>
      <c r="D467" s="5"/>
      <c r="E467" s="5"/>
      <c r="F467" s="5"/>
      <c r="G467" s="5"/>
      <c r="J467" s="5"/>
      <c r="M467" s="5"/>
      <c r="N467" s="5"/>
      <c r="P467" s="5"/>
    </row>
    <row r="468" spans="2:16" ht="13">
      <c r="B468" s="36"/>
      <c r="C468" s="46"/>
      <c r="D468" s="5"/>
      <c r="E468" s="5"/>
      <c r="F468" s="5"/>
      <c r="G468" s="5"/>
      <c r="J468" s="5"/>
      <c r="M468" s="5"/>
      <c r="N468" s="5"/>
      <c r="P468" s="5"/>
    </row>
    <row r="469" spans="2:16" ht="13">
      <c r="B469" s="36"/>
      <c r="C469" s="46"/>
      <c r="D469" s="5"/>
      <c r="E469" s="5"/>
      <c r="F469" s="5"/>
      <c r="G469" s="5"/>
      <c r="J469" s="5"/>
      <c r="M469" s="5"/>
      <c r="N469" s="5"/>
      <c r="P469" s="5"/>
    </row>
    <row r="470" spans="2:16" ht="13">
      <c r="B470" s="36"/>
      <c r="C470" s="46"/>
      <c r="D470" s="5"/>
      <c r="E470" s="5"/>
      <c r="F470" s="5"/>
      <c r="G470" s="5"/>
      <c r="J470" s="5"/>
      <c r="M470" s="5"/>
      <c r="N470" s="5"/>
      <c r="P470" s="5"/>
    </row>
    <row r="471" spans="2:16" ht="13">
      <c r="B471" s="36"/>
      <c r="C471" s="46"/>
      <c r="D471" s="5"/>
      <c r="E471" s="5"/>
      <c r="F471" s="5"/>
      <c r="G471" s="5"/>
      <c r="J471" s="5"/>
      <c r="M471" s="5"/>
      <c r="N471" s="5"/>
      <c r="P471" s="5"/>
    </row>
    <row r="472" spans="2:16" ht="13">
      <c r="B472" s="36"/>
      <c r="C472" s="46"/>
      <c r="D472" s="5"/>
      <c r="E472" s="5"/>
      <c r="F472" s="5"/>
      <c r="G472" s="5"/>
      <c r="J472" s="5"/>
      <c r="M472" s="5"/>
      <c r="N472" s="5"/>
      <c r="P472" s="5"/>
    </row>
    <row r="473" spans="2:16" ht="13">
      <c r="B473" s="36"/>
      <c r="C473" s="46"/>
      <c r="D473" s="5"/>
      <c r="E473" s="5"/>
      <c r="F473" s="5"/>
      <c r="G473" s="5"/>
      <c r="J473" s="5"/>
      <c r="M473" s="5"/>
      <c r="N473" s="5"/>
      <c r="P473" s="5"/>
    </row>
    <row r="474" spans="2:16" ht="13">
      <c r="B474" s="36"/>
      <c r="C474" s="46"/>
      <c r="D474" s="5"/>
      <c r="E474" s="5"/>
      <c r="F474" s="5"/>
      <c r="G474" s="5"/>
      <c r="J474" s="5"/>
      <c r="M474" s="5"/>
      <c r="N474" s="5"/>
      <c r="P474" s="5"/>
    </row>
    <row r="475" spans="2:16" ht="13">
      <c r="B475" s="36"/>
      <c r="C475" s="46"/>
      <c r="D475" s="5"/>
      <c r="E475" s="5"/>
      <c r="F475" s="5"/>
      <c r="G475" s="5"/>
      <c r="J475" s="5"/>
      <c r="M475" s="5"/>
      <c r="N475" s="5"/>
      <c r="P475" s="5"/>
    </row>
    <row r="476" spans="2:16" ht="13">
      <c r="B476" s="36"/>
      <c r="C476" s="46"/>
      <c r="D476" s="5"/>
      <c r="E476" s="5"/>
      <c r="F476" s="5"/>
      <c r="G476" s="5"/>
      <c r="J476" s="5"/>
      <c r="M476" s="5"/>
      <c r="N476" s="5"/>
      <c r="P476" s="5"/>
    </row>
    <row r="477" spans="2:16" ht="13">
      <c r="B477" s="36"/>
      <c r="C477" s="46"/>
      <c r="D477" s="5"/>
      <c r="E477" s="5"/>
      <c r="F477" s="5"/>
      <c r="G477" s="5"/>
      <c r="J477" s="5"/>
      <c r="M477" s="5"/>
      <c r="N477" s="5"/>
      <c r="P477" s="5"/>
    </row>
    <row r="478" spans="2:16" ht="13">
      <c r="B478" s="36"/>
      <c r="C478" s="46"/>
      <c r="D478" s="5"/>
      <c r="E478" s="5"/>
      <c r="F478" s="5"/>
      <c r="G478" s="5"/>
      <c r="J478" s="5"/>
      <c r="M478" s="5"/>
      <c r="N478" s="5"/>
      <c r="P478" s="5"/>
    </row>
    <row r="479" spans="2:16" ht="13">
      <c r="B479" s="36"/>
      <c r="C479" s="46"/>
      <c r="D479" s="5"/>
      <c r="E479" s="5"/>
      <c r="F479" s="5"/>
      <c r="G479" s="5"/>
      <c r="J479" s="5"/>
      <c r="M479" s="5"/>
      <c r="N479" s="5"/>
      <c r="P479" s="5"/>
    </row>
    <row r="480" spans="2:16" ht="13">
      <c r="B480" s="36"/>
      <c r="C480" s="46"/>
      <c r="D480" s="5"/>
      <c r="E480" s="5"/>
      <c r="F480" s="5"/>
      <c r="G480" s="5"/>
      <c r="J480" s="5"/>
      <c r="M480" s="5"/>
      <c r="N480" s="5"/>
      <c r="P480" s="5"/>
    </row>
    <row r="481" spans="2:16" ht="13">
      <c r="B481" s="36"/>
      <c r="C481" s="46"/>
      <c r="D481" s="5"/>
      <c r="E481" s="5"/>
      <c r="F481" s="5"/>
      <c r="G481" s="5"/>
      <c r="J481" s="5"/>
      <c r="M481" s="5"/>
      <c r="N481" s="5"/>
      <c r="P481" s="5"/>
    </row>
    <row r="482" spans="2:16" ht="13">
      <c r="B482" s="36"/>
      <c r="C482" s="46"/>
      <c r="D482" s="5"/>
      <c r="E482" s="5"/>
      <c r="F482" s="5"/>
      <c r="G482" s="5"/>
      <c r="J482" s="5"/>
      <c r="M482" s="5"/>
      <c r="N482" s="5"/>
      <c r="P482" s="5"/>
    </row>
    <row r="483" spans="2:16" ht="13">
      <c r="B483" s="36"/>
      <c r="C483" s="46"/>
      <c r="D483" s="5"/>
      <c r="E483" s="5"/>
      <c r="F483" s="5"/>
      <c r="G483" s="5"/>
      <c r="J483" s="5"/>
      <c r="M483" s="5"/>
      <c r="N483" s="5"/>
      <c r="P483" s="5"/>
    </row>
    <row r="484" spans="2:16" ht="13">
      <c r="B484" s="36"/>
      <c r="C484" s="46"/>
      <c r="D484" s="5"/>
      <c r="E484" s="5"/>
      <c r="F484" s="5"/>
      <c r="G484" s="5"/>
      <c r="J484" s="5"/>
      <c r="M484" s="5"/>
      <c r="N484" s="5"/>
      <c r="P484" s="5"/>
    </row>
    <row r="485" spans="2:16" ht="13">
      <c r="B485" s="36"/>
      <c r="C485" s="46"/>
      <c r="D485" s="5"/>
      <c r="E485" s="5"/>
      <c r="F485" s="5"/>
      <c r="G485" s="5"/>
      <c r="J485" s="5"/>
      <c r="M485" s="5"/>
      <c r="N485" s="5"/>
      <c r="P485" s="5"/>
    </row>
    <row r="486" spans="2:16" ht="13">
      <c r="B486" s="36"/>
      <c r="C486" s="46"/>
      <c r="D486" s="5"/>
      <c r="E486" s="5"/>
      <c r="F486" s="5"/>
      <c r="G486" s="5"/>
      <c r="J486" s="5"/>
      <c r="M486" s="5"/>
      <c r="N486" s="5"/>
      <c r="P486" s="5"/>
    </row>
    <row r="487" spans="2:16" ht="13">
      <c r="B487" s="36"/>
      <c r="C487" s="46"/>
      <c r="D487" s="5"/>
      <c r="E487" s="5"/>
      <c r="F487" s="5"/>
      <c r="G487" s="5"/>
      <c r="J487" s="5"/>
      <c r="M487" s="5"/>
      <c r="N487" s="5"/>
      <c r="P487" s="5"/>
    </row>
    <row r="488" spans="2:16" ht="13">
      <c r="B488" s="36"/>
      <c r="C488" s="46"/>
      <c r="D488" s="5"/>
      <c r="E488" s="5"/>
      <c r="F488" s="5"/>
      <c r="G488" s="5"/>
      <c r="J488" s="5"/>
      <c r="M488" s="5"/>
      <c r="N488" s="5"/>
      <c r="P488" s="5"/>
    </row>
    <row r="489" spans="2:16" ht="13">
      <c r="B489" s="36"/>
      <c r="C489" s="46"/>
      <c r="D489" s="5"/>
      <c r="E489" s="5"/>
      <c r="F489" s="5"/>
      <c r="G489" s="5"/>
      <c r="J489" s="5"/>
      <c r="M489" s="5"/>
      <c r="N489" s="5"/>
      <c r="P489" s="5"/>
    </row>
    <row r="490" spans="2:16" ht="13">
      <c r="B490" s="36"/>
      <c r="C490" s="46"/>
      <c r="D490" s="5"/>
      <c r="E490" s="5"/>
      <c r="F490" s="5"/>
      <c r="G490" s="5"/>
      <c r="J490" s="5"/>
      <c r="M490" s="5"/>
      <c r="N490" s="5"/>
      <c r="P490" s="5"/>
    </row>
    <row r="491" spans="2:16" ht="13">
      <c r="B491" s="36"/>
      <c r="C491" s="46"/>
      <c r="D491" s="5"/>
      <c r="E491" s="5"/>
      <c r="F491" s="5"/>
      <c r="G491" s="5"/>
      <c r="J491" s="5"/>
      <c r="M491" s="5"/>
      <c r="N491" s="5"/>
      <c r="P491" s="5"/>
    </row>
    <row r="492" spans="2:16" ht="13">
      <c r="B492" s="36"/>
      <c r="C492" s="46"/>
      <c r="D492" s="5"/>
      <c r="E492" s="5"/>
      <c r="F492" s="5"/>
      <c r="G492" s="5"/>
      <c r="J492" s="5"/>
      <c r="M492" s="5"/>
      <c r="N492" s="5"/>
      <c r="P492" s="5"/>
    </row>
    <row r="493" spans="2:16" ht="13">
      <c r="B493" s="36"/>
      <c r="C493" s="46"/>
      <c r="D493" s="5"/>
      <c r="E493" s="5"/>
      <c r="F493" s="5"/>
      <c r="G493" s="5"/>
      <c r="J493" s="5"/>
      <c r="M493" s="5"/>
      <c r="N493" s="5"/>
      <c r="P493" s="5"/>
    </row>
    <row r="494" spans="2:16" ht="13">
      <c r="B494" s="36"/>
      <c r="C494" s="46"/>
      <c r="D494" s="5"/>
      <c r="E494" s="5"/>
      <c r="F494" s="5"/>
      <c r="G494" s="5"/>
      <c r="J494" s="5"/>
      <c r="M494" s="5"/>
      <c r="N494" s="5"/>
      <c r="P494" s="5"/>
    </row>
    <row r="495" spans="2:16" ht="13">
      <c r="B495" s="36"/>
      <c r="C495" s="46"/>
      <c r="D495" s="5"/>
      <c r="E495" s="5"/>
      <c r="F495" s="5"/>
      <c r="G495" s="5"/>
      <c r="J495" s="5"/>
      <c r="M495" s="5"/>
      <c r="N495" s="5"/>
      <c r="P495" s="5"/>
    </row>
    <row r="496" spans="2:16" ht="13">
      <c r="B496" s="36"/>
      <c r="C496" s="46"/>
      <c r="D496" s="5"/>
      <c r="E496" s="5"/>
      <c r="F496" s="5"/>
      <c r="G496" s="5"/>
      <c r="J496" s="5"/>
      <c r="M496" s="5"/>
      <c r="N496" s="5"/>
      <c r="P496" s="5"/>
    </row>
    <row r="497" spans="2:16" ht="13">
      <c r="B497" s="36"/>
      <c r="C497" s="46"/>
      <c r="D497" s="5"/>
      <c r="E497" s="5"/>
      <c r="F497" s="5"/>
      <c r="G497" s="5"/>
      <c r="J497" s="5"/>
      <c r="M497" s="5"/>
      <c r="N497" s="5"/>
      <c r="P497" s="5"/>
    </row>
    <row r="498" spans="2:16" ht="13">
      <c r="B498" s="36"/>
      <c r="C498" s="46"/>
      <c r="D498" s="5"/>
      <c r="E498" s="5"/>
      <c r="F498" s="5"/>
      <c r="G498" s="5"/>
      <c r="J498" s="5"/>
      <c r="M498" s="5"/>
      <c r="N498" s="5"/>
      <c r="P498" s="5"/>
    </row>
    <row r="499" spans="2:16" ht="13">
      <c r="B499" s="36"/>
      <c r="C499" s="46"/>
      <c r="D499" s="5"/>
      <c r="E499" s="5"/>
      <c r="F499" s="5"/>
      <c r="G499" s="5"/>
      <c r="J499" s="5"/>
      <c r="M499" s="5"/>
      <c r="N499" s="5"/>
      <c r="P499" s="5"/>
    </row>
    <row r="500" spans="2:16" ht="13">
      <c r="B500" s="36"/>
      <c r="C500" s="46"/>
      <c r="D500" s="5"/>
      <c r="E500" s="5"/>
      <c r="F500" s="5"/>
      <c r="G500" s="5"/>
      <c r="J500" s="5"/>
      <c r="M500" s="5"/>
      <c r="N500" s="5"/>
      <c r="P500" s="5"/>
    </row>
    <row r="501" spans="2:16" ht="13">
      <c r="B501" s="36"/>
      <c r="C501" s="46"/>
      <c r="D501" s="5"/>
      <c r="E501" s="5"/>
      <c r="F501" s="5"/>
      <c r="G501" s="5"/>
      <c r="J501" s="5"/>
      <c r="M501" s="5"/>
      <c r="N501" s="5"/>
      <c r="P501" s="5"/>
    </row>
    <row r="502" spans="2:16" ht="13">
      <c r="B502" s="36"/>
      <c r="C502" s="46"/>
      <c r="D502" s="5"/>
      <c r="E502" s="5"/>
      <c r="F502" s="5"/>
      <c r="G502" s="5"/>
      <c r="J502" s="5"/>
      <c r="M502" s="5"/>
      <c r="N502" s="5"/>
      <c r="P502" s="5"/>
    </row>
    <row r="503" spans="2:16" ht="13">
      <c r="B503" s="36"/>
      <c r="C503" s="46"/>
      <c r="D503" s="5"/>
      <c r="E503" s="5"/>
      <c r="F503" s="5"/>
      <c r="G503" s="5"/>
      <c r="J503" s="5"/>
      <c r="M503" s="5"/>
      <c r="N503" s="5"/>
      <c r="P503" s="5"/>
    </row>
    <row r="504" spans="2:16" ht="13">
      <c r="B504" s="36"/>
      <c r="C504" s="46"/>
      <c r="D504" s="5"/>
      <c r="E504" s="5"/>
      <c r="F504" s="5"/>
      <c r="G504" s="5"/>
      <c r="J504" s="5"/>
      <c r="M504" s="5"/>
      <c r="N504" s="5"/>
      <c r="P504" s="5"/>
    </row>
    <row r="505" spans="2:16" ht="13">
      <c r="B505" s="36"/>
      <c r="C505" s="46"/>
      <c r="D505" s="5"/>
      <c r="E505" s="5"/>
      <c r="F505" s="5"/>
      <c r="G505" s="5"/>
      <c r="J505" s="5"/>
      <c r="M505" s="5"/>
      <c r="N505" s="5"/>
      <c r="P505" s="5"/>
    </row>
    <row r="506" spans="2:16" ht="13">
      <c r="B506" s="36"/>
      <c r="C506" s="46"/>
      <c r="D506" s="5"/>
      <c r="E506" s="5"/>
      <c r="F506" s="5"/>
      <c r="G506" s="5"/>
      <c r="J506" s="5"/>
      <c r="M506" s="5"/>
      <c r="N506" s="5"/>
      <c r="P506" s="5"/>
    </row>
    <row r="507" spans="2:16" ht="13">
      <c r="B507" s="36"/>
      <c r="C507" s="46"/>
      <c r="D507" s="5"/>
      <c r="E507" s="5"/>
      <c r="F507" s="5"/>
      <c r="G507" s="5"/>
      <c r="J507" s="5"/>
      <c r="M507" s="5"/>
      <c r="N507" s="5"/>
      <c r="P507" s="5"/>
    </row>
    <row r="508" spans="2:16" ht="13">
      <c r="B508" s="36"/>
      <c r="C508" s="46"/>
      <c r="D508" s="5"/>
      <c r="E508" s="5"/>
      <c r="F508" s="5"/>
      <c r="G508" s="5"/>
      <c r="J508" s="5"/>
      <c r="M508" s="5"/>
      <c r="N508" s="5"/>
      <c r="P508" s="5"/>
    </row>
    <row r="509" spans="2:16" ht="13">
      <c r="B509" s="36"/>
      <c r="C509" s="46"/>
      <c r="D509" s="5"/>
      <c r="E509" s="5"/>
      <c r="F509" s="5"/>
      <c r="G509" s="5"/>
      <c r="J509" s="5"/>
      <c r="M509" s="5"/>
      <c r="N509" s="5"/>
      <c r="P509" s="5"/>
    </row>
    <row r="510" spans="2:16" ht="13">
      <c r="B510" s="36"/>
      <c r="C510" s="46"/>
      <c r="D510" s="5"/>
      <c r="E510" s="5"/>
      <c r="F510" s="5"/>
      <c r="G510" s="5"/>
      <c r="J510" s="5"/>
      <c r="M510" s="5"/>
      <c r="N510" s="5"/>
      <c r="P510" s="5"/>
    </row>
    <row r="511" spans="2:16" ht="13">
      <c r="B511" s="36"/>
      <c r="C511" s="46"/>
      <c r="D511" s="5"/>
      <c r="E511" s="5"/>
      <c r="F511" s="5"/>
      <c r="G511" s="5"/>
      <c r="J511" s="5"/>
      <c r="M511" s="5"/>
      <c r="N511" s="5"/>
      <c r="P511" s="5"/>
    </row>
    <row r="512" spans="2:16" ht="13">
      <c r="B512" s="36"/>
      <c r="C512" s="46"/>
      <c r="D512" s="5"/>
      <c r="E512" s="5"/>
      <c r="F512" s="5"/>
      <c r="G512" s="5"/>
      <c r="J512" s="5"/>
      <c r="M512" s="5"/>
      <c r="N512" s="5"/>
      <c r="P512" s="5"/>
    </row>
    <row r="513" spans="2:16" ht="13">
      <c r="B513" s="36"/>
      <c r="C513" s="46"/>
      <c r="D513" s="5"/>
      <c r="E513" s="5"/>
      <c r="F513" s="5"/>
      <c r="G513" s="5"/>
      <c r="J513" s="5"/>
      <c r="M513" s="5"/>
      <c r="N513" s="5"/>
      <c r="P513" s="5"/>
    </row>
    <row r="514" spans="2:16" ht="13">
      <c r="B514" s="36"/>
      <c r="C514" s="46"/>
      <c r="D514" s="5"/>
      <c r="E514" s="5"/>
      <c r="F514" s="5"/>
      <c r="G514" s="5"/>
      <c r="J514" s="5"/>
      <c r="M514" s="5"/>
      <c r="N514" s="5"/>
      <c r="P514" s="5"/>
    </row>
    <row r="515" spans="2:16" ht="13">
      <c r="B515" s="36"/>
      <c r="C515" s="46"/>
      <c r="D515" s="5"/>
      <c r="E515" s="5"/>
      <c r="F515" s="5"/>
      <c r="G515" s="5"/>
      <c r="J515" s="5"/>
      <c r="M515" s="5"/>
      <c r="N515" s="5"/>
      <c r="P515" s="5"/>
    </row>
    <row r="516" spans="2:16" ht="13">
      <c r="B516" s="36"/>
      <c r="C516" s="46"/>
      <c r="D516" s="5"/>
      <c r="E516" s="5"/>
      <c r="F516" s="5"/>
      <c r="G516" s="5"/>
      <c r="J516" s="5"/>
      <c r="M516" s="5"/>
      <c r="N516" s="5"/>
      <c r="P516" s="5"/>
    </row>
    <row r="517" spans="2:16" ht="13">
      <c r="B517" s="36"/>
      <c r="C517" s="46"/>
      <c r="D517" s="5"/>
      <c r="E517" s="5"/>
      <c r="F517" s="5"/>
      <c r="G517" s="5"/>
      <c r="J517" s="5"/>
      <c r="M517" s="5"/>
      <c r="N517" s="5"/>
      <c r="P517" s="5"/>
    </row>
    <row r="518" spans="2:16" ht="13">
      <c r="B518" s="36"/>
      <c r="C518" s="46"/>
      <c r="D518" s="5"/>
      <c r="E518" s="5"/>
      <c r="F518" s="5"/>
      <c r="G518" s="5"/>
      <c r="J518" s="5"/>
      <c r="M518" s="5"/>
      <c r="N518" s="5"/>
      <c r="P518" s="5"/>
    </row>
    <row r="519" spans="2:16" ht="13">
      <c r="B519" s="36"/>
      <c r="C519" s="46"/>
      <c r="D519" s="5"/>
      <c r="E519" s="5"/>
      <c r="F519" s="5"/>
      <c r="G519" s="5"/>
      <c r="J519" s="5"/>
      <c r="M519" s="5"/>
      <c r="N519" s="5"/>
      <c r="P519" s="5"/>
    </row>
    <row r="520" spans="2:16" ht="13">
      <c r="B520" s="36"/>
      <c r="C520" s="46"/>
      <c r="D520" s="5"/>
      <c r="E520" s="5"/>
      <c r="F520" s="5"/>
      <c r="G520" s="5"/>
      <c r="J520" s="5"/>
      <c r="M520" s="5"/>
      <c r="N520" s="5"/>
      <c r="P520" s="5"/>
    </row>
    <row r="521" spans="2:16" ht="13">
      <c r="B521" s="36"/>
      <c r="C521" s="46"/>
      <c r="D521" s="5"/>
      <c r="E521" s="5"/>
      <c r="F521" s="5"/>
      <c r="G521" s="5"/>
      <c r="J521" s="5"/>
      <c r="M521" s="5"/>
      <c r="N521" s="5"/>
      <c r="P521" s="5"/>
    </row>
    <row r="522" spans="2:16" ht="13">
      <c r="B522" s="36"/>
      <c r="C522" s="46"/>
      <c r="D522" s="5"/>
      <c r="E522" s="5"/>
      <c r="F522" s="5"/>
      <c r="G522" s="5"/>
      <c r="J522" s="5"/>
      <c r="M522" s="5"/>
      <c r="N522" s="5"/>
      <c r="P522" s="5"/>
    </row>
    <row r="523" spans="2:16" ht="13">
      <c r="B523" s="36"/>
      <c r="C523" s="46"/>
      <c r="D523" s="5"/>
      <c r="E523" s="5"/>
      <c r="F523" s="5"/>
      <c r="G523" s="5"/>
      <c r="J523" s="5"/>
      <c r="M523" s="5"/>
      <c r="N523" s="5"/>
      <c r="P523" s="5"/>
    </row>
    <row r="524" spans="2:16" ht="13">
      <c r="B524" s="36"/>
      <c r="C524" s="46"/>
      <c r="D524" s="5"/>
      <c r="E524" s="5"/>
      <c r="F524" s="5"/>
      <c r="G524" s="5"/>
      <c r="J524" s="5"/>
      <c r="M524" s="5"/>
      <c r="N524" s="5"/>
      <c r="P524" s="5"/>
    </row>
    <row r="525" spans="2:16" ht="13">
      <c r="B525" s="36"/>
      <c r="C525" s="46"/>
      <c r="D525" s="5"/>
      <c r="E525" s="5"/>
      <c r="F525" s="5"/>
      <c r="G525" s="5"/>
      <c r="J525" s="5"/>
      <c r="M525" s="5"/>
      <c r="N525" s="5"/>
      <c r="P525" s="5"/>
    </row>
    <row r="526" spans="2:16" ht="13">
      <c r="B526" s="36"/>
      <c r="C526" s="46"/>
      <c r="D526" s="5"/>
      <c r="E526" s="5"/>
      <c r="F526" s="5"/>
      <c r="G526" s="5"/>
      <c r="J526" s="5"/>
      <c r="M526" s="5"/>
      <c r="N526" s="5"/>
      <c r="P526" s="5"/>
    </row>
    <row r="527" spans="2:16" ht="13">
      <c r="B527" s="36"/>
      <c r="C527" s="46"/>
      <c r="D527" s="5"/>
      <c r="E527" s="5"/>
      <c r="F527" s="5"/>
      <c r="G527" s="5"/>
      <c r="J527" s="5"/>
      <c r="M527" s="5"/>
      <c r="N527" s="5"/>
      <c r="P527" s="5"/>
    </row>
    <row r="528" spans="2:16" ht="13">
      <c r="B528" s="36"/>
      <c r="C528" s="46"/>
      <c r="D528" s="5"/>
      <c r="E528" s="5"/>
      <c r="F528" s="5"/>
      <c r="G528" s="5"/>
      <c r="J528" s="5"/>
      <c r="M528" s="5"/>
      <c r="N528" s="5"/>
      <c r="P528" s="5"/>
    </row>
    <row r="529" spans="2:16" ht="13">
      <c r="B529" s="36"/>
      <c r="C529" s="46"/>
      <c r="D529" s="5"/>
      <c r="E529" s="5"/>
      <c r="F529" s="5"/>
      <c r="G529" s="5"/>
      <c r="J529" s="5"/>
      <c r="M529" s="5"/>
      <c r="N529" s="5"/>
      <c r="P529" s="5"/>
    </row>
    <row r="530" spans="2:16" ht="13">
      <c r="B530" s="36"/>
      <c r="C530" s="46"/>
      <c r="D530" s="5"/>
      <c r="E530" s="5"/>
      <c r="F530" s="5"/>
      <c r="G530" s="5"/>
      <c r="J530" s="5"/>
      <c r="M530" s="5"/>
      <c r="N530" s="5"/>
      <c r="P530" s="5"/>
    </row>
    <row r="531" spans="2:16" ht="13">
      <c r="B531" s="36"/>
      <c r="C531" s="46"/>
      <c r="D531" s="5"/>
      <c r="E531" s="5"/>
      <c r="F531" s="5"/>
      <c r="G531" s="5"/>
      <c r="J531" s="5"/>
      <c r="M531" s="5"/>
      <c r="N531" s="5"/>
      <c r="P531" s="5"/>
    </row>
    <row r="532" spans="2:16" ht="13">
      <c r="B532" s="36"/>
      <c r="C532" s="46"/>
      <c r="D532" s="5"/>
      <c r="E532" s="5"/>
      <c r="F532" s="5"/>
      <c r="G532" s="5"/>
      <c r="J532" s="5"/>
      <c r="M532" s="5"/>
      <c r="N532" s="5"/>
      <c r="P532" s="5"/>
    </row>
    <row r="533" spans="2:16" ht="13">
      <c r="B533" s="36"/>
      <c r="C533" s="46"/>
      <c r="D533" s="5"/>
      <c r="E533" s="5"/>
      <c r="F533" s="5"/>
      <c r="G533" s="5"/>
      <c r="J533" s="5"/>
      <c r="M533" s="5"/>
      <c r="N533" s="5"/>
      <c r="P533" s="5"/>
    </row>
    <row r="534" spans="2:16" ht="13">
      <c r="B534" s="36"/>
      <c r="C534" s="46"/>
      <c r="D534" s="5"/>
      <c r="E534" s="5"/>
      <c r="F534" s="5"/>
      <c r="G534" s="5"/>
      <c r="J534" s="5"/>
      <c r="M534" s="5"/>
      <c r="N534" s="5"/>
      <c r="P534" s="5"/>
    </row>
    <row r="535" spans="2:16" ht="13">
      <c r="B535" s="36"/>
      <c r="C535" s="46"/>
      <c r="D535" s="5"/>
      <c r="E535" s="5"/>
      <c r="F535" s="5"/>
      <c r="G535" s="5"/>
      <c r="J535" s="5"/>
      <c r="M535" s="5"/>
      <c r="N535" s="5"/>
      <c r="P535" s="5"/>
    </row>
    <row r="536" spans="2:16" ht="13">
      <c r="B536" s="36"/>
      <c r="C536" s="46"/>
      <c r="D536" s="5"/>
      <c r="E536" s="5"/>
      <c r="F536" s="5"/>
      <c r="G536" s="5"/>
      <c r="J536" s="5"/>
      <c r="M536" s="5"/>
      <c r="N536" s="5"/>
      <c r="P536" s="5"/>
    </row>
    <row r="537" spans="2:16" ht="13">
      <c r="B537" s="36"/>
      <c r="C537" s="46"/>
      <c r="D537" s="5"/>
      <c r="E537" s="5"/>
      <c r="F537" s="5"/>
      <c r="G537" s="5"/>
      <c r="J537" s="5"/>
      <c r="M537" s="5"/>
      <c r="N537" s="5"/>
      <c r="P537" s="5"/>
    </row>
    <row r="538" spans="2:16" ht="13">
      <c r="B538" s="36"/>
      <c r="C538" s="46"/>
      <c r="D538" s="5"/>
      <c r="E538" s="5"/>
      <c r="F538" s="5"/>
      <c r="G538" s="5"/>
      <c r="J538" s="5"/>
      <c r="M538" s="5"/>
      <c r="N538" s="5"/>
      <c r="P538" s="5"/>
    </row>
    <row r="539" spans="2:16" ht="13">
      <c r="B539" s="36"/>
      <c r="C539" s="46"/>
      <c r="D539" s="5"/>
      <c r="E539" s="5"/>
      <c r="F539" s="5"/>
      <c r="G539" s="5"/>
      <c r="J539" s="5"/>
      <c r="M539" s="5"/>
      <c r="N539" s="5"/>
      <c r="P539" s="5"/>
    </row>
    <row r="540" spans="2:16" ht="13">
      <c r="B540" s="36"/>
      <c r="C540" s="46"/>
      <c r="D540" s="5"/>
      <c r="E540" s="5"/>
      <c r="F540" s="5"/>
      <c r="G540" s="5"/>
      <c r="J540" s="5"/>
      <c r="M540" s="5"/>
      <c r="N540" s="5"/>
      <c r="P540" s="5"/>
    </row>
    <row r="541" spans="2:16" ht="13">
      <c r="B541" s="36"/>
      <c r="C541" s="46"/>
      <c r="D541" s="5"/>
      <c r="E541" s="5"/>
      <c r="F541" s="5"/>
      <c r="G541" s="5"/>
      <c r="J541" s="5"/>
      <c r="M541" s="5"/>
      <c r="N541" s="5"/>
      <c r="P541" s="5"/>
    </row>
    <row r="542" spans="2:16" ht="13">
      <c r="B542" s="36"/>
      <c r="C542" s="46"/>
      <c r="D542" s="5"/>
      <c r="E542" s="5"/>
      <c r="F542" s="5"/>
      <c r="G542" s="5"/>
      <c r="J542" s="5"/>
      <c r="M542" s="5"/>
      <c r="N542" s="5"/>
      <c r="P542" s="5"/>
    </row>
    <row r="543" spans="2:16" ht="13">
      <c r="B543" s="36"/>
      <c r="C543" s="46"/>
      <c r="D543" s="5"/>
      <c r="E543" s="5"/>
      <c r="F543" s="5"/>
      <c r="G543" s="5"/>
      <c r="J543" s="5"/>
      <c r="M543" s="5"/>
      <c r="N543" s="5"/>
      <c r="P543" s="5"/>
    </row>
    <row r="544" spans="2:16" ht="13">
      <c r="B544" s="36"/>
      <c r="C544" s="46"/>
      <c r="D544" s="5"/>
      <c r="E544" s="5"/>
      <c r="F544" s="5"/>
      <c r="G544" s="5"/>
      <c r="J544" s="5"/>
      <c r="M544" s="5"/>
      <c r="N544" s="5"/>
      <c r="P544" s="5"/>
    </row>
    <row r="545" spans="2:16" ht="13">
      <c r="B545" s="36"/>
      <c r="C545" s="46"/>
      <c r="D545" s="5"/>
      <c r="E545" s="5"/>
      <c r="F545" s="5"/>
      <c r="G545" s="5"/>
      <c r="J545" s="5"/>
      <c r="M545" s="5"/>
      <c r="N545" s="5"/>
      <c r="P545" s="5"/>
    </row>
    <row r="546" spans="2:16" ht="13">
      <c r="B546" s="36"/>
      <c r="C546" s="46"/>
      <c r="D546" s="5"/>
      <c r="E546" s="5"/>
      <c r="F546" s="5"/>
      <c r="G546" s="5"/>
      <c r="J546" s="5"/>
      <c r="M546" s="5"/>
      <c r="N546" s="5"/>
      <c r="P546" s="5"/>
    </row>
    <row r="547" spans="2:16" ht="13">
      <c r="B547" s="36"/>
      <c r="C547" s="46"/>
      <c r="D547" s="5"/>
      <c r="E547" s="5"/>
      <c r="F547" s="5"/>
      <c r="G547" s="5"/>
      <c r="J547" s="5"/>
      <c r="M547" s="5"/>
      <c r="N547" s="5"/>
      <c r="P547" s="5"/>
    </row>
    <row r="548" spans="2:16" ht="13">
      <c r="B548" s="36"/>
      <c r="C548" s="46"/>
      <c r="D548" s="5"/>
      <c r="E548" s="5"/>
      <c r="F548" s="5"/>
      <c r="G548" s="5"/>
      <c r="J548" s="5"/>
      <c r="M548" s="5"/>
      <c r="N548" s="5"/>
      <c r="P548" s="5"/>
    </row>
    <row r="549" spans="2:16" ht="13">
      <c r="B549" s="36"/>
      <c r="C549" s="46"/>
      <c r="D549" s="5"/>
      <c r="E549" s="5"/>
      <c r="F549" s="5"/>
      <c r="G549" s="5"/>
      <c r="J549" s="5"/>
      <c r="M549" s="5"/>
      <c r="N549" s="5"/>
      <c r="P549" s="5"/>
    </row>
    <row r="550" spans="2:16" ht="13">
      <c r="B550" s="36"/>
      <c r="C550" s="46"/>
      <c r="D550" s="5"/>
      <c r="E550" s="5"/>
      <c r="F550" s="5"/>
      <c r="G550" s="5"/>
      <c r="J550" s="5"/>
      <c r="M550" s="5"/>
      <c r="N550" s="5"/>
      <c r="P550" s="5"/>
    </row>
    <row r="551" spans="2:16" ht="13">
      <c r="B551" s="36"/>
      <c r="C551" s="46"/>
      <c r="D551" s="5"/>
      <c r="E551" s="5"/>
      <c r="F551" s="5"/>
      <c r="G551" s="5"/>
      <c r="J551" s="5"/>
      <c r="M551" s="5"/>
      <c r="N551" s="5"/>
      <c r="P551" s="5"/>
    </row>
    <row r="552" spans="2:16" ht="13">
      <c r="B552" s="36"/>
      <c r="C552" s="46"/>
      <c r="D552" s="5"/>
      <c r="E552" s="5"/>
      <c r="F552" s="5"/>
      <c r="G552" s="5"/>
      <c r="J552" s="5"/>
      <c r="M552" s="5"/>
      <c r="N552" s="5"/>
      <c r="P552" s="5"/>
    </row>
    <row r="553" spans="2:16" ht="13">
      <c r="B553" s="36"/>
      <c r="C553" s="46"/>
      <c r="D553" s="5"/>
      <c r="E553" s="5"/>
      <c r="F553" s="5"/>
      <c r="G553" s="5"/>
      <c r="J553" s="5"/>
      <c r="M553" s="5"/>
      <c r="N553" s="5"/>
      <c r="P553" s="5"/>
    </row>
    <row r="554" spans="2:16" ht="13">
      <c r="B554" s="36"/>
      <c r="C554" s="46"/>
      <c r="D554" s="5"/>
      <c r="E554" s="5"/>
      <c r="F554" s="5"/>
      <c r="G554" s="5"/>
      <c r="J554" s="5"/>
      <c r="M554" s="5"/>
      <c r="N554" s="5"/>
      <c r="P554" s="5"/>
    </row>
    <row r="555" spans="2:16" ht="13">
      <c r="B555" s="36"/>
      <c r="C555" s="46"/>
      <c r="D555" s="5"/>
      <c r="E555" s="5"/>
      <c r="F555" s="5"/>
      <c r="G555" s="5"/>
      <c r="J555" s="5"/>
      <c r="M555" s="5"/>
      <c r="N555" s="5"/>
      <c r="P555" s="5"/>
    </row>
    <row r="556" spans="2:16" ht="13">
      <c r="B556" s="36"/>
      <c r="C556" s="46"/>
      <c r="D556" s="5"/>
      <c r="E556" s="5"/>
      <c r="F556" s="5"/>
      <c r="G556" s="5"/>
      <c r="J556" s="5"/>
      <c r="M556" s="5"/>
      <c r="N556" s="5"/>
      <c r="P556" s="5"/>
    </row>
    <row r="557" spans="2:16" ht="13">
      <c r="B557" s="36"/>
      <c r="C557" s="46"/>
      <c r="D557" s="5"/>
      <c r="E557" s="5"/>
      <c r="F557" s="5"/>
      <c r="G557" s="5"/>
      <c r="J557" s="5"/>
      <c r="M557" s="5"/>
      <c r="N557" s="5"/>
      <c r="P557" s="5"/>
    </row>
    <row r="558" spans="2:16" ht="13">
      <c r="B558" s="36"/>
      <c r="C558" s="46"/>
      <c r="D558" s="5"/>
      <c r="E558" s="5"/>
      <c r="F558" s="5"/>
      <c r="G558" s="5"/>
      <c r="J558" s="5"/>
      <c r="M558" s="5"/>
      <c r="N558" s="5"/>
      <c r="P558" s="5"/>
    </row>
    <row r="559" spans="2:16" ht="13">
      <c r="B559" s="36"/>
      <c r="C559" s="46"/>
      <c r="D559" s="5"/>
      <c r="E559" s="5"/>
      <c r="F559" s="5"/>
      <c r="G559" s="5"/>
      <c r="J559" s="5"/>
      <c r="M559" s="5"/>
      <c r="N559" s="5"/>
      <c r="P559" s="5"/>
    </row>
    <row r="560" spans="2:16" ht="13">
      <c r="B560" s="36"/>
      <c r="C560" s="46"/>
      <c r="D560" s="5"/>
      <c r="E560" s="5"/>
      <c r="F560" s="5"/>
      <c r="G560" s="5"/>
      <c r="J560" s="5"/>
      <c r="M560" s="5"/>
      <c r="N560" s="5"/>
      <c r="P560" s="5"/>
    </row>
    <row r="561" spans="2:16" ht="13">
      <c r="B561" s="36"/>
      <c r="C561" s="46"/>
      <c r="D561" s="5"/>
      <c r="E561" s="5"/>
      <c r="F561" s="5"/>
      <c r="G561" s="5"/>
      <c r="J561" s="5"/>
      <c r="M561" s="5"/>
      <c r="N561" s="5"/>
      <c r="P561" s="5"/>
    </row>
    <row r="562" spans="2:16" ht="13">
      <c r="B562" s="36"/>
      <c r="C562" s="46"/>
      <c r="D562" s="5"/>
      <c r="E562" s="5"/>
      <c r="F562" s="5"/>
      <c r="G562" s="5"/>
      <c r="J562" s="5"/>
      <c r="M562" s="5"/>
      <c r="N562" s="5"/>
      <c r="P562" s="5"/>
    </row>
    <row r="563" spans="2:16" ht="13">
      <c r="B563" s="36"/>
      <c r="C563" s="46"/>
      <c r="D563" s="5"/>
      <c r="E563" s="5"/>
      <c r="F563" s="5"/>
      <c r="G563" s="5"/>
      <c r="J563" s="5"/>
      <c r="M563" s="5"/>
      <c r="N563" s="5"/>
      <c r="P563" s="5"/>
    </row>
    <row r="564" spans="2:16" ht="13">
      <c r="B564" s="36"/>
      <c r="C564" s="46"/>
      <c r="D564" s="5"/>
      <c r="E564" s="5"/>
      <c r="F564" s="5"/>
      <c r="G564" s="5"/>
      <c r="J564" s="5"/>
      <c r="M564" s="5"/>
      <c r="N564" s="5"/>
      <c r="P564" s="5"/>
    </row>
    <row r="565" spans="2:16" ht="13">
      <c r="B565" s="36"/>
      <c r="C565" s="46"/>
      <c r="D565" s="5"/>
      <c r="E565" s="5"/>
      <c r="F565" s="5"/>
      <c r="G565" s="5"/>
      <c r="J565" s="5"/>
      <c r="M565" s="5"/>
      <c r="N565" s="5"/>
      <c r="P565" s="5"/>
    </row>
    <row r="566" spans="2:16" ht="13">
      <c r="B566" s="36"/>
      <c r="C566" s="46"/>
      <c r="D566" s="5"/>
      <c r="E566" s="5"/>
      <c r="F566" s="5"/>
      <c r="G566" s="5"/>
      <c r="J566" s="5"/>
      <c r="M566" s="5"/>
      <c r="N566" s="5"/>
      <c r="P566" s="5"/>
    </row>
    <row r="567" spans="2:16" ht="13">
      <c r="B567" s="36"/>
      <c r="C567" s="46"/>
      <c r="D567" s="5"/>
      <c r="E567" s="5"/>
      <c r="F567" s="5"/>
      <c r="G567" s="5"/>
      <c r="J567" s="5"/>
      <c r="M567" s="5"/>
      <c r="N567" s="5"/>
      <c r="P567" s="5"/>
    </row>
    <row r="568" spans="2:16" ht="13">
      <c r="B568" s="36"/>
      <c r="C568" s="46"/>
      <c r="D568" s="5"/>
      <c r="E568" s="5"/>
      <c r="F568" s="5"/>
      <c r="G568" s="5"/>
      <c r="J568" s="5"/>
      <c r="M568" s="5"/>
      <c r="N568" s="5"/>
      <c r="P568" s="5"/>
    </row>
    <row r="569" spans="2:16" ht="13">
      <c r="B569" s="36"/>
      <c r="C569" s="46"/>
      <c r="D569" s="5"/>
      <c r="E569" s="5"/>
      <c r="F569" s="5"/>
      <c r="G569" s="5"/>
      <c r="J569" s="5"/>
      <c r="M569" s="5"/>
      <c r="N569" s="5"/>
      <c r="P569" s="5"/>
    </row>
    <row r="570" spans="2:16" ht="13">
      <c r="B570" s="36"/>
      <c r="C570" s="46"/>
      <c r="D570" s="5"/>
      <c r="E570" s="5"/>
      <c r="F570" s="5"/>
      <c r="G570" s="5"/>
      <c r="J570" s="5"/>
      <c r="M570" s="5"/>
      <c r="N570" s="5"/>
      <c r="P570" s="5"/>
    </row>
    <row r="571" spans="2:16" ht="13">
      <c r="B571" s="36"/>
      <c r="C571" s="46"/>
      <c r="D571" s="5"/>
      <c r="E571" s="5"/>
      <c r="F571" s="5"/>
      <c r="G571" s="5"/>
      <c r="J571" s="5"/>
      <c r="M571" s="5"/>
      <c r="N571" s="5"/>
      <c r="P571" s="5"/>
    </row>
    <row r="572" spans="2:16" ht="13">
      <c r="B572" s="36"/>
      <c r="C572" s="46"/>
      <c r="D572" s="5"/>
      <c r="E572" s="5"/>
      <c r="F572" s="5"/>
      <c r="G572" s="5"/>
      <c r="J572" s="5"/>
      <c r="M572" s="5"/>
      <c r="N572" s="5"/>
      <c r="P572" s="5"/>
    </row>
    <row r="573" spans="2:16" ht="13">
      <c r="B573" s="36"/>
      <c r="C573" s="46"/>
      <c r="D573" s="5"/>
      <c r="E573" s="5"/>
      <c r="F573" s="5"/>
      <c r="G573" s="5"/>
      <c r="J573" s="5"/>
      <c r="M573" s="5"/>
      <c r="N573" s="5"/>
      <c r="P573" s="5"/>
    </row>
    <row r="574" spans="2:16" ht="13">
      <c r="B574" s="36"/>
      <c r="C574" s="46"/>
      <c r="D574" s="5"/>
      <c r="E574" s="5"/>
      <c r="F574" s="5"/>
      <c r="G574" s="5"/>
      <c r="J574" s="5"/>
      <c r="M574" s="5"/>
      <c r="N574" s="5"/>
      <c r="P574" s="5"/>
    </row>
    <row r="575" spans="2:16" ht="13">
      <c r="B575" s="36"/>
      <c r="C575" s="46"/>
      <c r="D575" s="5"/>
      <c r="E575" s="5"/>
      <c r="F575" s="5"/>
      <c r="G575" s="5"/>
      <c r="J575" s="5"/>
      <c r="M575" s="5"/>
      <c r="N575" s="5"/>
      <c r="P575" s="5"/>
    </row>
    <row r="576" spans="2:16" ht="13">
      <c r="B576" s="36"/>
      <c r="C576" s="46"/>
      <c r="D576" s="5"/>
      <c r="E576" s="5"/>
      <c r="F576" s="5"/>
      <c r="G576" s="5"/>
      <c r="J576" s="5"/>
      <c r="M576" s="5"/>
      <c r="N576" s="5"/>
      <c r="P576" s="5"/>
    </row>
    <row r="577" spans="2:16" ht="13">
      <c r="B577" s="36"/>
      <c r="C577" s="46"/>
      <c r="D577" s="5"/>
      <c r="E577" s="5"/>
      <c r="F577" s="5"/>
      <c r="G577" s="5"/>
      <c r="J577" s="5"/>
      <c r="M577" s="5"/>
      <c r="N577" s="5"/>
      <c r="P577" s="5"/>
    </row>
    <row r="578" spans="2:16" ht="13">
      <c r="B578" s="36"/>
      <c r="C578" s="46"/>
      <c r="D578" s="5"/>
      <c r="E578" s="5"/>
      <c r="F578" s="5"/>
      <c r="G578" s="5"/>
      <c r="J578" s="5"/>
      <c r="M578" s="5"/>
      <c r="N578" s="5"/>
      <c r="P578" s="5"/>
    </row>
    <row r="579" spans="2:16" ht="13">
      <c r="B579" s="36"/>
      <c r="C579" s="46"/>
      <c r="D579" s="5"/>
      <c r="E579" s="5"/>
      <c r="F579" s="5"/>
      <c r="G579" s="5"/>
      <c r="J579" s="5"/>
      <c r="M579" s="5"/>
      <c r="N579" s="5"/>
      <c r="P579" s="5"/>
    </row>
    <row r="580" spans="2:16" ht="13">
      <c r="B580" s="36"/>
      <c r="C580" s="46"/>
      <c r="D580" s="5"/>
      <c r="E580" s="5"/>
      <c r="F580" s="5"/>
      <c r="G580" s="5"/>
      <c r="J580" s="5"/>
      <c r="M580" s="5"/>
      <c r="N580" s="5"/>
      <c r="P580" s="5"/>
    </row>
    <row r="581" spans="2:16" ht="13">
      <c r="B581" s="36"/>
      <c r="C581" s="46"/>
      <c r="D581" s="5"/>
      <c r="E581" s="5"/>
      <c r="F581" s="5"/>
      <c r="G581" s="5"/>
      <c r="J581" s="5"/>
      <c r="M581" s="5"/>
      <c r="N581" s="5"/>
      <c r="P581" s="5"/>
    </row>
    <row r="582" spans="2:16" ht="13">
      <c r="B582" s="36"/>
      <c r="C582" s="46"/>
      <c r="D582" s="5"/>
      <c r="E582" s="5"/>
      <c r="F582" s="5"/>
      <c r="G582" s="5"/>
      <c r="J582" s="5"/>
      <c r="M582" s="5"/>
      <c r="N582" s="5"/>
      <c r="P582" s="5"/>
    </row>
    <row r="583" spans="2:16" ht="13">
      <c r="B583" s="36"/>
      <c r="C583" s="46"/>
      <c r="D583" s="5"/>
      <c r="E583" s="5"/>
      <c r="F583" s="5"/>
      <c r="G583" s="5"/>
      <c r="J583" s="5"/>
      <c r="M583" s="5"/>
      <c r="N583" s="5"/>
      <c r="P583" s="5"/>
    </row>
    <row r="584" spans="2:16" ht="13">
      <c r="B584" s="36"/>
      <c r="C584" s="46"/>
      <c r="D584" s="5"/>
      <c r="E584" s="5"/>
      <c r="F584" s="5"/>
      <c r="G584" s="5"/>
      <c r="J584" s="5"/>
      <c r="M584" s="5"/>
      <c r="N584" s="5"/>
      <c r="P584" s="5"/>
    </row>
    <row r="585" spans="2:16" ht="13">
      <c r="B585" s="36"/>
      <c r="C585" s="46"/>
      <c r="D585" s="5"/>
      <c r="E585" s="5"/>
      <c r="F585" s="5"/>
      <c r="G585" s="5"/>
      <c r="J585" s="5"/>
      <c r="M585" s="5"/>
      <c r="N585" s="5"/>
      <c r="P585" s="5"/>
    </row>
    <row r="586" spans="2:16" ht="13">
      <c r="B586" s="36"/>
      <c r="C586" s="46"/>
      <c r="D586" s="5"/>
      <c r="E586" s="5"/>
      <c r="F586" s="5"/>
      <c r="G586" s="5"/>
      <c r="J586" s="5"/>
      <c r="M586" s="5"/>
      <c r="N586" s="5"/>
      <c r="P586" s="5"/>
    </row>
    <row r="587" spans="2:16" ht="13">
      <c r="B587" s="36"/>
      <c r="C587" s="46"/>
      <c r="D587" s="5"/>
      <c r="E587" s="5"/>
      <c r="F587" s="5"/>
      <c r="G587" s="5"/>
      <c r="J587" s="5"/>
      <c r="M587" s="5"/>
      <c r="N587" s="5"/>
      <c r="P587" s="5"/>
    </row>
    <row r="588" spans="2:16" ht="13">
      <c r="B588" s="36"/>
      <c r="C588" s="46"/>
      <c r="D588" s="5"/>
      <c r="E588" s="5"/>
      <c r="F588" s="5"/>
      <c r="G588" s="5"/>
      <c r="J588" s="5"/>
      <c r="M588" s="5"/>
      <c r="N588" s="5"/>
      <c r="P588" s="5"/>
    </row>
    <row r="589" spans="2:16" ht="13">
      <c r="B589" s="36"/>
      <c r="C589" s="46"/>
      <c r="D589" s="5"/>
      <c r="E589" s="5"/>
      <c r="F589" s="5"/>
      <c r="G589" s="5"/>
      <c r="J589" s="5"/>
      <c r="M589" s="5"/>
      <c r="N589" s="5"/>
      <c r="P589" s="5"/>
    </row>
    <row r="590" spans="2:16" ht="13">
      <c r="B590" s="36"/>
      <c r="C590" s="46"/>
      <c r="D590" s="5"/>
      <c r="E590" s="5"/>
      <c r="F590" s="5"/>
      <c r="G590" s="5"/>
      <c r="J590" s="5"/>
      <c r="M590" s="5"/>
      <c r="N590" s="5"/>
      <c r="P590" s="5"/>
    </row>
    <row r="591" spans="2:16" ht="13">
      <c r="B591" s="36"/>
      <c r="C591" s="46"/>
      <c r="D591" s="5"/>
      <c r="E591" s="5"/>
      <c r="F591" s="5"/>
      <c r="G591" s="5"/>
      <c r="J591" s="5"/>
      <c r="M591" s="5"/>
      <c r="N591" s="5"/>
      <c r="P591" s="5"/>
    </row>
    <row r="592" spans="2:16" ht="13">
      <c r="B592" s="36"/>
      <c r="C592" s="46"/>
      <c r="D592" s="5"/>
      <c r="E592" s="5"/>
      <c r="F592" s="5"/>
      <c r="G592" s="5"/>
      <c r="J592" s="5"/>
      <c r="M592" s="5"/>
      <c r="N592" s="5"/>
      <c r="P592" s="5"/>
    </row>
    <row r="593" spans="2:16" ht="13">
      <c r="B593" s="36"/>
      <c r="C593" s="46"/>
      <c r="D593" s="5"/>
      <c r="E593" s="5"/>
      <c r="F593" s="5"/>
      <c r="G593" s="5"/>
      <c r="J593" s="5"/>
      <c r="M593" s="5"/>
      <c r="N593" s="5"/>
      <c r="P593" s="5"/>
    </row>
    <row r="594" spans="2:16" ht="13">
      <c r="B594" s="36"/>
      <c r="C594" s="46"/>
      <c r="D594" s="5"/>
      <c r="E594" s="5"/>
      <c r="F594" s="5"/>
      <c r="G594" s="5"/>
      <c r="J594" s="5"/>
      <c r="M594" s="5"/>
      <c r="N594" s="5"/>
      <c r="P594" s="5"/>
    </row>
    <row r="595" spans="2:16" ht="13">
      <c r="B595" s="36"/>
      <c r="C595" s="46"/>
      <c r="D595" s="5"/>
      <c r="E595" s="5"/>
      <c r="F595" s="5"/>
      <c r="G595" s="5"/>
      <c r="J595" s="5"/>
      <c r="M595" s="5"/>
      <c r="N595" s="5"/>
      <c r="P595" s="5"/>
    </row>
    <row r="596" spans="2:16" ht="13">
      <c r="B596" s="36"/>
      <c r="C596" s="46"/>
      <c r="D596" s="5"/>
      <c r="E596" s="5"/>
      <c r="F596" s="5"/>
      <c r="G596" s="5"/>
      <c r="J596" s="5"/>
      <c r="M596" s="5"/>
      <c r="N596" s="5"/>
      <c r="P596" s="5"/>
    </row>
    <row r="597" spans="2:16" ht="13">
      <c r="B597" s="36"/>
      <c r="C597" s="46"/>
      <c r="D597" s="5"/>
      <c r="E597" s="5"/>
      <c r="F597" s="5"/>
      <c r="G597" s="5"/>
      <c r="J597" s="5"/>
      <c r="M597" s="5"/>
      <c r="N597" s="5"/>
      <c r="P597" s="5"/>
    </row>
    <row r="598" spans="2:16" ht="13">
      <c r="B598" s="36"/>
      <c r="C598" s="46"/>
      <c r="D598" s="5"/>
      <c r="E598" s="5"/>
      <c r="F598" s="5"/>
      <c r="G598" s="5"/>
      <c r="J598" s="5"/>
      <c r="M598" s="5"/>
      <c r="N598" s="5"/>
      <c r="P598" s="5"/>
    </row>
    <row r="599" spans="2:16" ht="13">
      <c r="B599" s="36"/>
      <c r="C599" s="46"/>
      <c r="D599" s="5"/>
      <c r="E599" s="5"/>
      <c r="F599" s="5"/>
      <c r="G599" s="5"/>
      <c r="J599" s="5"/>
      <c r="M599" s="5"/>
      <c r="N599" s="5"/>
      <c r="P599" s="5"/>
    </row>
    <row r="600" spans="2:16" ht="13">
      <c r="B600" s="36"/>
      <c r="C600" s="46"/>
      <c r="D600" s="5"/>
      <c r="E600" s="5"/>
      <c r="F600" s="5"/>
      <c r="G600" s="5"/>
      <c r="J600" s="5"/>
      <c r="M600" s="5"/>
      <c r="N600" s="5"/>
      <c r="P600" s="5"/>
    </row>
    <row r="601" spans="2:16" ht="13">
      <c r="B601" s="36"/>
      <c r="C601" s="46"/>
      <c r="D601" s="5"/>
      <c r="E601" s="5"/>
      <c r="F601" s="5"/>
      <c r="G601" s="5"/>
      <c r="J601" s="5"/>
      <c r="M601" s="5"/>
      <c r="N601" s="5"/>
      <c r="P601" s="5"/>
    </row>
    <row r="602" spans="2:16" ht="13">
      <c r="B602" s="36"/>
      <c r="C602" s="46"/>
      <c r="D602" s="5"/>
      <c r="E602" s="5"/>
      <c r="F602" s="5"/>
      <c r="G602" s="5"/>
      <c r="J602" s="5"/>
      <c r="M602" s="5"/>
      <c r="N602" s="5"/>
      <c r="P602" s="5"/>
    </row>
    <row r="603" spans="2:16" ht="13">
      <c r="B603" s="36"/>
      <c r="C603" s="46"/>
      <c r="D603" s="5"/>
      <c r="E603" s="5"/>
      <c r="F603" s="5"/>
      <c r="G603" s="5"/>
      <c r="J603" s="5"/>
      <c r="M603" s="5"/>
      <c r="N603" s="5"/>
      <c r="P603" s="5"/>
    </row>
    <row r="604" spans="2:16" ht="13">
      <c r="B604" s="36"/>
      <c r="C604" s="46"/>
      <c r="D604" s="5"/>
      <c r="E604" s="5"/>
      <c r="F604" s="5"/>
      <c r="G604" s="5"/>
      <c r="J604" s="5"/>
      <c r="M604" s="5"/>
      <c r="N604" s="5"/>
      <c r="P604" s="5"/>
    </row>
    <row r="605" spans="2:16" ht="13">
      <c r="B605" s="36"/>
      <c r="C605" s="46"/>
      <c r="D605" s="5"/>
      <c r="E605" s="5"/>
      <c r="F605" s="5"/>
      <c r="G605" s="5"/>
      <c r="J605" s="5"/>
      <c r="M605" s="5"/>
      <c r="N605" s="5"/>
      <c r="P605" s="5"/>
    </row>
    <row r="606" spans="2:16" ht="13">
      <c r="B606" s="36"/>
      <c r="C606" s="46"/>
      <c r="D606" s="5"/>
      <c r="E606" s="5"/>
      <c r="F606" s="5"/>
      <c r="G606" s="5"/>
      <c r="J606" s="5"/>
      <c r="M606" s="5"/>
      <c r="N606" s="5"/>
      <c r="P606" s="5"/>
    </row>
    <row r="607" spans="2:16" ht="13">
      <c r="B607" s="36"/>
      <c r="C607" s="46"/>
      <c r="D607" s="5"/>
      <c r="E607" s="5"/>
      <c r="F607" s="5"/>
      <c r="G607" s="5"/>
      <c r="J607" s="5"/>
      <c r="M607" s="5"/>
      <c r="N607" s="5"/>
      <c r="P607" s="5"/>
    </row>
    <row r="608" spans="2:16" ht="13">
      <c r="B608" s="36"/>
      <c r="C608" s="46"/>
      <c r="D608" s="5"/>
      <c r="E608" s="5"/>
      <c r="F608" s="5"/>
      <c r="G608" s="5"/>
      <c r="J608" s="5"/>
      <c r="M608" s="5"/>
      <c r="N608" s="5"/>
      <c r="P608" s="5"/>
    </row>
    <row r="609" spans="2:16" ht="13">
      <c r="B609" s="36"/>
      <c r="C609" s="46"/>
      <c r="D609" s="5"/>
      <c r="E609" s="5"/>
      <c r="F609" s="5"/>
      <c r="G609" s="5"/>
      <c r="J609" s="5"/>
      <c r="M609" s="5"/>
      <c r="N609" s="5"/>
      <c r="P609" s="5"/>
    </row>
    <row r="610" spans="2:16" ht="13">
      <c r="B610" s="36"/>
      <c r="C610" s="46"/>
      <c r="D610" s="5"/>
      <c r="E610" s="5"/>
      <c r="F610" s="5"/>
      <c r="G610" s="5"/>
      <c r="J610" s="5"/>
      <c r="M610" s="5"/>
      <c r="N610" s="5"/>
      <c r="P610" s="5"/>
    </row>
    <row r="611" spans="2:16" ht="13">
      <c r="B611" s="36"/>
      <c r="C611" s="46"/>
      <c r="D611" s="5"/>
      <c r="E611" s="5"/>
      <c r="F611" s="5"/>
      <c r="G611" s="5"/>
      <c r="J611" s="5"/>
      <c r="M611" s="5"/>
      <c r="N611" s="5"/>
      <c r="P611" s="5"/>
    </row>
    <row r="612" spans="2:16" ht="13">
      <c r="B612" s="36"/>
      <c r="C612" s="46"/>
      <c r="D612" s="5"/>
      <c r="E612" s="5"/>
      <c r="F612" s="5"/>
      <c r="G612" s="5"/>
      <c r="J612" s="5"/>
      <c r="M612" s="5"/>
      <c r="N612" s="5"/>
      <c r="P612" s="5"/>
    </row>
    <row r="613" spans="2:16" ht="13">
      <c r="B613" s="36"/>
      <c r="C613" s="46"/>
      <c r="D613" s="5"/>
      <c r="E613" s="5"/>
      <c r="F613" s="5"/>
      <c r="G613" s="5"/>
      <c r="J613" s="5"/>
      <c r="M613" s="5"/>
      <c r="N613" s="5"/>
      <c r="P613" s="5"/>
    </row>
    <row r="614" spans="2:16" ht="13">
      <c r="B614" s="36"/>
      <c r="C614" s="46"/>
      <c r="D614" s="5"/>
      <c r="E614" s="5"/>
      <c r="F614" s="5"/>
      <c r="G614" s="5"/>
      <c r="J614" s="5"/>
      <c r="M614" s="5"/>
      <c r="N614" s="5"/>
      <c r="P614" s="5"/>
    </row>
    <row r="615" spans="2:16" ht="13">
      <c r="B615" s="36"/>
      <c r="C615" s="46"/>
      <c r="D615" s="5"/>
      <c r="E615" s="5"/>
      <c r="F615" s="5"/>
      <c r="G615" s="5"/>
      <c r="J615" s="5"/>
      <c r="M615" s="5"/>
      <c r="N615" s="5"/>
      <c r="P615" s="5"/>
    </row>
    <row r="616" spans="2:16" ht="13">
      <c r="B616" s="36"/>
      <c r="C616" s="46"/>
      <c r="D616" s="5"/>
      <c r="E616" s="5"/>
      <c r="F616" s="5"/>
      <c r="G616" s="5"/>
      <c r="J616" s="5"/>
      <c r="M616" s="5"/>
      <c r="N616" s="5"/>
      <c r="P616" s="5"/>
    </row>
    <row r="617" spans="2:16" ht="13">
      <c r="B617" s="36"/>
      <c r="C617" s="46"/>
      <c r="D617" s="5"/>
      <c r="E617" s="5"/>
      <c r="F617" s="5"/>
      <c r="G617" s="5"/>
      <c r="J617" s="5"/>
      <c r="M617" s="5"/>
      <c r="N617" s="5"/>
      <c r="P617" s="5"/>
    </row>
    <row r="618" spans="2:16" ht="13">
      <c r="B618" s="36"/>
      <c r="C618" s="46"/>
      <c r="D618" s="5"/>
      <c r="E618" s="5"/>
      <c r="F618" s="5"/>
      <c r="G618" s="5"/>
      <c r="J618" s="5"/>
      <c r="M618" s="5"/>
      <c r="N618" s="5"/>
      <c r="P618" s="5"/>
    </row>
    <row r="619" spans="2:16" ht="13">
      <c r="B619" s="36"/>
      <c r="C619" s="46"/>
      <c r="D619" s="5"/>
      <c r="E619" s="5"/>
      <c r="F619" s="5"/>
      <c r="G619" s="5"/>
      <c r="J619" s="5"/>
      <c r="M619" s="5"/>
      <c r="N619" s="5"/>
      <c r="P619" s="5"/>
    </row>
    <row r="620" spans="2:16" ht="13">
      <c r="B620" s="36"/>
      <c r="C620" s="46"/>
      <c r="D620" s="5"/>
      <c r="E620" s="5"/>
      <c r="F620" s="5"/>
      <c r="G620" s="5"/>
      <c r="J620" s="5"/>
      <c r="M620" s="5"/>
      <c r="N620" s="5"/>
      <c r="P620" s="5"/>
    </row>
    <row r="621" spans="2:16" ht="13">
      <c r="B621" s="36"/>
      <c r="C621" s="46"/>
      <c r="D621" s="5"/>
      <c r="E621" s="5"/>
      <c r="F621" s="5"/>
      <c r="G621" s="5"/>
      <c r="J621" s="5"/>
      <c r="M621" s="5"/>
      <c r="N621" s="5"/>
      <c r="P621" s="5"/>
    </row>
    <row r="622" spans="2:16" ht="13">
      <c r="B622" s="36"/>
      <c r="C622" s="46"/>
      <c r="D622" s="5"/>
      <c r="E622" s="5"/>
      <c r="F622" s="5"/>
      <c r="G622" s="5"/>
      <c r="J622" s="5"/>
      <c r="M622" s="5"/>
      <c r="N622" s="5"/>
      <c r="P622" s="5"/>
    </row>
    <row r="623" spans="2:16" ht="13">
      <c r="B623" s="36"/>
      <c r="C623" s="46"/>
      <c r="D623" s="5"/>
      <c r="E623" s="5"/>
      <c r="F623" s="5"/>
      <c r="G623" s="5"/>
      <c r="J623" s="5"/>
      <c r="M623" s="5"/>
      <c r="N623" s="5"/>
      <c r="P623" s="5"/>
    </row>
    <row r="624" spans="2:16" ht="13">
      <c r="B624" s="36"/>
      <c r="C624" s="46"/>
      <c r="D624" s="5"/>
      <c r="E624" s="5"/>
      <c r="F624" s="5"/>
      <c r="G624" s="5"/>
      <c r="J624" s="5"/>
      <c r="M624" s="5"/>
      <c r="N624" s="5"/>
      <c r="P624" s="5"/>
    </row>
    <row r="625" spans="2:16" ht="13">
      <c r="B625" s="36"/>
      <c r="C625" s="46"/>
      <c r="D625" s="5"/>
      <c r="E625" s="5"/>
      <c r="F625" s="5"/>
      <c r="G625" s="5"/>
      <c r="J625" s="5"/>
      <c r="M625" s="5"/>
      <c r="N625" s="5"/>
      <c r="P625" s="5"/>
    </row>
    <row r="626" spans="2:16" ht="13">
      <c r="B626" s="36"/>
      <c r="C626" s="46"/>
      <c r="D626" s="5"/>
      <c r="E626" s="5"/>
      <c r="F626" s="5"/>
      <c r="G626" s="5"/>
      <c r="J626" s="5"/>
      <c r="M626" s="5"/>
      <c r="N626" s="5"/>
      <c r="P626" s="5"/>
    </row>
    <row r="627" spans="2:16" ht="13">
      <c r="B627" s="36"/>
      <c r="C627" s="46"/>
      <c r="D627" s="5"/>
      <c r="E627" s="5"/>
      <c r="F627" s="5"/>
      <c r="G627" s="5"/>
      <c r="J627" s="5"/>
      <c r="M627" s="5"/>
      <c r="N627" s="5"/>
      <c r="P627" s="5"/>
    </row>
    <row r="628" spans="2:16" ht="13">
      <c r="B628" s="36"/>
      <c r="C628" s="46"/>
      <c r="D628" s="5"/>
      <c r="E628" s="5"/>
      <c r="F628" s="5"/>
      <c r="G628" s="5"/>
      <c r="J628" s="5"/>
      <c r="M628" s="5"/>
      <c r="N628" s="5"/>
      <c r="P628" s="5"/>
    </row>
    <row r="629" spans="2:16" ht="13">
      <c r="B629" s="36"/>
      <c r="C629" s="46"/>
      <c r="D629" s="5"/>
      <c r="E629" s="5"/>
      <c r="F629" s="5"/>
      <c r="G629" s="5"/>
      <c r="J629" s="5"/>
      <c r="M629" s="5"/>
      <c r="N629" s="5"/>
      <c r="P629" s="5"/>
    </row>
    <row r="630" spans="2:16" ht="13">
      <c r="B630" s="36"/>
      <c r="C630" s="46"/>
      <c r="D630" s="5"/>
      <c r="E630" s="5"/>
      <c r="F630" s="5"/>
      <c r="G630" s="5"/>
      <c r="J630" s="5"/>
      <c r="M630" s="5"/>
      <c r="N630" s="5"/>
      <c r="P630" s="5"/>
    </row>
    <row r="631" spans="2:16" ht="13">
      <c r="B631" s="36"/>
      <c r="C631" s="46"/>
      <c r="D631" s="5"/>
      <c r="E631" s="5"/>
      <c r="F631" s="5"/>
      <c r="G631" s="5"/>
      <c r="J631" s="5"/>
      <c r="M631" s="5"/>
      <c r="N631" s="5"/>
      <c r="P631" s="5"/>
    </row>
    <row r="632" spans="2:16" ht="13">
      <c r="B632" s="36"/>
      <c r="C632" s="46"/>
      <c r="D632" s="5"/>
      <c r="E632" s="5"/>
      <c r="F632" s="5"/>
      <c r="G632" s="5"/>
      <c r="J632" s="5"/>
      <c r="M632" s="5"/>
      <c r="N632" s="5"/>
      <c r="P632" s="5"/>
    </row>
    <row r="633" spans="2:16" ht="13">
      <c r="B633" s="36"/>
      <c r="C633" s="46"/>
      <c r="D633" s="5"/>
      <c r="E633" s="5"/>
      <c r="F633" s="5"/>
      <c r="G633" s="5"/>
      <c r="J633" s="5"/>
      <c r="M633" s="5"/>
      <c r="N633" s="5"/>
      <c r="P633" s="5"/>
    </row>
    <row r="634" spans="2:16" ht="13">
      <c r="B634" s="36"/>
      <c r="C634" s="46"/>
      <c r="D634" s="5"/>
      <c r="E634" s="5"/>
      <c r="F634" s="5"/>
      <c r="G634" s="5"/>
      <c r="J634" s="5"/>
      <c r="M634" s="5"/>
      <c r="N634" s="5"/>
      <c r="P634" s="5"/>
    </row>
    <row r="635" spans="2:16" ht="13">
      <c r="B635" s="36"/>
      <c r="C635" s="46"/>
      <c r="D635" s="5"/>
      <c r="E635" s="5"/>
      <c r="F635" s="5"/>
      <c r="G635" s="5"/>
      <c r="J635" s="5"/>
      <c r="M635" s="5"/>
      <c r="N635" s="5"/>
      <c r="P635" s="5"/>
    </row>
    <row r="636" spans="2:16" ht="13">
      <c r="B636" s="36"/>
      <c r="C636" s="46"/>
      <c r="D636" s="5"/>
      <c r="E636" s="5"/>
      <c r="F636" s="5"/>
      <c r="G636" s="5"/>
      <c r="J636" s="5"/>
      <c r="M636" s="5"/>
      <c r="N636" s="5"/>
      <c r="P636" s="5"/>
    </row>
    <row r="637" spans="2:16" ht="13">
      <c r="B637" s="36"/>
      <c r="C637" s="46"/>
      <c r="D637" s="5"/>
      <c r="E637" s="5"/>
      <c r="F637" s="5"/>
      <c r="G637" s="5"/>
      <c r="J637" s="5"/>
      <c r="M637" s="5"/>
      <c r="N637" s="5"/>
      <c r="P637" s="5"/>
    </row>
    <row r="638" spans="2:16" ht="13">
      <c r="B638" s="36"/>
      <c r="C638" s="46"/>
      <c r="D638" s="5"/>
      <c r="E638" s="5"/>
      <c r="F638" s="5"/>
      <c r="G638" s="5"/>
      <c r="J638" s="5"/>
      <c r="M638" s="5"/>
      <c r="N638" s="5"/>
      <c r="P638" s="5"/>
    </row>
    <row r="639" spans="2:16" ht="13">
      <c r="B639" s="36"/>
      <c r="C639" s="46"/>
      <c r="D639" s="5"/>
      <c r="E639" s="5"/>
      <c r="F639" s="5"/>
      <c r="G639" s="5"/>
      <c r="J639" s="5"/>
      <c r="M639" s="5"/>
      <c r="N639" s="5"/>
      <c r="P639" s="5"/>
    </row>
    <row r="640" spans="2:16" ht="13">
      <c r="B640" s="36"/>
      <c r="C640" s="46"/>
      <c r="D640" s="5"/>
      <c r="E640" s="5"/>
      <c r="F640" s="5"/>
      <c r="G640" s="5"/>
      <c r="J640" s="5"/>
      <c r="M640" s="5"/>
      <c r="N640" s="5"/>
      <c r="P640" s="5"/>
    </row>
    <row r="641" spans="2:16" ht="13">
      <c r="B641" s="36"/>
      <c r="C641" s="46"/>
      <c r="D641" s="5"/>
      <c r="E641" s="5"/>
      <c r="F641" s="5"/>
      <c r="G641" s="5"/>
      <c r="J641" s="5"/>
      <c r="M641" s="5"/>
      <c r="N641" s="5"/>
      <c r="P641" s="5"/>
    </row>
    <row r="642" spans="2:16" ht="13">
      <c r="B642" s="36"/>
      <c r="C642" s="46"/>
      <c r="D642" s="5"/>
      <c r="E642" s="5"/>
      <c r="F642" s="5"/>
      <c r="G642" s="5"/>
      <c r="J642" s="5"/>
      <c r="M642" s="5"/>
      <c r="N642" s="5"/>
      <c r="P642" s="5"/>
    </row>
    <row r="643" spans="2:16" ht="13">
      <c r="B643" s="36"/>
      <c r="C643" s="46"/>
      <c r="D643" s="5"/>
      <c r="E643" s="5"/>
      <c r="F643" s="5"/>
      <c r="G643" s="5"/>
      <c r="J643" s="5"/>
      <c r="M643" s="5"/>
      <c r="N643" s="5"/>
      <c r="P643" s="5"/>
    </row>
    <row r="644" spans="2:16" ht="13">
      <c r="B644" s="36"/>
      <c r="C644" s="46"/>
      <c r="D644" s="5"/>
      <c r="E644" s="5"/>
      <c r="F644" s="5"/>
      <c r="G644" s="5"/>
      <c r="J644" s="5"/>
      <c r="M644" s="5"/>
      <c r="N644" s="5"/>
      <c r="P644" s="5"/>
    </row>
    <row r="645" spans="2:16" ht="13">
      <c r="B645" s="36"/>
      <c r="C645" s="46"/>
      <c r="D645" s="5"/>
      <c r="E645" s="5"/>
      <c r="F645" s="5"/>
      <c r="G645" s="5"/>
      <c r="J645" s="5"/>
      <c r="M645" s="5"/>
      <c r="N645" s="5"/>
      <c r="P645" s="5"/>
    </row>
    <row r="646" spans="2:16" ht="13">
      <c r="B646" s="36"/>
      <c r="C646" s="46"/>
      <c r="D646" s="5"/>
      <c r="E646" s="5"/>
      <c r="F646" s="5"/>
      <c r="G646" s="5"/>
      <c r="J646" s="5"/>
      <c r="M646" s="5"/>
      <c r="N646" s="5"/>
      <c r="P646" s="5"/>
    </row>
    <row r="647" spans="2:16" ht="13">
      <c r="B647" s="36"/>
      <c r="C647" s="46"/>
      <c r="D647" s="5"/>
      <c r="E647" s="5"/>
      <c r="F647" s="5"/>
      <c r="G647" s="5"/>
      <c r="J647" s="5"/>
      <c r="M647" s="5"/>
      <c r="N647" s="5"/>
      <c r="P647" s="5"/>
    </row>
    <row r="648" spans="2:16" ht="13">
      <c r="B648" s="36"/>
      <c r="C648" s="46"/>
      <c r="D648" s="5"/>
      <c r="E648" s="5"/>
      <c r="F648" s="5"/>
      <c r="G648" s="5"/>
      <c r="J648" s="5"/>
      <c r="M648" s="5"/>
      <c r="N648" s="5"/>
      <c r="P648" s="5"/>
    </row>
    <row r="649" spans="2:16" ht="13">
      <c r="B649" s="36"/>
      <c r="C649" s="46"/>
      <c r="D649" s="5"/>
      <c r="E649" s="5"/>
      <c r="F649" s="5"/>
      <c r="G649" s="5"/>
      <c r="J649" s="5"/>
      <c r="M649" s="5"/>
      <c r="N649" s="5"/>
      <c r="P649" s="5"/>
    </row>
    <row r="650" spans="2:16" ht="13">
      <c r="B650" s="36"/>
      <c r="C650" s="46"/>
      <c r="D650" s="5"/>
      <c r="E650" s="5"/>
      <c r="F650" s="5"/>
      <c r="G650" s="5"/>
      <c r="J650" s="5"/>
      <c r="M650" s="5"/>
      <c r="N650" s="5"/>
      <c r="P650" s="5"/>
    </row>
    <row r="651" spans="2:16" ht="13">
      <c r="B651" s="36"/>
      <c r="C651" s="46"/>
      <c r="D651" s="5"/>
      <c r="E651" s="5"/>
      <c r="F651" s="5"/>
      <c r="G651" s="5"/>
      <c r="J651" s="5"/>
      <c r="M651" s="5"/>
      <c r="N651" s="5"/>
      <c r="P651" s="5"/>
    </row>
    <row r="652" spans="2:16" ht="13">
      <c r="B652" s="36"/>
      <c r="C652" s="46"/>
      <c r="D652" s="5"/>
      <c r="E652" s="5"/>
      <c r="F652" s="5"/>
      <c r="G652" s="5"/>
      <c r="J652" s="5"/>
      <c r="M652" s="5"/>
      <c r="N652" s="5"/>
      <c r="P652" s="5"/>
    </row>
    <row r="653" spans="2:16" ht="13">
      <c r="B653" s="36"/>
      <c r="C653" s="46"/>
      <c r="D653" s="5"/>
      <c r="E653" s="5"/>
      <c r="F653" s="5"/>
      <c r="G653" s="5"/>
      <c r="J653" s="5"/>
      <c r="M653" s="5"/>
      <c r="N653" s="5"/>
      <c r="P653" s="5"/>
    </row>
    <row r="654" spans="2:16" ht="13">
      <c r="B654" s="36"/>
      <c r="C654" s="46"/>
      <c r="D654" s="5"/>
      <c r="E654" s="5"/>
      <c r="F654" s="5"/>
      <c r="G654" s="5"/>
      <c r="J654" s="5"/>
      <c r="M654" s="5"/>
      <c r="N654" s="5"/>
      <c r="P654" s="5"/>
    </row>
    <row r="655" spans="2:16" ht="13">
      <c r="B655" s="36"/>
      <c r="C655" s="46"/>
      <c r="D655" s="5"/>
      <c r="E655" s="5"/>
      <c r="F655" s="5"/>
      <c r="G655" s="5"/>
      <c r="J655" s="5"/>
      <c r="M655" s="5"/>
      <c r="N655" s="5"/>
      <c r="P655" s="5"/>
    </row>
    <row r="656" spans="2:16" ht="13">
      <c r="B656" s="36"/>
      <c r="C656" s="46"/>
      <c r="D656" s="5"/>
      <c r="E656" s="5"/>
      <c r="F656" s="5"/>
      <c r="G656" s="5"/>
      <c r="J656" s="5"/>
      <c r="M656" s="5"/>
      <c r="N656" s="5"/>
      <c r="P656" s="5"/>
    </row>
    <row r="657" spans="2:16" ht="13">
      <c r="B657" s="36"/>
      <c r="C657" s="46"/>
      <c r="D657" s="5"/>
      <c r="E657" s="5"/>
      <c r="F657" s="5"/>
      <c r="G657" s="5"/>
      <c r="J657" s="5"/>
      <c r="M657" s="5"/>
      <c r="N657" s="5"/>
      <c r="P657" s="5"/>
    </row>
    <row r="658" spans="2:16" ht="13">
      <c r="B658" s="36"/>
      <c r="C658" s="46"/>
      <c r="D658" s="5"/>
      <c r="E658" s="5"/>
      <c r="F658" s="5"/>
      <c r="G658" s="5"/>
      <c r="J658" s="5"/>
      <c r="M658" s="5"/>
      <c r="N658" s="5"/>
      <c r="P658" s="5"/>
    </row>
    <row r="659" spans="2:16" ht="13">
      <c r="B659" s="36"/>
      <c r="C659" s="46"/>
      <c r="D659" s="5"/>
      <c r="E659" s="5"/>
      <c r="F659" s="5"/>
      <c r="G659" s="5"/>
      <c r="J659" s="5"/>
      <c r="M659" s="5"/>
      <c r="N659" s="5"/>
      <c r="P659" s="5"/>
    </row>
    <row r="660" spans="2:16" ht="13">
      <c r="B660" s="36"/>
      <c r="C660" s="46"/>
      <c r="D660" s="5"/>
      <c r="E660" s="5"/>
      <c r="F660" s="5"/>
      <c r="G660" s="5"/>
      <c r="J660" s="5"/>
      <c r="M660" s="5"/>
      <c r="N660" s="5"/>
      <c r="P660" s="5"/>
    </row>
    <row r="661" spans="2:16" ht="13">
      <c r="B661" s="36"/>
      <c r="C661" s="46"/>
      <c r="D661" s="5"/>
      <c r="E661" s="5"/>
      <c r="F661" s="5"/>
      <c r="G661" s="5"/>
      <c r="J661" s="5"/>
      <c r="M661" s="5"/>
      <c r="N661" s="5"/>
      <c r="P661" s="5"/>
    </row>
    <row r="662" spans="2:16" ht="13">
      <c r="B662" s="36"/>
      <c r="C662" s="46"/>
      <c r="D662" s="5"/>
      <c r="E662" s="5"/>
      <c r="F662" s="5"/>
      <c r="G662" s="5"/>
      <c r="J662" s="5"/>
      <c r="M662" s="5"/>
      <c r="N662" s="5"/>
      <c r="P662" s="5"/>
    </row>
    <row r="663" spans="2:16" ht="13">
      <c r="B663" s="36"/>
      <c r="C663" s="46"/>
      <c r="D663" s="5"/>
      <c r="E663" s="5"/>
      <c r="F663" s="5"/>
      <c r="G663" s="5"/>
      <c r="J663" s="5"/>
      <c r="M663" s="5"/>
      <c r="N663" s="5"/>
      <c r="P663" s="5"/>
    </row>
    <row r="664" spans="2:16" ht="13">
      <c r="B664" s="36"/>
      <c r="C664" s="46"/>
      <c r="D664" s="5"/>
      <c r="E664" s="5"/>
      <c r="F664" s="5"/>
      <c r="G664" s="5"/>
      <c r="J664" s="5"/>
      <c r="M664" s="5"/>
      <c r="N664" s="5"/>
      <c r="P664" s="5"/>
    </row>
    <row r="665" spans="2:16" ht="13">
      <c r="B665" s="36"/>
      <c r="C665" s="46"/>
      <c r="D665" s="5"/>
      <c r="E665" s="5"/>
      <c r="F665" s="5"/>
      <c r="G665" s="5"/>
      <c r="J665" s="5"/>
      <c r="M665" s="5"/>
      <c r="N665" s="5"/>
      <c r="P665" s="5"/>
    </row>
    <row r="666" spans="2:16" ht="13">
      <c r="B666" s="36"/>
      <c r="C666" s="46"/>
      <c r="D666" s="5"/>
      <c r="E666" s="5"/>
      <c r="F666" s="5"/>
      <c r="G666" s="5"/>
      <c r="J666" s="5"/>
      <c r="M666" s="5"/>
      <c r="N666" s="5"/>
      <c r="P666" s="5"/>
    </row>
    <row r="667" spans="2:16" ht="13">
      <c r="B667" s="36"/>
      <c r="C667" s="46"/>
      <c r="D667" s="5"/>
      <c r="E667" s="5"/>
      <c r="F667" s="5"/>
      <c r="G667" s="5"/>
      <c r="J667" s="5"/>
      <c r="M667" s="5"/>
      <c r="N667" s="5"/>
      <c r="P667" s="5"/>
    </row>
    <row r="668" spans="2:16" ht="13">
      <c r="B668" s="36"/>
      <c r="C668" s="46"/>
      <c r="D668" s="5"/>
      <c r="E668" s="5"/>
      <c r="F668" s="5"/>
      <c r="G668" s="5"/>
      <c r="J668" s="5"/>
      <c r="M668" s="5"/>
      <c r="N668" s="5"/>
      <c r="P668" s="5"/>
    </row>
    <row r="669" spans="2:16" ht="13">
      <c r="B669" s="36"/>
      <c r="C669" s="46"/>
      <c r="D669" s="5"/>
      <c r="E669" s="5"/>
      <c r="F669" s="5"/>
      <c r="G669" s="5"/>
      <c r="J669" s="5"/>
      <c r="M669" s="5"/>
      <c r="N669" s="5"/>
      <c r="P669" s="5"/>
    </row>
    <row r="670" spans="2:16" ht="13">
      <c r="B670" s="36"/>
      <c r="C670" s="46"/>
      <c r="D670" s="5"/>
      <c r="E670" s="5"/>
      <c r="F670" s="5"/>
      <c r="G670" s="5"/>
      <c r="J670" s="5"/>
      <c r="M670" s="5"/>
      <c r="N670" s="5"/>
      <c r="P670" s="5"/>
    </row>
    <row r="671" spans="2:16" ht="13">
      <c r="B671" s="36"/>
      <c r="C671" s="46"/>
      <c r="D671" s="5"/>
      <c r="E671" s="5"/>
      <c r="F671" s="5"/>
      <c r="G671" s="5"/>
      <c r="J671" s="5"/>
      <c r="M671" s="5"/>
      <c r="N671" s="5"/>
      <c r="P671" s="5"/>
    </row>
    <row r="672" spans="2:16" ht="13">
      <c r="B672" s="36"/>
      <c r="C672" s="46"/>
      <c r="D672" s="5"/>
      <c r="E672" s="5"/>
      <c r="F672" s="5"/>
      <c r="G672" s="5"/>
      <c r="J672" s="5"/>
      <c r="M672" s="5"/>
      <c r="N672" s="5"/>
      <c r="P672" s="5"/>
    </row>
    <row r="673" spans="2:16" ht="13">
      <c r="B673" s="36"/>
      <c r="C673" s="46"/>
      <c r="D673" s="5"/>
      <c r="E673" s="5"/>
      <c r="F673" s="5"/>
      <c r="G673" s="5"/>
      <c r="J673" s="5"/>
      <c r="M673" s="5"/>
      <c r="N673" s="5"/>
      <c r="P673" s="5"/>
    </row>
    <row r="674" spans="2:16" ht="13">
      <c r="B674" s="36"/>
      <c r="C674" s="46"/>
      <c r="D674" s="5"/>
      <c r="E674" s="5"/>
      <c r="F674" s="5"/>
      <c r="G674" s="5"/>
      <c r="J674" s="5"/>
      <c r="M674" s="5"/>
      <c r="N674" s="5"/>
      <c r="P674" s="5"/>
    </row>
    <row r="675" spans="2:16" ht="13">
      <c r="B675" s="36"/>
      <c r="C675" s="46"/>
      <c r="D675" s="5"/>
      <c r="E675" s="5"/>
      <c r="F675" s="5"/>
      <c r="G675" s="5"/>
      <c r="J675" s="5"/>
      <c r="M675" s="5"/>
      <c r="N675" s="5"/>
      <c r="P675" s="5"/>
    </row>
    <row r="676" spans="2:16" ht="13">
      <c r="B676" s="36"/>
      <c r="C676" s="46"/>
      <c r="D676" s="5"/>
      <c r="E676" s="5"/>
      <c r="F676" s="5"/>
      <c r="G676" s="5"/>
      <c r="J676" s="5"/>
      <c r="M676" s="5"/>
      <c r="N676" s="5"/>
      <c r="P676" s="5"/>
    </row>
    <row r="677" spans="2:16" ht="13">
      <c r="B677" s="36"/>
      <c r="C677" s="46"/>
      <c r="D677" s="5"/>
      <c r="E677" s="5"/>
      <c r="F677" s="5"/>
      <c r="G677" s="5"/>
      <c r="J677" s="5"/>
      <c r="M677" s="5"/>
      <c r="N677" s="5"/>
      <c r="P677" s="5"/>
    </row>
    <row r="678" spans="2:16" ht="13">
      <c r="B678" s="36"/>
      <c r="C678" s="46"/>
      <c r="D678" s="5"/>
      <c r="E678" s="5"/>
      <c r="F678" s="5"/>
      <c r="G678" s="5"/>
      <c r="J678" s="5"/>
      <c r="M678" s="5"/>
      <c r="N678" s="5"/>
      <c r="P678" s="5"/>
    </row>
    <row r="679" spans="2:16" ht="13">
      <c r="B679" s="36"/>
      <c r="C679" s="46"/>
      <c r="D679" s="5"/>
      <c r="E679" s="5"/>
      <c r="F679" s="5"/>
      <c r="G679" s="5"/>
      <c r="J679" s="5"/>
      <c r="M679" s="5"/>
      <c r="N679" s="5"/>
      <c r="P679" s="5"/>
    </row>
    <row r="680" spans="2:16" ht="13">
      <c r="B680" s="36"/>
      <c r="C680" s="46"/>
      <c r="D680" s="5"/>
      <c r="E680" s="5"/>
      <c r="F680" s="5"/>
      <c r="G680" s="5"/>
      <c r="J680" s="5"/>
      <c r="M680" s="5"/>
      <c r="N680" s="5"/>
      <c r="P680" s="5"/>
    </row>
    <row r="681" spans="2:16" ht="13">
      <c r="B681" s="36"/>
      <c r="C681" s="46"/>
      <c r="D681" s="5"/>
      <c r="E681" s="5"/>
      <c r="F681" s="5"/>
      <c r="G681" s="5"/>
      <c r="J681" s="5"/>
      <c r="M681" s="5"/>
      <c r="N681" s="5"/>
      <c r="P681" s="5"/>
    </row>
    <row r="682" spans="2:16" ht="13">
      <c r="B682" s="36"/>
      <c r="C682" s="46"/>
      <c r="D682" s="5"/>
      <c r="E682" s="5"/>
      <c r="F682" s="5"/>
      <c r="G682" s="5"/>
      <c r="J682" s="5"/>
      <c r="M682" s="5"/>
      <c r="N682" s="5"/>
      <c r="P682" s="5"/>
    </row>
    <row r="683" spans="2:16" ht="13">
      <c r="B683" s="36"/>
      <c r="C683" s="46"/>
      <c r="D683" s="5"/>
      <c r="E683" s="5"/>
      <c r="F683" s="5"/>
      <c r="G683" s="5"/>
      <c r="J683" s="5"/>
      <c r="M683" s="5"/>
      <c r="N683" s="5"/>
      <c r="P683" s="5"/>
    </row>
    <row r="684" spans="2:16" ht="13">
      <c r="B684" s="36"/>
      <c r="C684" s="46"/>
      <c r="D684" s="5"/>
      <c r="E684" s="5"/>
      <c r="F684" s="5"/>
      <c r="G684" s="5"/>
      <c r="J684" s="5"/>
      <c r="M684" s="5"/>
      <c r="N684" s="5"/>
      <c r="P684" s="5"/>
    </row>
    <row r="685" spans="2:16" ht="13">
      <c r="B685" s="36"/>
      <c r="C685" s="46"/>
      <c r="D685" s="5"/>
      <c r="E685" s="5"/>
      <c r="F685" s="5"/>
      <c r="G685" s="5"/>
      <c r="J685" s="5"/>
      <c r="M685" s="5"/>
      <c r="N685" s="5"/>
      <c r="P685" s="5"/>
    </row>
    <row r="686" spans="2:16" ht="13">
      <c r="B686" s="36"/>
      <c r="C686" s="46"/>
      <c r="D686" s="5"/>
      <c r="E686" s="5"/>
      <c r="F686" s="5"/>
      <c r="G686" s="5"/>
      <c r="J686" s="5"/>
      <c r="M686" s="5"/>
      <c r="N686" s="5"/>
      <c r="P686" s="5"/>
    </row>
    <row r="687" spans="2:16" ht="13">
      <c r="B687" s="36"/>
      <c r="C687" s="46"/>
      <c r="D687" s="5"/>
      <c r="E687" s="5"/>
      <c r="F687" s="5"/>
      <c r="G687" s="5"/>
      <c r="J687" s="5"/>
      <c r="M687" s="5"/>
      <c r="N687" s="5"/>
      <c r="P687" s="5"/>
    </row>
    <row r="688" spans="2:16" ht="13">
      <c r="B688" s="36"/>
      <c r="C688" s="46"/>
      <c r="D688" s="5"/>
      <c r="E688" s="5"/>
      <c r="F688" s="5"/>
      <c r="G688" s="5"/>
      <c r="J688" s="5"/>
      <c r="M688" s="5"/>
      <c r="N688" s="5"/>
      <c r="P688" s="5"/>
    </row>
    <row r="689" spans="2:16" ht="13">
      <c r="B689" s="36"/>
      <c r="C689" s="46"/>
      <c r="D689" s="5"/>
      <c r="E689" s="5"/>
      <c r="F689" s="5"/>
      <c r="G689" s="5"/>
      <c r="J689" s="5"/>
      <c r="M689" s="5"/>
      <c r="N689" s="5"/>
      <c r="P689" s="5"/>
    </row>
    <row r="690" spans="2:16" ht="13">
      <c r="B690" s="36"/>
      <c r="C690" s="46"/>
      <c r="D690" s="5"/>
      <c r="E690" s="5"/>
      <c r="F690" s="5"/>
      <c r="G690" s="5"/>
      <c r="J690" s="5"/>
      <c r="M690" s="5"/>
      <c r="N690" s="5"/>
      <c r="P690" s="5"/>
    </row>
    <row r="691" spans="2:16" ht="13">
      <c r="B691" s="36"/>
      <c r="C691" s="46"/>
      <c r="D691" s="5"/>
      <c r="E691" s="5"/>
      <c r="F691" s="5"/>
      <c r="G691" s="5"/>
      <c r="J691" s="5"/>
      <c r="M691" s="5"/>
      <c r="N691" s="5"/>
      <c r="P691" s="5"/>
    </row>
    <row r="692" spans="2:16" ht="13">
      <c r="B692" s="36"/>
      <c r="C692" s="46"/>
      <c r="D692" s="5"/>
      <c r="E692" s="5"/>
      <c r="F692" s="5"/>
      <c r="G692" s="5"/>
      <c r="J692" s="5"/>
      <c r="M692" s="5"/>
      <c r="N692" s="5"/>
      <c r="P692" s="5"/>
    </row>
    <row r="693" spans="2:16" ht="13">
      <c r="B693" s="36"/>
      <c r="C693" s="46"/>
      <c r="D693" s="5"/>
      <c r="E693" s="5"/>
      <c r="F693" s="5"/>
      <c r="G693" s="5"/>
      <c r="J693" s="5"/>
      <c r="M693" s="5"/>
      <c r="N693" s="5"/>
      <c r="P693" s="5"/>
    </row>
    <row r="694" spans="2:16" ht="13">
      <c r="B694" s="36"/>
      <c r="C694" s="46"/>
      <c r="D694" s="5"/>
      <c r="E694" s="5"/>
      <c r="F694" s="5"/>
      <c r="G694" s="5"/>
      <c r="J694" s="5"/>
      <c r="M694" s="5"/>
      <c r="N694" s="5"/>
      <c r="P694" s="5"/>
    </row>
    <row r="695" spans="2:16" ht="13">
      <c r="B695" s="36"/>
      <c r="C695" s="46"/>
      <c r="D695" s="5"/>
      <c r="E695" s="5"/>
      <c r="F695" s="5"/>
      <c r="G695" s="5"/>
      <c r="J695" s="5"/>
      <c r="M695" s="5"/>
      <c r="N695" s="5"/>
      <c r="P695" s="5"/>
    </row>
    <row r="696" spans="2:16" ht="13">
      <c r="B696" s="36"/>
      <c r="C696" s="46"/>
      <c r="D696" s="5"/>
      <c r="E696" s="5"/>
      <c r="F696" s="5"/>
      <c r="G696" s="5"/>
      <c r="J696" s="5"/>
      <c r="M696" s="5"/>
      <c r="N696" s="5"/>
      <c r="P696" s="5"/>
    </row>
    <row r="697" spans="2:16" ht="13">
      <c r="B697" s="36"/>
      <c r="C697" s="46"/>
      <c r="D697" s="5"/>
      <c r="E697" s="5"/>
      <c r="F697" s="5"/>
      <c r="G697" s="5"/>
      <c r="J697" s="5"/>
      <c r="M697" s="5"/>
      <c r="N697" s="5"/>
      <c r="P697" s="5"/>
    </row>
    <row r="698" spans="2:16" ht="13">
      <c r="B698" s="36"/>
      <c r="C698" s="46"/>
      <c r="D698" s="5"/>
      <c r="E698" s="5"/>
      <c r="F698" s="5"/>
      <c r="G698" s="5"/>
      <c r="J698" s="5"/>
      <c r="M698" s="5"/>
      <c r="N698" s="5"/>
      <c r="P698" s="5"/>
    </row>
    <row r="699" spans="2:16" ht="13">
      <c r="B699" s="36"/>
      <c r="C699" s="46"/>
      <c r="D699" s="5"/>
      <c r="E699" s="5"/>
      <c r="F699" s="5"/>
      <c r="G699" s="5"/>
      <c r="J699" s="5"/>
      <c r="M699" s="5"/>
      <c r="N699" s="5"/>
      <c r="P699" s="5"/>
    </row>
    <row r="700" spans="2:16" ht="13">
      <c r="B700" s="36"/>
      <c r="C700" s="46"/>
      <c r="D700" s="5"/>
      <c r="E700" s="5"/>
      <c r="F700" s="5"/>
      <c r="G700" s="5"/>
      <c r="J700" s="5"/>
      <c r="M700" s="5"/>
      <c r="N700" s="5"/>
      <c r="P700" s="5"/>
    </row>
    <row r="701" spans="2:16" ht="13">
      <c r="B701" s="36"/>
      <c r="C701" s="46"/>
      <c r="D701" s="5"/>
      <c r="E701" s="5"/>
      <c r="F701" s="5"/>
      <c r="G701" s="5"/>
      <c r="J701" s="5"/>
      <c r="M701" s="5"/>
      <c r="N701" s="5"/>
      <c r="P701" s="5"/>
    </row>
    <row r="702" spans="2:16" ht="13">
      <c r="B702" s="36"/>
      <c r="C702" s="46"/>
      <c r="D702" s="5"/>
      <c r="E702" s="5"/>
      <c r="F702" s="5"/>
      <c r="G702" s="5"/>
      <c r="J702" s="5"/>
      <c r="M702" s="5"/>
      <c r="N702" s="5"/>
      <c r="P702" s="5"/>
    </row>
    <row r="703" spans="2:16" ht="13">
      <c r="B703" s="36"/>
      <c r="C703" s="46"/>
      <c r="D703" s="5"/>
      <c r="E703" s="5"/>
      <c r="F703" s="5"/>
      <c r="G703" s="5"/>
      <c r="J703" s="5"/>
      <c r="M703" s="5"/>
      <c r="N703" s="5"/>
      <c r="P703" s="5"/>
    </row>
    <row r="704" spans="2:16" ht="13">
      <c r="B704" s="36"/>
      <c r="C704" s="46"/>
      <c r="D704" s="5"/>
      <c r="E704" s="5"/>
      <c r="F704" s="5"/>
      <c r="G704" s="5"/>
      <c r="J704" s="5"/>
      <c r="M704" s="5"/>
      <c r="N704" s="5"/>
      <c r="P704" s="5"/>
    </row>
    <row r="705" spans="2:16" ht="13">
      <c r="B705" s="36"/>
      <c r="C705" s="46"/>
      <c r="D705" s="5"/>
      <c r="E705" s="5"/>
      <c r="F705" s="5"/>
      <c r="G705" s="5"/>
      <c r="J705" s="5"/>
      <c r="M705" s="5"/>
      <c r="N705" s="5"/>
      <c r="P705" s="5"/>
    </row>
    <row r="706" spans="2:16" ht="13">
      <c r="B706" s="36"/>
      <c r="C706" s="46"/>
      <c r="D706" s="5"/>
      <c r="E706" s="5"/>
      <c r="F706" s="5"/>
      <c r="G706" s="5"/>
      <c r="J706" s="5"/>
      <c r="M706" s="5"/>
      <c r="N706" s="5"/>
      <c r="P706" s="5"/>
    </row>
    <row r="707" spans="2:16" ht="13">
      <c r="B707" s="36"/>
      <c r="C707" s="46"/>
      <c r="D707" s="5"/>
      <c r="E707" s="5"/>
      <c r="F707" s="5"/>
      <c r="G707" s="5"/>
      <c r="J707" s="5"/>
      <c r="M707" s="5"/>
      <c r="N707" s="5"/>
      <c r="P707" s="5"/>
    </row>
    <row r="708" spans="2:16" ht="13">
      <c r="B708" s="36"/>
      <c r="C708" s="46"/>
      <c r="D708" s="5"/>
      <c r="E708" s="5"/>
      <c r="F708" s="5"/>
      <c r="G708" s="5"/>
      <c r="J708" s="5"/>
      <c r="M708" s="5"/>
      <c r="N708" s="5"/>
      <c r="P708" s="5"/>
    </row>
    <row r="709" spans="2:16" ht="13">
      <c r="B709" s="36"/>
      <c r="C709" s="46"/>
      <c r="D709" s="5"/>
      <c r="E709" s="5"/>
      <c r="F709" s="5"/>
      <c r="G709" s="5"/>
      <c r="J709" s="5"/>
      <c r="M709" s="5"/>
      <c r="N709" s="5"/>
      <c r="P709" s="5"/>
    </row>
    <row r="710" spans="2:16" ht="13">
      <c r="B710" s="36"/>
      <c r="C710" s="46"/>
      <c r="D710" s="5"/>
      <c r="E710" s="5"/>
      <c r="F710" s="5"/>
      <c r="G710" s="5"/>
      <c r="J710" s="5"/>
      <c r="M710" s="5"/>
      <c r="N710" s="5"/>
      <c r="P710" s="5"/>
    </row>
    <row r="711" spans="2:16" ht="13">
      <c r="B711" s="36"/>
      <c r="C711" s="46"/>
      <c r="D711" s="5"/>
      <c r="E711" s="5"/>
      <c r="F711" s="5"/>
      <c r="G711" s="5"/>
      <c r="J711" s="5"/>
      <c r="M711" s="5"/>
      <c r="N711" s="5"/>
      <c r="P711" s="5"/>
    </row>
    <row r="712" spans="2:16" ht="13">
      <c r="B712" s="36"/>
      <c r="C712" s="46"/>
      <c r="D712" s="5"/>
      <c r="E712" s="5"/>
      <c r="F712" s="5"/>
      <c r="G712" s="5"/>
      <c r="J712" s="5"/>
      <c r="M712" s="5"/>
      <c r="N712" s="5"/>
      <c r="P712" s="5"/>
    </row>
    <row r="713" spans="2:16" ht="13">
      <c r="B713" s="36"/>
      <c r="C713" s="46"/>
      <c r="D713" s="5"/>
      <c r="E713" s="5"/>
      <c r="F713" s="5"/>
      <c r="G713" s="5"/>
      <c r="J713" s="5"/>
      <c r="M713" s="5"/>
      <c r="N713" s="5"/>
      <c r="P713" s="5"/>
    </row>
    <row r="714" spans="2:16" ht="13">
      <c r="B714" s="36"/>
      <c r="C714" s="46"/>
      <c r="D714" s="5"/>
      <c r="E714" s="5"/>
      <c r="F714" s="5"/>
      <c r="G714" s="5"/>
      <c r="J714" s="5"/>
      <c r="M714" s="5"/>
      <c r="N714" s="5"/>
      <c r="P714" s="5"/>
    </row>
    <row r="715" spans="2:16" ht="13">
      <c r="B715" s="36"/>
      <c r="C715" s="46"/>
      <c r="D715" s="5"/>
      <c r="E715" s="5"/>
      <c r="F715" s="5"/>
      <c r="G715" s="5"/>
      <c r="J715" s="5"/>
      <c r="M715" s="5"/>
      <c r="N715" s="5"/>
      <c r="P715" s="5"/>
    </row>
    <row r="716" spans="2:16" ht="13">
      <c r="B716" s="36"/>
      <c r="C716" s="46"/>
      <c r="D716" s="5"/>
      <c r="E716" s="5"/>
      <c r="F716" s="5"/>
      <c r="G716" s="5"/>
      <c r="J716" s="5"/>
      <c r="M716" s="5"/>
      <c r="N716" s="5"/>
      <c r="P716" s="5"/>
    </row>
    <row r="717" spans="2:16" ht="13">
      <c r="B717" s="36"/>
      <c r="C717" s="46"/>
      <c r="D717" s="5"/>
      <c r="E717" s="5"/>
      <c r="F717" s="5"/>
      <c r="G717" s="5"/>
      <c r="J717" s="5"/>
      <c r="M717" s="5"/>
      <c r="N717" s="5"/>
      <c r="P717" s="5"/>
    </row>
    <row r="718" spans="2:16" ht="13">
      <c r="B718" s="36"/>
      <c r="C718" s="46"/>
      <c r="D718" s="5"/>
      <c r="E718" s="5"/>
      <c r="F718" s="5"/>
      <c r="G718" s="5"/>
      <c r="J718" s="5"/>
      <c r="M718" s="5"/>
      <c r="N718" s="5"/>
      <c r="P718" s="5"/>
    </row>
    <row r="719" spans="2:16" ht="13">
      <c r="B719" s="36"/>
      <c r="C719" s="46"/>
      <c r="D719" s="5"/>
      <c r="E719" s="5"/>
      <c r="F719" s="5"/>
      <c r="G719" s="5"/>
      <c r="J719" s="5"/>
      <c r="M719" s="5"/>
      <c r="N719" s="5"/>
      <c r="P719" s="5"/>
    </row>
    <row r="720" spans="2:16" ht="13">
      <c r="B720" s="36"/>
      <c r="C720" s="46"/>
      <c r="D720" s="5"/>
      <c r="E720" s="5"/>
      <c r="F720" s="5"/>
      <c r="G720" s="5"/>
      <c r="J720" s="5"/>
      <c r="M720" s="5"/>
      <c r="N720" s="5"/>
      <c r="P720" s="5"/>
    </row>
    <row r="721" spans="2:16" ht="13">
      <c r="B721" s="36"/>
      <c r="C721" s="46"/>
      <c r="D721" s="5"/>
      <c r="E721" s="5"/>
      <c r="F721" s="5"/>
      <c r="G721" s="5"/>
      <c r="J721" s="5"/>
      <c r="M721" s="5"/>
      <c r="N721" s="5"/>
      <c r="P721" s="5"/>
    </row>
    <row r="722" spans="2:16" ht="13">
      <c r="B722" s="36"/>
      <c r="C722" s="46"/>
      <c r="D722" s="5"/>
      <c r="E722" s="5"/>
      <c r="F722" s="5"/>
      <c r="G722" s="5"/>
      <c r="J722" s="5"/>
      <c r="M722" s="5"/>
      <c r="N722" s="5"/>
      <c r="P722" s="5"/>
    </row>
    <row r="723" spans="2:16" ht="13">
      <c r="B723" s="36"/>
      <c r="C723" s="46"/>
      <c r="D723" s="5"/>
      <c r="E723" s="5"/>
      <c r="F723" s="5"/>
      <c r="G723" s="5"/>
      <c r="J723" s="5"/>
      <c r="M723" s="5"/>
      <c r="N723" s="5"/>
      <c r="P723" s="5"/>
    </row>
    <row r="724" spans="2:16" ht="13">
      <c r="B724" s="36"/>
      <c r="C724" s="46"/>
      <c r="D724" s="5"/>
      <c r="E724" s="5"/>
      <c r="F724" s="5"/>
      <c r="G724" s="5"/>
      <c r="J724" s="5"/>
      <c r="M724" s="5"/>
      <c r="N724" s="5"/>
      <c r="P724" s="5"/>
    </row>
    <row r="725" spans="2:16" ht="13">
      <c r="B725" s="36"/>
      <c r="C725" s="46"/>
      <c r="D725" s="5"/>
      <c r="E725" s="5"/>
      <c r="F725" s="5"/>
      <c r="G725" s="5"/>
      <c r="J725" s="5"/>
      <c r="M725" s="5"/>
      <c r="N725" s="5"/>
      <c r="P725" s="5"/>
    </row>
    <row r="726" spans="2:16" ht="13">
      <c r="B726" s="36"/>
      <c r="C726" s="46"/>
      <c r="D726" s="5"/>
      <c r="E726" s="5"/>
      <c r="F726" s="5"/>
      <c r="G726" s="5"/>
      <c r="J726" s="5"/>
      <c r="M726" s="5"/>
      <c r="N726" s="5"/>
      <c r="P726" s="5"/>
    </row>
    <row r="727" spans="2:16" ht="13">
      <c r="B727" s="36"/>
      <c r="C727" s="46"/>
      <c r="D727" s="5"/>
      <c r="E727" s="5"/>
      <c r="F727" s="5"/>
      <c r="G727" s="5"/>
      <c r="J727" s="5"/>
      <c r="M727" s="5"/>
      <c r="N727" s="5"/>
      <c r="P727" s="5"/>
    </row>
    <row r="728" spans="2:16" ht="13">
      <c r="B728" s="36"/>
      <c r="C728" s="46"/>
      <c r="D728" s="5"/>
      <c r="E728" s="5"/>
      <c r="F728" s="5"/>
      <c r="G728" s="5"/>
      <c r="J728" s="5"/>
      <c r="M728" s="5"/>
      <c r="N728" s="5"/>
      <c r="P728" s="5"/>
    </row>
    <row r="729" spans="2:16" ht="13">
      <c r="B729" s="36"/>
      <c r="C729" s="46"/>
      <c r="D729" s="5"/>
      <c r="E729" s="5"/>
      <c r="F729" s="5"/>
      <c r="G729" s="5"/>
      <c r="J729" s="5"/>
      <c r="M729" s="5"/>
      <c r="N729" s="5"/>
      <c r="P729" s="5"/>
    </row>
    <row r="730" spans="2:16" ht="13">
      <c r="B730" s="36"/>
      <c r="C730" s="46"/>
      <c r="D730" s="5"/>
      <c r="E730" s="5"/>
      <c r="F730" s="5"/>
      <c r="G730" s="5"/>
      <c r="J730" s="5"/>
      <c r="M730" s="5"/>
      <c r="N730" s="5"/>
      <c r="P730" s="5"/>
    </row>
    <row r="731" spans="2:16" ht="13">
      <c r="B731" s="36"/>
      <c r="C731" s="46"/>
      <c r="D731" s="5"/>
      <c r="E731" s="5"/>
      <c r="F731" s="5"/>
      <c r="G731" s="5"/>
      <c r="J731" s="5"/>
      <c r="M731" s="5"/>
      <c r="N731" s="5"/>
      <c r="P731" s="5"/>
    </row>
    <row r="732" spans="2:16" ht="13">
      <c r="B732" s="36"/>
      <c r="C732" s="46"/>
      <c r="D732" s="5"/>
      <c r="E732" s="5"/>
      <c r="F732" s="5"/>
      <c r="G732" s="5"/>
      <c r="J732" s="5"/>
      <c r="M732" s="5"/>
      <c r="N732" s="5"/>
      <c r="P732" s="5"/>
    </row>
    <row r="733" spans="2:16" ht="13">
      <c r="B733" s="36"/>
      <c r="C733" s="46"/>
      <c r="D733" s="5"/>
      <c r="E733" s="5"/>
      <c r="F733" s="5"/>
      <c r="G733" s="5"/>
      <c r="J733" s="5"/>
      <c r="M733" s="5"/>
      <c r="N733" s="5"/>
      <c r="P733" s="5"/>
    </row>
    <row r="734" spans="2:16" ht="13">
      <c r="B734" s="36"/>
      <c r="C734" s="46"/>
      <c r="D734" s="5"/>
      <c r="E734" s="5"/>
      <c r="F734" s="5"/>
      <c r="G734" s="5"/>
      <c r="J734" s="5"/>
      <c r="M734" s="5"/>
      <c r="N734" s="5"/>
      <c r="P734" s="5"/>
    </row>
    <row r="735" spans="2:16" ht="13">
      <c r="B735" s="36"/>
      <c r="C735" s="46"/>
      <c r="D735" s="5"/>
      <c r="E735" s="5"/>
      <c r="F735" s="5"/>
      <c r="G735" s="5"/>
      <c r="J735" s="5"/>
      <c r="M735" s="5"/>
      <c r="N735" s="5"/>
      <c r="P735" s="5"/>
    </row>
    <row r="736" spans="2:16" ht="13">
      <c r="B736" s="36"/>
      <c r="C736" s="46"/>
      <c r="D736" s="5"/>
      <c r="E736" s="5"/>
      <c r="F736" s="5"/>
      <c r="G736" s="5"/>
      <c r="J736" s="5"/>
      <c r="M736" s="5"/>
      <c r="N736" s="5"/>
      <c r="P736" s="5"/>
    </row>
    <row r="737" spans="2:16" ht="13">
      <c r="B737" s="36"/>
      <c r="C737" s="46"/>
      <c r="D737" s="5"/>
      <c r="E737" s="5"/>
      <c r="F737" s="5"/>
      <c r="G737" s="5"/>
      <c r="J737" s="5"/>
      <c r="M737" s="5"/>
      <c r="N737" s="5"/>
      <c r="P737" s="5"/>
    </row>
    <row r="738" spans="2:16" ht="13">
      <c r="B738" s="36"/>
      <c r="C738" s="46"/>
      <c r="D738" s="5"/>
      <c r="E738" s="5"/>
      <c r="F738" s="5"/>
      <c r="G738" s="5"/>
      <c r="J738" s="5"/>
      <c r="M738" s="5"/>
      <c r="N738" s="5"/>
      <c r="P738" s="5"/>
    </row>
    <row r="739" spans="2:16" ht="13">
      <c r="B739" s="36"/>
      <c r="C739" s="46"/>
      <c r="D739" s="5"/>
      <c r="E739" s="5"/>
      <c r="F739" s="5"/>
      <c r="G739" s="5"/>
      <c r="J739" s="5"/>
      <c r="M739" s="5"/>
      <c r="N739" s="5"/>
      <c r="P739" s="5"/>
    </row>
    <row r="740" spans="2:16" ht="13">
      <c r="B740" s="36"/>
      <c r="C740" s="46"/>
      <c r="D740" s="5"/>
      <c r="E740" s="5"/>
      <c r="F740" s="5"/>
      <c r="G740" s="5"/>
      <c r="J740" s="5"/>
      <c r="M740" s="5"/>
      <c r="N740" s="5"/>
      <c r="P740" s="5"/>
    </row>
    <row r="741" spans="2:16" ht="13">
      <c r="B741" s="36"/>
      <c r="C741" s="46"/>
      <c r="D741" s="5"/>
      <c r="E741" s="5"/>
      <c r="F741" s="5"/>
      <c r="G741" s="5"/>
      <c r="J741" s="5"/>
      <c r="M741" s="5"/>
      <c r="N741" s="5"/>
      <c r="P741" s="5"/>
    </row>
    <row r="742" spans="2:16" ht="13">
      <c r="B742" s="36"/>
      <c r="C742" s="46"/>
      <c r="D742" s="5"/>
      <c r="E742" s="5"/>
      <c r="F742" s="5"/>
      <c r="G742" s="5"/>
      <c r="J742" s="5"/>
      <c r="M742" s="5"/>
      <c r="N742" s="5"/>
      <c r="P742" s="5"/>
    </row>
    <row r="743" spans="2:16" ht="13">
      <c r="B743" s="36"/>
      <c r="C743" s="46"/>
      <c r="D743" s="5"/>
      <c r="E743" s="5"/>
      <c r="F743" s="5"/>
      <c r="G743" s="5"/>
      <c r="J743" s="5"/>
      <c r="M743" s="5"/>
      <c r="N743" s="5"/>
      <c r="P743" s="5"/>
    </row>
    <row r="744" spans="2:16" ht="13">
      <c r="B744" s="36"/>
      <c r="C744" s="46"/>
      <c r="D744" s="5"/>
      <c r="E744" s="5"/>
      <c r="F744" s="5"/>
      <c r="G744" s="5"/>
      <c r="J744" s="5"/>
      <c r="M744" s="5"/>
      <c r="N744" s="5"/>
      <c r="P744" s="5"/>
    </row>
    <row r="745" spans="2:16" ht="13">
      <c r="B745" s="36"/>
      <c r="C745" s="46"/>
      <c r="D745" s="5"/>
      <c r="E745" s="5"/>
      <c r="F745" s="5"/>
      <c r="G745" s="5"/>
      <c r="J745" s="5"/>
      <c r="M745" s="5"/>
      <c r="N745" s="5"/>
      <c r="P745" s="5"/>
    </row>
    <row r="746" spans="2:16" ht="13">
      <c r="B746" s="36"/>
      <c r="C746" s="46"/>
      <c r="D746" s="5"/>
      <c r="E746" s="5"/>
      <c r="F746" s="5"/>
      <c r="G746" s="5"/>
      <c r="J746" s="5"/>
      <c r="M746" s="5"/>
      <c r="N746" s="5"/>
      <c r="P746" s="5"/>
    </row>
    <row r="747" spans="2:16" ht="13">
      <c r="B747" s="36"/>
      <c r="C747" s="46"/>
      <c r="D747" s="5"/>
      <c r="E747" s="5"/>
      <c r="F747" s="5"/>
      <c r="G747" s="5"/>
      <c r="J747" s="5"/>
      <c r="M747" s="5"/>
      <c r="N747" s="5"/>
      <c r="P747" s="5"/>
    </row>
    <row r="748" spans="2:16" ht="13">
      <c r="B748" s="36"/>
      <c r="C748" s="46"/>
      <c r="D748" s="5"/>
      <c r="E748" s="5"/>
      <c r="F748" s="5"/>
      <c r="G748" s="5"/>
      <c r="J748" s="5"/>
      <c r="M748" s="5"/>
      <c r="N748" s="5"/>
      <c r="P748" s="5"/>
    </row>
    <row r="749" spans="2:16" ht="13">
      <c r="B749" s="36"/>
      <c r="C749" s="46"/>
      <c r="D749" s="5"/>
      <c r="E749" s="5"/>
      <c r="F749" s="5"/>
      <c r="G749" s="5"/>
      <c r="J749" s="5"/>
      <c r="M749" s="5"/>
      <c r="N749" s="5"/>
      <c r="P749" s="5"/>
    </row>
    <row r="750" spans="2:16" ht="13">
      <c r="B750" s="36"/>
      <c r="C750" s="46"/>
      <c r="D750" s="5"/>
      <c r="E750" s="5"/>
      <c r="F750" s="5"/>
      <c r="G750" s="5"/>
      <c r="J750" s="5"/>
      <c r="M750" s="5"/>
      <c r="N750" s="5"/>
      <c r="P750" s="5"/>
    </row>
    <row r="751" spans="2:16" ht="13">
      <c r="B751" s="36"/>
      <c r="C751" s="46"/>
      <c r="D751" s="5"/>
      <c r="E751" s="5"/>
      <c r="F751" s="5"/>
      <c r="G751" s="5"/>
      <c r="J751" s="5"/>
      <c r="M751" s="5"/>
      <c r="N751" s="5"/>
      <c r="P751" s="5"/>
    </row>
    <row r="752" spans="2:16" ht="13">
      <c r="B752" s="36"/>
      <c r="C752" s="46"/>
      <c r="D752" s="5"/>
      <c r="E752" s="5"/>
      <c r="F752" s="5"/>
      <c r="G752" s="5"/>
      <c r="J752" s="5"/>
      <c r="M752" s="5"/>
      <c r="N752" s="5"/>
      <c r="P752" s="5"/>
    </row>
    <row r="753" spans="2:16" ht="13">
      <c r="B753" s="36"/>
      <c r="C753" s="46"/>
      <c r="D753" s="5"/>
      <c r="E753" s="5"/>
      <c r="F753" s="5"/>
      <c r="G753" s="5"/>
      <c r="J753" s="5"/>
      <c r="M753" s="5"/>
      <c r="N753" s="5"/>
      <c r="P753" s="5"/>
    </row>
    <row r="754" spans="2:16" ht="13">
      <c r="B754" s="36"/>
      <c r="C754" s="46"/>
      <c r="D754" s="5"/>
      <c r="E754" s="5"/>
      <c r="F754" s="5"/>
      <c r="G754" s="5"/>
      <c r="J754" s="5"/>
      <c r="M754" s="5"/>
      <c r="N754" s="5"/>
      <c r="P754" s="5"/>
    </row>
    <row r="755" spans="2:16" ht="13">
      <c r="B755" s="36"/>
      <c r="C755" s="46"/>
      <c r="D755" s="5"/>
      <c r="E755" s="5"/>
      <c r="F755" s="5"/>
      <c r="G755" s="5"/>
      <c r="J755" s="5"/>
      <c r="M755" s="5"/>
      <c r="N755" s="5"/>
      <c r="P755" s="5"/>
    </row>
    <row r="756" spans="2:16" ht="13">
      <c r="B756" s="36"/>
      <c r="C756" s="46"/>
      <c r="D756" s="5"/>
      <c r="E756" s="5"/>
      <c r="F756" s="5"/>
      <c r="G756" s="5"/>
      <c r="J756" s="5"/>
      <c r="M756" s="5"/>
      <c r="N756" s="5"/>
      <c r="P756" s="5"/>
    </row>
    <row r="757" spans="2:16" ht="13">
      <c r="B757" s="36"/>
      <c r="C757" s="46"/>
      <c r="D757" s="5"/>
      <c r="E757" s="5"/>
      <c r="F757" s="5"/>
      <c r="G757" s="5"/>
      <c r="J757" s="5"/>
      <c r="M757" s="5"/>
      <c r="N757" s="5"/>
      <c r="P757" s="5"/>
    </row>
    <row r="758" spans="2:16" ht="13">
      <c r="B758" s="36"/>
      <c r="C758" s="46"/>
      <c r="D758" s="5"/>
      <c r="E758" s="5"/>
      <c r="F758" s="5"/>
      <c r="G758" s="5"/>
      <c r="J758" s="5"/>
      <c r="M758" s="5"/>
      <c r="N758" s="5"/>
      <c r="P758" s="5"/>
    </row>
    <row r="759" spans="2:16" ht="13">
      <c r="B759" s="36"/>
      <c r="C759" s="46"/>
      <c r="D759" s="5"/>
      <c r="E759" s="5"/>
      <c r="F759" s="5"/>
      <c r="G759" s="5"/>
      <c r="J759" s="5"/>
      <c r="M759" s="5"/>
      <c r="N759" s="5"/>
      <c r="P759" s="5"/>
    </row>
    <row r="760" spans="2:16" ht="13">
      <c r="B760" s="36"/>
      <c r="C760" s="46"/>
      <c r="D760" s="5"/>
      <c r="E760" s="5"/>
      <c r="F760" s="5"/>
      <c r="G760" s="5"/>
      <c r="J760" s="5"/>
      <c r="M760" s="5"/>
      <c r="N760" s="5"/>
      <c r="P760" s="5"/>
    </row>
    <row r="761" spans="2:16" ht="13">
      <c r="B761" s="36"/>
      <c r="C761" s="46"/>
      <c r="D761" s="5"/>
      <c r="E761" s="5"/>
      <c r="F761" s="5"/>
      <c r="G761" s="5"/>
      <c r="J761" s="5"/>
      <c r="M761" s="5"/>
      <c r="N761" s="5"/>
      <c r="P761" s="5"/>
    </row>
    <row r="762" spans="2:16" ht="13">
      <c r="B762" s="36"/>
      <c r="C762" s="46"/>
      <c r="D762" s="5"/>
      <c r="E762" s="5"/>
      <c r="F762" s="5"/>
      <c r="G762" s="5"/>
      <c r="J762" s="5"/>
      <c r="M762" s="5"/>
      <c r="N762" s="5"/>
      <c r="P762" s="5"/>
    </row>
    <row r="763" spans="2:16" ht="13">
      <c r="B763" s="36"/>
      <c r="C763" s="46"/>
      <c r="D763" s="5"/>
      <c r="E763" s="5"/>
      <c r="F763" s="5"/>
      <c r="G763" s="5"/>
      <c r="J763" s="5"/>
      <c r="M763" s="5"/>
      <c r="N763" s="5"/>
      <c r="P763" s="5"/>
    </row>
    <row r="764" spans="2:16" ht="13">
      <c r="B764" s="36"/>
      <c r="C764" s="46"/>
      <c r="D764" s="5"/>
      <c r="E764" s="5"/>
      <c r="F764" s="5"/>
      <c r="G764" s="5"/>
      <c r="J764" s="5"/>
      <c r="M764" s="5"/>
      <c r="N764" s="5"/>
      <c r="P764" s="5"/>
    </row>
    <row r="765" spans="2:16" ht="13">
      <c r="B765" s="36"/>
      <c r="C765" s="46"/>
      <c r="D765" s="5"/>
      <c r="E765" s="5"/>
      <c r="F765" s="5"/>
      <c r="G765" s="5"/>
      <c r="J765" s="5"/>
      <c r="M765" s="5"/>
      <c r="N765" s="5"/>
      <c r="P765" s="5"/>
    </row>
    <row r="766" spans="2:16" ht="13">
      <c r="B766" s="36"/>
      <c r="C766" s="46"/>
      <c r="D766" s="5"/>
      <c r="E766" s="5"/>
      <c r="F766" s="5"/>
      <c r="G766" s="5"/>
      <c r="J766" s="5"/>
      <c r="M766" s="5"/>
      <c r="N766" s="5"/>
      <c r="P766" s="5"/>
    </row>
    <row r="767" spans="2:16" ht="13">
      <c r="B767" s="36"/>
      <c r="C767" s="46"/>
      <c r="D767" s="5"/>
      <c r="E767" s="5"/>
      <c r="F767" s="5"/>
      <c r="G767" s="5"/>
      <c r="J767" s="5"/>
      <c r="M767" s="5"/>
      <c r="N767" s="5"/>
      <c r="P767" s="5"/>
    </row>
    <row r="768" spans="2:16" ht="13">
      <c r="B768" s="36"/>
      <c r="C768" s="46"/>
      <c r="D768" s="5"/>
      <c r="E768" s="5"/>
      <c r="F768" s="5"/>
      <c r="G768" s="5"/>
      <c r="J768" s="5"/>
      <c r="M768" s="5"/>
      <c r="N768" s="5"/>
      <c r="P768" s="5"/>
    </row>
    <row r="769" spans="2:16" ht="13">
      <c r="B769" s="36"/>
      <c r="C769" s="46"/>
      <c r="D769" s="5"/>
      <c r="E769" s="5"/>
      <c r="F769" s="5"/>
      <c r="G769" s="5"/>
      <c r="J769" s="5"/>
      <c r="M769" s="5"/>
      <c r="N769" s="5"/>
      <c r="P769" s="5"/>
    </row>
    <row r="770" spans="2:16" ht="13">
      <c r="B770" s="36"/>
      <c r="C770" s="46"/>
      <c r="D770" s="5"/>
      <c r="E770" s="5"/>
      <c r="F770" s="5"/>
      <c r="G770" s="5"/>
      <c r="J770" s="5"/>
      <c r="M770" s="5"/>
      <c r="N770" s="5"/>
      <c r="P770" s="5"/>
    </row>
    <row r="771" spans="2:16" ht="13">
      <c r="B771" s="36"/>
      <c r="C771" s="46"/>
      <c r="D771" s="5"/>
      <c r="E771" s="5"/>
      <c r="F771" s="5"/>
      <c r="G771" s="5"/>
      <c r="J771" s="5"/>
      <c r="M771" s="5"/>
      <c r="N771" s="5"/>
      <c r="P771" s="5"/>
    </row>
    <row r="772" spans="2:16" ht="13">
      <c r="B772" s="36"/>
      <c r="C772" s="46"/>
      <c r="D772" s="5"/>
      <c r="E772" s="5"/>
      <c r="F772" s="5"/>
      <c r="G772" s="5"/>
      <c r="J772" s="5"/>
      <c r="M772" s="5"/>
      <c r="N772" s="5"/>
      <c r="P772" s="5"/>
    </row>
    <row r="773" spans="2:16" ht="13">
      <c r="B773" s="36"/>
      <c r="C773" s="46"/>
      <c r="D773" s="5"/>
      <c r="E773" s="5"/>
      <c r="F773" s="5"/>
      <c r="G773" s="5"/>
      <c r="J773" s="5"/>
      <c r="M773" s="5"/>
      <c r="N773" s="5"/>
      <c r="P773" s="5"/>
    </row>
    <row r="774" spans="2:16" ht="13">
      <c r="B774" s="36"/>
      <c r="C774" s="46"/>
      <c r="D774" s="5"/>
      <c r="E774" s="5"/>
      <c r="F774" s="5"/>
      <c r="G774" s="5"/>
      <c r="J774" s="5"/>
      <c r="M774" s="5"/>
      <c r="N774" s="5"/>
      <c r="P774" s="5"/>
    </row>
    <row r="775" spans="2:16" ht="13">
      <c r="B775" s="36"/>
      <c r="C775" s="46"/>
      <c r="D775" s="5"/>
      <c r="E775" s="5"/>
      <c r="F775" s="5"/>
      <c r="G775" s="5"/>
      <c r="J775" s="5"/>
      <c r="M775" s="5"/>
      <c r="N775" s="5"/>
      <c r="P775" s="5"/>
    </row>
    <row r="776" spans="2:16" ht="13">
      <c r="B776" s="36"/>
      <c r="C776" s="46"/>
      <c r="D776" s="5"/>
      <c r="E776" s="5"/>
      <c r="F776" s="5"/>
      <c r="G776" s="5"/>
      <c r="J776" s="5"/>
      <c r="M776" s="5"/>
      <c r="N776" s="5"/>
      <c r="P776" s="5"/>
    </row>
    <row r="777" spans="2:16" ht="13">
      <c r="B777" s="36"/>
      <c r="C777" s="46"/>
      <c r="D777" s="5"/>
      <c r="E777" s="5"/>
      <c r="F777" s="5"/>
      <c r="G777" s="5"/>
      <c r="J777" s="5"/>
      <c r="M777" s="5"/>
      <c r="N777" s="5"/>
      <c r="P777" s="5"/>
    </row>
    <row r="778" spans="2:16" ht="13">
      <c r="B778" s="36"/>
      <c r="C778" s="46"/>
      <c r="D778" s="5"/>
      <c r="E778" s="5"/>
      <c r="F778" s="5"/>
      <c r="G778" s="5"/>
      <c r="J778" s="5"/>
      <c r="M778" s="5"/>
      <c r="N778" s="5"/>
      <c r="P778" s="5"/>
    </row>
    <row r="779" spans="2:16" ht="13">
      <c r="B779" s="36"/>
      <c r="C779" s="46"/>
      <c r="D779" s="5"/>
      <c r="E779" s="5"/>
      <c r="F779" s="5"/>
      <c r="G779" s="5"/>
      <c r="J779" s="5"/>
      <c r="M779" s="5"/>
      <c r="N779" s="5"/>
      <c r="P779" s="5"/>
    </row>
    <row r="780" spans="2:16" ht="13">
      <c r="B780" s="36"/>
      <c r="C780" s="46"/>
      <c r="D780" s="5"/>
      <c r="E780" s="5"/>
      <c r="F780" s="5"/>
      <c r="G780" s="5"/>
      <c r="J780" s="5"/>
      <c r="M780" s="5"/>
      <c r="N780" s="5"/>
      <c r="P780" s="5"/>
    </row>
    <row r="781" spans="2:16" ht="13">
      <c r="B781" s="36"/>
      <c r="C781" s="46"/>
      <c r="D781" s="5"/>
      <c r="E781" s="5"/>
      <c r="F781" s="5"/>
      <c r="G781" s="5"/>
      <c r="J781" s="5"/>
      <c r="M781" s="5"/>
      <c r="N781" s="5"/>
      <c r="P781" s="5"/>
    </row>
    <row r="782" spans="2:16" ht="13">
      <c r="B782" s="36"/>
      <c r="C782" s="46"/>
      <c r="D782" s="5"/>
      <c r="E782" s="5"/>
      <c r="F782" s="5"/>
      <c r="G782" s="5"/>
      <c r="J782" s="5"/>
      <c r="M782" s="5"/>
      <c r="N782" s="5"/>
      <c r="P782" s="5"/>
    </row>
    <row r="783" spans="2:16" ht="13">
      <c r="B783" s="36"/>
      <c r="C783" s="46"/>
      <c r="D783" s="5"/>
      <c r="E783" s="5"/>
      <c r="F783" s="5"/>
      <c r="G783" s="5"/>
      <c r="J783" s="5"/>
      <c r="M783" s="5"/>
      <c r="N783" s="5"/>
      <c r="P783" s="5"/>
    </row>
    <row r="784" spans="2:16" ht="13">
      <c r="B784" s="36"/>
      <c r="C784" s="46"/>
      <c r="D784" s="5"/>
      <c r="E784" s="5"/>
      <c r="F784" s="5"/>
      <c r="G784" s="5"/>
      <c r="J784" s="5"/>
      <c r="M784" s="5"/>
      <c r="N784" s="5"/>
      <c r="P784" s="5"/>
    </row>
    <row r="785" spans="2:16" ht="13">
      <c r="B785" s="36"/>
      <c r="C785" s="46"/>
      <c r="D785" s="5"/>
      <c r="E785" s="5"/>
      <c r="F785" s="5"/>
      <c r="G785" s="5"/>
      <c r="J785" s="5"/>
      <c r="M785" s="5"/>
      <c r="N785" s="5"/>
      <c r="P785" s="5"/>
    </row>
    <row r="786" spans="2:16" ht="13">
      <c r="B786" s="36"/>
      <c r="C786" s="46"/>
      <c r="D786" s="5"/>
      <c r="E786" s="5"/>
      <c r="F786" s="5"/>
      <c r="G786" s="5"/>
      <c r="J786" s="5"/>
      <c r="M786" s="5"/>
      <c r="N786" s="5"/>
      <c r="P786" s="5"/>
    </row>
    <row r="787" spans="2:16" ht="13">
      <c r="B787" s="36"/>
      <c r="C787" s="46"/>
      <c r="D787" s="5"/>
      <c r="E787" s="5"/>
      <c r="F787" s="5"/>
      <c r="G787" s="5"/>
      <c r="J787" s="5"/>
      <c r="M787" s="5"/>
      <c r="N787" s="5"/>
      <c r="P787" s="5"/>
    </row>
    <row r="788" spans="2:16" ht="13">
      <c r="B788" s="36"/>
      <c r="C788" s="46"/>
      <c r="D788" s="5"/>
      <c r="E788" s="5"/>
      <c r="F788" s="5"/>
      <c r="G788" s="5"/>
      <c r="J788" s="5"/>
      <c r="M788" s="5"/>
      <c r="N788" s="5"/>
      <c r="P788" s="5"/>
    </row>
    <row r="789" spans="2:16" ht="13">
      <c r="B789" s="36"/>
      <c r="C789" s="46"/>
      <c r="D789" s="5"/>
      <c r="E789" s="5"/>
      <c r="F789" s="5"/>
      <c r="G789" s="5"/>
      <c r="J789" s="5"/>
      <c r="M789" s="5"/>
      <c r="N789" s="5"/>
      <c r="P789" s="5"/>
    </row>
    <row r="790" spans="2:16" ht="13">
      <c r="B790" s="36"/>
      <c r="C790" s="46"/>
      <c r="D790" s="5"/>
      <c r="E790" s="5"/>
      <c r="F790" s="5"/>
      <c r="G790" s="5"/>
      <c r="J790" s="5"/>
      <c r="M790" s="5"/>
      <c r="N790" s="5"/>
      <c r="P790" s="5"/>
    </row>
    <row r="791" spans="2:16" ht="13">
      <c r="B791" s="36"/>
      <c r="C791" s="46"/>
      <c r="D791" s="5"/>
      <c r="E791" s="5"/>
      <c r="F791" s="5"/>
      <c r="G791" s="5"/>
      <c r="J791" s="5"/>
      <c r="M791" s="5"/>
      <c r="N791" s="5"/>
      <c r="P791" s="5"/>
    </row>
    <row r="792" spans="2:16" ht="13">
      <c r="B792" s="36"/>
      <c r="C792" s="46"/>
      <c r="D792" s="5"/>
      <c r="E792" s="5"/>
      <c r="F792" s="5"/>
      <c r="G792" s="5"/>
      <c r="J792" s="5"/>
      <c r="M792" s="5"/>
      <c r="N792" s="5"/>
      <c r="P792" s="5"/>
    </row>
    <row r="793" spans="2:16" ht="13">
      <c r="B793" s="36"/>
      <c r="C793" s="46"/>
      <c r="D793" s="5"/>
      <c r="E793" s="5"/>
      <c r="F793" s="5"/>
      <c r="G793" s="5"/>
      <c r="J793" s="5"/>
      <c r="M793" s="5"/>
      <c r="N793" s="5"/>
      <c r="P793" s="5"/>
    </row>
    <row r="794" spans="2:16" ht="13">
      <c r="B794" s="36"/>
      <c r="C794" s="46"/>
      <c r="D794" s="5"/>
      <c r="E794" s="5"/>
      <c r="F794" s="5"/>
      <c r="G794" s="5"/>
      <c r="J794" s="5"/>
      <c r="M794" s="5"/>
      <c r="N794" s="5"/>
      <c r="P794" s="5"/>
    </row>
    <row r="795" spans="2:16" ht="13">
      <c r="B795" s="36"/>
      <c r="C795" s="46"/>
      <c r="D795" s="5"/>
      <c r="E795" s="5"/>
      <c r="F795" s="5"/>
      <c r="G795" s="5"/>
      <c r="J795" s="5"/>
      <c r="M795" s="5"/>
      <c r="N795" s="5"/>
      <c r="P795" s="5"/>
    </row>
    <row r="796" spans="2:16" ht="13">
      <c r="B796" s="36"/>
      <c r="C796" s="46"/>
      <c r="D796" s="5"/>
      <c r="E796" s="5"/>
      <c r="F796" s="5"/>
      <c r="G796" s="5"/>
      <c r="J796" s="5"/>
      <c r="M796" s="5"/>
      <c r="N796" s="5"/>
      <c r="P796" s="5"/>
    </row>
    <row r="797" spans="2:16" ht="13">
      <c r="B797" s="36"/>
      <c r="C797" s="46"/>
      <c r="D797" s="5"/>
      <c r="E797" s="5"/>
      <c r="F797" s="5"/>
      <c r="G797" s="5"/>
      <c r="J797" s="5"/>
      <c r="M797" s="5"/>
      <c r="N797" s="5"/>
      <c r="P797" s="5"/>
    </row>
    <row r="798" spans="2:16" ht="13">
      <c r="B798" s="36"/>
      <c r="C798" s="46"/>
      <c r="D798" s="5"/>
      <c r="E798" s="5"/>
      <c r="F798" s="5"/>
      <c r="G798" s="5"/>
      <c r="J798" s="5"/>
      <c r="M798" s="5"/>
      <c r="N798" s="5"/>
      <c r="P798" s="5"/>
    </row>
    <row r="799" spans="2:16" ht="13">
      <c r="B799" s="36"/>
      <c r="C799" s="46"/>
      <c r="D799" s="5"/>
      <c r="E799" s="5"/>
      <c r="F799" s="5"/>
      <c r="G799" s="5"/>
      <c r="J799" s="5"/>
      <c r="M799" s="5"/>
      <c r="N799" s="5"/>
      <c r="P799" s="5"/>
    </row>
    <row r="800" spans="2:16" ht="13">
      <c r="B800" s="36"/>
      <c r="C800" s="46"/>
      <c r="D800" s="5"/>
      <c r="E800" s="5"/>
      <c r="F800" s="5"/>
      <c r="G800" s="5"/>
      <c r="J800" s="5"/>
      <c r="M800" s="5"/>
      <c r="N800" s="5"/>
      <c r="P800" s="5"/>
    </row>
    <row r="801" spans="2:16" ht="13">
      <c r="B801" s="36"/>
      <c r="C801" s="46"/>
      <c r="D801" s="5"/>
      <c r="E801" s="5"/>
      <c r="F801" s="5"/>
      <c r="G801" s="5"/>
      <c r="J801" s="5"/>
      <c r="M801" s="5"/>
      <c r="N801" s="5"/>
      <c r="P801" s="5"/>
    </row>
    <row r="802" spans="2:16" ht="13">
      <c r="B802" s="36"/>
      <c r="C802" s="46"/>
      <c r="D802" s="5"/>
      <c r="E802" s="5"/>
      <c r="F802" s="5"/>
      <c r="G802" s="5"/>
      <c r="J802" s="5"/>
      <c r="M802" s="5"/>
      <c r="N802" s="5"/>
      <c r="P802" s="5"/>
    </row>
    <row r="803" spans="2:16" ht="13">
      <c r="B803" s="36"/>
      <c r="C803" s="46"/>
      <c r="D803" s="5"/>
      <c r="E803" s="5"/>
      <c r="F803" s="5"/>
      <c r="G803" s="5"/>
      <c r="J803" s="5"/>
      <c r="M803" s="5"/>
      <c r="N803" s="5"/>
      <c r="P803" s="5"/>
    </row>
    <row r="804" spans="2:16" ht="13">
      <c r="B804" s="36"/>
      <c r="C804" s="46"/>
      <c r="D804" s="5"/>
      <c r="E804" s="5"/>
      <c r="F804" s="5"/>
      <c r="G804" s="5"/>
      <c r="J804" s="5"/>
      <c r="M804" s="5"/>
      <c r="N804" s="5"/>
      <c r="P804" s="5"/>
    </row>
    <row r="805" spans="2:16" ht="13">
      <c r="B805" s="36"/>
      <c r="C805" s="46"/>
      <c r="D805" s="5"/>
      <c r="E805" s="5"/>
      <c r="F805" s="5"/>
      <c r="G805" s="5"/>
      <c r="J805" s="5"/>
      <c r="M805" s="5"/>
      <c r="N805" s="5"/>
      <c r="P805" s="5"/>
    </row>
    <row r="806" spans="2:16" ht="13">
      <c r="B806" s="36"/>
      <c r="C806" s="46"/>
      <c r="D806" s="5"/>
      <c r="E806" s="5"/>
      <c r="F806" s="5"/>
      <c r="G806" s="5"/>
      <c r="J806" s="5"/>
      <c r="M806" s="5"/>
      <c r="N806" s="5"/>
      <c r="P806" s="5"/>
    </row>
    <row r="807" spans="2:16" ht="13">
      <c r="B807" s="36"/>
      <c r="C807" s="46"/>
      <c r="D807" s="5"/>
      <c r="E807" s="5"/>
      <c r="F807" s="5"/>
      <c r="G807" s="5"/>
      <c r="J807" s="5"/>
      <c r="M807" s="5"/>
      <c r="N807" s="5"/>
      <c r="P807" s="5"/>
    </row>
    <row r="808" spans="2:16" ht="13">
      <c r="B808" s="36"/>
      <c r="C808" s="46"/>
      <c r="D808" s="5"/>
      <c r="E808" s="5"/>
      <c r="F808" s="5"/>
      <c r="G808" s="5"/>
      <c r="J808" s="5"/>
      <c r="M808" s="5"/>
      <c r="N808" s="5"/>
      <c r="P808" s="5"/>
    </row>
    <row r="809" spans="2:16" ht="13">
      <c r="B809" s="36"/>
      <c r="C809" s="46"/>
      <c r="D809" s="5"/>
      <c r="E809" s="5"/>
      <c r="F809" s="5"/>
      <c r="G809" s="5"/>
      <c r="J809" s="5"/>
      <c r="M809" s="5"/>
      <c r="N809" s="5"/>
      <c r="P809" s="5"/>
    </row>
    <row r="810" spans="2:16" ht="13">
      <c r="B810" s="36"/>
      <c r="C810" s="46"/>
      <c r="D810" s="5"/>
      <c r="E810" s="5"/>
      <c r="F810" s="5"/>
      <c r="G810" s="5"/>
      <c r="J810" s="5"/>
      <c r="M810" s="5"/>
      <c r="N810" s="5"/>
      <c r="P810" s="5"/>
    </row>
    <row r="811" spans="2:16" ht="13">
      <c r="B811" s="36"/>
      <c r="C811" s="46"/>
      <c r="D811" s="5"/>
      <c r="E811" s="5"/>
      <c r="F811" s="5"/>
      <c r="G811" s="5"/>
      <c r="J811" s="5"/>
      <c r="M811" s="5"/>
      <c r="N811" s="5"/>
      <c r="P811" s="5"/>
    </row>
    <row r="812" spans="2:16" ht="13">
      <c r="B812" s="36"/>
      <c r="C812" s="46"/>
      <c r="D812" s="5"/>
      <c r="E812" s="5"/>
      <c r="F812" s="5"/>
      <c r="G812" s="5"/>
      <c r="J812" s="5"/>
      <c r="M812" s="5"/>
      <c r="N812" s="5"/>
      <c r="P812" s="5"/>
    </row>
    <row r="813" spans="2:16" ht="13">
      <c r="B813" s="36"/>
      <c r="C813" s="46"/>
      <c r="D813" s="5"/>
      <c r="E813" s="5"/>
      <c r="F813" s="5"/>
      <c r="G813" s="5"/>
      <c r="J813" s="5"/>
      <c r="M813" s="5"/>
      <c r="N813" s="5"/>
      <c r="P813" s="5"/>
    </row>
    <row r="814" spans="2:16" ht="13">
      <c r="B814" s="36"/>
      <c r="C814" s="46"/>
      <c r="D814" s="5"/>
      <c r="E814" s="5"/>
      <c r="F814" s="5"/>
      <c r="G814" s="5"/>
      <c r="J814" s="5"/>
      <c r="M814" s="5"/>
      <c r="N814" s="5"/>
      <c r="P814" s="5"/>
    </row>
    <row r="815" spans="2:16" ht="13">
      <c r="B815" s="36"/>
      <c r="C815" s="46"/>
      <c r="D815" s="5"/>
      <c r="E815" s="5"/>
      <c r="F815" s="5"/>
      <c r="G815" s="5"/>
      <c r="J815" s="5"/>
      <c r="M815" s="5"/>
      <c r="N815" s="5"/>
      <c r="P815" s="5"/>
    </row>
    <row r="816" spans="2:16" ht="13">
      <c r="B816" s="36"/>
      <c r="C816" s="46"/>
      <c r="D816" s="5"/>
      <c r="E816" s="5"/>
      <c r="F816" s="5"/>
      <c r="G816" s="5"/>
      <c r="J816" s="5"/>
      <c r="M816" s="5"/>
      <c r="N816" s="5"/>
      <c r="P816" s="5"/>
    </row>
    <row r="817" spans="2:16" ht="13">
      <c r="B817" s="36"/>
      <c r="C817" s="46"/>
      <c r="D817" s="5"/>
      <c r="E817" s="5"/>
      <c r="F817" s="5"/>
      <c r="G817" s="5"/>
      <c r="J817" s="5"/>
      <c r="M817" s="5"/>
      <c r="N817" s="5"/>
      <c r="P817" s="5"/>
    </row>
    <row r="818" spans="2:16" ht="13">
      <c r="B818" s="36"/>
      <c r="C818" s="46"/>
      <c r="D818" s="5"/>
      <c r="E818" s="5"/>
      <c r="F818" s="5"/>
      <c r="G818" s="5"/>
      <c r="J818" s="5"/>
      <c r="M818" s="5"/>
      <c r="N818" s="5"/>
      <c r="P818" s="5"/>
    </row>
    <row r="819" spans="2:16" ht="13">
      <c r="B819" s="36"/>
      <c r="C819" s="46"/>
      <c r="D819" s="5"/>
      <c r="E819" s="5"/>
      <c r="F819" s="5"/>
      <c r="G819" s="5"/>
      <c r="J819" s="5"/>
      <c r="M819" s="5"/>
      <c r="N819" s="5"/>
      <c r="P819" s="5"/>
    </row>
    <row r="820" spans="2:16" ht="13">
      <c r="B820" s="36"/>
      <c r="C820" s="46"/>
      <c r="D820" s="5"/>
      <c r="E820" s="5"/>
      <c r="F820" s="5"/>
      <c r="G820" s="5"/>
      <c r="J820" s="5"/>
      <c r="M820" s="5"/>
      <c r="N820" s="5"/>
      <c r="P820" s="5"/>
    </row>
    <row r="821" spans="2:16" ht="13">
      <c r="B821" s="36"/>
      <c r="C821" s="46"/>
      <c r="D821" s="5"/>
      <c r="E821" s="5"/>
      <c r="F821" s="5"/>
      <c r="G821" s="5"/>
      <c r="J821" s="5"/>
      <c r="M821" s="5"/>
      <c r="N821" s="5"/>
      <c r="P821" s="5"/>
    </row>
    <row r="822" spans="2:16" ht="13">
      <c r="B822" s="36"/>
      <c r="C822" s="46"/>
      <c r="D822" s="5"/>
      <c r="E822" s="5"/>
      <c r="F822" s="5"/>
      <c r="G822" s="5"/>
      <c r="J822" s="5"/>
      <c r="M822" s="5"/>
      <c r="N822" s="5"/>
      <c r="P822" s="5"/>
    </row>
    <row r="823" spans="2:16" ht="13">
      <c r="B823" s="36"/>
      <c r="C823" s="46"/>
      <c r="D823" s="5"/>
      <c r="E823" s="5"/>
      <c r="F823" s="5"/>
      <c r="G823" s="5"/>
      <c r="J823" s="5"/>
      <c r="M823" s="5"/>
      <c r="N823" s="5"/>
      <c r="P823" s="5"/>
    </row>
    <row r="824" spans="2:16" ht="13">
      <c r="B824" s="36"/>
      <c r="C824" s="46"/>
      <c r="D824" s="5"/>
      <c r="E824" s="5"/>
      <c r="F824" s="5"/>
      <c r="G824" s="5"/>
      <c r="J824" s="5"/>
      <c r="M824" s="5"/>
      <c r="N824" s="5"/>
      <c r="P824" s="5"/>
    </row>
    <row r="825" spans="2:16" ht="13">
      <c r="B825" s="36"/>
      <c r="C825" s="46"/>
      <c r="D825" s="5"/>
      <c r="E825" s="5"/>
      <c r="F825" s="5"/>
      <c r="G825" s="5"/>
      <c r="J825" s="5"/>
      <c r="M825" s="5"/>
      <c r="N825" s="5"/>
      <c r="P825" s="5"/>
    </row>
    <row r="826" spans="2:16" ht="13">
      <c r="B826" s="36"/>
      <c r="C826" s="46"/>
      <c r="D826" s="5"/>
      <c r="E826" s="5"/>
      <c r="F826" s="5"/>
      <c r="G826" s="5"/>
      <c r="J826" s="5"/>
      <c r="M826" s="5"/>
      <c r="N826" s="5"/>
      <c r="P826" s="5"/>
    </row>
    <row r="827" spans="2:16" ht="13">
      <c r="B827" s="36"/>
      <c r="C827" s="46"/>
      <c r="D827" s="5"/>
      <c r="E827" s="5"/>
      <c r="F827" s="5"/>
      <c r="G827" s="5"/>
      <c r="J827" s="5"/>
      <c r="M827" s="5"/>
      <c r="N827" s="5"/>
      <c r="P827" s="5"/>
    </row>
    <row r="828" spans="2:16" ht="13">
      <c r="B828" s="36"/>
      <c r="C828" s="46"/>
      <c r="D828" s="5"/>
      <c r="E828" s="5"/>
      <c r="F828" s="5"/>
      <c r="G828" s="5"/>
      <c r="J828" s="5"/>
      <c r="M828" s="5"/>
      <c r="N828" s="5"/>
      <c r="P828" s="5"/>
    </row>
    <row r="829" spans="2:16" ht="13">
      <c r="B829" s="36"/>
      <c r="C829" s="46"/>
      <c r="D829" s="5"/>
      <c r="E829" s="5"/>
      <c r="F829" s="5"/>
      <c r="G829" s="5"/>
      <c r="J829" s="5"/>
      <c r="M829" s="5"/>
      <c r="N829" s="5"/>
      <c r="P829" s="5"/>
    </row>
    <row r="830" spans="2:16" ht="13">
      <c r="B830" s="36"/>
      <c r="C830" s="46"/>
      <c r="D830" s="5"/>
      <c r="E830" s="5"/>
      <c r="F830" s="5"/>
      <c r="G830" s="5"/>
      <c r="J830" s="5"/>
      <c r="M830" s="5"/>
      <c r="N830" s="5"/>
      <c r="P830" s="5"/>
    </row>
    <row r="831" spans="2:16" ht="13">
      <c r="B831" s="36"/>
      <c r="C831" s="46"/>
      <c r="D831" s="5"/>
      <c r="E831" s="5"/>
      <c r="F831" s="5"/>
      <c r="G831" s="5"/>
      <c r="J831" s="5"/>
      <c r="M831" s="5"/>
      <c r="N831" s="5"/>
      <c r="P831" s="5"/>
    </row>
    <row r="832" spans="2:16" ht="13">
      <c r="B832" s="36"/>
      <c r="C832" s="46"/>
      <c r="D832" s="5"/>
      <c r="E832" s="5"/>
      <c r="F832" s="5"/>
      <c r="G832" s="5"/>
      <c r="J832" s="5"/>
      <c r="M832" s="5"/>
      <c r="N832" s="5"/>
      <c r="P832" s="5"/>
    </row>
    <row r="833" spans="2:16" ht="13">
      <c r="B833" s="36"/>
      <c r="C833" s="46"/>
      <c r="D833" s="5"/>
      <c r="E833" s="5"/>
      <c r="F833" s="5"/>
      <c r="G833" s="5"/>
      <c r="J833" s="5"/>
      <c r="M833" s="5"/>
      <c r="N833" s="5"/>
      <c r="P833" s="5"/>
    </row>
    <row r="834" spans="2:16" ht="13">
      <c r="B834" s="36"/>
      <c r="C834" s="46"/>
      <c r="D834" s="5"/>
      <c r="E834" s="5"/>
      <c r="F834" s="5"/>
      <c r="G834" s="5"/>
      <c r="J834" s="5"/>
      <c r="M834" s="5"/>
      <c r="N834" s="5"/>
      <c r="P834" s="5"/>
    </row>
    <row r="835" spans="2:16" ht="13">
      <c r="B835" s="36"/>
      <c r="C835" s="46"/>
      <c r="D835" s="5"/>
      <c r="E835" s="5"/>
      <c r="F835" s="5"/>
      <c r="G835" s="5"/>
      <c r="J835" s="5"/>
      <c r="M835" s="5"/>
      <c r="N835" s="5"/>
      <c r="P835" s="5"/>
    </row>
    <row r="836" spans="2:16" ht="13">
      <c r="B836" s="36"/>
      <c r="C836" s="46"/>
      <c r="D836" s="5"/>
      <c r="E836" s="5"/>
      <c r="F836" s="5"/>
      <c r="G836" s="5"/>
      <c r="J836" s="5"/>
      <c r="M836" s="5"/>
      <c r="N836" s="5"/>
      <c r="P836" s="5"/>
    </row>
    <row r="837" spans="2:16" ht="13">
      <c r="B837" s="36"/>
      <c r="C837" s="46"/>
      <c r="D837" s="5"/>
      <c r="E837" s="5"/>
      <c r="F837" s="5"/>
      <c r="G837" s="5"/>
      <c r="J837" s="5"/>
      <c r="M837" s="5"/>
      <c r="N837" s="5"/>
      <c r="P837" s="5"/>
    </row>
    <row r="838" spans="2:16" ht="13">
      <c r="B838" s="36"/>
      <c r="C838" s="46"/>
      <c r="D838" s="5"/>
      <c r="E838" s="5"/>
      <c r="F838" s="5"/>
      <c r="G838" s="5"/>
      <c r="J838" s="5"/>
      <c r="M838" s="5"/>
      <c r="N838" s="5"/>
      <c r="P838" s="5"/>
    </row>
    <row r="839" spans="2:16" ht="13">
      <c r="B839" s="36"/>
      <c r="C839" s="46"/>
      <c r="D839" s="5"/>
      <c r="E839" s="5"/>
      <c r="F839" s="5"/>
      <c r="G839" s="5"/>
      <c r="J839" s="5"/>
      <c r="M839" s="5"/>
      <c r="N839" s="5"/>
      <c r="P839" s="5"/>
    </row>
    <row r="840" spans="2:16" ht="13">
      <c r="B840" s="36"/>
      <c r="C840" s="46"/>
      <c r="D840" s="5"/>
      <c r="E840" s="5"/>
      <c r="F840" s="5"/>
      <c r="G840" s="5"/>
      <c r="J840" s="5"/>
      <c r="M840" s="5"/>
      <c r="N840" s="5"/>
      <c r="P840" s="5"/>
    </row>
    <row r="841" spans="2:16" ht="13">
      <c r="B841" s="36"/>
      <c r="C841" s="46"/>
      <c r="D841" s="5"/>
      <c r="E841" s="5"/>
      <c r="F841" s="5"/>
      <c r="G841" s="5"/>
      <c r="J841" s="5"/>
      <c r="M841" s="5"/>
      <c r="N841" s="5"/>
      <c r="P841" s="5"/>
    </row>
    <row r="842" spans="2:16" ht="13">
      <c r="B842" s="36"/>
      <c r="C842" s="46"/>
      <c r="D842" s="5"/>
      <c r="E842" s="5"/>
      <c r="F842" s="5"/>
      <c r="G842" s="5"/>
      <c r="J842" s="5"/>
      <c r="M842" s="5"/>
      <c r="N842" s="5"/>
      <c r="P842" s="5"/>
    </row>
    <row r="843" spans="2:16" ht="13">
      <c r="B843" s="36"/>
      <c r="C843" s="46"/>
      <c r="D843" s="5"/>
      <c r="E843" s="5"/>
      <c r="F843" s="5"/>
      <c r="G843" s="5"/>
      <c r="J843" s="5"/>
      <c r="M843" s="5"/>
      <c r="N843" s="5"/>
      <c r="P843" s="5"/>
    </row>
    <row r="844" spans="2:16" ht="13">
      <c r="B844" s="36"/>
      <c r="C844" s="46"/>
      <c r="D844" s="5"/>
      <c r="E844" s="5"/>
      <c r="F844" s="5"/>
      <c r="G844" s="5"/>
      <c r="J844" s="5"/>
      <c r="M844" s="5"/>
      <c r="N844" s="5"/>
      <c r="P844" s="5"/>
    </row>
    <row r="845" spans="2:16" ht="13">
      <c r="B845" s="36"/>
      <c r="C845" s="46"/>
      <c r="D845" s="5"/>
      <c r="E845" s="5"/>
      <c r="F845" s="5"/>
      <c r="G845" s="5"/>
      <c r="J845" s="5"/>
      <c r="M845" s="5"/>
      <c r="N845" s="5"/>
      <c r="P845" s="5"/>
    </row>
    <row r="846" spans="2:16" ht="13">
      <c r="B846" s="36"/>
      <c r="C846" s="46"/>
      <c r="D846" s="5"/>
      <c r="E846" s="5"/>
      <c r="F846" s="5"/>
      <c r="G846" s="5"/>
      <c r="J846" s="5"/>
      <c r="M846" s="5"/>
      <c r="N846" s="5"/>
      <c r="P846" s="5"/>
    </row>
    <row r="847" spans="2:16" ht="13">
      <c r="B847" s="36"/>
      <c r="C847" s="46"/>
      <c r="D847" s="5"/>
      <c r="E847" s="5"/>
      <c r="F847" s="5"/>
      <c r="G847" s="5"/>
      <c r="J847" s="5"/>
      <c r="M847" s="5"/>
      <c r="N847" s="5"/>
      <c r="P847" s="5"/>
    </row>
    <row r="848" spans="2:16" ht="13">
      <c r="B848" s="36"/>
      <c r="C848" s="46"/>
      <c r="D848" s="5"/>
      <c r="E848" s="5"/>
      <c r="F848" s="5"/>
      <c r="G848" s="5"/>
      <c r="J848" s="5"/>
      <c r="M848" s="5"/>
      <c r="N848" s="5"/>
      <c r="P848" s="5"/>
    </row>
    <row r="849" spans="2:16" ht="13">
      <c r="B849" s="36"/>
      <c r="C849" s="46"/>
      <c r="D849" s="5"/>
      <c r="E849" s="5"/>
      <c r="F849" s="5"/>
      <c r="G849" s="5"/>
      <c r="J849" s="5"/>
      <c r="M849" s="5"/>
      <c r="N849" s="5"/>
      <c r="P849" s="5"/>
    </row>
    <row r="850" spans="2:16" ht="13">
      <c r="B850" s="36"/>
      <c r="C850" s="46"/>
      <c r="D850" s="5"/>
      <c r="E850" s="5"/>
      <c r="F850" s="5"/>
      <c r="G850" s="5"/>
      <c r="J850" s="5"/>
      <c r="M850" s="5"/>
      <c r="N850" s="5"/>
      <c r="P850" s="5"/>
    </row>
    <row r="851" spans="2:16" ht="13">
      <c r="B851" s="36"/>
      <c r="C851" s="46"/>
      <c r="D851" s="5"/>
      <c r="E851" s="5"/>
      <c r="F851" s="5"/>
      <c r="G851" s="5"/>
      <c r="J851" s="5"/>
      <c r="M851" s="5"/>
      <c r="N851" s="5"/>
      <c r="P851" s="5"/>
    </row>
    <row r="852" spans="2:16" ht="13">
      <c r="B852" s="36"/>
      <c r="C852" s="46"/>
      <c r="D852" s="5"/>
      <c r="E852" s="5"/>
      <c r="F852" s="5"/>
      <c r="G852" s="5"/>
      <c r="J852" s="5"/>
      <c r="M852" s="5"/>
      <c r="N852" s="5"/>
      <c r="P852" s="5"/>
    </row>
    <row r="853" spans="2:16" ht="13">
      <c r="B853" s="36"/>
      <c r="C853" s="46"/>
      <c r="D853" s="5"/>
      <c r="E853" s="5"/>
      <c r="F853" s="5"/>
      <c r="G853" s="5"/>
      <c r="J853" s="5"/>
      <c r="M853" s="5"/>
      <c r="N853" s="5"/>
      <c r="P853" s="5"/>
    </row>
    <row r="854" spans="2:16" ht="13">
      <c r="B854" s="36"/>
      <c r="C854" s="46"/>
      <c r="D854" s="5"/>
      <c r="E854" s="5"/>
      <c r="F854" s="5"/>
      <c r="G854" s="5"/>
      <c r="J854" s="5"/>
      <c r="M854" s="5"/>
      <c r="N854" s="5"/>
      <c r="P854" s="5"/>
    </row>
    <row r="855" spans="2:16" ht="13">
      <c r="B855" s="36"/>
      <c r="C855" s="46"/>
      <c r="D855" s="5"/>
      <c r="E855" s="5"/>
      <c r="F855" s="5"/>
      <c r="G855" s="5"/>
      <c r="J855" s="5"/>
      <c r="M855" s="5"/>
      <c r="N855" s="5"/>
      <c r="P855" s="5"/>
    </row>
    <row r="856" spans="2:16" ht="13">
      <c r="B856" s="36"/>
      <c r="C856" s="46"/>
      <c r="D856" s="5"/>
      <c r="E856" s="5"/>
      <c r="F856" s="5"/>
      <c r="G856" s="5"/>
      <c r="J856" s="5"/>
      <c r="M856" s="5"/>
      <c r="N856" s="5"/>
      <c r="P856" s="5"/>
    </row>
    <row r="857" spans="2:16" ht="13">
      <c r="B857" s="36"/>
      <c r="C857" s="46"/>
      <c r="D857" s="5"/>
      <c r="E857" s="5"/>
      <c r="F857" s="5"/>
      <c r="G857" s="5"/>
      <c r="J857" s="5"/>
      <c r="M857" s="5"/>
      <c r="N857" s="5"/>
      <c r="P857" s="5"/>
    </row>
    <row r="858" spans="2:16" ht="13">
      <c r="B858" s="36"/>
      <c r="C858" s="46"/>
      <c r="D858" s="5"/>
      <c r="E858" s="5"/>
      <c r="F858" s="5"/>
      <c r="G858" s="5"/>
      <c r="J858" s="5"/>
      <c r="M858" s="5"/>
      <c r="N858" s="5"/>
      <c r="P858" s="5"/>
    </row>
    <row r="859" spans="2:16" ht="13">
      <c r="B859" s="36"/>
      <c r="C859" s="46"/>
      <c r="D859" s="5"/>
      <c r="E859" s="5"/>
      <c r="F859" s="5"/>
      <c r="G859" s="5"/>
      <c r="J859" s="5"/>
      <c r="M859" s="5"/>
      <c r="N859" s="5"/>
      <c r="P859" s="5"/>
    </row>
    <row r="860" spans="2:16" ht="13">
      <c r="B860" s="36"/>
      <c r="C860" s="46"/>
      <c r="D860" s="5"/>
      <c r="E860" s="5"/>
      <c r="F860" s="5"/>
      <c r="G860" s="5"/>
      <c r="J860" s="5"/>
      <c r="M860" s="5"/>
      <c r="N860" s="5"/>
      <c r="P860" s="5"/>
    </row>
    <row r="861" spans="2:16" ht="13">
      <c r="B861" s="36"/>
      <c r="C861" s="46"/>
      <c r="D861" s="5"/>
      <c r="E861" s="5"/>
      <c r="F861" s="5"/>
      <c r="G861" s="5"/>
      <c r="J861" s="5"/>
      <c r="M861" s="5"/>
      <c r="N861" s="5"/>
      <c r="P861" s="5"/>
    </row>
    <row r="862" spans="2:16" ht="13">
      <c r="B862" s="36"/>
      <c r="C862" s="46"/>
      <c r="D862" s="5"/>
      <c r="E862" s="5"/>
      <c r="F862" s="5"/>
      <c r="G862" s="5"/>
      <c r="J862" s="5"/>
      <c r="M862" s="5"/>
      <c r="N862" s="5"/>
      <c r="P862" s="5"/>
    </row>
    <row r="863" spans="2:16" ht="13">
      <c r="B863" s="36"/>
      <c r="C863" s="46"/>
      <c r="D863" s="5"/>
      <c r="E863" s="5"/>
      <c r="F863" s="5"/>
      <c r="G863" s="5"/>
      <c r="J863" s="5"/>
      <c r="M863" s="5"/>
      <c r="N863" s="5"/>
      <c r="P863" s="5"/>
    </row>
    <row r="864" spans="2:16" ht="13">
      <c r="B864" s="36"/>
      <c r="C864" s="46"/>
      <c r="D864" s="5"/>
      <c r="E864" s="5"/>
      <c r="F864" s="5"/>
      <c r="G864" s="5"/>
      <c r="J864" s="5"/>
      <c r="M864" s="5"/>
      <c r="N864" s="5"/>
      <c r="P864" s="5"/>
    </row>
    <row r="865" spans="2:16" ht="13">
      <c r="B865" s="36"/>
      <c r="C865" s="46"/>
      <c r="D865" s="5"/>
      <c r="E865" s="5"/>
      <c r="F865" s="5"/>
      <c r="G865" s="5"/>
      <c r="J865" s="5"/>
      <c r="M865" s="5"/>
      <c r="N865" s="5"/>
      <c r="P865" s="5"/>
    </row>
    <row r="866" spans="2:16" ht="13">
      <c r="B866" s="36"/>
      <c r="C866" s="46"/>
      <c r="D866" s="5"/>
      <c r="E866" s="5"/>
      <c r="F866" s="5"/>
      <c r="G866" s="5"/>
      <c r="J866" s="5"/>
      <c r="M866" s="5"/>
      <c r="N866" s="5"/>
      <c r="P866" s="5"/>
    </row>
    <row r="867" spans="2:16" ht="13">
      <c r="B867" s="36"/>
      <c r="C867" s="46"/>
      <c r="D867" s="5"/>
      <c r="E867" s="5"/>
      <c r="F867" s="5"/>
      <c r="G867" s="5"/>
      <c r="J867" s="5"/>
      <c r="M867" s="5"/>
      <c r="N867" s="5"/>
      <c r="P867" s="5"/>
    </row>
    <row r="868" spans="2:16" ht="13">
      <c r="B868" s="36"/>
      <c r="C868" s="46"/>
      <c r="D868" s="5"/>
      <c r="E868" s="5"/>
      <c r="F868" s="5"/>
      <c r="G868" s="5"/>
      <c r="J868" s="5"/>
      <c r="M868" s="5"/>
      <c r="N868" s="5"/>
      <c r="P868" s="5"/>
    </row>
    <row r="869" spans="2:16" ht="13">
      <c r="B869" s="36"/>
      <c r="C869" s="46"/>
      <c r="D869" s="5"/>
      <c r="E869" s="5"/>
      <c r="F869" s="5"/>
      <c r="G869" s="5"/>
      <c r="J869" s="5"/>
      <c r="M869" s="5"/>
      <c r="N869" s="5"/>
      <c r="P869" s="5"/>
    </row>
    <row r="870" spans="2:16" ht="13">
      <c r="B870" s="36"/>
      <c r="C870" s="46"/>
      <c r="D870" s="5"/>
      <c r="E870" s="5"/>
      <c r="F870" s="5"/>
      <c r="G870" s="5"/>
      <c r="J870" s="5"/>
      <c r="M870" s="5"/>
      <c r="N870" s="5"/>
      <c r="P870" s="5"/>
    </row>
    <row r="871" spans="2:16" ht="13">
      <c r="B871" s="36"/>
      <c r="C871" s="46"/>
      <c r="D871" s="5"/>
      <c r="E871" s="5"/>
      <c r="F871" s="5"/>
      <c r="G871" s="5"/>
      <c r="J871" s="5"/>
      <c r="M871" s="5"/>
      <c r="N871" s="5"/>
      <c r="P871" s="5"/>
    </row>
    <row r="872" spans="2:16" ht="13">
      <c r="B872" s="36"/>
      <c r="C872" s="46"/>
      <c r="D872" s="5"/>
      <c r="E872" s="5"/>
      <c r="F872" s="5"/>
      <c r="G872" s="5"/>
      <c r="J872" s="5"/>
      <c r="M872" s="5"/>
      <c r="N872" s="5"/>
      <c r="P872" s="5"/>
    </row>
    <row r="873" spans="2:16" ht="13">
      <c r="B873" s="36"/>
      <c r="C873" s="46"/>
      <c r="D873" s="5"/>
      <c r="E873" s="5"/>
      <c r="F873" s="5"/>
      <c r="G873" s="5"/>
      <c r="J873" s="5"/>
      <c r="M873" s="5"/>
      <c r="N873" s="5"/>
      <c r="P873" s="5"/>
    </row>
    <row r="874" spans="2:16" ht="13">
      <c r="B874" s="36"/>
      <c r="C874" s="46"/>
      <c r="D874" s="5"/>
      <c r="E874" s="5"/>
      <c r="F874" s="5"/>
      <c r="G874" s="5"/>
      <c r="J874" s="5"/>
      <c r="M874" s="5"/>
      <c r="N874" s="5"/>
      <c r="P874" s="5"/>
    </row>
    <row r="875" spans="2:16" ht="13">
      <c r="B875" s="36"/>
      <c r="C875" s="46"/>
      <c r="D875" s="5"/>
      <c r="E875" s="5"/>
      <c r="F875" s="5"/>
      <c r="G875" s="5"/>
      <c r="J875" s="5"/>
      <c r="M875" s="5"/>
      <c r="N875" s="5"/>
      <c r="P875" s="5"/>
    </row>
    <row r="876" spans="2:16" ht="13">
      <c r="B876" s="36"/>
      <c r="C876" s="46"/>
      <c r="D876" s="5"/>
      <c r="E876" s="5"/>
      <c r="F876" s="5"/>
      <c r="G876" s="5"/>
      <c r="J876" s="5"/>
      <c r="M876" s="5"/>
      <c r="N876" s="5"/>
      <c r="P876" s="5"/>
    </row>
    <row r="877" spans="2:16" ht="13">
      <c r="B877" s="36"/>
      <c r="C877" s="46"/>
      <c r="D877" s="5"/>
      <c r="E877" s="5"/>
      <c r="F877" s="5"/>
      <c r="G877" s="5"/>
      <c r="J877" s="5"/>
      <c r="M877" s="5"/>
      <c r="N877" s="5"/>
      <c r="P877" s="5"/>
    </row>
    <row r="878" spans="2:16" ht="13">
      <c r="B878" s="36"/>
      <c r="C878" s="46"/>
      <c r="D878" s="5"/>
      <c r="E878" s="5"/>
      <c r="F878" s="5"/>
      <c r="G878" s="5"/>
      <c r="J878" s="5"/>
      <c r="M878" s="5"/>
      <c r="N878" s="5"/>
      <c r="P878" s="5"/>
    </row>
    <row r="879" spans="2:16" ht="13">
      <c r="B879" s="36"/>
      <c r="C879" s="46"/>
      <c r="D879" s="5"/>
      <c r="E879" s="5"/>
      <c r="F879" s="5"/>
      <c r="G879" s="5"/>
      <c r="J879" s="5"/>
      <c r="M879" s="5"/>
      <c r="N879" s="5"/>
      <c r="P879" s="5"/>
    </row>
    <row r="880" spans="2:16" ht="13">
      <c r="B880" s="36"/>
      <c r="C880" s="46"/>
      <c r="D880" s="5"/>
      <c r="E880" s="5"/>
      <c r="F880" s="5"/>
      <c r="G880" s="5"/>
      <c r="J880" s="5"/>
      <c r="M880" s="5"/>
      <c r="N880" s="5"/>
      <c r="P880" s="5"/>
    </row>
    <row r="881" spans="2:16" ht="13">
      <c r="B881" s="36"/>
      <c r="C881" s="46"/>
      <c r="D881" s="5"/>
      <c r="E881" s="5"/>
      <c r="F881" s="5"/>
      <c r="G881" s="5"/>
      <c r="J881" s="5"/>
      <c r="M881" s="5"/>
      <c r="N881" s="5"/>
      <c r="P881" s="5"/>
    </row>
    <row r="882" spans="2:16" ht="13">
      <c r="B882" s="36"/>
      <c r="C882" s="46"/>
      <c r="D882" s="5"/>
      <c r="E882" s="5"/>
      <c r="F882" s="5"/>
      <c r="G882" s="5"/>
      <c r="J882" s="5"/>
      <c r="M882" s="5"/>
      <c r="N882" s="5"/>
      <c r="P882" s="5"/>
    </row>
    <row r="883" spans="2:16" ht="13">
      <c r="B883" s="36"/>
      <c r="C883" s="46"/>
      <c r="D883" s="5"/>
      <c r="E883" s="5"/>
      <c r="F883" s="5"/>
      <c r="G883" s="5"/>
      <c r="J883" s="5"/>
      <c r="M883" s="5"/>
      <c r="N883" s="5"/>
      <c r="P883" s="5"/>
    </row>
    <row r="884" spans="2:16" ht="13">
      <c r="B884" s="36"/>
      <c r="C884" s="46"/>
      <c r="D884" s="5"/>
      <c r="E884" s="5"/>
      <c r="F884" s="5"/>
      <c r="G884" s="5"/>
      <c r="J884" s="5"/>
      <c r="M884" s="5"/>
      <c r="N884" s="5"/>
      <c r="P884" s="5"/>
    </row>
    <row r="885" spans="2:16" ht="13">
      <c r="B885" s="36"/>
      <c r="C885" s="46"/>
      <c r="D885" s="5"/>
      <c r="E885" s="5"/>
      <c r="F885" s="5"/>
      <c r="G885" s="5"/>
      <c r="J885" s="5"/>
      <c r="M885" s="5"/>
      <c r="N885" s="5"/>
      <c r="P885" s="5"/>
    </row>
    <row r="886" spans="2:16" ht="13">
      <c r="B886" s="36"/>
      <c r="C886" s="46"/>
      <c r="D886" s="5"/>
      <c r="E886" s="5"/>
      <c r="F886" s="5"/>
      <c r="G886" s="5"/>
      <c r="J886" s="5"/>
      <c r="M886" s="5"/>
      <c r="N886" s="5"/>
      <c r="P886" s="5"/>
    </row>
    <row r="887" spans="2:16" ht="13">
      <c r="B887" s="36"/>
      <c r="C887" s="46"/>
      <c r="D887" s="5"/>
      <c r="E887" s="5"/>
      <c r="F887" s="5"/>
      <c r="G887" s="5"/>
      <c r="J887" s="5"/>
      <c r="M887" s="5"/>
      <c r="N887" s="5"/>
      <c r="P887" s="5"/>
    </row>
    <row r="888" spans="2:16" ht="13">
      <c r="B888" s="36"/>
      <c r="C888" s="46"/>
      <c r="D888" s="5"/>
      <c r="E888" s="5"/>
      <c r="F888" s="5"/>
      <c r="G888" s="5"/>
      <c r="J888" s="5"/>
      <c r="M888" s="5"/>
      <c r="N888" s="5"/>
      <c r="P888" s="5"/>
    </row>
    <row r="889" spans="2:16" ht="13">
      <c r="B889" s="36"/>
      <c r="C889" s="46"/>
      <c r="D889" s="5"/>
      <c r="E889" s="5"/>
      <c r="F889" s="5"/>
      <c r="G889" s="5"/>
      <c r="J889" s="5"/>
      <c r="M889" s="5"/>
      <c r="N889" s="5"/>
      <c r="P889" s="5"/>
    </row>
    <row r="890" spans="2:16" ht="13">
      <c r="B890" s="36"/>
      <c r="C890" s="46"/>
      <c r="D890" s="5"/>
      <c r="E890" s="5"/>
      <c r="F890" s="5"/>
      <c r="G890" s="5"/>
      <c r="J890" s="5"/>
      <c r="M890" s="5"/>
      <c r="N890" s="5"/>
      <c r="P890" s="5"/>
    </row>
    <row r="891" spans="2:16" ht="13">
      <c r="B891" s="36"/>
      <c r="C891" s="46"/>
      <c r="D891" s="5"/>
      <c r="E891" s="5"/>
      <c r="F891" s="5"/>
      <c r="G891" s="5"/>
      <c r="J891" s="5"/>
      <c r="M891" s="5"/>
      <c r="N891" s="5"/>
      <c r="P891" s="5"/>
    </row>
    <row r="892" spans="2:16" ht="13">
      <c r="B892" s="36"/>
      <c r="C892" s="46"/>
      <c r="D892" s="5"/>
      <c r="E892" s="5"/>
      <c r="F892" s="5"/>
      <c r="G892" s="5"/>
      <c r="J892" s="5"/>
      <c r="M892" s="5"/>
      <c r="N892" s="5"/>
      <c r="P892" s="5"/>
    </row>
    <row r="893" spans="2:16" ht="13">
      <c r="B893" s="36"/>
      <c r="C893" s="46"/>
      <c r="D893" s="5"/>
      <c r="E893" s="5"/>
      <c r="F893" s="5"/>
      <c r="G893" s="5"/>
      <c r="J893" s="5"/>
      <c r="M893" s="5"/>
      <c r="N893" s="5"/>
      <c r="P893" s="5"/>
    </row>
    <row r="894" spans="2:16" ht="13">
      <c r="B894" s="36"/>
      <c r="C894" s="46"/>
      <c r="D894" s="5"/>
      <c r="E894" s="5"/>
      <c r="F894" s="5"/>
      <c r="G894" s="5"/>
      <c r="J894" s="5"/>
      <c r="M894" s="5"/>
      <c r="N894" s="5"/>
      <c r="P894" s="5"/>
    </row>
    <row r="895" spans="2:16" ht="13">
      <c r="B895" s="36"/>
      <c r="C895" s="46"/>
      <c r="D895" s="5"/>
      <c r="E895" s="5"/>
      <c r="F895" s="5"/>
      <c r="G895" s="5"/>
      <c r="J895" s="5"/>
      <c r="M895" s="5"/>
      <c r="N895" s="5"/>
      <c r="P895" s="5"/>
    </row>
    <row r="896" spans="2:16" ht="13">
      <c r="B896" s="36"/>
      <c r="C896" s="46"/>
      <c r="D896" s="5"/>
      <c r="E896" s="5"/>
      <c r="F896" s="5"/>
      <c r="G896" s="5"/>
      <c r="J896" s="5"/>
      <c r="M896" s="5"/>
      <c r="N896" s="5"/>
      <c r="P896" s="5"/>
    </row>
    <row r="897" spans="2:16" ht="13">
      <c r="B897" s="36"/>
      <c r="C897" s="46"/>
      <c r="D897" s="5"/>
      <c r="E897" s="5"/>
      <c r="F897" s="5"/>
      <c r="G897" s="5"/>
      <c r="J897" s="5"/>
      <c r="M897" s="5"/>
      <c r="N897" s="5"/>
      <c r="P897" s="5"/>
    </row>
    <row r="898" spans="2:16" ht="13">
      <c r="B898" s="36"/>
      <c r="C898" s="46"/>
      <c r="D898" s="5"/>
      <c r="E898" s="5"/>
      <c r="F898" s="5"/>
      <c r="G898" s="5"/>
      <c r="J898" s="5"/>
      <c r="M898" s="5"/>
      <c r="N898" s="5"/>
      <c r="P898" s="5"/>
    </row>
    <row r="899" spans="2:16" ht="13">
      <c r="B899" s="36"/>
      <c r="C899" s="46"/>
      <c r="D899" s="5"/>
      <c r="E899" s="5"/>
      <c r="F899" s="5"/>
      <c r="G899" s="5"/>
      <c r="J899" s="5"/>
      <c r="M899" s="5"/>
      <c r="N899" s="5"/>
      <c r="P899" s="5"/>
    </row>
    <row r="900" spans="2:16" ht="13">
      <c r="B900" s="36"/>
      <c r="C900" s="46"/>
      <c r="D900" s="5"/>
      <c r="E900" s="5"/>
      <c r="F900" s="5"/>
      <c r="G900" s="5"/>
      <c r="J900" s="5"/>
      <c r="M900" s="5"/>
      <c r="N900" s="5"/>
      <c r="P900" s="5"/>
    </row>
    <row r="901" spans="2:16" ht="13">
      <c r="B901" s="36"/>
      <c r="C901" s="46"/>
      <c r="D901" s="5"/>
      <c r="E901" s="5"/>
      <c r="F901" s="5"/>
      <c r="G901" s="5"/>
      <c r="J901" s="5"/>
      <c r="M901" s="5"/>
      <c r="N901" s="5"/>
      <c r="P901" s="5"/>
    </row>
    <row r="902" spans="2:16" ht="13">
      <c r="B902" s="36"/>
      <c r="C902" s="46"/>
      <c r="D902" s="5"/>
      <c r="E902" s="5"/>
      <c r="F902" s="5"/>
      <c r="G902" s="5"/>
      <c r="J902" s="5"/>
      <c r="M902" s="5"/>
      <c r="N902" s="5"/>
      <c r="P902" s="5"/>
    </row>
    <row r="903" spans="2:16" ht="13">
      <c r="B903" s="36"/>
      <c r="C903" s="46"/>
      <c r="D903" s="5"/>
      <c r="E903" s="5"/>
      <c r="F903" s="5"/>
      <c r="G903" s="5"/>
      <c r="J903" s="5"/>
      <c r="M903" s="5"/>
      <c r="N903" s="5"/>
      <c r="P903" s="5"/>
    </row>
    <row r="904" spans="2:16" ht="13">
      <c r="B904" s="36"/>
      <c r="C904" s="46"/>
      <c r="D904" s="5"/>
      <c r="E904" s="5"/>
      <c r="F904" s="5"/>
      <c r="G904" s="5"/>
      <c r="J904" s="5"/>
      <c r="M904" s="5"/>
      <c r="N904" s="5"/>
      <c r="P904" s="5"/>
    </row>
    <row r="905" spans="2:16" ht="13">
      <c r="B905" s="36"/>
      <c r="C905" s="46"/>
      <c r="D905" s="5"/>
      <c r="E905" s="5"/>
      <c r="F905" s="5"/>
      <c r="G905" s="5"/>
      <c r="J905" s="5"/>
      <c r="M905" s="5"/>
      <c r="N905" s="5"/>
      <c r="P905" s="5"/>
    </row>
    <row r="906" spans="2:16" ht="13">
      <c r="B906" s="36"/>
      <c r="C906" s="46"/>
      <c r="D906" s="5"/>
      <c r="E906" s="5"/>
      <c r="F906" s="5"/>
      <c r="G906" s="5"/>
      <c r="J906" s="5"/>
      <c r="M906" s="5"/>
      <c r="N906" s="5"/>
      <c r="P906" s="5"/>
    </row>
    <row r="907" spans="2:16" ht="13">
      <c r="B907" s="36"/>
      <c r="C907" s="46"/>
      <c r="D907" s="5"/>
      <c r="E907" s="5"/>
      <c r="F907" s="5"/>
      <c r="G907" s="5"/>
      <c r="J907" s="5"/>
      <c r="M907" s="5"/>
      <c r="N907" s="5"/>
      <c r="P907" s="5"/>
    </row>
    <row r="908" spans="2:16" ht="13">
      <c r="B908" s="36"/>
      <c r="C908" s="46"/>
      <c r="D908" s="5"/>
      <c r="E908" s="5"/>
      <c r="F908" s="5"/>
      <c r="G908" s="5"/>
      <c r="J908" s="5"/>
      <c r="M908" s="5"/>
      <c r="N908" s="5"/>
      <c r="P908" s="5"/>
    </row>
    <row r="909" spans="2:16" ht="13">
      <c r="B909" s="36"/>
      <c r="C909" s="46"/>
      <c r="D909" s="5"/>
      <c r="E909" s="5"/>
      <c r="F909" s="5"/>
      <c r="G909" s="5"/>
      <c r="J909" s="5"/>
      <c r="M909" s="5"/>
      <c r="N909" s="5"/>
      <c r="P909" s="5"/>
    </row>
    <row r="910" spans="2:16" ht="13">
      <c r="B910" s="36"/>
      <c r="C910" s="46"/>
      <c r="D910" s="5"/>
      <c r="E910" s="5"/>
      <c r="F910" s="5"/>
      <c r="G910" s="5"/>
      <c r="J910" s="5"/>
      <c r="M910" s="5"/>
      <c r="N910" s="5"/>
      <c r="P910" s="5"/>
    </row>
    <row r="911" spans="2:16" ht="13">
      <c r="B911" s="36"/>
      <c r="C911" s="46"/>
      <c r="D911" s="5"/>
      <c r="E911" s="5"/>
      <c r="F911" s="5"/>
      <c r="G911" s="5"/>
      <c r="J911" s="5"/>
      <c r="M911" s="5"/>
      <c r="N911" s="5"/>
      <c r="P911" s="5"/>
    </row>
    <row r="912" spans="2:16" ht="13">
      <c r="B912" s="36"/>
      <c r="C912" s="46"/>
      <c r="D912" s="5"/>
      <c r="E912" s="5"/>
      <c r="F912" s="5"/>
      <c r="G912" s="5"/>
      <c r="J912" s="5"/>
      <c r="M912" s="5"/>
      <c r="N912" s="5"/>
      <c r="P912" s="5"/>
    </row>
    <row r="913" spans="2:16" ht="13">
      <c r="B913" s="36"/>
      <c r="C913" s="46"/>
      <c r="D913" s="5"/>
      <c r="E913" s="5"/>
      <c r="F913" s="5"/>
      <c r="G913" s="5"/>
      <c r="J913" s="5"/>
      <c r="M913" s="5"/>
      <c r="N913" s="5"/>
      <c r="P913" s="5"/>
    </row>
    <row r="914" spans="2:16" ht="13">
      <c r="B914" s="36"/>
      <c r="C914" s="46"/>
      <c r="D914" s="5"/>
      <c r="E914" s="5"/>
      <c r="F914" s="5"/>
      <c r="G914" s="5"/>
      <c r="J914" s="5"/>
      <c r="M914" s="5"/>
      <c r="N914" s="5"/>
      <c r="P914" s="5"/>
    </row>
    <row r="915" spans="2:16" ht="13">
      <c r="B915" s="36"/>
      <c r="C915" s="46"/>
      <c r="D915" s="5"/>
      <c r="E915" s="5"/>
      <c r="F915" s="5"/>
      <c r="G915" s="5"/>
      <c r="J915" s="5"/>
      <c r="M915" s="5"/>
      <c r="N915" s="5"/>
      <c r="P915" s="5"/>
    </row>
    <row r="916" spans="2:16" ht="13">
      <c r="B916" s="36"/>
      <c r="C916" s="46"/>
      <c r="D916" s="5"/>
      <c r="E916" s="5"/>
      <c r="F916" s="5"/>
      <c r="G916" s="5"/>
      <c r="J916" s="5"/>
      <c r="M916" s="5"/>
      <c r="N916" s="5"/>
      <c r="P916" s="5"/>
    </row>
    <row r="917" spans="2:16" ht="13">
      <c r="B917" s="36"/>
      <c r="C917" s="46"/>
      <c r="D917" s="5"/>
      <c r="E917" s="5"/>
      <c r="F917" s="5"/>
      <c r="G917" s="5"/>
      <c r="J917" s="5"/>
      <c r="M917" s="5"/>
      <c r="N917" s="5"/>
      <c r="P917" s="5"/>
    </row>
    <row r="918" spans="2:16" ht="13">
      <c r="B918" s="36"/>
      <c r="C918" s="46"/>
      <c r="D918" s="5"/>
      <c r="E918" s="5"/>
      <c r="F918" s="5"/>
      <c r="G918" s="5"/>
      <c r="J918" s="5"/>
      <c r="M918" s="5"/>
      <c r="N918" s="5"/>
      <c r="P918" s="5"/>
    </row>
    <row r="919" spans="2:16" ht="13">
      <c r="B919" s="36"/>
      <c r="C919" s="46"/>
      <c r="D919" s="5"/>
      <c r="E919" s="5"/>
      <c r="F919" s="5"/>
      <c r="G919" s="5"/>
      <c r="J919" s="5"/>
      <c r="M919" s="5"/>
      <c r="N919" s="5"/>
      <c r="P919" s="5"/>
    </row>
    <row r="920" spans="2:16" ht="13">
      <c r="B920" s="36"/>
      <c r="C920" s="46"/>
      <c r="D920" s="5"/>
      <c r="E920" s="5"/>
      <c r="F920" s="5"/>
      <c r="G920" s="5"/>
      <c r="J920" s="5"/>
      <c r="M920" s="5"/>
      <c r="N920" s="5"/>
      <c r="P920" s="5"/>
    </row>
    <row r="921" spans="2:16" ht="13">
      <c r="B921" s="36"/>
      <c r="C921" s="46"/>
      <c r="D921" s="5"/>
      <c r="E921" s="5"/>
      <c r="F921" s="5"/>
      <c r="G921" s="5"/>
      <c r="J921" s="5"/>
      <c r="M921" s="5"/>
      <c r="N921" s="5"/>
      <c r="P921" s="5"/>
    </row>
    <row r="922" spans="2:16" ht="13">
      <c r="B922" s="36"/>
      <c r="C922" s="46"/>
      <c r="D922" s="5"/>
      <c r="E922" s="5"/>
      <c r="F922" s="5"/>
      <c r="G922" s="5"/>
      <c r="J922" s="5"/>
      <c r="M922" s="5"/>
      <c r="N922" s="5"/>
      <c r="P922" s="5"/>
    </row>
    <row r="923" spans="2:16" ht="13">
      <c r="B923" s="36"/>
      <c r="C923" s="46"/>
      <c r="D923" s="5"/>
      <c r="E923" s="5"/>
      <c r="F923" s="5"/>
      <c r="G923" s="5"/>
      <c r="J923" s="5"/>
      <c r="M923" s="5"/>
      <c r="N923" s="5"/>
      <c r="P923" s="5"/>
    </row>
    <row r="924" spans="2:16" ht="13">
      <c r="B924" s="36"/>
      <c r="C924" s="46"/>
      <c r="D924" s="5"/>
      <c r="E924" s="5"/>
      <c r="F924" s="5"/>
      <c r="G924" s="5"/>
      <c r="J924" s="5"/>
      <c r="M924" s="5"/>
      <c r="N924" s="5"/>
      <c r="P924" s="5"/>
    </row>
    <row r="925" spans="2:16" ht="13">
      <c r="B925" s="36"/>
      <c r="C925" s="46"/>
      <c r="D925" s="5"/>
      <c r="E925" s="5"/>
      <c r="F925" s="5"/>
      <c r="G925" s="5"/>
      <c r="J925" s="5"/>
      <c r="M925" s="5"/>
      <c r="N925" s="5"/>
      <c r="P925" s="5"/>
    </row>
    <row r="926" spans="2:16" ht="13">
      <c r="B926" s="36"/>
      <c r="C926" s="46"/>
      <c r="D926" s="5"/>
      <c r="E926" s="5"/>
      <c r="F926" s="5"/>
      <c r="G926" s="5"/>
      <c r="J926" s="5"/>
      <c r="M926" s="5"/>
      <c r="N926" s="5"/>
      <c r="P926" s="5"/>
    </row>
    <row r="927" spans="2:16" ht="13">
      <c r="B927" s="36"/>
      <c r="C927" s="46"/>
      <c r="D927" s="5"/>
      <c r="E927" s="5"/>
      <c r="F927" s="5"/>
      <c r="G927" s="5"/>
      <c r="J927" s="5"/>
      <c r="M927" s="5"/>
      <c r="N927" s="5"/>
      <c r="P927" s="5"/>
    </row>
    <row r="928" spans="2:16" ht="13">
      <c r="B928" s="36"/>
      <c r="C928" s="46"/>
      <c r="D928" s="5"/>
      <c r="E928" s="5"/>
      <c r="F928" s="5"/>
      <c r="G928" s="5"/>
      <c r="J928" s="5"/>
      <c r="M928" s="5"/>
      <c r="N928" s="5"/>
      <c r="P928" s="5"/>
    </row>
    <row r="929" spans="2:16" ht="13">
      <c r="B929" s="36"/>
      <c r="C929" s="46"/>
      <c r="D929" s="5"/>
      <c r="E929" s="5"/>
      <c r="F929" s="5"/>
      <c r="G929" s="5"/>
      <c r="J929" s="5"/>
      <c r="M929" s="5"/>
      <c r="N929" s="5"/>
      <c r="P929" s="5"/>
    </row>
    <row r="930" spans="2:16" ht="13">
      <c r="B930" s="36"/>
      <c r="C930" s="46"/>
      <c r="D930" s="5"/>
      <c r="E930" s="5"/>
      <c r="F930" s="5"/>
      <c r="G930" s="5"/>
      <c r="J930" s="5"/>
      <c r="M930" s="5"/>
      <c r="N930" s="5"/>
      <c r="P930" s="5"/>
    </row>
    <row r="931" spans="2:16" ht="13">
      <c r="B931" s="36"/>
      <c r="C931" s="46"/>
      <c r="D931" s="5"/>
      <c r="E931" s="5"/>
      <c r="F931" s="5"/>
      <c r="G931" s="5"/>
      <c r="J931" s="5"/>
      <c r="M931" s="5"/>
      <c r="N931" s="5"/>
      <c r="P931" s="5"/>
    </row>
    <row r="932" spans="2:16" ht="13">
      <c r="B932" s="36"/>
      <c r="C932" s="46"/>
      <c r="D932" s="5"/>
      <c r="E932" s="5"/>
      <c r="F932" s="5"/>
      <c r="G932" s="5"/>
      <c r="J932" s="5"/>
      <c r="M932" s="5"/>
      <c r="N932" s="5"/>
      <c r="P932" s="5"/>
    </row>
    <row r="933" spans="2:16" ht="13">
      <c r="B933" s="36"/>
      <c r="C933" s="46"/>
      <c r="D933" s="5"/>
      <c r="E933" s="5"/>
      <c r="F933" s="5"/>
      <c r="G933" s="5"/>
      <c r="J933" s="5"/>
      <c r="M933" s="5"/>
      <c r="N933" s="5"/>
      <c r="P933" s="5"/>
    </row>
    <row r="934" spans="2:16" ht="13">
      <c r="B934" s="36"/>
      <c r="C934" s="46"/>
      <c r="D934" s="5"/>
      <c r="E934" s="5"/>
      <c r="F934" s="5"/>
      <c r="G934" s="5"/>
      <c r="J934" s="5"/>
      <c r="M934" s="5"/>
      <c r="N934" s="5"/>
      <c r="P934" s="5"/>
    </row>
    <row r="935" spans="2:16" ht="13">
      <c r="B935" s="36"/>
      <c r="C935" s="46"/>
      <c r="D935" s="5"/>
      <c r="E935" s="5"/>
      <c r="F935" s="5"/>
      <c r="G935" s="5"/>
      <c r="J935" s="5"/>
      <c r="M935" s="5"/>
      <c r="N935" s="5"/>
      <c r="P935" s="5"/>
    </row>
    <row r="936" spans="2:16" ht="13">
      <c r="B936" s="36"/>
      <c r="C936" s="46"/>
      <c r="D936" s="5"/>
      <c r="E936" s="5"/>
      <c r="F936" s="5"/>
      <c r="G936" s="5"/>
      <c r="J936" s="5"/>
      <c r="M936" s="5"/>
      <c r="N936" s="5"/>
      <c r="P936" s="5"/>
    </row>
    <row r="937" spans="2:16" ht="13">
      <c r="B937" s="36"/>
      <c r="C937" s="46"/>
      <c r="D937" s="5"/>
      <c r="E937" s="5"/>
      <c r="F937" s="5"/>
      <c r="G937" s="5"/>
      <c r="J937" s="5"/>
      <c r="M937" s="5"/>
      <c r="N937" s="5"/>
      <c r="P937" s="5"/>
    </row>
    <row r="938" spans="2:16" ht="13">
      <c r="B938" s="36"/>
      <c r="C938" s="46"/>
      <c r="D938" s="5"/>
      <c r="E938" s="5"/>
      <c r="F938" s="5"/>
      <c r="G938" s="5"/>
      <c r="J938" s="5"/>
      <c r="M938" s="5"/>
      <c r="N938" s="5"/>
      <c r="P938" s="5"/>
    </row>
    <row r="939" spans="2:16" ht="13">
      <c r="B939" s="36"/>
      <c r="C939" s="46"/>
      <c r="D939" s="5"/>
      <c r="E939" s="5"/>
      <c r="F939" s="5"/>
      <c r="G939" s="5"/>
      <c r="J939" s="5"/>
      <c r="M939" s="5"/>
      <c r="N939" s="5"/>
      <c r="P939" s="5"/>
    </row>
    <row r="940" spans="2:16" ht="13">
      <c r="B940" s="36"/>
      <c r="C940" s="46"/>
      <c r="D940" s="5"/>
      <c r="E940" s="5"/>
      <c r="F940" s="5"/>
      <c r="G940" s="5"/>
      <c r="J940" s="5"/>
      <c r="M940" s="5"/>
      <c r="N940" s="5"/>
      <c r="P940" s="5"/>
    </row>
    <row r="941" spans="2:16" ht="13">
      <c r="B941" s="36"/>
      <c r="C941" s="46"/>
      <c r="D941" s="5"/>
      <c r="E941" s="5"/>
      <c r="F941" s="5"/>
      <c r="G941" s="5"/>
      <c r="J941" s="5"/>
      <c r="M941" s="5"/>
      <c r="N941" s="5"/>
      <c r="P941" s="5"/>
    </row>
    <row r="942" spans="2:16" ht="13">
      <c r="B942" s="36"/>
      <c r="C942" s="46"/>
      <c r="D942" s="5"/>
      <c r="E942" s="5"/>
      <c r="F942" s="5"/>
      <c r="G942" s="5"/>
      <c r="J942" s="5"/>
      <c r="M942" s="5"/>
      <c r="N942" s="5"/>
      <c r="P942" s="5"/>
    </row>
    <row r="943" spans="2:16" ht="13">
      <c r="B943" s="36"/>
      <c r="C943" s="46"/>
      <c r="D943" s="5"/>
      <c r="E943" s="5"/>
      <c r="F943" s="5"/>
      <c r="G943" s="5"/>
      <c r="J943" s="5"/>
      <c r="M943" s="5"/>
      <c r="N943" s="5"/>
      <c r="P943" s="5"/>
    </row>
    <row r="944" spans="2:16" ht="13">
      <c r="B944" s="36"/>
      <c r="C944" s="46"/>
      <c r="D944" s="5"/>
      <c r="E944" s="5"/>
      <c r="F944" s="5"/>
      <c r="G944" s="5"/>
      <c r="J944" s="5"/>
      <c r="M944" s="5"/>
      <c r="N944" s="5"/>
      <c r="P944" s="5"/>
    </row>
    <row r="945" spans="2:16" ht="13">
      <c r="B945" s="36"/>
      <c r="C945" s="46"/>
      <c r="D945" s="5"/>
      <c r="E945" s="5"/>
      <c r="F945" s="5"/>
      <c r="G945" s="5"/>
      <c r="J945" s="5"/>
      <c r="M945" s="5"/>
      <c r="N945" s="5"/>
      <c r="P945" s="5"/>
    </row>
    <row r="946" spans="2:16" ht="13">
      <c r="B946" s="36"/>
      <c r="C946" s="46"/>
      <c r="D946" s="5"/>
      <c r="E946" s="5"/>
      <c r="F946" s="5"/>
      <c r="G946" s="5"/>
      <c r="J946" s="5"/>
      <c r="M946" s="5"/>
      <c r="N946" s="5"/>
      <c r="P946" s="5"/>
    </row>
    <row r="947" spans="2:16" ht="13">
      <c r="B947" s="36"/>
      <c r="C947" s="46"/>
      <c r="D947" s="5"/>
      <c r="E947" s="5"/>
      <c r="F947" s="5"/>
      <c r="G947" s="5"/>
      <c r="J947" s="5"/>
      <c r="M947" s="5"/>
      <c r="N947" s="5"/>
      <c r="P947" s="5"/>
    </row>
    <row r="948" spans="2:16" ht="13">
      <c r="B948" s="36"/>
      <c r="C948" s="46"/>
      <c r="D948" s="5"/>
      <c r="E948" s="5"/>
      <c r="F948" s="5"/>
      <c r="G948" s="5"/>
      <c r="J948" s="5"/>
      <c r="M948" s="5"/>
      <c r="N948" s="5"/>
      <c r="P948" s="5"/>
    </row>
    <row r="949" spans="2:16" ht="13">
      <c r="B949" s="36"/>
      <c r="C949" s="46"/>
      <c r="D949" s="5"/>
      <c r="E949" s="5"/>
      <c r="F949" s="5"/>
      <c r="G949" s="5"/>
      <c r="J949" s="5"/>
      <c r="M949" s="5"/>
      <c r="N949" s="5"/>
      <c r="P949" s="5"/>
    </row>
    <row r="950" spans="2:16" ht="13">
      <c r="B950" s="36"/>
      <c r="C950" s="46"/>
      <c r="D950" s="5"/>
      <c r="E950" s="5"/>
      <c r="F950" s="5"/>
      <c r="G950" s="5"/>
      <c r="J950" s="5"/>
      <c r="M950" s="5"/>
      <c r="N950" s="5"/>
      <c r="P950" s="5"/>
    </row>
    <row r="951" spans="2:16" ht="13">
      <c r="B951" s="36"/>
      <c r="C951" s="46"/>
      <c r="D951" s="5"/>
      <c r="E951" s="5"/>
      <c r="F951" s="5"/>
      <c r="G951" s="5"/>
      <c r="J951" s="5"/>
      <c r="M951" s="5"/>
      <c r="N951" s="5"/>
      <c r="P951" s="5"/>
    </row>
    <row r="952" spans="2:16" ht="13">
      <c r="B952" s="36"/>
      <c r="C952" s="46"/>
      <c r="D952" s="5"/>
      <c r="E952" s="5"/>
      <c r="F952" s="5"/>
      <c r="G952" s="5"/>
      <c r="J952" s="5"/>
      <c r="M952" s="5"/>
      <c r="N952" s="5"/>
      <c r="P952" s="5"/>
    </row>
    <row r="953" spans="2:16" ht="13">
      <c r="B953" s="36"/>
      <c r="C953" s="46"/>
      <c r="D953" s="5"/>
      <c r="E953" s="5"/>
      <c r="F953" s="5"/>
      <c r="G953" s="5"/>
      <c r="J953" s="5"/>
      <c r="M953" s="5"/>
      <c r="N953" s="5"/>
      <c r="P953" s="5"/>
    </row>
    <row r="954" spans="2:16" ht="13">
      <c r="B954" s="36"/>
      <c r="C954" s="46"/>
      <c r="D954" s="5"/>
      <c r="E954" s="5"/>
      <c r="F954" s="5"/>
      <c r="G954" s="5"/>
      <c r="J954" s="5"/>
      <c r="M954" s="5"/>
      <c r="N954" s="5"/>
      <c r="P954" s="5"/>
    </row>
    <row r="955" spans="2:16" ht="13">
      <c r="B955" s="36"/>
      <c r="C955" s="46"/>
      <c r="D955" s="5"/>
      <c r="E955" s="5"/>
      <c r="F955" s="5"/>
      <c r="G955" s="5"/>
      <c r="J955" s="5"/>
      <c r="M955" s="5"/>
      <c r="N955" s="5"/>
      <c r="P955" s="5"/>
    </row>
    <row r="956" spans="2:16" ht="13">
      <c r="B956" s="36"/>
      <c r="C956" s="46"/>
      <c r="D956" s="5"/>
      <c r="E956" s="5"/>
      <c r="F956" s="5"/>
      <c r="G956" s="5"/>
      <c r="J956" s="5"/>
      <c r="M956" s="5"/>
      <c r="N956" s="5"/>
      <c r="P956" s="5"/>
    </row>
    <row r="957" spans="2:16" ht="13">
      <c r="B957" s="36"/>
      <c r="C957" s="46"/>
      <c r="D957" s="5"/>
      <c r="E957" s="5"/>
      <c r="F957" s="5"/>
      <c r="G957" s="5"/>
      <c r="J957" s="5"/>
      <c r="M957" s="5"/>
      <c r="N957" s="5"/>
      <c r="P957" s="5"/>
    </row>
    <row r="958" spans="2:16" ht="13">
      <c r="B958" s="36"/>
      <c r="C958" s="46"/>
      <c r="D958" s="5"/>
      <c r="E958" s="5"/>
      <c r="F958" s="5"/>
      <c r="G958" s="5"/>
      <c r="J958" s="5"/>
      <c r="M958" s="5"/>
      <c r="N958" s="5"/>
      <c r="P958" s="5"/>
    </row>
    <row r="959" spans="2:16" ht="13">
      <c r="B959" s="36"/>
      <c r="C959" s="46"/>
      <c r="D959" s="5"/>
      <c r="E959" s="5"/>
      <c r="F959" s="5"/>
      <c r="G959" s="5"/>
      <c r="J959" s="5"/>
      <c r="M959" s="5"/>
      <c r="N959" s="5"/>
      <c r="P959" s="5"/>
    </row>
    <row r="960" spans="2:16" ht="13">
      <c r="B960" s="36"/>
      <c r="C960" s="46"/>
      <c r="D960" s="5"/>
      <c r="E960" s="5"/>
      <c r="F960" s="5"/>
      <c r="G960" s="5"/>
      <c r="J960" s="5"/>
      <c r="M960" s="5"/>
      <c r="N960" s="5"/>
      <c r="P960" s="5"/>
    </row>
    <row r="961" spans="2:16" ht="13">
      <c r="B961" s="36"/>
      <c r="C961" s="46"/>
      <c r="D961" s="5"/>
      <c r="E961" s="5"/>
      <c r="F961" s="5"/>
      <c r="G961" s="5"/>
      <c r="J961" s="5"/>
      <c r="M961" s="5"/>
      <c r="N961" s="5"/>
      <c r="P961" s="5"/>
    </row>
    <row r="962" spans="2:16" ht="13">
      <c r="B962" s="36"/>
      <c r="C962" s="46"/>
      <c r="D962" s="5"/>
      <c r="E962" s="5"/>
      <c r="F962" s="5"/>
      <c r="G962" s="5"/>
      <c r="J962" s="5"/>
      <c r="M962" s="5"/>
      <c r="N962" s="5"/>
      <c r="P962" s="5"/>
    </row>
    <row r="963" spans="2:16" ht="13">
      <c r="B963" s="36"/>
      <c r="C963" s="46"/>
      <c r="D963" s="5"/>
      <c r="E963" s="5"/>
      <c r="F963" s="5"/>
      <c r="G963" s="5"/>
      <c r="J963" s="5"/>
      <c r="M963" s="5"/>
      <c r="N963" s="5"/>
      <c r="P963" s="5"/>
    </row>
    <row r="964" spans="2:16" ht="13">
      <c r="B964" s="36"/>
      <c r="C964" s="46"/>
      <c r="D964" s="5"/>
      <c r="E964" s="5"/>
      <c r="F964" s="5"/>
      <c r="G964" s="5"/>
      <c r="J964" s="5"/>
      <c r="M964" s="5"/>
      <c r="N964" s="5"/>
      <c r="P964" s="5"/>
    </row>
    <row r="965" spans="2:16" ht="13">
      <c r="B965" s="36"/>
      <c r="C965" s="46"/>
      <c r="D965" s="5"/>
      <c r="E965" s="5"/>
      <c r="F965" s="5"/>
      <c r="G965" s="5"/>
      <c r="J965" s="5"/>
      <c r="M965" s="5"/>
      <c r="N965" s="5"/>
      <c r="P965" s="5"/>
    </row>
    <row r="966" spans="2:16" ht="13">
      <c r="B966" s="36"/>
      <c r="C966" s="46"/>
      <c r="D966" s="5"/>
      <c r="E966" s="5"/>
      <c r="F966" s="5"/>
      <c r="G966" s="5"/>
      <c r="J966" s="5"/>
      <c r="M966" s="5"/>
      <c r="N966" s="5"/>
      <c r="P966" s="5"/>
    </row>
    <row r="967" spans="2:16" ht="13">
      <c r="B967" s="36"/>
      <c r="C967" s="46"/>
      <c r="D967" s="5"/>
      <c r="E967" s="5"/>
      <c r="F967" s="5"/>
      <c r="G967" s="5"/>
      <c r="J967" s="5"/>
      <c r="M967" s="5"/>
      <c r="N967" s="5"/>
      <c r="P967" s="5"/>
    </row>
    <row r="968" spans="2:16" ht="13">
      <c r="B968" s="36"/>
      <c r="C968" s="46"/>
      <c r="D968" s="5"/>
      <c r="E968" s="5"/>
      <c r="F968" s="5"/>
      <c r="G968" s="5"/>
      <c r="J968" s="5"/>
      <c r="M968" s="5"/>
      <c r="N968" s="5"/>
      <c r="P968" s="5"/>
    </row>
    <row r="969" spans="2:16" ht="13">
      <c r="B969" s="36"/>
      <c r="C969" s="46"/>
      <c r="D969" s="5"/>
      <c r="E969" s="5"/>
      <c r="F969" s="5"/>
      <c r="G969" s="5"/>
      <c r="J969" s="5"/>
      <c r="M969" s="5"/>
      <c r="N969" s="5"/>
      <c r="P969" s="5"/>
    </row>
    <row r="970" spans="2:16" ht="13">
      <c r="B970" s="36"/>
      <c r="C970" s="46"/>
      <c r="D970" s="5"/>
      <c r="E970" s="5"/>
      <c r="F970" s="5"/>
      <c r="G970" s="5"/>
      <c r="J970" s="5"/>
      <c r="M970" s="5"/>
      <c r="N970" s="5"/>
      <c r="P970" s="5"/>
    </row>
    <row r="971" spans="2:16" ht="13">
      <c r="B971" s="36"/>
      <c r="C971" s="46"/>
      <c r="D971" s="5"/>
      <c r="E971" s="5"/>
      <c r="F971" s="5"/>
      <c r="G971" s="5"/>
      <c r="J971" s="5"/>
      <c r="M971" s="5"/>
      <c r="N971" s="5"/>
      <c r="P971" s="5"/>
    </row>
    <row r="972" spans="2:16" ht="13">
      <c r="B972" s="36"/>
      <c r="C972" s="46"/>
      <c r="D972" s="5"/>
      <c r="E972" s="5"/>
      <c r="F972" s="5"/>
      <c r="G972" s="5"/>
      <c r="J972" s="5"/>
      <c r="M972" s="5"/>
      <c r="N972" s="5"/>
      <c r="P972" s="5"/>
    </row>
    <row r="973" spans="2:16" ht="13">
      <c r="B973" s="36"/>
      <c r="C973" s="46"/>
      <c r="D973" s="5"/>
      <c r="E973" s="5"/>
      <c r="F973" s="5"/>
      <c r="G973" s="5"/>
      <c r="J973" s="5"/>
      <c r="M973" s="5"/>
      <c r="N973" s="5"/>
      <c r="P973" s="5"/>
    </row>
    <row r="974" spans="2:16" ht="13">
      <c r="B974" s="36"/>
      <c r="C974" s="46"/>
      <c r="D974" s="5"/>
      <c r="E974" s="5"/>
      <c r="F974" s="5"/>
      <c r="G974" s="5"/>
      <c r="J974" s="5"/>
      <c r="M974" s="5"/>
      <c r="N974" s="5"/>
      <c r="P974" s="5"/>
    </row>
    <row r="975" spans="2:16" ht="13">
      <c r="B975" s="36"/>
      <c r="C975" s="46"/>
      <c r="D975" s="5"/>
      <c r="E975" s="5"/>
      <c r="F975" s="5"/>
      <c r="G975" s="5"/>
      <c r="J975" s="5"/>
      <c r="M975" s="5"/>
      <c r="N975" s="5"/>
      <c r="P975" s="5"/>
    </row>
    <row r="976" spans="2:16" ht="13">
      <c r="B976" s="36"/>
      <c r="C976" s="46"/>
      <c r="D976" s="5"/>
      <c r="E976" s="5"/>
      <c r="F976" s="5"/>
      <c r="G976" s="5"/>
      <c r="J976" s="5"/>
      <c r="M976" s="5"/>
      <c r="N976" s="5"/>
      <c r="P976" s="5"/>
    </row>
    <row r="977" spans="2:16" ht="13">
      <c r="B977" s="36"/>
      <c r="C977" s="46"/>
      <c r="D977" s="5"/>
      <c r="E977" s="5"/>
      <c r="F977" s="5"/>
      <c r="G977" s="5"/>
      <c r="J977" s="5"/>
      <c r="M977" s="5"/>
      <c r="N977" s="5"/>
      <c r="P977" s="5"/>
    </row>
    <row r="978" spans="2:16" ht="13">
      <c r="B978" s="36"/>
      <c r="C978" s="46"/>
      <c r="D978" s="5"/>
      <c r="E978" s="5"/>
      <c r="F978" s="5"/>
      <c r="G978" s="5"/>
      <c r="J978" s="5"/>
      <c r="M978" s="5"/>
      <c r="N978" s="5"/>
      <c r="P978" s="5"/>
    </row>
    <row r="979" spans="2:16" ht="13">
      <c r="B979" s="36"/>
      <c r="C979" s="46"/>
      <c r="D979" s="5"/>
      <c r="E979" s="5"/>
      <c r="F979" s="5"/>
      <c r="G979" s="5"/>
      <c r="J979" s="5"/>
      <c r="M979" s="5"/>
      <c r="N979" s="5"/>
      <c r="P979" s="5"/>
    </row>
    <row r="980" spans="2:16" ht="13">
      <c r="B980" s="36"/>
      <c r="C980" s="46"/>
      <c r="D980" s="5"/>
      <c r="E980" s="5"/>
      <c r="F980" s="5"/>
      <c r="G980" s="5"/>
      <c r="J980" s="5"/>
      <c r="M980" s="5"/>
      <c r="N980" s="5"/>
      <c r="P980" s="5"/>
    </row>
    <row r="981" spans="2:16" ht="13">
      <c r="B981" s="36"/>
      <c r="C981" s="46"/>
      <c r="D981" s="5"/>
      <c r="E981" s="5"/>
      <c r="F981" s="5"/>
      <c r="G981" s="5"/>
      <c r="J981" s="5"/>
      <c r="M981" s="5"/>
      <c r="N981" s="5"/>
      <c r="P981" s="5"/>
    </row>
    <row r="982" spans="2:16" ht="13">
      <c r="B982" s="36"/>
      <c r="C982" s="46"/>
      <c r="D982" s="5"/>
      <c r="E982" s="5"/>
      <c r="F982" s="5"/>
      <c r="G982" s="5"/>
      <c r="J982" s="5"/>
      <c r="M982" s="5"/>
      <c r="N982" s="5"/>
      <c r="P982" s="5"/>
    </row>
    <row r="983" spans="2:16" ht="13">
      <c r="B983" s="36"/>
      <c r="C983" s="46"/>
      <c r="D983" s="5"/>
      <c r="E983" s="5"/>
      <c r="F983" s="5"/>
      <c r="G983" s="5"/>
      <c r="J983" s="5"/>
      <c r="M983" s="5"/>
      <c r="N983" s="5"/>
      <c r="P983" s="5"/>
    </row>
    <row r="984" spans="2:16" ht="13">
      <c r="B984" s="36"/>
      <c r="C984" s="46"/>
      <c r="D984" s="5"/>
      <c r="E984" s="5"/>
      <c r="F984" s="5"/>
      <c r="G984" s="5"/>
      <c r="J984" s="5"/>
      <c r="M984" s="5"/>
      <c r="N984" s="5"/>
      <c r="P984" s="5"/>
    </row>
    <row r="985" spans="2:16" ht="13">
      <c r="B985" s="36"/>
      <c r="C985" s="46"/>
      <c r="D985" s="5"/>
      <c r="E985" s="5"/>
      <c r="F985" s="5"/>
      <c r="G985" s="5"/>
      <c r="J985" s="5"/>
      <c r="M985" s="5"/>
      <c r="N985" s="5"/>
      <c r="P985" s="5"/>
    </row>
    <row r="986" spans="2:16" ht="13">
      <c r="B986" s="36"/>
      <c r="C986" s="46"/>
      <c r="D986" s="5"/>
      <c r="E986" s="5"/>
      <c r="F986" s="5"/>
      <c r="G986" s="5"/>
      <c r="J986" s="5"/>
      <c r="M986" s="5"/>
      <c r="N986" s="5"/>
      <c r="P986" s="5"/>
    </row>
    <row r="987" spans="2:16" ht="13">
      <c r="B987" s="36"/>
      <c r="C987" s="46"/>
      <c r="D987" s="5"/>
      <c r="E987" s="5"/>
      <c r="F987" s="5"/>
      <c r="G987" s="5"/>
      <c r="J987" s="5"/>
      <c r="M987" s="5"/>
      <c r="N987" s="5"/>
      <c r="P987" s="5"/>
    </row>
    <row r="988" spans="2:16" ht="13">
      <c r="B988" s="36"/>
      <c r="C988" s="46"/>
      <c r="D988" s="5"/>
      <c r="E988" s="5"/>
      <c r="F988" s="5"/>
      <c r="G988" s="5"/>
      <c r="J988" s="5"/>
      <c r="M988" s="5"/>
      <c r="N988" s="5"/>
      <c r="P988" s="5"/>
    </row>
    <row r="989" spans="2:16" ht="13">
      <c r="B989" s="36"/>
      <c r="C989" s="46"/>
      <c r="D989" s="5"/>
      <c r="E989" s="5"/>
      <c r="F989" s="5"/>
      <c r="G989" s="5"/>
      <c r="J989" s="5"/>
      <c r="M989" s="5"/>
      <c r="N989" s="5"/>
      <c r="P989" s="5"/>
    </row>
    <row r="990" spans="2:16" ht="13">
      <c r="B990" s="36"/>
      <c r="C990" s="46"/>
      <c r="D990" s="5"/>
      <c r="E990" s="5"/>
      <c r="F990" s="5"/>
      <c r="G990" s="5"/>
      <c r="J990" s="5"/>
      <c r="M990" s="5"/>
      <c r="N990" s="5"/>
      <c r="P990" s="5"/>
    </row>
    <row r="991" spans="2:16" ht="13">
      <c r="B991" s="36"/>
      <c r="C991" s="46"/>
      <c r="D991" s="5"/>
      <c r="E991" s="5"/>
      <c r="F991" s="5"/>
      <c r="G991" s="5"/>
      <c r="J991" s="5"/>
      <c r="M991" s="5"/>
      <c r="N991" s="5"/>
      <c r="P991" s="5"/>
    </row>
    <row r="992" spans="2:16" ht="13">
      <c r="B992" s="36"/>
      <c r="C992" s="46"/>
      <c r="D992" s="5"/>
      <c r="E992" s="5"/>
      <c r="F992" s="5"/>
      <c r="G992" s="5"/>
      <c r="J992" s="5"/>
      <c r="M992" s="5"/>
      <c r="N992" s="5"/>
      <c r="P992" s="5"/>
    </row>
    <row r="993" spans="2:16" ht="13">
      <c r="B993" s="36"/>
      <c r="C993" s="46"/>
      <c r="D993" s="5"/>
      <c r="E993" s="5"/>
      <c r="F993" s="5"/>
      <c r="G993" s="5"/>
      <c r="J993" s="5"/>
      <c r="M993" s="5"/>
      <c r="N993" s="5"/>
      <c r="P993" s="5"/>
    </row>
    <row r="994" spans="2:16" ht="13">
      <c r="B994" s="36"/>
      <c r="C994" s="46"/>
      <c r="D994" s="5"/>
      <c r="E994" s="5"/>
      <c r="F994" s="5"/>
      <c r="G994" s="5"/>
      <c r="J994" s="5"/>
      <c r="M994" s="5"/>
      <c r="N994" s="5"/>
      <c r="P994" s="5"/>
    </row>
    <row r="995" spans="2:16" ht="13">
      <c r="B995" s="36"/>
      <c r="C995" s="46"/>
      <c r="D995" s="5"/>
      <c r="E995" s="5"/>
      <c r="F995" s="5"/>
      <c r="G995" s="5"/>
      <c r="J995" s="5"/>
      <c r="M995" s="5"/>
      <c r="N995" s="5"/>
      <c r="P995" s="5"/>
    </row>
    <row r="996" spans="2:16" ht="13">
      <c r="B996" s="36"/>
      <c r="C996" s="46"/>
      <c r="D996" s="5"/>
      <c r="E996" s="5"/>
      <c r="F996" s="5"/>
      <c r="G996" s="5"/>
      <c r="J996" s="5"/>
      <c r="M996" s="5"/>
      <c r="N996" s="5"/>
      <c r="P996" s="5"/>
    </row>
    <row r="997" spans="2:16" ht="13">
      <c r="B997" s="36"/>
      <c r="C997" s="46"/>
      <c r="D997" s="5"/>
      <c r="E997" s="5"/>
      <c r="F997" s="5"/>
      <c r="G997" s="5"/>
      <c r="J997" s="5"/>
      <c r="M997" s="5"/>
      <c r="N997" s="5"/>
      <c r="P997" s="5"/>
    </row>
    <row r="998" spans="2:16" ht="13">
      <c r="B998" s="36"/>
      <c r="C998" s="46"/>
      <c r="D998" s="5"/>
      <c r="E998" s="5"/>
      <c r="F998" s="5"/>
      <c r="G998" s="5"/>
      <c r="J998" s="5"/>
      <c r="M998" s="5"/>
      <c r="N998" s="5"/>
      <c r="P998" s="5"/>
    </row>
    <row r="999" spans="2:16" ht="13">
      <c r="B999" s="36"/>
      <c r="C999" s="46"/>
      <c r="D999" s="5"/>
      <c r="E999" s="5"/>
      <c r="F999" s="5"/>
      <c r="G999" s="5"/>
      <c r="J999" s="5"/>
      <c r="M999" s="5"/>
      <c r="N999" s="5"/>
      <c r="P999" s="5"/>
    </row>
    <row r="1000" spans="2:16" ht="13">
      <c r="B1000" s="36"/>
      <c r="C1000" s="46"/>
      <c r="D1000" s="5"/>
      <c r="E1000" s="5"/>
      <c r="F1000" s="5"/>
      <c r="G1000" s="5"/>
      <c r="J1000" s="5"/>
      <c r="M1000" s="5"/>
      <c r="N1000" s="5"/>
      <c r="P1000" s="5"/>
    </row>
    <row r="1001" spans="2:16" ht="13">
      <c r="B1001" s="36"/>
      <c r="C1001" s="46"/>
      <c r="D1001" s="5"/>
      <c r="E1001" s="5"/>
      <c r="F1001" s="5"/>
      <c r="G1001" s="5"/>
      <c r="J1001" s="5"/>
      <c r="M1001" s="5"/>
      <c r="N1001" s="5"/>
      <c r="P1001" s="5"/>
    </row>
    <row r="1002" spans="2:16" ht="13">
      <c r="B1002" s="36"/>
      <c r="C1002" s="46"/>
      <c r="D1002" s="5"/>
      <c r="E1002" s="5"/>
      <c r="F1002" s="5"/>
      <c r="G1002" s="5"/>
      <c r="J1002" s="5"/>
      <c r="M1002" s="5"/>
      <c r="N1002" s="5"/>
      <c r="P1002" s="5"/>
    </row>
  </sheetData>
  <hyperlinks>
    <hyperlink ref="B5" r:id="rId1" xr:uid="{00000000-0004-0000-3700-000000000000}"/>
    <hyperlink ref="B6" r:id="rId2" xr:uid="{00000000-0004-0000-3700-000001000000}"/>
    <hyperlink ref="B7" r:id="rId3" xr:uid="{00000000-0004-0000-3700-000002000000}"/>
    <hyperlink ref="B8" r:id="rId4" xr:uid="{00000000-0004-0000-3700-000003000000}"/>
    <hyperlink ref="B9" r:id="rId5" xr:uid="{00000000-0004-0000-3700-000004000000}"/>
    <hyperlink ref="B10" r:id="rId6" xr:uid="{00000000-0004-0000-3700-000005000000}"/>
    <hyperlink ref="B11" r:id="rId7" xr:uid="{00000000-0004-0000-3700-000006000000}"/>
    <hyperlink ref="B12" r:id="rId8" xr:uid="{00000000-0004-0000-3700-000007000000}"/>
    <hyperlink ref="B13" r:id="rId9" xr:uid="{00000000-0004-0000-3700-000008000000}"/>
    <hyperlink ref="B14" r:id="rId10" xr:uid="{00000000-0004-0000-3700-000009000000}"/>
    <hyperlink ref="B15" r:id="rId11" xr:uid="{00000000-0004-0000-3700-00000A000000}"/>
    <hyperlink ref="B16" r:id="rId12" xr:uid="{00000000-0004-0000-3700-00000B000000}"/>
    <hyperlink ref="B17" r:id="rId13" xr:uid="{00000000-0004-0000-3700-00000C000000}"/>
    <hyperlink ref="B18" r:id="rId14" xr:uid="{00000000-0004-0000-3700-00000D000000}"/>
    <hyperlink ref="B19" r:id="rId15" xr:uid="{00000000-0004-0000-3700-00000E000000}"/>
    <hyperlink ref="B20" r:id="rId16" xr:uid="{00000000-0004-0000-3700-00000F000000}"/>
    <hyperlink ref="B21" r:id="rId17" xr:uid="{00000000-0004-0000-3700-000010000000}"/>
    <hyperlink ref="B22" r:id="rId18" xr:uid="{00000000-0004-0000-3700-000011000000}"/>
    <hyperlink ref="B23" r:id="rId19" xr:uid="{00000000-0004-0000-3700-000012000000}"/>
    <hyperlink ref="B24" r:id="rId20" xr:uid="{00000000-0004-0000-3700-000013000000}"/>
    <hyperlink ref="B25" r:id="rId21" xr:uid="{00000000-0004-0000-3700-000014000000}"/>
    <hyperlink ref="B26" r:id="rId22" xr:uid="{00000000-0004-0000-3700-000015000000}"/>
    <hyperlink ref="B27" r:id="rId23" xr:uid="{00000000-0004-0000-3700-000016000000}"/>
    <hyperlink ref="B28" r:id="rId24" xr:uid="{00000000-0004-0000-3700-000017000000}"/>
    <hyperlink ref="B29" r:id="rId25" xr:uid="{00000000-0004-0000-3700-000018000000}"/>
    <hyperlink ref="B30" r:id="rId26" xr:uid="{00000000-0004-0000-3700-000019000000}"/>
    <hyperlink ref="B31" r:id="rId27" xr:uid="{00000000-0004-0000-3700-00001A000000}"/>
    <hyperlink ref="B32" r:id="rId28" xr:uid="{00000000-0004-0000-3700-00001B000000}"/>
    <hyperlink ref="B33" r:id="rId29" xr:uid="{00000000-0004-0000-3700-00001C000000}"/>
    <hyperlink ref="B34" r:id="rId30" xr:uid="{00000000-0004-0000-3700-00001D000000}"/>
    <hyperlink ref="B35" r:id="rId31" xr:uid="{00000000-0004-0000-3700-00001E000000}"/>
    <hyperlink ref="B36" r:id="rId32" xr:uid="{00000000-0004-0000-3700-00001F000000}"/>
    <hyperlink ref="B37" r:id="rId33" xr:uid="{00000000-0004-0000-3700-000020000000}"/>
    <hyperlink ref="B38" r:id="rId34" xr:uid="{00000000-0004-0000-3700-000021000000}"/>
    <hyperlink ref="B39" r:id="rId35" xr:uid="{00000000-0004-0000-3700-000022000000}"/>
    <hyperlink ref="B40" r:id="rId36" xr:uid="{00000000-0004-0000-3700-000023000000}"/>
    <hyperlink ref="B41" r:id="rId37" xr:uid="{00000000-0004-0000-3700-000024000000}"/>
    <hyperlink ref="B42" r:id="rId38" xr:uid="{00000000-0004-0000-3700-000025000000}"/>
    <hyperlink ref="B43" r:id="rId39" xr:uid="{00000000-0004-0000-3700-000026000000}"/>
    <hyperlink ref="B44" r:id="rId40" xr:uid="{00000000-0004-0000-3700-000027000000}"/>
    <hyperlink ref="B45" r:id="rId41" xr:uid="{00000000-0004-0000-3700-000028000000}"/>
    <hyperlink ref="B46" r:id="rId42" xr:uid="{00000000-0004-0000-3700-000029000000}"/>
    <hyperlink ref="B47" r:id="rId43" xr:uid="{00000000-0004-0000-3700-00002A000000}"/>
    <hyperlink ref="B48" r:id="rId44" xr:uid="{00000000-0004-0000-3700-00002B000000}"/>
    <hyperlink ref="B49" r:id="rId45" xr:uid="{00000000-0004-0000-3700-00002C000000}"/>
    <hyperlink ref="B50" r:id="rId46" xr:uid="{00000000-0004-0000-3700-00002D000000}"/>
    <hyperlink ref="B51" r:id="rId47" xr:uid="{00000000-0004-0000-3700-00002E000000}"/>
    <hyperlink ref="B52" r:id="rId48" xr:uid="{00000000-0004-0000-3700-00002F000000}"/>
    <hyperlink ref="B53" r:id="rId49" xr:uid="{00000000-0004-0000-3700-000030000000}"/>
    <hyperlink ref="B54" r:id="rId50" xr:uid="{00000000-0004-0000-3700-000031000000}"/>
    <hyperlink ref="B55" r:id="rId51" xr:uid="{00000000-0004-0000-3700-000032000000}"/>
    <hyperlink ref="B56" r:id="rId52" xr:uid="{00000000-0004-0000-3700-000033000000}"/>
    <hyperlink ref="B57" r:id="rId53" xr:uid="{00000000-0004-0000-3700-000034000000}"/>
    <hyperlink ref="B58" r:id="rId54" xr:uid="{00000000-0004-0000-3700-000035000000}"/>
    <hyperlink ref="B59" r:id="rId55" xr:uid="{00000000-0004-0000-3700-000036000000}"/>
    <hyperlink ref="B60" r:id="rId56" xr:uid="{00000000-0004-0000-3700-000037000000}"/>
    <hyperlink ref="B61" r:id="rId57" xr:uid="{00000000-0004-0000-3700-000038000000}"/>
    <hyperlink ref="B62" r:id="rId58" xr:uid="{00000000-0004-0000-3700-000039000000}"/>
    <hyperlink ref="B63" r:id="rId59" xr:uid="{00000000-0004-0000-3700-00003A000000}"/>
    <hyperlink ref="B64" r:id="rId60" xr:uid="{00000000-0004-0000-3700-00003B000000}"/>
    <hyperlink ref="B65" r:id="rId61" xr:uid="{00000000-0004-0000-3700-00003C000000}"/>
    <hyperlink ref="B66" r:id="rId62" xr:uid="{00000000-0004-0000-3700-00003D000000}"/>
    <hyperlink ref="B67" r:id="rId63" xr:uid="{00000000-0004-0000-3700-00003E000000}"/>
    <hyperlink ref="B68" r:id="rId64" xr:uid="{00000000-0004-0000-3700-00003F000000}"/>
    <hyperlink ref="B69" r:id="rId65" xr:uid="{00000000-0004-0000-3700-000040000000}"/>
    <hyperlink ref="B70" r:id="rId66" xr:uid="{00000000-0004-0000-3700-000041000000}"/>
    <hyperlink ref="B71" r:id="rId67" xr:uid="{00000000-0004-0000-3700-000042000000}"/>
    <hyperlink ref="B72" r:id="rId68" xr:uid="{00000000-0004-0000-3700-000043000000}"/>
    <hyperlink ref="B73" r:id="rId69" xr:uid="{00000000-0004-0000-3700-000044000000}"/>
    <hyperlink ref="B74" r:id="rId70" xr:uid="{00000000-0004-0000-3700-000045000000}"/>
    <hyperlink ref="B75" r:id="rId71" xr:uid="{00000000-0004-0000-3700-000046000000}"/>
    <hyperlink ref="B76" r:id="rId72" xr:uid="{00000000-0004-0000-3700-000047000000}"/>
    <hyperlink ref="B77" r:id="rId73" xr:uid="{00000000-0004-0000-3700-000048000000}"/>
    <hyperlink ref="B78" r:id="rId74" xr:uid="{00000000-0004-0000-3700-000049000000}"/>
    <hyperlink ref="B79" r:id="rId75" xr:uid="{00000000-0004-0000-3700-00004A000000}"/>
    <hyperlink ref="B80" r:id="rId76" xr:uid="{00000000-0004-0000-3700-00004B000000}"/>
    <hyperlink ref="B81" r:id="rId77" xr:uid="{00000000-0004-0000-3700-00004C000000}"/>
    <hyperlink ref="B82" r:id="rId78" xr:uid="{00000000-0004-0000-3700-00004D000000}"/>
    <hyperlink ref="B83" r:id="rId79" xr:uid="{00000000-0004-0000-3700-00004E000000}"/>
    <hyperlink ref="B84" r:id="rId80" xr:uid="{00000000-0004-0000-3700-00004F000000}"/>
    <hyperlink ref="B85" r:id="rId81" xr:uid="{00000000-0004-0000-3700-000050000000}"/>
    <hyperlink ref="B86" r:id="rId82" xr:uid="{00000000-0004-0000-3700-000051000000}"/>
    <hyperlink ref="B87" r:id="rId83" xr:uid="{00000000-0004-0000-3700-000052000000}"/>
    <hyperlink ref="B88" r:id="rId84" xr:uid="{00000000-0004-0000-3700-000053000000}"/>
    <hyperlink ref="B89" r:id="rId85" xr:uid="{00000000-0004-0000-3700-000054000000}"/>
    <hyperlink ref="B90" r:id="rId86" xr:uid="{00000000-0004-0000-3700-000055000000}"/>
    <hyperlink ref="B91" r:id="rId87" xr:uid="{00000000-0004-0000-3700-000056000000}"/>
    <hyperlink ref="B92" r:id="rId88" xr:uid="{00000000-0004-0000-3700-000057000000}"/>
    <hyperlink ref="B93" r:id="rId89" xr:uid="{00000000-0004-0000-3700-000058000000}"/>
    <hyperlink ref="B94" r:id="rId90" xr:uid="{00000000-0004-0000-3700-000059000000}"/>
    <hyperlink ref="B95" r:id="rId91" xr:uid="{00000000-0004-0000-3700-00005A000000}"/>
    <hyperlink ref="B96" r:id="rId92" xr:uid="{00000000-0004-0000-3700-00005B000000}"/>
    <hyperlink ref="B97" r:id="rId93" xr:uid="{00000000-0004-0000-3700-00005C000000}"/>
    <hyperlink ref="B98" r:id="rId94" xr:uid="{00000000-0004-0000-3700-00005D000000}"/>
    <hyperlink ref="B99" r:id="rId95" xr:uid="{00000000-0004-0000-3700-00005E000000}"/>
    <hyperlink ref="B100" r:id="rId96" xr:uid="{00000000-0004-0000-3700-00005F000000}"/>
    <hyperlink ref="B101" r:id="rId97" xr:uid="{00000000-0004-0000-3700-000060000000}"/>
    <hyperlink ref="B102" r:id="rId98" xr:uid="{00000000-0004-0000-3700-000061000000}"/>
    <hyperlink ref="B103" r:id="rId99" xr:uid="{00000000-0004-0000-3700-000062000000}"/>
    <hyperlink ref="B104" r:id="rId100" xr:uid="{00000000-0004-0000-3700-000063000000}"/>
    <hyperlink ref="B105" r:id="rId101" xr:uid="{00000000-0004-0000-3700-000064000000}"/>
    <hyperlink ref="B106" r:id="rId102" xr:uid="{00000000-0004-0000-3700-000065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4.1640625" customWidth="1"/>
    <col min="2" max="2" width="19.1640625" customWidth="1"/>
    <col min="3" max="3" width="13.5" customWidth="1"/>
    <col min="4" max="4" width="14.83203125" customWidth="1"/>
    <col min="5" max="5" width="14.33203125" customWidth="1"/>
    <col min="7" max="7" width="14.1640625" customWidth="1"/>
  </cols>
  <sheetData>
    <row r="1" spans="1:12" ht="15.75" customHeight="1">
      <c r="A1" s="1" t="s">
        <v>83</v>
      </c>
      <c r="B1" s="36"/>
      <c r="C1" s="37"/>
      <c r="D1" s="7" t="s">
        <v>181</v>
      </c>
    </row>
    <row r="2" spans="1:12" ht="15.75" customHeight="1">
      <c r="A2" s="7" t="s">
        <v>182</v>
      </c>
      <c r="B2" s="38">
        <v>40947</v>
      </c>
      <c r="C2" s="37"/>
      <c r="D2" s="39">
        <f>SUM(D5:G107)</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48" t="s">
        <v>3787</v>
      </c>
      <c r="B5" s="49" t="s">
        <v>325</v>
      </c>
      <c r="C5" s="51" t="s">
        <v>205</v>
      </c>
      <c r="D5" s="5"/>
      <c r="L5" s="43"/>
    </row>
    <row r="6" spans="1:12" ht="15.75" customHeight="1">
      <c r="A6" s="48" t="s">
        <v>3788</v>
      </c>
      <c r="B6" s="49" t="s">
        <v>1454</v>
      </c>
      <c r="C6" s="51" t="s">
        <v>205</v>
      </c>
      <c r="D6" s="54"/>
    </row>
    <row r="7" spans="1:12" ht="15.75" customHeight="1">
      <c r="A7" s="48" t="s">
        <v>3789</v>
      </c>
      <c r="B7" s="49" t="s">
        <v>3261</v>
      </c>
      <c r="C7" s="51" t="s">
        <v>205</v>
      </c>
      <c r="D7" s="54"/>
    </row>
    <row r="8" spans="1:12" ht="15.75" customHeight="1">
      <c r="A8" s="48" t="s">
        <v>3790</v>
      </c>
      <c r="B8" s="49" t="s">
        <v>3192</v>
      </c>
      <c r="C8" s="51" t="s">
        <v>205</v>
      </c>
      <c r="D8" s="54"/>
    </row>
    <row r="9" spans="1:12" ht="15.75" customHeight="1">
      <c r="A9" s="48" t="s">
        <v>3791</v>
      </c>
      <c r="B9" s="58" t="str">
        <f>HYPERLINK("https://bulbapedia.bulbagarden.net/wiki/Shaymin-EX_(Next_Destinies_5)","ShayminEX")</f>
        <v>ShayminEX</v>
      </c>
      <c r="C9" s="51" t="s">
        <v>205</v>
      </c>
      <c r="D9" s="54"/>
    </row>
    <row r="10" spans="1:12" ht="15.75" customHeight="1">
      <c r="A10" s="48" t="s">
        <v>3792</v>
      </c>
      <c r="B10" s="49" t="s">
        <v>4120</v>
      </c>
      <c r="C10" s="51" t="s">
        <v>205</v>
      </c>
      <c r="D10" s="54"/>
    </row>
    <row r="11" spans="1:12" ht="15.75" customHeight="1">
      <c r="A11" s="48" t="s">
        <v>3793</v>
      </c>
      <c r="B11" s="49" t="s">
        <v>4121</v>
      </c>
      <c r="C11" s="51" t="s">
        <v>205</v>
      </c>
      <c r="D11" s="54"/>
    </row>
    <row r="12" spans="1:12" ht="15.75" customHeight="1">
      <c r="A12" s="48" t="s">
        <v>3794</v>
      </c>
      <c r="B12" s="49" t="s">
        <v>4048</v>
      </c>
      <c r="C12" s="51" t="s">
        <v>205</v>
      </c>
      <c r="D12" s="54"/>
    </row>
    <row r="13" spans="1:12" ht="15.75" customHeight="1">
      <c r="A13" s="48" t="s">
        <v>3795</v>
      </c>
      <c r="B13" s="49" t="s">
        <v>4049</v>
      </c>
      <c r="C13" s="51" t="s">
        <v>205</v>
      </c>
      <c r="D13" s="54"/>
    </row>
    <row r="14" spans="1:12" ht="15.75" customHeight="1">
      <c r="A14" s="48" t="s">
        <v>3796</v>
      </c>
      <c r="B14" s="49" t="s">
        <v>262</v>
      </c>
      <c r="C14" s="51" t="s">
        <v>199</v>
      </c>
      <c r="D14" s="54"/>
    </row>
    <row r="15" spans="1:12" ht="15.75" customHeight="1">
      <c r="A15" s="48" t="s">
        <v>3797</v>
      </c>
      <c r="B15" s="49" t="s">
        <v>262</v>
      </c>
      <c r="C15" s="51" t="s">
        <v>199</v>
      </c>
      <c r="D15" s="54"/>
    </row>
    <row r="16" spans="1:12" ht="15.75" customHeight="1">
      <c r="A16" s="48" t="s">
        <v>3798</v>
      </c>
      <c r="B16" s="49" t="s">
        <v>198</v>
      </c>
      <c r="C16" s="51" t="s">
        <v>199</v>
      </c>
      <c r="D16" s="54"/>
    </row>
    <row r="17" spans="1:4" ht="15.75" customHeight="1">
      <c r="A17" s="48" t="s">
        <v>3800</v>
      </c>
      <c r="B17" s="49" t="s">
        <v>198</v>
      </c>
      <c r="C17" s="51" t="s">
        <v>199</v>
      </c>
      <c r="D17" s="54"/>
    </row>
    <row r="18" spans="1:4" ht="15.75" customHeight="1">
      <c r="A18" s="48" t="s">
        <v>3801</v>
      </c>
      <c r="B18" s="49" t="s">
        <v>209</v>
      </c>
      <c r="C18" s="51" t="s">
        <v>199</v>
      </c>
      <c r="D18" s="54"/>
    </row>
    <row r="19" spans="1:4" ht="15.75" customHeight="1">
      <c r="A19" s="48" t="s">
        <v>3802</v>
      </c>
      <c r="B19" s="49" t="s">
        <v>4054</v>
      </c>
      <c r="C19" s="51" t="s">
        <v>199</v>
      </c>
      <c r="D19" s="51"/>
    </row>
    <row r="20" spans="1:4" ht="15.75" customHeight="1">
      <c r="A20" s="48" t="s">
        <v>3803</v>
      </c>
      <c r="B20" s="49" t="s">
        <v>4055</v>
      </c>
      <c r="C20" s="51" t="s">
        <v>199</v>
      </c>
      <c r="D20" s="54"/>
    </row>
    <row r="21" spans="1:4" ht="15.75" customHeight="1">
      <c r="A21" s="48" t="s">
        <v>3804</v>
      </c>
      <c r="B21" s="49" t="s">
        <v>4122</v>
      </c>
      <c r="C21" s="51" t="s">
        <v>199</v>
      </c>
      <c r="D21" s="54"/>
    </row>
    <row r="22" spans="1:4" ht="15.75" customHeight="1">
      <c r="A22" s="48" t="s">
        <v>3805</v>
      </c>
      <c r="B22" s="49" t="s">
        <v>4086</v>
      </c>
      <c r="C22" s="51" t="s">
        <v>199</v>
      </c>
      <c r="D22" s="54"/>
    </row>
    <row r="23" spans="1:4" ht="15.75" customHeight="1">
      <c r="A23" s="48" t="s">
        <v>3806</v>
      </c>
      <c r="B23" s="49" t="s">
        <v>4087</v>
      </c>
      <c r="C23" s="51" t="s">
        <v>199</v>
      </c>
      <c r="D23" s="54"/>
    </row>
    <row r="24" spans="1:4" ht="15.75" customHeight="1">
      <c r="A24" s="48" t="s">
        <v>3807</v>
      </c>
      <c r="B24" s="49" t="s">
        <v>4088</v>
      </c>
      <c r="C24" s="51" t="s">
        <v>199</v>
      </c>
      <c r="D24" s="54"/>
    </row>
    <row r="25" spans="1:4" ht="15.75" customHeight="1">
      <c r="A25" s="48" t="s">
        <v>3808</v>
      </c>
      <c r="B25" s="49" t="s">
        <v>4123</v>
      </c>
      <c r="C25" s="51" t="s">
        <v>199</v>
      </c>
      <c r="D25" s="54"/>
    </row>
    <row r="26" spans="1:4" ht="15.75" customHeight="1">
      <c r="A26" s="48" t="s">
        <v>3809</v>
      </c>
      <c r="B26" s="58" t="str">
        <f>HYPERLINK("https://bulbapedia.bulbagarden.net/wiki/Reshiram-EX_(Next_Destinies_22)","ReshiramEX")</f>
        <v>ReshiramEX</v>
      </c>
      <c r="C26" s="51" t="s">
        <v>199</v>
      </c>
      <c r="D26" s="54"/>
    </row>
    <row r="27" spans="1:4" ht="15.75" customHeight="1">
      <c r="A27" s="48" t="s">
        <v>3810</v>
      </c>
      <c r="B27" s="49" t="s">
        <v>296</v>
      </c>
      <c r="C27" s="51" t="s">
        <v>208</v>
      </c>
      <c r="D27" s="54"/>
    </row>
    <row r="28" spans="1:4" ht="15.75" customHeight="1">
      <c r="A28" s="48" t="s">
        <v>3811</v>
      </c>
      <c r="B28" s="49" t="s">
        <v>295</v>
      </c>
      <c r="C28" s="51" t="s">
        <v>208</v>
      </c>
      <c r="D28" s="54"/>
    </row>
    <row r="29" spans="1:4" ht="15.75" customHeight="1">
      <c r="A29" s="48" t="s">
        <v>3812</v>
      </c>
      <c r="B29" s="49" t="s">
        <v>364</v>
      </c>
      <c r="C29" s="51" t="s">
        <v>208</v>
      </c>
      <c r="D29" s="54"/>
    </row>
    <row r="30" spans="1:4" ht="15.75" customHeight="1">
      <c r="A30" s="48" t="s">
        <v>3813</v>
      </c>
      <c r="B30" s="49" t="s">
        <v>364</v>
      </c>
      <c r="C30" s="51" t="s">
        <v>208</v>
      </c>
      <c r="D30" s="54"/>
    </row>
    <row r="31" spans="1:4" ht="15.75" customHeight="1">
      <c r="A31" s="48" t="s">
        <v>3815</v>
      </c>
      <c r="B31" s="49" t="s">
        <v>210</v>
      </c>
      <c r="C31" s="51" t="s">
        <v>208</v>
      </c>
      <c r="D31" s="54"/>
    </row>
    <row r="32" spans="1:4" ht="15.75" customHeight="1">
      <c r="A32" s="48" t="s">
        <v>3816</v>
      </c>
      <c r="B32" s="49" t="s">
        <v>4124</v>
      </c>
      <c r="C32" s="51" t="s">
        <v>208</v>
      </c>
      <c r="D32" s="54"/>
    </row>
    <row r="33" spans="1:4" ht="15.75" customHeight="1">
      <c r="A33" s="48" t="s">
        <v>3817</v>
      </c>
      <c r="B33" s="49" t="s">
        <v>4125</v>
      </c>
      <c r="C33" s="51" t="s">
        <v>208</v>
      </c>
      <c r="D33" s="54"/>
    </row>
    <row r="34" spans="1:4" ht="15.75" customHeight="1">
      <c r="A34" s="48" t="s">
        <v>3818</v>
      </c>
      <c r="B34" s="49" t="s">
        <v>4126</v>
      </c>
      <c r="C34" s="51" t="s">
        <v>208</v>
      </c>
      <c r="D34" s="54"/>
    </row>
    <row r="35" spans="1:4" ht="15.75" customHeight="1">
      <c r="A35" s="48" t="s">
        <v>3819</v>
      </c>
      <c r="B35" s="49" t="s">
        <v>4064</v>
      </c>
      <c r="C35" s="51" t="s">
        <v>208</v>
      </c>
      <c r="D35" s="54"/>
    </row>
    <row r="36" spans="1:4" ht="15.75" customHeight="1">
      <c r="A36" s="48" t="s">
        <v>3820</v>
      </c>
      <c r="B36" s="49" t="s">
        <v>4065</v>
      </c>
      <c r="C36" s="51" t="s">
        <v>208</v>
      </c>
      <c r="D36" s="54"/>
    </row>
    <row r="37" spans="1:4" ht="15.75" customHeight="1">
      <c r="A37" s="48" t="s">
        <v>3821</v>
      </c>
      <c r="B37" s="49" t="s">
        <v>4066</v>
      </c>
      <c r="C37" s="51" t="s">
        <v>208</v>
      </c>
      <c r="D37" s="54"/>
    </row>
    <row r="38" spans="1:4" ht="15.75" customHeight="1">
      <c r="A38" s="48" t="s">
        <v>3822</v>
      </c>
      <c r="B38" s="49" t="s">
        <v>4067</v>
      </c>
      <c r="C38" s="51" t="s">
        <v>208</v>
      </c>
      <c r="D38" s="54"/>
    </row>
    <row r="39" spans="1:4" ht="15.75" customHeight="1">
      <c r="A39" s="48" t="s">
        <v>3823</v>
      </c>
      <c r="B39" s="49" t="s">
        <v>4068</v>
      </c>
      <c r="C39" s="51" t="s">
        <v>208</v>
      </c>
      <c r="D39" s="54"/>
    </row>
    <row r="40" spans="1:4" ht="15.75" customHeight="1">
      <c r="A40" s="48" t="s">
        <v>3824</v>
      </c>
      <c r="B40" s="49" t="s">
        <v>4127</v>
      </c>
      <c r="C40" s="51" t="s">
        <v>208</v>
      </c>
      <c r="D40" s="54"/>
    </row>
    <row r="41" spans="1:4" ht="15.75" customHeight="1">
      <c r="A41" s="48" t="s">
        <v>3825</v>
      </c>
      <c r="B41" s="49" t="s">
        <v>4128</v>
      </c>
      <c r="C41" s="51" t="s">
        <v>208</v>
      </c>
      <c r="D41" s="54"/>
    </row>
    <row r="42" spans="1:4" ht="15.75" customHeight="1">
      <c r="A42" s="48" t="s">
        <v>3826</v>
      </c>
      <c r="B42" s="58" t="str">
        <f>HYPERLINK("https://bulbapedia.bulbagarden.net/wiki/Kyurem-EX_(Next_Destinies_38)","KyuremEX")</f>
        <v>KyuremEX</v>
      </c>
      <c r="C42" s="51" t="s">
        <v>208</v>
      </c>
      <c r="D42" s="54"/>
    </row>
    <row r="43" spans="1:4" ht="15.75" customHeight="1">
      <c r="A43" s="48" t="s">
        <v>3827</v>
      </c>
      <c r="B43" s="49" t="s">
        <v>191</v>
      </c>
      <c r="C43" s="51" t="s">
        <v>192</v>
      </c>
      <c r="D43" s="54"/>
    </row>
    <row r="44" spans="1:4" ht="15.75" customHeight="1">
      <c r="A44" s="48" t="s">
        <v>3828</v>
      </c>
      <c r="B44" s="49" t="s">
        <v>251</v>
      </c>
      <c r="C44" s="51" t="s">
        <v>192</v>
      </c>
      <c r="D44" s="54"/>
    </row>
    <row r="45" spans="1:4" ht="15.75" customHeight="1">
      <c r="A45" s="48" t="s">
        <v>3829</v>
      </c>
      <c r="B45" s="49" t="s">
        <v>211</v>
      </c>
      <c r="C45" s="51" t="s">
        <v>192</v>
      </c>
      <c r="D45" s="54"/>
    </row>
    <row r="46" spans="1:4" ht="15.75" customHeight="1">
      <c r="A46" s="48" t="s">
        <v>3830</v>
      </c>
      <c r="B46" s="49" t="s">
        <v>3043</v>
      </c>
      <c r="C46" s="51" t="s">
        <v>192</v>
      </c>
      <c r="D46" s="54"/>
    </row>
    <row r="47" spans="1:4" ht="15.75" customHeight="1">
      <c r="A47" s="48" t="s">
        <v>3831</v>
      </c>
      <c r="B47" s="49" t="s">
        <v>3043</v>
      </c>
      <c r="C47" s="51" t="s">
        <v>192</v>
      </c>
      <c r="D47" s="54"/>
    </row>
    <row r="48" spans="1:4" ht="15.75" customHeight="1">
      <c r="A48" s="48" t="s">
        <v>3832</v>
      </c>
      <c r="B48" s="49" t="s">
        <v>3137</v>
      </c>
      <c r="C48" s="51" t="s">
        <v>192</v>
      </c>
      <c r="D48" s="54"/>
    </row>
    <row r="49" spans="1:4" ht="15.75" customHeight="1">
      <c r="A49" s="48" t="s">
        <v>3833</v>
      </c>
      <c r="B49" s="49" t="s">
        <v>3137</v>
      </c>
      <c r="C49" s="51" t="s">
        <v>192</v>
      </c>
      <c r="D49" s="54"/>
    </row>
    <row r="50" spans="1:4" ht="15.75" customHeight="1">
      <c r="A50" s="48" t="s">
        <v>3834</v>
      </c>
      <c r="B50" s="49" t="s">
        <v>3114</v>
      </c>
      <c r="C50" s="51" t="s">
        <v>192</v>
      </c>
      <c r="D50" s="54"/>
    </row>
    <row r="51" spans="1:4" ht="15.75" customHeight="1">
      <c r="A51" s="48" t="s">
        <v>3835</v>
      </c>
      <c r="B51" s="49" t="s">
        <v>4033</v>
      </c>
      <c r="C51" s="51" t="s">
        <v>192</v>
      </c>
      <c r="D51" s="54"/>
    </row>
    <row r="52" spans="1:4" ht="15.75" customHeight="1">
      <c r="A52" s="48" t="s">
        <v>3836</v>
      </c>
      <c r="B52" s="49" t="s">
        <v>4071</v>
      </c>
      <c r="C52" s="51" t="s">
        <v>192</v>
      </c>
      <c r="D52" s="54"/>
    </row>
    <row r="53" spans="1:4" ht="13">
      <c r="A53" s="48" t="s">
        <v>3837</v>
      </c>
      <c r="B53" s="49" t="s">
        <v>4072</v>
      </c>
      <c r="C53" s="51" t="s">
        <v>192</v>
      </c>
      <c r="D53" s="54"/>
    </row>
    <row r="54" spans="1:4" ht="13">
      <c r="A54" s="48" t="s">
        <v>3838</v>
      </c>
      <c r="B54" s="49" t="s">
        <v>4129</v>
      </c>
      <c r="C54" s="51" t="s">
        <v>192</v>
      </c>
      <c r="D54" s="54"/>
    </row>
    <row r="55" spans="1:4" ht="13">
      <c r="A55" s="48" t="s">
        <v>3839</v>
      </c>
      <c r="B55" s="58" t="str">
        <f>HYPERLINK("https://bulbapedia.bulbagarden.net/wiki/Zekrom-EX_(Next_Destinies_51)","ZekromEX")</f>
        <v>ZekromEX</v>
      </c>
      <c r="C55" s="51" t="s">
        <v>192</v>
      </c>
      <c r="D55" s="54"/>
    </row>
    <row r="56" spans="1:4" ht="13">
      <c r="A56" s="48" t="s">
        <v>3840</v>
      </c>
      <c r="B56" s="49" t="s">
        <v>381</v>
      </c>
      <c r="C56" s="51" t="s">
        <v>195</v>
      </c>
      <c r="D56" s="54"/>
    </row>
    <row r="57" spans="1:4" ht="13">
      <c r="A57" s="48" t="s">
        <v>3841</v>
      </c>
      <c r="B57" s="49" t="s">
        <v>365</v>
      </c>
      <c r="C57" s="51" t="s">
        <v>195</v>
      </c>
      <c r="D57" s="54"/>
    </row>
    <row r="58" spans="1:4" ht="13">
      <c r="A58" s="48" t="s">
        <v>3842</v>
      </c>
      <c r="B58" s="58" t="str">
        <f>HYPERLINK("https://bulbapedia.bulbagarden.net/wiki/Mewtwo-EX_(Next_Destinies_54)","MewtwoEX")</f>
        <v>MewtwoEX</v>
      </c>
      <c r="C58" s="51" t="s">
        <v>195</v>
      </c>
      <c r="D58" s="54"/>
    </row>
    <row r="59" spans="1:4" ht="13">
      <c r="A59" s="48" t="s">
        <v>3843</v>
      </c>
      <c r="B59" s="49" t="s">
        <v>1307</v>
      </c>
      <c r="C59" s="51" t="s">
        <v>195</v>
      </c>
      <c r="D59" s="54"/>
    </row>
    <row r="60" spans="1:4" ht="13">
      <c r="A60" s="48" t="s">
        <v>3844</v>
      </c>
      <c r="B60" s="49" t="s">
        <v>1262</v>
      </c>
      <c r="C60" s="51" t="s">
        <v>195</v>
      </c>
      <c r="D60" s="54"/>
    </row>
    <row r="61" spans="1:4" ht="13">
      <c r="A61" s="48" t="s">
        <v>3845</v>
      </c>
      <c r="B61" s="49" t="s">
        <v>1220</v>
      </c>
      <c r="C61" s="51" t="s">
        <v>195</v>
      </c>
      <c r="D61" s="54"/>
    </row>
    <row r="62" spans="1:4" ht="13">
      <c r="A62" s="48" t="s">
        <v>3846</v>
      </c>
      <c r="B62" s="49" t="s">
        <v>4034</v>
      </c>
      <c r="C62" s="51" t="s">
        <v>195</v>
      </c>
      <c r="D62" s="54"/>
    </row>
    <row r="63" spans="1:4" ht="13">
      <c r="A63" s="48" t="s">
        <v>3847</v>
      </c>
      <c r="B63" s="49" t="s">
        <v>4130</v>
      </c>
      <c r="C63" s="51" t="s">
        <v>195</v>
      </c>
      <c r="D63" s="54"/>
    </row>
    <row r="64" spans="1:4" ht="13">
      <c r="A64" s="48" t="s">
        <v>3848</v>
      </c>
      <c r="B64" s="49" t="s">
        <v>4131</v>
      </c>
      <c r="C64" s="51" t="s">
        <v>195</v>
      </c>
      <c r="D64" s="54"/>
    </row>
    <row r="65" spans="1:4" ht="13">
      <c r="A65" s="48" t="s">
        <v>3849</v>
      </c>
      <c r="B65" s="49" t="s">
        <v>4084</v>
      </c>
      <c r="C65" s="51" t="s">
        <v>195</v>
      </c>
      <c r="D65" s="5"/>
    </row>
    <row r="66" spans="1:4" ht="13">
      <c r="A66" s="48" t="s">
        <v>3850</v>
      </c>
      <c r="B66" s="49" t="s">
        <v>4085</v>
      </c>
      <c r="C66" s="51" t="s">
        <v>195</v>
      </c>
      <c r="D66" s="54"/>
    </row>
    <row r="67" spans="1:4" ht="13">
      <c r="A67" s="48" t="s">
        <v>3851</v>
      </c>
      <c r="B67" s="49" t="s">
        <v>3141</v>
      </c>
      <c r="C67" s="51" t="s">
        <v>225</v>
      </c>
      <c r="D67" s="54"/>
    </row>
    <row r="68" spans="1:4" ht="13">
      <c r="A68" s="48" t="s">
        <v>3852</v>
      </c>
      <c r="B68" s="49" t="s">
        <v>3113</v>
      </c>
      <c r="C68" s="51" t="s">
        <v>225</v>
      </c>
      <c r="D68" s="54"/>
    </row>
    <row r="69" spans="1:4" ht="13">
      <c r="A69" s="48" t="s">
        <v>3853</v>
      </c>
      <c r="B69" s="49" t="s">
        <v>3136</v>
      </c>
      <c r="C69" s="51" t="s">
        <v>225</v>
      </c>
      <c r="D69" s="54"/>
    </row>
    <row r="70" spans="1:4" ht="13">
      <c r="A70" s="48" t="s">
        <v>3854</v>
      </c>
      <c r="B70" s="49" t="s">
        <v>3126</v>
      </c>
      <c r="C70" s="51" t="s">
        <v>225</v>
      </c>
      <c r="D70" s="54"/>
    </row>
    <row r="71" spans="1:4" ht="13">
      <c r="A71" s="48" t="s">
        <v>3855</v>
      </c>
      <c r="B71" s="49" t="s">
        <v>4095</v>
      </c>
      <c r="C71" s="51" t="s">
        <v>225</v>
      </c>
      <c r="D71" s="54"/>
    </row>
    <row r="72" spans="1:4" ht="13">
      <c r="A72" s="48" t="s">
        <v>3856</v>
      </c>
      <c r="B72" s="49" t="s">
        <v>4096</v>
      </c>
      <c r="C72" s="51" t="s">
        <v>225</v>
      </c>
      <c r="D72" s="54"/>
    </row>
    <row r="73" spans="1:4" ht="13">
      <c r="A73" s="48" t="s">
        <v>3857</v>
      </c>
      <c r="B73" s="49" t="s">
        <v>810</v>
      </c>
      <c r="C73" s="51" t="s">
        <v>808</v>
      </c>
      <c r="D73" s="51"/>
    </row>
    <row r="74" spans="1:4" ht="13">
      <c r="A74" s="48" t="s">
        <v>3858</v>
      </c>
      <c r="B74" s="49" t="s">
        <v>3131</v>
      </c>
      <c r="C74" s="51" t="s">
        <v>808</v>
      </c>
      <c r="D74" s="54"/>
    </row>
    <row r="75" spans="1:4" ht="13">
      <c r="A75" s="48" t="s">
        <v>3859</v>
      </c>
      <c r="B75" s="49" t="s">
        <v>1420</v>
      </c>
      <c r="C75" s="51" t="s">
        <v>808</v>
      </c>
      <c r="D75" s="54"/>
    </row>
    <row r="76" spans="1:4" ht="13">
      <c r="A76" s="48" t="s">
        <v>3860</v>
      </c>
      <c r="B76" s="49" t="s">
        <v>1374</v>
      </c>
      <c r="C76" s="51" t="s">
        <v>808</v>
      </c>
      <c r="D76" s="54"/>
    </row>
    <row r="77" spans="1:4" ht="13">
      <c r="A77" s="48" t="s">
        <v>3861</v>
      </c>
      <c r="B77" s="49" t="s">
        <v>4132</v>
      </c>
      <c r="C77" s="51" t="s">
        <v>808</v>
      </c>
      <c r="D77" s="54"/>
    </row>
    <row r="78" spans="1:4" ht="13">
      <c r="A78" s="48" t="s">
        <v>3862</v>
      </c>
      <c r="B78" s="49" t="s">
        <v>4133</v>
      </c>
      <c r="C78" s="51" t="s">
        <v>808</v>
      </c>
      <c r="D78" s="54"/>
    </row>
    <row r="79" spans="1:4" ht="13">
      <c r="A79" s="48" t="s">
        <v>3863</v>
      </c>
      <c r="B79" s="49" t="s">
        <v>3245</v>
      </c>
      <c r="C79" s="51" t="s">
        <v>220</v>
      </c>
      <c r="D79" s="51"/>
    </row>
    <row r="80" spans="1:4" ht="13">
      <c r="A80" s="48" t="s">
        <v>3864</v>
      </c>
      <c r="B80" s="49" t="s">
        <v>3163</v>
      </c>
      <c r="C80" s="51" t="s">
        <v>220</v>
      </c>
      <c r="D80" s="54"/>
    </row>
    <row r="81" spans="1:4" ht="13">
      <c r="A81" s="48" t="s">
        <v>3865</v>
      </c>
      <c r="B81" s="49" t="s">
        <v>4134</v>
      </c>
      <c r="C81" s="51" t="s">
        <v>220</v>
      </c>
      <c r="D81" s="54"/>
    </row>
    <row r="82" spans="1:4" ht="13">
      <c r="A82" s="48" t="s">
        <v>3866</v>
      </c>
      <c r="B82" s="49" t="s">
        <v>200</v>
      </c>
      <c r="C82" s="51" t="s">
        <v>197</v>
      </c>
      <c r="D82" s="54"/>
    </row>
    <row r="83" spans="1:4" ht="13">
      <c r="A83" s="48" t="s">
        <v>3867</v>
      </c>
      <c r="B83" s="49" t="s">
        <v>330</v>
      </c>
      <c r="C83" s="51" t="s">
        <v>197</v>
      </c>
      <c r="D83" s="54"/>
    </row>
    <row r="84" spans="1:4" ht="13">
      <c r="A84" s="48" t="s">
        <v>3868</v>
      </c>
      <c r="B84" s="49" t="s">
        <v>202</v>
      </c>
      <c r="C84" s="51" t="s">
        <v>197</v>
      </c>
      <c r="D84" s="54"/>
    </row>
    <row r="85" spans="1:4" ht="13">
      <c r="A85" s="48" t="s">
        <v>3869</v>
      </c>
      <c r="B85" s="49" t="s">
        <v>340</v>
      </c>
      <c r="C85" s="51" t="s">
        <v>197</v>
      </c>
      <c r="D85" s="54"/>
    </row>
    <row r="86" spans="1:4" ht="13">
      <c r="A86" s="48" t="s">
        <v>3870</v>
      </c>
      <c r="B86" s="58" t="str">
        <f>HYPERLINK("https://bulbapedia.bulbagarden.net/wiki/Regigigas-EX_(Next_Destinies_82)","RegigigasEX")</f>
        <v>RegigigasEX</v>
      </c>
      <c r="C86" s="51" t="s">
        <v>197</v>
      </c>
      <c r="D86" s="54"/>
    </row>
    <row r="87" spans="1:4" ht="13">
      <c r="A87" s="48" t="s">
        <v>3871</v>
      </c>
      <c r="B87" s="49" t="s">
        <v>4038</v>
      </c>
      <c r="C87" s="51" t="s">
        <v>197</v>
      </c>
      <c r="D87" s="51"/>
    </row>
    <row r="88" spans="1:4" ht="13">
      <c r="A88" s="48" t="s">
        <v>3873</v>
      </c>
      <c r="B88" s="49" t="s">
        <v>4135</v>
      </c>
      <c r="C88" s="51" t="s">
        <v>197</v>
      </c>
      <c r="D88" s="54"/>
    </row>
    <row r="89" spans="1:4" ht="13">
      <c r="A89" s="48" t="s">
        <v>3874</v>
      </c>
      <c r="B89" s="49" t="s">
        <v>4136</v>
      </c>
      <c r="C89" s="51" t="s">
        <v>197</v>
      </c>
      <c r="D89" s="54"/>
    </row>
    <row r="90" spans="1:4" ht="13">
      <c r="A90" s="48" t="s">
        <v>3876</v>
      </c>
      <c r="B90" s="49" t="s">
        <v>4137</v>
      </c>
      <c r="C90" s="51" t="s">
        <v>1013</v>
      </c>
      <c r="D90" s="54"/>
    </row>
    <row r="91" spans="1:4" ht="13">
      <c r="A91" s="48" t="s">
        <v>3877</v>
      </c>
      <c r="B91" s="49" t="s">
        <v>4138</v>
      </c>
      <c r="C91" s="51" t="s">
        <v>4114</v>
      </c>
      <c r="D91" s="54"/>
    </row>
    <row r="92" spans="1:4" ht="13">
      <c r="A92" s="48" t="s">
        <v>3879</v>
      </c>
      <c r="B92" s="49" t="s">
        <v>4139</v>
      </c>
      <c r="C92" s="51" t="s">
        <v>4114</v>
      </c>
      <c r="D92" s="54"/>
    </row>
    <row r="93" spans="1:4" ht="13">
      <c r="A93" s="48" t="s">
        <v>3881</v>
      </c>
      <c r="B93" s="49" t="s">
        <v>4140</v>
      </c>
      <c r="C93" s="51" t="s">
        <v>4114</v>
      </c>
      <c r="D93" s="54"/>
    </row>
    <row r="94" spans="1:4" ht="13">
      <c r="A94" s="48" t="s">
        <v>3882</v>
      </c>
      <c r="B94" s="49" t="s">
        <v>228</v>
      </c>
      <c r="C94" s="51" t="s">
        <v>229</v>
      </c>
      <c r="D94" s="54"/>
    </row>
    <row r="95" spans="1:4" ht="13">
      <c r="A95" s="48" t="s">
        <v>3883</v>
      </c>
      <c r="B95" s="49" t="s">
        <v>4141</v>
      </c>
      <c r="C95" s="51" t="s">
        <v>229</v>
      </c>
      <c r="D95" s="54"/>
    </row>
    <row r="96" spans="1:4" ht="13">
      <c r="A96" s="48" t="s">
        <v>3884</v>
      </c>
      <c r="B96" s="49" t="s">
        <v>316</v>
      </c>
      <c r="C96" s="51" t="s">
        <v>317</v>
      </c>
      <c r="D96" s="51"/>
    </row>
    <row r="97" spans="1:4" ht="13">
      <c r="A97" s="48" t="s">
        <v>3885</v>
      </c>
      <c r="B97" s="49" t="s">
        <v>4142</v>
      </c>
      <c r="C97" s="51" t="s">
        <v>317</v>
      </c>
      <c r="D97" s="54"/>
    </row>
    <row r="98" spans="1:4" ht="13">
      <c r="A98" s="48" t="s">
        <v>3886</v>
      </c>
      <c r="B98" s="58" t="str">
        <f>HYPERLINK("https://bulbapedia.bulbagarden.net/wiki/Shaymin-EX_(Next_Destinies_94)","ShayminEX")</f>
        <v>ShayminEX</v>
      </c>
      <c r="C98" s="51" t="s">
        <v>205</v>
      </c>
      <c r="D98" s="54"/>
    </row>
    <row r="99" spans="1:4" ht="13">
      <c r="A99" s="48" t="s">
        <v>3887</v>
      </c>
      <c r="B99" s="58" t="str">
        <f>HYPERLINK("https://bulbapedia.bulbagarden.net/wiki/Reshiram-EX_(Next_Destinies_95)","ReshiramEX")</f>
        <v>ReshiramEX</v>
      </c>
      <c r="C99" s="51" t="s">
        <v>199</v>
      </c>
      <c r="D99" s="54"/>
    </row>
    <row r="100" spans="1:4" ht="13">
      <c r="A100" s="48" t="s">
        <v>3888</v>
      </c>
      <c r="B100" s="58" t="str">
        <f>HYPERLINK("https://bulbapedia.bulbagarden.net/wiki/Kyurem-EX_(Next_Destinies_96)","KyuremEX")</f>
        <v>KyuremEX</v>
      </c>
      <c r="C100" s="51" t="s">
        <v>208</v>
      </c>
      <c r="D100" s="54"/>
    </row>
    <row r="101" spans="1:4" ht="13">
      <c r="A101" s="48" t="s">
        <v>3889</v>
      </c>
      <c r="B101" s="58" t="str">
        <f>HYPERLINK("https://bulbapedia.bulbagarden.net/wiki/Zekrom-EX_(Next_Destinies_97)","ZekromEX")</f>
        <v>ZekromEX</v>
      </c>
      <c r="C101" s="51" t="s">
        <v>192</v>
      </c>
      <c r="D101" s="54"/>
    </row>
    <row r="102" spans="1:4" ht="13">
      <c r="A102" s="48" t="s">
        <v>3891</v>
      </c>
      <c r="B102" s="58" t="str">
        <f>HYPERLINK("https://bulbapedia.bulbagarden.net/wiki/Mewtwo-EX_(Next_Destinies_98)","MewtwoEX")</f>
        <v>MewtwoEX</v>
      </c>
      <c r="C102" s="51" t="s">
        <v>195</v>
      </c>
      <c r="D102" s="54"/>
    </row>
    <row r="103" spans="1:4" ht="13">
      <c r="A103" s="48" t="s">
        <v>3893</v>
      </c>
      <c r="B103" s="58" t="str">
        <f>HYPERLINK("https://bulbapedia.bulbagarden.net/wiki/Regigigas-EX_(Next_Destinies_99)","RegigigasEX")</f>
        <v>RegigigasEX</v>
      </c>
      <c r="C103" s="51" t="s">
        <v>197</v>
      </c>
      <c r="D103" s="54"/>
    </row>
    <row r="104" spans="1:4" ht="13">
      <c r="A104" s="48" t="s">
        <v>4143</v>
      </c>
      <c r="B104" s="49" t="s">
        <v>4144</v>
      </c>
      <c r="C104" s="51" t="s">
        <v>199</v>
      </c>
      <c r="D104" s="54"/>
    </row>
    <row r="105" spans="1:4" ht="13">
      <c r="A105" s="48" t="s">
        <v>4145</v>
      </c>
      <c r="B105" s="49" t="s">
        <v>4088</v>
      </c>
      <c r="C105" s="51" t="s">
        <v>195</v>
      </c>
      <c r="D105" s="54"/>
    </row>
    <row r="106" spans="1:4" ht="13">
      <c r="A106" s="48" t="s">
        <v>4146</v>
      </c>
      <c r="B106" s="49" t="s">
        <v>4147</v>
      </c>
      <c r="C106" s="51" t="s">
        <v>808</v>
      </c>
      <c r="D106" s="54"/>
    </row>
    <row r="107" spans="1:4" ht="13">
      <c r="A107" s="48" t="s">
        <v>4148</v>
      </c>
      <c r="B107" s="49" t="s">
        <v>4105</v>
      </c>
      <c r="C107" s="51" t="s">
        <v>808</v>
      </c>
      <c r="D107" s="5"/>
    </row>
    <row r="109" spans="1:4" ht="13">
      <c r="A109" s="48"/>
      <c r="B109" s="53"/>
      <c r="C109" s="51"/>
      <c r="D109" s="5"/>
    </row>
    <row r="110" spans="1:4" ht="13">
      <c r="A110" s="48"/>
      <c r="B110" s="53"/>
      <c r="C110" s="51"/>
      <c r="D110" s="54"/>
    </row>
    <row r="111" spans="1:4" ht="13">
      <c r="A111" s="48"/>
      <c r="B111" s="53"/>
      <c r="C111" s="51"/>
      <c r="D111" s="54"/>
    </row>
    <row r="112" spans="1:4" ht="13">
      <c r="A112" s="48"/>
      <c r="B112" s="53"/>
      <c r="C112" s="51"/>
      <c r="D112" s="54"/>
    </row>
    <row r="113" spans="1:4" ht="13">
      <c r="A113" s="48"/>
      <c r="B113" s="53"/>
      <c r="C113" s="51"/>
      <c r="D113" s="54"/>
    </row>
    <row r="114" spans="1:4" ht="13">
      <c r="A114" s="48"/>
      <c r="B114" s="50"/>
      <c r="C114" s="51"/>
      <c r="D114" s="54"/>
    </row>
    <row r="115" spans="1:4" ht="13">
      <c r="A115" s="48"/>
      <c r="B115" s="50"/>
      <c r="C115" s="51"/>
      <c r="D115" s="54"/>
    </row>
    <row r="116" spans="1:4" ht="13">
      <c r="A116" s="48"/>
      <c r="B116" s="50"/>
      <c r="C116" s="51"/>
      <c r="D116" s="54"/>
    </row>
    <row r="117" spans="1:4" ht="13">
      <c r="A117" s="48"/>
      <c r="B117" s="50"/>
      <c r="C117" s="51"/>
      <c r="D117" s="54"/>
    </row>
    <row r="118" spans="1:4" ht="13">
      <c r="A118" s="48"/>
      <c r="B118" s="50"/>
      <c r="C118" s="51"/>
      <c r="D118" s="54"/>
    </row>
    <row r="119" spans="1:4" ht="13">
      <c r="A119" s="48"/>
      <c r="B119" s="50"/>
      <c r="C119" s="51"/>
      <c r="D119" s="54"/>
    </row>
    <row r="120" spans="1:4" ht="13">
      <c r="A120" s="48"/>
      <c r="B120" s="50"/>
      <c r="C120" s="51"/>
      <c r="D120" s="54"/>
    </row>
    <row r="121" spans="1:4" ht="13">
      <c r="A121" s="48"/>
      <c r="B121" s="50"/>
      <c r="C121" s="51"/>
      <c r="D121" s="51"/>
    </row>
    <row r="122" spans="1:4" ht="13">
      <c r="A122" s="42"/>
      <c r="B122" s="50"/>
      <c r="C122" s="51"/>
      <c r="D122" s="54"/>
    </row>
    <row r="123" spans="1:4" ht="13">
      <c r="A123" s="48"/>
      <c r="B123" s="50"/>
      <c r="C123" s="51"/>
      <c r="D123" s="54"/>
    </row>
    <row r="124" spans="1:4" ht="13">
      <c r="A124" s="48"/>
      <c r="B124" s="50"/>
      <c r="C124" s="51"/>
      <c r="D124" s="54"/>
    </row>
    <row r="125" spans="1:4" ht="13">
      <c r="A125" s="48"/>
      <c r="B125" s="50"/>
      <c r="C125" s="51"/>
      <c r="D125" s="54"/>
    </row>
    <row r="126" spans="1:4" ht="13">
      <c r="A126" s="48"/>
      <c r="B126" s="50"/>
      <c r="C126" s="51"/>
      <c r="D126" s="54"/>
    </row>
    <row r="127" spans="1:4" ht="13">
      <c r="A127" s="48"/>
      <c r="B127" s="50"/>
      <c r="C127" s="51"/>
      <c r="D127" s="54"/>
    </row>
    <row r="128" spans="1:4" ht="13">
      <c r="A128" s="48"/>
      <c r="B128" s="50"/>
      <c r="C128" s="51"/>
      <c r="D128" s="54"/>
    </row>
    <row r="129" spans="1:4" ht="13">
      <c r="A129" s="48"/>
      <c r="B129" s="50"/>
      <c r="C129" s="51"/>
      <c r="D129" s="54"/>
    </row>
    <row r="130" spans="1:4" ht="13">
      <c r="A130" s="48"/>
      <c r="B130" s="50"/>
      <c r="C130" s="51"/>
      <c r="D130" s="5"/>
    </row>
    <row r="131" spans="1:4" ht="13">
      <c r="A131" s="48"/>
      <c r="B131" s="50"/>
      <c r="C131" s="51"/>
      <c r="D131" s="5"/>
    </row>
    <row r="132" spans="1:4" ht="13">
      <c r="A132" s="48"/>
      <c r="B132" s="50"/>
      <c r="C132" s="51"/>
      <c r="D132" s="54"/>
    </row>
    <row r="133" spans="1:4" ht="13">
      <c r="A133" s="48"/>
      <c r="B133" s="53"/>
      <c r="C133" s="51"/>
      <c r="D133" s="54"/>
    </row>
    <row r="134" spans="1:4" ht="13">
      <c r="A134" s="48"/>
      <c r="B134" s="50"/>
      <c r="C134" s="51"/>
      <c r="D134" s="5"/>
    </row>
    <row r="135" spans="1:4" ht="13">
      <c r="A135" s="48"/>
      <c r="B135" s="50"/>
      <c r="C135" s="51"/>
      <c r="D135" s="5"/>
    </row>
    <row r="136" spans="1:4" ht="13">
      <c r="A136" s="48"/>
      <c r="B136" s="50"/>
      <c r="C136" s="51"/>
      <c r="D136" s="5"/>
    </row>
    <row r="137" spans="1:4" ht="13">
      <c r="A137" s="48"/>
      <c r="B137" s="50"/>
      <c r="C137" s="51"/>
      <c r="D137" s="5"/>
    </row>
    <row r="138" spans="1:4" ht="13">
      <c r="A138" s="48"/>
      <c r="B138" s="50"/>
      <c r="C138" s="51"/>
      <c r="D138" s="5"/>
    </row>
    <row r="139" spans="1:4" ht="13">
      <c r="A139" s="48"/>
      <c r="B139" s="50"/>
      <c r="C139" s="51"/>
      <c r="D139" s="5"/>
    </row>
    <row r="140" spans="1:4" ht="13">
      <c r="A140" s="48"/>
      <c r="B140" s="50"/>
      <c r="C140" s="51"/>
      <c r="D140" s="5"/>
    </row>
    <row r="141" spans="1:4" ht="13">
      <c r="A141" s="48"/>
      <c r="B141" s="50"/>
      <c r="C141" s="51"/>
      <c r="D141" s="5"/>
    </row>
    <row r="142" spans="1:4" ht="13">
      <c r="A142" s="48"/>
      <c r="B142" s="50"/>
      <c r="C142" s="51"/>
      <c r="D142" s="5"/>
    </row>
    <row r="143" spans="1:4" ht="13">
      <c r="A143" s="48"/>
      <c r="B143" s="53"/>
      <c r="C143" s="51"/>
      <c r="D143" s="5"/>
    </row>
    <row r="144" spans="1:4" ht="13">
      <c r="A144" s="48"/>
      <c r="B144" s="50"/>
      <c r="C144" s="51"/>
      <c r="D144" s="5"/>
    </row>
    <row r="145" spans="1:4" ht="13">
      <c r="A145" s="48"/>
      <c r="B145" s="50"/>
      <c r="C145" s="51"/>
      <c r="D145" s="5"/>
    </row>
    <row r="146" spans="1:4" ht="13">
      <c r="A146" s="48"/>
      <c r="B146" s="53"/>
      <c r="C146" s="51"/>
      <c r="D146" s="51"/>
    </row>
    <row r="147" spans="1:4" ht="13">
      <c r="A147" s="48"/>
      <c r="B147" s="53"/>
      <c r="C147" s="51"/>
      <c r="D147" s="5"/>
    </row>
    <row r="148" spans="1:4" ht="13">
      <c r="A148" s="48"/>
      <c r="B148" s="53"/>
      <c r="C148" s="48"/>
      <c r="D148" s="47"/>
    </row>
    <row r="149" spans="1:4" ht="13">
      <c r="A149" s="48"/>
      <c r="B149" s="53"/>
      <c r="C149" s="48"/>
      <c r="D149" s="47"/>
    </row>
    <row r="150" spans="1:4" ht="13">
      <c r="A150" s="48"/>
      <c r="B150" s="53"/>
      <c r="C150" s="48"/>
      <c r="D150" s="47"/>
    </row>
    <row r="151" spans="1:4" ht="13">
      <c r="A151" s="48"/>
      <c r="B151" s="53"/>
      <c r="C151" s="48"/>
      <c r="D151" s="47"/>
    </row>
    <row r="152" spans="1:4" ht="13">
      <c r="A152" s="64"/>
      <c r="B152" s="65"/>
      <c r="C152" s="64"/>
      <c r="D152" s="66"/>
    </row>
    <row r="153" spans="1:4" ht="13">
      <c r="A153" s="64"/>
      <c r="B153" s="65"/>
      <c r="C153" s="64"/>
      <c r="D153" s="66"/>
    </row>
    <row r="154" spans="1:4" ht="13">
      <c r="A154" s="64"/>
      <c r="B154" s="65"/>
      <c r="C154" s="64"/>
      <c r="D154" s="66"/>
    </row>
    <row r="155" spans="1:4" ht="13">
      <c r="A155" s="64"/>
      <c r="B155" s="65"/>
      <c r="C155" s="64"/>
      <c r="D155" s="66"/>
    </row>
    <row r="156" spans="1:4" ht="13">
      <c r="A156" s="64"/>
      <c r="B156" s="65"/>
      <c r="C156" s="64"/>
      <c r="D156" s="66"/>
    </row>
    <row r="157" spans="1:4" ht="13">
      <c r="A157" s="64"/>
      <c r="B157" s="65"/>
      <c r="C157" s="64"/>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3800-000000000000}"/>
    <hyperlink ref="B6" r:id="rId2" xr:uid="{00000000-0004-0000-3800-000001000000}"/>
    <hyperlink ref="B7" r:id="rId3" xr:uid="{00000000-0004-0000-3800-000002000000}"/>
    <hyperlink ref="B8" r:id="rId4" xr:uid="{00000000-0004-0000-3800-000003000000}"/>
    <hyperlink ref="B10" r:id="rId5" xr:uid="{00000000-0004-0000-3800-000004000000}"/>
    <hyperlink ref="B11" r:id="rId6" xr:uid="{00000000-0004-0000-3800-000005000000}"/>
    <hyperlink ref="B12" r:id="rId7" xr:uid="{00000000-0004-0000-3800-000006000000}"/>
    <hyperlink ref="B13" r:id="rId8" xr:uid="{00000000-0004-0000-3800-000007000000}"/>
    <hyperlink ref="B14" r:id="rId9" xr:uid="{00000000-0004-0000-3800-000008000000}"/>
    <hyperlink ref="B15" r:id="rId10" xr:uid="{00000000-0004-0000-3800-000009000000}"/>
    <hyperlink ref="B16" r:id="rId11" xr:uid="{00000000-0004-0000-3800-00000A000000}"/>
    <hyperlink ref="B17" r:id="rId12" xr:uid="{00000000-0004-0000-3800-00000B000000}"/>
    <hyperlink ref="B18" r:id="rId13" xr:uid="{00000000-0004-0000-3800-00000C000000}"/>
    <hyperlink ref="B19" r:id="rId14" xr:uid="{00000000-0004-0000-3800-00000D000000}"/>
    <hyperlink ref="B20" r:id="rId15" xr:uid="{00000000-0004-0000-3800-00000E000000}"/>
    <hyperlink ref="B21" r:id="rId16" xr:uid="{00000000-0004-0000-3800-00000F000000}"/>
    <hyperlink ref="B22" r:id="rId17" xr:uid="{00000000-0004-0000-3800-000010000000}"/>
    <hyperlink ref="B23" r:id="rId18" xr:uid="{00000000-0004-0000-3800-000011000000}"/>
    <hyperlink ref="B24" r:id="rId19" xr:uid="{00000000-0004-0000-3800-000012000000}"/>
    <hyperlink ref="B25" r:id="rId20" xr:uid="{00000000-0004-0000-3800-000013000000}"/>
    <hyperlink ref="B27" r:id="rId21" xr:uid="{00000000-0004-0000-3800-000014000000}"/>
    <hyperlink ref="B28" r:id="rId22" xr:uid="{00000000-0004-0000-3800-000015000000}"/>
    <hyperlink ref="B29" r:id="rId23" xr:uid="{00000000-0004-0000-3800-000016000000}"/>
    <hyperlink ref="B30" r:id="rId24" xr:uid="{00000000-0004-0000-3800-000017000000}"/>
    <hyperlink ref="B31" r:id="rId25" xr:uid="{00000000-0004-0000-3800-000018000000}"/>
    <hyperlink ref="B32" r:id="rId26" xr:uid="{00000000-0004-0000-3800-000019000000}"/>
    <hyperlink ref="B33" r:id="rId27" xr:uid="{00000000-0004-0000-3800-00001A000000}"/>
    <hyperlink ref="B34" r:id="rId28" xr:uid="{00000000-0004-0000-3800-00001B000000}"/>
    <hyperlink ref="B35" r:id="rId29" xr:uid="{00000000-0004-0000-3800-00001C000000}"/>
    <hyperlink ref="B36" r:id="rId30" xr:uid="{00000000-0004-0000-3800-00001D000000}"/>
    <hyperlink ref="B37" r:id="rId31" xr:uid="{00000000-0004-0000-3800-00001E000000}"/>
    <hyperlink ref="B38" r:id="rId32" xr:uid="{00000000-0004-0000-3800-00001F000000}"/>
    <hyperlink ref="B39" r:id="rId33" xr:uid="{00000000-0004-0000-3800-000020000000}"/>
    <hyperlink ref="B40" r:id="rId34" xr:uid="{00000000-0004-0000-3800-000021000000}"/>
    <hyperlink ref="B41" r:id="rId35" xr:uid="{00000000-0004-0000-3800-000022000000}"/>
    <hyperlink ref="B43" r:id="rId36" xr:uid="{00000000-0004-0000-3800-000023000000}"/>
    <hyperlink ref="B44" r:id="rId37" xr:uid="{00000000-0004-0000-3800-000024000000}"/>
    <hyperlink ref="B45" r:id="rId38" xr:uid="{00000000-0004-0000-3800-000025000000}"/>
    <hyperlink ref="B46" r:id="rId39" xr:uid="{00000000-0004-0000-3800-000026000000}"/>
    <hyperlink ref="B47" r:id="rId40" xr:uid="{00000000-0004-0000-3800-000027000000}"/>
    <hyperlink ref="B48" r:id="rId41" xr:uid="{00000000-0004-0000-3800-000028000000}"/>
    <hyperlink ref="B49" r:id="rId42" xr:uid="{00000000-0004-0000-3800-000029000000}"/>
    <hyperlink ref="B50" r:id="rId43" xr:uid="{00000000-0004-0000-3800-00002A000000}"/>
    <hyperlink ref="B51" r:id="rId44" xr:uid="{00000000-0004-0000-3800-00002B000000}"/>
    <hyperlink ref="B52" r:id="rId45" xr:uid="{00000000-0004-0000-3800-00002C000000}"/>
    <hyperlink ref="B53" r:id="rId46" xr:uid="{00000000-0004-0000-3800-00002D000000}"/>
    <hyperlink ref="B54" r:id="rId47" xr:uid="{00000000-0004-0000-3800-00002E000000}"/>
    <hyperlink ref="B56" r:id="rId48" xr:uid="{00000000-0004-0000-3800-00002F000000}"/>
    <hyperlink ref="B57" r:id="rId49" xr:uid="{00000000-0004-0000-3800-000030000000}"/>
    <hyperlink ref="B59" r:id="rId50" xr:uid="{00000000-0004-0000-3800-000031000000}"/>
    <hyperlink ref="B60" r:id="rId51" xr:uid="{00000000-0004-0000-3800-000032000000}"/>
    <hyperlink ref="B61" r:id="rId52" xr:uid="{00000000-0004-0000-3800-000033000000}"/>
    <hyperlink ref="B62" r:id="rId53" xr:uid="{00000000-0004-0000-3800-000034000000}"/>
    <hyperlink ref="B63" r:id="rId54" xr:uid="{00000000-0004-0000-3800-000035000000}"/>
    <hyperlink ref="B64" r:id="rId55" xr:uid="{00000000-0004-0000-3800-000036000000}"/>
    <hyperlink ref="B65" r:id="rId56" xr:uid="{00000000-0004-0000-3800-000037000000}"/>
    <hyperlink ref="B66" r:id="rId57" xr:uid="{00000000-0004-0000-3800-000038000000}"/>
    <hyperlink ref="B67" r:id="rId58" xr:uid="{00000000-0004-0000-3800-000039000000}"/>
    <hyperlink ref="B68" r:id="rId59" xr:uid="{00000000-0004-0000-3800-00003A000000}"/>
    <hyperlink ref="B69" r:id="rId60" xr:uid="{00000000-0004-0000-3800-00003B000000}"/>
    <hyperlink ref="B70" r:id="rId61" xr:uid="{00000000-0004-0000-3800-00003C000000}"/>
    <hyperlink ref="B71" r:id="rId62" xr:uid="{00000000-0004-0000-3800-00003D000000}"/>
    <hyperlink ref="B72" r:id="rId63" xr:uid="{00000000-0004-0000-3800-00003E000000}"/>
    <hyperlink ref="B73" r:id="rId64" xr:uid="{00000000-0004-0000-3800-00003F000000}"/>
    <hyperlink ref="B74" r:id="rId65" xr:uid="{00000000-0004-0000-3800-000040000000}"/>
    <hyperlink ref="B75" r:id="rId66" xr:uid="{00000000-0004-0000-3800-000041000000}"/>
    <hyperlink ref="B76" r:id="rId67" xr:uid="{00000000-0004-0000-3800-000042000000}"/>
    <hyperlink ref="B77" r:id="rId68" xr:uid="{00000000-0004-0000-3800-000043000000}"/>
    <hyperlink ref="B78" r:id="rId69" xr:uid="{00000000-0004-0000-3800-000044000000}"/>
    <hyperlink ref="B79" r:id="rId70" xr:uid="{00000000-0004-0000-3800-000045000000}"/>
    <hyperlink ref="B80" r:id="rId71" xr:uid="{00000000-0004-0000-3800-000046000000}"/>
    <hyperlink ref="B81" r:id="rId72" xr:uid="{00000000-0004-0000-3800-000047000000}"/>
    <hyperlink ref="B82" r:id="rId73" xr:uid="{00000000-0004-0000-3800-000048000000}"/>
    <hyperlink ref="B83" r:id="rId74" xr:uid="{00000000-0004-0000-3800-000049000000}"/>
    <hyperlink ref="B84" r:id="rId75" xr:uid="{00000000-0004-0000-3800-00004A000000}"/>
    <hyperlink ref="B85" r:id="rId76" xr:uid="{00000000-0004-0000-3800-00004B000000}"/>
    <hyperlink ref="B87" r:id="rId77" xr:uid="{00000000-0004-0000-3800-00004C000000}"/>
    <hyperlink ref="B88" r:id="rId78" xr:uid="{00000000-0004-0000-3800-00004D000000}"/>
    <hyperlink ref="B89" r:id="rId79" xr:uid="{00000000-0004-0000-3800-00004E000000}"/>
    <hyperlink ref="B90" r:id="rId80" xr:uid="{00000000-0004-0000-3800-00004F000000}"/>
    <hyperlink ref="B91" r:id="rId81" xr:uid="{00000000-0004-0000-3800-000050000000}"/>
    <hyperlink ref="B92" r:id="rId82" xr:uid="{00000000-0004-0000-3800-000051000000}"/>
    <hyperlink ref="B93" r:id="rId83" xr:uid="{00000000-0004-0000-3800-000052000000}"/>
    <hyperlink ref="B94" r:id="rId84" xr:uid="{00000000-0004-0000-3800-000053000000}"/>
    <hyperlink ref="B95" r:id="rId85" xr:uid="{00000000-0004-0000-3800-000054000000}"/>
    <hyperlink ref="B96" r:id="rId86" xr:uid="{00000000-0004-0000-3800-000055000000}"/>
    <hyperlink ref="B97" r:id="rId87" xr:uid="{00000000-0004-0000-3800-000056000000}"/>
    <hyperlink ref="B104" r:id="rId88" xr:uid="{00000000-0004-0000-3800-000057000000}"/>
    <hyperlink ref="B105" r:id="rId89" xr:uid="{00000000-0004-0000-3800-000058000000}"/>
    <hyperlink ref="B106" r:id="rId90" xr:uid="{00000000-0004-0000-3800-000059000000}"/>
    <hyperlink ref="B107" r:id="rId91" xr:uid="{00000000-0004-0000-3800-00005A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4.1640625" customWidth="1"/>
    <col min="2" max="2" width="17.6640625" customWidth="1"/>
    <col min="3" max="3" width="13.5" customWidth="1"/>
    <col min="4" max="4" width="14.83203125" customWidth="1"/>
    <col min="5" max="5" width="14.33203125" customWidth="1"/>
    <col min="7" max="7" width="14.1640625" customWidth="1"/>
  </cols>
  <sheetData>
    <row r="1" spans="1:12" ht="15.75" customHeight="1">
      <c r="A1" s="1" t="s">
        <v>87</v>
      </c>
      <c r="B1" s="36"/>
      <c r="C1" s="37"/>
      <c r="D1" s="7" t="s">
        <v>181</v>
      </c>
    </row>
    <row r="2" spans="1:12" ht="15.75" customHeight="1">
      <c r="A2" s="7" t="s">
        <v>182</v>
      </c>
      <c r="B2" s="38">
        <v>41038</v>
      </c>
      <c r="C2" s="37"/>
      <c r="D2" s="39">
        <f>SUM(D5:G115)</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48" t="s">
        <v>2904</v>
      </c>
      <c r="B5" s="49" t="s">
        <v>276</v>
      </c>
      <c r="C5" s="51" t="s">
        <v>205</v>
      </c>
      <c r="D5" s="5"/>
      <c r="L5" s="43"/>
    </row>
    <row r="6" spans="1:12" ht="15.75" customHeight="1">
      <c r="A6" s="48" t="s">
        <v>2905</v>
      </c>
      <c r="B6" s="49" t="s">
        <v>264</v>
      </c>
      <c r="C6" s="51" t="s">
        <v>205</v>
      </c>
      <c r="D6" s="54"/>
    </row>
    <row r="7" spans="1:12" ht="15.75" customHeight="1">
      <c r="A7" s="48" t="s">
        <v>2906</v>
      </c>
      <c r="B7" s="49" t="s">
        <v>204</v>
      </c>
      <c r="C7" s="51" t="s">
        <v>205</v>
      </c>
      <c r="D7" s="54"/>
    </row>
    <row r="8" spans="1:12" ht="15.75" customHeight="1">
      <c r="A8" s="48" t="s">
        <v>2907</v>
      </c>
      <c r="B8" s="49" t="s">
        <v>232</v>
      </c>
      <c r="C8" s="51" t="s">
        <v>205</v>
      </c>
      <c r="D8" s="54"/>
    </row>
    <row r="9" spans="1:12" ht="15.75" customHeight="1">
      <c r="A9" s="48" t="s">
        <v>2908</v>
      </c>
      <c r="B9" s="49" t="s">
        <v>3123</v>
      </c>
      <c r="C9" s="51" t="s">
        <v>205</v>
      </c>
      <c r="D9" s="54"/>
    </row>
    <row r="10" spans="1:12" ht="15.75" customHeight="1">
      <c r="A10" s="48" t="s">
        <v>2909</v>
      </c>
      <c r="B10" s="49" t="s">
        <v>3354</v>
      </c>
      <c r="C10" s="51" t="s">
        <v>205</v>
      </c>
      <c r="D10" s="54"/>
    </row>
    <row r="11" spans="1:12" ht="15.75" customHeight="1">
      <c r="A11" s="48" t="s">
        <v>2910</v>
      </c>
      <c r="B11" s="49" t="s">
        <v>4045</v>
      </c>
      <c r="C11" s="51" t="s">
        <v>205</v>
      </c>
      <c r="D11" s="54"/>
    </row>
    <row r="12" spans="1:12" ht="15.75" customHeight="1">
      <c r="A12" s="48" t="s">
        <v>2911</v>
      </c>
      <c r="B12" s="49" t="s">
        <v>4046</v>
      </c>
      <c r="C12" s="51" t="s">
        <v>205</v>
      </c>
      <c r="D12" s="54"/>
    </row>
    <row r="13" spans="1:12" ht="15.75" customHeight="1">
      <c r="A13" s="48" t="s">
        <v>2912</v>
      </c>
      <c r="B13" s="49" t="s">
        <v>4047</v>
      </c>
      <c r="C13" s="51" t="s">
        <v>205</v>
      </c>
      <c r="D13" s="54"/>
    </row>
    <row r="14" spans="1:12" ht="15.75" customHeight="1">
      <c r="A14" s="48" t="s">
        <v>2913</v>
      </c>
      <c r="B14" s="49" t="s">
        <v>4050</v>
      </c>
      <c r="C14" s="51" t="s">
        <v>205</v>
      </c>
      <c r="D14" s="54"/>
    </row>
    <row r="15" spans="1:12" ht="15.75" customHeight="1">
      <c r="A15" s="48" t="s">
        <v>2914</v>
      </c>
      <c r="B15" s="49" t="s">
        <v>4051</v>
      </c>
      <c r="C15" s="51" t="s">
        <v>205</v>
      </c>
      <c r="D15" s="54"/>
    </row>
    <row r="16" spans="1:12" ht="15.75" customHeight="1">
      <c r="A16" s="48" t="s">
        <v>2915</v>
      </c>
      <c r="B16" s="49" t="s">
        <v>319</v>
      </c>
      <c r="C16" s="51" t="s">
        <v>199</v>
      </c>
      <c r="D16" s="54"/>
    </row>
    <row r="17" spans="1:4" ht="15.75" customHeight="1">
      <c r="A17" s="48" t="s">
        <v>2916</v>
      </c>
      <c r="B17" s="58" t="str">
        <f>HYPERLINK("https://bulbapedia.bulbagarden.net/wiki/Entei-EX_(Dark_Explorers_13)","EnteiEX")</f>
        <v>EnteiEX</v>
      </c>
      <c r="C17" s="51" t="s">
        <v>199</v>
      </c>
      <c r="D17" s="54"/>
    </row>
    <row r="18" spans="1:4" ht="15.75" customHeight="1">
      <c r="A18" s="48" t="s">
        <v>2917</v>
      </c>
      <c r="B18" s="49" t="s">
        <v>1190</v>
      </c>
      <c r="C18" s="51" t="s">
        <v>199</v>
      </c>
      <c r="D18" s="54"/>
    </row>
    <row r="19" spans="1:4" ht="15.75" customHeight="1">
      <c r="A19" s="48" t="s">
        <v>2918</v>
      </c>
      <c r="B19" s="49" t="s">
        <v>1190</v>
      </c>
      <c r="C19" s="51" t="s">
        <v>199</v>
      </c>
      <c r="D19" s="54"/>
    </row>
    <row r="20" spans="1:4" ht="15.75" customHeight="1">
      <c r="A20" s="48" t="s">
        <v>2919</v>
      </c>
      <c r="B20" s="49" t="s">
        <v>1191</v>
      </c>
      <c r="C20" s="51" t="s">
        <v>199</v>
      </c>
      <c r="D20" s="54"/>
    </row>
    <row r="21" spans="1:4" ht="15.75" customHeight="1">
      <c r="A21" s="48" t="s">
        <v>2920</v>
      </c>
      <c r="B21" s="49" t="s">
        <v>1212</v>
      </c>
      <c r="C21" s="51" t="s">
        <v>199</v>
      </c>
      <c r="D21" s="54"/>
    </row>
    <row r="22" spans="1:4" ht="15.75" customHeight="1">
      <c r="A22" s="48" t="s">
        <v>2921</v>
      </c>
      <c r="B22" s="49" t="s">
        <v>1511</v>
      </c>
      <c r="C22" s="51" t="s">
        <v>199</v>
      </c>
      <c r="D22" s="54"/>
    </row>
    <row r="23" spans="1:4" ht="15.75" customHeight="1">
      <c r="A23" s="48" t="s">
        <v>2922</v>
      </c>
      <c r="B23" s="49" t="s">
        <v>4056</v>
      </c>
      <c r="C23" s="51" t="s">
        <v>199</v>
      </c>
      <c r="D23" s="54"/>
    </row>
    <row r="24" spans="1:4" ht="15.75" customHeight="1">
      <c r="A24" s="48" t="s">
        <v>2923</v>
      </c>
      <c r="B24" s="49" t="s">
        <v>4057</v>
      </c>
      <c r="C24" s="51" t="s">
        <v>199</v>
      </c>
      <c r="D24" s="54"/>
    </row>
    <row r="25" spans="1:4" ht="15.75" customHeight="1">
      <c r="A25" s="48" t="s">
        <v>2924</v>
      </c>
      <c r="B25" s="49" t="s">
        <v>4057</v>
      </c>
      <c r="C25" s="51" t="s">
        <v>199</v>
      </c>
      <c r="D25" s="54"/>
    </row>
    <row r="26" spans="1:4" ht="15.75" customHeight="1">
      <c r="A26" s="48" t="s">
        <v>2925</v>
      </c>
      <c r="B26" s="49" t="s">
        <v>4058</v>
      </c>
      <c r="C26" s="51" t="s">
        <v>199</v>
      </c>
      <c r="D26" s="54"/>
    </row>
    <row r="27" spans="1:4" ht="15.75" customHeight="1">
      <c r="A27" s="48" t="s">
        <v>2926</v>
      </c>
      <c r="B27" s="49" t="s">
        <v>387</v>
      </c>
      <c r="C27" s="51" t="s">
        <v>208</v>
      </c>
      <c r="D27" s="54"/>
    </row>
    <row r="28" spans="1:4" ht="15.75" customHeight="1">
      <c r="A28" s="48" t="s">
        <v>2927</v>
      </c>
      <c r="B28" s="49" t="s">
        <v>376</v>
      </c>
      <c r="C28" s="51" t="s">
        <v>208</v>
      </c>
      <c r="D28" s="54"/>
    </row>
    <row r="29" spans="1:4" ht="15.75" customHeight="1">
      <c r="A29" s="48" t="s">
        <v>2928</v>
      </c>
      <c r="B29" s="49" t="s">
        <v>326</v>
      </c>
      <c r="C29" s="51" t="s">
        <v>208</v>
      </c>
      <c r="D29" s="54"/>
    </row>
    <row r="30" spans="1:4" ht="15.75" customHeight="1">
      <c r="A30" s="48" t="s">
        <v>2929</v>
      </c>
      <c r="B30" s="58" t="str">
        <f>HYPERLINK("https://bulbapedia.bulbagarden.net/wiki/Kyogre-EX_(Dark_Explorers_26)","KyogreEX")</f>
        <v>KyogreEX</v>
      </c>
      <c r="C30" s="51" t="s">
        <v>208</v>
      </c>
      <c r="D30" s="54"/>
    </row>
    <row r="31" spans="1:4" ht="15.75" customHeight="1">
      <c r="A31" s="48" t="s">
        <v>2930</v>
      </c>
      <c r="B31" s="49" t="s">
        <v>3020</v>
      </c>
      <c r="C31" s="51" t="s">
        <v>208</v>
      </c>
      <c r="D31" s="54"/>
    </row>
    <row r="32" spans="1:4" ht="15.75" customHeight="1">
      <c r="A32" s="48" t="s">
        <v>2931</v>
      </c>
      <c r="B32" s="49" t="s">
        <v>3140</v>
      </c>
      <c r="C32" s="51" t="s">
        <v>208</v>
      </c>
      <c r="D32" s="54"/>
    </row>
    <row r="33" spans="1:4" ht="15.75" customHeight="1">
      <c r="A33" s="48" t="s">
        <v>2932</v>
      </c>
      <c r="B33" s="49" t="s">
        <v>3111</v>
      </c>
      <c r="C33" s="51" t="s">
        <v>208</v>
      </c>
      <c r="D33" s="54"/>
    </row>
    <row r="34" spans="1:4" ht="15.75" customHeight="1">
      <c r="A34" s="48" t="s">
        <v>2933</v>
      </c>
      <c r="B34" s="49" t="s">
        <v>3353</v>
      </c>
      <c r="C34" s="51" t="s">
        <v>208</v>
      </c>
      <c r="D34" s="54"/>
    </row>
    <row r="35" spans="1:4" ht="15.75" customHeight="1">
      <c r="A35" s="48" t="s">
        <v>2934</v>
      </c>
      <c r="B35" s="49" t="s">
        <v>4059</v>
      </c>
      <c r="C35" s="51" t="s">
        <v>208</v>
      </c>
      <c r="D35" s="54"/>
    </row>
    <row r="36" spans="1:4" ht="15.75" customHeight="1">
      <c r="A36" s="48" t="s">
        <v>2935</v>
      </c>
      <c r="B36" s="49" t="s">
        <v>4060</v>
      </c>
      <c r="C36" s="51" t="s">
        <v>208</v>
      </c>
      <c r="D36" s="54"/>
    </row>
    <row r="37" spans="1:4" ht="15.75" customHeight="1">
      <c r="A37" s="48" t="s">
        <v>2936</v>
      </c>
      <c r="B37" s="49" t="s">
        <v>4064</v>
      </c>
      <c r="C37" s="51" t="s">
        <v>208</v>
      </c>
      <c r="D37" s="54"/>
    </row>
    <row r="38" spans="1:4" ht="15.75" customHeight="1">
      <c r="A38" s="48" t="s">
        <v>2937</v>
      </c>
      <c r="B38" s="49" t="s">
        <v>4065</v>
      </c>
      <c r="C38" s="51" t="s">
        <v>208</v>
      </c>
      <c r="D38" s="54"/>
    </row>
    <row r="39" spans="1:4" ht="15.75" customHeight="1">
      <c r="A39" s="48" t="s">
        <v>2938</v>
      </c>
      <c r="B39" s="49" t="s">
        <v>4149</v>
      </c>
      <c r="C39" s="51" t="s">
        <v>208</v>
      </c>
      <c r="D39" s="54"/>
    </row>
    <row r="40" spans="1:4" ht="15.75" customHeight="1">
      <c r="A40" s="48" t="s">
        <v>2939</v>
      </c>
      <c r="B40" s="49" t="s">
        <v>4150</v>
      </c>
      <c r="C40" s="51" t="s">
        <v>208</v>
      </c>
      <c r="D40" s="54"/>
    </row>
    <row r="41" spans="1:4" ht="15.75" customHeight="1">
      <c r="A41" s="48" t="s">
        <v>2940</v>
      </c>
      <c r="B41" s="49" t="s">
        <v>320</v>
      </c>
      <c r="C41" s="51" t="s">
        <v>192</v>
      </c>
      <c r="D41" s="54"/>
    </row>
    <row r="42" spans="1:4" ht="15.75" customHeight="1">
      <c r="A42" s="48" t="s">
        <v>2941</v>
      </c>
      <c r="B42" s="58" t="str">
        <f>HYPERLINK("https://bulbapedia.bulbagarden.net/wiki/Raikou-EX_(Dark_Explorers_38)","RaikouEX")</f>
        <v>RaikouEX</v>
      </c>
      <c r="C42" s="51" t="s">
        <v>192</v>
      </c>
      <c r="D42" s="54"/>
    </row>
    <row r="43" spans="1:4" ht="15.75" customHeight="1">
      <c r="A43" s="48" t="s">
        <v>2942</v>
      </c>
      <c r="B43" s="49" t="s">
        <v>1503</v>
      </c>
      <c r="C43" s="51" t="s">
        <v>192</v>
      </c>
      <c r="D43" s="54"/>
    </row>
    <row r="44" spans="1:4" ht="15.75" customHeight="1">
      <c r="A44" s="48" t="s">
        <v>2943</v>
      </c>
      <c r="B44" s="49" t="s">
        <v>1501</v>
      </c>
      <c r="C44" s="51" t="s">
        <v>192</v>
      </c>
      <c r="D44" s="54"/>
    </row>
    <row r="45" spans="1:4" ht="15.75" customHeight="1">
      <c r="A45" s="48" t="s">
        <v>2944</v>
      </c>
      <c r="B45" s="49" t="s">
        <v>4151</v>
      </c>
      <c r="C45" s="51" t="s">
        <v>192</v>
      </c>
      <c r="D45" s="54"/>
    </row>
    <row r="46" spans="1:4" ht="15.75" customHeight="1">
      <c r="A46" s="48" t="s">
        <v>2945</v>
      </c>
      <c r="B46" s="49" t="s">
        <v>4151</v>
      </c>
      <c r="C46" s="51" t="s">
        <v>192</v>
      </c>
      <c r="D46" s="54"/>
    </row>
    <row r="47" spans="1:4" ht="15.75" customHeight="1">
      <c r="A47" s="48" t="s">
        <v>2946</v>
      </c>
      <c r="B47" s="49" t="s">
        <v>4152</v>
      </c>
      <c r="C47" s="51" t="s">
        <v>192</v>
      </c>
      <c r="D47" s="54"/>
    </row>
    <row r="48" spans="1:4" ht="15.75" customHeight="1">
      <c r="A48" s="48" t="s">
        <v>2947</v>
      </c>
      <c r="B48" s="49" t="s">
        <v>4073</v>
      </c>
      <c r="C48" s="51" t="s">
        <v>192</v>
      </c>
      <c r="D48" s="54"/>
    </row>
    <row r="49" spans="1:4" ht="15.75" customHeight="1">
      <c r="A49" s="48" t="s">
        <v>2948</v>
      </c>
      <c r="B49" s="49" t="s">
        <v>4073</v>
      </c>
      <c r="C49" s="51" t="s">
        <v>192</v>
      </c>
      <c r="D49" s="54"/>
    </row>
    <row r="50" spans="1:4" ht="15.75" customHeight="1">
      <c r="A50" s="48" t="s">
        <v>2949</v>
      </c>
      <c r="B50" s="49" t="s">
        <v>4074</v>
      </c>
      <c r="C50" s="51" t="s">
        <v>192</v>
      </c>
      <c r="D50" s="54"/>
    </row>
    <row r="51" spans="1:4" ht="15.75" customHeight="1">
      <c r="A51" s="48" t="s">
        <v>2950</v>
      </c>
      <c r="B51" s="49" t="s">
        <v>4075</v>
      </c>
      <c r="C51" s="51" t="s">
        <v>192</v>
      </c>
      <c r="D51" s="54"/>
    </row>
    <row r="52" spans="1:4" ht="15.75" customHeight="1">
      <c r="A52" s="48" t="s">
        <v>2951</v>
      </c>
      <c r="B52" s="49" t="s">
        <v>936</v>
      </c>
      <c r="C52" s="51" t="s">
        <v>195</v>
      </c>
      <c r="D52" s="54"/>
    </row>
    <row r="53" spans="1:4" ht="13">
      <c r="A53" s="48" t="s">
        <v>2952</v>
      </c>
      <c r="B53" s="49" t="s">
        <v>789</v>
      </c>
      <c r="C53" s="51" t="s">
        <v>195</v>
      </c>
      <c r="D53" s="54"/>
    </row>
    <row r="54" spans="1:4" ht="13">
      <c r="A54" s="48" t="s">
        <v>2953</v>
      </c>
      <c r="B54" s="49" t="s">
        <v>4153</v>
      </c>
      <c r="C54" s="51" t="s">
        <v>195</v>
      </c>
      <c r="D54" s="54"/>
    </row>
    <row r="55" spans="1:4" ht="13">
      <c r="A55" s="48" t="s">
        <v>2954</v>
      </c>
      <c r="B55" s="49" t="s">
        <v>4077</v>
      </c>
      <c r="C55" s="51" t="s">
        <v>195</v>
      </c>
      <c r="D55" s="54"/>
    </row>
    <row r="56" spans="1:4" ht="13">
      <c r="A56" s="48" t="s">
        <v>2955</v>
      </c>
      <c r="B56" s="49" t="s">
        <v>4078</v>
      </c>
      <c r="C56" s="51" t="s">
        <v>195</v>
      </c>
      <c r="D56" s="54"/>
    </row>
    <row r="57" spans="1:4" ht="13">
      <c r="A57" s="48" t="s">
        <v>2956</v>
      </c>
      <c r="B57" s="49" t="s">
        <v>358</v>
      </c>
      <c r="C57" s="51" t="s">
        <v>225</v>
      </c>
      <c r="D57" s="54"/>
    </row>
    <row r="58" spans="1:4" ht="13">
      <c r="A58" s="48" t="s">
        <v>2957</v>
      </c>
      <c r="B58" s="58" t="str">
        <f>HYPERLINK("https://bulbapedia.bulbagarden.net/wiki/Groudon-EX_(Dark_Explorers_54)","GroudonEX")</f>
        <v>GroudonEX</v>
      </c>
      <c r="C58" s="51" t="s">
        <v>225</v>
      </c>
      <c r="D58" s="54"/>
    </row>
    <row r="59" spans="1:4" ht="13">
      <c r="A59" s="48" t="s">
        <v>2958</v>
      </c>
      <c r="B59" s="49" t="s">
        <v>4154</v>
      </c>
      <c r="C59" s="51" t="s">
        <v>225</v>
      </c>
      <c r="D59" s="54"/>
    </row>
    <row r="60" spans="1:4" ht="13">
      <c r="A60" s="48" t="s">
        <v>2959</v>
      </c>
      <c r="B60" s="49" t="s">
        <v>4155</v>
      </c>
      <c r="C60" s="51" t="s">
        <v>225</v>
      </c>
      <c r="D60" s="54"/>
    </row>
    <row r="61" spans="1:4" ht="13">
      <c r="A61" s="48" t="s">
        <v>2960</v>
      </c>
      <c r="B61" s="49" t="s">
        <v>4155</v>
      </c>
      <c r="C61" s="51" t="s">
        <v>225</v>
      </c>
      <c r="D61" s="54"/>
    </row>
    <row r="62" spans="1:4" ht="13">
      <c r="A62" s="48" t="s">
        <v>2961</v>
      </c>
      <c r="B62" s="49" t="s">
        <v>4090</v>
      </c>
      <c r="C62" s="51" t="s">
        <v>225</v>
      </c>
      <c r="D62" s="54"/>
    </row>
    <row r="63" spans="1:4" ht="13">
      <c r="A63" s="48" t="s">
        <v>2962</v>
      </c>
      <c r="B63" s="49" t="s">
        <v>4091</v>
      </c>
      <c r="C63" s="51" t="s">
        <v>225</v>
      </c>
      <c r="D63" s="54"/>
    </row>
    <row r="64" spans="1:4" ht="13">
      <c r="A64" s="48" t="s">
        <v>2963</v>
      </c>
      <c r="B64" s="49" t="s">
        <v>942</v>
      </c>
      <c r="C64" s="51" t="s">
        <v>808</v>
      </c>
      <c r="D64" s="54"/>
    </row>
    <row r="65" spans="1:4" ht="13">
      <c r="A65" s="48" t="s">
        <v>2964</v>
      </c>
      <c r="B65" s="49" t="s">
        <v>942</v>
      </c>
      <c r="C65" s="51" t="s">
        <v>808</v>
      </c>
      <c r="D65" s="5"/>
    </row>
    <row r="66" spans="1:4" ht="13">
      <c r="A66" s="48" t="s">
        <v>2965</v>
      </c>
      <c r="B66" s="49" t="s">
        <v>1370</v>
      </c>
      <c r="C66" s="51" t="s">
        <v>808</v>
      </c>
      <c r="D66" s="54"/>
    </row>
    <row r="67" spans="1:4" ht="13">
      <c r="A67" s="48" t="s">
        <v>2966</v>
      </c>
      <c r="B67" s="58" t="str">
        <f>HYPERLINK("https://bulbapedia.bulbagarden.net/wiki/Darkrai-EX_(Dark_Explorers_63)","DarkraiEX")</f>
        <v>DarkraiEX</v>
      </c>
      <c r="C67" s="51" t="s">
        <v>808</v>
      </c>
      <c r="D67" s="54"/>
    </row>
    <row r="68" spans="1:4" ht="13">
      <c r="A68" s="48" t="s">
        <v>2967</v>
      </c>
      <c r="B68" s="49" t="s">
        <v>4035</v>
      </c>
      <c r="C68" s="51" t="s">
        <v>808</v>
      </c>
      <c r="D68" s="54"/>
    </row>
    <row r="69" spans="1:4" ht="13">
      <c r="A69" s="48" t="s">
        <v>2968</v>
      </c>
      <c r="B69" s="49" t="s">
        <v>4156</v>
      </c>
      <c r="C69" s="51" t="s">
        <v>808</v>
      </c>
      <c r="D69" s="54"/>
    </row>
    <row r="70" spans="1:4" ht="13">
      <c r="A70" s="48" t="s">
        <v>2969</v>
      </c>
      <c r="B70" s="49" t="s">
        <v>4157</v>
      </c>
      <c r="C70" s="51" t="s">
        <v>808</v>
      </c>
      <c r="D70" s="54"/>
    </row>
    <row r="71" spans="1:4" ht="13">
      <c r="A71" s="48" t="s">
        <v>2970</v>
      </c>
      <c r="B71" s="49" t="s">
        <v>4132</v>
      </c>
      <c r="C71" s="51" t="s">
        <v>808</v>
      </c>
      <c r="D71" s="54"/>
    </row>
    <row r="72" spans="1:4" ht="13">
      <c r="A72" s="48" t="s">
        <v>2971</v>
      </c>
      <c r="B72" s="49" t="s">
        <v>4133</v>
      </c>
      <c r="C72" s="51" t="s">
        <v>808</v>
      </c>
      <c r="D72" s="54"/>
    </row>
    <row r="73" spans="1:4" ht="13">
      <c r="A73" s="48" t="s">
        <v>2972</v>
      </c>
      <c r="B73" s="49" t="s">
        <v>4036</v>
      </c>
      <c r="C73" s="51" t="s">
        <v>808</v>
      </c>
      <c r="D73" s="54"/>
    </row>
    <row r="74" spans="1:4" ht="13">
      <c r="A74" s="48" t="s">
        <v>2973</v>
      </c>
      <c r="B74" s="49" t="s">
        <v>4036</v>
      </c>
      <c r="C74" s="51" t="s">
        <v>808</v>
      </c>
      <c r="D74" s="54"/>
    </row>
    <row r="75" spans="1:4" ht="13">
      <c r="A75" s="48" t="s">
        <v>2974</v>
      </c>
      <c r="B75" s="49" t="s">
        <v>4147</v>
      </c>
      <c r="C75" s="51" t="s">
        <v>808</v>
      </c>
      <c r="D75" s="54"/>
    </row>
    <row r="76" spans="1:4" ht="13">
      <c r="A76" s="48" t="s">
        <v>2975</v>
      </c>
      <c r="B76" s="49" t="s">
        <v>4102</v>
      </c>
      <c r="C76" s="51" t="s">
        <v>808</v>
      </c>
      <c r="D76" s="54"/>
    </row>
    <row r="77" spans="1:4" ht="13">
      <c r="A77" s="48" t="s">
        <v>2977</v>
      </c>
      <c r="B77" s="49" t="s">
        <v>4158</v>
      </c>
      <c r="C77" s="51" t="s">
        <v>808</v>
      </c>
      <c r="D77" s="54"/>
    </row>
    <row r="78" spans="1:4" ht="13">
      <c r="A78" s="48" t="s">
        <v>2978</v>
      </c>
      <c r="B78" s="49" t="s">
        <v>4106</v>
      </c>
      <c r="C78" s="51" t="s">
        <v>220</v>
      </c>
      <c r="D78" s="54"/>
    </row>
    <row r="79" spans="1:4" ht="13">
      <c r="A79" s="48" t="s">
        <v>2979</v>
      </c>
      <c r="B79" s="49" t="s">
        <v>4037</v>
      </c>
      <c r="C79" s="51" t="s">
        <v>220</v>
      </c>
      <c r="D79" s="54"/>
    </row>
    <row r="80" spans="1:4" ht="13">
      <c r="A80" s="48" t="s">
        <v>2980</v>
      </c>
      <c r="B80" s="49" t="s">
        <v>4159</v>
      </c>
      <c r="C80" s="51" t="s">
        <v>220</v>
      </c>
      <c r="D80" s="54"/>
    </row>
    <row r="81" spans="1:4" ht="13">
      <c r="A81" s="48" t="s">
        <v>2982</v>
      </c>
      <c r="B81" s="49" t="s">
        <v>4160</v>
      </c>
      <c r="C81" s="51" t="s">
        <v>220</v>
      </c>
      <c r="D81" s="54"/>
    </row>
    <row r="82" spans="1:4" ht="13">
      <c r="A82" s="48" t="s">
        <v>2983</v>
      </c>
      <c r="B82" s="49" t="s">
        <v>4101</v>
      </c>
      <c r="C82" s="51" t="s">
        <v>220</v>
      </c>
      <c r="D82" s="54"/>
    </row>
    <row r="83" spans="1:4" ht="13">
      <c r="A83" s="48" t="s">
        <v>2984</v>
      </c>
      <c r="B83" s="49" t="s">
        <v>4102</v>
      </c>
      <c r="C83" s="51" t="s">
        <v>220</v>
      </c>
      <c r="D83" s="54"/>
    </row>
    <row r="84" spans="1:4" ht="13">
      <c r="A84" s="48" t="s">
        <v>2986</v>
      </c>
      <c r="B84" s="49" t="s">
        <v>241</v>
      </c>
      <c r="C84" s="51" t="s">
        <v>197</v>
      </c>
      <c r="D84" s="54"/>
    </row>
    <row r="85" spans="1:4" ht="13">
      <c r="A85" s="48" t="s">
        <v>2987</v>
      </c>
      <c r="B85" s="49" t="s">
        <v>241</v>
      </c>
      <c r="C85" s="51" t="s">
        <v>197</v>
      </c>
      <c r="D85" s="54"/>
    </row>
    <row r="86" spans="1:4" ht="13">
      <c r="A86" s="48" t="s">
        <v>2988</v>
      </c>
      <c r="B86" s="49" t="s">
        <v>968</v>
      </c>
      <c r="C86" s="51" t="s">
        <v>197</v>
      </c>
      <c r="D86" s="54"/>
    </row>
    <row r="87" spans="1:4" ht="13">
      <c r="A87" s="48" t="s">
        <v>2990</v>
      </c>
      <c r="B87" s="49" t="s">
        <v>203</v>
      </c>
      <c r="C87" s="51" t="s">
        <v>197</v>
      </c>
      <c r="D87" s="54"/>
    </row>
    <row r="88" spans="1:4" ht="13">
      <c r="A88" s="48" t="s">
        <v>2991</v>
      </c>
      <c r="B88" s="49" t="s">
        <v>203</v>
      </c>
      <c r="C88" s="51" t="s">
        <v>197</v>
      </c>
      <c r="D88" s="54"/>
    </row>
    <row r="89" spans="1:4" ht="13">
      <c r="A89" s="48" t="s">
        <v>2992</v>
      </c>
      <c r="B89" s="49" t="s">
        <v>3041</v>
      </c>
      <c r="C89" s="51" t="s">
        <v>197</v>
      </c>
      <c r="D89" s="54"/>
    </row>
    <row r="90" spans="1:4" ht="13">
      <c r="A90" s="48" t="s">
        <v>2993</v>
      </c>
      <c r="B90" s="49" t="s">
        <v>4161</v>
      </c>
      <c r="C90" s="51" t="s">
        <v>197</v>
      </c>
      <c r="D90" s="54"/>
    </row>
    <row r="91" spans="1:4" ht="13">
      <c r="A91" s="48" t="s">
        <v>2994</v>
      </c>
      <c r="B91" s="49" t="s">
        <v>4162</v>
      </c>
      <c r="C91" s="51" t="s">
        <v>197</v>
      </c>
      <c r="D91" s="54"/>
    </row>
    <row r="92" spans="1:4" ht="13">
      <c r="A92" s="48" t="s">
        <v>2995</v>
      </c>
      <c r="B92" s="49" t="s">
        <v>4163</v>
      </c>
      <c r="C92" s="51" t="s">
        <v>197</v>
      </c>
      <c r="D92" s="54"/>
    </row>
    <row r="93" spans="1:4" ht="13">
      <c r="A93" s="48" t="s">
        <v>2996</v>
      </c>
      <c r="B93" s="49" t="s">
        <v>4111</v>
      </c>
      <c r="C93" s="51" t="s">
        <v>197</v>
      </c>
      <c r="D93" s="54"/>
    </row>
    <row r="94" spans="1:4" ht="13">
      <c r="A94" s="48" t="s">
        <v>2997</v>
      </c>
      <c r="B94" s="58" t="str">
        <f>HYPERLINK("https://bulbapedia.bulbagarden.net/wiki/Tornadus-EX_(Dark_Explorers_90)","TornadusEX")</f>
        <v>TornadusEX</v>
      </c>
      <c r="C94" s="51" t="s">
        <v>197</v>
      </c>
      <c r="D94" s="54"/>
    </row>
    <row r="95" spans="1:4" ht="13">
      <c r="A95" s="48" t="s">
        <v>2998</v>
      </c>
      <c r="B95" s="49" t="s">
        <v>4164</v>
      </c>
      <c r="C95" s="51" t="s">
        <v>1013</v>
      </c>
      <c r="D95" s="54"/>
    </row>
    <row r="96" spans="1:4" ht="13">
      <c r="A96" s="48" t="s">
        <v>2999</v>
      </c>
      <c r="B96" s="49" t="s">
        <v>4165</v>
      </c>
      <c r="C96" s="51" t="s">
        <v>4114</v>
      </c>
      <c r="D96" s="5"/>
    </row>
    <row r="97" spans="1:4" ht="13">
      <c r="A97" s="48" t="s">
        <v>3001</v>
      </c>
      <c r="B97" s="49" t="s">
        <v>4166</v>
      </c>
      <c r="C97" s="51" t="s">
        <v>4114</v>
      </c>
      <c r="D97" s="54"/>
    </row>
    <row r="98" spans="1:4" ht="13">
      <c r="A98" s="48" t="s">
        <v>3003</v>
      </c>
      <c r="B98" s="49" t="s">
        <v>4167</v>
      </c>
      <c r="C98" s="51" t="s">
        <v>4114</v>
      </c>
      <c r="D98" s="54"/>
    </row>
    <row r="99" spans="1:4" ht="13">
      <c r="A99" s="48" t="s">
        <v>3004</v>
      </c>
      <c r="B99" s="49" t="s">
        <v>4168</v>
      </c>
      <c r="C99" s="51" t="s">
        <v>1013</v>
      </c>
      <c r="D99" s="54"/>
    </row>
    <row r="100" spans="1:4" ht="13">
      <c r="A100" s="48" t="s">
        <v>3005</v>
      </c>
      <c r="B100" s="49" t="s">
        <v>4116</v>
      </c>
      <c r="C100" s="51" t="s">
        <v>1013</v>
      </c>
      <c r="D100" s="51"/>
    </row>
    <row r="101" spans="1:4" ht="13">
      <c r="A101" s="48" t="s">
        <v>3006</v>
      </c>
      <c r="B101" s="49" t="s">
        <v>4169</v>
      </c>
      <c r="C101" s="51" t="s">
        <v>4114</v>
      </c>
      <c r="D101" s="54"/>
    </row>
    <row r="102" spans="1:4" ht="13">
      <c r="A102" s="48" t="s">
        <v>3007</v>
      </c>
      <c r="B102" s="49" t="s">
        <v>4170</v>
      </c>
      <c r="C102" s="51" t="s">
        <v>1013</v>
      </c>
      <c r="D102" s="54"/>
    </row>
    <row r="103" spans="1:4" ht="13">
      <c r="A103" s="48" t="s">
        <v>3009</v>
      </c>
      <c r="B103" s="49" t="s">
        <v>4171</v>
      </c>
      <c r="C103" s="51" t="s">
        <v>4114</v>
      </c>
      <c r="D103" s="54"/>
    </row>
    <row r="104" spans="1:4" ht="13">
      <c r="A104" s="48" t="s">
        <v>3010</v>
      </c>
      <c r="B104" s="49" t="s">
        <v>1470</v>
      </c>
      <c r="C104" s="51" t="s">
        <v>4114</v>
      </c>
      <c r="D104" s="54"/>
    </row>
    <row r="105" spans="1:4" ht="13">
      <c r="A105" s="48" t="s">
        <v>3011</v>
      </c>
      <c r="B105" s="49" t="s">
        <v>4172</v>
      </c>
      <c r="C105" s="51" t="s">
        <v>229</v>
      </c>
      <c r="D105" s="54"/>
    </row>
    <row r="106" spans="1:4" ht="13">
      <c r="A106" s="48" t="s">
        <v>3012</v>
      </c>
      <c r="B106" s="49" t="s">
        <v>4173</v>
      </c>
      <c r="C106" s="51" t="s">
        <v>4114</v>
      </c>
      <c r="D106" s="51"/>
    </row>
    <row r="107" spans="1:4" ht="13">
      <c r="A107" s="48" t="s">
        <v>4174</v>
      </c>
      <c r="B107" s="58" t="str">
        <f>HYPERLINK("https://bulbapedia.bulbagarden.net/wiki/Entei-EX_(Dark_Explorers_103)","EnteiEX")</f>
        <v>EnteiEX</v>
      </c>
      <c r="C107" s="51" t="s">
        <v>199</v>
      </c>
      <c r="D107" s="5"/>
    </row>
    <row r="108" spans="1:4" ht="13">
      <c r="A108" s="48" t="s">
        <v>4175</v>
      </c>
      <c r="B108" s="58" t="str">
        <f>HYPERLINK("https://bulbapedia.bulbagarden.net/wiki/Kyogre-EX_(Dark_Explorers_104)","KyogreEX")</f>
        <v>KyogreEX</v>
      </c>
      <c r="C108" s="51" t="s">
        <v>208</v>
      </c>
      <c r="D108" s="5"/>
    </row>
    <row r="109" spans="1:4" ht="13">
      <c r="A109" s="48" t="s">
        <v>4176</v>
      </c>
      <c r="B109" s="58" t="str">
        <f>HYPERLINK("https://bulbapedia.bulbagarden.net/wiki/Raikou-EX_(Dark_Explorers_105)","RaikouEX")</f>
        <v>RaikouEX</v>
      </c>
      <c r="C109" s="51" t="s">
        <v>192</v>
      </c>
      <c r="D109" s="54"/>
    </row>
    <row r="110" spans="1:4" ht="13">
      <c r="A110" s="48" t="s">
        <v>4177</v>
      </c>
      <c r="B110" s="58" t="str">
        <f>HYPERLINK("https://bulbapedia.bulbagarden.net/wiki/Groudon-EX_(Dark_Explorers_106)","GroudonEX")</f>
        <v>GroudonEX</v>
      </c>
      <c r="C110" s="51" t="s">
        <v>225</v>
      </c>
      <c r="D110" s="54"/>
    </row>
    <row r="111" spans="1:4" ht="13">
      <c r="A111" s="48" t="s">
        <v>4178</v>
      </c>
      <c r="B111" s="58" t="str">
        <f>HYPERLINK("https://bulbapedia.bulbagarden.net/wiki/Darkrai-EX_(Dark_Explorers_107)","DarkraiEX")</f>
        <v>DarkraiEX</v>
      </c>
      <c r="C111" s="51" t="s">
        <v>808</v>
      </c>
      <c r="D111" s="54"/>
    </row>
    <row r="112" spans="1:4" ht="13">
      <c r="A112" s="48" t="s">
        <v>4179</v>
      </c>
      <c r="B112" s="58" t="str">
        <f>HYPERLINK("https://bulbapedia.bulbagarden.net/wiki/Tornadus-EX_(Dark_Explorers_108)","TornadusEX")</f>
        <v>TornadusEX</v>
      </c>
      <c r="C112" s="51" t="s">
        <v>197</v>
      </c>
      <c r="D112" s="54"/>
    </row>
    <row r="113" spans="1:4" ht="13">
      <c r="A113" s="48" t="s">
        <v>4180</v>
      </c>
      <c r="B113" s="49" t="s">
        <v>1220</v>
      </c>
      <c r="C113" s="51" t="s">
        <v>195</v>
      </c>
      <c r="D113" s="54"/>
    </row>
    <row r="114" spans="1:4" ht="13">
      <c r="A114" s="48" t="s">
        <v>4181</v>
      </c>
      <c r="B114" s="49" t="s">
        <v>4094</v>
      </c>
      <c r="C114" s="51" t="s">
        <v>225</v>
      </c>
      <c r="D114" s="54"/>
    </row>
    <row r="115" spans="1:4" ht="13">
      <c r="A115" s="48" t="s">
        <v>4182</v>
      </c>
      <c r="B115" s="49" t="s">
        <v>4183</v>
      </c>
      <c r="C115" s="51" t="s">
        <v>4114</v>
      </c>
      <c r="D115" s="54"/>
    </row>
    <row r="117" spans="1:4" ht="13">
      <c r="A117" s="48"/>
      <c r="B117" s="50"/>
      <c r="C117" s="51"/>
      <c r="D117" s="54"/>
    </row>
    <row r="118" spans="1:4" ht="13">
      <c r="A118" s="48"/>
      <c r="B118" s="50"/>
      <c r="C118" s="51"/>
      <c r="D118" s="54"/>
    </row>
    <row r="119" spans="1:4" ht="13">
      <c r="A119" s="48"/>
      <c r="B119" s="50"/>
      <c r="C119" s="51"/>
      <c r="D119" s="54"/>
    </row>
    <row r="120" spans="1:4" ht="13">
      <c r="A120" s="48"/>
      <c r="B120" s="50"/>
      <c r="C120" s="51"/>
      <c r="D120" s="54"/>
    </row>
    <row r="121" spans="1:4" ht="13">
      <c r="A121" s="48"/>
      <c r="B121" s="50"/>
      <c r="C121" s="51"/>
      <c r="D121" s="51"/>
    </row>
    <row r="122" spans="1:4" ht="13">
      <c r="A122" s="42"/>
      <c r="B122" s="50"/>
      <c r="C122" s="51"/>
      <c r="D122" s="54"/>
    </row>
    <row r="123" spans="1:4" ht="13">
      <c r="A123" s="48"/>
      <c r="B123" s="50"/>
      <c r="C123" s="51"/>
      <c r="D123" s="54"/>
    </row>
    <row r="124" spans="1:4" ht="13">
      <c r="A124" s="48"/>
      <c r="B124" s="50"/>
      <c r="C124" s="51"/>
      <c r="D124" s="54"/>
    </row>
    <row r="125" spans="1:4" ht="13">
      <c r="A125" s="48"/>
      <c r="B125" s="50"/>
      <c r="C125" s="51"/>
      <c r="D125" s="54"/>
    </row>
    <row r="126" spans="1:4" ht="13">
      <c r="A126" s="48"/>
      <c r="B126" s="50"/>
      <c r="C126" s="51"/>
      <c r="D126" s="54"/>
    </row>
    <row r="127" spans="1:4" ht="13">
      <c r="A127" s="48"/>
      <c r="B127" s="50"/>
      <c r="C127" s="51"/>
      <c r="D127" s="54"/>
    </row>
    <row r="128" spans="1:4" ht="13">
      <c r="A128" s="48"/>
      <c r="B128" s="50"/>
      <c r="C128" s="51"/>
      <c r="D128" s="54"/>
    </row>
    <row r="129" spans="1:4" ht="13">
      <c r="A129" s="48"/>
      <c r="B129" s="50"/>
      <c r="C129" s="51"/>
      <c r="D129" s="54"/>
    </row>
    <row r="130" spans="1:4" ht="13">
      <c r="A130" s="48"/>
      <c r="B130" s="50"/>
      <c r="C130" s="51"/>
      <c r="D130" s="5"/>
    </row>
    <row r="131" spans="1:4" ht="13">
      <c r="A131" s="48"/>
      <c r="B131" s="50"/>
      <c r="C131" s="51"/>
      <c r="D131" s="5"/>
    </row>
    <row r="132" spans="1:4" ht="13">
      <c r="A132" s="48"/>
      <c r="B132" s="50"/>
      <c r="C132" s="51"/>
      <c r="D132" s="54"/>
    </row>
    <row r="133" spans="1:4" ht="13">
      <c r="A133" s="48"/>
      <c r="B133" s="53"/>
      <c r="C133" s="51"/>
      <c r="D133" s="54"/>
    </row>
    <row r="134" spans="1:4" ht="13">
      <c r="A134" s="48"/>
      <c r="B134" s="50"/>
      <c r="C134" s="51"/>
      <c r="D134" s="5"/>
    </row>
    <row r="135" spans="1:4" ht="13">
      <c r="A135" s="48"/>
      <c r="B135" s="50"/>
      <c r="C135" s="51"/>
      <c r="D135" s="5"/>
    </row>
    <row r="136" spans="1:4" ht="13">
      <c r="A136" s="48"/>
      <c r="B136" s="50"/>
      <c r="C136" s="51"/>
      <c r="D136" s="5"/>
    </row>
    <row r="137" spans="1:4" ht="13">
      <c r="A137" s="48"/>
      <c r="B137" s="50"/>
      <c r="C137" s="51"/>
      <c r="D137" s="5"/>
    </row>
    <row r="138" spans="1:4" ht="13">
      <c r="A138" s="48"/>
      <c r="B138" s="50"/>
      <c r="C138" s="51"/>
      <c r="D138" s="5"/>
    </row>
    <row r="139" spans="1:4" ht="13">
      <c r="A139" s="48"/>
      <c r="B139" s="50"/>
      <c r="C139" s="51"/>
      <c r="D139" s="5"/>
    </row>
    <row r="140" spans="1:4" ht="13">
      <c r="A140" s="48"/>
      <c r="B140" s="50"/>
      <c r="C140" s="51"/>
      <c r="D140" s="5"/>
    </row>
    <row r="141" spans="1:4" ht="13">
      <c r="A141" s="48"/>
      <c r="B141" s="50"/>
      <c r="C141" s="51"/>
      <c r="D141" s="5"/>
    </row>
    <row r="142" spans="1:4" ht="13">
      <c r="A142" s="48"/>
      <c r="B142" s="50"/>
      <c r="C142" s="51"/>
      <c r="D142" s="5"/>
    </row>
    <row r="143" spans="1:4" ht="13">
      <c r="A143" s="48"/>
      <c r="B143" s="53"/>
      <c r="C143" s="51"/>
      <c r="D143" s="5"/>
    </row>
    <row r="144" spans="1:4" ht="13">
      <c r="A144" s="48"/>
      <c r="B144" s="50"/>
      <c r="C144" s="51"/>
      <c r="D144" s="5"/>
    </row>
    <row r="145" spans="1:4" ht="13">
      <c r="A145" s="48"/>
      <c r="B145" s="50"/>
      <c r="C145" s="51"/>
      <c r="D145" s="5"/>
    </row>
    <row r="146" spans="1:4" ht="13">
      <c r="A146" s="48"/>
      <c r="B146" s="53"/>
      <c r="C146" s="51"/>
      <c r="D146" s="51"/>
    </row>
    <row r="147" spans="1:4" ht="13">
      <c r="A147" s="48"/>
      <c r="B147" s="53"/>
      <c r="C147" s="51"/>
      <c r="D147" s="5"/>
    </row>
    <row r="148" spans="1:4" ht="13">
      <c r="A148" s="48"/>
      <c r="B148" s="53"/>
      <c r="C148" s="48"/>
      <c r="D148" s="47"/>
    </row>
    <row r="149" spans="1:4" ht="13">
      <c r="A149" s="48"/>
      <c r="B149" s="53"/>
      <c r="C149" s="48"/>
      <c r="D149" s="47"/>
    </row>
    <row r="150" spans="1:4" ht="13">
      <c r="A150" s="48"/>
      <c r="B150" s="53"/>
      <c r="C150" s="48"/>
      <c r="D150" s="47"/>
    </row>
    <row r="151" spans="1:4" ht="13">
      <c r="A151" s="48"/>
      <c r="B151" s="53"/>
      <c r="C151" s="48"/>
      <c r="D151" s="47"/>
    </row>
    <row r="152" spans="1:4" ht="13">
      <c r="A152" s="64"/>
      <c r="B152" s="65"/>
      <c r="C152" s="64"/>
      <c r="D152" s="66"/>
    </row>
    <row r="153" spans="1:4" ht="13">
      <c r="A153" s="64"/>
      <c r="B153" s="65"/>
      <c r="C153" s="64"/>
      <c r="D153" s="66"/>
    </row>
    <row r="154" spans="1:4" ht="13">
      <c r="A154" s="64"/>
      <c r="B154" s="65"/>
      <c r="C154" s="64"/>
      <c r="D154" s="66"/>
    </row>
    <row r="155" spans="1:4" ht="13">
      <c r="A155" s="64"/>
      <c r="B155" s="65"/>
      <c r="C155" s="64"/>
      <c r="D155" s="66"/>
    </row>
    <row r="156" spans="1:4" ht="13">
      <c r="A156" s="64"/>
      <c r="B156" s="65"/>
      <c r="C156" s="64"/>
      <c r="D156" s="66"/>
    </row>
    <row r="157" spans="1:4" ht="13">
      <c r="A157" s="64"/>
      <c r="B157" s="65"/>
      <c r="C157" s="64"/>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3900-000000000000}"/>
    <hyperlink ref="B6" r:id="rId2" xr:uid="{00000000-0004-0000-3900-000001000000}"/>
    <hyperlink ref="B7" r:id="rId3" xr:uid="{00000000-0004-0000-3900-000002000000}"/>
    <hyperlink ref="B8" r:id="rId4" xr:uid="{00000000-0004-0000-3900-000003000000}"/>
    <hyperlink ref="B9" r:id="rId5" xr:uid="{00000000-0004-0000-3900-000004000000}"/>
    <hyperlink ref="B10" r:id="rId6" xr:uid="{00000000-0004-0000-3900-000005000000}"/>
    <hyperlink ref="B11" r:id="rId7" xr:uid="{00000000-0004-0000-3900-000006000000}"/>
    <hyperlink ref="B12" r:id="rId8" xr:uid="{00000000-0004-0000-3900-000007000000}"/>
    <hyperlink ref="B13" r:id="rId9" xr:uid="{00000000-0004-0000-3900-000008000000}"/>
    <hyperlink ref="B14" r:id="rId10" xr:uid="{00000000-0004-0000-3900-000009000000}"/>
    <hyperlink ref="B15" r:id="rId11" xr:uid="{00000000-0004-0000-3900-00000A000000}"/>
    <hyperlink ref="B16" r:id="rId12" xr:uid="{00000000-0004-0000-3900-00000B000000}"/>
    <hyperlink ref="B18" r:id="rId13" xr:uid="{00000000-0004-0000-3900-00000C000000}"/>
    <hyperlink ref="B19" r:id="rId14" xr:uid="{00000000-0004-0000-3900-00000D000000}"/>
    <hyperlink ref="B20" r:id="rId15" xr:uid="{00000000-0004-0000-3900-00000E000000}"/>
    <hyperlink ref="B21" r:id="rId16" xr:uid="{00000000-0004-0000-3900-00000F000000}"/>
    <hyperlink ref="B22" r:id="rId17" xr:uid="{00000000-0004-0000-3900-000010000000}"/>
    <hyperlink ref="B23" r:id="rId18" xr:uid="{00000000-0004-0000-3900-000011000000}"/>
    <hyperlink ref="B24" r:id="rId19" xr:uid="{00000000-0004-0000-3900-000012000000}"/>
    <hyperlink ref="B25" r:id="rId20" xr:uid="{00000000-0004-0000-3900-000013000000}"/>
    <hyperlink ref="B26" r:id="rId21" xr:uid="{00000000-0004-0000-3900-000014000000}"/>
    <hyperlink ref="B27" r:id="rId22" xr:uid="{00000000-0004-0000-3900-000015000000}"/>
    <hyperlink ref="B28" r:id="rId23" xr:uid="{00000000-0004-0000-3900-000016000000}"/>
    <hyperlink ref="B29" r:id="rId24" xr:uid="{00000000-0004-0000-3900-000017000000}"/>
    <hyperlink ref="B31" r:id="rId25" xr:uid="{00000000-0004-0000-3900-000018000000}"/>
    <hyperlink ref="B32" r:id="rId26" xr:uid="{00000000-0004-0000-3900-000019000000}"/>
    <hyperlink ref="B33" r:id="rId27" xr:uid="{00000000-0004-0000-3900-00001A000000}"/>
    <hyperlink ref="B34" r:id="rId28" xr:uid="{00000000-0004-0000-3900-00001B000000}"/>
    <hyperlink ref="B35" r:id="rId29" xr:uid="{00000000-0004-0000-3900-00001C000000}"/>
    <hyperlink ref="B36" r:id="rId30" xr:uid="{00000000-0004-0000-3900-00001D000000}"/>
    <hyperlink ref="B37" r:id="rId31" xr:uid="{00000000-0004-0000-3900-00001E000000}"/>
    <hyperlink ref="B38" r:id="rId32" xr:uid="{00000000-0004-0000-3900-00001F000000}"/>
    <hyperlink ref="B39" r:id="rId33" xr:uid="{00000000-0004-0000-3900-000020000000}"/>
    <hyperlink ref="B40" r:id="rId34" xr:uid="{00000000-0004-0000-3900-000021000000}"/>
    <hyperlink ref="B41" r:id="rId35" xr:uid="{00000000-0004-0000-3900-000022000000}"/>
    <hyperlink ref="B43" r:id="rId36" xr:uid="{00000000-0004-0000-3900-000023000000}"/>
    <hyperlink ref="B44" r:id="rId37" xr:uid="{00000000-0004-0000-3900-000024000000}"/>
    <hyperlink ref="B45" r:id="rId38" xr:uid="{00000000-0004-0000-3900-000025000000}"/>
    <hyperlink ref="B46" r:id="rId39" xr:uid="{00000000-0004-0000-3900-000026000000}"/>
    <hyperlink ref="B47" r:id="rId40" xr:uid="{00000000-0004-0000-3900-000027000000}"/>
    <hyperlink ref="B48" r:id="rId41" xr:uid="{00000000-0004-0000-3900-000028000000}"/>
    <hyperlink ref="B49" r:id="rId42" xr:uid="{00000000-0004-0000-3900-000029000000}"/>
    <hyperlink ref="B50" r:id="rId43" xr:uid="{00000000-0004-0000-3900-00002A000000}"/>
    <hyperlink ref="B51" r:id="rId44" xr:uid="{00000000-0004-0000-3900-00002B000000}"/>
    <hyperlink ref="B52" r:id="rId45" xr:uid="{00000000-0004-0000-3900-00002C000000}"/>
    <hyperlink ref="B53" r:id="rId46" xr:uid="{00000000-0004-0000-3900-00002D000000}"/>
    <hyperlink ref="B54" r:id="rId47" xr:uid="{00000000-0004-0000-3900-00002E000000}"/>
    <hyperlink ref="B55" r:id="rId48" xr:uid="{00000000-0004-0000-3900-00002F000000}"/>
    <hyperlink ref="B56" r:id="rId49" xr:uid="{00000000-0004-0000-3900-000030000000}"/>
    <hyperlink ref="B57" r:id="rId50" xr:uid="{00000000-0004-0000-3900-000031000000}"/>
    <hyperlink ref="B59" r:id="rId51" xr:uid="{00000000-0004-0000-3900-000032000000}"/>
    <hyperlink ref="B60" r:id="rId52" xr:uid="{00000000-0004-0000-3900-000033000000}"/>
    <hyperlink ref="B61" r:id="rId53" xr:uid="{00000000-0004-0000-3900-000034000000}"/>
    <hyperlink ref="B62" r:id="rId54" xr:uid="{00000000-0004-0000-3900-000035000000}"/>
    <hyperlink ref="B63" r:id="rId55" xr:uid="{00000000-0004-0000-3900-000036000000}"/>
    <hyperlink ref="B64" r:id="rId56" xr:uid="{00000000-0004-0000-3900-000037000000}"/>
    <hyperlink ref="B65" r:id="rId57" xr:uid="{00000000-0004-0000-3900-000038000000}"/>
    <hyperlink ref="B66" r:id="rId58" xr:uid="{00000000-0004-0000-3900-000039000000}"/>
    <hyperlink ref="B68" r:id="rId59" xr:uid="{00000000-0004-0000-3900-00003A000000}"/>
    <hyperlink ref="B69" r:id="rId60" xr:uid="{00000000-0004-0000-3900-00003B000000}"/>
    <hyperlink ref="B70" r:id="rId61" xr:uid="{00000000-0004-0000-3900-00003C000000}"/>
    <hyperlink ref="B71" r:id="rId62" xr:uid="{00000000-0004-0000-3900-00003D000000}"/>
    <hyperlink ref="B72" r:id="rId63" xr:uid="{00000000-0004-0000-3900-00003E000000}"/>
    <hyperlink ref="B73" r:id="rId64" xr:uid="{00000000-0004-0000-3900-00003F000000}"/>
    <hyperlink ref="B74" r:id="rId65" xr:uid="{00000000-0004-0000-3900-000040000000}"/>
    <hyperlink ref="B75" r:id="rId66" xr:uid="{00000000-0004-0000-3900-000041000000}"/>
    <hyperlink ref="B76" r:id="rId67" xr:uid="{00000000-0004-0000-3900-000042000000}"/>
    <hyperlink ref="B77" r:id="rId68" xr:uid="{00000000-0004-0000-3900-000043000000}"/>
    <hyperlink ref="B78" r:id="rId69" xr:uid="{00000000-0004-0000-3900-000044000000}"/>
    <hyperlink ref="B79" r:id="rId70" xr:uid="{00000000-0004-0000-3900-000045000000}"/>
    <hyperlink ref="B80" r:id="rId71" xr:uid="{00000000-0004-0000-3900-000046000000}"/>
    <hyperlink ref="B81" r:id="rId72" xr:uid="{00000000-0004-0000-3900-000047000000}"/>
    <hyperlink ref="B82" r:id="rId73" xr:uid="{00000000-0004-0000-3900-000048000000}"/>
    <hyperlink ref="B83" r:id="rId74" xr:uid="{00000000-0004-0000-3900-000049000000}"/>
    <hyperlink ref="B84" r:id="rId75" xr:uid="{00000000-0004-0000-3900-00004A000000}"/>
    <hyperlink ref="B85" r:id="rId76" xr:uid="{00000000-0004-0000-3900-00004B000000}"/>
    <hyperlink ref="B86" r:id="rId77" xr:uid="{00000000-0004-0000-3900-00004C000000}"/>
    <hyperlink ref="B87" r:id="rId78" xr:uid="{00000000-0004-0000-3900-00004D000000}"/>
    <hyperlink ref="B88" r:id="rId79" xr:uid="{00000000-0004-0000-3900-00004E000000}"/>
    <hyperlink ref="B89" r:id="rId80" xr:uid="{00000000-0004-0000-3900-00004F000000}"/>
    <hyperlink ref="B90" r:id="rId81" xr:uid="{00000000-0004-0000-3900-000050000000}"/>
    <hyperlink ref="B91" r:id="rId82" xr:uid="{00000000-0004-0000-3900-000051000000}"/>
    <hyperlink ref="B92" r:id="rId83" xr:uid="{00000000-0004-0000-3900-000052000000}"/>
    <hyperlink ref="B93" r:id="rId84" xr:uid="{00000000-0004-0000-3900-000053000000}"/>
    <hyperlink ref="B95" r:id="rId85" xr:uid="{00000000-0004-0000-3900-000054000000}"/>
    <hyperlink ref="B96" r:id="rId86" xr:uid="{00000000-0004-0000-3900-000055000000}"/>
    <hyperlink ref="B97" r:id="rId87" xr:uid="{00000000-0004-0000-3900-000056000000}"/>
    <hyperlink ref="B98" r:id="rId88" xr:uid="{00000000-0004-0000-3900-000057000000}"/>
    <hyperlink ref="B99" r:id="rId89" xr:uid="{00000000-0004-0000-3900-000058000000}"/>
    <hyperlink ref="B100" r:id="rId90" xr:uid="{00000000-0004-0000-3900-000059000000}"/>
    <hyperlink ref="B101" r:id="rId91" xr:uid="{00000000-0004-0000-3900-00005A000000}"/>
    <hyperlink ref="B102" r:id="rId92" xr:uid="{00000000-0004-0000-3900-00005B000000}"/>
    <hyperlink ref="B103" r:id="rId93" xr:uid="{00000000-0004-0000-3900-00005C000000}"/>
    <hyperlink ref="B104" r:id="rId94" xr:uid="{00000000-0004-0000-3900-00005D000000}"/>
    <hyperlink ref="B105" r:id="rId95" xr:uid="{00000000-0004-0000-3900-00005E000000}"/>
    <hyperlink ref="B106" r:id="rId96" xr:uid="{00000000-0004-0000-3900-00005F000000}"/>
    <hyperlink ref="B113" r:id="rId97" xr:uid="{00000000-0004-0000-3900-000060000000}"/>
    <hyperlink ref="B114" r:id="rId98" xr:uid="{00000000-0004-0000-3900-000061000000}"/>
    <hyperlink ref="B115" r:id="rId99" xr:uid="{00000000-0004-0000-3900-000062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4.1640625" customWidth="1"/>
    <col min="2" max="2" width="17.6640625" customWidth="1"/>
    <col min="3" max="3" width="13.5" customWidth="1"/>
    <col min="4" max="4" width="14.83203125" customWidth="1"/>
    <col min="5" max="5" width="14.33203125" customWidth="1"/>
    <col min="7" max="7" width="14.1640625" customWidth="1"/>
  </cols>
  <sheetData>
    <row r="1" spans="1:12" ht="15.75" customHeight="1">
      <c r="A1" s="1" t="s">
        <v>4184</v>
      </c>
      <c r="B1" s="36"/>
      <c r="C1" s="37"/>
      <c r="D1" s="7" t="s">
        <v>181</v>
      </c>
    </row>
    <row r="2" spans="1:12" ht="15.75" customHeight="1">
      <c r="A2" s="7" t="s">
        <v>182</v>
      </c>
      <c r="B2" s="38">
        <v>41075</v>
      </c>
      <c r="C2" s="37"/>
      <c r="D2" s="39">
        <f>SUM(D5:G115)</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52">
        <v>43477</v>
      </c>
      <c r="B5" s="49" t="s">
        <v>4185</v>
      </c>
      <c r="C5" s="51" t="s">
        <v>205</v>
      </c>
      <c r="D5" s="51"/>
      <c r="E5" s="5"/>
      <c r="F5" s="5"/>
      <c r="L5" s="43"/>
    </row>
    <row r="6" spans="1:12" ht="15.75" customHeight="1">
      <c r="A6" s="52">
        <v>43508</v>
      </c>
      <c r="B6" s="49" t="s">
        <v>4120</v>
      </c>
      <c r="C6" s="51" t="s">
        <v>205</v>
      </c>
      <c r="D6" s="51"/>
      <c r="E6" s="5"/>
      <c r="F6" s="5"/>
    </row>
    <row r="7" spans="1:12" ht="15.75" customHeight="1">
      <c r="A7" s="52">
        <v>43536</v>
      </c>
      <c r="B7" s="49" t="s">
        <v>4045</v>
      </c>
      <c r="C7" s="51" t="s">
        <v>205</v>
      </c>
      <c r="D7" s="51"/>
      <c r="E7" s="5"/>
      <c r="F7" s="5"/>
    </row>
    <row r="8" spans="1:12" ht="15.75" customHeight="1">
      <c r="A8" s="52">
        <v>43567</v>
      </c>
      <c r="B8" s="49" t="s">
        <v>4186</v>
      </c>
      <c r="C8" s="51" t="s">
        <v>199</v>
      </c>
      <c r="D8" s="51"/>
      <c r="E8" s="5"/>
      <c r="F8" s="5"/>
    </row>
    <row r="9" spans="1:12" ht="15.75" customHeight="1">
      <c r="A9" s="52">
        <v>43597</v>
      </c>
      <c r="B9" s="49" t="s">
        <v>4187</v>
      </c>
      <c r="C9" s="51" t="s">
        <v>208</v>
      </c>
      <c r="D9" s="51"/>
      <c r="E9" s="5"/>
      <c r="F9" s="51"/>
    </row>
    <row r="10" spans="1:12" ht="15.75" customHeight="1">
      <c r="A10" s="52">
        <v>43628</v>
      </c>
      <c r="B10" s="49" t="s">
        <v>4072</v>
      </c>
      <c r="C10" s="51" t="s">
        <v>192</v>
      </c>
      <c r="D10" s="51"/>
      <c r="E10" s="5"/>
      <c r="F10" s="51"/>
    </row>
    <row r="11" spans="1:12" ht="15.75" customHeight="1">
      <c r="A11" s="52">
        <v>43658</v>
      </c>
      <c r="B11" s="49" t="s">
        <v>4153</v>
      </c>
      <c r="C11" s="51" t="s">
        <v>195</v>
      </c>
      <c r="D11" s="51"/>
      <c r="E11" s="5"/>
      <c r="F11" s="5"/>
    </row>
    <row r="12" spans="1:12" ht="15.75" customHeight="1">
      <c r="A12" s="52">
        <v>43689</v>
      </c>
      <c r="B12" s="49" t="s">
        <v>4154</v>
      </c>
      <c r="C12" s="51" t="s">
        <v>225</v>
      </c>
      <c r="D12" s="51"/>
      <c r="E12" s="5"/>
      <c r="F12" s="51"/>
    </row>
    <row r="13" spans="1:12" ht="15.75" customHeight="1">
      <c r="A13" s="52">
        <v>43720</v>
      </c>
      <c r="B13" s="49" t="s">
        <v>4188</v>
      </c>
      <c r="C13" s="51" t="s">
        <v>808</v>
      </c>
      <c r="D13" s="51"/>
      <c r="E13" s="5"/>
      <c r="F13" s="51"/>
    </row>
    <row r="14" spans="1:12" ht="15.75" customHeight="1">
      <c r="A14" s="52">
        <v>43750</v>
      </c>
      <c r="B14" s="49" t="s">
        <v>4132</v>
      </c>
      <c r="C14" s="51" t="s">
        <v>808</v>
      </c>
      <c r="D14" s="51"/>
      <c r="E14" s="5"/>
      <c r="F14" s="5"/>
    </row>
    <row r="15" spans="1:12" ht="15.75" customHeight="1">
      <c r="A15" s="52">
        <v>43781</v>
      </c>
      <c r="B15" s="49" t="s">
        <v>4159</v>
      </c>
      <c r="C15" s="51" t="s">
        <v>220</v>
      </c>
      <c r="D15" s="51"/>
      <c r="E15" s="5"/>
      <c r="F15" s="5"/>
    </row>
    <row r="16" spans="1:12" ht="15.75" customHeight="1">
      <c r="A16" s="52">
        <v>43811</v>
      </c>
      <c r="B16" s="49" t="s">
        <v>4109</v>
      </c>
      <c r="C16" s="51" t="s">
        <v>197</v>
      </c>
      <c r="D16" s="51"/>
      <c r="E16" s="5"/>
      <c r="F16" s="51"/>
    </row>
    <row r="17" spans="1:4" ht="15.75" customHeight="1">
      <c r="A17" s="48"/>
      <c r="B17" s="53"/>
      <c r="C17" s="51"/>
      <c r="D17" s="54"/>
    </row>
    <row r="18" spans="1:4" ht="15.75" customHeight="1">
      <c r="A18" s="48"/>
      <c r="B18" s="50"/>
      <c r="C18" s="51"/>
      <c r="D18" s="54"/>
    </row>
    <row r="19" spans="1:4" ht="15.75" customHeight="1">
      <c r="A19" s="48"/>
      <c r="B19" s="50"/>
      <c r="C19" s="51"/>
      <c r="D19" s="54"/>
    </row>
    <row r="20" spans="1:4" ht="15.75" customHeight="1">
      <c r="A20" s="48"/>
      <c r="B20" s="50"/>
      <c r="C20" s="51"/>
      <c r="D20" s="54"/>
    </row>
    <row r="21" spans="1:4" ht="15.75" customHeight="1">
      <c r="A21" s="48"/>
      <c r="B21" s="50"/>
      <c r="C21" s="51"/>
      <c r="D21" s="54"/>
    </row>
    <row r="22" spans="1:4" ht="15.75" customHeight="1">
      <c r="A22" s="48"/>
      <c r="B22" s="50"/>
      <c r="C22" s="51"/>
      <c r="D22" s="54"/>
    </row>
    <row r="23" spans="1:4" ht="15.75" customHeight="1">
      <c r="A23" s="48"/>
      <c r="B23" s="50"/>
      <c r="C23" s="51"/>
      <c r="D23" s="54"/>
    </row>
    <row r="24" spans="1:4" ht="15.75" customHeight="1">
      <c r="A24" s="48"/>
      <c r="B24" s="50"/>
      <c r="C24" s="51"/>
      <c r="D24" s="54"/>
    </row>
    <row r="25" spans="1:4" ht="15.75" customHeight="1">
      <c r="A25" s="48"/>
      <c r="B25" s="50"/>
      <c r="C25" s="51"/>
      <c r="D25" s="54"/>
    </row>
    <row r="26" spans="1:4" ht="15.75" customHeight="1">
      <c r="A26" s="48"/>
      <c r="B26" s="50"/>
      <c r="C26" s="51"/>
      <c r="D26" s="54"/>
    </row>
    <row r="27" spans="1:4" ht="15.75" customHeight="1">
      <c r="A27" s="48"/>
      <c r="B27" s="50"/>
      <c r="C27" s="51"/>
      <c r="D27" s="54"/>
    </row>
    <row r="28" spans="1:4" ht="15.75" customHeight="1">
      <c r="A28" s="48"/>
      <c r="B28" s="50"/>
      <c r="C28" s="51"/>
      <c r="D28" s="54"/>
    </row>
    <row r="29" spans="1:4" ht="15.75" customHeight="1">
      <c r="A29" s="48"/>
      <c r="B29" s="50"/>
      <c r="C29" s="51"/>
      <c r="D29" s="54"/>
    </row>
    <row r="30" spans="1:4" ht="15.75" customHeight="1">
      <c r="A30" s="48"/>
      <c r="B30" s="53"/>
      <c r="C30" s="51"/>
      <c r="D30" s="54"/>
    </row>
    <row r="31" spans="1:4" ht="15.75" customHeight="1">
      <c r="A31" s="48"/>
      <c r="B31" s="50"/>
      <c r="C31" s="51"/>
      <c r="D31" s="54"/>
    </row>
    <row r="32" spans="1:4" ht="15.75" customHeight="1">
      <c r="A32" s="48"/>
      <c r="B32" s="50"/>
      <c r="C32" s="51"/>
      <c r="D32" s="54"/>
    </row>
    <row r="33" spans="1:4" ht="15.75" customHeight="1">
      <c r="A33" s="48"/>
      <c r="B33" s="50"/>
      <c r="C33" s="51"/>
      <c r="D33" s="54"/>
    </row>
    <row r="34" spans="1:4" ht="15.75" customHeight="1">
      <c r="A34" s="48"/>
      <c r="B34" s="50"/>
      <c r="C34" s="51"/>
      <c r="D34" s="54"/>
    </row>
    <row r="35" spans="1:4" ht="15.75" customHeight="1">
      <c r="A35" s="48"/>
      <c r="B35" s="50"/>
      <c r="C35" s="51"/>
      <c r="D35" s="54"/>
    </row>
    <row r="36" spans="1:4" ht="15.75" customHeight="1">
      <c r="A36" s="48"/>
      <c r="B36" s="50"/>
      <c r="C36" s="51"/>
      <c r="D36" s="54"/>
    </row>
    <row r="37" spans="1:4" ht="15.75" customHeight="1">
      <c r="A37" s="48"/>
      <c r="B37" s="50"/>
      <c r="C37" s="51"/>
      <c r="D37" s="54"/>
    </row>
    <row r="38" spans="1:4" ht="15.75" customHeight="1">
      <c r="A38" s="48"/>
      <c r="B38" s="50"/>
      <c r="C38" s="51"/>
      <c r="D38" s="54"/>
    </row>
    <row r="39" spans="1:4" ht="15.75" customHeight="1">
      <c r="A39" s="48"/>
      <c r="B39" s="50"/>
      <c r="C39" s="51"/>
      <c r="D39" s="54"/>
    </row>
    <row r="40" spans="1:4" ht="15.75" customHeight="1">
      <c r="A40" s="48"/>
      <c r="B40" s="50"/>
      <c r="C40" s="51"/>
      <c r="D40" s="54"/>
    </row>
    <row r="41" spans="1:4" ht="15.75" customHeight="1">
      <c r="A41" s="48"/>
      <c r="B41" s="50"/>
      <c r="C41" s="51"/>
      <c r="D41" s="54"/>
    </row>
    <row r="42" spans="1:4" ht="15.75" customHeight="1">
      <c r="A42" s="48"/>
      <c r="B42" s="53"/>
      <c r="C42" s="51"/>
      <c r="D42" s="54"/>
    </row>
    <row r="43" spans="1:4" ht="15.75" customHeight="1">
      <c r="A43" s="48"/>
      <c r="B43" s="50"/>
      <c r="C43" s="51"/>
      <c r="D43" s="54"/>
    </row>
    <row r="44" spans="1:4" ht="15.75" customHeight="1">
      <c r="A44" s="48"/>
      <c r="B44" s="50"/>
      <c r="C44" s="51"/>
      <c r="D44" s="54"/>
    </row>
    <row r="45" spans="1:4" ht="15.75" customHeight="1">
      <c r="A45" s="48"/>
      <c r="B45" s="50"/>
      <c r="C45" s="51"/>
      <c r="D45" s="54"/>
    </row>
    <row r="46" spans="1:4" ht="15.75" customHeight="1">
      <c r="A46" s="48"/>
      <c r="B46" s="50"/>
      <c r="C46" s="51"/>
      <c r="D46" s="54"/>
    </row>
    <row r="47" spans="1:4" ht="15.75" customHeight="1">
      <c r="A47" s="48"/>
      <c r="B47" s="50"/>
      <c r="C47" s="51"/>
      <c r="D47" s="54"/>
    </row>
    <row r="48" spans="1:4" ht="15.75" customHeight="1">
      <c r="A48" s="48"/>
      <c r="B48" s="50"/>
      <c r="C48" s="51"/>
      <c r="D48" s="54"/>
    </row>
    <row r="49" spans="1:4" ht="15.75" customHeight="1">
      <c r="A49" s="48"/>
      <c r="B49" s="50"/>
      <c r="C49" s="51"/>
      <c r="D49" s="54"/>
    </row>
    <row r="50" spans="1:4" ht="15.75" customHeight="1">
      <c r="A50" s="48"/>
      <c r="B50" s="50"/>
      <c r="C50" s="51"/>
      <c r="D50" s="54"/>
    </row>
    <row r="51" spans="1:4" ht="15.75" customHeight="1">
      <c r="A51" s="48"/>
      <c r="B51" s="50"/>
      <c r="C51" s="51"/>
      <c r="D51" s="54"/>
    </row>
    <row r="52" spans="1:4" ht="15.75" customHeight="1">
      <c r="A52" s="48"/>
      <c r="B52" s="50"/>
      <c r="C52" s="51"/>
      <c r="D52" s="54"/>
    </row>
    <row r="53" spans="1:4" ht="13">
      <c r="A53" s="48"/>
      <c r="B53" s="50"/>
      <c r="C53" s="51"/>
      <c r="D53" s="54"/>
    </row>
    <row r="54" spans="1:4" ht="13">
      <c r="A54" s="48"/>
      <c r="B54" s="50"/>
      <c r="C54" s="51"/>
      <c r="D54" s="54"/>
    </row>
    <row r="55" spans="1:4" ht="13">
      <c r="A55" s="48"/>
      <c r="B55" s="50"/>
      <c r="C55" s="51"/>
      <c r="D55" s="54"/>
    </row>
    <row r="56" spans="1:4" ht="13">
      <c r="A56" s="48"/>
      <c r="B56" s="50"/>
      <c r="C56" s="51"/>
      <c r="D56" s="54"/>
    </row>
    <row r="57" spans="1:4" ht="13">
      <c r="A57" s="48"/>
      <c r="B57" s="50"/>
      <c r="C57" s="51"/>
      <c r="D57" s="54"/>
    </row>
    <row r="58" spans="1:4" ht="13">
      <c r="A58" s="48"/>
      <c r="B58" s="53"/>
      <c r="C58" s="51"/>
      <c r="D58" s="54"/>
    </row>
    <row r="59" spans="1:4" ht="13">
      <c r="A59" s="48"/>
      <c r="B59" s="50"/>
      <c r="C59" s="51"/>
      <c r="D59" s="54"/>
    </row>
    <row r="60" spans="1:4" ht="13">
      <c r="A60" s="48"/>
      <c r="B60" s="50"/>
      <c r="C60" s="51"/>
      <c r="D60" s="54"/>
    </row>
    <row r="61" spans="1:4" ht="13">
      <c r="A61" s="48"/>
      <c r="B61" s="50"/>
      <c r="C61" s="51"/>
      <c r="D61" s="54"/>
    </row>
    <row r="62" spans="1:4" ht="13">
      <c r="A62" s="48"/>
      <c r="B62" s="50"/>
      <c r="C62" s="51"/>
      <c r="D62" s="54"/>
    </row>
    <row r="63" spans="1:4" ht="13">
      <c r="A63" s="48"/>
      <c r="B63" s="50"/>
      <c r="C63" s="51"/>
      <c r="D63" s="54"/>
    </row>
    <row r="64" spans="1:4" ht="13">
      <c r="A64" s="48"/>
      <c r="B64" s="50"/>
      <c r="C64" s="51"/>
      <c r="D64" s="54"/>
    </row>
    <row r="65" spans="1:4" ht="13">
      <c r="A65" s="48"/>
      <c r="B65" s="50"/>
      <c r="C65" s="51"/>
      <c r="D65" s="5"/>
    </row>
    <row r="66" spans="1:4" ht="13">
      <c r="A66" s="48"/>
      <c r="B66" s="50"/>
      <c r="C66" s="51"/>
      <c r="D66" s="54"/>
    </row>
    <row r="67" spans="1:4" ht="13">
      <c r="A67" s="48"/>
      <c r="B67" s="53"/>
      <c r="C67" s="51"/>
      <c r="D67" s="54"/>
    </row>
    <row r="68" spans="1:4" ht="13">
      <c r="A68" s="48"/>
      <c r="B68" s="50"/>
      <c r="C68" s="51"/>
      <c r="D68" s="54"/>
    </row>
    <row r="69" spans="1:4" ht="13">
      <c r="A69" s="48"/>
      <c r="B69" s="50"/>
      <c r="C69" s="51"/>
      <c r="D69" s="54"/>
    </row>
    <row r="70" spans="1:4" ht="13">
      <c r="A70" s="48"/>
      <c r="B70" s="50"/>
      <c r="C70" s="51"/>
      <c r="D70" s="54"/>
    </row>
    <row r="71" spans="1:4" ht="13">
      <c r="A71" s="48"/>
      <c r="B71" s="50"/>
      <c r="C71" s="51"/>
      <c r="D71" s="54"/>
    </row>
    <row r="72" spans="1:4" ht="13">
      <c r="A72" s="48"/>
      <c r="B72" s="50"/>
      <c r="C72" s="51"/>
      <c r="D72" s="54"/>
    </row>
    <row r="73" spans="1:4" ht="13">
      <c r="A73" s="48"/>
      <c r="B73" s="50"/>
      <c r="C73" s="51"/>
      <c r="D73" s="54"/>
    </row>
    <row r="74" spans="1:4" ht="13">
      <c r="A74" s="48"/>
      <c r="B74" s="50"/>
      <c r="C74" s="51"/>
      <c r="D74" s="54"/>
    </row>
    <row r="75" spans="1:4" ht="13">
      <c r="A75" s="48"/>
      <c r="B75" s="50"/>
      <c r="C75" s="51"/>
      <c r="D75" s="54"/>
    </row>
    <row r="76" spans="1:4" ht="13">
      <c r="A76" s="48"/>
      <c r="B76" s="50"/>
      <c r="C76" s="51"/>
      <c r="D76" s="54"/>
    </row>
    <row r="77" spans="1:4" ht="13">
      <c r="A77" s="48"/>
      <c r="B77" s="50"/>
      <c r="C77" s="51"/>
      <c r="D77" s="54"/>
    </row>
    <row r="78" spans="1:4" ht="13">
      <c r="A78" s="48"/>
      <c r="B78" s="50"/>
      <c r="C78" s="51"/>
      <c r="D78" s="54"/>
    </row>
    <row r="79" spans="1:4" ht="13">
      <c r="A79" s="48"/>
      <c r="B79" s="50"/>
      <c r="C79" s="51"/>
      <c r="D79" s="54"/>
    </row>
    <row r="80" spans="1:4" ht="13">
      <c r="A80" s="48"/>
      <c r="B80" s="50"/>
      <c r="C80" s="51"/>
      <c r="D80" s="54"/>
    </row>
    <row r="81" spans="1:4" ht="13">
      <c r="A81" s="48"/>
      <c r="B81" s="50"/>
      <c r="C81" s="51"/>
      <c r="D81" s="54"/>
    </row>
    <row r="82" spans="1:4" ht="13">
      <c r="A82" s="48"/>
      <c r="B82" s="50"/>
      <c r="C82" s="51"/>
      <c r="D82" s="54"/>
    </row>
    <row r="83" spans="1:4" ht="13">
      <c r="A83" s="48"/>
      <c r="B83" s="50"/>
      <c r="C83" s="51"/>
      <c r="D83" s="54"/>
    </row>
    <row r="84" spans="1:4" ht="13">
      <c r="A84" s="48"/>
      <c r="B84" s="50"/>
      <c r="C84" s="51"/>
      <c r="D84" s="54"/>
    </row>
    <row r="85" spans="1:4" ht="13">
      <c r="A85" s="48"/>
      <c r="B85" s="50"/>
      <c r="C85" s="51"/>
      <c r="D85" s="54"/>
    </row>
    <row r="86" spans="1:4" ht="13">
      <c r="A86" s="48"/>
      <c r="B86" s="50"/>
      <c r="C86" s="51"/>
      <c r="D86" s="54"/>
    </row>
    <row r="87" spans="1:4" ht="13">
      <c r="A87" s="48"/>
      <c r="B87" s="50"/>
      <c r="C87" s="51"/>
      <c r="D87" s="54"/>
    </row>
    <row r="88" spans="1:4" ht="13">
      <c r="A88" s="48"/>
      <c r="B88" s="50"/>
      <c r="C88" s="51"/>
      <c r="D88" s="54"/>
    </row>
    <row r="89" spans="1:4" ht="13">
      <c r="A89" s="48"/>
      <c r="B89" s="50"/>
      <c r="C89" s="51"/>
      <c r="D89" s="54"/>
    </row>
    <row r="90" spans="1:4" ht="13">
      <c r="A90" s="48"/>
      <c r="B90" s="50"/>
      <c r="C90" s="51"/>
      <c r="D90" s="54"/>
    </row>
    <row r="91" spans="1:4" ht="13">
      <c r="A91" s="48"/>
      <c r="B91" s="50"/>
      <c r="C91" s="51"/>
      <c r="D91" s="54"/>
    </row>
    <row r="92" spans="1:4" ht="13">
      <c r="A92" s="48"/>
      <c r="B92" s="50"/>
      <c r="C92" s="51"/>
      <c r="D92" s="54"/>
    </row>
    <row r="93" spans="1:4" ht="13">
      <c r="A93" s="48"/>
      <c r="B93" s="50"/>
      <c r="C93" s="51"/>
      <c r="D93" s="54"/>
    </row>
    <row r="94" spans="1:4" ht="13">
      <c r="A94" s="48"/>
      <c r="B94" s="53"/>
      <c r="C94" s="51"/>
      <c r="D94" s="54"/>
    </row>
    <row r="95" spans="1:4" ht="13">
      <c r="A95" s="48"/>
      <c r="B95" s="50"/>
      <c r="C95" s="51"/>
      <c r="D95" s="54"/>
    </row>
    <row r="96" spans="1:4" ht="13">
      <c r="A96" s="48"/>
      <c r="B96" s="50"/>
      <c r="C96" s="51"/>
      <c r="D96" s="5"/>
    </row>
    <row r="97" spans="1:4" ht="13">
      <c r="A97" s="48"/>
      <c r="B97" s="50"/>
      <c r="C97" s="51"/>
      <c r="D97" s="54"/>
    </row>
    <row r="98" spans="1:4" ht="13">
      <c r="A98" s="48"/>
      <c r="B98" s="50"/>
      <c r="C98" s="51"/>
      <c r="D98" s="54"/>
    </row>
    <row r="99" spans="1:4" ht="13">
      <c r="A99" s="48"/>
      <c r="B99" s="50"/>
      <c r="C99" s="51"/>
      <c r="D99" s="54"/>
    </row>
    <row r="100" spans="1:4" ht="13">
      <c r="A100" s="48"/>
      <c r="B100" s="50"/>
      <c r="C100" s="51"/>
      <c r="D100" s="51"/>
    </row>
    <row r="101" spans="1:4" ht="13">
      <c r="A101" s="48"/>
      <c r="B101" s="50"/>
      <c r="C101" s="51"/>
      <c r="D101" s="54"/>
    </row>
    <row r="102" spans="1:4" ht="13">
      <c r="A102" s="48"/>
      <c r="B102" s="50"/>
      <c r="C102" s="51"/>
      <c r="D102" s="54"/>
    </row>
    <row r="103" spans="1:4" ht="13">
      <c r="A103" s="48"/>
      <c r="B103" s="50"/>
      <c r="C103" s="51"/>
      <c r="D103" s="54"/>
    </row>
    <row r="104" spans="1:4" ht="13">
      <c r="A104" s="48"/>
      <c r="B104" s="50"/>
      <c r="C104" s="51"/>
      <c r="D104" s="54"/>
    </row>
    <row r="105" spans="1:4" ht="13">
      <c r="A105" s="48"/>
      <c r="B105" s="50"/>
      <c r="C105" s="51"/>
      <c r="D105" s="54"/>
    </row>
    <row r="106" spans="1:4" ht="13">
      <c r="A106" s="48"/>
      <c r="B106" s="50"/>
      <c r="C106" s="51"/>
      <c r="D106" s="51"/>
    </row>
    <row r="107" spans="1:4" ht="13">
      <c r="A107" s="48"/>
      <c r="B107" s="53"/>
      <c r="C107" s="51"/>
      <c r="D107" s="5"/>
    </row>
    <row r="108" spans="1:4" ht="13">
      <c r="A108" s="48"/>
      <c r="B108" s="53"/>
      <c r="C108" s="51"/>
      <c r="D108" s="5"/>
    </row>
    <row r="109" spans="1:4" ht="13">
      <c r="A109" s="48"/>
      <c r="B109" s="53"/>
      <c r="C109" s="51"/>
      <c r="D109" s="54"/>
    </row>
    <row r="110" spans="1:4" ht="13">
      <c r="A110" s="48"/>
      <c r="B110" s="53"/>
      <c r="C110" s="51"/>
      <c r="D110" s="54"/>
    </row>
    <row r="111" spans="1:4" ht="13">
      <c r="A111" s="48"/>
      <c r="B111" s="53"/>
      <c r="C111" s="51"/>
      <c r="D111" s="54"/>
    </row>
    <row r="112" spans="1:4" ht="13">
      <c r="A112" s="48"/>
      <c r="B112" s="53"/>
      <c r="C112" s="51"/>
      <c r="D112" s="54"/>
    </row>
    <row r="113" spans="1:4" ht="13">
      <c r="A113" s="48"/>
      <c r="B113" s="50"/>
      <c r="C113" s="51"/>
      <c r="D113" s="54"/>
    </row>
    <row r="114" spans="1:4" ht="13">
      <c r="A114" s="48"/>
      <c r="B114" s="50"/>
      <c r="C114" s="51"/>
      <c r="D114" s="54"/>
    </row>
    <row r="115" spans="1:4" ht="13">
      <c r="A115" s="48"/>
      <c r="B115" s="50"/>
      <c r="C115" s="51"/>
      <c r="D115" s="54"/>
    </row>
    <row r="117" spans="1:4" ht="13">
      <c r="A117" s="48"/>
      <c r="B117" s="50"/>
      <c r="C117" s="51"/>
      <c r="D117" s="54"/>
    </row>
    <row r="118" spans="1:4" ht="13">
      <c r="A118" s="48"/>
      <c r="B118" s="50"/>
      <c r="C118" s="51"/>
      <c r="D118" s="54"/>
    </row>
    <row r="119" spans="1:4" ht="13">
      <c r="A119" s="48"/>
      <c r="B119" s="50"/>
      <c r="C119" s="51"/>
      <c r="D119" s="54"/>
    </row>
    <row r="120" spans="1:4" ht="13">
      <c r="A120" s="48"/>
      <c r="B120" s="50"/>
      <c r="C120" s="51"/>
      <c r="D120" s="54"/>
    </row>
    <row r="121" spans="1:4" ht="13">
      <c r="A121" s="48"/>
      <c r="B121" s="50"/>
      <c r="C121" s="51"/>
      <c r="D121" s="51"/>
    </row>
    <row r="122" spans="1:4" ht="13">
      <c r="A122" s="42"/>
      <c r="B122" s="50"/>
      <c r="C122" s="51"/>
      <c r="D122" s="54"/>
    </row>
    <row r="123" spans="1:4" ht="13">
      <c r="A123" s="48"/>
      <c r="B123" s="50"/>
      <c r="C123" s="51"/>
      <c r="D123" s="54"/>
    </row>
    <row r="124" spans="1:4" ht="13">
      <c r="A124" s="48"/>
      <c r="B124" s="50"/>
      <c r="C124" s="51"/>
      <c r="D124" s="54"/>
    </row>
    <row r="125" spans="1:4" ht="13">
      <c r="A125" s="48"/>
      <c r="B125" s="50"/>
      <c r="C125" s="51"/>
      <c r="D125" s="54"/>
    </row>
    <row r="126" spans="1:4" ht="13">
      <c r="A126" s="48"/>
      <c r="B126" s="50"/>
      <c r="C126" s="51"/>
      <c r="D126" s="54"/>
    </row>
    <row r="127" spans="1:4" ht="13">
      <c r="A127" s="48"/>
      <c r="B127" s="50"/>
      <c r="C127" s="51"/>
      <c r="D127" s="54"/>
    </row>
    <row r="128" spans="1:4" ht="13">
      <c r="A128" s="48"/>
      <c r="B128" s="50"/>
      <c r="C128" s="51"/>
      <c r="D128" s="54"/>
    </row>
    <row r="129" spans="1:4" ht="13">
      <c r="A129" s="48"/>
      <c r="B129" s="50"/>
      <c r="C129" s="51"/>
      <c r="D129" s="54"/>
    </row>
    <row r="130" spans="1:4" ht="13">
      <c r="A130" s="48"/>
      <c r="B130" s="50"/>
      <c r="C130" s="51"/>
      <c r="D130" s="5"/>
    </row>
    <row r="131" spans="1:4" ht="13">
      <c r="A131" s="48"/>
      <c r="B131" s="50"/>
      <c r="C131" s="51"/>
      <c r="D131" s="5"/>
    </row>
    <row r="132" spans="1:4" ht="13">
      <c r="A132" s="48"/>
      <c r="B132" s="50"/>
      <c r="C132" s="51"/>
      <c r="D132" s="54"/>
    </row>
    <row r="133" spans="1:4" ht="13">
      <c r="A133" s="48"/>
      <c r="B133" s="53"/>
      <c r="C133" s="51"/>
      <c r="D133" s="54"/>
    </row>
    <row r="134" spans="1:4" ht="13">
      <c r="A134" s="48"/>
      <c r="B134" s="50"/>
      <c r="C134" s="51"/>
      <c r="D134" s="5"/>
    </row>
    <row r="135" spans="1:4" ht="13">
      <c r="A135" s="48"/>
      <c r="B135" s="50"/>
      <c r="C135" s="51"/>
      <c r="D135" s="5"/>
    </row>
    <row r="136" spans="1:4" ht="13">
      <c r="A136" s="48"/>
      <c r="B136" s="50"/>
      <c r="C136" s="51"/>
      <c r="D136" s="5"/>
    </row>
    <row r="137" spans="1:4" ht="13">
      <c r="A137" s="48"/>
      <c r="B137" s="50"/>
      <c r="C137" s="51"/>
      <c r="D137" s="5"/>
    </row>
    <row r="138" spans="1:4" ht="13">
      <c r="A138" s="48"/>
      <c r="B138" s="50"/>
      <c r="C138" s="51"/>
      <c r="D138" s="5"/>
    </row>
    <row r="139" spans="1:4" ht="13">
      <c r="A139" s="48"/>
      <c r="B139" s="50"/>
      <c r="C139" s="51"/>
      <c r="D139" s="5"/>
    </row>
    <row r="140" spans="1:4" ht="13">
      <c r="A140" s="48"/>
      <c r="B140" s="50"/>
      <c r="C140" s="51"/>
      <c r="D140" s="5"/>
    </row>
    <row r="141" spans="1:4" ht="13">
      <c r="A141" s="48"/>
      <c r="B141" s="50"/>
      <c r="C141" s="51"/>
      <c r="D141" s="5"/>
    </row>
    <row r="142" spans="1:4" ht="13">
      <c r="A142" s="48"/>
      <c r="B142" s="50"/>
      <c r="C142" s="51"/>
      <c r="D142" s="5"/>
    </row>
    <row r="143" spans="1:4" ht="13">
      <c r="A143" s="48"/>
      <c r="B143" s="53"/>
      <c r="C143" s="51"/>
      <c r="D143" s="5"/>
    </row>
    <row r="144" spans="1:4" ht="13">
      <c r="A144" s="48"/>
      <c r="B144" s="50"/>
      <c r="C144" s="51"/>
      <c r="D144" s="5"/>
    </row>
    <row r="145" spans="1:4" ht="13">
      <c r="A145" s="48"/>
      <c r="B145" s="50"/>
      <c r="C145" s="51"/>
      <c r="D145" s="5"/>
    </row>
    <row r="146" spans="1:4" ht="13">
      <c r="A146" s="48"/>
      <c r="B146" s="53"/>
      <c r="C146" s="51"/>
      <c r="D146" s="51"/>
    </row>
    <row r="147" spans="1:4" ht="13">
      <c r="A147" s="48"/>
      <c r="B147" s="53"/>
      <c r="C147" s="51"/>
      <c r="D147" s="5"/>
    </row>
    <row r="148" spans="1:4" ht="13">
      <c r="A148" s="48"/>
      <c r="B148" s="53"/>
      <c r="C148" s="48"/>
      <c r="D148" s="47"/>
    </row>
    <row r="149" spans="1:4" ht="13">
      <c r="A149" s="48"/>
      <c r="B149" s="53"/>
      <c r="C149" s="48"/>
      <c r="D149" s="47"/>
    </row>
    <row r="150" spans="1:4" ht="13">
      <c r="A150" s="48"/>
      <c r="B150" s="53"/>
      <c r="C150" s="48"/>
      <c r="D150" s="47"/>
    </row>
    <row r="151" spans="1:4" ht="13">
      <c r="A151" s="48"/>
      <c r="B151" s="53"/>
      <c r="C151" s="48"/>
      <c r="D151" s="47"/>
    </row>
    <row r="152" spans="1:4" ht="13">
      <c r="A152" s="64"/>
      <c r="B152" s="65"/>
      <c r="C152" s="64"/>
      <c r="D152" s="66"/>
    </row>
    <row r="153" spans="1:4" ht="13">
      <c r="A153" s="64"/>
      <c r="B153" s="65"/>
      <c r="C153" s="64"/>
      <c r="D153" s="66"/>
    </row>
    <row r="154" spans="1:4" ht="13">
      <c r="A154" s="64"/>
      <c r="B154" s="65"/>
      <c r="C154" s="64"/>
      <c r="D154" s="66"/>
    </row>
    <row r="155" spans="1:4" ht="13">
      <c r="A155" s="64"/>
      <c r="B155" s="65"/>
      <c r="C155" s="64"/>
      <c r="D155" s="66"/>
    </row>
    <row r="156" spans="1:4" ht="13">
      <c r="A156" s="64"/>
      <c r="B156" s="65"/>
      <c r="C156" s="64"/>
      <c r="D156" s="66"/>
    </row>
    <row r="157" spans="1:4" ht="13">
      <c r="A157" s="64"/>
      <c r="B157" s="65"/>
      <c r="C157" s="64"/>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3A00-000000000000}"/>
    <hyperlink ref="B6" r:id="rId2" xr:uid="{00000000-0004-0000-3A00-000001000000}"/>
    <hyperlink ref="B7" r:id="rId3" xr:uid="{00000000-0004-0000-3A00-000002000000}"/>
    <hyperlink ref="B8" r:id="rId4" xr:uid="{00000000-0004-0000-3A00-000003000000}"/>
    <hyperlink ref="B9" r:id="rId5" xr:uid="{00000000-0004-0000-3A00-000004000000}"/>
    <hyperlink ref="B10" r:id="rId6" xr:uid="{00000000-0004-0000-3A00-000005000000}"/>
    <hyperlink ref="B11" r:id="rId7" xr:uid="{00000000-0004-0000-3A00-000006000000}"/>
    <hyperlink ref="B12" r:id="rId8" xr:uid="{00000000-0004-0000-3A00-000007000000}"/>
    <hyperlink ref="B13" r:id="rId9" xr:uid="{00000000-0004-0000-3A00-000008000000}"/>
    <hyperlink ref="B14" r:id="rId10" xr:uid="{00000000-0004-0000-3A00-000009000000}"/>
    <hyperlink ref="B15" r:id="rId11" xr:uid="{00000000-0004-0000-3A00-00000A000000}"/>
    <hyperlink ref="B16" r:id="rId12" xr:uid="{00000000-0004-0000-3A00-00000B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4.1640625" customWidth="1"/>
    <col min="2" max="2" width="17.6640625" customWidth="1"/>
    <col min="3" max="3" width="13.5" customWidth="1"/>
    <col min="4" max="4" width="14.83203125" customWidth="1"/>
    <col min="5" max="5" width="14.33203125" customWidth="1"/>
    <col min="7" max="7" width="14.1640625" customWidth="1"/>
  </cols>
  <sheetData>
    <row r="1" spans="1:12" ht="15.75" customHeight="1">
      <c r="A1" s="1" t="s">
        <v>95</v>
      </c>
      <c r="B1" s="36"/>
      <c r="C1" s="37"/>
      <c r="D1" s="7" t="s">
        <v>181</v>
      </c>
    </row>
    <row r="2" spans="1:12" ht="15.75" customHeight="1">
      <c r="A2" s="7" t="s">
        <v>182</v>
      </c>
      <c r="B2" s="38">
        <v>41136</v>
      </c>
      <c r="C2" s="37"/>
      <c r="D2" s="39">
        <f>SUM(D5:G132)</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51" t="s">
        <v>4189</v>
      </c>
      <c r="B5" s="60" t="s">
        <v>871</v>
      </c>
      <c r="C5" s="51" t="s">
        <v>205</v>
      </c>
      <c r="D5" s="54"/>
      <c r="E5" s="5"/>
      <c r="F5" s="5"/>
      <c r="L5" s="43"/>
    </row>
    <row r="6" spans="1:12" ht="15.75" customHeight="1">
      <c r="A6" s="51" t="s">
        <v>4190</v>
      </c>
      <c r="B6" s="60" t="s">
        <v>850</v>
      </c>
      <c r="C6" s="51" t="s">
        <v>205</v>
      </c>
      <c r="D6" s="54"/>
      <c r="E6" s="5"/>
      <c r="F6" s="5"/>
    </row>
    <row r="7" spans="1:12" ht="15.75" customHeight="1">
      <c r="A7" s="51" t="s">
        <v>4191</v>
      </c>
      <c r="B7" s="60" t="s">
        <v>777</v>
      </c>
      <c r="C7" s="51" t="s">
        <v>205</v>
      </c>
      <c r="D7" s="54"/>
      <c r="E7" s="5"/>
      <c r="F7" s="5"/>
    </row>
    <row r="8" spans="1:12" ht="15.75" customHeight="1">
      <c r="A8" s="51" t="s">
        <v>4192</v>
      </c>
      <c r="B8" s="60" t="s">
        <v>946</v>
      </c>
      <c r="C8" s="51" t="s">
        <v>205</v>
      </c>
      <c r="D8" s="54"/>
      <c r="E8" s="5"/>
      <c r="F8" s="5"/>
    </row>
    <row r="9" spans="1:12" ht="15.75" customHeight="1">
      <c r="A9" s="51" t="s">
        <v>4193</v>
      </c>
      <c r="B9" s="60" t="s">
        <v>3392</v>
      </c>
      <c r="C9" s="51" t="s">
        <v>205</v>
      </c>
      <c r="D9" s="54"/>
      <c r="E9" s="5"/>
      <c r="F9" s="51"/>
    </row>
    <row r="10" spans="1:12" ht="15.75" customHeight="1">
      <c r="A10" s="51" t="s">
        <v>4194</v>
      </c>
      <c r="B10" s="60" t="s">
        <v>1323</v>
      </c>
      <c r="C10" s="51" t="s">
        <v>205</v>
      </c>
      <c r="D10" s="54"/>
      <c r="E10" s="5"/>
      <c r="F10" s="51"/>
    </row>
    <row r="11" spans="1:12" ht="15.75" customHeight="1">
      <c r="A11" s="51" t="s">
        <v>4195</v>
      </c>
      <c r="B11" s="60" t="s">
        <v>1274</v>
      </c>
      <c r="C11" s="51" t="s">
        <v>205</v>
      </c>
      <c r="D11" s="54"/>
      <c r="E11" s="5"/>
      <c r="F11" s="5"/>
    </row>
    <row r="12" spans="1:12" ht="15.75" customHeight="1">
      <c r="A12" s="51" t="s">
        <v>4196</v>
      </c>
      <c r="B12" s="60" t="s">
        <v>1210</v>
      </c>
      <c r="C12" s="51" t="s">
        <v>205</v>
      </c>
      <c r="D12" s="54"/>
      <c r="E12" s="5"/>
      <c r="F12" s="51"/>
    </row>
    <row r="13" spans="1:12" ht="15.75" customHeight="1">
      <c r="A13" s="51" t="s">
        <v>4197</v>
      </c>
      <c r="B13" s="60" t="s">
        <v>1252</v>
      </c>
      <c r="C13" s="51" t="s">
        <v>205</v>
      </c>
      <c r="D13" s="54"/>
      <c r="E13" s="5"/>
      <c r="F13" s="51"/>
    </row>
    <row r="14" spans="1:12" ht="15.75" customHeight="1">
      <c r="A14" s="51" t="s">
        <v>4198</v>
      </c>
      <c r="B14" s="60" t="s">
        <v>1576</v>
      </c>
      <c r="C14" s="51" t="s">
        <v>205</v>
      </c>
      <c r="D14" s="54"/>
      <c r="E14" s="5"/>
      <c r="F14" s="5"/>
    </row>
    <row r="15" spans="1:12" ht="15.75" customHeight="1">
      <c r="A15" s="51" t="s">
        <v>4199</v>
      </c>
      <c r="B15" s="60" t="s">
        <v>1518</v>
      </c>
      <c r="C15" s="51" t="s">
        <v>205</v>
      </c>
      <c r="D15" s="54"/>
      <c r="E15" s="5"/>
      <c r="F15" s="5"/>
    </row>
    <row r="16" spans="1:12" ht="15.75" customHeight="1">
      <c r="A16" s="51" t="s">
        <v>4200</v>
      </c>
      <c r="B16" s="60" t="s">
        <v>1505</v>
      </c>
      <c r="C16" s="51" t="s">
        <v>205</v>
      </c>
      <c r="D16" s="54"/>
      <c r="E16" s="5"/>
      <c r="F16" s="51"/>
    </row>
    <row r="17" spans="1:4" ht="15.75" customHeight="1">
      <c r="A17" s="51" t="s">
        <v>4201</v>
      </c>
      <c r="B17" s="60" t="s">
        <v>1505</v>
      </c>
      <c r="C17" s="51" t="s">
        <v>205</v>
      </c>
      <c r="D17" s="54"/>
    </row>
    <row r="18" spans="1:4" ht="15.75" customHeight="1">
      <c r="A18" s="51" t="s">
        <v>4202</v>
      </c>
      <c r="B18" s="60" t="s">
        <v>3118</v>
      </c>
      <c r="C18" s="51" t="s">
        <v>205</v>
      </c>
      <c r="D18" s="54"/>
    </row>
    <row r="19" spans="1:4" ht="15.75" customHeight="1">
      <c r="A19" s="51" t="s">
        <v>4203</v>
      </c>
      <c r="B19" s="60" t="s">
        <v>3118</v>
      </c>
      <c r="C19" s="51" t="s">
        <v>205</v>
      </c>
      <c r="D19" s="54"/>
    </row>
    <row r="20" spans="1:4" ht="15.75" customHeight="1">
      <c r="A20" s="51" t="s">
        <v>4204</v>
      </c>
      <c r="B20" s="60" t="s">
        <v>4029</v>
      </c>
      <c r="C20" s="51" t="s">
        <v>205</v>
      </c>
      <c r="D20" s="54"/>
    </row>
    <row r="21" spans="1:4" ht="15.75" customHeight="1">
      <c r="A21" s="51" t="s">
        <v>4205</v>
      </c>
      <c r="B21" s="60" t="s">
        <v>4048</v>
      </c>
      <c r="C21" s="51" t="s">
        <v>205</v>
      </c>
      <c r="D21" s="54"/>
    </row>
    <row r="22" spans="1:4" ht="15.75" customHeight="1">
      <c r="A22" s="51" t="s">
        <v>4206</v>
      </c>
      <c r="B22" s="60" t="s">
        <v>299</v>
      </c>
      <c r="C22" s="51" t="s">
        <v>199</v>
      </c>
      <c r="D22" s="54"/>
    </row>
    <row r="23" spans="1:4" ht="15.75" customHeight="1">
      <c r="A23" s="51" t="s">
        <v>4207</v>
      </c>
      <c r="B23" s="60" t="s">
        <v>249</v>
      </c>
      <c r="C23" s="51" t="s">
        <v>199</v>
      </c>
      <c r="D23" s="54"/>
    </row>
    <row r="24" spans="1:4" ht="15.75" customHeight="1">
      <c r="A24" s="51" t="s">
        <v>4208</v>
      </c>
      <c r="B24" s="60" t="s">
        <v>231</v>
      </c>
      <c r="C24" s="51" t="s">
        <v>199</v>
      </c>
      <c r="D24" s="54"/>
    </row>
    <row r="25" spans="1:4" ht="15.75" customHeight="1">
      <c r="A25" s="51" t="s">
        <v>4209</v>
      </c>
      <c r="B25" s="60" t="s">
        <v>3052</v>
      </c>
      <c r="C25" s="51" t="s">
        <v>199</v>
      </c>
      <c r="D25" s="54"/>
    </row>
    <row r="26" spans="1:4" ht="15.75" customHeight="1">
      <c r="A26" s="51" t="s">
        <v>4210</v>
      </c>
      <c r="B26" s="61" t="s">
        <v>4211</v>
      </c>
      <c r="C26" s="51" t="s">
        <v>199</v>
      </c>
      <c r="D26" s="54"/>
    </row>
    <row r="27" spans="1:4" ht="15.75" customHeight="1">
      <c r="A27" s="51" t="s">
        <v>4212</v>
      </c>
      <c r="B27" s="60" t="s">
        <v>268</v>
      </c>
      <c r="C27" s="51" t="s">
        <v>208</v>
      </c>
      <c r="D27" s="54"/>
    </row>
    <row r="28" spans="1:4" ht="15.75" customHeight="1">
      <c r="A28" s="51" t="s">
        <v>4213</v>
      </c>
      <c r="B28" s="60" t="s">
        <v>245</v>
      </c>
      <c r="C28" s="51" t="s">
        <v>208</v>
      </c>
      <c r="D28" s="54"/>
    </row>
    <row r="29" spans="1:4" ht="15.75" customHeight="1">
      <c r="A29" s="51" t="s">
        <v>4214</v>
      </c>
      <c r="B29" s="60" t="s">
        <v>1284</v>
      </c>
      <c r="C29" s="51" t="s">
        <v>208</v>
      </c>
      <c r="D29" s="54"/>
    </row>
    <row r="30" spans="1:4" ht="15.75" customHeight="1">
      <c r="A30" s="51" t="s">
        <v>4215</v>
      </c>
      <c r="B30" s="60" t="s">
        <v>1234</v>
      </c>
      <c r="C30" s="51" t="s">
        <v>208</v>
      </c>
      <c r="D30" s="54"/>
    </row>
    <row r="31" spans="1:4" ht="15.75" customHeight="1">
      <c r="A31" s="51" t="s">
        <v>4216</v>
      </c>
      <c r="B31" s="60" t="s">
        <v>1873</v>
      </c>
      <c r="C31" s="51" t="s">
        <v>208</v>
      </c>
      <c r="D31" s="54"/>
    </row>
    <row r="32" spans="1:4" ht="15.75" customHeight="1">
      <c r="A32" s="51" t="s">
        <v>4217</v>
      </c>
      <c r="B32" s="60" t="s">
        <v>1806</v>
      </c>
      <c r="C32" s="51" t="s">
        <v>208</v>
      </c>
      <c r="D32" s="54"/>
    </row>
    <row r="33" spans="1:4" ht="15.75" customHeight="1">
      <c r="A33" s="51" t="s">
        <v>4218</v>
      </c>
      <c r="B33" s="60" t="s">
        <v>1888</v>
      </c>
      <c r="C33" s="51" t="s">
        <v>208</v>
      </c>
      <c r="D33" s="54"/>
    </row>
    <row r="34" spans="1:4" ht="15.75" customHeight="1">
      <c r="A34" s="51" t="s">
        <v>4219</v>
      </c>
      <c r="B34" s="60" t="s">
        <v>1855</v>
      </c>
      <c r="C34" s="51" t="s">
        <v>208</v>
      </c>
      <c r="D34" s="54"/>
    </row>
    <row r="35" spans="1:4" ht="15.75" customHeight="1">
      <c r="A35" s="51" t="s">
        <v>4220</v>
      </c>
      <c r="B35" s="60" t="s">
        <v>1810</v>
      </c>
      <c r="C35" s="51" t="s">
        <v>208</v>
      </c>
      <c r="D35" s="54"/>
    </row>
    <row r="36" spans="1:4" ht="15.75" customHeight="1">
      <c r="A36" s="51" t="s">
        <v>4221</v>
      </c>
      <c r="B36" s="60" t="s">
        <v>3039</v>
      </c>
      <c r="C36" s="51" t="s">
        <v>208</v>
      </c>
      <c r="D36" s="54"/>
    </row>
    <row r="37" spans="1:4" ht="15.75" customHeight="1">
      <c r="A37" s="51" t="s">
        <v>4222</v>
      </c>
      <c r="B37" s="60" t="s">
        <v>3125</v>
      </c>
      <c r="C37" s="51" t="s">
        <v>208</v>
      </c>
      <c r="D37" s="54"/>
    </row>
    <row r="38" spans="1:4" ht="15.75" customHeight="1">
      <c r="A38" s="51" t="s">
        <v>4223</v>
      </c>
      <c r="B38" s="60" t="s">
        <v>4059</v>
      </c>
      <c r="C38" s="51" t="s">
        <v>208</v>
      </c>
      <c r="D38" s="54"/>
    </row>
    <row r="39" spans="1:4" ht="15.75" customHeight="1">
      <c r="A39" s="51" t="s">
        <v>4224</v>
      </c>
      <c r="B39" s="60" t="s">
        <v>4060</v>
      </c>
      <c r="C39" s="51" t="s">
        <v>208</v>
      </c>
      <c r="D39" s="54"/>
    </row>
    <row r="40" spans="1:4" ht="15.75" customHeight="1">
      <c r="A40" s="51" t="s">
        <v>4225</v>
      </c>
      <c r="B40" s="60" t="s">
        <v>4061</v>
      </c>
      <c r="C40" s="51" t="s">
        <v>208</v>
      </c>
      <c r="D40" s="54"/>
    </row>
    <row r="41" spans="1:4" ht="15.75" customHeight="1">
      <c r="A41" s="51" t="s">
        <v>4226</v>
      </c>
      <c r="B41" s="60" t="s">
        <v>4032</v>
      </c>
      <c r="C41" s="51" t="s">
        <v>208</v>
      </c>
      <c r="D41" s="54"/>
    </row>
    <row r="42" spans="1:4" ht="15.75" customHeight="1">
      <c r="A42" s="51" t="s">
        <v>4227</v>
      </c>
      <c r="B42" s="60" t="s">
        <v>878</v>
      </c>
      <c r="C42" s="51" t="s">
        <v>192</v>
      </c>
      <c r="D42" s="54"/>
    </row>
    <row r="43" spans="1:4" ht="15.75" customHeight="1">
      <c r="A43" s="51" t="s">
        <v>4228</v>
      </c>
      <c r="B43" s="60" t="s">
        <v>824</v>
      </c>
      <c r="C43" s="51" t="s">
        <v>192</v>
      </c>
      <c r="D43" s="54"/>
    </row>
    <row r="44" spans="1:4" ht="15.75" customHeight="1">
      <c r="A44" s="51" t="s">
        <v>4229</v>
      </c>
      <c r="B44" s="60" t="s">
        <v>766</v>
      </c>
      <c r="C44" s="51" t="s">
        <v>192</v>
      </c>
      <c r="D44" s="54"/>
    </row>
    <row r="45" spans="1:4" ht="15.75" customHeight="1">
      <c r="A45" s="51" t="s">
        <v>4230</v>
      </c>
      <c r="B45" s="60" t="s">
        <v>1257</v>
      </c>
      <c r="C45" s="51" t="s">
        <v>192</v>
      </c>
      <c r="D45" s="51"/>
    </row>
    <row r="46" spans="1:4" ht="15.75" customHeight="1">
      <c r="A46" s="51" t="s">
        <v>4231</v>
      </c>
      <c r="B46" s="60" t="s">
        <v>1257</v>
      </c>
      <c r="C46" s="51" t="s">
        <v>192</v>
      </c>
      <c r="D46" s="54"/>
    </row>
    <row r="47" spans="1:4" ht="15.75" customHeight="1">
      <c r="A47" s="51" t="s">
        <v>4232</v>
      </c>
      <c r="B47" s="60" t="s">
        <v>1224</v>
      </c>
      <c r="C47" s="51" t="s">
        <v>192</v>
      </c>
      <c r="D47" s="54"/>
    </row>
    <row r="48" spans="1:4" ht="15.75" customHeight="1">
      <c r="A48" s="51" t="s">
        <v>4233</v>
      </c>
      <c r="B48" s="60" t="s">
        <v>1224</v>
      </c>
      <c r="C48" s="51" t="s">
        <v>192</v>
      </c>
      <c r="D48" s="54"/>
    </row>
    <row r="49" spans="1:4" ht="15.75" customHeight="1">
      <c r="A49" s="51" t="s">
        <v>4234</v>
      </c>
      <c r="B49" s="60" t="s">
        <v>4072</v>
      </c>
      <c r="C49" s="51" t="s">
        <v>192</v>
      </c>
      <c r="D49" s="54"/>
    </row>
    <row r="50" spans="1:4" ht="15.75" customHeight="1">
      <c r="A50" s="51" t="s">
        <v>4235</v>
      </c>
      <c r="B50" s="61" t="s">
        <v>4236</v>
      </c>
      <c r="C50" s="51" t="s">
        <v>195</v>
      </c>
      <c r="D50" s="54"/>
    </row>
    <row r="51" spans="1:4" ht="15.75" customHeight="1">
      <c r="A51" s="51" t="s">
        <v>4237</v>
      </c>
      <c r="B51" s="60" t="s">
        <v>1218</v>
      </c>
      <c r="C51" s="51" t="s">
        <v>195</v>
      </c>
      <c r="D51" s="54"/>
    </row>
    <row r="52" spans="1:4" ht="15.75" customHeight="1">
      <c r="A52" s="51" t="s">
        <v>4238</v>
      </c>
      <c r="B52" s="60" t="s">
        <v>1509</v>
      </c>
      <c r="C52" s="51" t="s">
        <v>195</v>
      </c>
      <c r="D52" s="54"/>
    </row>
    <row r="53" spans="1:4" ht="13">
      <c r="A53" s="51" t="s">
        <v>4239</v>
      </c>
      <c r="B53" s="60" t="s">
        <v>3134</v>
      </c>
      <c r="C53" s="51" t="s">
        <v>195</v>
      </c>
      <c r="D53" s="54"/>
    </row>
    <row r="54" spans="1:4" ht="13">
      <c r="A54" s="51" t="s">
        <v>4240</v>
      </c>
      <c r="B54" s="60" t="s">
        <v>3134</v>
      </c>
      <c r="C54" s="51" t="s">
        <v>195</v>
      </c>
      <c r="D54" s="54"/>
    </row>
    <row r="55" spans="1:4" ht="13">
      <c r="A55" s="51" t="s">
        <v>4241</v>
      </c>
      <c r="B55" s="60" t="s">
        <v>3078</v>
      </c>
      <c r="C55" s="51" t="s">
        <v>195</v>
      </c>
      <c r="D55" s="54"/>
    </row>
    <row r="56" spans="1:4" ht="13">
      <c r="A56" s="51" t="s">
        <v>4242</v>
      </c>
      <c r="B56" s="60" t="s">
        <v>4243</v>
      </c>
      <c r="C56" s="51" t="s">
        <v>195</v>
      </c>
      <c r="D56" s="54"/>
    </row>
    <row r="57" spans="1:4" ht="13">
      <c r="A57" s="51" t="s">
        <v>4244</v>
      </c>
      <c r="B57" s="60" t="s">
        <v>4079</v>
      </c>
      <c r="C57" s="51" t="s">
        <v>195</v>
      </c>
      <c r="D57" s="54"/>
    </row>
    <row r="58" spans="1:4" ht="13">
      <c r="A58" s="51" t="s">
        <v>4245</v>
      </c>
      <c r="B58" s="60" t="s">
        <v>4080</v>
      </c>
      <c r="C58" s="51" t="s">
        <v>195</v>
      </c>
      <c r="D58" s="54"/>
    </row>
    <row r="59" spans="1:4" ht="13">
      <c r="A59" s="51" t="s">
        <v>4246</v>
      </c>
      <c r="B59" s="60" t="s">
        <v>4247</v>
      </c>
      <c r="C59" s="51" t="s">
        <v>195</v>
      </c>
      <c r="D59" s="54"/>
    </row>
    <row r="60" spans="1:4" ht="13">
      <c r="A60" s="51" t="s">
        <v>4248</v>
      </c>
      <c r="B60" s="60" t="s">
        <v>4249</v>
      </c>
      <c r="C60" s="51" t="s">
        <v>195</v>
      </c>
      <c r="D60" s="54"/>
    </row>
    <row r="61" spans="1:4" ht="13">
      <c r="A61" s="51" t="s">
        <v>4250</v>
      </c>
      <c r="B61" s="60" t="s">
        <v>4251</v>
      </c>
      <c r="C61" s="51" t="s">
        <v>195</v>
      </c>
      <c r="D61" s="54"/>
    </row>
    <row r="62" spans="1:4" ht="13">
      <c r="A62" s="51" t="s">
        <v>4252</v>
      </c>
      <c r="B62" s="60" t="s">
        <v>4097</v>
      </c>
      <c r="C62" s="51" t="s">
        <v>195</v>
      </c>
      <c r="D62" s="54"/>
    </row>
    <row r="63" spans="1:4" ht="13">
      <c r="A63" s="51" t="s">
        <v>4253</v>
      </c>
      <c r="B63" s="60" t="s">
        <v>4098</v>
      </c>
      <c r="C63" s="51" t="s">
        <v>195</v>
      </c>
      <c r="D63" s="54"/>
    </row>
    <row r="64" spans="1:4" ht="13">
      <c r="A64" s="51" t="s">
        <v>4254</v>
      </c>
      <c r="B64" s="60" t="s">
        <v>347</v>
      </c>
      <c r="C64" s="51" t="s">
        <v>225</v>
      </c>
      <c r="D64" s="54"/>
    </row>
    <row r="65" spans="1:4" ht="13">
      <c r="A65" s="51" t="s">
        <v>4255</v>
      </c>
      <c r="B65" s="60" t="s">
        <v>337</v>
      </c>
      <c r="C65" s="51" t="s">
        <v>225</v>
      </c>
      <c r="D65" s="5"/>
    </row>
    <row r="66" spans="1:4" ht="13">
      <c r="A66" s="51" t="s">
        <v>4256</v>
      </c>
      <c r="B66" s="60" t="s">
        <v>1240</v>
      </c>
      <c r="C66" s="51" t="s">
        <v>225</v>
      </c>
      <c r="D66" s="54"/>
    </row>
    <row r="67" spans="1:4" ht="13">
      <c r="A67" s="51" t="s">
        <v>4257</v>
      </c>
      <c r="B67" s="60" t="s">
        <v>1400</v>
      </c>
      <c r="C67" s="51" t="s">
        <v>225</v>
      </c>
      <c r="D67" s="54"/>
    </row>
    <row r="68" spans="1:4" ht="13">
      <c r="A68" s="51" t="s">
        <v>4258</v>
      </c>
      <c r="B68" s="60" t="s">
        <v>1790</v>
      </c>
      <c r="C68" s="51" t="s">
        <v>225</v>
      </c>
      <c r="D68" s="54"/>
    </row>
    <row r="69" spans="1:4" ht="13">
      <c r="A69" s="51" t="s">
        <v>4259</v>
      </c>
      <c r="B69" s="60" t="s">
        <v>4260</v>
      </c>
      <c r="C69" s="51" t="s">
        <v>225</v>
      </c>
      <c r="D69" s="54"/>
    </row>
    <row r="70" spans="1:4" ht="13">
      <c r="A70" s="51" t="s">
        <v>4261</v>
      </c>
      <c r="B70" s="60" t="s">
        <v>4262</v>
      </c>
      <c r="C70" s="51" t="s">
        <v>225</v>
      </c>
      <c r="D70" s="54"/>
    </row>
    <row r="71" spans="1:4" ht="13">
      <c r="A71" s="51" t="s">
        <v>4263</v>
      </c>
      <c r="B71" s="60" t="s">
        <v>4089</v>
      </c>
      <c r="C71" s="51" t="s">
        <v>225</v>
      </c>
      <c r="D71" s="54"/>
    </row>
    <row r="72" spans="1:4" ht="13">
      <c r="A72" s="51" t="s">
        <v>4264</v>
      </c>
      <c r="B72" s="60" t="s">
        <v>4265</v>
      </c>
      <c r="C72" s="51" t="s">
        <v>225</v>
      </c>
      <c r="D72" s="54"/>
    </row>
    <row r="73" spans="1:4" ht="13">
      <c r="A73" s="51" t="s">
        <v>4266</v>
      </c>
      <c r="B73" s="60" t="s">
        <v>4267</v>
      </c>
      <c r="C73" s="51" t="s">
        <v>225</v>
      </c>
      <c r="D73" s="54"/>
    </row>
    <row r="74" spans="1:4" ht="13">
      <c r="A74" s="51" t="s">
        <v>4268</v>
      </c>
      <c r="B74" s="60" t="s">
        <v>4076</v>
      </c>
      <c r="C74" s="51" t="s">
        <v>225</v>
      </c>
      <c r="D74" s="54"/>
    </row>
    <row r="75" spans="1:4" ht="13">
      <c r="A75" s="51" t="s">
        <v>4269</v>
      </c>
      <c r="B75" s="61" t="s">
        <v>4270</v>
      </c>
      <c r="C75" s="51" t="s">
        <v>225</v>
      </c>
      <c r="D75" s="54"/>
    </row>
    <row r="76" spans="1:4" ht="13">
      <c r="A76" s="51" t="s">
        <v>4271</v>
      </c>
      <c r="B76" s="60" t="s">
        <v>807</v>
      </c>
      <c r="C76" s="51" t="s">
        <v>808</v>
      </c>
      <c r="D76" s="54"/>
    </row>
    <row r="77" spans="1:4" ht="13">
      <c r="A77" s="51" t="s">
        <v>4272</v>
      </c>
      <c r="B77" s="60" t="s">
        <v>3169</v>
      </c>
      <c r="C77" s="51" t="s">
        <v>808</v>
      </c>
      <c r="D77" s="54"/>
    </row>
    <row r="78" spans="1:4" ht="13">
      <c r="A78" s="51" t="s">
        <v>4273</v>
      </c>
      <c r="B78" s="60" t="s">
        <v>939</v>
      </c>
      <c r="C78" s="51" t="s">
        <v>808</v>
      </c>
      <c r="D78" s="54"/>
    </row>
    <row r="79" spans="1:4" ht="13">
      <c r="A79" s="51" t="s">
        <v>4274</v>
      </c>
      <c r="B79" s="60" t="s">
        <v>938</v>
      </c>
      <c r="C79" s="51" t="s">
        <v>808</v>
      </c>
      <c r="D79" s="54"/>
    </row>
    <row r="80" spans="1:4" ht="13">
      <c r="A80" s="51" t="s">
        <v>4275</v>
      </c>
      <c r="B80" s="60" t="s">
        <v>3149</v>
      </c>
      <c r="C80" s="51" t="s">
        <v>808</v>
      </c>
      <c r="D80" s="54"/>
    </row>
    <row r="81" spans="1:4" ht="13">
      <c r="A81" s="51" t="s">
        <v>4276</v>
      </c>
      <c r="B81" s="60" t="s">
        <v>3119</v>
      </c>
      <c r="C81" s="51" t="s">
        <v>808</v>
      </c>
      <c r="D81" s="54"/>
    </row>
    <row r="82" spans="1:4" ht="13">
      <c r="A82" s="51" t="s">
        <v>4277</v>
      </c>
      <c r="B82" s="60" t="s">
        <v>1250</v>
      </c>
      <c r="C82" s="51" t="s">
        <v>220</v>
      </c>
      <c r="D82" s="54"/>
    </row>
    <row r="83" spans="1:4" ht="13">
      <c r="A83" s="51" t="s">
        <v>4278</v>
      </c>
      <c r="B83" s="60" t="s">
        <v>1265</v>
      </c>
      <c r="C83" s="51" t="s">
        <v>220</v>
      </c>
      <c r="D83" s="54"/>
    </row>
    <row r="84" spans="1:4" ht="13">
      <c r="A84" s="51" t="s">
        <v>4279</v>
      </c>
      <c r="B84" s="60" t="s">
        <v>1208</v>
      </c>
      <c r="C84" s="51" t="s">
        <v>220</v>
      </c>
      <c r="D84" s="54"/>
    </row>
    <row r="85" spans="1:4" ht="13">
      <c r="A85" s="51" t="s">
        <v>4280</v>
      </c>
      <c r="B85" s="61" t="s">
        <v>4281</v>
      </c>
      <c r="C85" s="51" t="s">
        <v>220</v>
      </c>
      <c r="D85" s="54"/>
    </row>
    <row r="86" spans="1:4" ht="13">
      <c r="A86" s="51" t="s">
        <v>4282</v>
      </c>
      <c r="B86" s="60" t="s">
        <v>3386</v>
      </c>
      <c r="C86" s="51" t="s">
        <v>220</v>
      </c>
      <c r="D86" s="54"/>
    </row>
    <row r="87" spans="1:4" ht="13">
      <c r="A87" s="51" t="s">
        <v>4283</v>
      </c>
      <c r="B87" s="60" t="s">
        <v>4107</v>
      </c>
      <c r="C87" s="51" t="s">
        <v>220</v>
      </c>
      <c r="D87" s="54"/>
    </row>
    <row r="88" spans="1:4" ht="13">
      <c r="A88" s="51" t="s">
        <v>4284</v>
      </c>
      <c r="B88" s="60" t="s">
        <v>1493</v>
      </c>
      <c r="C88" s="51" t="s">
        <v>4285</v>
      </c>
      <c r="D88" s="54"/>
    </row>
    <row r="89" spans="1:4" ht="13">
      <c r="A89" s="51" t="s">
        <v>4286</v>
      </c>
      <c r="B89" s="61" t="s">
        <v>4287</v>
      </c>
      <c r="C89" s="51" t="s">
        <v>4285</v>
      </c>
      <c r="D89" s="54"/>
    </row>
    <row r="90" spans="1:4" ht="13">
      <c r="A90" s="51" t="s">
        <v>4288</v>
      </c>
      <c r="B90" s="60" t="s">
        <v>3259</v>
      </c>
      <c r="C90" s="51" t="s">
        <v>4285</v>
      </c>
      <c r="D90" s="54"/>
    </row>
    <row r="91" spans="1:4" ht="13">
      <c r="A91" s="51" t="s">
        <v>4289</v>
      </c>
      <c r="B91" s="60" t="s">
        <v>3259</v>
      </c>
      <c r="C91" s="51" t="s">
        <v>4285</v>
      </c>
      <c r="D91" s="51"/>
    </row>
    <row r="92" spans="1:4" ht="13">
      <c r="A92" s="51" t="s">
        <v>4290</v>
      </c>
      <c r="B92" s="60" t="s">
        <v>3217</v>
      </c>
      <c r="C92" s="51" t="s">
        <v>4285</v>
      </c>
      <c r="D92" s="54"/>
    </row>
    <row r="93" spans="1:4" ht="13">
      <c r="A93" s="51" t="s">
        <v>4291</v>
      </c>
      <c r="B93" s="60" t="s">
        <v>3217</v>
      </c>
      <c r="C93" s="51" t="s">
        <v>4285</v>
      </c>
      <c r="D93" s="54"/>
    </row>
    <row r="94" spans="1:4" ht="13">
      <c r="A94" s="51" t="s">
        <v>4292</v>
      </c>
      <c r="B94" s="60" t="s">
        <v>3167</v>
      </c>
      <c r="C94" s="51" t="s">
        <v>4285</v>
      </c>
      <c r="D94" s="54"/>
    </row>
    <row r="95" spans="1:4" ht="13">
      <c r="A95" s="51" t="s">
        <v>4293</v>
      </c>
      <c r="B95" s="60" t="s">
        <v>3167</v>
      </c>
      <c r="C95" s="51" t="s">
        <v>4285</v>
      </c>
      <c r="D95" s="54"/>
    </row>
    <row r="96" spans="1:4" ht="13">
      <c r="A96" s="51" t="s">
        <v>4294</v>
      </c>
      <c r="B96" s="61" t="s">
        <v>4295</v>
      </c>
      <c r="C96" s="51" t="s">
        <v>4285</v>
      </c>
      <c r="D96" s="5"/>
    </row>
    <row r="97" spans="1:4" ht="13">
      <c r="A97" s="51" t="s">
        <v>4296</v>
      </c>
      <c r="B97" s="60" t="s">
        <v>4103</v>
      </c>
      <c r="C97" s="51" t="s">
        <v>4285</v>
      </c>
      <c r="D97" s="54"/>
    </row>
    <row r="98" spans="1:4" ht="13">
      <c r="A98" s="51" t="s">
        <v>4297</v>
      </c>
      <c r="B98" s="60" t="s">
        <v>4103</v>
      </c>
      <c r="C98" s="51" t="s">
        <v>4285</v>
      </c>
      <c r="D98" s="54"/>
    </row>
    <row r="99" spans="1:4" ht="13">
      <c r="A99" s="51" t="s">
        <v>4298</v>
      </c>
      <c r="B99" s="60" t="s">
        <v>4104</v>
      </c>
      <c r="C99" s="51" t="s">
        <v>4285</v>
      </c>
      <c r="D99" s="54"/>
    </row>
    <row r="100" spans="1:4" ht="13">
      <c r="A100" s="51" t="s">
        <v>4299</v>
      </c>
      <c r="B100" s="60" t="s">
        <v>4104</v>
      </c>
      <c r="C100" s="51" t="s">
        <v>4285</v>
      </c>
      <c r="D100" s="54"/>
    </row>
    <row r="101" spans="1:4" ht="13">
      <c r="A101" s="51" t="s">
        <v>4300</v>
      </c>
      <c r="B101" s="60" t="s">
        <v>4105</v>
      </c>
      <c r="C101" s="51" t="s">
        <v>4285</v>
      </c>
      <c r="D101" s="54"/>
    </row>
    <row r="102" spans="1:4" ht="13">
      <c r="A102" s="51" t="s">
        <v>4301</v>
      </c>
      <c r="B102" s="60" t="s">
        <v>4105</v>
      </c>
      <c r="C102" s="51" t="s">
        <v>4285</v>
      </c>
      <c r="D102" s="54"/>
    </row>
    <row r="103" spans="1:4" ht="13">
      <c r="A103" s="51" t="s">
        <v>4302</v>
      </c>
      <c r="B103" s="60" t="s">
        <v>812</v>
      </c>
      <c r="C103" s="51" t="s">
        <v>197</v>
      </c>
      <c r="D103" s="54"/>
    </row>
    <row r="104" spans="1:4" ht="13">
      <c r="A104" s="51" t="s">
        <v>4303</v>
      </c>
      <c r="B104" s="60" t="s">
        <v>3158</v>
      </c>
      <c r="C104" s="51" t="s">
        <v>197</v>
      </c>
      <c r="D104" s="54"/>
    </row>
    <row r="105" spans="1:4" ht="13">
      <c r="A105" s="51" t="s">
        <v>4304</v>
      </c>
      <c r="B105" s="60" t="s">
        <v>1278</v>
      </c>
      <c r="C105" s="51" t="s">
        <v>197</v>
      </c>
      <c r="D105" s="51"/>
    </row>
    <row r="106" spans="1:4" ht="13">
      <c r="A106" s="51" t="s">
        <v>4305</v>
      </c>
      <c r="B106" s="60" t="s">
        <v>1282</v>
      </c>
      <c r="C106" s="51" t="s">
        <v>197</v>
      </c>
      <c r="D106" s="54"/>
    </row>
    <row r="107" spans="1:4" ht="13">
      <c r="A107" s="51" t="s">
        <v>4306</v>
      </c>
      <c r="B107" s="60" t="s">
        <v>1230</v>
      </c>
      <c r="C107" s="51" t="s">
        <v>197</v>
      </c>
      <c r="D107" s="5"/>
    </row>
    <row r="108" spans="1:4" ht="13">
      <c r="A108" s="51" t="s">
        <v>4307</v>
      </c>
      <c r="B108" s="60" t="s">
        <v>1587</v>
      </c>
      <c r="C108" s="51" t="s">
        <v>197</v>
      </c>
      <c r="D108" s="5"/>
    </row>
    <row r="109" spans="1:4" ht="13">
      <c r="A109" s="51" t="s">
        <v>4308</v>
      </c>
      <c r="B109" s="60" t="s">
        <v>1587</v>
      </c>
      <c r="C109" s="51" t="s">
        <v>197</v>
      </c>
      <c r="D109" s="54"/>
    </row>
    <row r="110" spans="1:4" ht="13">
      <c r="A110" s="51" t="s">
        <v>4309</v>
      </c>
      <c r="B110" s="60" t="s">
        <v>3143</v>
      </c>
      <c r="C110" s="51" t="s">
        <v>197</v>
      </c>
      <c r="D110" s="54"/>
    </row>
    <row r="111" spans="1:4" ht="13">
      <c r="A111" s="51" t="s">
        <v>4310</v>
      </c>
      <c r="B111" s="60" t="s">
        <v>3122</v>
      </c>
      <c r="C111" s="51" t="s">
        <v>197</v>
      </c>
      <c r="D111" s="54"/>
    </row>
    <row r="112" spans="1:4" ht="13">
      <c r="A112" s="51" t="s">
        <v>4311</v>
      </c>
      <c r="B112" s="60" t="s">
        <v>4039</v>
      </c>
      <c r="C112" s="51" t="s">
        <v>197</v>
      </c>
      <c r="D112" s="54"/>
    </row>
    <row r="113" spans="1:4" ht="13">
      <c r="A113" s="51" t="s">
        <v>4312</v>
      </c>
      <c r="B113" s="60" t="s">
        <v>4135</v>
      </c>
      <c r="C113" s="51" t="s">
        <v>197</v>
      </c>
      <c r="D113" s="54"/>
    </row>
    <row r="114" spans="1:4" ht="13">
      <c r="A114" s="51" t="s">
        <v>4313</v>
      </c>
      <c r="B114" s="60" t="s">
        <v>4314</v>
      </c>
      <c r="C114" s="51" t="s">
        <v>197</v>
      </c>
      <c r="D114" s="54"/>
    </row>
    <row r="115" spans="1:4" ht="13">
      <c r="A115" s="51" t="s">
        <v>4315</v>
      </c>
      <c r="B115" s="60" t="s">
        <v>4316</v>
      </c>
      <c r="C115" s="51" t="s">
        <v>197</v>
      </c>
      <c r="D115" s="54"/>
    </row>
    <row r="116" spans="1:4" ht="13">
      <c r="A116" s="51" t="s">
        <v>4317</v>
      </c>
      <c r="B116" s="60" t="s">
        <v>4318</v>
      </c>
      <c r="C116" s="51" t="s">
        <v>197</v>
      </c>
      <c r="D116" s="5"/>
    </row>
    <row r="117" spans="1:4" ht="13">
      <c r="A117" s="51" t="s">
        <v>4319</v>
      </c>
      <c r="B117" s="60" t="s">
        <v>302</v>
      </c>
      <c r="C117" s="51" t="s">
        <v>4114</v>
      </c>
      <c r="D117" s="54"/>
    </row>
    <row r="118" spans="1:4" ht="13">
      <c r="A118" s="51" t="s">
        <v>4320</v>
      </c>
      <c r="B118" s="60" t="s">
        <v>4321</v>
      </c>
      <c r="C118" s="51" t="s">
        <v>4114</v>
      </c>
      <c r="D118" s="54"/>
    </row>
    <row r="119" spans="1:4" ht="13">
      <c r="A119" s="51" t="s">
        <v>4322</v>
      </c>
      <c r="B119" s="60" t="s">
        <v>4323</v>
      </c>
      <c r="C119" s="51" t="s">
        <v>4114</v>
      </c>
      <c r="D119" s="54"/>
    </row>
    <row r="120" spans="1:4" ht="13">
      <c r="A120" s="51" t="s">
        <v>4324</v>
      </c>
      <c r="B120" s="60" t="s">
        <v>4325</v>
      </c>
      <c r="C120" s="51" t="s">
        <v>4114</v>
      </c>
      <c r="D120" s="51"/>
    </row>
    <row r="121" spans="1:4" ht="13">
      <c r="A121" s="51" t="s">
        <v>4326</v>
      </c>
      <c r="B121" s="60" t="s">
        <v>4327</v>
      </c>
      <c r="C121" s="51" t="s">
        <v>317</v>
      </c>
      <c r="D121" s="54"/>
    </row>
    <row r="122" spans="1:4" ht="13">
      <c r="A122" s="51" t="s">
        <v>4328</v>
      </c>
      <c r="B122" s="60" t="s">
        <v>4329</v>
      </c>
      <c r="C122" s="51" t="s">
        <v>317</v>
      </c>
      <c r="D122" s="54"/>
    </row>
    <row r="123" spans="1:4" ht="13">
      <c r="A123" s="51" t="s">
        <v>4330</v>
      </c>
      <c r="B123" s="61" t="s">
        <v>4211</v>
      </c>
      <c r="C123" s="51" t="s">
        <v>199</v>
      </c>
      <c r="D123" s="54"/>
    </row>
    <row r="124" spans="1:4" ht="13">
      <c r="A124" s="51" t="s">
        <v>4331</v>
      </c>
      <c r="B124" s="61" t="s">
        <v>4236</v>
      </c>
      <c r="C124" s="51" t="s">
        <v>195</v>
      </c>
      <c r="D124" s="54"/>
    </row>
    <row r="125" spans="1:4" ht="13">
      <c r="A125" s="51" t="s">
        <v>4332</v>
      </c>
      <c r="B125" s="61" t="s">
        <v>4270</v>
      </c>
      <c r="C125" s="51" t="s">
        <v>225</v>
      </c>
      <c r="D125" s="54"/>
    </row>
    <row r="126" spans="1:4" ht="13">
      <c r="A126" s="51" t="s">
        <v>4333</v>
      </c>
      <c r="B126" s="61" t="s">
        <v>4281</v>
      </c>
      <c r="C126" s="51" t="s">
        <v>220</v>
      </c>
      <c r="D126" s="54"/>
    </row>
    <row r="127" spans="1:4" ht="13">
      <c r="A127" s="51" t="s">
        <v>4334</v>
      </c>
      <c r="B127" s="61" t="s">
        <v>4287</v>
      </c>
      <c r="C127" s="51" t="s">
        <v>4285</v>
      </c>
      <c r="D127" s="54"/>
    </row>
    <row r="128" spans="1:4" ht="13">
      <c r="A128" s="51" t="s">
        <v>4335</v>
      </c>
      <c r="B128" s="61" t="s">
        <v>4295</v>
      </c>
      <c r="C128" s="51" t="s">
        <v>4285</v>
      </c>
      <c r="D128" s="54"/>
    </row>
    <row r="129" spans="1:4" ht="13">
      <c r="A129" s="51" t="s">
        <v>4336</v>
      </c>
      <c r="B129" s="60" t="s">
        <v>4337</v>
      </c>
      <c r="C129" s="51" t="s">
        <v>205</v>
      </c>
      <c r="D129" s="54"/>
    </row>
    <row r="130" spans="1:4" ht="13">
      <c r="A130" s="51" t="s">
        <v>4338</v>
      </c>
      <c r="B130" s="60" t="s">
        <v>4083</v>
      </c>
      <c r="C130" s="51" t="s">
        <v>195</v>
      </c>
      <c r="D130" s="5"/>
    </row>
    <row r="131" spans="1:4" ht="13">
      <c r="A131" s="51" t="s">
        <v>4339</v>
      </c>
      <c r="B131" s="60" t="s">
        <v>4157</v>
      </c>
      <c r="C131" s="51" t="s">
        <v>808</v>
      </c>
      <c r="D131" s="5"/>
    </row>
    <row r="132" spans="1:4" ht="13">
      <c r="A132" s="51" t="s">
        <v>4340</v>
      </c>
      <c r="B132" s="60" t="s">
        <v>2128</v>
      </c>
      <c r="C132" s="51" t="s">
        <v>4285</v>
      </c>
      <c r="D132" s="54"/>
    </row>
    <row r="133" spans="1:4" ht="13">
      <c r="A133" s="48"/>
      <c r="B133" s="53"/>
      <c r="C133" s="51"/>
      <c r="D133" s="54"/>
    </row>
    <row r="134" spans="1:4" ht="13">
      <c r="A134" s="48"/>
      <c r="B134" s="50"/>
      <c r="C134" s="51"/>
      <c r="D134" s="5"/>
    </row>
    <row r="135" spans="1:4" ht="13">
      <c r="A135" s="48"/>
      <c r="B135" s="50"/>
      <c r="C135" s="51"/>
      <c r="D135" s="5"/>
    </row>
    <row r="136" spans="1:4" ht="13">
      <c r="A136" s="48"/>
      <c r="B136" s="50"/>
      <c r="C136" s="51"/>
      <c r="D136" s="5"/>
    </row>
    <row r="137" spans="1:4" ht="13">
      <c r="A137" s="48"/>
      <c r="B137" s="50"/>
      <c r="C137" s="51"/>
      <c r="D137" s="5"/>
    </row>
    <row r="138" spans="1:4" ht="13">
      <c r="A138" s="48"/>
      <c r="B138" s="50"/>
      <c r="C138" s="51"/>
      <c r="D138" s="5"/>
    </row>
    <row r="139" spans="1:4" ht="13">
      <c r="A139" s="48"/>
      <c r="B139" s="50"/>
      <c r="C139" s="51"/>
      <c r="D139" s="5"/>
    </row>
    <row r="140" spans="1:4" ht="13">
      <c r="A140" s="48"/>
      <c r="B140" s="50"/>
      <c r="C140" s="51"/>
      <c r="D140" s="5"/>
    </row>
    <row r="141" spans="1:4" ht="13">
      <c r="A141" s="48"/>
      <c r="B141" s="50"/>
      <c r="C141" s="51"/>
      <c r="D141" s="5"/>
    </row>
    <row r="142" spans="1:4" ht="13">
      <c r="A142" s="48"/>
      <c r="B142" s="50"/>
      <c r="C142" s="51"/>
      <c r="D142" s="5"/>
    </row>
    <row r="143" spans="1:4" ht="13">
      <c r="A143" s="48"/>
      <c r="B143" s="53"/>
      <c r="C143" s="51"/>
      <c r="D143" s="5"/>
    </row>
    <row r="144" spans="1:4" ht="13">
      <c r="A144" s="48"/>
      <c r="B144" s="50"/>
      <c r="C144" s="51"/>
      <c r="D144" s="5"/>
    </row>
    <row r="145" spans="1:4" ht="13">
      <c r="A145" s="48"/>
      <c r="B145" s="50"/>
      <c r="C145" s="51"/>
      <c r="D145" s="5"/>
    </row>
    <row r="146" spans="1:4" ht="13">
      <c r="A146" s="48"/>
      <c r="B146" s="53"/>
      <c r="C146" s="51"/>
      <c r="D146" s="51"/>
    </row>
    <row r="147" spans="1:4" ht="13">
      <c r="A147" s="48"/>
      <c r="B147" s="53"/>
      <c r="C147" s="51"/>
      <c r="D147" s="5"/>
    </row>
    <row r="148" spans="1:4" ht="13">
      <c r="A148" s="48"/>
      <c r="B148" s="53"/>
      <c r="C148" s="48"/>
      <c r="D148" s="47"/>
    </row>
    <row r="149" spans="1:4" ht="13">
      <c r="A149" s="48"/>
      <c r="B149" s="53"/>
      <c r="C149" s="48"/>
      <c r="D149" s="47"/>
    </row>
    <row r="150" spans="1:4" ht="13">
      <c r="A150" s="48"/>
      <c r="B150" s="53"/>
      <c r="C150" s="48"/>
      <c r="D150" s="47"/>
    </row>
    <row r="151" spans="1:4" ht="13">
      <c r="A151" s="48"/>
      <c r="B151" s="53"/>
      <c r="C151" s="48"/>
      <c r="D151" s="47"/>
    </row>
    <row r="152" spans="1:4" ht="13">
      <c r="A152" s="64"/>
      <c r="B152" s="65"/>
      <c r="C152" s="64"/>
      <c r="D152" s="66"/>
    </row>
    <row r="153" spans="1:4" ht="13">
      <c r="A153" s="64"/>
      <c r="B153" s="65"/>
      <c r="C153" s="64"/>
      <c r="D153" s="66"/>
    </row>
    <row r="154" spans="1:4" ht="13">
      <c r="A154" s="64"/>
      <c r="B154" s="65"/>
      <c r="C154" s="64"/>
      <c r="D154" s="66"/>
    </row>
    <row r="155" spans="1:4" ht="13">
      <c r="A155" s="64"/>
      <c r="B155" s="65"/>
      <c r="C155" s="64"/>
      <c r="D155" s="66"/>
    </row>
    <row r="156" spans="1:4" ht="13">
      <c r="A156" s="64"/>
      <c r="B156" s="65"/>
      <c r="C156" s="64"/>
      <c r="D156" s="66"/>
    </row>
    <row r="157" spans="1:4" ht="13">
      <c r="A157" s="64"/>
      <c r="B157" s="65"/>
      <c r="C157" s="64"/>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3B00-000000000000}"/>
    <hyperlink ref="B6" r:id="rId2" xr:uid="{00000000-0004-0000-3B00-000001000000}"/>
    <hyperlink ref="B7" r:id="rId3" xr:uid="{00000000-0004-0000-3B00-000002000000}"/>
    <hyperlink ref="B8" r:id="rId4" xr:uid="{00000000-0004-0000-3B00-000003000000}"/>
    <hyperlink ref="B9" r:id="rId5" xr:uid="{00000000-0004-0000-3B00-000004000000}"/>
    <hyperlink ref="B10" r:id="rId6" xr:uid="{00000000-0004-0000-3B00-000005000000}"/>
    <hyperlink ref="B11" r:id="rId7" xr:uid="{00000000-0004-0000-3B00-000006000000}"/>
    <hyperlink ref="B12" r:id="rId8" xr:uid="{00000000-0004-0000-3B00-000007000000}"/>
    <hyperlink ref="B13" r:id="rId9" xr:uid="{00000000-0004-0000-3B00-000008000000}"/>
    <hyperlink ref="B14" r:id="rId10" xr:uid="{00000000-0004-0000-3B00-000009000000}"/>
    <hyperlink ref="B15" r:id="rId11" xr:uid="{00000000-0004-0000-3B00-00000A000000}"/>
    <hyperlink ref="B16" r:id="rId12" xr:uid="{00000000-0004-0000-3B00-00000B000000}"/>
    <hyperlink ref="B17" r:id="rId13" xr:uid="{00000000-0004-0000-3B00-00000C000000}"/>
    <hyperlink ref="B18" r:id="rId14" xr:uid="{00000000-0004-0000-3B00-00000D000000}"/>
    <hyperlink ref="B19" r:id="rId15" xr:uid="{00000000-0004-0000-3B00-00000E000000}"/>
    <hyperlink ref="B20" r:id="rId16" xr:uid="{00000000-0004-0000-3B00-00000F000000}"/>
    <hyperlink ref="B21" r:id="rId17" xr:uid="{00000000-0004-0000-3B00-000010000000}"/>
    <hyperlink ref="B22" r:id="rId18" xr:uid="{00000000-0004-0000-3B00-000011000000}"/>
    <hyperlink ref="B23" r:id="rId19" xr:uid="{00000000-0004-0000-3B00-000012000000}"/>
    <hyperlink ref="B24" r:id="rId20" xr:uid="{00000000-0004-0000-3B00-000013000000}"/>
    <hyperlink ref="B25" r:id="rId21" xr:uid="{00000000-0004-0000-3B00-000014000000}"/>
    <hyperlink ref="B26" r:id="rId22" xr:uid="{00000000-0004-0000-3B00-000015000000}"/>
    <hyperlink ref="B27" r:id="rId23" xr:uid="{00000000-0004-0000-3B00-000016000000}"/>
    <hyperlink ref="B28" r:id="rId24" xr:uid="{00000000-0004-0000-3B00-000017000000}"/>
    <hyperlink ref="B29" r:id="rId25" xr:uid="{00000000-0004-0000-3B00-000018000000}"/>
    <hyperlink ref="B30" r:id="rId26" xr:uid="{00000000-0004-0000-3B00-000019000000}"/>
    <hyperlink ref="B31" r:id="rId27" xr:uid="{00000000-0004-0000-3B00-00001A000000}"/>
    <hyperlink ref="B32" r:id="rId28" xr:uid="{00000000-0004-0000-3B00-00001B000000}"/>
    <hyperlink ref="B33" r:id="rId29" xr:uid="{00000000-0004-0000-3B00-00001C000000}"/>
    <hyperlink ref="B34" r:id="rId30" xr:uid="{00000000-0004-0000-3B00-00001D000000}"/>
    <hyperlink ref="B35" r:id="rId31" xr:uid="{00000000-0004-0000-3B00-00001E000000}"/>
    <hyperlink ref="B36" r:id="rId32" xr:uid="{00000000-0004-0000-3B00-00001F000000}"/>
    <hyperlink ref="B37" r:id="rId33" xr:uid="{00000000-0004-0000-3B00-000020000000}"/>
    <hyperlink ref="B38" r:id="rId34" xr:uid="{00000000-0004-0000-3B00-000021000000}"/>
    <hyperlink ref="B39" r:id="rId35" xr:uid="{00000000-0004-0000-3B00-000022000000}"/>
    <hyperlink ref="B40" r:id="rId36" xr:uid="{00000000-0004-0000-3B00-000023000000}"/>
    <hyperlink ref="B41" r:id="rId37" xr:uid="{00000000-0004-0000-3B00-000024000000}"/>
    <hyperlink ref="B42" r:id="rId38" xr:uid="{00000000-0004-0000-3B00-000025000000}"/>
    <hyperlink ref="B43" r:id="rId39" xr:uid="{00000000-0004-0000-3B00-000026000000}"/>
    <hyperlink ref="B44" r:id="rId40" xr:uid="{00000000-0004-0000-3B00-000027000000}"/>
    <hyperlink ref="B45" r:id="rId41" xr:uid="{00000000-0004-0000-3B00-000028000000}"/>
    <hyperlink ref="B46" r:id="rId42" xr:uid="{00000000-0004-0000-3B00-000029000000}"/>
    <hyperlink ref="B47" r:id="rId43" xr:uid="{00000000-0004-0000-3B00-00002A000000}"/>
    <hyperlink ref="B48" r:id="rId44" xr:uid="{00000000-0004-0000-3B00-00002B000000}"/>
    <hyperlink ref="B49" r:id="rId45" xr:uid="{00000000-0004-0000-3B00-00002C000000}"/>
    <hyperlink ref="B50" r:id="rId46" xr:uid="{00000000-0004-0000-3B00-00002D000000}"/>
    <hyperlink ref="B51" r:id="rId47" xr:uid="{00000000-0004-0000-3B00-00002E000000}"/>
    <hyperlink ref="B52" r:id="rId48" xr:uid="{00000000-0004-0000-3B00-00002F000000}"/>
    <hyperlink ref="B53" r:id="rId49" xr:uid="{00000000-0004-0000-3B00-000030000000}"/>
    <hyperlink ref="B54" r:id="rId50" xr:uid="{00000000-0004-0000-3B00-000031000000}"/>
    <hyperlink ref="B55" r:id="rId51" xr:uid="{00000000-0004-0000-3B00-000032000000}"/>
    <hyperlink ref="B56" r:id="rId52" xr:uid="{00000000-0004-0000-3B00-000033000000}"/>
    <hyperlink ref="B57" r:id="rId53" xr:uid="{00000000-0004-0000-3B00-000034000000}"/>
    <hyperlink ref="B58" r:id="rId54" xr:uid="{00000000-0004-0000-3B00-000035000000}"/>
    <hyperlink ref="B59" r:id="rId55" xr:uid="{00000000-0004-0000-3B00-000036000000}"/>
    <hyperlink ref="B60" r:id="rId56" xr:uid="{00000000-0004-0000-3B00-000037000000}"/>
    <hyperlink ref="B61" r:id="rId57" xr:uid="{00000000-0004-0000-3B00-000038000000}"/>
    <hyperlink ref="B62" r:id="rId58" xr:uid="{00000000-0004-0000-3B00-000039000000}"/>
    <hyperlink ref="B63" r:id="rId59" xr:uid="{00000000-0004-0000-3B00-00003A000000}"/>
    <hyperlink ref="B64" r:id="rId60" xr:uid="{00000000-0004-0000-3B00-00003B000000}"/>
    <hyperlink ref="B65" r:id="rId61" xr:uid="{00000000-0004-0000-3B00-00003C000000}"/>
    <hyperlink ref="B66" r:id="rId62" xr:uid="{00000000-0004-0000-3B00-00003D000000}"/>
    <hyperlink ref="B67" r:id="rId63" xr:uid="{00000000-0004-0000-3B00-00003E000000}"/>
    <hyperlink ref="B68" r:id="rId64" xr:uid="{00000000-0004-0000-3B00-00003F000000}"/>
    <hyperlink ref="B69" r:id="rId65" xr:uid="{00000000-0004-0000-3B00-000040000000}"/>
    <hyperlink ref="B70" r:id="rId66" xr:uid="{00000000-0004-0000-3B00-000041000000}"/>
    <hyperlink ref="B71" r:id="rId67" xr:uid="{00000000-0004-0000-3B00-000042000000}"/>
    <hyperlink ref="B72" r:id="rId68" xr:uid="{00000000-0004-0000-3B00-000043000000}"/>
    <hyperlink ref="B73" r:id="rId69" xr:uid="{00000000-0004-0000-3B00-000044000000}"/>
    <hyperlink ref="B74" r:id="rId70" xr:uid="{00000000-0004-0000-3B00-000045000000}"/>
    <hyperlink ref="B75" r:id="rId71" xr:uid="{00000000-0004-0000-3B00-000046000000}"/>
    <hyperlink ref="B76" r:id="rId72" xr:uid="{00000000-0004-0000-3B00-000047000000}"/>
    <hyperlink ref="B77" r:id="rId73" xr:uid="{00000000-0004-0000-3B00-000048000000}"/>
    <hyperlink ref="B78" r:id="rId74" xr:uid="{00000000-0004-0000-3B00-000049000000}"/>
    <hyperlink ref="B79" r:id="rId75" xr:uid="{00000000-0004-0000-3B00-00004A000000}"/>
    <hyperlink ref="B80" r:id="rId76" xr:uid="{00000000-0004-0000-3B00-00004B000000}"/>
    <hyperlink ref="B81" r:id="rId77" xr:uid="{00000000-0004-0000-3B00-00004C000000}"/>
    <hyperlink ref="B82" r:id="rId78" xr:uid="{00000000-0004-0000-3B00-00004D000000}"/>
    <hyperlink ref="B83" r:id="rId79" xr:uid="{00000000-0004-0000-3B00-00004E000000}"/>
    <hyperlink ref="B84" r:id="rId80" xr:uid="{00000000-0004-0000-3B00-00004F000000}"/>
    <hyperlink ref="B85" r:id="rId81" xr:uid="{00000000-0004-0000-3B00-000050000000}"/>
    <hyperlink ref="B86" r:id="rId82" xr:uid="{00000000-0004-0000-3B00-000051000000}"/>
    <hyperlink ref="B87" r:id="rId83" xr:uid="{00000000-0004-0000-3B00-000052000000}"/>
    <hyperlink ref="B88" r:id="rId84" xr:uid="{00000000-0004-0000-3B00-000053000000}"/>
    <hyperlink ref="B89" r:id="rId85" xr:uid="{00000000-0004-0000-3B00-000054000000}"/>
    <hyperlink ref="B90" r:id="rId86" xr:uid="{00000000-0004-0000-3B00-000055000000}"/>
    <hyperlink ref="B91" r:id="rId87" xr:uid="{00000000-0004-0000-3B00-000056000000}"/>
    <hyperlink ref="B92" r:id="rId88" xr:uid="{00000000-0004-0000-3B00-000057000000}"/>
    <hyperlink ref="B93" r:id="rId89" xr:uid="{00000000-0004-0000-3B00-000058000000}"/>
    <hyperlink ref="B94" r:id="rId90" xr:uid="{00000000-0004-0000-3B00-000059000000}"/>
    <hyperlink ref="B95" r:id="rId91" xr:uid="{00000000-0004-0000-3B00-00005A000000}"/>
    <hyperlink ref="B96" r:id="rId92" xr:uid="{00000000-0004-0000-3B00-00005B000000}"/>
    <hyperlink ref="B97" r:id="rId93" xr:uid="{00000000-0004-0000-3B00-00005C000000}"/>
    <hyperlink ref="B98" r:id="rId94" xr:uid="{00000000-0004-0000-3B00-00005D000000}"/>
    <hyperlink ref="B99" r:id="rId95" xr:uid="{00000000-0004-0000-3B00-00005E000000}"/>
    <hyperlink ref="B100" r:id="rId96" xr:uid="{00000000-0004-0000-3B00-00005F000000}"/>
    <hyperlink ref="B101" r:id="rId97" xr:uid="{00000000-0004-0000-3B00-000060000000}"/>
    <hyperlink ref="B102" r:id="rId98" xr:uid="{00000000-0004-0000-3B00-000061000000}"/>
    <hyperlink ref="B103" r:id="rId99" xr:uid="{00000000-0004-0000-3B00-000062000000}"/>
    <hyperlink ref="B104" r:id="rId100" xr:uid="{00000000-0004-0000-3B00-000063000000}"/>
    <hyperlink ref="B105" r:id="rId101" xr:uid="{00000000-0004-0000-3B00-000064000000}"/>
    <hyperlink ref="B106" r:id="rId102" xr:uid="{00000000-0004-0000-3B00-000065000000}"/>
    <hyperlink ref="B107" r:id="rId103" xr:uid="{00000000-0004-0000-3B00-000066000000}"/>
    <hyperlink ref="B108" r:id="rId104" xr:uid="{00000000-0004-0000-3B00-000067000000}"/>
    <hyperlink ref="B109" r:id="rId105" xr:uid="{00000000-0004-0000-3B00-000068000000}"/>
    <hyperlink ref="B110" r:id="rId106" xr:uid="{00000000-0004-0000-3B00-000069000000}"/>
    <hyperlink ref="B111" r:id="rId107" xr:uid="{00000000-0004-0000-3B00-00006A000000}"/>
    <hyperlink ref="B112" r:id="rId108" xr:uid="{00000000-0004-0000-3B00-00006B000000}"/>
    <hyperlink ref="B113" r:id="rId109" xr:uid="{00000000-0004-0000-3B00-00006C000000}"/>
    <hyperlink ref="B114" r:id="rId110" xr:uid="{00000000-0004-0000-3B00-00006D000000}"/>
    <hyperlink ref="B115" r:id="rId111" xr:uid="{00000000-0004-0000-3B00-00006E000000}"/>
    <hyperlink ref="B116" r:id="rId112" xr:uid="{00000000-0004-0000-3B00-00006F000000}"/>
    <hyperlink ref="B117" r:id="rId113" xr:uid="{00000000-0004-0000-3B00-000070000000}"/>
    <hyperlink ref="B118" r:id="rId114" xr:uid="{00000000-0004-0000-3B00-000071000000}"/>
    <hyperlink ref="B119" r:id="rId115" xr:uid="{00000000-0004-0000-3B00-000072000000}"/>
    <hyperlink ref="B120" r:id="rId116" xr:uid="{00000000-0004-0000-3B00-000073000000}"/>
    <hyperlink ref="B121" r:id="rId117" xr:uid="{00000000-0004-0000-3B00-000074000000}"/>
    <hyperlink ref="B122" r:id="rId118" xr:uid="{00000000-0004-0000-3B00-000075000000}"/>
    <hyperlink ref="B123" r:id="rId119" xr:uid="{00000000-0004-0000-3B00-000076000000}"/>
    <hyperlink ref="B124" r:id="rId120" xr:uid="{00000000-0004-0000-3B00-000077000000}"/>
    <hyperlink ref="B125" r:id="rId121" xr:uid="{00000000-0004-0000-3B00-000078000000}"/>
    <hyperlink ref="B126" r:id="rId122" xr:uid="{00000000-0004-0000-3B00-000079000000}"/>
    <hyperlink ref="B127" r:id="rId123" xr:uid="{00000000-0004-0000-3B00-00007A000000}"/>
    <hyperlink ref="B128" r:id="rId124" xr:uid="{00000000-0004-0000-3B00-00007B000000}"/>
    <hyperlink ref="B129" r:id="rId125" xr:uid="{00000000-0004-0000-3B00-00007C000000}"/>
    <hyperlink ref="B130" r:id="rId126" xr:uid="{00000000-0004-0000-3B00-00007D000000}"/>
    <hyperlink ref="B131" r:id="rId127" xr:uid="{00000000-0004-0000-3B00-00007E000000}"/>
    <hyperlink ref="B132" r:id="rId128" xr:uid="{00000000-0004-0000-3B00-00007F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4.1640625" customWidth="1"/>
    <col min="2" max="2" width="17.6640625" customWidth="1"/>
    <col min="3" max="3" width="13.5" customWidth="1"/>
    <col min="4" max="4" width="14.83203125" customWidth="1"/>
    <col min="5" max="5" width="14.33203125" customWidth="1"/>
    <col min="7" max="7" width="14.1640625" customWidth="1"/>
  </cols>
  <sheetData>
    <row r="1" spans="1:12" ht="15.75" customHeight="1">
      <c r="A1" s="1" t="s">
        <v>99</v>
      </c>
      <c r="B1" s="36"/>
      <c r="C1" s="37"/>
      <c r="D1" s="7" t="s">
        <v>181</v>
      </c>
    </row>
    <row r="2" spans="1:12" ht="15.75" customHeight="1">
      <c r="A2" s="7" t="s">
        <v>182</v>
      </c>
      <c r="B2" s="38">
        <v>41136</v>
      </c>
      <c r="C2" s="37"/>
      <c r="D2" s="39">
        <f>SUM(D5:G132)</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51" t="s">
        <v>4341</v>
      </c>
      <c r="B5" s="60" t="s">
        <v>352</v>
      </c>
      <c r="C5" s="51" t="s">
        <v>205</v>
      </c>
      <c r="D5" s="54"/>
      <c r="E5" s="5"/>
      <c r="F5" s="5"/>
      <c r="L5" s="43"/>
    </row>
    <row r="6" spans="1:12" ht="15.75" customHeight="1">
      <c r="A6" s="51" t="s">
        <v>4342</v>
      </c>
      <c r="B6" s="60" t="s">
        <v>335</v>
      </c>
      <c r="C6" s="51" t="s">
        <v>205</v>
      </c>
      <c r="D6" s="54"/>
      <c r="E6" s="5"/>
      <c r="F6" s="5"/>
    </row>
    <row r="7" spans="1:12" ht="15.75" customHeight="1">
      <c r="A7" s="51" t="s">
        <v>4343</v>
      </c>
      <c r="B7" s="60" t="s">
        <v>329</v>
      </c>
      <c r="C7" s="51" t="s">
        <v>205</v>
      </c>
      <c r="D7" s="54"/>
      <c r="E7" s="5"/>
      <c r="F7" s="5"/>
    </row>
    <row r="8" spans="1:12" ht="15.75" customHeight="1">
      <c r="A8" s="51" t="s">
        <v>4344</v>
      </c>
      <c r="B8" s="60" t="s">
        <v>770</v>
      </c>
      <c r="C8" s="51" t="s">
        <v>205</v>
      </c>
      <c r="D8" s="54"/>
      <c r="E8" s="5"/>
      <c r="F8" s="5"/>
    </row>
    <row r="9" spans="1:12" ht="15.75" customHeight="1">
      <c r="A9" s="51" t="s">
        <v>4345</v>
      </c>
      <c r="B9" s="60" t="s">
        <v>297</v>
      </c>
      <c r="C9" s="51" t="s">
        <v>205</v>
      </c>
      <c r="D9" s="51"/>
      <c r="E9" s="5"/>
      <c r="F9" s="51"/>
    </row>
    <row r="10" spans="1:12" ht="15.75" customHeight="1">
      <c r="A10" s="51" t="s">
        <v>4346</v>
      </c>
      <c r="B10" s="60" t="s">
        <v>3339</v>
      </c>
      <c r="C10" s="51" t="s">
        <v>205</v>
      </c>
      <c r="D10" s="54"/>
      <c r="E10" s="5"/>
      <c r="F10" s="51"/>
    </row>
    <row r="11" spans="1:12" ht="15.75" customHeight="1">
      <c r="A11" s="51" t="s">
        <v>4347</v>
      </c>
      <c r="B11" s="60" t="s">
        <v>232</v>
      </c>
      <c r="C11" s="51" t="s">
        <v>205</v>
      </c>
      <c r="D11" s="54"/>
      <c r="E11" s="5"/>
      <c r="F11" s="5"/>
    </row>
    <row r="12" spans="1:12" ht="15.75" customHeight="1">
      <c r="A12" s="51" t="s">
        <v>4348</v>
      </c>
      <c r="B12" s="60" t="s">
        <v>775</v>
      </c>
      <c r="C12" s="51" t="s">
        <v>205</v>
      </c>
      <c r="D12" s="54"/>
      <c r="E12" s="5"/>
      <c r="F12" s="51"/>
    </row>
    <row r="13" spans="1:12" ht="15.75" customHeight="1">
      <c r="A13" s="51" t="s">
        <v>4349</v>
      </c>
      <c r="B13" s="61" t="s">
        <v>4350</v>
      </c>
      <c r="C13" s="51" t="s">
        <v>205</v>
      </c>
      <c r="D13" s="54"/>
      <c r="E13" s="5"/>
      <c r="F13" s="51"/>
    </row>
    <row r="14" spans="1:12" ht="15.75" customHeight="1">
      <c r="A14" s="51" t="s">
        <v>4351</v>
      </c>
      <c r="B14" s="60" t="s">
        <v>3575</v>
      </c>
      <c r="C14" s="51" t="s">
        <v>205</v>
      </c>
      <c r="D14" s="54"/>
      <c r="E14" s="5"/>
      <c r="F14" s="5"/>
    </row>
    <row r="15" spans="1:12" ht="15.75" customHeight="1">
      <c r="A15" s="51" t="s">
        <v>4352</v>
      </c>
      <c r="B15" s="60" t="s">
        <v>4028</v>
      </c>
      <c r="C15" s="51" t="s">
        <v>205</v>
      </c>
      <c r="D15" s="54"/>
      <c r="E15" s="5"/>
      <c r="F15" s="5"/>
    </row>
    <row r="16" spans="1:12" ht="15.75" customHeight="1">
      <c r="A16" s="51" t="s">
        <v>4353</v>
      </c>
      <c r="B16" s="60" t="s">
        <v>4185</v>
      </c>
      <c r="C16" s="51" t="s">
        <v>205</v>
      </c>
      <c r="D16" s="54"/>
      <c r="E16" s="5"/>
      <c r="F16" s="51"/>
    </row>
    <row r="17" spans="1:4" ht="15.75" customHeight="1">
      <c r="A17" s="51" t="s">
        <v>4354</v>
      </c>
      <c r="B17" s="60" t="s">
        <v>4337</v>
      </c>
      <c r="C17" s="51" t="s">
        <v>205</v>
      </c>
      <c r="D17" s="54"/>
    </row>
    <row r="18" spans="1:4" ht="15.75" customHeight="1">
      <c r="A18" s="51" t="s">
        <v>4355</v>
      </c>
      <c r="B18" s="60" t="s">
        <v>4356</v>
      </c>
      <c r="C18" s="51" t="s">
        <v>205</v>
      </c>
      <c r="D18" s="54"/>
    </row>
    <row r="19" spans="1:4" ht="15.75" customHeight="1">
      <c r="A19" s="51" t="s">
        <v>4357</v>
      </c>
      <c r="B19" s="60" t="s">
        <v>4358</v>
      </c>
      <c r="C19" s="51" t="s">
        <v>205</v>
      </c>
      <c r="D19" s="54"/>
    </row>
    <row r="20" spans="1:4" ht="15.75" customHeight="1">
      <c r="A20" s="51" t="s">
        <v>4359</v>
      </c>
      <c r="B20" s="60" t="s">
        <v>4043</v>
      </c>
      <c r="C20" s="51" t="s">
        <v>205</v>
      </c>
      <c r="D20" s="54"/>
    </row>
    <row r="21" spans="1:4" ht="15.75" customHeight="1">
      <c r="A21" s="51" t="s">
        <v>4360</v>
      </c>
      <c r="B21" s="60" t="s">
        <v>4044</v>
      </c>
      <c r="C21" s="51" t="s">
        <v>205</v>
      </c>
      <c r="D21" s="54"/>
    </row>
    <row r="22" spans="1:4" ht="15.75" customHeight="1">
      <c r="A22" s="51" t="s">
        <v>4361</v>
      </c>
      <c r="B22" s="60" t="s">
        <v>278</v>
      </c>
      <c r="C22" s="51" t="s">
        <v>199</v>
      </c>
      <c r="D22" s="54"/>
    </row>
    <row r="23" spans="1:4" ht="15.75" customHeight="1">
      <c r="A23" s="51" t="s">
        <v>4362</v>
      </c>
      <c r="B23" s="60" t="s">
        <v>258</v>
      </c>
      <c r="C23" s="51" t="s">
        <v>199</v>
      </c>
      <c r="D23" s="54"/>
    </row>
    <row r="24" spans="1:4" ht="15.75" customHeight="1">
      <c r="A24" s="51" t="s">
        <v>4363</v>
      </c>
      <c r="B24" s="60" t="s">
        <v>243</v>
      </c>
      <c r="C24" s="51" t="s">
        <v>199</v>
      </c>
      <c r="D24" s="54"/>
    </row>
    <row r="25" spans="1:4" ht="15.75" customHeight="1">
      <c r="A25" s="51" t="s">
        <v>4364</v>
      </c>
      <c r="B25" s="60" t="s">
        <v>1300</v>
      </c>
      <c r="C25" s="51" t="s">
        <v>199</v>
      </c>
      <c r="D25" s="54"/>
    </row>
    <row r="26" spans="1:4" ht="15.75" customHeight="1">
      <c r="A26" s="51" t="s">
        <v>4365</v>
      </c>
      <c r="B26" s="60" t="s">
        <v>1214</v>
      </c>
      <c r="C26" s="51" t="s">
        <v>199</v>
      </c>
      <c r="D26" s="54"/>
    </row>
    <row r="27" spans="1:4" ht="15.75" customHeight="1">
      <c r="A27" s="51" t="s">
        <v>4366</v>
      </c>
      <c r="B27" s="60" t="s">
        <v>4053</v>
      </c>
      <c r="C27" s="51" t="s">
        <v>199</v>
      </c>
      <c r="D27" s="54"/>
    </row>
    <row r="28" spans="1:4" ht="15.75" customHeight="1">
      <c r="A28" s="51" t="s">
        <v>4367</v>
      </c>
      <c r="B28" s="60" t="s">
        <v>4030</v>
      </c>
      <c r="C28" s="51" t="s">
        <v>199</v>
      </c>
      <c r="D28" s="54"/>
    </row>
    <row r="29" spans="1:4" ht="15.75" customHeight="1">
      <c r="A29" s="51" t="s">
        <v>4368</v>
      </c>
      <c r="B29" s="60" t="s">
        <v>4186</v>
      </c>
      <c r="C29" s="51" t="s">
        <v>199</v>
      </c>
      <c r="D29" s="54"/>
    </row>
    <row r="30" spans="1:4" ht="15.75" customHeight="1">
      <c r="A30" s="51" t="s">
        <v>4369</v>
      </c>
      <c r="B30" s="60" t="s">
        <v>4144</v>
      </c>
      <c r="C30" s="51" t="s">
        <v>199</v>
      </c>
      <c r="D30" s="54"/>
    </row>
    <row r="31" spans="1:4" ht="15.75" customHeight="1">
      <c r="A31" s="51" t="s">
        <v>4370</v>
      </c>
      <c r="B31" s="60" t="s">
        <v>4122</v>
      </c>
      <c r="C31" s="51" t="s">
        <v>199</v>
      </c>
      <c r="D31" s="51"/>
    </row>
    <row r="32" spans="1:4" ht="15.75" customHeight="1">
      <c r="A32" s="51" t="s">
        <v>4371</v>
      </c>
      <c r="B32" s="60" t="s">
        <v>4131</v>
      </c>
      <c r="C32" s="51" t="s">
        <v>199</v>
      </c>
      <c r="D32" s="54"/>
    </row>
    <row r="33" spans="1:4" ht="15.75" customHeight="1">
      <c r="A33" s="51" t="s">
        <v>4372</v>
      </c>
      <c r="B33" s="60" t="s">
        <v>294</v>
      </c>
      <c r="C33" s="51" t="s">
        <v>208</v>
      </c>
      <c r="D33" s="54"/>
    </row>
    <row r="34" spans="1:4" ht="15.75" customHeight="1">
      <c r="A34" s="51" t="s">
        <v>4373</v>
      </c>
      <c r="B34" s="60" t="s">
        <v>274</v>
      </c>
      <c r="C34" s="51" t="s">
        <v>208</v>
      </c>
      <c r="D34" s="54"/>
    </row>
    <row r="35" spans="1:4" ht="15.75" customHeight="1">
      <c r="A35" s="51" t="s">
        <v>4374</v>
      </c>
      <c r="B35" s="60" t="s">
        <v>240</v>
      </c>
      <c r="C35" s="51" t="s">
        <v>208</v>
      </c>
      <c r="D35" s="54"/>
    </row>
    <row r="36" spans="1:4" ht="15.75" customHeight="1">
      <c r="A36" s="51" t="s">
        <v>4375</v>
      </c>
      <c r="B36" s="60" t="s">
        <v>207</v>
      </c>
      <c r="C36" s="51" t="s">
        <v>208</v>
      </c>
      <c r="D36" s="54"/>
    </row>
    <row r="37" spans="1:4" ht="15.75" customHeight="1">
      <c r="A37" s="51" t="s">
        <v>4376</v>
      </c>
      <c r="B37" s="60" t="s">
        <v>207</v>
      </c>
      <c r="C37" s="51" t="s">
        <v>208</v>
      </c>
      <c r="D37" s="54"/>
    </row>
    <row r="38" spans="1:4" ht="15.75" customHeight="1">
      <c r="A38" s="51" t="s">
        <v>4377</v>
      </c>
      <c r="B38" s="60" t="s">
        <v>369</v>
      </c>
      <c r="C38" s="51" t="s">
        <v>208</v>
      </c>
      <c r="D38" s="54"/>
    </row>
    <row r="39" spans="1:4" ht="15.75" customHeight="1">
      <c r="A39" s="51" t="s">
        <v>4378</v>
      </c>
      <c r="B39" s="60" t="s">
        <v>369</v>
      </c>
      <c r="C39" s="51" t="s">
        <v>208</v>
      </c>
      <c r="D39" s="54"/>
    </row>
    <row r="40" spans="1:4" ht="15.75" customHeight="1">
      <c r="A40" s="51" t="s">
        <v>4379</v>
      </c>
      <c r="B40" s="60" t="s">
        <v>215</v>
      </c>
      <c r="C40" s="51" t="s">
        <v>208</v>
      </c>
      <c r="D40" s="54"/>
    </row>
    <row r="41" spans="1:4" ht="15.75" customHeight="1">
      <c r="A41" s="51" t="s">
        <v>4380</v>
      </c>
      <c r="B41" s="60" t="s">
        <v>768</v>
      </c>
      <c r="C41" s="51" t="s">
        <v>208</v>
      </c>
      <c r="D41" s="54"/>
    </row>
    <row r="42" spans="1:4" ht="15.75" customHeight="1">
      <c r="A42" s="51" t="s">
        <v>4381</v>
      </c>
      <c r="B42" s="60" t="s">
        <v>970</v>
      </c>
      <c r="C42" s="51" t="s">
        <v>208</v>
      </c>
      <c r="D42" s="51"/>
    </row>
    <row r="43" spans="1:4" ht="15.75" customHeight="1">
      <c r="A43" s="51" t="s">
        <v>4382</v>
      </c>
      <c r="B43" s="60" t="s">
        <v>4031</v>
      </c>
      <c r="C43" s="51" t="s">
        <v>208</v>
      </c>
      <c r="D43" s="51"/>
    </row>
    <row r="44" spans="1:4" ht="15.75" customHeight="1">
      <c r="A44" s="51" t="s">
        <v>4383</v>
      </c>
      <c r="B44" s="60" t="s">
        <v>4187</v>
      </c>
      <c r="C44" s="51" t="s">
        <v>208</v>
      </c>
      <c r="D44" s="51"/>
    </row>
    <row r="45" spans="1:4" ht="15.75" customHeight="1">
      <c r="A45" s="51" t="s">
        <v>4384</v>
      </c>
      <c r="B45" s="60" t="s">
        <v>4385</v>
      </c>
      <c r="C45" s="51" t="s">
        <v>208</v>
      </c>
      <c r="D45" s="54"/>
    </row>
    <row r="46" spans="1:4" ht="15.75" customHeight="1">
      <c r="A46" s="51" t="s">
        <v>4386</v>
      </c>
      <c r="B46" s="60" t="s">
        <v>4149</v>
      </c>
      <c r="C46" s="51" t="s">
        <v>208</v>
      </c>
      <c r="D46" s="54"/>
    </row>
    <row r="47" spans="1:4" ht="15.75" customHeight="1">
      <c r="A47" s="51" t="s">
        <v>4387</v>
      </c>
      <c r="B47" s="60" t="s">
        <v>4150</v>
      </c>
      <c r="C47" s="51" t="s">
        <v>208</v>
      </c>
      <c r="D47" s="54"/>
    </row>
    <row r="48" spans="1:4" ht="15.75" customHeight="1">
      <c r="A48" s="51" t="s">
        <v>4388</v>
      </c>
      <c r="B48" s="60" t="s">
        <v>4067</v>
      </c>
      <c r="C48" s="51" t="s">
        <v>208</v>
      </c>
      <c r="D48" s="54"/>
    </row>
    <row r="49" spans="1:4" ht="15.75" customHeight="1">
      <c r="A49" s="51" t="s">
        <v>4389</v>
      </c>
      <c r="B49" s="60" t="s">
        <v>4068</v>
      </c>
      <c r="C49" s="51" t="s">
        <v>208</v>
      </c>
      <c r="D49" s="54"/>
    </row>
    <row r="50" spans="1:4" ht="15.75" customHeight="1">
      <c r="A50" s="51" t="s">
        <v>4390</v>
      </c>
      <c r="B50" s="60" t="s">
        <v>4069</v>
      </c>
      <c r="C50" s="51" t="s">
        <v>208</v>
      </c>
      <c r="D50" s="51"/>
    </row>
    <row r="51" spans="1:4" ht="15.75" customHeight="1">
      <c r="A51" s="51" t="s">
        <v>4391</v>
      </c>
      <c r="B51" s="60" t="s">
        <v>4392</v>
      </c>
      <c r="C51" s="51" t="s">
        <v>208</v>
      </c>
      <c r="D51" s="54"/>
    </row>
    <row r="52" spans="1:4" ht="15.75" customHeight="1">
      <c r="A52" s="51" t="s">
        <v>4393</v>
      </c>
      <c r="B52" s="60" t="s">
        <v>4392</v>
      </c>
      <c r="C52" s="51" t="s">
        <v>192</v>
      </c>
      <c r="D52" s="54"/>
    </row>
    <row r="53" spans="1:4" ht="13">
      <c r="A53" s="51" t="s">
        <v>4394</v>
      </c>
      <c r="B53" s="61" t="s">
        <v>4395</v>
      </c>
      <c r="C53" s="51" t="s">
        <v>192</v>
      </c>
      <c r="D53" s="54"/>
    </row>
    <row r="54" spans="1:4" ht="13">
      <c r="A54" s="51" t="s">
        <v>4396</v>
      </c>
      <c r="B54" s="60" t="s">
        <v>191</v>
      </c>
      <c r="C54" s="51" t="s">
        <v>192</v>
      </c>
      <c r="D54" s="54"/>
    </row>
    <row r="55" spans="1:4" ht="13">
      <c r="A55" s="51" t="s">
        <v>4397</v>
      </c>
      <c r="B55" s="60" t="s">
        <v>298</v>
      </c>
      <c r="C55" s="51" t="s">
        <v>192</v>
      </c>
      <c r="D55" s="54"/>
    </row>
    <row r="56" spans="1:4" ht="13">
      <c r="A56" s="51" t="s">
        <v>4398</v>
      </c>
      <c r="B56" s="60" t="s">
        <v>256</v>
      </c>
      <c r="C56" s="51" t="s">
        <v>192</v>
      </c>
      <c r="D56" s="54"/>
    </row>
    <row r="57" spans="1:4" ht="13">
      <c r="A57" s="51" t="s">
        <v>4399</v>
      </c>
      <c r="B57" s="60" t="s">
        <v>193</v>
      </c>
      <c r="C57" s="51" t="s">
        <v>192</v>
      </c>
      <c r="D57" s="51"/>
    </row>
    <row r="58" spans="1:4" ht="13">
      <c r="A58" s="51" t="s">
        <v>4400</v>
      </c>
      <c r="B58" s="60" t="s">
        <v>3110</v>
      </c>
      <c r="C58" s="51" t="s">
        <v>192</v>
      </c>
      <c r="D58" s="54"/>
    </row>
    <row r="59" spans="1:4" ht="13">
      <c r="A59" s="51" t="s">
        <v>4401</v>
      </c>
      <c r="B59" s="60" t="s">
        <v>860</v>
      </c>
      <c r="C59" s="51" t="s">
        <v>192</v>
      </c>
      <c r="D59" s="54"/>
    </row>
    <row r="60" spans="1:4" ht="13">
      <c r="A60" s="51" t="s">
        <v>4402</v>
      </c>
      <c r="B60" s="60" t="s">
        <v>4033</v>
      </c>
      <c r="C60" s="51" t="s">
        <v>192</v>
      </c>
      <c r="D60" s="54"/>
    </row>
    <row r="61" spans="1:4" ht="13">
      <c r="A61" s="51" t="s">
        <v>4403</v>
      </c>
      <c r="B61" s="60" t="s">
        <v>4071</v>
      </c>
      <c r="C61" s="51" t="s">
        <v>192</v>
      </c>
      <c r="D61" s="54"/>
    </row>
    <row r="62" spans="1:4" ht="13">
      <c r="A62" s="51" t="s">
        <v>4404</v>
      </c>
      <c r="B62" s="60" t="s">
        <v>945</v>
      </c>
      <c r="C62" s="51" t="s">
        <v>195</v>
      </c>
      <c r="D62" s="54"/>
    </row>
    <row r="63" spans="1:4" ht="13">
      <c r="A63" s="51" t="s">
        <v>4405</v>
      </c>
      <c r="B63" s="60" t="s">
        <v>1584</v>
      </c>
      <c r="C63" s="51" t="s">
        <v>195</v>
      </c>
      <c r="D63" s="54"/>
    </row>
    <row r="64" spans="1:4" ht="13">
      <c r="A64" s="51" t="s">
        <v>4406</v>
      </c>
      <c r="B64" s="60" t="s">
        <v>1499</v>
      </c>
      <c r="C64" s="51" t="s">
        <v>195</v>
      </c>
      <c r="D64" s="54"/>
    </row>
    <row r="65" spans="1:4" ht="13">
      <c r="A65" s="51" t="s">
        <v>4407</v>
      </c>
      <c r="B65" s="60" t="s">
        <v>1437</v>
      </c>
      <c r="C65" s="51" t="s">
        <v>195</v>
      </c>
      <c r="D65" s="5"/>
    </row>
    <row r="66" spans="1:4" ht="13">
      <c r="A66" s="51" t="s">
        <v>4408</v>
      </c>
      <c r="B66" s="60" t="s">
        <v>1361</v>
      </c>
      <c r="C66" s="51" t="s">
        <v>195</v>
      </c>
      <c r="D66" s="54"/>
    </row>
    <row r="67" spans="1:4" ht="13">
      <c r="A67" s="51" t="s">
        <v>4409</v>
      </c>
      <c r="B67" s="60" t="s">
        <v>3076</v>
      </c>
      <c r="C67" s="51" t="s">
        <v>195</v>
      </c>
      <c r="D67" s="54"/>
    </row>
    <row r="68" spans="1:4" ht="13">
      <c r="A68" s="51" t="s">
        <v>4410</v>
      </c>
      <c r="B68" s="60" t="s">
        <v>3250</v>
      </c>
      <c r="C68" s="51" t="s">
        <v>195</v>
      </c>
      <c r="D68" s="54"/>
    </row>
    <row r="69" spans="1:4" ht="13">
      <c r="A69" s="51" t="s">
        <v>4411</v>
      </c>
      <c r="B69" s="60" t="s">
        <v>3250</v>
      </c>
      <c r="C69" s="51" t="s">
        <v>195</v>
      </c>
      <c r="D69" s="54"/>
    </row>
    <row r="70" spans="1:4" ht="13">
      <c r="A70" s="51" t="s">
        <v>4412</v>
      </c>
      <c r="B70" s="60" t="s">
        <v>3203</v>
      </c>
      <c r="C70" s="51" t="s">
        <v>195</v>
      </c>
      <c r="D70" s="54"/>
    </row>
    <row r="71" spans="1:4" ht="13">
      <c r="A71" s="51" t="s">
        <v>4413</v>
      </c>
      <c r="B71" s="61" t="s">
        <v>4414</v>
      </c>
      <c r="C71" s="51" t="s">
        <v>195</v>
      </c>
      <c r="D71" s="54"/>
    </row>
    <row r="72" spans="1:4" ht="13">
      <c r="A72" s="51" t="s">
        <v>4415</v>
      </c>
      <c r="B72" s="60" t="s">
        <v>4034</v>
      </c>
      <c r="C72" s="51" t="s">
        <v>195</v>
      </c>
      <c r="D72" s="54"/>
    </row>
    <row r="73" spans="1:4" ht="13">
      <c r="A73" s="51" t="s">
        <v>4416</v>
      </c>
      <c r="B73" s="60" t="s">
        <v>4130</v>
      </c>
      <c r="C73" s="51" t="s">
        <v>195</v>
      </c>
      <c r="D73" s="54"/>
    </row>
    <row r="74" spans="1:4" ht="13">
      <c r="A74" s="51" t="s">
        <v>4417</v>
      </c>
      <c r="B74" s="60" t="s">
        <v>4153</v>
      </c>
      <c r="C74" s="51" t="s">
        <v>195</v>
      </c>
      <c r="D74" s="54"/>
    </row>
    <row r="75" spans="1:4" ht="13">
      <c r="A75" s="51" t="s">
        <v>4418</v>
      </c>
      <c r="B75" s="60" t="s">
        <v>4419</v>
      </c>
      <c r="C75" s="51" t="s">
        <v>195</v>
      </c>
      <c r="D75" s="54"/>
    </row>
    <row r="76" spans="1:4" ht="13">
      <c r="A76" s="51" t="s">
        <v>4420</v>
      </c>
      <c r="B76" s="60" t="s">
        <v>4421</v>
      </c>
      <c r="C76" s="51" t="s">
        <v>195</v>
      </c>
      <c r="D76" s="54"/>
    </row>
    <row r="77" spans="1:4" ht="13">
      <c r="A77" s="51" t="s">
        <v>4422</v>
      </c>
      <c r="B77" s="60" t="s">
        <v>4423</v>
      </c>
      <c r="C77" s="51" t="s">
        <v>195</v>
      </c>
      <c r="D77" s="54"/>
    </row>
    <row r="78" spans="1:4" ht="13">
      <c r="A78" s="51" t="s">
        <v>4424</v>
      </c>
      <c r="B78" s="60" t="s">
        <v>4425</v>
      </c>
      <c r="C78" s="51" t="s">
        <v>195</v>
      </c>
      <c r="D78" s="54"/>
    </row>
    <row r="79" spans="1:4" ht="13">
      <c r="A79" s="51" t="s">
        <v>4426</v>
      </c>
      <c r="B79" s="60" t="s">
        <v>4247</v>
      </c>
      <c r="C79" s="51" t="s">
        <v>195</v>
      </c>
      <c r="D79" s="54"/>
    </row>
    <row r="80" spans="1:4" ht="13">
      <c r="A80" s="51" t="s">
        <v>4427</v>
      </c>
      <c r="B80" s="60" t="s">
        <v>4249</v>
      </c>
      <c r="C80" s="51" t="s">
        <v>195</v>
      </c>
      <c r="D80" s="54"/>
    </row>
    <row r="81" spans="1:4" ht="13">
      <c r="A81" s="51" t="s">
        <v>4428</v>
      </c>
      <c r="B81" s="60" t="s">
        <v>4429</v>
      </c>
      <c r="C81" s="51" t="s">
        <v>195</v>
      </c>
      <c r="D81" s="54"/>
    </row>
    <row r="82" spans="1:4" ht="13">
      <c r="A82" s="51" t="s">
        <v>4430</v>
      </c>
      <c r="B82" s="60" t="s">
        <v>293</v>
      </c>
      <c r="C82" s="51" t="s">
        <v>225</v>
      </c>
      <c r="D82" s="54"/>
    </row>
    <row r="83" spans="1:4" ht="13">
      <c r="A83" s="51" t="s">
        <v>4431</v>
      </c>
      <c r="B83" s="60" t="s">
        <v>374</v>
      </c>
      <c r="C83" s="51" t="s">
        <v>225</v>
      </c>
      <c r="D83" s="54"/>
    </row>
    <row r="84" spans="1:4" ht="13">
      <c r="A84" s="51" t="s">
        <v>4432</v>
      </c>
      <c r="B84" s="60" t="s">
        <v>867</v>
      </c>
      <c r="C84" s="51" t="s">
        <v>225</v>
      </c>
      <c r="D84" s="54"/>
    </row>
    <row r="85" spans="1:4" ht="13">
      <c r="A85" s="51" t="s">
        <v>4433</v>
      </c>
      <c r="B85" s="60" t="s">
        <v>3082</v>
      </c>
      <c r="C85" s="51" t="s">
        <v>225</v>
      </c>
      <c r="D85" s="54"/>
    </row>
    <row r="86" spans="1:4" ht="13">
      <c r="A86" s="51" t="s">
        <v>4434</v>
      </c>
      <c r="B86" s="60" t="s">
        <v>1294</v>
      </c>
      <c r="C86" s="51" t="s">
        <v>225</v>
      </c>
      <c r="D86" s="54"/>
    </row>
    <row r="87" spans="1:4" ht="13">
      <c r="A87" s="51" t="s">
        <v>4435</v>
      </c>
      <c r="B87" s="60" t="s">
        <v>1461</v>
      </c>
      <c r="C87" s="51" t="s">
        <v>225</v>
      </c>
      <c r="D87" s="54"/>
    </row>
    <row r="88" spans="1:4" ht="13">
      <c r="A88" s="51" t="s">
        <v>4436</v>
      </c>
      <c r="B88" s="60" t="s">
        <v>4045</v>
      </c>
      <c r="C88" s="51" t="s">
        <v>225</v>
      </c>
      <c r="D88" s="54"/>
    </row>
    <row r="89" spans="1:4" ht="13">
      <c r="A89" s="51" t="s">
        <v>4437</v>
      </c>
      <c r="B89" s="60" t="s">
        <v>4046</v>
      </c>
      <c r="C89" s="51" t="s">
        <v>225</v>
      </c>
      <c r="D89" s="54"/>
    </row>
    <row r="90" spans="1:4" ht="13">
      <c r="A90" s="51" t="s">
        <v>4438</v>
      </c>
      <c r="B90" s="60" t="s">
        <v>4095</v>
      </c>
      <c r="C90" s="51" t="s">
        <v>225</v>
      </c>
      <c r="D90" s="54"/>
    </row>
    <row r="91" spans="1:4" ht="13">
      <c r="A91" s="51" t="s">
        <v>4439</v>
      </c>
      <c r="B91" s="60" t="s">
        <v>4095</v>
      </c>
      <c r="C91" s="51" t="s">
        <v>225</v>
      </c>
      <c r="D91" s="54"/>
    </row>
    <row r="92" spans="1:4" ht="13">
      <c r="A92" s="51" t="s">
        <v>4440</v>
      </c>
      <c r="B92" s="60" t="s">
        <v>4096</v>
      </c>
      <c r="C92" s="51" t="s">
        <v>225</v>
      </c>
      <c r="D92" s="54"/>
    </row>
    <row r="93" spans="1:4" ht="13">
      <c r="A93" s="51" t="s">
        <v>4441</v>
      </c>
      <c r="B93" s="61" t="s">
        <v>4442</v>
      </c>
      <c r="C93" s="51" t="s">
        <v>225</v>
      </c>
      <c r="D93" s="54"/>
    </row>
    <row r="94" spans="1:4" ht="13">
      <c r="A94" s="51" t="s">
        <v>4443</v>
      </c>
      <c r="B94" s="60" t="s">
        <v>4188</v>
      </c>
      <c r="C94" s="51" t="s">
        <v>808</v>
      </c>
      <c r="D94" s="54"/>
    </row>
    <row r="95" spans="1:4" ht="13">
      <c r="A95" s="51" t="s">
        <v>4444</v>
      </c>
      <c r="B95" s="60" t="s">
        <v>4445</v>
      </c>
      <c r="C95" s="51" t="s">
        <v>808</v>
      </c>
      <c r="D95" s="54"/>
    </row>
    <row r="96" spans="1:4" ht="13">
      <c r="A96" s="51" t="s">
        <v>4446</v>
      </c>
      <c r="B96" s="60" t="s">
        <v>4158</v>
      </c>
      <c r="C96" s="51" t="s">
        <v>808</v>
      </c>
      <c r="D96" s="5"/>
    </row>
    <row r="97" spans="1:4" ht="13">
      <c r="A97" s="51" t="s">
        <v>4447</v>
      </c>
      <c r="B97" s="60" t="s">
        <v>4448</v>
      </c>
      <c r="C97" s="51" t="s">
        <v>808</v>
      </c>
      <c r="D97" s="54"/>
    </row>
    <row r="98" spans="1:4" ht="13">
      <c r="A98" s="51" t="s">
        <v>4449</v>
      </c>
      <c r="B98" s="60" t="s">
        <v>219</v>
      </c>
      <c r="C98" s="51" t="s">
        <v>220</v>
      </c>
      <c r="D98" s="54"/>
    </row>
    <row r="99" spans="1:4" ht="13">
      <c r="A99" s="51" t="s">
        <v>4450</v>
      </c>
      <c r="B99" s="60" t="s">
        <v>787</v>
      </c>
      <c r="C99" s="51" t="s">
        <v>220</v>
      </c>
      <c r="D99" s="54"/>
    </row>
    <row r="100" spans="1:4" ht="13">
      <c r="A100" s="51" t="s">
        <v>4451</v>
      </c>
      <c r="B100" s="60" t="s">
        <v>787</v>
      </c>
      <c r="C100" s="51" t="s">
        <v>220</v>
      </c>
      <c r="D100" s="54"/>
    </row>
    <row r="101" spans="1:4" ht="13">
      <c r="A101" s="51" t="s">
        <v>4452</v>
      </c>
      <c r="B101" s="60" t="s">
        <v>4037</v>
      </c>
      <c r="C101" s="51" t="s">
        <v>220</v>
      </c>
      <c r="D101" s="54"/>
    </row>
    <row r="102" spans="1:4" ht="13">
      <c r="A102" s="51" t="s">
        <v>4453</v>
      </c>
      <c r="B102" s="60" t="s">
        <v>1524</v>
      </c>
      <c r="C102" s="51" t="s">
        <v>4285</v>
      </c>
      <c r="D102" s="54"/>
    </row>
    <row r="103" spans="1:4" ht="13">
      <c r="A103" s="51" t="s">
        <v>4454</v>
      </c>
      <c r="B103" s="60" t="s">
        <v>1200</v>
      </c>
      <c r="C103" s="51" t="s">
        <v>4285</v>
      </c>
      <c r="D103" s="54"/>
    </row>
    <row r="104" spans="1:4" ht="13">
      <c r="A104" s="51" t="s">
        <v>4455</v>
      </c>
      <c r="B104" s="60" t="s">
        <v>4456</v>
      </c>
      <c r="C104" s="51" t="s">
        <v>4285</v>
      </c>
      <c r="D104" s="54"/>
    </row>
    <row r="105" spans="1:4" ht="13">
      <c r="A105" s="51" t="s">
        <v>4457</v>
      </c>
      <c r="B105" s="61" t="s">
        <v>4458</v>
      </c>
      <c r="C105" s="51" t="s">
        <v>4285</v>
      </c>
      <c r="D105" s="54"/>
    </row>
    <row r="106" spans="1:4" ht="13">
      <c r="A106" s="51" t="s">
        <v>4459</v>
      </c>
      <c r="B106" s="60" t="s">
        <v>4460</v>
      </c>
      <c r="C106" s="51" t="s">
        <v>4285</v>
      </c>
      <c r="D106" s="54"/>
    </row>
    <row r="107" spans="1:4" ht="13">
      <c r="A107" s="51" t="s">
        <v>4461</v>
      </c>
      <c r="B107" s="61" t="s">
        <v>4462</v>
      </c>
      <c r="C107" s="51" t="s">
        <v>4285</v>
      </c>
      <c r="D107" s="5"/>
    </row>
    <row r="108" spans="1:4" ht="13">
      <c r="A108" s="51" t="s">
        <v>4463</v>
      </c>
      <c r="B108" s="60" t="s">
        <v>292</v>
      </c>
      <c r="C108" s="51" t="s">
        <v>197</v>
      </c>
      <c r="D108" s="5"/>
    </row>
    <row r="109" spans="1:4" ht="13">
      <c r="A109" s="51" t="s">
        <v>4464</v>
      </c>
      <c r="B109" s="60" t="s">
        <v>272</v>
      </c>
      <c r="C109" s="51" t="s">
        <v>197</v>
      </c>
      <c r="D109" s="54"/>
    </row>
    <row r="110" spans="1:4" ht="13">
      <c r="A110" s="51" t="s">
        <v>4465</v>
      </c>
      <c r="B110" s="60" t="s">
        <v>202</v>
      </c>
      <c r="C110" s="51" t="s">
        <v>197</v>
      </c>
      <c r="D110" s="54"/>
    </row>
    <row r="111" spans="1:4" ht="13">
      <c r="A111" s="51" t="s">
        <v>4466</v>
      </c>
      <c r="B111" s="60" t="s">
        <v>261</v>
      </c>
      <c r="C111" s="51" t="s">
        <v>197</v>
      </c>
      <c r="D111" s="54"/>
    </row>
    <row r="112" spans="1:4" ht="13">
      <c r="A112" s="51" t="s">
        <v>4467</v>
      </c>
      <c r="B112" s="60" t="s">
        <v>359</v>
      </c>
      <c r="C112" s="51" t="s">
        <v>197</v>
      </c>
      <c r="D112" s="54"/>
    </row>
    <row r="113" spans="1:4" ht="13">
      <c r="A113" s="51" t="s">
        <v>4468</v>
      </c>
      <c r="B113" s="60" t="s">
        <v>233</v>
      </c>
      <c r="C113" s="51" t="s">
        <v>197</v>
      </c>
      <c r="D113" s="51"/>
    </row>
    <row r="114" spans="1:4" ht="13">
      <c r="A114" s="51" t="s">
        <v>4469</v>
      </c>
      <c r="B114" s="60" t="s">
        <v>216</v>
      </c>
      <c r="C114" s="51" t="s">
        <v>197</v>
      </c>
      <c r="D114" s="54"/>
    </row>
    <row r="115" spans="1:4" ht="13">
      <c r="A115" s="51" t="s">
        <v>4470</v>
      </c>
      <c r="B115" s="60" t="s">
        <v>954</v>
      </c>
      <c r="C115" s="51" t="s">
        <v>197</v>
      </c>
      <c r="D115" s="54"/>
    </row>
    <row r="116" spans="1:4" ht="13">
      <c r="A116" s="51" t="s">
        <v>4471</v>
      </c>
      <c r="B116" s="60" t="s">
        <v>1315</v>
      </c>
      <c r="C116" s="51" t="s">
        <v>197</v>
      </c>
      <c r="D116" s="5"/>
    </row>
    <row r="117" spans="1:4" ht="13">
      <c r="A117" s="51" t="s">
        <v>4472</v>
      </c>
      <c r="B117" s="60" t="s">
        <v>1276</v>
      </c>
      <c r="C117" s="51" t="s">
        <v>197</v>
      </c>
      <c r="D117" s="51"/>
    </row>
    <row r="118" spans="1:4" ht="13">
      <c r="A118" s="51" t="s">
        <v>4473</v>
      </c>
      <c r="B118" s="60" t="s">
        <v>1216</v>
      </c>
      <c r="C118" s="51" t="s">
        <v>197</v>
      </c>
      <c r="D118" s="54"/>
    </row>
    <row r="119" spans="1:4" ht="13">
      <c r="A119" s="51" t="s">
        <v>4474</v>
      </c>
      <c r="B119" s="60" t="s">
        <v>1857</v>
      </c>
      <c r="C119" s="51" t="s">
        <v>197</v>
      </c>
      <c r="D119" s="54"/>
    </row>
    <row r="120" spans="1:4" ht="13">
      <c r="A120" s="51" t="s">
        <v>4475</v>
      </c>
      <c r="B120" s="60" t="s">
        <v>3025</v>
      </c>
      <c r="C120" s="51" t="s">
        <v>197</v>
      </c>
      <c r="D120" s="54"/>
    </row>
    <row r="121" spans="1:4" ht="13">
      <c r="A121" s="51" t="s">
        <v>4476</v>
      </c>
      <c r="B121" s="60" t="s">
        <v>3127</v>
      </c>
      <c r="C121" s="51" t="s">
        <v>197</v>
      </c>
      <c r="D121" s="51"/>
    </row>
    <row r="122" spans="1:4" ht="13">
      <c r="A122" s="51" t="s">
        <v>4477</v>
      </c>
      <c r="B122" s="60" t="s">
        <v>4478</v>
      </c>
      <c r="C122" s="51" t="s">
        <v>197</v>
      </c>
      <c r="D122" s="54"/>
    </row>
    <row r="123" spans="1:4" ht="13">
      <c r="A123" s="51" t="s">
        <v>4479</v>
      </c>
      <c r="B123" s="60" t="s">
        <v>4480</v>
      </c>
      <c r="C123" s="51" t="s">
        <v>197</v>
      </c>
      <c r="D123" s="54"/>
    </row>
    <row r="124" spans="1:4" ht="13">
      <c r="A124" s="51" t="s">
        <v>4481</v>
      </c>
      <c r="B124" s="60" t="s">
        <v>4161</v>
      </c>
      <c r="C124" s="51" t="s">
        <v>197</v>
      </c>
      <c r="D124" s="54"/>
    </row>
    <row r="125" spans="1:4" ht="13">
      <c r="A125" s="51" t="s">
        <v>4482</v>
      </c>
      <c r="B125" s="60" t="s">
        <v>4162</v>
      </c>
      <c r="C125" s="51" t="s">
        <v>197</v>
      </c>
      <c r="D125" s="54"/>
    </row>
    <row r="126" spans="1:4" ht="13">
      <c r="A126" s="51" t="s">
        <v>4483</v>
      </c>
      <c r="B126" s="60" t="s">
        <v>4163</v>
      </c>
      <c r="C126" s="51" t="s">
        <v>197</v>
      </c>
      <c r="D126" s="54"/>
    </row>
    <row r="127" spans="1:4" ht="13">
      <c r="A127" s="51" t="s">
        <v>4484</v>
      </c>
      <c r="B127" s="60" t="s">
        <v>4038</v>
      </c>
      <c r="C127" s="51" t="s">
        <v>197</v>
      </c>
      <c r="D127" s="54"/>
    </row>
    <row r="128" spans="1:4" ht="13">
      <c r="A128" s="51" t="s">
        <v>4485</v>
      </c>
      <c r="B128" s="60" t="s">
        <v>4486</v>
      </c>
      <c r="C128" s="51" t="s">
        <v>197</v>
      </c>
      <c r="D128" s="54"/>
    </row>
    <row r="129" spans="1:4" ht="13">
      <c r="A129" s="51" t="s">
        <v>4487</v>
      </c>
      <c r="B129" s="60" t="s">
        <v>4488</v>
      </c>
      <c r="C129" s="51" t="s">
        <v>197</v>
      </c>
      <c r="D129" s="54"/>
    </row>
    <row r="130" spans="1:4" ht="13">
      <c r="A130" s="51" t="s">
        <v>4489</v>
      </c>
      <c r="B130" s="60" t="s">
        <v>4039</v>
      </c>
      <c r="C130" s="51" t="s">
        <v>197</v>
      </c>
      <c r="D130" s="5"/>
    </row>
    <row r="131" spans="1:4" ht="13">
      <c r="A131" s="51" t="s">
        <v>4490</v>
      </c>
      <c r="B131" s="60" t="s">
        <v>4491</v>
      </c>
      <c r="C131" s="51" t="s">
        <v>229</v>
      </c>
      <c r="D131" s="5"/>
    </row>
    <row r="132" spans="1:4" ht="13">
      <c r="A132" s="51" t="s">
        <v>4492</v>
      </c>
      <c r="B132" s="60" t="s">
        <v>390</v>
      </c>
      <c r="C132" s="51" t="s">
        <v>4114</v>
      </c>
      <c r="D132" s="51"/>
    </row>
    <row r="133" spans="1:4" ht="13">
      <c r="A133" s="51" t="s">
        <v>4493</v>
      </c>
      <c r="B133" s="60" t="s">
        <v>2029</v>
      </c>
      <c r="C133" s="51" t="s">
        <v>4114</v>
      </c>
      <c r="D133" s="54"/>
    </row>
    <row r="134" spans="1:4" ht="13">
      <c r="A134" s="51" t="s">
        <v>4494</v>
      </c>
      <c r="B134" s="60" t="s">
        <v>4495</v>
      </c>
      <c r="C134" s="51" t="s">
        <v>1013</v>
      </c>
      <c r="D134" s="5"/>
    </row>
    <row r="135" spans="1:4" ht="13">
      <c r="A135" s="51" t="s">
        <v>4496</v>
      </c>
      <c r="B135" s="60" t="s">
        <v>357</v>
      </c>
      <c r="C135" s="51" t="s">
        <v>4114</v>
      </c>
      <c r="D135" s="5"/>
    </row>
    <row r="136" spans="1:4" ht="13">
      <c r="A136" s="51" t="s">
        <v>4497</v>
      </c>
      <c r="B136" s="60" t="s">
        <v>314</v>
      </c>
      <c r="C136" s="51" t="s">
        <v>4114</v>
      </c>
      <c r="D136" s="5"/>
    </row>
    <row r="137" spans="1:4" ht="13">
      <c r="A137" s="51" t="s">
        <v>4498</v>
      </c>
      <c r="B137" s="60" t="s">
        <v>4118</v>
      </c>
      <c r="C137" s="51" t="s">
        <v>4114</v>
      </c>
      <c r="D137" s="5"/>
    </row>
    <row r="138" spans="1:4" ht="13">
      <c r="A138" s="51" t="s">
        <v>4499</v>
      </c>
      <c r="B138" s="60" t="s">
        <v>4500</v>
      </c>
      <c r="C138" s="51" t="s">
        <v>1013</v>
      </c>
      <c r="D138" s="5"/>
    </row>
    <row r="139" spans="1:4" ht="13">
      <c r="A139" s="51" t="s">
        <v>4501</v>
      </c>
      <c r="B139" s="60" t="s">
        <v>315</v>
      </c>
      <c r="C139" s="51" t="s">
        <v>4114</v>
      </c>
      <c r="D139" s="5"/>
    </row>
    <row r="140" spans="1:4" ht="13">
      <c r="A140" s="51" t="s">
        <v>4502</v>
      </c>
      <c r="B140" s="60" t="s">
        <v>4503</v>
      </c>
      <c r="C140" s="51" t="s">
        <v>4114</v>
      </c>
      <c r="D140" s="5"/>
    </row>
    <row r="141" spans="1:4" ht="13">
      <c r="A141" s="51" t="s">
        <v>4504</v>
      </c>
      <c r="B141" s="60" t="s">
        <v>301</v>
      </c>
      <c r="C141" s="51" t="s">
        <v>4114</v>
      </c>
      <c r="D141" s="5"/>
    </row>
    <row r="142" spans="1:4" ht="13">
      <c r="A142" s="51" t="s">
        <v>4505</v>
      </c>
      <c r="B142" s="60" t="s">
        <v>4506</v>
      </c>
      <c r="C142" s="51" t="s">
        <v>4114</v>
      </c>
      <c r="D142" s="5"/>
    </row>
    <row r="143" spans="1:4" ht="13">
      <c r="A143" s="51" t="s">
        <v>4507</v>
      </c>
      <c r="B143" s="60" t="s">
        <v>4508</v>
      </c>
      <c r="C143" s="51" t="s">
        <v>4114</v>
      </c>
      <c r="D143" s="5"/>
    </row>
    <row r="144" spans="1:4" ht="13">
      <c r="A144" s="51" t="s">
        <v>4509</v>
      </c>
      <c r="B144" s="60" t="s">
        <v>4510</v>
      </c>
      <c r="C144" s="51" t="s">
        <v>4114</v>
      </c>
      <c r="D144" s="5"/>
    </row>
    <row r="145" spans="1:4" ht="13">
      <c r="A145" s="51" t="s">
        <v>4511</v>
      </c>
      <c r="B145" s="61" t="s">
        <v>4350</v>
      </c>
      <c r="C145" s="51" t="s">
        <v>205</v>
      </c>
      <c r="D145" s="5"/>
    </row>
    <row r="146" spans="1:4" ht="13">
      <c r="A146" s="51" t="s">
        <v>4512</v>
      </c>
      <c r="B146" s="61" t="s">
        <v>4395</v>
      </c>
      <c r="C146" s="51" t="s">
        <v>208</v>
      </c>
      <c r="D146" s="54"/>
    </row>
    <row r="147" spans="1:4" ht="13">
      <c r="A147" s="51" t="s">
        <v>4513</v>
      </c>
      <c r="B147" s="61" t="s">
        <v>4414</v>
      </c>
      <c r="C147" s="51" t="s">
        <v>195</v>
      </c>
      <c r="D147" s="5"/>
    </row>
    <row r="148" spans="1:4" ht="13">
      <c r="A148" s="51" t="s">
        <v>4514</v>
      </c>
      <c r="B148" s="61" t="s">
        <v>4442</v>
      </c>
      <c r="C148" s="51" t="s">
        <v>225</v>
      </c>
      <c r="D148" s="5"/>
    </row>
    <row r="149" spans="1:4" ht="13">
      <c r="A149" s="51" t="s">
        <v>4515</v>
      </c>
      <c r="B149" s="61" t="s">
        <v>4458</v>
      </c>
      <c r="C149" s="51" t="s">
        <v>4285</v>
      </c>
      <c r="D149" s="5"/>
    </row>
    <row r="150" spans="1:4" ht="13">
      <c r="A150" s="51" t="s">
        <v>4516</v>
      </c>
      <c r="B150" s="61" t="s">
        <v>4462</v>
      </c>
      <c r="C150" s="51" t="s">
        <v>4285</v>
      </c>
      <c r="D150" s="5"/>
    </row>
    <row r="151" spans="1:4" ht="13">
      <c r="A151" s="51" t="s">
        <v>4517</v>
      </c>
      <c r="B151" s="60" t="s">
        <v>4518</v>
      </c>
      <c r="C151" s="51" t="s">
        <v>1013</v>
      </c>
      <c r="D151" s="5"/>
    </row>
    <row r="152" spans="1:4" ht="13">
      <c r="A152" s="51" t="s">
        <v>4519</v>
      </c>
      <c r="B152" s="60" t="s">
        <v>4164</v>
      </c>
      <c r="C152" s="51" t="s">
        <v>1013</v>
      </c>
      <c r="D152" s="5"/>
    </row>
    <row r="153" spans="1:4" ht="13">
      <c r="A153" s="51" t="s">
        <v>4520</v>
      </c>
      <c r="B153" s="60" t="s">
        <v>4500</v>
      </c>
      <c r="C153" s="51" t="s">
        <v>1013</v>
      </c>
      <c r="D153" s="5"/>
    </row>
    <row r="154" spans="1:4" ht="13">
      <c r="A154" s="51" t="s">
        <v>4521</v>
      </c>
      <c r="B154" s="60" t="s">
        <v>4098</v>
      </c>
      <c r="C154" s="51" t="s">
        <v>195</v>
      </c>
      <c r="D154" s="5"/>
    </row>
    <row r="155" spans="1:4" ht="13">
      <c r="A155" s="51" t="s">
        <v>4522</v>
      </c>
      <c r="B155" s="60" t="s">
        <v>4099</v>
      </c>
      <c r="C155" s="51" t="s">
        <v>225</v>
      </c>
      <c r="D155" s="5"/>
    </row>
    <row r="156" spans="1:4" ht="13">
      <c r="A156" s="51" t="s">
        <v>4523</v>
      </c>
      <c r="B156" s="60" t="s">
        <v>1493</v>
      </c>
      <c r="C156" s="51" t="s">
        <v>4285</v>
      </c>
      <c r="D156" s="5"/>
    </row>
    <row r="157" spans="1:4" ht="13">
      <c r="A157" s="51" t="s">
        <v>4524</v>
      </c>
      <c r="B157" s="60" t="s">
        <v>4118</v>
      </c>
      <c r="C157" s="72" t="s">
        <v>4114</v>
      </c>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3C00-000000000000}"/>
    <hyperlink ref="B6" r:id="rId2" xr:uid="{00000000-0004-0000-3C00-000001000000}"/>
    <hyperlink ref="B7" r:id="rId3" xr:uid="{00000000-0004-0000-3C00-000002000000}"/>
    <hyperlink ref="B8" r:id="rId4" xr:uid="{00000000-0004-0000-3C00-000003000000}"/>
    <hyperlink ref="B9" r:id="rId5" xr:uid="{00000000-0004-0000-3C00-000004000000}"/>
    <hyperlink ref="B10" r:id="rId6" xr:uid="{00000000-0004-0000-3C00-000005000000}"/>
    <hyperlink ref="B11" r:id="rId7" xr:uid="{00000000-0004-0000-3C00-000006000000}"/>
    <hyperlink ref="B12" r:id="rId8" xr:uid="{00000000-0004-0000-3C00-000007000000}"/>
    <hyperlink ref="B13" r:id="rId9" xr:uid="{00000000-0004-0000-3C00-000008000000}"/>
    <hyperlink ref="B14" r:id="rId10" xr:uid="{00000000-0004-0000-3C00-000009000000}"/>
    <hyperlink ref="B15" r:id="rId11" xr:uid="{00000000-0004-0000-3C00-00000A000000}"/>
    <hyperlink ref="B16" r:id="rId12" xr:uid="{00000000-0004-0000-3C00-00000B000000}"/>
    <hyperlink ref="B17" r:id="rId13" xr:uid="{00000000-0004-0000-3C00-00000C000000}"/>
    <hyperlink ref="B18" r:id="rId14" xr:uid="{00000000-0004-0000-3C00-00000D000000}"/>
    <hyperlink ref="B19" r:id="rId15" xr:uid="{00000000-0004-0000-3C00-00000E000000}"/>
    <hyperlink ref="B20" r:id="rId16" xr:uid="{00000000-0004-0000-3C00-00000F000000}"/>
    <hyperlink ref="B21" r:id="rId17" xr:uid="{00000000-0004-0000-3C00-000010000000}"/>
    <hyperlink ref="B22" r:id="rId18" xr:uid="{00000000-0004-0000-3C00-000011000000}"/>
    <hyperlink ref="B23" r:id="rId19" xr:uid="{00000000-0004-0000-3C00-000012000000}"/>
    <hyperlink ref="B24" r:id="rId20" xr:uid="{00000000-0004-0000-3C00-000013000000}"/>
    <hyperlink ref="B25" r:id="rId21" xr:uid="{00000000-0004-0000-3C00-000014000000}"/>
    <hyperlink ref="B26" r:id="rId22" xr:uid="{00000000-0004-0000-3C00-000015000000}"/>
    <hyperlink ref="B27" r:id="rId23" xr:uid="{00000000-0004-0000-3C00-000016000000}"/>
    <hyperlink ref="B28" r:id="rId24" xr:uid="{00000000-0004-0000-3C00-000017000000}"/>
    <hyperlink ref="B29" r:id="rId25" xr:uid="{00000000-0004-0000-3C00-000018000000}"/>
    <hyperlink ref="B30" r:id="rId26" xr:uid="{00000000-0004-0000-3C00-000019000000}"/>
    <hyperlink ref="B31" r:id="rId27" xr:uid="{00000000-0004-0000-3C00-00001A000000}"/>
    <hyperlink ref="B32" r:id="rId28" xr:uid="{00000000-0004-0000-3C00-00001B000000}"/>
    <hyperlink ref="B33" r:id="rId29" xr:uid="{00000000-0004-0000-3C00-00001C000000}"/>
    <hyperlink ref="B34" r:id="rId30" xr:uid="{00000000-0004-0000-3C00-00001D000000}"/>
    <hyperlink ref="B35" r:id="rId31" xr:uid="{00000000-0004-0000-3C00-00001E000000}"/>
    <hyperlink ref="B36" r:id="rId32" xr:uid="{00000000-0004-0000-3C00-00001F000000}"/>
    <hyperlink ref="B37" r:id="rId33" xr:uid="{00000000-0004-0000-3C00-000020000000}"/>
    <hyperlink ref="B38" r:id="rId34" xr:uid="{00000000-0004-0000-3C00-000021000000}"/>
    <hyperlink ref="B39" r:id="rId35" xr:uid="{00000000-0004-0000-3C00-000022000000}"/>
    <hyperlink ref="B40" r:id="rId36" xr:uid="{00000000-0004-0000-3C00-000023000000}"/>
    <hyperlink ref="B41" r:id="rId37" xr:uid="{00000000-0004-0000-3C00-000024000000}"/>
    <hyperlink ref="B42" r:id="rId38" xr:uid="{00000000-0004-0000-3C00-000025000000}"/>
    <hyperlink ref="B43" r:id="rId39" xr:uid="{00000000-0004-0000-3C00-000026000000}"/>
    <hyperlink ref="B44" r:id="rId40" xr:uid="{00000000-0004-0000-3C00-000027000000}"/>
    <hyperlink ref="B45" r:id="rId41" xr:uid="{00000000-0004-0000-3C00-000028000000}"/>
    <hyperlink ref="B46" r:id="rId42" xr:uid="{00000000-0004-0000-3C00-000029000000}"/>
    <hyperlink ref="B47" r:id="rId43" xr:uid="{00000000-0004-0000-3C00-00002A000000}"/>
    <hyperlink ref="B48" r:id="rId44" xr:uid="{00000000-0004-0000-3C00-00002B000000}"/>
    <hyperlink ref="B49" r:id="rId45" xr:uid="{00000000-0004-0000-3C00-00002C000000}"/>
    <hyperlink ref="B50" r:id="rId46" xr:uid="{00000000-0004-0000-3C00-00002D000000}"/>
    <hyperlink ref="B51" r:id="rId47" xr:uid="{00000000-0004-0000-3C00-00002E000000}"/>
    <hyperlink ref="B52" r:id="rId48" xr:uid="{00000000-0004-0000-3C00-00002F000000}"/>
    <hyperlink ref="B53" r:id="rId49" xr:uid="{00000000-0004-0000-3C00-000030000000}"/>
    <hyperlink ref="B54" r:id="rId50" xr:uid="{00000000-0004-0000-3C00-000031000000}"/>
    <hyperlink ref="B55" r:id="rId51" xr:uid="{00000000-0004-0000-3C00-000032000000}"/>
    <hyperlink ref="B56" r:id="rId52" xr:uid="{00000000-0004-0000-3C00-000033000000}"/>
    <hyperlink ref="B57" r:id="rId53" xr:uid="{00000000-0004-0000-3C00-000034000000}"/>
    <hyperlink ref="B58" r:id="rId54" xr:uid="{00000000-0004-0000-3C00-000035000000}"/>
    <hyperlink ref="B59" r:id="rId55" xr:uid="{00000000-0004-0000-3C00-000036000000}"/>
    <hyperlink ref="B60" r:id="rId56" xr:uid="{00000000-0004-0000-3C00-000037000000}"/>
    <hyperlink ref="B61" r:id="rId57" xr:uid="{00000000-0004-0000-3C00-000038000000}"/>
    <hyperlink ref="B62" r:id="rId58" xr:uid="{00000000-0004-0000-3C00-000039000000}"/>
    <hyperlink ref="B63" r:id="rId59" xr:uid="{00000000-0004-0000-3C00-00003A000000}"/>
    <hyperlink ref="B64" r:id="rId60" xr:uid="{00000000-0004-0000-3C00-00003B000000}"/>
    <hyperlink ref="B65" r:id="rId61" xr:uid="{00000000-0004-0000-3C00-00003C000000}"/>
    <hyperlink ref="B66" r:id="rId62" xr:uid="{00000000-0004-0000-3C00-00003D000000}"/>
    <hyperlink ref="B67" r:id="rId63" xr:uid="{00000000-0004-0000-3C00-00003E000000}"/>
    <hyperlink ref="B68" r:id="rId64" xr:uid="{00000000-0004-0000-3C00-00003F000000}"/>
    <hyperlink ref="B69" r:id="rId65" xr:uid="{00000000-0004-0000-3C00-000040000000}"/>
    <hyperlink ref="B70" r:id="rId66" xr:uid="{00000000-0004-0000-3C00-000041000000}"/>
    <hyperlink ref="B71" r:id="rId67" xr:uid="{00000000-0004-0000-3C00-000042000000}"/>
    <hyperlink ref="B72" r:id="rId68" xr:uid="{00000000-0004-0000-3C00-000043000000}"/>
    <hyperlink ref="B73" r:id="rId69" xr:uid="{00000000-0004-0000-3C00-000044000000}"/>
    <hyperlink ref="B74" r:id="rId70" xr:uid="{00000000-0004-0000-3C00-000045000000}"/>
    <hyperlink ref="B75" r:id="rId71" xr:uid="{00000000-0004-0000-3C00-000046000000}"/>
    <hyperlink ref="B76" r:id="rId72" xr:uid="{00000000-0004-0000-3C00-000047000000}"/>
    <hyperlink ref="B77" r:id="rId73" xr:uid="{00000000-0004-0000-3C00-000048000000}"/>
    <hyperlink ref="B78" r:id="rId74" xr:uid="{00000000-0004-0000-3C00-000049000000}"/>
    <hyperlink ref="B79" r:id="rId75" xr:uid="{00000000-0004-0000-3C00-00004A000000}"/>
    <hyperlink ref="B80" r:id="rId76" xr:uid="{00000000-0004-0000-3C00-00004B000000}"/>
    <hyperlink ref="B81" r:id="rId77" xr:uid="{00000000-0004-0000-3C00-00004C000000}"/>
    <hyperlink ref="B82" r:id="rId78" xr:uid="{00000000-0004-0000-3C00-00004D000000}"/>
    <hyperlink ref="B83" r:id="rId79" xr:uid="{00000000-0004-0000-3C00-00004E000000}"/>
    <hyperlink ref="B84" r:id="rId80" xr:uid="{00000000-0004-0000-3C00-00004F000000}"/>
    <hyperlink ref="B85" r:id="rId81" xr:uid="{00000000-0004-0000-3C00-000050000000}"/>
    <hyperlink ref="B86" r:id="rId82" xr:uid="{00000000-0004-0000-3C00-000051000000}"/>
    <hyperlink ref="B87" r:id="rId83" xr:uid="{00000000-0004-0000-3C00-000052000000}"/>
    <hyperlink ref="B88" r:id="rId84" xr:uid="{00000000-0004-0000-3C00-000053000000}"/>
    <hyperlink ref="B89" r:id="rId85" xr:uid="{00000000-0004-0000-3C00-000054000000}"/>
    <hyperlink ref="B90" r:id="rId86" xr:uid="{00000000-0004-0000-3C00-000055000000}"/>
    <hyperlink ref="B91" r:id="rId87" xr:uid="{00000000-0004-0000-3C00-000056000000}"/>
    <hyperlink ref="B92" r:id="rId88" xr:uid="{00000000-0004-0000-3C00-000057000000}"/>
    <hyperlink ref="B93" r:id="rId89" xr:uid="{00000000-0004-0000-3C00-000058000000}"/>
    <hyperlink ref="B94" r:id="rId90" xr:uid="{00000000-0004-0000-3C00-000059000000}"/>
    <hyperlink ref="B95" r:id="rId91" xr:uid="{00000000-0004-0000-3C00-00005A000000}"/>
    <hyperlink ref="B96" r:id="rId92" xr:uid="{00000000-0004-0000-3C00-00005B000000}"/>
    <hyperlink ref="B97" r:id="rId93" xr:uid="{00000000-0004-0000-3C00-00005C000000}"/>
    <hyperlink ref="B98" r:id="rId94" xr:uid="{00000000-0004-0000-3C00-00005D000000}"/>
    <hyperlink ref="B99" r:id="rId95" xr:uid="{00000000-0004-0000-3C00-00005E000000}"/>
    <hyperlink ref="B100" r:id="rId96" xr:uid="{00000000-0004-0000-3C00-00005F000000}"/>
    <hyperlink ref="B101" r:id="rId97" xr:uid="{00000000-0004-0000-3C00-000060000000}"/>
    <hyperlink ref="B102" r:id="rId98" xr:uid="{00000000-0004-0000-3C00-000061000000}"/>
    <hyperlink ref="B103" r:id="rId99" xr:uid="{00000000-0004-0000-3C00-000062000000}"/>
    <hyperlink ref="B104" r:id="rId100" xr:uid="{00000000-0004-0000-3C00-000063000000}"/>
    <hyperlink ref="B105" r:id="rId101" xr:uid="{00000000-0004-0000-3C00-000064000000}"/>
    <hyperlink ref="B106" r:id="rId102" xr:uid="{00000000-0004-0000-3C00-000065000000}"/>
    <hyperlink ref="B107" r:id="rId103" xr:uid="{00000000-0004-0000-3C00-000066000000}"/>
    <hyperlink ref="B108" r:id="rId104" xr:uid="{00000000-0004-0000-3C00-000067000000}"/>
    <hyperlink ref="B109" r:id="rId105" xr:uid="{00000000-0004-0000-3C00-000068000000}"/>
    <hyperlink ref="B110" r:id="rId106" xr:uid="{00000000-0004-0000-3C00-000069000000}"/>
    <hyperlink ref="B111" r:id="rId107" xr:uid="{00000000-0004-0000-3C00-00006A000000}"/>
    <hyperlink ref="B112" r:id="rId108" xr:uid="{00000000-0004-0000-3C00-00006B000000}"/>
    <hyperlink ref="B113" r:id="rId109" xr:uid="{00000000-0004-0000-3C00-00006C000000}"/>
    <hyperlink ref="B114" r:id="rId110" xr:uid="{00000000-0004-0000-3C00-00006D000000}"/>
    <hyperlink ref="B115" r:id="rId111" xr:uid="{00000000-0004-0000-3C00-00006E000000}"/>
    <hyperlink ref="B116" r:id="rId112" xr:uid="{00000000-0004-0000-3C00-00006F000000}"/>
    <hyperlink ref="B117" r:id="rId113" xr:uid="{00000000-0004-0000-3C00-000070000000}"/>
    <hyperlink ref="B118" r:id="rId114" xr:uid="{00000000-0004-0000-3C00-000071000000}"/>
    <hyperlink ref="B119" r:id="rId115" xr:uid="{00000000-0004-0000-3C00-000072000000}"/>
    <hyperlink ref="B120" r:id="rId116" xr:uid="{00000000-0004-0000-3C00-000073000000}"/>
    <hyperlink ref="B121" r:id="rId117" xr:uid="{00000000-0004-0000-3C00-000074000000}"/>
    <hyperlink ref="B122" r:id="rId118" xr:uid="{00000000-0004-0000-3C00-000075000000}"/>
    <hyperlink ref="B123" r:id="rId119" xr:uid="{00000000-0004-0000-3C00-000076000000}"/>
    <hyperlink ref="B124" r:id="rId120" xr:uid="{00000000-0004-0000-3C00-000077000000}"/>
    <hyperlink ref="B125" r:id="rId121" xr:uid="{00000000-0004-0000-3C00-000078000000}"/>
    <hyperlink ref="B126" r:id="rId122" xr:uid="{00000000-0004-0000-3C00-000079000000}"/>
    <hyperlink ref="B127" r:id="rId123" xr:uid="{00000000-0004-0000-3C00-00007A000000}"/>
    <hyperlink ref="B128" r:id="rId124" xr:uid="{00000000-0004-0000-3C00-00007B000000}"/>
    <hyperlink ref="B129" r:id="rId125" xr:uid="{00000000-0004-0000-3C00-00007C000000}"/>
    <hyperlink ref="B130" r:id="rId126" xr:uid="{00000000-0004-0000-3C00-00007D000000}"/>
    <hyperlink ref="B131" r:id="rId127" xr:uid="{00000000-0004-0000-3C00-00007E000000}"/>
    <hyperlink ref="B132" r:id="rId128" xr:uid="{00000000-0004-0000-3C00-00007F000000}"/>
    <hyperlink ref="B133" r:id="rId129" xr:uid="{00000000-0004-0000-3C00-000080000000}"/>
    <hyperlink ref="B134" r:id="rId130" xr:uid="{00000000-0004-0000-3C00-000081000000}"/>
    <hyperlink ref="B135" r:id="rId131" xr:uid="{00000000-0004-0000-3C00-000082000000}"/>
    <hyperlink ref="B136" r:id="rId132" xr:uid="{00000000-0004-0000-3C00-000083000000}"/>
    <hyperlink ref="B137" r:id="rId133" xr:uid="{00000000-0004-0000-3C00-000084000000}"/>
    <hyperlink ref="B138" r:id="rId134" xr:uid="{00000000-0004-0000-3C00-000085000000}"/>
    <hyperlink ref="B139" r:id="rId135" xr:uid="{00000000-0004-0000-3C00-000086000000}"/>
    <hyperlink ref="B140" r:id="rId136" xr:uid="{00000000-0004-0000-3C00-000087000000}"/>
    <hyperlink ref="B141" r:id="rId137" xr:uid="{00000000-0004-0000-3C00-000088000000}"/>
    <hyperlink ref="B142" r:id="rId138" xr:uid="{00000000-0004-0000-3C00-000089000000}"/>
    <hyperlink ref="B143" r:id="rId139" xr:uid="{00000000-0004-0000-3C00-00008A000000}"/>
    <hyperlink ref="B144" r:id="rId140" xr:uid="{00000000-0004-0000-3C00-00008B000000}"/>
    <hyperlink ref="B145" r:id="rId141" xr:uid="{00000000-0004-0000-3C00-00008C000000}"/>
    <hyperlink ref="B146" r:id="rId142" xr:uid="{00000000-0004-0000-3C00-00008D000000}"/>
    <hyperlink ref="B147" r:id="rId143" xr:uid="{00000000-0004-0000-3C00-00008E000000}"/>
    <hyperlink ref="B148" r:id="rId144" xr:uid="{00000000-0004-0000-3C00-00008F000000}"/>
    <hyperlink ref="B149" r:id="rId145" xr:uid="{00000000-0004-0000-3C00-000090000000}"/>
    <hyperlink ref="B150" r:id="rId146" xr:uid="{00000000-0004-0000-3C00-000091000000}"/>
    <hyperlink ref="B151" r:id="rId147" xr:uid="{00000000-0004-0000-3C00-000092000000}"/>
    <hyperlink ref="B152" r:id="rId148" xr:uid="{00000000-0004-0000-3C00-000093000000}"/>
    <hyperlink ref="B153" r:id="rId149" xr:uid="{00000000-0004-0000-3C00-000094000000}"/>
    <hyperlink ref="B154" r:id="rId150" xr:uid="{00000000-0004-0000-3C00-000095000000}"/>
    <hyperlink ref="B155" r:id="rId151" xr:uid="{00000000-0004-0000-3C00-000096000000}"/>
    <hyperlink ref="B156" r:id="rId152" xr:uid="{00000000-0004-0000-3C00-000097000000}"/>
    <hyperlink ref="B157" r:id="rId153" xr:uid="{00000000-0004-0000-3C00-000098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4.1640625" customWidth="1"/>
    <col min="2" max="2" width="17.6640625" customWidth="1"/>
    <col min="3" max="3" width="13.5" customWidth="1"/>
    <col min="4" max="4" width="14.83203125" customWidth="1"/>
    <col min="5" max="5" width="14.33203125" customWidth="1"/>
    <col min="7" max="7" width="14.1640625" customWidth="1"/>
  </cols>
  <sheetData>
    <row r="1" spans="1:12" ht="15.75" customHeight="1">
      <c r="A1" s="1" t="s">
        <v>103</v>
      </c>
      <c r="B1" s="36"/>
      <c r="C1" s="37"/>
      <c r="D1" s="7" t="s">
        <v>181</v>
      </c>
    </row>
    <row r="2" spans="1:12" ht="15.75" customHeight="1">
      <c r="A2" s="7" t="s">
        <v>182</v>
      </c>
      <c r="B2" s="38">
        <v>41311</v>
      </c>
      <c r="C2" s="37"/>
      <c r="D2" s="39">
        <f>SUM(D5:G132)</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51" t="s">
        <v>4525</v>
      </c>
      <c r="B5" s="60" t="s">
        <v>3016</v>
      </c>
      <c r="C5" s="51" t="s">
        <v>205</v>
      </c>
      <c r="D5" s="54"/>
      <c r="E5" s="5"/>
      <c r="F5" s="5"/>
      <c r="L5" s="43"/>
    </row>
    <row r="6" spans="1:12" ht="15.75" customHeight="1">
      <c r="A6" s="51" t="s">
        <v>4526</v>
      </c>
      <c r="B6" s="60" t="s">
        <v>3135</v>
      </c>
      <c r="C6" s="51" t="s">
        <v>205</v>
      </c>
      <c r="D6" s="54"/>
      <c r="E6" s="5"/>
      <c r="F6" s="5"/>
    </row>
    <row r="7" spans="1:12" ht="15.75" customHeight="1">
      <c r="A7" s="51" t="s">
        <v>4527</v>
      </c>
      <c r="B7" s="60" t="s">
        <v>3121</v>
      </c>
      <c r="C7" s="51" t="s">
        <v>205</v>
      </c>
      <c r="D7" s="54"/>
      <c r="E7" s="5"/>
      <c r="F7" s="5"/>
    </row>
    <row r="8" spans="1:12" ht="15.75" customHeight="1">
      <c r="A8" s="51" t="s">
        <v>4528</v>
      </c>
      <c r="B8" s="60" t="s">
        <v>3146</v>
      </c>
      <c r="C8" s="51" t="s">
        <v>205</v>
      </c>
      <c r="D8" s="54"/>
      <c r="E8" s="5"/>
      <c r="F8" s="5"/>
    </row>
    <row r="9" spans="1:12" ht="15.75" customHeight="1">
      <c r="A9" s="51" t="s">
        <v>4529</v>
      </c>
      <c r="B9" s="60" t="s">
        <v>3130</v>
      </c>
      <c r="C9" s="51" t="s">
        <v>205</v>
      </c>
      <c r="D9" s="54"/>
      <c r="E9" s="5"/>
      <c r="F9" s="51"/>
    </row>
    <row r="10" spans="1:12" ht="15.75" customHeight="1">
      <c r="A10" s="51" t="s">
        <v>4530</v>
      </c>
      <c r="B10" s="60" t="s">
        <v>3145</v>
      </c>
      <c r="C10" s="51" t="s">
        <v>205</v>
      </c>
      <c r="D10" s="54"/>
      <c r="E10" s="5"/>
      <c r="F10" s="51"/>
    </row>
    <row r="11" spans="1:12" ht="15.75" customHeight="1">
      <c r="A11" s="51" t="s">
        <v>4531</v>
      </c>
      <c r="B11" s="60" t="s">
        <v>3133</v>
      </c>
      <c r="C11" s="51" t="s">
        <v>205</v>
      </c>
      <c r="D11" s="54"/>
      <c r="E11" s="5"/>
      <c r="F11" s="5"/>
    </row>
    <row r="12" spans="1:12" ht="15.75" customHeight="1">
      <c r="A12" s="51" t="s">
        <v>4532</v>
      </c>
      <c r="B12" s="60" t="s">
        <v>4040</v>
      </c>
      <c r="C12" s="51" t="s">
        <v>205</v>
      </c>
      <c r="D12" s="54"/>
      <c r="E12" s="5"/>
      <c r="F12" s="51"/>
    </row>
    <row r="13" spans="1:12" ht="15.75" customHeight="1">
      <c r="A13" s="51" t="s">
        <v>4533</v>
      </c>
      <c r="B13" s="60" t="s">
        <v>4041</v>
      </c>
      <c r="C13" s="51" t="s">
        <v>205</v>
      </c>
      <c r="D13" s="54"/>
      <c r="E13" s="5"/>
      <c r="F13" s="51"/>
    </row>
    <row r="14" spans="1:12" ht="15.75" customHeight="1">
      <c r="A14" s="51" t="s">
        <v>4534</v>
      </c>
      <c r="B14" s="60" t="s">
        <v>4042</v>
      </c>
      <c r="C14" s="51" t="s">
        <v>205</v>
      </c>
      <c r="D14" s="54"/>
      <c r="E14" s="5"/>
      <c r="F14" s="5"/>
      <c r="G14" s="5"/>
    </row>
    <row r="15" spans="1:12" ht="15.75" customHeight="1">
      <c r="A15" s="51" t="s">
        <v>4535</v>
      </c>
      <c r="B15" s="60" t="s">
        <v>4029</v>
      </c>
      <c r="C15" s="51" t="s">
        <v>205</v>
      </c>
      <c r="D15" s="54"/>
      <c r="E15" s="5"/>
      <c r="F15" s="5"/>
      <c r="G15" s="5"/>
    </row>
    <row r="16" spans="1:12" ht="15.75" customHeight="1">
      <c r="A16" s="51" t="s">
        <v>4536</v>
      </c>
      <c r="B16" s="60" t="s">
        <v>4048</v>
      </c>
      <c r="C16" s="51" t="s">
        <v>205</v>
      </c>
      <c r="D16" s="54"/>
      <c r="E16" s="5"/>
      <c r="F16" s="51"/>
      <c r="G16" s="5"/>
    </row>
    <row r="17" spans="1:7" ht="15.75" customHeight="1">
      <c r="A17" s="51" t="s">
        <v>4537</v>
      </c>
      <c r="B17" s="60" t="s">
        <v>4049</v>
      </c>
      <c r="C17" s="51" t="s">
        <v>205</v>
      </c>
      <c r="D17" s="54"/>
      <c r="E17" s="5"/>
      <c r="F17" s="5"/>
      <c r="G17" s="5"/>
    </row>
    <row r="18" spans="1:7" ht="15.75" customHeight="1">
      <c r="A18" s="51" t="s">
        <v>4538</v>
      </c>
      <c r="B18" s="61" t="s">
        <v>4539</v>
      </c>
      <c r="C18" s="51" t="s">
        <v>199</v>
      </c>
      <c r="D18" s="54"/>
      <c r="E18" s="5"/>
      <c r="F18" s="5"/>
      <c r="G18" s="5"/>
    </row>
    <row r="19" spans="1:7" ht="15.75" customHeight="1">
      <c r="A19" s="51" t="s">
        <v>4540</v>
      </c>
      <c r="B19" s="60" t="s">
        <v>3018</v>
      </c>
      <c r="C19" s="51" t="s">
        <v>199</v>
      </c>
      <c r="D19" s="54"/>
      <c r="E19" s="5"/>
      <c r="F19" s="5"/>
      <c r="G19" s="5"/>
    </row>
    <row r="20" spans="1:7" ht="15.75" customHeight="1">
      <c r="A20" s="51" t="s">
        <v>4541</v>
      </c>
      <c r="B20" s="60" t="s">
        <v>3139</v>
      </c>
      <c r="C20" s="51" t="s">
        <v>199</v>
      </c>
      <c r="D20" s="54"/>
      <c r="E20" s="5"/>
      <c r="F20" s="5"/>
      <c r="G20" s="5"/>
    </row>
    <row r="21" spans="1:7" ht="15.75" customHeight="1">
      <c r="A21" s="51" t="s">
        <v>4542</v>
      </c>
      <c r="B21" s="60" t="s">
        <v>3112</v>
      </c>
      <c r="C21" s="51" t="s">
        <v>199</v>
      </c>
      <c r="D21" s="54"/>
      <c r="E21" s="5"/>
      <c r="F21" s="5"/>
      <c r="G21" s="5"/>
    </row>
    <row r="22" spans="1:7" ht="15.75" customHeight="1">
      <c r="A22" s="51" t="s">
        <v>4543</v>
      </c>
      <c r="B22" s="61" t="s">
        <v>4544</v>
      </c>
      <c r="C22" s="51" t="s">
        <v>199</v>
      </c>
      <c r="D22" s="54"/>
      <c r="E22" s="5"/>
      <c r="F22" s="5"/>
      <c r="G22" s="5"/>
    </row>
    <row r="23" spans="1:7" ht="15.75" customHeight="1">
      <c r="A23" s="51" t="s">
        <v>4545</v>
      </c>
      <c r="B23" s="60" t="s">
        <v>4054</v>
      </c>
      <c r="C23" s="51" t="s">
        <v>199</v>
      </c>
      <c r="D23" s="54"/>
      <c r="E23" s="5"/>
      <c r="F23" s="5"/>
      <c r="G23" s="5"/>
    </row>
    <row r="24" spans="1:7" ht="15.75" customHeight="1">
      <c r="A24" s="51" t="s">
        <v>4546</v>
      </c>
      <c r="B24" s="60" t="s">
        <v>4055</v>
      </c>
      <c r="C24" s="51" t="s">
        <v>199</v>
      </c>
      <c r="D24" s="54"/>
      <c r="E24" s="5"/>
      <c r="F24" s="5"/>
      <c r="G24" s="5"/>
    </row>
    <row r="25" spans="1:7" ht="15.75" customHeight="1">
      <c r="A25" s="51" t="s">
        <v>4547</v>
      </c>
      <c r="B25" s="60" t="s">
        <v>4086</v>
      </c>
      <c r="C25" s="51" t="s">
        <v>199</v>
      </c>
      <c r="D25" s="54"/>
      <c r="E25" s="5"/>
      <c r="F25" s="5"/>
      <c r="G25" s="5"/>
    </row>
    <row r="26" spans="1:7" ht="15.75" customHeight="1">
      <c r="A26" s="51" t="s">
        <v>4548</v>
      </c>
      <c r="B26" s="60" t="s">
        <v>4087</v>
      </c>
      <c r="C26" s="51" t="s">
        <v>199</v>
      </c>
      <c r="D26" s="54"/>
      <c r="E26" s="5"/>
      <c r="F26" s="5"/>
      <c r="G26" s="5"/>
    </row>
    <row r="27" spans="1:7" ht="15.75" customHeight="1">
      <c r="A27" s="51" t="s">
        <v>4549</v>
      </c>
      <c r="B27" s="60" t="s">
        <v>4056</v>
      </c>
      <c r="C27" s="51" t="s">
        <v>199</v>
      </c>
      <c r="D27" s="54"/>
      <c r="E27" s="5"/>
      <c r="F27" s="5"/>
      <c r="G27" s="5"/>
    </row>
    <row r="28" spans="1:7" ht="15.75" customHeight="1">
      <c r="A28" s="51" t="s">
        <v>4550</v>
      </c>
      <c r="B28" s="60" t="s">
        <v>294</v>
      </c>
      <c r="C28" s="51" t="s">
        <v>208</v>
      </c>
      <c r="D28" s="54"/>
      <c r="E28" s="5"/>
      <c r="F28" s="5"/>
      <c r="G28" s="5"/>
    </row>
    <row r="29" spans="1:7" ht="15.75" customHeight="1">
      <c r="A29" s="51" t="s">
        <v>4551</v>
      </c>
      <c r="B29" s="61" t="s">
        <v>4552</v>
      </c>
      <c r="C29" s="51" t="s">
        <v>208</v>
      </c>
      <c r="D29" s="54"/>
      <c r="E29" s="5"/>
      <c r="F29" s="5"/>
      <c r="G29" s="5"/>
    </row>
    <row r="30" spans="1:7" ht="15.75" customHeight="1">
      <c r="A30" s="51" t="s">
        <v>4553</v>
      </c>
      <c r="B30" s="60" t="s">
        <v>901</v>
      </c>
      <c r="C30" s="51" t="s">
        <v>208</v>
      </c>
      <c r="D30" s="54"/>
      <c r="E30" s="5"/>
      <c r="F30" s="5"/>
      <c r="G30" s="5"/>
    </row>
    <row r="31" spans="1:7" ht="15.75" customHeight="1">
      <c r="A31" s="51" t="s">
        <v>4554</v>
      </c>
      <c r="B31" s="60" t="s">
        <v>842</v>
      </c>
      <c r="C31" s="51" t="s">
        <v>208</v>
      </c>
      <c r="D31" s="54"/>
      <c r="E31" s="5"/>
      <c r="F31" s="5"/>
      <c r="G31" s="5"/>
    </row>
    <row r="32" spans="1:7" ht="15.75" customHeight="1">
      <c r="A32" s="51" t="s">
        <v>4555</v>
      </c>
      <c r="B32" s="60" t="s">
        <v>3381</v>
      </c>
      <c r="C32" s="51" t="s">
        <v>208</v>
      </c>
      <c r="D32" s="54"/>
      <c r="E32" s="5"/>
      <c r="F32" s="5"/>
      <c r="G32" s="5"/>
    </row>
    <row r="33" spans="1:7" ht="15.75" customHeight="1">
      <c r="A33" s="51" t="s">
        <v>4556</v>
      </c>
      <c r="B33" s="60" t="s">
        <v>1443</v>
      </c>
      <c r="C33" s="51" t="s">
        <v>208</v>
      </c>
      <c r="D33" s="54"/>
      <c r="E33" s="5"/>
      <c r="F33" s="5"/>
      <c r="G33" s="5"/>
    </row>
    <row r="34" spans="1:7" ht="15.75" customHeight="1">
      <c r="A34" s="51" t="s">
        <v>4557</v>
      </c>
      <c r="B34" s="60" t="s">
        <v>1416</v>
      </c>
      <c r="C34" s="51" t="s">
        <v>208</v>
      </c>
      <c r="D34" s="54"/>
      <c r="E34" s="5"/>
      <c r="F34" s="5"/>
      <c r="G34" s="5"/>
    </row>
    <row r="35" spans="1:7" ht="15.75" customHeight="1">
      <c r="A35" s="51" t="s">
        <v>4558</v>
      </c>
      <c r="B35" s="60" t="s">
        <v>1195</v>
      </c>
      <c r="C35" s="51" t="s">
        <v>208</v>
      </c>
      <c r="D35" s="54"/>
      <c r="E35" s="5"/>
      <c r="F35" s="5"/>
      <c r="G35" s="5"/>
    </row>
    <row r="36" spans="1:7" ht="15.75" customHeight="1">
      <c r="A36" s="51" t="s">
        <v>4559</v>
      </c>
      <c r="B36" s="60" t="s">
        <v>1288</v>
      </c>
      <c r="C36" s="51" t="s">
        <v>208</v>
      </c>
      <c r="D36" s="54"/>
      <c r="E36" s="5"/>
      <c r="F36" s="5"/>
      <c r="G36" s="5"/>
    </row>
    <row r="37" spans="1:7" ht="15.75" customHeight="1">
      <c r="A37" s="51" t="s">
        <v>4560</v>
      </c>
      <c r="B37" s="60" t="s">
        <v>1246</v>
      </c>
      <c r="C37" s="51" t="s">
        <v>208</v>
      </c>
      <c r="D37" s="54"/>
      <c r="E37" s="51"/>
      <c r="F37" s="5"/>
      <c r="G37" s="5"/>
    </row>
    <row r="38" spans="1:7" ht="15.75" customHeight="1">
      <c r="A38" s="51" t="s">
        <v>4561</v>
      </c>
      <c r="B38" s="60" t="s">
        <v>3115</v>
      </c>
      <c r="C38" s="51" t="s">
        <v>208</v>
      </c>
      <c r="D38" s="54"/>
      <c r="E38" s="5"/>
      <c r="F38" s="5"/>
      <c r="G38" s="5"/>
    </row>
    <row r="39" spans="1:7" ht="15.75" customHeight="1">
      <c r="A39" s="51" t="s">
        <v>4562</v>
      </c>
      <c r="B39" s="60" t="s">
        <v>4064</v>
      </c>
      <c r="C39" s="51" t="s">
        <v>208</v>
      </c>
      <c r="D39" s="54"/>
      <c r="E39" s="5"/>
      <c r="F39" s="5"/>
      <c r="G39" s="5"/>
    </row>
    <row r="40" spans="1:7" ht="15.75" customHeight="1">
      <c r="A40" s="51" t="s">
        <v>4563</v>
      </c>
      <c r="B40" s="60" t="s">
        <v>4065</v>
      </c>
      <c r="C40" s="51" t="s">
        <v>208</v>
      </c>
      <c r="D40" s="54"/>
      <c r="E40" s="5"/>
      <c r="F40" s="5"/>
      <c r="G40" s="5"/>
    </row>
    <row r="41" spans="1:7" ht="15.75" customHeight="1">
      <c r="A41" s="51" t="s">
        <v>4564</v>
      </c>
      <c r="B41" s="60" t="s">
        <v>4066</v>
      </c>
      <c r="C41" s="51" t="s">
        <v>208</v>
      </c>
      <c r="D41" s="54"/>
      <c r="E41" s="5"/>
      <c r="F41" s="5"/>
      <c r="G41" s="5"/>
    </row>
    <row r="42" spans="1:7" ht="15.75" customHeight="1">
      <c r="A42" s="51" t="s">
        <v>4565</v>
      </c>
      <c r="B42" s="60" t="s">
        <v>4067</v>
      </c>
      <c r="C42" s="51" t="s">
        <v>208</v>
      </c>
      <c r="D42" s="54"/>
      <c r="E42" s="5"/>
      <c r="F42" s="5"/>
      <c r="G42" s="5"/>
    </row>
    <row r="43" spans="1:7" ht="15.75" customHeight="1">
      <c r="A43" s="51" t="s">
        <v>4566</v>
      </c>
      <c r="B43" s="60" t="s">
        <v>4068</v>
      </c>
      <c r="C43" s="51" t="s">
        <v>208</v>
      </c>
      <c r="D43" s="54"/>
      <c r="E43" s="5"/>
      <c r="F43" s="5"/>
      <c r="G43" s="5"/>
    </row>
    <row r="44" spans="1:7" ht="15.75" customHeight="1">
      <c r="A44" s="51" t="s">
        <v>4567</v>
      </c>
      <c r="B44" s="60" t="s">
        <v>4127</v>
      </c>
      <c r="C44" s="51" t="s">
        <v>208</v>
      </c>
      <c r="D44" s="54"/>
      <c r="E44" s="5"/>
      <c r="F44" s="5"/>
      <c r="G44" s="5"/>
    </row>
    <row r="45" spans="1:7" ht="15.75" customHeight="1">
      <c r="A45" s="51" t="s">
        <v>4568</v>
      </c>
      <c r="B45" s="60" t="s">
        <v>4128</v>
      </c>
      <c r="C45" s="51" t="s">
        <v>208</v>
      </c>
      <c r="D45" s="54"/>
      <c r="E45" s="5"/>
      <c r="F45" s="5"/>
      <c r="G45" s="5"/>
    </row>
    <row r="46" spans="1:7" ht="15.75" customHeight="1">
      <c r="A46" s="51" t="s">
        <v>4569</v>
      </c>
      <c r="B46" s="60" t="s">
        <v>285</v>
      </c>
      <c r="C46" s="51" t="s">
        <v>192</v>
      </c>
      <c r="D46" s="54"/>
      <c r="E46" s="5"/>
      <c r="F46" s="5"/>
      <c r="G46" s="5"/>
    </row>
    <row r="47" spans="1:7" ht="15.75" customHeight="1">
      <c r="A47" s="51" t="s">
        <v>4570</v>
      </c>
      <c r="B47" s="60" t="s">
        <v>285</v>
      </c>
      <c r="C47" s="51" t="s">
        <v>192</v>
      </c>
      <c r="D47" s="54"/>
      <c r="E47" s="5"/>
      <c r="F47" s="5"/>
      <c r="G47" s="5"/>
    </row>
    <row r="48" spans="1:7" ht="15.75" customHeight="1">
      <c r="A48" s="51" t="s">
        <v>4571</v>
      </c>
      <c r="B48" s="60" t="s">
        <v>247</v>
      </c>
      <c r="C48" s="51" t="s">
        <v>192</v>
      </c>
      <c r="D48" s="54"/>
      <c r="E48" s="5"/>
      <c r="F48" s="5"/>
      <c r="G48" s="5"/>
    </row>
    <row r="49" spans="1:7" ht="15.75" customHeight="1">
      <c r="A49" s="51" t="s">
        <v>4572</v>
      </c>
      <c r="B49" s="60" t="s">
        <v>247</v>
      </c>
      <c r="C49" s="51" t="s">
        <v>192</v>
      </c>
      <c r="D49" s="54"/>
      <c r="E49" s="5"/>
      <c r="F49" s="5"/>
      <c r="G49" s="5"/>
    </row>
    <row r="50" spans="1:7" ht="15.75" customHeight="1">
      <c r="A50" s="51" t="s">
        <v>4573</v>
      </c>
      <c r="B50" s="60" t="s">
        <v>3074</v>
      </c>
      <c r="C50" s="51" t="s">
        <v>192</v>
      </c>
      <c r="D50" s="54"/>
      <c r="E50" s="5"/>
      <c r="F50" s="5"/>
      <c r="G50" s="5"/>
    </row>
    <row r="51" spans="1:7" ht="15.75" customHeight="1">
      <c r="A51" s="51" t="s">
        <v>4574</v>
      </c>
      <c r="B51" s="60" t="s">
        <v>3074</v>
      </c>
      <c r="C51" s="51" t="s">
        <v>192</v>
      </c>
      <c r="D51" s="54"/>
      <c r="E51" s="5"/>
      <c r="F51" s="5"/>
      <c r="G51" s="5"/>
    </row>
    <row r="52" spans="1:7" ht="15.75" customHeight="1">
      <c r="A52" s="51" t="s">
        <v>4575</v>
      </c>
      <c r="B52" s="61" t="s">
        <v>4576</v>
      </c>
      <c r="C52" s="51" t="s">
        <v>192</v>
      </c>
      <c r="D52" s="54"/>
      <c r="E52" s="5"/>
      <c r="F52" s="5"/>
      <c r="G52" s="5"/>
    </row>
    <row r="53" spans="1:7" ht="13">
      <c r="A53" s="51" t="s">
        <v>4577</v>
      </c>
      <c r="B53" s="60" t="s">
        <v>3338</v>
      </c>
      <c r="C53" s="51" t="s">
        <v>192</v>
      </c>
      <c r="D53" s="54"/>
      <c r="E53" s="5"/>
      <c r="F53" s="5"/>
      <c r="G53" s="5"/>
    </row>
    <row r="54" spans="1:7" ht="13">
      <c r="A54" s="51" t="s">
        <v>4578</v>
      </c>
      <c r="B54" s="60" t="s">
        <v>4151</v>
      </c>
      <c r="C54" s="51" t="s">
        <v>192</v>
      </c>
      <c r="D54" s="54"/>
      <c r="E54" s="5"/>
      <c r="F54" s="5"/>
      <c r="G54" s="5"/>
    </row>
    <row r="55" spans="1:7" ht="13">
      <c r="A55" s="51" t="s">
        <v>4579</v>
      </c>
      <c r="B55" s="60" t="s">
        <v>4152</v>
      </c>
      <c r="C55" s="51" t="s">
        <v>192</v>
      </c>
      <c r="D55" s="54"/>
      <c r="E55" s="5"/>
      <c r="F55" s="5"/>
      <c r="G55" s="5"/>
    </row>
    <row r="56" spans="1:7" ht="13">
      <c r="A56" s="51" t="s">
        <v>4580</v>
      </c>
      <c r="B56" s="60" t="s">
        <v>389</v>
      </c>
      <c r="C56" s="51" t="s">
        <v>195</v>
      </c>
      <c r="D56" s="54"/>
      <c r="E56" s="5"/>
      <c r="F56" s="5"/>
      <c r="G56" s="5"/>
    </row>
    <row r="57" spans="1:7" ht="13">
      <c r="A57" s="51" t="s">
        <v>4581</v>
      </c>
      <c r="B57" s="60" t="s">
        <v>389</v>
      </c>
      <c r="C57" s="51" t="s">
        <v>195</v>
      </c>
      <c r="D57" s="54"/>
      <c r="E57" s="5"/>
      <c r="F57" s="5"/>
      <c r="G57" s="5"/>
    </row>
    <row r="58" spans="1:7" ht="13">
      <c r="A58" s="51" t="s">
        <v>4582</v>
      </c>
      <c r="B58" s="60" t="s">
        <v>368</v>
      </c>
      <c r="C58" s="51" t="s">
        <v>195</v>
      </c>
      <c r="D58" s="54"/>
      <c r="E58" s="5"/>
      <c r="F58" s="5"/>
      <c r="G58" s="5"/>
    </row>
    <row r="59" spans="1:7" ht="13">
      <c r="A59" s="51" t="s">
        <v>4583</v>
      </c>
      <c r="B59" s="60" t="s">
        <v>969</v>
      </c>
      <c r="C59" s="51" t="s">
        <v>195</v>
      </c>
      <c r="D59" s="54"/>
      <c r="E59" s="5"/>
      <c r="F59" s="5"/>
      <c r="G59" s="5"/>
    </row>
    <row r="60" spans="1:7" ht="13">
      <c r="A60" s="51" t="s">
        <v>4584</v>
      </c>
      <c r="B60" s="60" t="s">
        <v>283</v>
      </c>
      <c r="C60" s="51" t="s">
        <v>195</v>
      </c>
      <c r="D60" s="54"/>
      <c r="E60" s="5"/>
      <c r="F60" s="5"/>
      <c r="G60" s="5"/>
    </row>
    <row r="61" spans="1:7" ht="13">
      <c r="A61" s="51" t="s">
        <v>4585</v>
      </c>
      <c r="B61" s="60" t="s">
        <v>283</v>
      </c>
      <c r="C61" s="51" t="s">
        <v>195</v>
      </c>
      <c r="D61" s="54"/>
      <c r="E61" s="5"/>
      <c r="F61" s="5"/>
      <c r="G61" s="5"/>
    </row>
    <row r="62" spans="1:7" ht="13">
      <c r="A62" s="51" t="s">
        <v>4586</v>
      </c>
      <c r="B62" s="60" t="s">
        <v>378</v>
      </c>
      <c r="C62" s="51" t="s">
        <v>195</v>
      </c>
      <c r="D62" s="54"/>
      <c r="E62" s="5"/>
      <c r="F62" s="5"/>
      <c r="G62" s="5"/>
    </row>
    <row r="63" spans="1:7" ht="13">
      <c r="A63" s="51" t="s">
        <v>4587</v>
      </c>
      <c r="B63" s="60" t="s">
        <v>1307</v>
      </c>
      <c r="C63" s="51" t="s">
        <v>195</v>
      </c>
      <c r="D63" s="54"/>
      <c r="E63" s="5"/>
      <c r="F63" s="5"/>
      <c r="G63" s="5"/>
    </row>
    <row r="64" spans="1:7" ht="13">
      <c r="A64" s="51" t="s">
        <v>4588</v>
      </c>
      <c r="B64" s="60" t="s">
        <v>1262</v>
      </c>
      <c r="C64" s="51" t="s">
        <v>195</v>
      </c>
      <c r="D64" s="54"/>
      <c r="E64" s="5"/>
      <c r="F64" s="5"/>
      <c r="G64" s="5"/>
    </row>
    <row r="65" spans="1:7" ht="13">
      <c r="A65" s="51" t="s">
        <v>4589</v>
      </c>
      <c r="B65" s="60" t="s">
        <v>3314</v>
      </c>
      <c r="C65" s="51" t="s">
        <v>195</v>
      </c>
      <c r="D65" s="5"/>
      <c r="E65" s="5"/>
      <c r="F65" s="5"/>
      <c r="G65" s="5"/>
    </row>
    <row r="66" spans="1:7" ht="13">
      <c r="A66" s="51" t="s">
        <v>4590</v>
      </c>
      <c r="B66" s="60" t="s">
        <v>3374</v>
      </c>
      <c r="C66" s="51" t="s">
        <v>195</v>
      </c>
      <c r="D66" s="54"/>
      <c r="E66" s="5"/>
      <c r="F66" s="5"/>
      <c r="G66" s="5"/>
    </row>
    <row r="67" spans="1:7" ht="13">
      <c r="A67" s="51" t="s">
        <v>4591</v>
      </c>
      <c r="B67" s="60" t="s">
        <v>4079</v>
      </c>
      <c r="C67" s="51" t="s">
        <v>195</v>
      </c>
      <c r="D67" s="54"/>
      <c r="E67" s="5"/>
      <c r="F67" s="5"/>
      <c r="G67" s="5"/>
    </row>
    <row r="68" spans="1:7" ht="13">
      <c r="A68" s="51" t="s">
        <v>4592</v>
      </c>
      <c r="B68" s="60" t="s">
        <v>4079</v>
      </c>
      <c r="C68" s="51" t="s">
        <v>195</v>
      </c>
      <c r="D68" s="54"/>
      <c r="E68" s="5"/>
      <c r="F68" s="5"/>
      <c r="G68" s="5"/>
    </row>
    <row r="69" spans="1:7" ht="13">
      <c r="A69" s="51" t="s">
        <v>4593</v>
      </c>
      <c r="B69" s="60" t="s">
        <v>4079</v>
      </c>
      <c r="C69" s="51" t="s">
        <v>195</v>
      </c>
      <c r="D69" s="54"/>
      <c r="E69" s="5"/>
      <c r="F69" s="5"/>
      <c r="G69" s="5"/>
    </row>
    <row r="70" spans="1:7" ht="13">
      <c r="A70" s="51" t="s">
        <v>4594</v>
      </c>
      <c r="B70" s="60" t="s">
        <v>4080</v>
      </c>
      <c r="C70" s="51" t="s">
        <v>195</v>
      </c>
      <c r="D70" s="54"/>
      <c r="E70" s="5"/>
      <c r="F70" s="5"/>
      <c r="G70" s="5"/>
    </row>
    <row r="71" spans="1:7" ht="13">
      <c r="A71" s="51" t="s">
        <v>4595</v>
      </c>
      <c r="B71" s="60" t="s">
        <v>4080</v>
      </c>
      <c r="C71" s="51" t="s">
        <v>195</v>
      </c>
      <c r="D71" s="54"/>
      <c r="E71" s="5"/>
      <c r="F71" s="5"/>
      <c r="G71" s="5"/>
    </row>
    <row r="72" spans="1:7" ht="13">
      <c r="A72" s="51" t="s">
        <v>4596</v>
      </c>
      <c r="B72" s="60" t="s">
        <v>4084</v>
      </c>
      <c r="C72" s="51" t="s">
        <v>195</v>
      </c>
      <c r="D72" s="54"/>
      <c r="E72" s="5"/>
      <c r="F72" s="5"/>
      <c r="G72" s="5"/>
    </row>
    <row r="73" spans="1:7" ht="13">
      <c r="A73" s="51" t="s">
        <v>4597</v>
      </c>
      <c r="B73" s="60" t="s">
        <v>4084</v>
      </c>
      <c r="C73" s="51" t="s">
        <v>195</v>
      </c>
      <c r="D73" s="54"/>
      <c r="E73" s="5"/>
      <c r="F73" s="5"/>
      <c r="G73" s="5"/>
    </row>
    <row r="74" spans="1:7" ht="13">
      <c r="A74" s="51" t="s">
        <v>4598</v>
      </c>
      <c r="B74" s="60" t="s">
        <v>4085</v>
      </c>
      <c r="C74" s="51" t="s">
        <v>195</v>
      </c>
      <c r="D74" s="54"/>
      <c r="E74" s="5"/>
      <c r="F74" s="5"/>
      <c r="G74" s="5"/>
    </row>
    <row r="75" spans="1:7" ht="13">
      <c r="A75" s="51" t="s">
        <v>4599</v>
      </c>
      <c r="B75" s="60" t="s">
        <v>840</v>
      </c>
      <c r="C75" s="51" t="s">
        <v>195</v>
      </c>
      <c r="D75" s="54"/>
      <c r="E75" s="5"/>
      <c r="F75" s="5"/>
      <c r="G75" s="5"/>
    </row>
    <row r="76" spans="1:7" ht="13">
      <c r="A76" s="51" t="s">
        <v>4600</v>
      </c>
      <c r="B76" s="60" t="s">
        <v>801</v>
      </c>
      <c r="C76" s="51" t="s">
        <v>225</v>
      </c>
      <c r="D76" s="54"/>
      <c r="E76" s="5"/>
      <c r="F76" s="5"/>
      <c r="G76" s="5"/>
    </row>
    <row r="77" spans="1:7" ht="13">
      <c r="A77" s="51" t="s">
        <v>4601</v>
      </c>
      <c r="B77" s="60" t="s">
        <v>1366</v>
      </c>
      <c r="C77" s="51" t="s">
        <v>225</v>
      </c>
      <c r="D77" s="54"/>
      <c r="E77" s="5"/>
      <c r="F77" s="5"/>
      <c r="G77" s="5"/>
    </row>
    <row r="78" spans="1:7" ht="13">
      <c r="A78" s="51" t="s">
        <v>4602</v>
      </c>
      <c r="B78" s="60" t="s">
        <v>1376</v>
      </c>
      <c r="C78" s="51" t="s">
        <v>225</v>
      </c>
      <c r="D78" s="54"/>
      <c r="E78" s="5"/>
      <c r="F78" s="5"/>
      <c r="G78" s="5"/>
    </row>
    <row r="79" spans="1:7" ht="13">
      <c r="A79" s="51" t="s">
        <v>4603</v>
      </c>
      <c r="B79" s="60" t="s">
        <v>3141</v>
      </c>
      <c r="C79" s="51" t="s">
        <v>225</v>
      </c>
      <c r="D79" s="54"/>
      <c r="E79" s="5"/>
      <c r="F79" s="5"/>
      <c r="G79" s="5"/>
    </row>
    <row r="80" spans="1:7" ht="13">
      <c r="A80" s="51" t="s">
        <v>4604</v>
      </c>
      <c r="B80" s="60" t="s">
        <v>3141</v>
      </c>
      <c r="C80" s="51" t="s">
        <v>225</v>
      </c>
      <c r="D80" s="54"/>
      <c r="E80" s="5"/>
      <c r="F80" s="5"/>
      <c r="G80" s="5"/>
    </row>
    <row r="81" spans="1:7" ht="13">
      <c r="A81" s="51" t="s">
        <v>4605</v>
      </c>
      <c r="B81" s="60" t="s">
        <v>3113</v>
      </c>
      <c r="C81" s="51" t="s">
        <v>225</v>
      </c>
      <c r="D81" s="54"/>
      <c r="E81" s="5"/>
      <c r="F81" s="5"/>
      <c r="G81" s="5"/>
    </row>
    <row r="82" spans="1:7" ht="13">
      <c r="A82" s="51" t="s">
        <v>4606</v>
      </c>
      <c r="B82" s="60" t="s">
        <v>3113</v>
      </c>
      <c r="C82" s="51" t="s">
        <v>225</v>
      </c>
      <c r="D82" s="54"/>
      <c r="E82" s="5"/>
      <c r="F82" s="5"/>
      <c r="G82" s="5"/>
    </row>
    <row r="83" spans="1:7" ht="13">
      <c r="A83" s="51" t="s">
        <v>4607</v>
      </c>
      <c r="B83" s="60" t="s">
        <v>4090</v>
      </c>
      <c r="C83" s="51" t="s">
        <v>225</v>
      </c>
      <c r="D83" s="54"/>
      <c r="E83" s="5"/>
      <c r="F83" s="5"/>
      <c r="G83" s="5"/>
    </row>
    <row r="84" spans="1:7" ht="13">
      <c r="A84" s="51" t="s">
        <v>4608</v>
      </c>
      <c r="B84" s="60" t="s">
        <v>4091</v>
      </c>
      <c r="C84" s="51" t="s">
        <v>225</v>
      </c>
      <c r="D84" s="54"/>
      <c r="E84" s="5"/>
      <c r="F84" s="5"/>
      <c r="G84" s="5"/>
    </row>
    <row r="85" spans="1:7" ht="13">
      <c r="A85" s="51" t="s">
        <v>4609</v>
      </c>
      <c r="B85" s="60" t="s">
        <v>4092</v>
      </c>
      <c r="C85" s="51" t="s">
        <v>225</v>
      </c>
      <c r="D85" s="54"/>
      <c r="E85" s="5"/>
      <c r="F85" s="5"/>
      <c r="G85" s="5"/>
    </row>
    <row r="86" spans="1:7" ht="13">
      <c r="A86" s="51" t="s">
        <v>4610</v>
      </c>
      <c r="B86" s="60" t="s">
        <v>4188</v>
      </c>
      <c r="C86" s="51" t="s">
        <v>808</v>
      </c>
      <c r="D86" s="54"/>
      <c r="E86" s="5"/>
      <c r="F86" s="5"/>
      <c r="G86" s="5"/>
    </row>
    <row r="87" spans="1:7" ht="13">
      <c r="A87" s="51" t="s">
        <v>4611</v>
      </c>
      <c r="B87" s="60" t="s">
        <v>4188</v>
      </c>
      <c r="C87" s="51" t="s">
        <v>808</v>
      </c>
      <c r="D87" s="54"/>
      <c r="E87" s="5"/>
      <c r="F87" s="5"/>
      <c r="G87" s="5"/>
    </row>
    <row r="88" spans="1:7" ht="13">
      <c r="A88" s="51" t="s">
        <v>4612</v>
      </c>
      <c r="B88" s="60" t="s">
        <v>4445</v>
      </c>
      <c r="C88" s="51" t="s">
        <v>808</v>
      </c>
      <c r="D88" s="54"/>
      <c r="E88" s="5"/>
      <c r="F88" s="5"/>
      <c r="G88" s="5"/>
    </row>
    <row r="89" spans="1:7" ht="13">
      <c r="A89" s="51" t="s">
        <v>4613</v>
      </c>
      <c r="B89" s="60" t="s">
        <v>4132</v>
      </c>
      <c r="C89" s="51" t="s">
        <v>808</v>
      </c>
      <c r="D89" s="54"/>
      <c r="E89" s="5"/>
      <c r="F89" s="5"/>
      <c r="G89" s="5"/>
    </row>
    <row r="90" spans="1:7" ht="13">
      <c r="A90" s="51" t="s">
        <v>4614</v>
      </c>
      <c r="B90" s="60" t="s">
        <v>4133</v>
      </c>
      <c r="C90" s="51" t="s">
        <v>808</v>
      </c>
      <c r="D90" s="54"/>
      <c r="E90" s="5"/>
      <c r="F90" s="5"/>
      <c r="G90" s="5"/>
    </row>
    <row r="91" spans="1:7" ht="13">
      <c r="A91" s="51" t="s">
        <v>4615</v>
      </c>
      <c r="B91" s="60" t="s">
        <v>787</v>
      </c>
      <c r="C91" s="51" t="s">
        <v>220</v>
      </c>
      <c r="D91" s="54"/>
      <c r="E91" s="5"/>
      <c r="F91" s="5"/>
      <c r="G91" s="5"/>
    </row>
    <row r="92" spans="1:7" ht="13">
      <c r="A92" s="51" t="s">
        <v>4616</v>
      </c>
      <c r="B92" s="60" t="s">
        <v>4037</v>
      </c>
      <c r="C92" s="51" t="s">
        <v>220</v>
      </c>
      <c r="D92" s="54"/>
      <c r="E92" s="5"/>
      <c r="F92" s="5"/>
      <c r="G92" s="5"/>
    </row>
    <row r="93" spans="1:7" ht="13">
      <c r="A93" s="51" t="s">
        <v>4617</v>
      </c>
      <c r="B93" s="60" t="s">
        <v>4159</v>
      </c>
      <c r="C93" s="51" t="s">
        <v>220</v>
      </c>
      <c r="D93" s="54"/>
      <c r="E93" s="5"/>
      <c r="F93" s="5"/>
      <c r="G93" s="5"/>
    </row>
    <row r="94" spans="1:7" ht="13">
      <c r="A94" s="51" t="s">
        <v>4618</v>
      </c>
      <c r="B94" s="60" t="s">
        <v>4160</v>
      </c>
      <c r="C94" s="51" t="s">
        <v>220</v>
      </c>
      <c r="D94" s="54"/>
      <c r="E94" s="5"/>
      <c r="F94" s="5"/>
      <c r="G94" s="5"/>
    </row>
    <row r="95" spans="1:7" ht="13">
      <c r="A95" s="51" t="s">
        <v>4619</v>
      </c>
      <c r="B95" s="60" t="s">
        <v>4107</v>
      </c>
      <c r="C95" s="51" t="s">
        <v>220</v>
      </c>
      <c r="D95" s="54"/>
      <c r="E95" s="5"/>
      <c r="F95" s="5"/>
      <c r="G95" s="5"/>
    </row>
    <row r="96" spans="1:7" ht="13">
      <c r="A96" s="51" t="s">
        <v>4620</v>
      </c>
      <c r="B96" s="60" t="s">
        <v>4107</v>
      </c>
      <c r="C96" s="51" t="s">
        <v>220</v>
      </c>
      <c r="D96" s="5"/>
      <c r="E96" s="5"/>
      <c r="F96" s="5"/>
      <c r="G96" s="5"/>
    </row>
    <row r="97" spans="1:7" ht="13">
      <c r="A97" s="51" t="s">
        <v>4621</v>
      </c>
      <c r="B97" s="61" t="s">
        <v>4622</v>
      </c>
      <c r="C97" s="51" t="s">
        <v>220</v>
      </c>
      <c r="D97" s="54"/>
      <c r="E97" s="5"/>
      <c r="F97" s="5"/>
      <c r="G97" s="5"/>
    </row>
    <row r="98" spans="1:7" ht="13">
      <c r="A98" s="51" t="s">
        <v>4623</v>
      </c>
      <c r="B98" s="60" t="s">
        <v>4112</v>
      </c>
      <c r="C98" s="51" t="s">
        <v>4285</v>
      </c>
      <c r="D98" s="54"/>
      <c r="E98" s="5"/>
      <c r="F98" s="5"/>
      <c r="G98" s="5"/>
    </row>
    <row r="99" spans="1:7" ht="13">
      <c r="A99" s="51" t="s">
        <v>4624</v>
      </c>
      <c r="B99" s="61" t="s">
        <v>4458</v>
      </c>
      <c r="C99" s="51" t="s">
        <v>4285</v>
      </c>
      <c r="D99" s="54"/>
      <c r="E99" s="5"/>
      <c r="F99" s="5"/>
      <c r="G99" s="5"/>
    </row>
    <row r="100" spans="1:7" ht="13">
      <c r="A100" s="51" t="s">
        <v>4625</v>
      </c>
      <c r="B100" s="61" t="s">
        <v>4462</v>
      </c>
      <c r="C100" s="51" t="s">
        <v>4285</v>
      </c>
      <c r="D100" s="54"/>
      <c r="E100" s="5"/>
      <c r="F100" s="5"/>
      <c r="G100" s="5"/>
    </row>
    <row r="101" spans="1:7" ht="13">
      <c r="A101" s="51" t="s">
        <v>4626</v>
      </c>
      <c r="B101" s="60" t="s">
        <v>244</v>
      </c>
      <c r="C101" s="51" t="s">
        <v>197</v>
      </c>
      <c r="D101" s="54"/>
      <c r="E101" s="5"/>
      <c r="F101" s="5"/>
      <c r="G101" s="5"/>
    </row>
    <row r="102" spans="1:7" ht="13">
      <c r="A102" s="51" t="s">
        <v>4627</v>
      </c>
      <c r="B102" s="60" t="s">
        <v>318</v>
      </c>
      <c r="C102" s="51" t="s">
        <v>197</v>
      </c>
      <c r="D102" s="54"/>
      <c r="E102" s="5"/>
      <c r="F102" s="5"/>
      <c r="G102" s="5"/>
    </row>
    <row r="103" spans="1:7" ht="13">
      <c r="A103" s="51" t="s">
        <v>4628</v>
      </c>
      <c r="B103" s="60" t="s">
        <v>280</v>
      </c>
      <c r="C103" s="51" t="s">
        <v>197</v>
      </c>
      <c r="D103" s="54"/>
      <c r="E103" s="5"/>
      <c r="F103" s="5"/>
      <c r="G103" s="5"/>
    </row>
    <row r="104" spans="1:7" ht="13">
      <c r="A104" s="51" t="s">
        <v>4629</v>
      </c>
      <c r="B104" s="60" t="s">
        <v>332</v>
      </c>
      <c r="C104" s="51" t="s">
        <v>197</v>
      </c>
      <c r="D104" s="54"/>
      <c r="E104" s="5"/>
      <c r="F104" s="5"/>
      <c r="G104" s="5"/>
    </row>
    <row r="105" spans="1:7" ht="13">
      <c r="A105" s="51" t="s">
        <v>4630</v>
      </c>
      <c r="B105" s="60" t="s">
        <v>233</v>
      </c>
      <c r="C105" s="51" t="s">
        <v>197</v>
      </c>
      <c r="D105" s="54"/>
      <c r="E105" s="5"/>
      <c r="F105" s="5"/>
      <c r="G105" s="5"/>
    </row>
    <row r="106" spans="1:7" ht="13">
      <c r="A106" s="51" t="s">
        <v>4631</v>
      </c>
      <c r="B106" s="60" t="s">
        <v>216</v>
      </c>
      <c r="C106" s="51" t="s">
        <v>197</v>
      </c>
      <c r="D106" s="54"/>
      <c r="E106" s="5"/>
      <c r="F106" s="5"/>
      <c r="G106" s="5"/>
    </row>
    <row r="107" spans="1:7" ht="13">
      <c r="A107" s="51" t="s">
        <v>4632</v>
      </c>
      <c r="B107" s="60" t="s">
        <v>793</v>
      </c>
      <c r="C107" s="51" t="s">
        <v>197</v>
      </c>
      <c r="D107" s="5"/>
      <c r="E107" s="5"/>
      <c r="F107" s="5"/>
      <c r="G107" s="5"/>
    </row>
    <row r="108" spans="1:7" ht="13">
      <c r="A108" s="51" t="s">
        <v>4633</v>
      </c>
      <c r="B108" s="60" t="s">
        <v>3340</v>
      </c>
      <c r="C108" s="51" t="s">
        <v>197</v>
      </c>
      <c r="D108" s="5"/>
      <c r="E108" s="5"/>
      <c r="F108" s="5"/>
      <c r="G108" s="5"/>
    </row>
    <row r="109" spans="1:7" ht="13">
      <c r="A109" s="51" t="s">
        <v>4634</v>
      </c>
      <c r="B109" s="60" t="s">
        <v>1898</v>
      </c>
      <c r="C109" s="51" t="s">
        <v>197</v>
      </c>
      <c r="D109" s="54"/>
      <c r="E109" s="5"/>
      <c r="F109" s="5"/>
      <c r="G109" s="5"/>
    </row>
    <row r="110" spans="1:7" ht="13">
      <c r="A110" s="51" t="s">
        <v>4635</v>
      </c>
      <c r="B110" s="60" t="s">
        <v>1845</v>
      </c>
      <c r="C110" s="51" t="s">
        <v>197</v>
      </c>
      <c r="D110" s="54"/>
      <c r="E110" s="5"/>
      <c r="F110" s="5"/>
      <c r="G110" s="5"/>
    </row>
    <row r="111" spans="1:7" ht="13">
      <c r="A111" s="51" t="s">
        <v>4636</v>
      </c>
      <c r="B111" s="60" t="s">
        <v>1796</v>
      </c>
      <c r="C111" s="51" t="s">
        <v>197</v>
      </c>
      <c r="D111" s="54"/>
      <c r="E111" s="5"/>
      <c r="F111" s="5"/>
      <c r="G111" s="5"/>
    </row>
    <row r="112" spans="1:7" ht="13">
      <c r="A112" s="51" t="s">
        <v>4637</v>
      </c>
      <c r="B112" s="61" t="s">
        <v>4638</v>
      </c>
      <c r="C112" s="51" t="s">
        <v>197</v>
      </c>
      <c r="D112" s="54"/>
      <c r="E112" s="5"/>
      <c r="F112" s="5"/>
      <c r="G112" s="5"/>
    </row>
    <row r="113" spans="1:7" ht="13">
      <c r="A113" s="51" t="s">
        <v>4639</v>
      </c>
      <c r="B113" s="60" t="s">
        <v>1276</v>
      </c>
      <c r="C113" s="51" t="s">
        <v>197</v>
      </c>
      <c r="D113" s="54"/>
      <c r="E113" s="5"/>
      <c r="F113" s="5"/>
      <c r="G113" s="5"/>
    </row>
    <row r="114" spans="1:7" ht="13">
      <c r="A114" s="51" t="s">
        <v>4640</v>
      </c>
      <c r="B114" s="60" t="s">
        <v>4478</v>
      </c>
      <c r="C114" s="51" t="s">
        <v>197</v>
      </c>
      <c r="D114" s="54"/>
      <c r="E114" s="5"/>
      <c r="F114" s="5"/>
      <c r="G114" s="5"/>
    </row>
    <row r="115" spans="1:7" ht="13">
      <c r="A115" s="51" t="s">
        <v>4641</v>
      </c>
      <c r="B115" s="60" t="s">
        <v>4478</v>
      </c>
      <c r="C115" s="51" t="s">
        <v>197</v>
      </c>
      <c r="D115" s="54"/>
      <c r="E115" s="5"/>
      <c r="F115" s="5"/>
      <c r="G115" s="5"/>
    </row>
    <row r="116" spans="1:7" ht="13">
      <c r="A116" s="51" t="s">
        <v>4642</v>
      </c>
      <c r="B116" s="60" t="s">
        <v>4480</v>
      </c>
      <c r="C116" s="51" t="s">
        <v>197</v>
      </c>
      <c r="D116" s="5"/>
      <c r="E116" s="5"/>
      <c r="F116" s="5"/>
      <c r="G116" s="5"/>
    </row>
    <row r="117" spans="1:7" ht="13">
      <c r="A117" s="51" t="s">
        <v>4643</v>
      </c>
      <c r="B117" s="60" t="s">
        <v>4480</v>
      </c>
      <c r="C117" s="51" t="s">
        <v>197</v>
      </c>
      <c r="D117" s="54"/>
      <c r="E117" s="5"/>
      <c r="F117" s="5"/>
      <c r="G117" s="5"/>
    </row>
    <row r="118" spans="1:7" ht="13">
      <c r="A118" s="51" t="s">
        <v>4644</v>
      </c>
      <c r="B118" s="60" t="s">
        <v>4314</v>
      </c>
      <c r="C118" s="51" t="s">
        <v>197</v>
      </c>
      <c r="D118" s="54"/>
      <c r="E118" s="5"/>
      <c r="F118" s="5"/>
      <c r="G118" s="5"/>
    </row>
    <row r="119" spans="1:7" ht="13">
      <c r="A119" s="51" t="s">
        <v>4645</v>
      </c>
      <c r="B119" s="60" t="s">
        <v>4316</v>
      </c>
      <c r="C119" s="51" t="s">
        <v>197</v>
      </c>
      <c r="D119" s="54"/>
      <c r="E119" s="5"/>
      <c r="F119" s="5"/>
      <c r="G119" s="5"/>
    </row>
    <row r="120" spans="1:7" ht="13">
      <c r="A120" s="51" t="s">
        <v>4646</v>
      </c>
      <c r="B120" s="60" t="s">
        <v>4318</v>
      </c>
      <c r="C120" s="51" t="s">
        <v>197</v>
      </c>
      <c r="D120" s="54"/>
      <c r="E120" s="5"/>
      <c r="F120" s="5"/>
      <c r="G120" s="5"/>
    </row>
    <row r="121" spans="1:7" ht="13">
      <c r="A121" s="51" t="s">
        <v>4647</v>
      </c>
      <c r="B121" s="60" t="s">
        <v>4648</v>
      </c>
      <c r="C121" s="51" t="s">
        <v>4114</v>
      </c>
      <c r="D121" s="54"/>
      <c r="E121" s="5"/>
      <c r="F121" s="5"/>
      <c r="G121" s="5"/>
    </row>
    <row r="122" spans="1:7" ht="13">
      <c r="A122" s="51" t="s">
        <v>4649</v>
      </c>
      <c r="B122" s="60" t="s">
        <v>4650</v>
      </c>
      <c r="C122" s="51" t="s">
        <v>1013</v>
      </c>
      <c r="D122" s="54"/>
      <c r="E122" s="5"/>
      <c r="F122" s="5"/>
      <c r="G122" s="5"/>
    </row>
    <row r="123" spans="1:7" ht="13">
      <c r="A123" s="51" t="s">
        <v>4651</v>
      </c>
      <c r="B123" s="60" t="s">
        <v>4652</v>
      </c>
      <c r="C123" s="51" t="s">
        <v>4114</v>
      </c>
      <c r="D123" s="54"/>
      <c r="E123" s="5"/>
      <c r="F123" s="5"/>
      <c r="G123" s="5"/>
    </row>
    <row r="124" spans="1:7" ht="13">
      <c r="A124" s="51" t="s">
        <v>4653</v>
      </c>
      <c r="B124" s="60" t="s">
        <v>4654</v>
      </c>
      <c r="C124" s="51" t="s">
        <v>4114</v>
      </c>
      <c r="D124" s="54"/>
      <c r="E124" s="5"/>
      <c r="F124" s="5"/>
      <c r="G124" s="5"/>
    </row>
    <row r="125" spans="1:7" ht="13">
      <c r="A125" s="51" t="s">
        <v>4655</v>
      </c>
      <c r="B125" s="60" t="s">
        <v>4656</v>
      </c>
      <c r="C125" s="51" t="s">
        <v>4114</v>
      </c>
      <c r="D125" s="54"/>
      <c r="E125" s="5"/>
      <c r="F125" s="5"/>
      <c r="G125" s="5"/>
    </row>
    <row r="126" spans="1:7" ht="13">
      <c r="A126" s="51" t="s">
        <v>4657</v>
      </c>
      <c r="B126" s="60" t="s">
        <v>4115</v>
      </c>
      <c r="C126" s="51" t="s">
        <v>4114</v>
      </c>
      <c r="D126" s="54"/>
      <c r="E126" s="5"/>
      <c r="F126" s="5"/>
      <c r="G126" s="5"/>
    </row>
    <row r="127" spans="1:7" ht="13">
      <c r="A127" s="51" t="s">
        <v>4658</v>
      </c>
      <c r="B127" s="60" t="s">
        <v>4659</v>
      </c>
      <c r="C127" s="51" t="s">
        <v>4114</v>
      </c>
      <c r="D127" s="54"/>
      <c r="E127" s="5"/>
      <c r="F127" s="5"/>
      <c r="G127" s="5"/>
    </row>
    <row r="128" spans="1:7" ht="13">
      <c r="A128" s="51" t="s">
        <v>4660</v>
      </c>
      <c r="B128" s="60" t="s">
        <v>4661</v>
      </c>
      <c r="C128" s="51" t="s">
        <v>229</v>
      </c>
      <c r="D128" s="54"/>
      <c r="E128" s="5"/>
      <c r="F128" s="5"/>
      <c r="G128" s="5"/>
    </row>
    <row r="129" spans="1:7" ht="13">
      <c r="A129" s="51" t="s">
        <v>4662</v>
      </c>
      <c r="B129" s="60" t="s">
        <v>4663</v>
      </c>
      <c r="C129" s="51" t="s">
        <v>1013</v>
      </c>
      <c r="D129" s="54"/>
      <c r="E129" s="5"/>
      <c r="F129" s="5"/>
      <c r="G129" s="5"/>
    </row>
    <row r="130" spans="1:7" ht="13">
      <c r="A130" s="51" t="s">
        <v>4664</v>
      </c>
      <c r="B130" s="60" t="s">
        <v>4665</v>
      </c>
      <c r="C130" s="51" t="s">
        <v>229</v>
      </c>
      <c r="D130" s="5"/>
      <c r="E130" s="5"/>
      <c r="F130" s="5"/>
      <c r="G130" s="5"/>
    </row>
    <row r="131" spans="1:7" ht="13">
      <c r="A131" s="51" t="s">
        <v>4666</v>
      </c>
      <c r="B131" s="60" t="s">
        <v>4667</v>
      </c>
      <c r="C131" s="51" t="s">
        <v>317</v>
      </c>
      <c r="D131" s="5"/>
      <c r="E131" s="5"/>
      <c r="F131" s="5"/>
      <c r="G131" s="5"/>
    </row>
    <row r="132" spans="1:7" ht="13">
      <c r="A132" s="51" t="s">
        <v>4668</v>
      </c>
      <c r="B132" s="60" t="s">
        <v>4669</v>
      </c>
      <c r="C132" s="51" t="s">
        <v>4114</v>
      </c>
      <c r="D132" s="54"/>
      <c r="E132" s="5"/>
      <c r="F132" s="5"/>
      <c r="G132" s="5"/>
    </row>
    <row r="133" spans="1:7" ht="13">
      <c r="A133" s="51" t="s">
        <v>4670</v>
      </c>
      <c r="B133" s="60" t="s">
        <v>4671</v>
      </c>
      <c r="C133" s="51" t="s">
        <v>4114</v>
      </c>
      <c r="D133" s="54"/>
      <c r="E133" s="5"/>
      <c r="F133" s="5"/>
      <c r="G133" s="5"/>
    </row>
    <row r="134" spans="1:7" ht="13">
      <c r="A134" s="51" t="s">
        <v>4672</v>
      </c>
      <c r="B134" s="60" t="s">
        <v>4673</v>
      </c>
      <c r="C134" s="51" t="s">
        <v>4114</v>
      </c>
      <c r="D134" s="5"/>
      <c r="E134" s="5"/>
      <c r="F134" s="5"/>
      <c r="G134" s="5"/>
    </row>
    <row r="135" spans="1:7" ht="13">
      <c r="A135" s="51" t="s">
        <v>4674</v>
      </c>
      <c r="B135" s="61" t="s">
        <v>4544</v>
      </c>
      <c r="C135" s="51" t="s">
        <v>199</v>
      </c>
      <c r="D135" s="5"/>
      <c r="E135" s="5"/>
      <c r="F135" s="5"/>
      <c r="G135" s="5"/>
    </row>
    <row r="136" spans="1:7" ht="13">
      <c r="A136" s="51" t="s">
        <v>4675</v>
      </c>
      <c r="B136" s="61" t="s">
        <v>4552</v>
      </c>
      <c r="C136" s="51" t="s">
        <v>208</v>
      </c>
      <c r="D136" s="5"/>
      <c r="E136" s="5"/>
      <c r="F136" s="5"/>
      <c r="G136" s="5"/>
    </row>
    <row r="137" spans="1:7" ht="13">
      <c r="A137" s="51" t="s">
        <v>4676</v>
      </c>
      <c r="B137" s="61" t="s">
        <v>4622</v>
      </c>
      <c r="C137" s="51" t="s">
        <v>220</v>
      </c>
      <c r="D137" s="5"/>
      <c r="E137" s="5"/>
      <c r="F137" s="5"/>
      <c r="G137" s="5"/>
    </row>
    <row r="138" spans="1:7" ht="13">
      <c r="A138" s="51" t="s">
        <v>4677</v>
      </c>
      <c r="B138" s="61" t="s">
        <v>4638</v>
      </c>
      <c r="C138" s="51" t="s">
        <v>197</v>
      </c>
      <c r="D138" s="5"/>
      <c r="E138" s="5"/>
      <c r="F138" s="5"/>
      <c r="G138" s="5"/>
    </row>
    <row r="139" spans="1:7" ht="13">
      <c r="A139" s="51" t="s">
        <v>4678</v>
      </c>
      <c r="B139" s="60" t="s">
        <v>4650</v>
      </c>
      <c r="C139" s="51" t="s">
        <v>1013</v>
      </c>
      <c r="D139" s="5"/>
      <c r="E139" s="5"/>
      <c r="F139" s="5"/>
      <c r="G139" s="5"/>
    </row>
    <row r="140" spans="1:7" ht="13">
      <c r="A140" s="51" t="s">
        <v>4679</v>
      </c>
      <c r="B140" s="60" t="s">
        <v>243</v>
      </c>
      <c r="C140" s="51" t="s">
        <v>199</v>
      </c>
      <c r="D140" s="5"/>
      <c r="E140" s="5"/>
      <c r="F140" s="5"/>
      <c r="G140" s="5"/>
    </row>
    <row r="141" spans="1:7" ht="13">
      <c r="A141" s="51" t="s">
        <v>4680</v>
      </c>
      <c r="B141" s="60" t="s">
        <v>240</v>
      </c>
      <c r="C141" s="51" t="s">
        <v>208</v>
      </c>
      <c r="D141" s="5"/>
      <c r="E141" s="5"/>
      <c r="F141" s="5"/>
      <c r="G141" s="5"/>
    </row>
    <row r="142" spans="1:7" ht="13">
      <c r="A142" s="51" t="s">
        <v>4681</v>
      </c>
      <c r="B142" s="60" t="s">
        <v>4171</v>
      </c>
      <c r="C142" s="51" t="s">
        <v>4114</v>
      </c>
      <c r="D142" s="5"/>
      <c r="E142" s="5"/>
      <c r="F142" s="5"/>
      <c r="G142" s="5"/>
    </row>
    <row r="143" spans="1:7" ht="13">
      <c r="A143" s="51"/>
      <c r="C143" s="51"/>
      <c r="D143" s="5"/>
    </row>
    <row r="144" spans="1:7" ht="13">
      <c r="A144" s="51"/>
      <c r="C144" s="51"/>
      <c r="D144" s="5"/>
    </row>
    <row r="145" spans="1:4" ht="13">
      <c r="A145" s="51"/>
      <c r="B145" s="61"/>
      <c r="C145" s="51"/>
      <c r="D145" s="5"/>
    </row>
    <row r="146" spans="1:4" ht="13">
      <c r="A146" s="51"/>
      <c r="B146" s="61"/>
      <c r="C146" s="51"/>
      <c r="D146" s="54"/>
    </row>
    <row r="147" spans="1:4" ht="13">
      <c r="A147" s="51"/>
      <c r="B147" s="61"/>
      <c r="C147" s="51"/>
      <c r="D147" s="5"/>
    </row>
    <row r="148" spans="1:4" ht="13">
      <c r="A148" s="51"/>
      <c r="B148" s="61"/>
      <c r="C148" s="51"/>
      <c r="D148" s="5"/>
    </row>
    <row r="149" spans="1:4" ht="13">
      <c r="A149" s="51"/>
      <c r="B149" s="61"/>
      <c r="C149" s="51"/>
      <c r="D149" s="5"/>
    </row>
    <row r="150" spans="1:4" ht="13">
      <c r="A150" s="51"/>
      <c r="B150" s="61"/>
      <c r="C150" s="51"/>
      <c r="D150" s="5"/>
    </row>
    <row r="151" spans="1:4" ht="13">
      <c r="A151" s="51"/>
      <c r="C151" s="51"/>
      <c r="D151" s="5"/>
    </row>
    <row r="152" spans="1:4" ht="13">
      <c r="A152" s="51"/>
      <c r="C152" s="51"/>
      <c r="D152" s="5"/>
    </row>
    <row r="153" spans="1:4" ht="13">
      <c r="A153" s="51"/>
      <c r="C153" s="51"/>
      <c r="D153" s="5"/>
    </row>
    <row r="154" spans="1:4" ht="13">
      <c r="A154" s="51"/>
      <c r="C154" s="51"/>
      <c r="D154" s="5"/>
    </row>
    <row r="155" spans="1:4" ht="13">
      <c r="A155" s="51"/>
      <c r="C155" s="51"/>
      <c r="D155" s="5"/>
    </row>
    <row r="156" spans="1:4" ht="13">
      <c r="A156" s="51"/>
      <c r="C156" s="51"/>
      <c r="D156" s="5"/>
    </row>
    <row r="157" spans="1:4" ht="13">
      <c r="A157" s="51"/>
      <c r="C157" s="72"/>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3D00-000000000000}"/>
    <hyperlink ref="B6" r:id="rId2" xr:uid="{00000000-0004-0000-3D00-000001000000}"/>
    <hyperlink ref="B7" r:id="rId3" xr:uid="{00000000-0004-0000-3D00-000002000000}"/>
    <hyperlink ref="B8" r:id="rId4" xr:uid="{00000000-0004-0000-3D00-000003000000}"/>
    <hyperlink ref="B9" r:id="rId5" xr:uid="{00000000-0004-0000-3D00-000004000000}"/>
    <hyperlink ref="B10" r:id="rId6" xr:uid="{00000000-0004-0000-3D00-000005000000}"/>
    <hyperlink ref="B11" r:id="rId7" xr:uid="{00000000-0004-0000-3D00-000006000000}"/>
    <hyperlink ref="B12" r:id="rId8" xr:uid="{00000000-0004-0000-3D00-000007000000}"/>
    <hyperlink ref="B13" r:id="rId9" xr:uid="{00000000-0004-0000-3D00-000008000000}"/>
    <hyperlink ref="B14" r:id="rId10" xr:uid="{00000000-0004-0000-3D00-000009000000}"/>
    <hyperlink ref="B15" r:id="rId11" xr:uid="{00000000-0004-0000-3D00-00000A000000}"/>
    <hyperlink ref="B16" r:id="rId12" xr:uid="{00000000-0004-0000-3D00-00000B000000}"/>
    <hyperlink ref="B17" r:id="rId13" xr:uid="{00000000-0004-0000-3D00-00000C000000}"/>
    <hyperlink ref="B18" r:id="rId14" xr:uid="{00000000-0004-0000-3D00-00000D000000}"/>
    <hyperlink ref="B19" r:id="rId15" xr:uid="{00000000-0004-0000-3D00-00000E000000}"/>
    <hyperlink ref="B20" r:id="rId16" xr:uid="{00000000-0004-0000-3D00-00000F000000}"/>
    <hyperlink ref="B21" r:id="rId17" xr:uid="{00000000-0004-0000-3D00-000010000000}"/>
    <hyperlink ref="B22" r:id="rId18" xr:uid="{00000000-0004-0000-3D00-000011000000}"/>
    <hyperlink ref="B23" r:id="rId19" xr:uid="{00000000-0004-0000-3D00-000012000000}"/>
    <hyperlink ref="B24" r:id="rId20" xr:uid="{00000000-0004-0000-3D00-000013000000}"/>
    <hyperlink ref="B25" r:id="rId21" xr:uid="{00000000-0004-0000-3D00-000014000000}"/>
    <hyperlink ref="B26" r:id="rId22" xr:uid="{00000000-0004-0000-3D00-000015000000}"/>
    <hyperlink ref="B27" r:id="rId23" xr:uid="{00000000-0004-0000-3D00-000016000000}"/>
    <hyperlink ref="B28" r:id="rId24" xr:uid="{00000000-0004-0000-3D00-000017000000}"/>
    <hyperlink ref="B29" r:id="rId25" xr:uid="{00000000-0004-0000-3D00-000018000000}"/>
    <hyperlink ref="B30" r:id="rId26" xr:uid="{00000000-0004-0000-3D00-000019000000}"/>
    <hyperlink ref="B31" r:id="rId27" xr:uid="{00000000-0004-0000-3D00-00001A000000}"/>
    <hyperlink ref="B32" r:id="rId28" xr:uid="{00000000-0004-0000-3D00-00001B000000}"/>
    <hyperlink ref="B33" r:id="rId29" xr:uid="{00000000-0004-0000-3D00-00001C000000}"/>
    <hyperlink ref="B34" r:id="rId30" xr:uid="{00000000-0004-0000-3D00-00001D000000}"/>
    <hyperlink ref="B35" r:id="rId31" xr:uid="{00000000-0004-0000-3D00-00001E000000}"/>
    <hyperlink ref="B36" r:id="rId32" xr:uid="{00000000-0004-0000-3D00-00001F000000}"/>
    <hyperlink ref="B37" r:id="rId33" xr:uid="{00000000-0004-0000-3D00-000020000000}"/>
    <hyperlink ref="B38" r:id="rId34" xr:uid="{00000000-0004-0000-3D00-000021000000}"/>
    <hyperlink ref="B39" r:id="rId35" xr:uid="{00000000-0004-0000-3D00-000022000000}"/>
    <hyperlink ref="B40" r:id="rId36" xr:uid="{00000000-0004-0000-3D00-000023000000}"/>
    <hyperlink ref="B41" r:id="rId37" xr:uid="{00000000-0004-0000-3D00-000024000000}"/>
    <hyperlink ref="B42" r:id="rId38" xr:uid="{00000000-0004-0000-3D00-000025000000}"/>
    <hyperlink ref="B43" r:id="rId39" xr:uid="{00000000-0004-0000-3D00-000026000000}"/>
    <hyperlink ref="B44" r:id="rId40" xr:uid="{00000000-0004-0000-3D00-000027000000}"/>
    <hyperlink ref="B45" r:id="rId41" xr:uid="{00000000-0004-0000-3D00-000028000000}"/>
    <hyperlink ref="B46" r:id="rId42" xr:uid="{00000000-0004-0000-3D00-000029000000}"/>
    <hyperlink ref="B47" r:id="rId43" xr:uid="{00000000-0004-0000-3D00-00002A000000}"/>
    <hyperlink ref="B48" r:id="rId44" xr:uid="{00000000-0004-0000-3D00-00002B000000}"/>
    <hyperlink ref="B49" r:id="rId45" xr:uid="{00000000-0004-0000-3D00-00002C000000}"/>
    <hyperlink ref="B50" r:id="rId46" xr:uid="{00000000-0004-0000-3D00-00002D000000}"/>
    <hyperlink ref="B51" r:id="rId47" xr:uid="{00000000-0004-0000-3D00-00002E000000}"/>
    <hyperlink ref="B52" r:id="rId48" xr:uid="{00000000-0004-0000-3D00-00002F000000}"/>
    <hyperlink ref="B53" r:id="rId49" xr:uid="{00000000-0004-0000-3D00-000030000000}"/>
    <hyperlink ref="B54" r:id="rId50" xr:uid="{00000000-0004-0000-3D00-000031000000}"/>
    <hyperlink ref="B55" r:id="rId51" xr:uid="{00000000-0004-0000-3D00-000032000000}"/>
    <hyperlink ref="B56" r:id="rId52" xr:uid="{00000000-0004-0000-3D00-000033000000}"/>
    <hyperlink ref="B57" r:id="rId53" xr:uid="{00000000-0004-0000-3D00-000034000000}"/>
    <hyperlink ref="B58" r:id="rId54" xr:uid="{00000000-0004-0000-3D00-000035000000}"/>
    <hyperlink ref="B59" r:id="rId55" xr:uid="{00000000-0004-0000-3D00-000036000000}"/>
    <hyperlink ref="B60" r:id="rId56" xr:uid="{00000000-0004-0000-3D00-000037000000}"/>
    <hyperlink ref="B61" r:id="rId57" xr:uid="{00000000-0004-0000-3D00-000038000000}"/>
    <hyperlink ref="B62" r:id="rId58" xr:uid="{00000000-0004-0000-3D00-000039000000}"/>
    <hyperlink ref="B63" r:id="rId59" xr:uid="{00000000-0004-0000-3D00-00003A000000}"/>
    <hyperlink ref="B64" r:id="rId60" xr:uid="{00000000-0004-0000-3D00-00003B000000}"/>
    <hyperlink ref="B65" r:id="rId61" xr:uid="{00000000-0004-0000-3D00-00003C000000}"/>
    <hyperlink ref="B66" r:id="rId62" xr:uid="{00000000-0004-0000-3D00-00003D000000}"/>
    <hyperlink ref="B67" r:id="rId63" xr:uid="{00000000-0004-0000-3D00-00003E000000}"/>
    <hyperlink ref="B68" r:id="rId64" xr:uid="{00000000-0004-0000-3D00-00003F000000}"/>
    <hyperlink ref="B69" r:id="rId65" xr:uid="{00000000-0004-0000-3D00-000040000000}"/>
    <hyperlink ref="B70" r:id="rId66" xr:uid="{00000000-0004-0000-3D00-000041000000}"/>
    <hyperlink ref="B71" r:id="rId67" xr:uid="{00000000-0004-0000-3D00-000042000000}"/>
    <hyperlink ref="B72" r:id="rId68" xr:uid="{00000000-0004-0000-3D00-000043000000}"/>
    <hyperlink ref="B73" r:id="rId69" xr:uid="{00000000-0004-0000-3D00-000044000000}"/>
    <hyperlink ref="B74" r:id="rId70" xr:uid="{00000000-0004-0000-3D00-000045000000}"/>
    <hyperlink ref="B75" r:id="rId71" xr:uid="{00000000-0004-0000-3D00-000046000000}"/>
    <hyperlink ref="B76" r:id="rId72" xr:uid="{00000000-0004-0000-3D00-000047000000}"/>
    <hyperlink ref="B77" r:id="rId73" xr:uid="{00000000-0004-0000-3D00-000048000000}"/>
    <hyperlink ref="B78" r:id="rId74" xr:uid="{00000000-0004-0000-3D00-000049000000}"/>
    <hyperlink ref="B79" r:id="rId75" xr:uid="{00000000-0004-0000-3D00-00004A000000}"/>
    <hyperlink ref="B80" r:id="rId76" xr:uid="{00000000-0004-0000-3D00-00004B000000}"/>
    <hyperlink ref="B81" r:id="rId77" xr:uid="{00000000-0004-0000-3D00-00004C000000}"/>
    <hyperlink ref="B82" r:id="rId78" xr:uid="{00000000-0004-0000-3D00-00004D000000}"/>
    <hyperlink ref="B83" r:id="rId79" xr:uid="{00000000-0004-0000-3D00-00004E000000}"/>
    <hyperlink ref="B84" r:id="rId80" xr:uid="{00000000-0004-0000-3D00-00004F000000}"/>
    <hyperlink ref="B85" r:id="rId81" xr:uid="{00000000-0004-0000-3D00-000050000000}"/>
    <hyperlink ref="B86" r:id="rId82" xr:uid="{00000000-0004-0000-3D00-000051000000}"/>
    <hyperlink ref="B87" r:id="rId83" xr:uid="{00000000-0004-0000-3D00-000052000000}"/>
    <hyperlink ref="B88" r:id="rId84" xr:uid="{00000000-0004-0000-3D00-000053000000}"/>
    <hyperlink ref="B89" r:id="rId85" xr:uid="{00000000-0004-0000-3D00-000054000000}"/>
    <hyperlink ref="B90" r:id="rId86" xr:uid="{00000000-0004-0000-3D00-000055000000}"/>
    <hyperlink ref="B91" r:id="rId87" xr:uid="{00000000-0004-0000-3D00-000056000000}"/>
    <hyperlink ref="B92" r:id="rId88" xr:uid="{00000000-0004-0000-3D00-000057000000}"/>
    <hyperlink ref="B93" r:id="rId89" xr:uid="{00000000-0004-0000-3D00-000058000000}"/>
    <hyperlink ref="B94" r:id="rId90" xr:uid="{00000000-0004-0000-3D00-000059000000}"/>
    <hyperlink ref="B95" r:id="rId91" xr:uid="{00000000-0004-0000-3D00-00005A000000}"/>
    <hyperlink ref="B96" r:id="rId92" xr:uid="{00000000-0004-0000-3D00-00005B000000}"/>
    <hyperlink ref="B97" r:id="rId93" xr:uid="{00000000-0004-0000-3D00-00005C000000}"/>
    <hyperlink ref="B98" r:id="rId94" xr:uid="{00000000-0004-0000-3D00-00005D000000}"/>
    <hyperlink ref="B99" r:id="rId95" xr:uid="{00000000-0004-0000-3D00-00005E000000}"/>
    <hyperlink ref="B100" r:id="rId96" xr:uid="{00000000-0004-0000-3D00-00005F000000}"/>
    <hyperlink ref="B101" r:id="rId97" xr:uid="{00000000-0004-0000-3D00-000060000000}"/>
    <hyperlink ref="B102" r:id="rId98" xr:uid="{00000000-0004-0000-3D00-000061000000}"/>
    <hyperlink ref="B103" r:id="rId99" xr:uid="{00000000-0004-0000-3D00-000062000000}"/>
    <hyperlink ref="B104" r:id="rId100" xr:uid="{00000000-0004-0000-3D00-000063000000}"/>
    <hyperlink ref="B105" r:id="rId101" xr:uid="{00000000-0004-0000-3D00-000064000000}"/>
    <hyperlink ref="B106" r:id="rId102" xr:uid="{00000000-0004-0000-3D00-000065000000}"/>
    <hyperlink ref="B107" r:id="rId103" xr:uid="{00000000-0004-0000-3D00-000066000000}"/>
    <hyperlink ref="B108" r:id="rId104" xr:uid="{00000000-0004-0000-3D00-000067000000}"/>
    <hyperlink ref="B109" r:id="rId105" xr:uid="{00000000-0004-0000-3D00-000068000000}"/>
    <hyperlink ref="B110" r:id="rId106" xr:uid="{00000000-0004-0000-3D00-000069000000}"/>
    <hyperlink ref="B111" r:id="rId107" xr:uid="{00000000-0004-0000-3D00-00006A000000}"/>
    <hyperlink ref="B112" r:id="rId108" xr:uid="{00000000-0004-0000-3D00-00006B000000}"/>
    <hyperlink ref="B113" r:id="rId109" xr:uid="{00000000-0004-0000-3D00-00006C000000}"/>
    <hyperlink ref="B114" r:id="rId110" xr:uid="{00000000-0004-0000-3D00-00006D000000}"/>
    <hyperlink ref="B115" r:id="rId111" xr:uid="{00000000-0004-0000-3D00-00006E000000}"/>
    <hyperlink ref="B116" r:id="rId112" xr:uid="{00000000-0004-0000-3D00-00006F000000}"/>
    <hyperlink ref="B117" r:id="rId113" xr:uid="{00000000-0004-0000-3D00-000070000000}"/>
    <hyperlink ref="B118" r:id="rId114" xr:uid="{00000000-0004-0000-3D00-000071000000}"/>
    <hyperlink ref="B119" r:id="rId115" xr:uid="{00000000-0004-0000-3D00-000072000000}"/>
    <hyperlink ref="B120" r:id="rId116" xr:uid="{00000000-0004-0000-3D00-000073000000}"/>
    <hyperlink ref="B121" r:id="rId117" xr:uid="{00000000-0004-0000-3D00-000074000000}"/>
    <hyperlink ref="B122" r:id="rId118" xr:uid="{00000000-0004-0000-3D00-000075000000}"/>
    <hyperlink ref="B123" r:id="rId119" xr:uid="{00000000-0004-0000-3D00-000076000000}"/>
    <hyperlink ref="B124" r:id="rId120" xr:uid="{00000000-0004-0000-3D00-000077000000}"/>
    <hyperlink ref="B125" r:id="rId121" xr:uid="{00000000-0004-0000-3D00-000078000000}"/>
    <hyperlink ref="B126" r:id="rId122" xr:uid="{00000000-0004-0000-3D00-000079000000}"/>
    <hyperlink ref="B127" r:id="rId123" xr:uid="{00000000-0004-0000-3D00-00007A000000}"/>
    <hyperlink ref="B128" r:id="rId124" xr:uid="{00000000-0004-0000-3D00-00007B000000}"/>
    <hyperlink ref="B129" r:id="rId125" xr:uid="{00000000-0004-0000-3D00-00007C000000}"/>
    <hyperlink ref="B130" r:id="rId126" xr:uid="{00000000-0004-0000-3D00-00007D000000}"/>
    <hyperlink ref="B131" r:id="rId127" xr:uid="{00000000-0004-0000-3D00-00007E000000}"/>
    <hyperlink ref="B132" r:id="rId128" xr:uid="{00000000-0004-0000-3D00-00007F000000}"/>
    <hyperlink ref="B133" r:id="rId129" xr:uid="{00000000-0004-0000-3D00-000080000000}"/>
    <hyperlink ref="B134" r:id="rId130" xr:uid="{00000000-0004-0000-3D00-000081000000}"/>
    <hyperlink ref="B135" r:id="rId131" xr:uid="{00000000-0004-0000-3D00-000082000000}"/>
    <hyperlink ref="B136" r:id="rId132" xr:uid="{00000000-0004-0000-3D00-000083000000}"/>
    <hyperlink ref="B137" r:id="rId133" xr:uid="{00000000-0004-0000-3D00-000084000000}"/>
    <hyperlink ref="B138" r:id="rId134" xr:uid="{00000000-0004-0000-3D00-000085000000}"/>
    <hyperlink ref="B139" r:id="rId135" xr:uid="{00000000-0004-0000-3D00-000086000000}"/>
    <hyperlink ref="B140" r:id="rId136" xr:uid="{00000000-0004-0000-3D00-000087000000}"/>
    <hyperlink ref="B141" r:id="rId137" xr:uid="{00000000-0004-0000-3D00-000088000000}"/>
    <hyperlink ref="B142" r:id="rId138" xr:uid="{00000000-0004-0000-3D00-000089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4.1640625" customWidth="1"/>
    <col min="2" max="2" width="17.6640625" customWidth="1"/>
    <col min="3" max="3" width="13.5" customWidth="1"/>
    <col min="4" max="4" width="14.83203125" customWidth="1"/>
    <col min="5" max="5" width="14.33203125" customWidth="1"/>
    <col min="7" max="7" width="14.1640625" customWidth="1"/>
  </cols>
  <sheetData>
    <row r="1" spans="1:12" ht="15.75" customHeight="1">
      <c r="A1" s="1" t="s">
        <v>107</v>
      </c>
      <c r="B1" s="36"/>
      <c r="C1" s="37"/>
      <c r="D1" s="7" t="s">
        <v>181</v>
      </c>
      <c r="E1" s="5"/>
    </row>
    <row r="2" spans="1:12" ht="15.75" customHeight="1">
      <c r="A2" s="7" t="s">
        <v>182</v>
      </c>
      <c r="B2" s="38">
        <v>41500</v>
      </c>
      <c r="C2" s="37"/>
      <c r="D2" s="39">
        <f>SUM(D5:G109)</f>
        <v>0</v>
      </c>
      <c r="E2" s="5"/>
    </row>
    <row r="3" spans="1:12" ht="15.75" customHeight="1">
      <c r="B3" s="41"/>
      <c r="C3" s="37"/>
      <c r="E3" s="5"/>
    </row>
    <row r="4" spans="1:12" ht="15.75" customHeight="1">
      <c r="A4" s="42" t="s">
        <v>183</v>
      </c>
      <c r="B4" s="43" t="s">
        <v>184</v>
      </c>
      <c r="C4" s="43" t="s">
        <v>185</v>
      </c>
      <c r="D4" s="42" t="s">
        <v>186</v>
      </c>
      <c r="E4" s="44" t="s">
        <v>187</v>
      </c>
      <c r="F4" s="44" t="s">
        <v>188</v>
      </c>
      <c r="G4" s="44" t="s">
        <v>189</v>
      </c>
      <c r="H4" s="44" t="s">
        <v>190</v>
      </c>
      <c r="I4" s="44"/>
    </row>
    <row r="5" spans="1:12" ht="15.75" customHeight="1">
      <c r="A5" s="51" t="s">
        <v>1787</v>
      </c>
      <c r="B5" s="60" t="s">
        <v>1891</v>
      </c>
      <c r="C5" s="51" t="s">
        <v>205</v>
      </c>
      <c r="D5" s="54"/>
      <c r="E5" s="5"/>
      <c r="F5" s="5"/>
      <c r="L5" s="43"/>
    </row>
    <row r="6" spans="1:12" ht="15.75" customHeight="1">
      <c r="A6" s="51" t="s">
        <v>1789</v>
      </c>
      <c r="B6" s="60" t="s">
        <v>1818</v>
      </c>
      <c r="C6" s="51" t="s">
        <v>205</v>
      </c>
      <c r="D6" s="54"/>
      <c r="E6" s="5"/>
      <c r="F6" s="5"/>
    </row>
    <row r="7" spans="1:12" ht="15.75" customHeight="1">
      <c r="A7" s="51" t="s">
        <v>1791</v>
      </c>
      <c r="B7" s="60" t="s">
        <v>1412</v>
      </c>
      <c r="C7" s="51" t="s">
        <v>205</v>
      </c>
      <c r="D7" s="54"/>
      <c r="E7" s="5"/>
      <c r="F7" s="5"/>
    </row>
    <row r="8" spans="1:12" ht="15.75" customHeight="1">
      <c r="A8" s="51" t="s">
        <v>1792</v>
      </c>
      <c r="B8" s="60" t="s">
        <v>1359</v>
      </c>
      <c r="C8" s="51" t="s">
        <v>205</v>
      </c>
      <c r="D8" s="54"/>
      <c r="E8" s="5"/>
      <c r="F8" s="5"/>
    </row>
    <row r="9" spans="1:12" ht="15.75" customHeight="1">
      <c r="A9" s="51" t="s">
        <v>1794</v>
      </c>
      <c r="B9" s="60" t="s">
        <v>1830</v>
      </c>
      <c r="C9" s="51" t="s">
        <v>205</v>
      </c>
      <c r="D9" s="54"/>
      <c r="E9" s="5"/>
      <c r="F9" s="51"/>
    </row>
    <row r="10" spans="1:12" ht="15.75" customHeight="1">
      <c r="A10" s="51" t="s">
        <v>1795</v>
      </c>
      <c r="B10" s="60" t="s">
        <v>4047</v>
      </c>
      <c r="C10" s="51" t="s">
        <v>205</v>
      </c>
      <c r="D10" s="51"/>
      <c r="E10" s="5"/>
      <c r="F10" s="51"/>
    </row>
    <row r="11" spans="1:12" ht="15.75" customHeight="1">
      <c r="A11" s="51" t="s">
        <v>1797</v>
      </c>
      <c r="B11" s="60" t="s">
        <v>4050</v>
      </c>
      <c r="C11" s="51" t="s">
        <v>205</v>
      </c>
      <c r="D11" s="54"/>
      <c r="E11" s="5"/>
      <c r="F11" s="5"/>
    </row>
    <row r="12" spans="1:12" ht="15.75" customHeight="1">
      <c r="A12" s="51" t="s">
        <v>1798</v>
      </c>
      <c r="B12" s="60" t="s">
        <v>4051</v>
      </c>
      <c r="C12" s="51" t="s">
        <v>205</v>
      </c>
      <c r="D12" s="54"/>
      <c r="E12" s="5"/>
      <c r="F12" s="51"/>
    </row>
    <row r="13" spans="1:12" ht="15.75" customHeight="1">
      <c r="A13" s="51" t="s">
        <v>1800</v>
      </c>
      <c r="B13" s="61" t="s">
        <v>4682</v>
      </c>
      <c r="C13" s="51" t="s">
        <v>205</v>
      </c>
      <c r="D13" s="54"/>
      <c r="E13" s="5"/>
      <c r="F13" s="51"/>
    </row>
    <row r="14" spans="1:12" ht="15.75" customHeight="1">
      <c r="A14" s="51" t="s">
        <v>1801</v>
      </c>
      <c r="B14" s="60" t="s">
        <v>4683</v>
      </c>
      <c r="C14" s="51" t="s">
        <v>205</v>
      </c>
      <c r="D14" s="54"/>
      <c r="E14" s="5"/>
      <c r="F14" s="5"/>
    </row>
    <row r="15" spans="1:12" ht="15.75" customHeight="1">
      <c r="A15" s="51" t="s">
        <v>1803</v>
      </c>
      <c r="B15" s="61" t="s">
        <v>4684</v>
      </c>
      <c r="C15" s="51" t="s">
        <v>205</v>
      </c>
      <c r="D15" s="54"/>
      <c r="E15" s="5"/>
      <c r="F15" s="5"/>
    </row>
    <row r="16" spans="1:12" ht="15.75" customHeight="1">
      <c r="A16" s="51" t="s">
        <v>1805</v>
      </c>
      <c r="B16" s="60" t="s">
        <v>4057</v>
      </c>
      <c r="C16" s="51" t="s">
        <v>199</v>
      </c>
      <c r="D16" s="54"/>
      <c r="E16" s="5"/>
      <c r="F16" s="51"/>
    </row>
    <row r="17" spans="1:5" ht="15.75" customHeight="1">
      <c r="A17" s="51" t="s">
        <v>1807</v>
      </c>
      <c r="B17" s="60" t="s">
        <v>4058</v>
      </c>
      <c r="C17" s="51" t="s">
        <v>199</v>
      </c>
      <c r="D17" s="54"/>
      <c r="E17" s="5"/>
    </row>
    <row r="18" spans="1:5" ht="15.75" customHeight="1">
      <c r="A18" s="51" t="s">
        <v>1808</v>
      </c>
      <c r="B18" s="60" t="s">
        <v>294</v>
      </c>
      <c r="C18" s="51" t="s">
        <v>208</v>
      </c>
      <c r="D18" s="51"/>
      <c r="E18" s="5"/>
    </row>
    <row r="19" spans="1:5" ht="15.75" customHeight="1">
      <c r="A19" s="51" t="s">
        <v>1809</v>
      </c>
      <c r="B19" s="60" t="s">
        <v>274</v>
      </c>
      <c r="C19" s="51" t="s">
        <v>208</v>
      </c>
      <c r="D19" s="54"/>
      <c r="E19" s="5"/>
    </row>
    <row r="20" spans="1:5" ht="15.75" customHeight="1">
      <c r="A20" s="51" t="s">
        <v>1811</v>
      </c>
      <c r="B20" s="60" t="s">
        <v>240</v>
      </c>
      <c r="C20" s="51" t="s">
        <v>208</v>
      </c>
      <c r="D20" s="54"/>
      <c r="E20" s="5"/>
    </row>
    <row r="21" spans="1:5" ht="15.75" customHeight="1">
      <c r="A21" s="51" t="s">
        <v>1812</v>
      </c>
      <c r="B21" s="60" t="s">
        <v>364</v>
      </c>
      <c r="C21" s="51" t="s">
        <v>208</v>
      </c>
      <c r="D21" s="54"/>
      <c r="E21" s="5"/>
    </row>
    <row r="22" spans="1:5" ht="15.75" customHeight="1">
      <c r="A22" s="51" t="s">
        <v>1813</v>
      </c>
      <c r="B22" s="60" t="s">
        <v>979</v>
      </c>
      <c r="C22" s="51" t="s">
        <v>208</v>
      </c>
      <c r="D22" s="54"/>
      <c r="E22" s="5"/>
    </row>
    <row r="23" spans="1:5" ht="15.75" customHeight="1">
      <c r="A23" s="51" t="s">
        <v>1815</v>
      </c>
      <c r="B23" s="60" t="s">
        <v>975</v>
      </c>
      <c r="C23" s="51" t="s">
        <v>208</v>
      </c>
      <c r="D23" s="54"/>
      <c r="E23" s="5"/>
    </row>
    <row r="24" spans="1:5" ht="15.75" customHeight="1">
      <c r="A24" s="51" t="s">
        <v>1817</v>
      </c>
      <c r="B24" s="60" t="s">
        <v>237</v>
      </c>
      <c r="C24" s="51" t="s">
        <v>208</v>
      </c>
      <c r="D24" s="54"/>
      <c r="E24" s="5"/>
    </row>
    <row r="25" spans="1:5" ht="15.75" customHeight="1">
      <c r="A25" s="51" t="s">
        <v>1819</v>
      </c>
      <c r="B25" s="60" t="s">
        <v>1550</v>
      </c>
      <c r="C25" s="51" t="s">
        <v>208</v>
      </c>
      <c r="D25" s="54"/>
      <c r="E25" s="5"/>
    </row>
    <row r="26" spans="1:5" ht="15.75" customHeight="1">
      <c r="A26" s="51" t="s">
        <v>1820</v>
      </c>
      <c r="B26" s="60" t="s">
        <v>1839</v>
      </c>
      <c r="C26" s="51" t="s">
        <v>208</v>
      </c>
      <c r="D26" s="54"/>
      <c r="E26" s="5"/>
    </row>
    <row r="27" spans="1:5" ht="15.75" customHeight="1">
      <c r="A27" s="51" t="s">
        <v>1821</v>
      </c>
      <c r="B27" s="60" t="s">
        <v>3372</v>
      </c>
      <c r="C27" s="51" t="s">
        <v>208</v>
      </c>
      <c r="D27" s="54"/>
      <c r="E27" s="51"/>
    </row>
    <row r="28" spans="1:5" ht="15.75" customHeight="1">
      <c r="A28" s="51" t="s">
        <v>1823</v>
      </c>
      <c r="B28" s="60" t="s">
        <v>1824</v>
      </c>
      <c r="C28" s="51" t="s">
        <v>208</v>
      </c>
      <c r="D28" s="51"/>
      <c r="E28" s="5"/>
    </row>
    <row r="29" spans="1:5" ht="15.75" customHeight="1">
      <c r="A29" s="51" t="s">
        <v>1825</v>
      </c>
      <c r="B29" s="60" t="s">
        <v>3277</v>
      </c>
      <c r="C29" s="51" t="s">
        <v>208</v>
      </c>
      <c r="D29" s="54"/>
      <c r="E29" s="5"/>
    </row>
    <row r="30" spans="1:5" ht="15.75" customHeight="1">
      <c r="A30" s="51" t="s">
        <v>1827</v>
      </c>
      <c r="B30" s="60" t="s">
        <v>3182</v>
      </c>
      <c r="C30" s="51" t="s">
        <v>208</v>
      </c>
      <c r="D30" s="54"/>
      <c r="E30" s="5"/>
    </row>
    <row r="31" spans="1:5" ht="15.75" customHeight="1">
      <c r="A31" s="51" t="s">
        <v>1829</v>
      </c>
      <c r="B31" s="60" t="s">
        <v>4062</v>
      </c>
      <c r="C31" s="51" t="s">
        <v>208</v>
      </c>
      <c r="D31" s="54"/>
      <c r="E31" s="5"/>
    </row>
    <row r="32" spans="1:5" ht="15.75" customHeight="1">
      <c r="A32" s="51" t="s">
        <v>1831</v>
      </c>
      <c r="B32" s="60" t="s">
        <v>4063</v>
      </c>
      <c r="C32" s="51" t="s">
        <v>208</v>
      </c>
      <c r="D32" s="54"/>
      <c r="E32" s="5"/>
    </row>
    <row r="33" spans="1:5" ht="15.75" customHeight="1">
      <c r="A33" s="51" t="s">
        <v>1832</v>
      </c>
      <c r="B33" s="60" t="s">
        <v>4149</v>
      </c>
      <c r="C33" s="51" t="s">
        <v>208</v>
      </c>
      <c r="D33" s="54"/>
      <c r="E33" s="5"/>
    </row>
    <row r="34" spans="1:5" ht="15.75" customHeight="1">
      <c r="A34" s="51" t="s">
        <v>1833</v>
      </c>
      <c r="B34" s="61" t="s">
        <v>4685</v>
      </c>
      <c r="C34" s="51" t="s">
        <v>208</v>
      </c>
      <c r="D34" s="54"/>
      <c r="E34" s="5"/>
    </row>
    <row r="35" spans="1:5" ht="15.75" customHeight="1">
      <c r="A35" s="51" t="s">
        <v>1835</v>
      </c>
      <c r="B35" s="60" t="s">
        <v>4073</v>
      </c>
      <c r="C35" s="51" t="s">
        <v>192</v>
      </c>
      <c r="D35" s="54"/>
      <c r="E35" s="5"/>
    </row>
    <row r="36" spans="1:5" ht="15.75" customHeight="1">
      <c r="A36" s="51" t="s">
        <v>1836</v>
      </c>
      <c r="B36" s="60" t="s">
        <v>4074</v>
      </c>
      <c r="C36" s="51" t="s">
        <v>192</v>
      </c>
      <c r="D36" s="54"/>
      <c r="E36" s="5"/>
    </row>
    <row r="37" spans="1:5" ht="15.75" customHeight="1">
      <c r="A37" s="51" t="s">
        <v>1837</v>
      </c>
      <c r="B37" s="60" t="s">
        <v>4075</v>
      </c>
      <c r="C37" s="51" t="s">
        <v>192</v>
      </c>
      <c r="D37" s="54"/>
      <c r="E37" s="5"/>
    </row>
    <row r="38" spans="1:5" ht="15.75" customHeight="1">
      <c r="A38" s="51" t="s">
        <v>1838</v>
      </c>
      <c r="B38" s="60" t="s">
        <v>3134</v>
      </c>
      <c r="C38" s="51" t="s">
        <v>195</v>
      </c>
      <c r="D38" s="54"/>
      <c r="E38" s="5"/>
    </row>
    <row r="39" spans="1:5" ht="15.75" customHeight="1">
      <c r="A39" s="51" t="s">
        <v>1840</v>
      </c>
      <c r="B39" s="60" t="s">
        <v>3078</v>
      </c>
      <c r="C39" s="51" t="s">
        <v>195</v>
      </c>
      <c r="D39" s="54"/>
      <c r="E39" s="5"/>
    </row>
    <row r="40" spans="1:5" ht="15.75" customHeight="1">
      <c r="A40" s="51" t="s">
        <v>1841</v>
      </c>
      <c r="B40" s="60" t="s">
        <v>3180</v>
      </c>
      <c r="C40" s="51" t="s">
        <v>195</v>
      </c>
      <c r="D40" s="54"/>
      <c r="E40" s="5"/>
    </row>
    <row r="41" spans="1:5" ht="15.75" customHeight="1">
      <c r="A41" s="51" t="s">
        <v>1842</v>
      </c>
      <c r="B41" s="60" t="s">
        <v>3175</v>
      </c>
      <c r="C41" s="51" t="s">
        <v>195</v>
      </c>
      <c r="D41" s="54"/>
      <c r="E41" s="5"/>
    </row>
    <row r="42" spans="1:5" ht="15.75" customHeight="1">
      <c r="A42" s="51" t="s">
        <v>1843</v>
      </c>
      <c r="B42" s="60" t="s">
        <v>3160</v>
      </c>
      <c r="C42" s="51" t="s">
        <v>195</v>
      </c>
      <c r="D42" s="51"/>
      <c r="E42" s="5"/>
    </row>
    <row r="43" spans="1:5" ht="15.75" customHeight="1">
      <c r="A43" s="51" t="s">
        <v>1844</v>
      </c>
      <c r="B43" s="60" t="s">
        <v>4034</v>
      </c>
      <c r="C43" s="51" t="s">
        <v>195</v>
      </c>
      <c r="D43" s="54"/>
      <c r="E43" s="5"/>
    </row>
    <row r="44" spans="1:5" ht="15.75" customHeight="1">
      <c r="A44" s="51" t="s">
        <v>1846</v>
      </c>
      <c r="B44" s="60" t="s">
        <v>4130</v>
      </c>
      <c r="C44" s="51" t="s">
        <v>195</v>
      </c>
      <c r="D44" s="54"/>
      <c r="E44" s="5"/>
    </row>
    <row r="45" spans="1:5" ht="15.75" customHeight="1">
      <c r="A45" s="51" t="s">
        <v>1848</v>
      </c>
      <c r="B45" s="60" t="s">
        <v>4243</v>
      </c>
      <c r="C45" s="51" t="s">
        <v>195</v>
      </c>
      <c r="D45" s="54"/>
      <c r="E45" s="5"/>
    </row>
    <row r="46" spans="1:5" ht="15.75" customHeight="1">
      <c r="A46" s="51" t="s">
        <v>1849</v>
      </c>
      <c r="B46" s="60" t="s">
        <v>4081</v>
      </c>
      <c r="C46" s="51" t="s">
        <v>195</v>
      </c>
      <c r="D46" s="54"/>
      <c r="E46" s="5"/>
    </row>
    <row r="47" spans="1:5" ht="15.75" customHeight="1">
      <c r="A47" s="51" t="s">
        <v>1850</v>
      </c>
      <c r="B47" s="60" t="s">
        <v>4082</v>
      </c>
      <c r="C47" s="51" t="s">
        <v>195</v>
      </c>
      <c r="D47" s="54"/>
      <c r="E47" s="5"/>
    </row>
    <row r="48" spans="1:5" ht="15.75" customHeight="1">
      <c r="A48" s="51" t="s">
        <v>1851</v>
      </c>
      <c r="B48" s="60" t="s">
        <v>4083</v>
      </c>
      <c r="C48" s="51" t="s">
        <v>195</v>
      </c>
      <c r="D48" s="54"/>
      <c r="E48" s="5"/>
    </row>
    <row r="49" spans="1:5" ht="15.75" customHeight="1">
      <c r="A49" s="51" t="s">
        <v>1852</v>
      </c>
      <c r="B49" s="60" t="s">
        <v>4097</v>
      </c>
      <c r="C49" s="51" t="s">
        <v>195</v>
      </c>
      <c r="D49" s="51"/>
      <c r="E49" s="5"/>
    </row>
    <row r="50" spans="1:5" ht="15.75" customHeight="1">
      <c r="A50" s="51" t="s">
        <v>1853</v>
      </c>
      <c r="B50" s="60" t="s">
        <v>4098</v>
      </c>
      <c r="C50" s="51" t="s">
        <v>195</v>
      </c>
      <c r="D50" s="54"/>
      <c r="E50" s="5"/>
    </row>
    <row r="51" spans="1:5" ht="15.75" customHeight="1">
      <c r="A51" s="51" t="s">
        <v>1854</v>
      </c>
      <c r="B51" s="60" t="s">
        <v>284</v>
      </c>
      <c r="C51" s="51" t="s">
        <v>225</v>
      </c>
      <c r="D51" s="54"/>
      <c r="E51" s="5"/>
    </row>
    <row r="52" spans="1:5" ht="15.75" customHeight="1">
      <c r="A52" s="51" t="s">
        <v>1856</v>
      </c>
      <c r="B52" s="60" t="s">
        <v>267</v>
      </c>
      <c r="C52" s="51" t="s">
        <v>225</v>
      </c>
      <c r="D52" s="54"/>
      <c r="E52" s="5"/>
    </row>
    <row r="53" spans="1:5" ht="13">
      <c r="A53" s="51" t="s">
        <v>1858</v>
      </c>
      <c r="B53" s="60" t="s">
        <v>230</v>
      </c>
      <c r="C53" s="51" t="s">
        <v>225</v>
      </c>
      <c r="D53" s="54"/>
      <c r="E53" s="5"/>
    </row>
    <row r="54" spans="1:5" ht="13">
      <c r="A54" s="51" t="s">
        <v>1859</v>
      </c>
      <c r="B54" s="60" t="s">
        <v>230</v>
      </c>
      <c r="C54" s="51" t="s">
        <v>225</v>
      </c>
      <c r="D54" s="54"/>
      <c r="E54" s="5"/>
    </row>
    <row r="55" spans="1:5" ht="13">
      <c r="A55" s="51" t="s">
        <v>1861</v>
      </c>
      <c r="B55" s="60" t="s">
        <v>4265</v>
      </c>
      <c r="C55" s="51" t="s">
        <v>225</v>
      </c>
      <c r="D55" s="54"/>
      <c r="E55" s="5"/>
    </row>
    <row r="56" spans="1:5" ht="13">
      <c r="A56" s="51" t="s">
        <v>1862</v>
      </c>
      <c r="B56" s="60" t="s">
        <v>4267</v>
      </c>
      <c r="C56" s="51" t="s">
        <v>225</v>
      </c>
      <c r="D56" s="54"/>
      <c r="E56" s="5"/>
    </row>
    <row r="57" spans="1:5" ht="13">
      <c r="A57" s="51" t="s">
        <v>1863</v>
      </c>
      <c r="B57" s="60" t="s">
        <v>4093</v>
      </c>
      <c r="C57" s="51" t="s">
        <v>225</v>
      </c>
      <c r="D57" s="54"/>
      <c r="E57" s="5"/>
    </row>
    <row r="58" spans="1:5" ht="13">
      <c r="A58" s="51" t="s">
        <v>1864</v>
      </c>
      <c r="B58" s="60" t="s">
        <v>4094</v>
      </c>
      <c r="C58" s="51" t="s">
        <v>225</v>
      </c>
      <c r="D58" s="54"/>
      <c r="E58" s="5"/>
    </row>
    <row r="59" spans="1:5" ht="13">
      <c r="A59" s="51" t="s">
        <v>1865</v>
      </c>
      <c r="B59" s="60" t="s">
        <v>939</v>
      </c>
      <c r="C59" s="51" t="s">
        <v>808</v>
      </c>
      <c r="D59" s="51"/>
      <c r="E59" s="5"/>
    </row>
    <row r="60" spans="1:5" ht="13">
      <c r="A60" s="51" t="s">
        <v>1866</v>
      </c>
      <c r="B60" s="60" t="s">
        <v>938</v>
      </c>
      <c r="C60" s="51" t="s">
        <v>808</v>
      </c>
      <c r="D60" s="54"/>
      <c r="E60" s="5"/>
    </row>
    <row r="61" spans="1:5" ht="13">
      <c r="A61" s="51" t="s">
        <v>1867</v>
      </c>
      <c r="B61" s="60" t="s">
        <v>1250</v>
      </c>
      <c r="C61" s="51" t="s">
        <v>220</v>
      </c>
      <c r="D61" s="51"/>
      <c r="E61" s="5"/>
    </row>
    <row r="62" spans="1:5" ht="13">
      <c r="A62" s="51" t="s">
        <v>1868</v>
      </c>
      <c r="B62" s="60" t="s">
        <v>1265</v>
      </c>
      <c r="C62" s="51" t="s">
        <v>220</v>
      </c>
      <c r="D62" s="51"/>
      <c r="E62" s="5"/>
    </row>
    <row r="63" spans="1:5" ht="13">
      <c r="A63" s="51" t="s">
        <v>1870</v>
      </c>
      <c r="B63" s="60" t="s">
        <v>1208</v>
      </c>
      <c r="C63" s="51" t="s">
        <v>220</v>
      </c>
      <c r="D63" s="54"/>
      <c r="E63" s="5"/>
    </row>
    <row r="64" spans="1:5" ht="13">
      <c r="A64" s="51" t="s">
        <v>1871</v>
      </c>
      <c r="B64" s="61" t="s">
        <v>4686</v>
      </c>
      <c r="C64" s="51" t="s">
        <v>220</v>
      </c>
      <c r="D64" s="54"/>
      <c r="E64" s="5"/>
    </row>
    <row r="65" spans="1:5" ht="13">
      <c r="A65" s="51" t="s">
        <v>1872</v>
      </c>
      <c r="B65" s="60" t="s">
        <v>4106</v>
      </c>
      <c r="C65" s="51" t="s">
        <v>220</v>
      </c>
      <c r="D65" s="5"/>
      <c r="E65" s="5"/>
    </row>
    <row r="66" spans="1:5" ht="13">
      <c r="A66" s="51" t="s">
        <v>1874</v>
      </c>
      <c r="B66" s="60" t="s">
        <v>1526</v>
      </c>
      <c r="C66" s="51" t="s">
        <v>4285</v>
      </c>
      <c r="D66" s="54"/>
      <c r="E66" s="5"/>
    </row>
    <row r="67" spans="1:5" ht="13">
      <c r="A67" s="51" t="s">
        <v>1876</v>
      </c>
      <c r="B67" s="60" t="s">
        <v>1521</v>
      </c>
      <c r="C67" s="51" t="s">
        <v>4285</v>
      </c>
      <c r="D67" s="54"/>
      <c r="E67" s="5"/>
    </row>
    <row r="68" spans="1:5" ht="13">
      <c r="A68" s="51" t="s">
        <v>1877</v>
      </c>
      <c r="B68" s="60" t="s">
        <v>1507</v>
      </c>
      <c r="C68" s="51" t="s">
        <v>4285</v>
      </c>
      <c r="D68" s="54"/>
      <c r="E68" s="5"/>
    </row>
    <row r="69" spans="1:5" ht="13">
      <c r="A69" s="51" t="s">
        <v>1878</v>
      </c>
      <c r="B69" s="61" t="s">
        <v>4687</v>
      </c>
      <c r="C69" s="51" t="s">
        <v>4285</v>
      </c>
      <c r="D69" s="54"/>
      <c r="E69" s="5"/>
    </row>
    <row r="70" spans="1:5" ht="13">
      <c r="A70" s="51" t="s">
        <v>1879</v>
      </c>
      <c r="B70" s="61" t="s">
        <v>4688</v>
      </c>
      <c r="C70" s="51" t="s">
        <v>4285</v>
      </c>
      <c r="D70" s="54"/>
      <c r="E70" s="5"/>
    </row>
    <row r="71" spans="1:5" ht="13">
      <c r="A71" s="51" t="s">
        <v>1880</v>
      </c>
      <c r="B71" s="60" t="s">
        <v>4109</v>
      </c>
      <c r="C71" s="51" t="s">
        <v>4285</v>
      </c>
      <c r="D71" s="51"/>
      <c r="E71" s="5"/>
    </row>
    <row r="72" spans="1:5" ht="13">
      <c r="A72" s="51" t="s">
        <v>1881</v>
      </c>
      <c r="B72" s="60" t="s">
        <v>4110</v>
      </c>
      <c r="C72" s="51" t="s">
        <v>4285</v>
      </c>
      <c r="D72" s="51"/>
      <c r="E72" s="5"/>
    </row>
    <row r="73" spans="1:5" ht="13">
      <c r="A73" s="51" t="s">
        <v>1882</v>
      </c>
      <c r="B73" s="60" t="s">
        <v>4111</v>
      </c>
      <c r="C73" s="51" t="s">
        <v>4285</v>
      </c>
      <c r="D73" s="54"/>
      <c r="E73" s="5"/>
    </row>
    <row r="74" spans="1:5" ht="13">
      <c r="A74" s="51" t="s">
        <v>1883</v>
      </c>
      <c r="B74" s="60" t="s">
        <v>4112</v>
      </c>
      <c r="C74" s="51" t="s">
        <v>4285</v>
      </c>
      <c r="D74" s="54"/>
      <c r="E74" s="5"/>
    </row>
    <row r="75" spans="1:5" ht="13">
      <c r="A75" s="51" t="s">
        <v>1884</v>
      </c>
      <c r="B75" s="60" t="s">
        <v>321</v>
      </c>
      <c r="C75" s="51" t="s">
        <v>197</v>
      </c>
      <c r="D75" s="54"/>
      <c r="E75" s="5"/>
    </row>
    <row r="76" spans="1:5" ht="13">
      <c r="A76" s="51" t="s">
        <v>1885</v>
      </c>
      <c r="B76" s="60" t="s">
        <v>271</v>
      </c>
      <c r="C76" s="51" t="s">
        <v>197</v>
      </c>
      <c r="D76" s="51"/>
      <c r="E76" s="5"/>
    </row>
    <row r="77" spans="1:5" ht="13">
      <c r="A77" s="51" t="s">
        <v>1886</v>
      </c>
      <c r="B77" s="60" t="s">
        <v>971</v>
      </c>
      <c r="C77" s="51" t="s">
        <v>197</v>
      </c>
      <c r="D77" s="54"/>
      <c r="E77" s="5"/>
    </row>
    <row r="78" spans="1:5" ht="13">
      <c r="A78" s="51" t="s">
        <v>1887</v>
      </c>
      <c r="B78" s="60" t="s">
        <v>3080</v>
      </c>
      <c r="C78" s="51" t="s">
        <v>197</v>
      </c>
      <c r="D78" s="54"/>
      <c r="E78" s="5"/>
    </row>
    <row r="79" spans="1:5" ht="13">
      <c r="A79" s="51" t="s">
        <v>1889</v>
      </c>
      <c r="B79" s="60" t="s">
        <v>957</v>
      </c>
      <c r="C79" s="51" t="s">
        <v>197</v>
      </c>
      <c r="D79" s="51"/>
      <c r="E79" s="5"/>
    </row>
    <row r="80" spans="1:5" ht="13">
      <c r="A80" s="51" t="s">
        <v>1890</v>
      </c>
      <c r="B80" s="60" t="s">
        <v>944</v>
      </c>
      <c r="C80" s="51" t="s">
        <v>197</v>
      </c>
      <c r="D80" s="51"/>
      <c r="E80" s="5"/>
    </row>
    <row r="81" spans="1:5" ht="13">
      <c r="A81" s="51" t="s">
        <v>1892</v>
      </c>
      <c r="B81" s="60" t="s">
        <v>3041</v>
      </c>
      <c r="C81" s="51" t="s">
        <v>197</v>
      </c>
      <c r="D81" s="54"/>
      <c r="E81" s="5"/>
    </row>
    <row r="82" spans="1:5" ht="13">
      <c r="A82" s="51" t="s">
        <v>1893</v>
      </c>
      <c r="B82" s="60" t="s">
        <v>4689</v>
      </c>
      <c r="C82" s="51" t="s">
        <v>1013</v>
      </c>
      <c r="D82" s="54"/>
      <c r="E82" s="5"/>
    </row>
    <row r="83" spans="1:5" ht="13">
      <c r="A83" s="51" t="s">
        <v>1894</v>
      </c>
      <c r="B83" s="60" t="s">
        <v>4113</v>
      </c>
      <c r="C83" s="51" t="s">
        <v>4114</v>
      </c>
      <c r="D83" s="54"/>
      <c r="E83" s="5"/>
    </row>
    <row r="84" spans="1:5" ht="13">
      <c r="A84" s="51" t="s">
        <v>1895</v>
      </c>
      <c r="B84" s="60" t="s">
        <v>307</v>
      </c>
      <c r="C84" s="51" t="s">
        <v>4114</v>
      </c>
      <c r="D84" s="54"/>
      <c r="E84" s="5"/>
    </row>
    <row r="85" spans="1:5" ht="13">
      <c r="A85" s="51" t="s">
        <v>1896</v>
      </c>
      <c r="B85" s="60" t="s">
        <v>4690</v>
      </c>
      <c r="C85" s="51" t="s">
        <v>1013</v>
      </c>
      <c r="D85" s="54"/>
      <c r="E85" s="5"/>
    </row>
    <row r="86" spans="1:5" ht="13">
      <c r="A86" s="51" t="s">
        <v>1897</v>
      </c>
      <c r="B86" s="60" t="s">
        <v>4117</v>
      </c>
      <c r="C86" s="51" t="s">
        <v>4114</v>
      </c>
      <c r="D86" s="54"/>
      <c r="E86" s="5"/>
    </row>
    <row r="87" spans="1:5" ht="13">
      <c r="A87" s="51" t="s">
        <v>1899</v>
      </c>
      <c r="B87" s="60" t="s">
        <v>4183</v>
      </c>
      <c r="C87" s="51" t="s">
        <v>4114</v>
      </c>
      <c r="D87" s="54"/>
      <c r="E87" s="5"/>
    </row>
    <row r="88" spans="1:5" ht="13">
      <c r="A88" s="51" t="s">
        <v>1900</v>
      </c>
      <c r="B88" s="60" t="s">
        <v>4170</v>
      </c>
      <c r="C88" s="51" t="s">
        <v>1013</v>
      </c>
      <c r="D88" s="54"/>
      <c r="E88" s="5"/>
    </row>
    <row r="89" spans="1:5" ht="13">
      <c r="A89" s="51" t="s">
        <v>1902</v>
      </c>
      <c r="B89" s="60" t="s">
        <v>1470</v>
      </c>
      <c r="C89" s="51" t="s">
        <v>4114</v>
      </c>
      <c r="D89" s="54"/>
      <c r="E89" s="5"/>
    </row>
    <row r="90" spans="1:5" ht="13">
      <c r="A90" s="51" t="s">
        <v>1904</v>
      </c>
      <c r="B90" s="60" t="s">
        <v>4691</v>
      </c>
      <c r="C90" s="51" t="s">
        <v>4114</v>
      </c>
      <c r="D90" s="54"/>
      <c r="E90" s="5"/>
    </row>
    <row r="91" spans="1:5" ht="13">
      <c r="A91" s="51" t="s">
        <v>1906</v>
      </c>
      <c r="B91" s="60" t="s">
        <v>4692</v>
      </c>
      <c r="C91" s="51" t="s">
        <v>4114</v>
      </c>
      <c r="D91" s="54"/>
      <c r="E91" s="5"/>
    </row>
    <row r="92" spans="1:5" ht="13">
      <c r="A92" s="51" t="s">
        <v>1908</v>
      </c>
      <c r="B92" s="60" t="s">
        <v>4693</v>
      </c>
      <c r="C92" s="51" t="s">
        <v>4114</v>
      </c>
      <c r="D92" s="54"/>
      <c r="E92" s="5"/>
    </row>
    <row r="93" spans="1:5" ht="13">
      <c r="A93" s="51" t="s">
        <v>1910</v>
      </c>
      <c r="B93" s="60" t="s">
        <v>4694</v>
      </c>
      <c r="C93" s="51" t="s">
        <v>4114</v>
      </c>
      <c r="D93" s="51"/>
      <c r="E93" s="5"/>
    </row>
    <row r="94" spans="1:5" ht="13">
      <c r="A94" s="51" t="s">
        <v>1912</v>
      </c>
      <c r="B94" s="60" t="s">
        <v>4173</v>
      </c>
      <c r="C94" s="51" t="s">
        <v>4114</v>
      </c>
      <c r="D94" s="51"/>
      <c r="E94" s="5"/>
    </row>
    <row r="95" spans="1:5" ht="13">
      <c r="A95" s="51" t="s">
        <v>1914</v>
      </c>
      <c r="B95" s="60" t="s">
        <v>4667</v>
      </c>
      <c r="C95" s="51" t="s">
        <v>317</v>
      </c>
      <c r="D95" s="54"/>
      <c r="E95" s="5"/>
    </row>
    <row r="96" spans="1:5" ht="13">
      <c r="A96" s="51" t="s">
        <v>1916</v>
      </c>
      <c r="B96" s="60" t="s">
        <v>4695</v>
      </c>
      <c r="C96" s="51" t="s">
        <v>4114</v>
      </c>
      <c r="D96" s="5"/>
      <c r="E96" s="5"/>
    </row>
    <row r="97" spans="1:5" ht="13">
      <c r="A97" s="51" t="s">
        <v>1918</v>
      </c>
      <c r="B97" s="60" t="s">
        <v>4696</v>
      </c>
      <c r="C97" s="51" t="s">
        <v>4114</v>
      </c>
      <c r="D97" s="54"/>
      <c r="E97" s="5"/>
    </row>
    <row r="98" spans="1:5" ht="13">
      <c r="A98" s="51" t="s">
        <v>1919</v>
      </c>
      <c r="B98" s="60" t="s">
        <v>658</v>
      </c>
      <c r="C98" s="51" t="s">
        <v>4114</v>
      </c>
      <c r="D98" s="54"/>
      <c r="E98" s="5"/>
    </row>
    <row r="99" spans="1:5" ht="13">
      <c r="A99" s="51" t="s">
        <v>1920</v>
      </c>
      <c r="B99" s="60" t="s">
        <v>4697</v>
      </c>
      <c r="C99" s="51" t="s">
        <v>4114</v>
      </c>
      <c r="D99" s="54"/>
      <c r="E99" s="5"/>
    </row>
    <row r="100" spans="1:5" ht="13">
      <c r="A100" s="51" t="s">
        <v>1922</v>
      </c>
      <c r="B100" s="61" t="s">
        <v>4682</v>
      </c>
      <c r="C100" s="51" t="s">
        <v>205</v>
      </c>
      <c r="D100" s="54"/>
      <c r="E100" s="5"/>
    </row>
    <row r="101" spans="1:5" ht="13">
      <c r="A101" s="51" t="s">
        <v>1924</v>
      </c>
      <c r="B101" s="61" t="s">
        <v>4684</v>
      </c>
      <c r="C101" s="51" t="s">
        <v>205</v>
      </c>
      <c r="D101" s="54"/>
      <c r="E101" s="5"/>
    </row>
    <row r="102" spans="1:5" ht="13">
      <c r="A102" s="51" t="s">
        <v>1926</v>
      </c>
      <c r="B102" s="61" t="s">
        <v>4686</v>
      </c>
      <c r="C102" s="51" t="s">
        <v>220</v>
      </c>
      <c r="D102" s="54"/>
      <c r="E102" s="5"/>
    </row>
    <row r="103" spans="1:5" ht="13">
      <c r="A103" s="51" t="s">
        <v>1928</v>
      </c>
      <c r="B103" s="61" t="s">
        <v>4687</v>
      </c>
      <c r="C103" s="51" t="s">
        <v>4285</v>
      </c>
      <c r="D103" s="54"/>
      <c r="E103" s="5"/>
    </row>
    <row r="104" spans="1:5" ht="13">
      <c r="A104" s="51" t="s">
        <v>1930</v>
      </c>
      <c r="B104" s="61" t="s">
        <v>4688</v>
      </c>
      <c r="C104" s="51" t="s">
        <v>4285</v>
      </c>
      <c r="D104" s="54"/>
      <c r="E104" s="5"/>
    </row>
    <row r="105" spans="1:5" ht="13">
      <c r="A105" s="51" t="s">
        <v>1932</v>
      </c>
      <c r="B105" s="60" t="s">
        <v>4690</v>
      </c>
      <c r="C105" s="51" t="s">
        <v>1013</v>
      </c>
      <c r="D105" s="54"/>
      <c r="E105" s="5"/>
    </row>
    <row r="106" spans="1:5" ht="13">
      <c r="A106" s="51" t="s">
        <v>1934</v>
      </c>
      <c r="B106" s="60" t="s">
        <v>348</v>
      </c>
      <c r="C106" s="51" t="s">
        <v>205</v>
      </c>
      <c r="D106" s="54"/>
      <c r="E106" s="5"/>
    </row>
    <row r="107" spans="1:5" ht="13">
      <c r="A107" s="51" t="s">
        <v>4698</v>
      </c>
      <c r="B107" s="60" t="s">
        <v>4052</v>
      </c>
      <c r="C107" s="51" t="s">
        <v>205</v>
      </c>
      <c r="D107" s="5"/>
      <c r="E107" s="5"/>
    </row>
    <row r="108" spans="1:5" ht="13">
      <c r="A108" s="51" t="s">
        <v>4699</v>
      </c>
      <c r="B108" s="60" t="s">
        <v>3076</v>
      </c>
      <c r="C108" s="51" t="s">
        <v>195</v>
      </c>
      <c r="D108" s="5"/>
      <c r="E108" s="5"/>
    </row>
    <row r="109" spans="1:5" ht="13">
      <c r="A109" s="51" t="s">
        <v>4700</v>
      </c>
      <c r="B109" s="60" t="s">
        <v>1470</v>
      </c>
      <c r="C109" s="51" t="s">
        <v>4114</v>
      </c>
      <c r="D109" s="54"/>
      <c r="E109" s="5"/>
    </row>
    <row r="110" spans="1:5" ht="13">
      <c r="A110" s="51"/>
      <c r="C110" s="51"/>
      <c r="D110" s="54"/>
      <c r="E110" s="5"/>
    </row>
    <row r="111" spans="1:5" ht="13">
      <c r="A111" s="51"/>
      <c r="C111" s="51"/>
      <c r="D111" s="54"/>
      <c r="E111" s="5"/>
    </row>
    <row r="112" spans="1:5" ht="13">
      <c r="A112" s="51"/>
      <c r="C112" s="51"/>
      <c r="D112" s="54"/>
      <c r="E112" s="5"/>
    </row>
    <row r="113" spans="1:5" ht="13">
      <c r="A113" s="51"/>
      <c r="C113" s="51"/>
      <c r="D113" s="54"/>
      <c r="E113" s="5"/>
    </row>
    <row r="114" spans="1:5" ht="13">
      <c r="A114" s="51"/>
      <c r="C114" s="51"/>
      <c r="D114" s="54"/>
      <c r="E114" s="5"/>
    </row>
    <row r="115" spans="1:5" ht="13">
      <c r="A115" s="51"/>
      <c r="C115" s="51"/>
      <c r="D115" s="54"/>
      <c r="E115" s="5"/>
    </row>
    <row r="116" spans="1:5" ht="13">
      <c r="A116" s="51"/>
      <c r="C116" s="51"/>
      <c r="D116" s="5"/>
      <c r="E116" s="5"/>
    </row>
    <row r="117" spans="1:5" ht="13">
      <c r="A117" s="51"/>
      <c r="C117" s="51"/>
      <c r="D117" s="54"/>
      <c r="E117" s="5"/>
    </row>
    <row r="118" spans="1:5" ht="13">
      <c r="A118" s="51"/>
      <c r="C118" s="51"/>
      <c r="D118" s="54"/>
      <c r="E118" s="5"/>
    </row>
    <row r="119" spans="1:5" ht="13">
      <c r="A119" s="51"/>
      <c r="C119" s="51"/>
      <c r="D119" s="54"/>
      <c r="E119" s="5"/>
    </row>
    <row r="120" spans="1:5" ht="13">
      <c r="A120" s="51"/>
      <c r="C120" s="51"/>
      <c r="D120" s="51"/>
      <c r="E120" s="5"/>
    </row>
    <row r="121" spans="1:5" ht="13">
      <c r="A121" s="51"/>
      <c r="C121" s="51"/>
      <c r="D121" s="54"/>
      <c r="E121" s="5"/>
    </row>
    <row r="122" spans="1:5" ht="13">
      <c r="A122" s="51"/>
      <c r="C122" s="51"/>
      <c r="D122" s="54"/>
      <c r="E122" s="5"/>
    </row>
    <row r="123" spans="1:5" ht="13">
      <c r="A123" s="51"/>
      <c r="B123" s="61"/>
      <c r="C123" s="51"/>
      <c r="D123" s="54"/>
      <c r="E123" s="5"/>
    </row>
    <row r="124" spans="1:5" ht="13">
      <c r="A124" s="51"/>
      <c r="B124" s="61"/>
      <c r="C124" s="51"/>
      <c r="D124" s="54"/>
      <c r="E124" s="5"/>
    </row>
    <row r="125" spans="1:5" ht="13">
      <c r="A125" s="51"/>
      <c r="B125" s="61"/>
      <c r="C125" s="51"/>
      <c r="D125" s="54"/>
      <c r="E125" s="5"/>
    </row>
    <row r="126" spans="1:5" ht="13">
      <c r="A126" s="51"/>
      <c r="B126" s="61"/>
      <c r="C126" s="51"/>
      <c r="D126" s="54"/>
      <c r="E126" s="5"/>
    </row>
    <row r="127" spans="1:5" ht="13">
      <c r="A127" s="51"/>
      <c r="B127" s="61"/>
      <c r="C127" s="51"/>
      <c r="D127" s="54"/>
      <c r="E127" s="5"/>
    </row>
    <row r="128" spans="1:5" ht="13">
      <c r="A128" s="51"/>
      <c r="B128" s="61"/>
      <c r="C128" s="51"/>
      <c r="D128" s="54"/>
      <c r="E128" s="5"/>
    </row>
    <row r="129" spans="1:5" ht="13">
      <c r="A129" s="51"/>
      <c r="C129" s="51"/>
      <c r="D129" s="54"/>
      <c r="E129" s="5"/>
    </row>
    <row r="130" spans="1:5" ht="13">
      <c r="A130" s="51"/>
      <c r="C130" s="51"/>
      <c r="D130" s="5"/>
      <c r="E130" s="5"/>
    </row>
    <row r="131" spans="1:5" ht="13">
      <c r="A131" s="51"/>
      <c r="C131" s="51"/>
      <c r="D131" s="5"/>
      <c r="E131" s="5"/>
    </row>
    <row r="132" spans="1:5" ht="13">
      <c r="A132" s="51"/>
      <c r="C132" s="51"/>
      <c r="D132" s="54"/>
      <c r="E132" s="5"/>
    </row>
    <row r="133" spans="1:5" ht="13">
      <c r="A133" s="48"/>
      <c r="B133" s="53"/>
      <c r="C133" s="51"/>
      <c r="D133" s="54"/>
      <c r="E133" s="5"/>
    </row>
    <row r="134" spans="1:5" ht="13">
      <c r="A134" s="48"/>
      <c r="B134" s="50"/>
      <c r="C134" s="51"/>
      <c r="D134" s="5"/>
      <c r="E134" s="5"/>
    </row>
    <row r="135" spans="1:5" ht="13">
      <c r="A135" s="48"/>
      <c r="B135" s="50"/>
      <c r="C135" s="51"/>
      <c r="D135" s="5"/>
      <c r="E135" s="5"/>
    </row>
    <row r="136" spans="1:5" ht="13">
      <c r="A136" s="48"/>
      <c r="B136" s="50"/>
      <c r="C136" s="51"/>
      <c r="D136" s="5"/>
      <c r="E136" s="5"/>
    </row>
    <row r="137" spans="1:5" ht="13">
      <c r="A137" s="48"/>
      <c r="B137" s="50"/>
      <c r="C137" s="51"/>
      <c r="D137" s="5"/>
      <c r="E137" s="5"/>
    </row>
    <row r="138" spans="1:5" ht="13">
      <c r="A138" s="48"/>
      <c r="B138" s="50"/>
      <c r="C138" s="51"/>
      <c r="D138" s="5"/>
      <c r="E138" s="5"/>
    </row>
    <row r="139" spans="1:5" ht="13">
      <c r="A139" s="48"/>
      <c r="B139" s="50"/>
      <c r="C139" s="51"/>
      <c r="D139" s="5"/>
      <c r="E139" s="5"/>
    </row>
    <row r="140" spans="1:5" ht="13">
      <c r="A140" s="48"/>
      <c r="B140" s="50"/>
      <c r="C140" s="51"/>
      <c r="D140" s="5"/>
      <c r="E140" s="5"/>
    </row>
    <row r="141" spans="1:5" ht="13">
      <c r="A141" s="48"/>
      <c r="B141" s="50"/>
      <c r="C141" s="51"/>
      <c r="D141" s="5"/>
      <c r="E141" s="5"/>
    </row>
    <row r="142" spans="1:5" ht="13">
      <c r="A142" s="48"/>
      <c r="B142" s="50"/>
      <c r="C142" s="51"/>
      <c r="D142" s="5"/>
      <c r="E142" s="5"/>
    </row>
    <row r="143" spans="1:5" ht="13">
      <c r="A143" s="48"/>
      <c r="B143" s="53"/>
      <c r="C143" s="51"/>
      <c r="D143" s="5"/>
      <c r="E143" s="5"/>
    </row>
    <row r="144" spans="1:5" ht="13">
      <c r="A144" s="48"/>
      <c r="B144" s="50"/>
      <c r="C144" s="51"/>
      <c r="D144" s="5"/>
      <c r="E144" s="5"/>
    </row>
    <row r="145" spans="1:5" ht="13">
      <c r="A145" s="48"/>
      <c r="B145" s="50"/>
      <c r="C145" s="51"/>
      <c r="D145" s="5"/>
      <c r="E145" s="5"/>
    </row>
    <row r="146" spans="1:5" ht="13">
      <c r="A146" s="48"/>
      <c r="B146" s="53"/>
      <c r="C146" s="51"/>
      <c r="D146" s="51"/>
      <c r="E146" s="5"/>
    </row>
    <row r="147" spans="1:5" ht="13">
      <c r="A147" s="48"/>
      <c r="B147" s="53"/>
      <c r="C147" s="51"/>
      <c r="D147" s="5"/>
      <c r="E147" s="5"/>
    </row>
    <row r="148" spans="1:5" ht="13">
      <c r="A148" s="48"/>
      <c r="B148" s="53"/>
      <c r="C148" s="48"/>
      <c r="D148" s="47"/>
      <c r="E148" s="5"/>
    </row>
    <row r="149" spans="1:5" ht="13">
      <c r="A149" s="48"/>
      <c r="B149" s="53"/>
      <c r="C149" s="48"/>
      <c r="D149" s="47"/>
      <c r="E149" s="5"/>
    </row>
    <row r="150" spans="1:5" ht="13">
      <c r="A150" s="48"/>
      <c r="B150" s="53"/>
      <c r="C150" s="48"/>
      <c r="D150" s="47"/>
      <c r="E150" s="5"/>
    </row>
    <row r="151" spans="1:5" ht="13">
      <c r="A151" s="48"/>
      <c r="B151" s="53"/>
      <c r="C151" s="48"/>
      <c r="D151" s="47"/>
      <c r="E151" s="5"/>
    </row>
    <row r="152" spans="1:5" ht="13">
      <c r="A152" s="64"/>
      <c r="B152" s="65"/>
      <c r="C152" s="64"/>
      <c r="D152" s="66"/>
      <c r="E152" s="5"/>
    </row>
    <row r="153" spans="1:5" ht="13">
      <c r="A153" s="64"/>
      <c r="B153" s="65"/>
      <c r="C153" s="64"/>
      <c r="D153" s="66"/>
      <c r="E153" s="5"/>
    </row>
    <row r="154" spans="1:5" ht="13">
      <c r="A154" s="64"/>
      <c r="B154" s="65"/>
      <c r="C154" s="64"/>
      <c r="D154" s="66"/>
      <c r="E154" s="5"/>
    </row>
    <row r="155" spans="1:5" ht="13">
      <c r="A155" s="64"/>
      <c r="B155" s="65"/>
      <c r="C155" s="64"/>
      <c r="D155" s="66"/>
      <c r="E155" s="5"/>
    </row>
    <row r="156" spans="1:5" ht="13">
      <c r="A156" s="64"/>
      <c r="B156" s="65"/>
      <c r="C156" s="64"/>
      <c r="D156" s="66"/>
      <c r="E156" s="5"/>
    </row>
    <row r="157" spans="1:5" ht="13">
      <c r="A157" s="64"/>
      <c r="B157" s="65"/>
      <c r="C157" s="64"/>
      <c r="D157" s="66"/>
      <c r="E157" s="5"/>
    </row>
    <row r="158" spans="1:5" ht="13">
      <c r="A158" s="64"/>
      <c r="B158" s="65"/>
      <c r="C158" s="64"/>
      <c r="D158" s="66"/>
      <c r="E158" s="5"/>
    </row>
    <row r="159" spans="1:5" ht="13">
      <c r="A159" s="64"/>
      <c r="B159" s="67"/>
      <c r="C159" s="64"/>
      <c r="D159" s="66"/>
      <c r="E159" s="5"/>
    </row>
    <row r="160" spans="1:5" ht="13">
      <c r="A160" s="64"/>
      <c r="B160" s="65"/>
      <c r="C160" s="64"/>
      <c r="D160" s="66"/>
      <c r="E160" s="5"/>
    </row>
    <row r="161" spans="1:5" ht="13">
      <c r="A161" s="64"/>
      <c r="B161" s="67"/>
      <c r="C161" s="64"/>
      <c r="D161" s="66"/>
      <c r="E161" s="5"/>
    </row>
    <row r="162" spans="1:5" ht="13">
      <c r="A162" s="64"/>
      <c r="B162" s="68"/>
      <c r="C162" s="64"/>
      <c r="D162" s="66"/>
      <c r="E162" s="5"/>
    </row>
    <row r="163" spans="1:5" ht="13">
      <c r="A163" s="64"/>
      <c r="B163" s="68"/>
      <c r="C163" s="64"/>
      <c r="D163" s="66"/>
      <c r="E163" s="5"/>
    </row>
    <row r="164" spans="1:5" ht="13">
      <c r="A164" s="64"/>
      <c r="B164" s="68"/>
      <c r="C164" s="64"/>
      <c r="D164" s="66"/>
      <c r="E164" s="5"/>
    </row>
    <row r="165" spans="1:5" ht="13">
      <c r="A165" s="64"/>
      <c r="B165" s="68"/>
      <c r="C165" s="64"/>
      <c r="D165" s="66"/>
      <c r="E165" s="5"/>
    </row>
    <row r="166" spans="1:5" ht="13">
      <c r="A166" s="64"/>
      <c r="B166" s="68"/>
      <c r="C166" s="64"/>
      <c r="D166" s="66"/>
      <c r="E166" s="5"/>
    </row>
    <row r="167" spans="1:5" ht="13">
      <c r="A167" s="64"/>
      <c r="B167" s="68"/>
      <c r="C167" s="64"/>
      <c r="D167" s="66"/>
      <c r="E167" s="5"/>
    </row>
    <row r="168" spans="1:5" ht="13">
      <c r="A168" s="64"/>
      <c r="B168" s="68"/>
      <c r="C168" s="64"/>
      <c r="D168" s="66"/>
      <c r="E168" s="5"/>
    </row>
    <row r="169" spans="1:5" ht="13">
      <c r="A169" s="64"/>
      <c r="B169" s="68"/>
      <c r="C169" s="64"/>
      <c r="D169" s="66"/>
      <c r="E169" s="5"/>
    </row>
    <row r="170" spans="1:5" ht="13">
      <c r="A170" s="48"/>
      <c r="B170" s="69"/>
      <c r="C170" s="70"/>
      <c r="D170" s="47"/>
      <c r="E170" s="5"/>
    </row>
    <row r="171" spans="1:5" ht="13">
      <c r="A171" s="48"/>
      <c r="B171" s="71"/>
      <c r="C171" s="70"/>
      <c r="D171" s="47"/>
      <c r="E171" s="5"/>
    </row>
    <row r="172" spans="1:5" ht="13">
      <c r="A172" s="48"/>
      <c r="B172" s="71"/>
      <c r="C172" s="70"/>
      <c r="D172" s="47"/>
      <c r="E172" s="5"/>
    </row>
    <row r="173" spans="1:5" ht="13">
      <c r="A173" s="48"/>
      <c r="B173" s="71"/>
      <c r="C173" s="70"/>
      <c r="D173" s="47"/>
      <c r="E173" s="5"/>
    </row>
    <row r="174" spans="1:5" ht="13">
      <c r="A174" s="48"/>
      <c r="B174" s="71"/>
      <c r="C174" s="70"/>
      <c r="D174" s="47"/>
      <c r="E174" s="5"/>
    </row>
    <row r="175" spans="1:5" ht="13">
      <c r="A175" s="48"/>
      <c r="B175" s="71"/>
      <c r="C175" s="70"/>
      <c r="D175" s="47"/>
      <c r="E175" s="5"/>
    </row>
    <row r="176" spans="1:5" ht="13">
      <c r="A176" s="48"/>
      <c r="B176" s="71"/>
      <c r="C176" s="70"/>
      <c r="D176" s="47"/>
      <c r="E176" s="5"/>
    </row>
    <row r="177" spans="1:5" ht="13">
      <c r="A177" s="48"/>
      <c r="B177" s="69"/>
      <c r="C177" s="70"/>
      <c r="D177" s="47"/>
      <c r="E177" s="5"/>
    </row>
    <row r="178" spans="1:5" ht="13">
      <c r="A178" s="48"/>
      <c r="B178" s="69"/>
      <c r="C178" s="70"/>
      <c r="D178" s="47"/>
      <c r="E178" s="5"/>
    </row>
    <row r="179" spans="1:5" ht="13">
      <c r="B179" s="36"/>
      <c r="C179" s="37"/>
      <c r="E179" s="5"/>
    </row>
    <row r="180" spans="1:5" ht="13">
      <c r="B180" s="36"/>
      <c r="C180" s="37"/>
      <c r="E180" s="5"/>
    </row>
    <row r="181" spans="1:5" ht="13">
      <c r="B181" s="36"/>
      <c r="C181" s="37"/>
      <c r="E181" s="5"/>
    </row>
    <row r="182" spans="1:5" ht="13">
      <c r="B182" s="36"/>
      <c r="C182" s="37"/>
      <c r="E182" s="5"/>
    </row>
    <row r="183" spans="1:5" ht="13">
      <c r="B183" s="36"/>
      <c r="C183" s="37"/>
      <c r="E183" s="5"/>
    </row>
    <row r="184" spans="1:5" ht="13">
      <c r="B184" s="36"/>
      <c r="C184" s="37"/>
      <c r="E184" s="5"/>
    </row>
    <row r="185" spans="1:5" ht="13">
      <c r="B185" s="36"/>
      <c r="C185" s="37"/>
      <c r="E185" s="5"/>
    </row>
    <row r="186" spans="1:5" ht="13">
      <c r="B186" s="36"/>
      <c r="C186" s="37"/>
      <c r="E186" s="5"/>
    </row>
    <row r="187" spans="1:5" ht="13">
      <c r="B187" s="36"/>
      <c r="C187" s="37"/>
      <c r="E187" s="5"/>
    </row>
    <row r="188" spans="1:5" ht="13">
      <c r="B188" s="36"/>
      <c r="C188" s="37"/>
      <c r="E188" s="5"/>
    </row>
    <row r="189" spans="1:5" ht="13">
      <c r="B189" s="36"/>
      <c r="C189" s="37"/>
      <c r="E189" s="5"/>
    </row>
    <row r="190" spans="1:5" ht="13">
      <c r="B190" s="36"/>
      <c r="C190" s="37"/>
      <c r="E190" s="5"/>
    </row>
    <row r="191" spans="1:5" ht="13">
      <c r="B191" s="36"/>
      <c r="C191" s="37"/>
      <c r="E191" s="5"/>
    </row>
    <row r="192" spans="1:5" ht="13">
      <c r="B192" s="36"/>
      <c r="C192" s="37"/>
      <c r="E192" s="5"/>
    </row>
    <row r="193" spans="2:5" ht="13">
      <c r="B193" s="36"/>
      <c r="C193" s="37"/>
      <c r="E193" s="5"/>
    </row>
    <row r="194" spans="2:5" ht="13">
      <c r="B194" s="36"/>
      <c r="C194" s="37"/>
      <c r="E194" s="5"/>
    </row>
    <row r="195" spans="2:5" ht="13">
      <c r="B195" s="36"/>
      <c r="C195" s="37"/>
      <c r="E195" s="5"/>
    </row>
    <row r="196" spans="2:5" ht="13">
      <c r="B196" s="36"/>
      <c r="C196" s="37"/>
      <c r="E196" s="5"/>
    </row>
    <row r="197" spans="2:5" ht="13">
      <c r="B197" s="36"/>
      <c r="C197" s="37"/>
      <c r="E197" s="5"/>
    </row>
    <row r="198" spans="2:5" ht="13">
      <c r="B198" s="36"/>
      <c r="C198" s="37"/>
      <c r="E198" s="5"/>
    </row>
    <row r="199" spans="2:5" ht="13">
      <c r="B199" s="36"/>
      <c r="C199" s="37"/>
      <c r="E199" s="5"/>
    </row>
    <row r="200" spans="2:5" ht="13">
      <c r="B200" s="36"/>
      <c r="C200" s="37"/>
      <c r="E200" s="5"/>
    </row>
    <row r="201" spans="2:5" ht="13">
      <c r="B201" s="36"/>
      <c r="C201" s="37"/>
      <c r="E201" s="5"/>
    </row>
    <row r="202" spans="2:5" ht="13">
      <c r="B202" s="36"/>
      <c r="C202" s="37"/>
      <c r="E202" s="5"/>
    </row>
    <row r="203" spans="2:5" ht="13">
      <c r="B203" s="36"/>
      <c r="C203" s="37"/>
      <c r="E203" s="5"/>
    </row>
    <row r="204" spans="2:5" ht="13">
      <c r="B204" s="36"/>
      <c r="C204" s="37"/>
      <c r="E204" s="5"/>
    </row>
    <row r="205" spans="2:5" ht="13">
      <c r="B205" s="36"/>
      <c r="C205" s="37"/>
      <c r="E205" s="5"/>
    </row>
    <row r="206" spans="2:5" ht="13">
      <c r="B206" s="36"/>
      <c r="C206" s="37"/>
      <c r="E206" s="5"/>
    </row>
    <row r="207" spans="2:5" ht="13">
      <c r="B207" s="36"/>
      <c r="C207" s="37"/>
      <c r="E207" s="5"/>
    </row>
    <row r="208" spans="2:5" ht="13">
      <c r="B208" s="36"/>
      <c r="C208" s="37"/>
      <c r="E208" s="5"/>
    </row>
    <row r="209" spans="2:5" ht="13">
      <c r="B209" s="36"/>
      <c r="C209" s="37"/>
      <c r="E209" s="5"/>
    </row>
    <row r="210" spans="2:5" ht="13">
      <c r="B210" s="36"/>
      <c r="C210" s="37"/>
      <c r="E210" s="5"/>
    </row>
    <row r="211" spans="2:5" ht="13">
      <c r="B211" s="36"/>
      <c r="C211" s="37"/>
      <c r="E211" s="5"/>
    </row>
    <row r="212" spans="2:5" ht="13">
      <c r="B212" s="36"/>
      <c r="C212" s="37"/>
      <c r="E212" s="5"/>
    </row>
    <row r="213" spans="2:5" ht="13">
      <c r="B213" s="36"/>
      <c r="C213" s="37"/>
      <c r="E213" s="5"/>
    </row>
    <row r="214" spans="2:5" ht="13">
      <c r="B214" s="36"/>
      <c r="C214" s="37"/>
      <c r="E214" s="5"/>
    </row>
    <row r="215" spans="2:5" ht="13">
      <c r="B215" s="36"/>
      <c r="C215" s="37"/>
      <c r="E215" s="5"/>
    </row>
    <row r="216" spans="2:5" ht="13">
      <c r="B216" s="36"/>
      <c r="C216" s="37"/>
      <c r="E216" s="5"/>
    </row>
    <row r="217" spans="2:5" ht="13">
      <c r="B217" s="36"/>
      <c r="C217" s="37"/>
      <c r="E217" s="5"/>
    </row>
    <row r="218" spans="2:5" ht="13">
      <c r="B218" s="36"/>
      <c r="C218" s="37"/>
      <c r="E218" s="5"/>
    </row>
    <row r="219" spans="2:5" ht="13">
      <c r="B219" s="36"/>
      <c r="C219" s="37"/>
      <c r="E219" s="5"/>
    </row>
    <row r="220" spans="2:5" ht="13">
      <c r="B220" s="36"/>
      <c r="C220" s="37"/>
      <c r="E220" s="5"/>
    </row>
    <row r="221" spans="2:5" ht="13">
      <c r="B221" s="36"/>
      <c r="C221" s="37"/>
      <c r="E221" s="5"/>
    </row>
    <row r="222" spans="2:5" ht="13">
      <c r="B222" s="36"/>
      <c r="C222" s="37"/>
      <c r="E222" s="5"/>
    </row>
    <row r="223" spans="2:5" ht="13">
      <c r="B223" s="36"/>
      <c r="C223" s="37"/>
      <c r="E223" s="5"/>
    </row>
    <row r="224" spans="2:5" ht="13">
      <c r="B224" s="36"/>
      <c r="C224" s="37"/>
      <c r="E224" s="5"/>
    </row>
    <row r="225" spans="2:5" ht="13">
      <c r="B225" s="36"/>
      <c r="C225" s="37"/>
      <c r="E225" s="5"/>
    </row>
    <row r="226" spans="2:5" ht="13">
      <c r="B226" s="36"/>
      <c r="C226" s="37"/>
      <c r="E226" s="5"/>
    </row>
    <row r="227" spans="2:5" ht="13">
      <c r="B227" s="36"/>
      <c r="C227" s="37"/>
      <c r="E227" s="5"/>
    </row>
    <row r="228" spans="2:5" ht="13">
      <c r="B228" s="36"/>
      <c r="C228" s="37"/>
      <c r="E228" s="5"/>
    </row>
    <row r="229" spans="2:5" ht="13">
      <c r="B229" s="36"/>
      <c r="C229" s="37"/>
      <c r="E229" s="5"/>
    </row>
    <row r="230" spans="2:5" ht="13">
      <c r="B230" s="36"/>
      <c r="C230" s="37"/>
      <c r="E230" s="5"/>
    </row>
    <row r="231" spans="2:5" ht="13">
      <c r="B231" s="36"/>
      <c r="C231" s="37"/>
      <c r="E231" s="5"/>
    </row>
    <row r="232" spans="2:5" ht="13">
      <c r="B232" s="36"/>
      <c r="C232" s="37"/>
      <c r="E232" s="5"/>
    </row>
    <row r="233" spans="2:5" ht="13">
      <c r="B233" s="36"/>
      <c r="C233" s="37"/>
      <c r="E233" s="5"/>
    </row>
    <row r="234" spans="2:5" ht="13">
      <c r="B234" s="36"/>
      <c r="C234" s="37"/>
      <c r="E234" s="5"/>
    </row>
    <row r="235" spans="2:5" ht="13">
      <c r="B235" s="36"/>
      <c r="C235" s="37"/>
      <c r="E235" s="5"/>
    </row>
    <row r="236" spans="2:5" ht="13">
      <c r="B236" s="36"/>
      <c r="C236" s="37"/>
      <c r="E236" s="5"/>
    </row>
    <row r="237" spans="2:5" ht="13">
      <c r="B237" s="36"/>
      <c r="C237" s="37"/>
      <c r="E237" s="5"/>
    </row>
    <row r="238" spans="2:5" ht="13">
      <c r="B238" s="36"/>
      <c r="C238" s="37"/>
      <c r="E238" s="5"/>
    </row>
    <row r="239" spans="2:5" ht="13">
      <c r="B239" s="36"/>
      <c r="C239" s="37"/>
      <c r="E239" s="5"/>
    </row>
    <row r="240" spans="2:5" ht="13">
      <c r="B240" s="36"/>
      <c r="C240" s="37"/>
      <c r="E240" s="5"/>
    </row>
    <row r="241" spans="2:5" ht="13">
      <c r="B241" s="36"/>
      <c r="C241" s="37"/>
      <c r="E241" s="5"/>
    </row>
    <row r="242" spans="2:5" ht="13">
      <c r="B242" s="36"/>
      <c r="C242" s="37"/>
      <c r="E242" s="5"/>
    </row>
    <row r="243" spans="2:5" ht="13">
      <c r="B243" s="36"/>
      <c r="C243" s="37"/>
      <c r="E243" s="5"/>
    </row>
    <row r="244" spans="2:5" ht="13">
      <c r="B244" s="36"/>
      <c r="C244" s="37"/>
      <c r="E244" s="5"/>
    </row>
    <row r="245" spans="2:5" ht="13">
      <c r="B245" s="36"/>
      <c r="C245" s="37"/>
      <c r="E245" s="5"/>
    </row>
    <row r="246" spans="2:5" ht="13">
      <c r="B246" s="36"/>
      <c r="C246" s="37"/>
      <c r="E246" s="5"/>
    </row>
    <row r="247" spans="2:5" ht="13">
      <c r="B247" s="36"/>
      <c r="C247" s="37"/>
      <c r="E247" s="5"/>
    </row>
    <row r="248" spans="2:5" ht="13">
      <c r="B248" s="36"/>
      <c r="C248" s="37"/>
      <c r="E248" s="5"/>
    </row>
    <row r="249" spans="2:5" ht="13">
      <c r="B249" s="36"/>
      <c r="C249" s="37"/>
      <c r="E249" s="5"/>
    </row>
    <row r="250" spans="2:5" ht="13">
      <c r="B250" s="36"/>
      <c r="C250" s="37"/>
      <c r="E250" s="5"/>
    </row>
    <row r="251" spans="2:5" ht="13">
      <c r="B251" s="36"/>
      <c r="C251" s="37"/>
      <c r="E251" s="5"/>
    </row>
    <row r="252" spans="2:5" ht="13">
      <c r="B252" s="36"/>
      <c r="C252" s="37"/>
      <c r="E252" s="5"/>
    </row>
    <row r="253" spans="2:5" ht="13">
      <c r="B253" s="36"/>
      <c r="C253" s="37"/>
      <c r="E253" s="5"/>
    </row>
    <row r="254" spans="2:5" ht="13">
      <c r="B254" s="36"/>
      <c r="C254" s="37"/>
      <c r="E254" s="5"/>
    </row>
    <row r="255" spans="2:5" ht="13">
      <c r="B255" s="36"/>
      <c r="C255" s="37"/>
      <c r="E255" s="5"/>
    </row>
    <row r="256" spans="2:5" ht="13">
      <c r="B256" s="36"/>
      <c r="C256" s="37"/>
      <c r="E256" s="5"/>
    </row>
    <row r="257" spans="2:5" ht="13">
      <c r="B257" s="36"/>
      <c r="C257" s="37"/>
      <c r="E257" s="5"/>
    </row>
    <row r="258" spans="2:5" ht="13">
      <c r="B258" s="36"/>
      <c r="C258" s="37"/>
      <c r="E258" s="5"/>
    </row>
    <row r="259" spans="2:5" ht="13">
      <c r="B259" s="36"/>
      <c r="C259" s="37"/>
      <c r="E259" s="5"/>
    </row>
    <row r="260" spans="2:5" ht="13">
      <c r="B260" s="36"/>
      <c r="C260" s="37"/>
      <c r="E260" s="5"/>
    </row>
    <row r="261" spans="2:5" ht="13">
      <c r="B261" s="36"/>
      <c r="C261" s="37"/>
      <c r="E261" s="5"/>
    </row>
    <row r="262" spans="2:5" ht="13">
      <c r="B262" s="36"/>
      <c r="C262" s="37"/>
      <c r="E262" s="5"/>
    </row>
    <row r="263" spans="2:5" ht="13">
      <c r="B263" s="36"/>
      <c r="C263" s="37"/>
      <c r="E263" s="5"/>
    </row>
    <row r="264" spans="2:5" ht="13">
      <c r="B264" s="36"/>
      <c r="C264" s="37"/>
      <c r="E264" s="5"/>
    </row>
    <row r="265" spans="2:5" ht="13">
      <c r="B265" s="36"/>
      <c r="C265" s="37"/>
      <c r="E265" s="5"/>
    </row>
    <row r="266" spans="2:5" ht="13">
      <c r="B266" s="36"/>
      <c r="C266" s="37"/>
      <c r="E266" s="5"/>
    </row>
    <row r="267" spans="2:5" ht="13">
      <c r="B267" s="36"/>
      <c r="C267" s="37"/>
      <c r="E267" s="5"/>
    </row>
    <row r="268" spans="2:5" ht="13">
      <c r="B268" s="36"/>
      <c r="C268" s="37"/>
      <c r="E268" s="5"/>
    </row>
    <row r="269" spans="2:5" ht="13">
      <c r="B269" s="36"/>
      <c r="C269" s="37"/>
      <c r="E269" s="5"/>
    </row>
    <row r="270" spans="2:5" ht="13">
      <c r="B270" s="36"/>
      <c r="C270" s="37"/>
      <c r="E270" s="5"/>
    </row>
    <row r="271" spans="2:5" ht="13">
      <c r="B271" s="36"/>
      <c r="C271" s="37"/>
      <c r="E271" s="5"/>
    </row>
    <row r="272" spans="2:5" ht="13">
      <c r="B272" s="36"/>
      <c r="C272" s="37"/>
      <c r="E272" s="5"/>
    </row>
    <row r="273" spans="2:5" ht="13">
      <c r="B273" s="36"/>
      <c r="C273" s="37"/>
      <c r="E273" s="5"/>
    </row>
    <row r="274" spans="2:5" ht="13">
      <c r="B274" s="36"/>
      <c r="C274" s="37"/>
      <c r="E274" s="5"/>
    </row>
    <row r="275" spans="2:5" ht="13">
      <c r="B275" s="36"/>
      <c r="C275" s="37"/>
      <c r="E275" s="5"/>
    </row>
    <row r="276" spans="2:5" ht="13">
      <c r="B276" s="36"/>
      <c r="C276" s="37"/>
      <c r="E276" s="5"/>
    </row>
    <row r="277" spans="2:5" ht="13">
      <c r="B277" s="36"/>
      <c r="C277" s="37"/>
      <c r="E277" s="5"/>
    </row>
    <row r="278" spans="2:5" ht="13">
      <c r="B278" s="36"/>
      <c r="C278" s="37"/>
      <c r="E278" s="5"/>
    </row>
    <row r="279" spans="2:5" ht="13">
      <c r="B279" s="36"/>
      <c r="C279" s="37"/>
      <c r="E279" s="5"/>
    </row>
    <row r="280" spans="2:5" ht="13">
      <c r="B280" s="36"/>
      <c r="C280" s="37"/>
      <c r="E280" s="5"/>
    </row>
    <row r="281" spans="2:5" ht="13">
      <c r="B281" s="36"/>
      <c r="C281" s="37"/>
      <c r="E281" s="5"/>
    </row>
    <row r="282" spans="2:5" ht="13">
      <c r="B282" s="36"/>
      <c r="C282" s="37"/>
      <c r="E282" s="5"/>
    </row>
    <row r="283" spans="2:5" ht="13">
      <c r="B283" s="36"/>
      <c r="C283" s="37"/>
      <c r="E283" s="5"/>
    </row>
    <row r="284" spans="2:5" ht="13">
      <c r="B284" s="36"/>
      <c r="C284" s="37"/>
      <c r="E284" s="5"/>
    </row>
    <row r="285" spans="2:5" ht="13">
      <c r="B285" s="36"/>
      <c r="C285" s="37"/>
      <c r="E285" s="5"/>
    </row>
    <row r="286" spans="2:5" ht="13">
      <c r="B286" s="36"/>
      <c r="C286" s="37"/>
      <c r="E286" s="5"/>
    </row>
    <row r="287" spans="2:5" ht="13">
      <c r="B287" s="36"/>
      <c r="C287" s="37"/>
      <c r="E287" s="5"/>
    </row>
    <row r="288" spans="2:5" ht="13">
      <c r="B288" s="36"/>
      <c r="C288" s="37"/>
      <c r="E288" s="5"/>
    </row>
    <row r="289" spans="2:5" ht="13">
      <c r="B289" s="36"/>
      <c r="C289" s="37"/>
      <c r="E289" s="5"/>
    </row>
    <row r="290" spans="2:5" ht="13">
      <c r="B290" s="36"/>
      <c r="C290" s="37"/>
      <c r="E290" s="5"/>
    </row>
    <row r="291" spans="2:5" ht="13">
      <c r="B291" s="36"/>
      <c r="C291" s="37"/>
      <c r="E291" s="5"/>
    </row>
    <row r="292" spans="2:5" ht="13">
      <c r="B292" s="36"/>
      <c r="C292" s="37"/>
      <c r="E292" s="5"/>
    </row>
    <row r="293" spans="2:5" ht="13">
      <c r="B293" s="36"/>
      <c r="C293" s="37"/>
      <c r="E293" s="5"/>
    </row>
    <row r="294" spans="2:5" ht="13">
      <c r="B294" s="36"/>
      <c r="C294" s="37"/>
      <c r="E294" s="5"/>
    </row>
    <row r="295" spans="2:5" ht="13">
      <c r="B295" s="36"/>
      <c r="C295" s="37"/>
      <c r="E295" s="5"/>
    </row>
    <row r="296" spans="2:5" ht="13">
      <c r="B296" s="36"/>
      <c r="C296" s="37"/>
      <c r="E296" s="5"/>
    </row>
    <row r="297" spans="2:5" ht="13">
      <c r="B297" s="36"/>
      <c r="C297" s="37"/>
      <c r="E297" s="5"/>
    </row>
    <row r="298" spans="2:5" ht="13">
      <c r="B298" s="36"/>
      <c r="C298" s="37"/>
      <c r="E298" s="5"/>
    </row>
    <row r="299" spans="2:5" ht="13">
      <c r="B299" s="36"/>
      <c r="C299" s="37"/>
      <c r="E299" s="5"/>
    </row>
    <row r="300" spans="2:5" ht="13">
      <c r="B300" s="36"/>
      <c r="C300" s="37"/>
      <c r="E300" s="5"/>
    </row>
    <row r="301" spans="2:5" ht="13">
      <c r="B301" s="36"/>
      <c r="C301" s="37"/>
      <c r="E301" s="5"/>
    </row>
    <row r="302" spans="2:5" ht="13">
      <c r="B302" s="36"/>
      <c r="C302" s="37"/>
      <c r="E302" s="5"/>
    </row>
    <row r="303" spans="2:5" ht="13">
      <c r="B303" s="36"/>
      <c r="C303" s="37"/>
      <c r="E303" s="5"/>
    </row>
    <row r="304" spans="2:5" ht="13">
      <c r="B304" s="36"/>
      <c r="C304" s="37"/>
      <c r="E304" s="5"/>
    </row>
    <row r="305" spans="2:5" ht="13">
      <c r="B305" s="36"/>
      <c r="C305" s="37"/>
      <c r="E305" s="5"/>
    </row>
    <row r="306" spans="2:5" ht="13">
      <c r="B306" s="36"/>
      <c r="C306" s="37"/>
      <c r="E306" s="5"/>
    </row>
    <row r="307" spans="2:5" ht="13">
      <c r="B307" s="36"/>
      <c r="C307" s="37"/>
      <c r="E307" s="5"/>
    </row>
    <row r="308" spans="2:5" ht="13">
      <c r="B308" s="36"/>
      <c r="C308" s="37"/>
      <c r="E308" s="5"/>
    </row>
    <row r="309" spans="2:5" ht="13">
      <c r="B309" s="36"/>
      <c r="C309" s="37"/>
      <c r="E309" s="5"/>
    </row>
    <row r="310" spans="2:5" ht="13">
      <c r="B310" s="36"/>
      <c r="C310" s="37"/>
      <c r="E310" s="5"/>
    </row>
    <row r="311" spans="2:5" ht="13">
      <c r="B311" s="36"/>
      <c r="C311" s="37"/>
      <c r="E311" s="5"/>
    </row>
    <row r="312" spans="2:5" ht="13">
      <c r="B312" s="36"/>
      <c r="C312" s="37"/>
      <c r="E312" s="5"/>
    </row>
    <row r="313" spans="2:5" ht="13">
      <c r="B313" s="36"/>
      <c r="C313" s="37"/>
      <c r="E313" s="5"/>
    </row>
    <row r="314" spans="2:5" ht="13">
      <c r="B314" s="36"/>
      <c r="C314" s="37"/>
      <c r="E314" s="5"/>
    </row>
    <row r="315" spans="2:5" ht="13">
      <c r="B315" s="36"/>
      <c r="C315" s="37"/>
      <c r="E315" s="5"/>
    </row>
    <row r="316" spans="2:5" ht="13">
      <c r="B316" s="36"/>
      <c r="C316" s="37"/>
      <c r="E316" s="5"/>
    </row>
    <row r="317" spans="2:5" ht="13">
      <c r="B317" s="36"/>
      <c r="C317" s="37"/>
      <c r="E317" s="5"/>
    </row>
    <row r="318" spans="2:5" ht="13">
      <c r="B318" s="36"/>
      <c r="C318" s="37"/>
      <c r="E318" s="5"/>
    </row>
    <row r="319" spans="2:5" ht="13">
      <c r="B319" s="36"/>
      <c r="C319" s="37"/>
      <c r="E319" s="5"/>
    </row>
    <row r="320" spans="2:5" ht="13">
      <c r="B320" s="36"/>
      <c r="C320" s="37"/>
      <c r="E320" s="5"/>
    </row>
    <row r="321" spans="2:5" ht="13">
      <c r="B321" s="36"/>
      <c r="C321" s="37"/>
      <c r="E321" s="5"/>
    </row>
    <row r="322" spans="2:5" ht="13">
      <c r="B322" s="36"/>
      <c r="C322" s="37"/>
      <c r="E322" s="5"/>
    </row>
    <row r="323" spans="2:5" ht="13">
      <c r="B323" s="36"/>
      <c r="C323" s="37"/>
      <c r="E323" s="5"/>
    </row>
    <row r="324" spans="2:5" ht="13">
      <c r="B324" s="36"/>
      <c r="C324" s="37"/>
      <c r="E324" s="5"/>
    </row>
    <row r="325" spans="2:5" ht="13">
      <c r="B325" s="36"/>
      <c r="C325" s="37"/>
      <c r="E325" s="5"/>
    </row>
    <row r="326" spans="2:5" ht="13">
      <c r="B326" s="36"/>
      <c r="C326" s="37"/>
      <c r="E326" s="5"/>
    </row>
    <row r="327" spans="2:5" ht="13">
      <c r="B327" s="36"/>
      <c r="C327" s="37"/>
      <c r="E327" s="5"/>
    </row>
    <row r="328" spans="2:5" ht="13">
      <c r="B328" s="36"/>
      <c r="C328" s="37"/>
      <c r="E328" s="5"/>
    </row>
    <row r="329" spans="2:5" ht="13">
      <c r="B329" s="36"/>
      <c r="C329" s="37"/>
      <c r="E329" s="5"/>
    </row>
    <row r="330" spans="2:5" ht="13">
      <c r="B330" s="36"/>
      <c r="C330" s="37"/>
      <c r="E330" s="5"/>
    </row>
    <row r="331" spans="2:5" ht="13">
      <c r="B331" s="36"/>
      <c r="C331" s="37"/>
      <c r="E331" s="5"/>
    </row>
    <row r="332" spans="2:5" ht="13">
      <c r="B332" s="36"/>
      <c r="C332" s="37"/>
      <c r="E332" s="5"/>
    </row>
    <row r="333" spans="2:5" ht="13">
      <c r="B333" s="36"/>
      <c r="C333" s="37"/>
      <c r="E333" s="5"/>
    </row>
    <row r="334" spans="2:5" ht="13">
      <c r="B334" s="36"/>
      <c r="C334" s="37"/>
      <c r="E334" s="5"/>
    </row>
    <row r="335" spans="2:5" ht="13">
      <c r="B335" s="36"/>
      <c r="C335" s="37"/>
      <c r="E335" s="5"/>
    </row>
    <row r="336" spans="2:5" ht="13">
      <c r="B336" s="36"/>
      <c r="C336" s="37"/>
      <c r="E336" s="5"/>
    </row>
    <row r="337" spans="2:5" ht="13">
      <c r="B337" s="36"/>
      <c r="C337" s="37"/>
      <c r="E337" s="5"/>
    </row>
    <row r="338" spans="2:5" ht="13">
      <c r="B338" s="36"/>
      <c r="C338" s="37"/>
      <c r="E338" s="5"/>
    </row>
    <row r="339" spans="2:5" ht="13">
      <c r="B339" s="36"/>
      <c r="C339" s="37"/>
      <c r="E339" s="5"/>
    </row>
    <row r="340" spans="2:5" ht="13">
      <c r="B340" s="36"/>
      <c r="C340" s="37"/>
      <c r="E340" s="5"/>
    </row>
    <row r="341" spans="2:5" ht="13">
      <c r="B341" s="36"/>
      <c r="C341" s="37"/>
      <c r="E341" s="5"/>
    </row>
    <row r="342" spans="2:5" ht="13">
      <c r="B342" s="36"/>
      <c r="C342" s="37"/>
      <c r="E342" s="5"/>
    </row>
    <row r="343" spans="2:5" ht="13">
      <c r="B343" s="36"/>
      <c r="C343" s="37"/>
      <c r="E343" s="5"/>
    </row>
    <row r="344" spans="2:5" ht="13">
      <c r="B344" s="36"/>
      <c r="C344" s="37"/>
      <c r="E344" s="5"/>
    </row>
    <row r="345" spans="2:5" ht="13">
      <c r="B345" s="36"/>
      <c r="C345" s="37"/>
      <c r="E345" s="5"/>
    </row>
    <row r="346" spans="2:5" ht="13">
      <c r="B346" s="36"/>
      <c r="C346" s="37"/>
      <c r="E346" s="5"/>
    </row>
    <row r="347" spans="2:5" ht="13">
      <c r="B347" s="36"/>
      <c r="C347" s="37"/>
      <c r="E347" s="5"/>
    </row>
    <row r="348" spans="2:5" ht="13">
      <c r="B348" s="36"/>
      <c r="C348" s="37"/>
      <c r="E348" s="5"/>
    </row>
    <row r="349" spans="2:5" ht="13">
      <c r="B349" s="36"/>
      <c r="C349" s="37"/>
      <c r="E349" s="5"/>
    </row>
    <row r="350" spans="2:5" ht="13">
      <c r="B350" s="36"/>
      <c r="C350" s="37"/>
      <c r="E350" s="5"/>
    </row>
    <row r="351" spans="2:5" ht="13">
      <c r="B351" s="36"/>
      <c r="C351" s="37"/>
      <c r="E351" s="5"/>
    </row>
    <row r="352" spans="2:5" ht="13">
      <c r="B352" s="36"/>
      <c r="C352" s="37"/>
      <c r="E352" s="5"/>
    </row>
    <row r="353" spans="2:5" ht="13">
      <c r="B353" s="36"/>
      <c r="C353" s="37"/>
      <c r="E353" s="5"/>
    </row>
    <row r="354" spans="2:5" ht="13">
      <c r="B354" s="36"/>
      <c r="C354" s="37"/>
      <c r="E354" s="5"/>
    </row>
    <row r="355" spans="2:5" ht="13">
      <c r="B355" s="36"/>
      <c r="C355" s="37"/>
      <c r="E355" s="5"/>
    </row>
    <row r="356" spans="2:5" ht="13">
      <c r="B356" s="36"/>
      <c r="C356" s="37"/>
      <c r="E356" s="5"/>
    </row>
    <row r="357" spans="2:5" ht="13">
      <c r="B357" s="36"/>
      <c r="C357" s="37"/>
      <c r="E357" s="5"/>
    </row>
    <row r="358" spans="2:5" ht="13">
      <c r="B358" s="36"/>
      <c r="C358" s="37"/>
      <c r="E358" s="5"/>
    </row>
    <row r="359" spans="2:5" ht="13">
      <c r="B359" s="36"/>
      <c r="C359" s="37"/>
      <c r="E359" s="5"/>
    </row>
    <row r="360" spans="2:5" ht="13">
      <c r="B360" s="36"/>
      <c r="C360" s="37"/>
      <c r="E360" s="5"/>
    </row>
    <row r="361" spans="2:5" ht="13">
      <c r="B361" s="36"/>
      <c r="C361" s="37"/>
      <c r="E361" s="5"/>
    </row>
    <row r="362" spans="2:5" ht="13">
      <c r="B362" s="36"/>
      <c r="C362" s="37"/>
      <c r="E362" s="5"/>
    </row>
    <row r="363" spans="2:5" ht="13">
      <c r="B363" s="36"/>
      <c r="C363" s="37"/>
      <c r="E363" s="5"/>
    </row>
    <row r="364" spans="2:5" ht="13">
      <c r="B364" s="36"/>
      <c r="C364" s="37"/>
      <c r="E364" s="5"/>
    </row>
    <row r="365" spans="2:5" ht="13">
      <c r="B365" s="36"/>
      <c r="C365" s="37"/>
      <c r="E365" s="5"/>
    </row>
    <row r="366" spans="2:5" ht="13">
      <c r="B366" s="36"/>
      <c r="C366" s="37"/>
      <c r="E366" s="5"/>
    </row>
    <row r="367" spans="2:5" ht="13">
      <c r="B367" s="36"/>
      <c r="C367" s="37"/>
      <c r="E367" s="5"/>
    </row>
    <row r="368" spans="2:5" ht="13">
      <c r="B368" s="36"/>
      <c r="C368" s="37"/>
      <c r="E368" s="5"/>
    </row>
    <row r="369" spans="2:5" ht="13">
      <c r="B369" s="36"/>
      <c r="C369" s="37"/>
      <c r="E369" s="5"/>
    </row>
    <row r="370" spans="2:5" ht="13">
      <c r="B370" s="36"/>
      <c r="C370" s="37"/>
      <c r="E370" s="5"/>
    </row>
    <row r="371" spans="2:5" ht="13">
      <c r="B371" s="36"/>
      <c r="C371" s="37"/>
      <c r="E371" s="5"/>
    </row>
    <row r="372" spans="2:5" ht="13">
      <c r="B372" s="36"/>
      <c r="C372" s="37"/>
      <c r="E372" s="5"/>
    </row>
    <row r="373" spans="2:5" ht="13">
      <c r="B373" s="36"/>
      <c r="C373" s="37"/>
      <c r="E373" s="5"/>
    </row>
    <row r="374" spans="2:5" ht="13">
      <c r="B374" s="36"/>
      <c r="C374" s="37"/>
      <c r="E374" s="5"/>
    </row>
    <row r="375" spans="2:5" ht="13">
      <c r="B375" s="36"/>
      <c r="C375" s="37"/>
      <c r="E375" s="5"/>
    </row>
    <row r="376" spans="2:5" ht="13">
      <c r="B376" s="36"/>
      <c r="C376" s="37"/>
      <c r="E376" s="5"/>
    </row>
    <row r="377" spans="2:5" ht="13">
      <c r="B377" s="36"/>
      <c r="C377" s="37"/>
      <c r="E377" s="5"/>
    </row>
    <row r="378" spans="2:5" ht="13">
      <c r="B378" s="36"/>
      <c r="C378" s="37"/>
      <c r="E378" s="5"/>
    </row>
    <row r="379" spans="2:5" ht="13">
      <c r="B379" s="36"/>
      <c r="C379" s="37"/>
      <c r="E379" s="5"/>
    </row>
    <row r="380" spans="2:5" ht="13">
      <c r="B380" s="36"/>
      <c r="C380" s="37"/>
      <c r="E380" s="5"/>
    </row>
    <row r="381" spans="2:5" ht="13">
      <c r="B381" s="36"/>
      <c r="C381" s="37"/>
      <c r="E381" s="5"/>
    </row>
    <row r="382" spans="2:5" ht="13">
      <c r="B382" s="36"/>
      <c r="C382" s="37"/>
      <c r="E382" s="5"/>
    </row>
    <row r="383" spans="2:5" ht="13">
      <c r="B383" s="36"/>
      <c r="C383" s="37"/>
      <c r="E383" s="5"/>
    </row>
    <row r="384" spans="2:5" ht="13">
      <c r="B384" s="36"/>
      <c r="C384" s="37"/>
      <c r="E384" s="5"/>
    </row>
    <row r="385" spans="2:5" ht="13">
      <c r="B385" s="36"/>
      <c r="C385" s="37"/>
      <c r="E385" s="5"/>
    </row>
    <row r="386" spans="2:5" ht="13">
      <c r="B386" s="36"/>
      <c r="C386" s="37"/>
      <c r="E386" s="5"/>
    </row>
    <row r="387" spans="2:5" ht="13">
      <c r="B387" s="36"/>
      <c r="C387" s="37"/>
      <c r="E387" s="5"/>
    </row>
    <row r="388" spans="2:5" ht="13">
      <c r="B388" s="36"/>
      <c r="C388" s="37"/>
      <c r="E388" s="5"/>
    </row>
    <row r="389" spans="2:5" ht="13">
      <c r="B389" s="36"/>
      <c r="C389" s="37"/>
      <c r="E389" s="5"/>
    </row>
    <row r="390" spans="2:5" ht="13">
      <c r="B390" s="36"/>
      <c r="C390" s="37"/>
      <c r="E390" s="5"/>
    </row>
    <row r="391" spans="2:5" ht="13">
      <c r="B391" s="36"/>
      <c r="C391" s="37"/>
      <c r="E391" s="5"/>
    </row>
    <row r="392" spans="2:5" ht="13">
      <c r="B392" s="36"/>
      <c r="C392" s="37"/>
      <c r="E392" s="5"/>
    </row>
    <row r="393" spans="2:5" ht="13">
      <c r="B393" s="36"/>
      <c r="C393" s="37"/>
      <c r="E393" s="5"/>
    </row>
    <row r="394" spans="2:5" ht="13">
      <c r="B394" s="36"/>
      <c r="C394" s="37"/>
      <c r="E394" s="5"/>
    </row>
    <row r="395" spans="2:5" ht="13">
      <c r="B395" s="36"/>
      <c r="C395" s="37"/>
      <c r="E395" s="5"/>
    </row>
    <row r="396" spans="2:5" ht="13">
      <c r="B396" s="36"/>
      <c r="C396" s="37"/>
      <c r="E396" s="5"/>
    </row>
    <row r="397" spans="2:5" ht="13">
      <c r="B397" s="36"/>
      <c r="C397" s="37"/>
      <c r="E397" s="5"/>
    </row>
    <row r="398" spans="2:5" ht="13">
      <c r="B398" s="36"/>
      <c r="C398" s="37"/>
      <c r="E398" s="5"/>
    </row>
    <row r="399" spans="2:5" ht="13">
      <c r="B399" s="36"/>
      <c r="C399" s="37"/>
      <c r="E399" s="5"/>
    </row>
    <row r="400" spans="2:5" ht="13">
      <c r="B400" s="36"/>
      <c r="C400" s="37"/>
      <c r="E400" s="5"/>
    </row>
    <row r="401" spans="2:5" ht="13">
      <c r="B401" s="36"/>
      <c r="C401" s="37"/>
      <c r="E401" s="5"/>
    </row>
    <row r="402" spans="2:5" ht="13">
      <c r="B402" s="36"/>
      <c r="C402" s="37"/>
      <c r="E402" s="5"/>
    </row>
    <row r="403" spans="2:5" ht="13">
      <c r="B403" s="36"/>
      <c r="C403" s="37"/>
      <c r="E403" s="5"/>
    </row>
    <row r="404" spans="2:5" ht="13">
      <c r="B404" s="36"/>
      <c r="C404" s="37"/>
      <c r="E404" s="5"/>
    </row>
    <row r="405" spans="2:5" ht="13">
      <c r="B405" s="36"/>
      <c r="C405" s="37"/>
      <c r="E405" s="5"/>
    </row>
    <row r="406" spans="2:5" ht="13">
      <c r="B406" s="36"/>
      <c r="C406" s="37"/>
      <c r="E406" s="5"/>
    </row>
    <row r="407" spans="2:5" ht="13">
      <c r="B407" s="36"/>
      <c r="C407" s="37"/>
      <c r="E407" s="5"/>
    </row>
    <row r="408" spans="2:5" ht="13">
      <c r="B408" s="36"/>
      <c r="C408" s="37"/>
      <c r="E408" s="5"/>
    </row>
    <row r="409" spans="2:5" ht="13">
      <c r="B409" s="36"/>
      <c r="C409" s="37"/>
      <c r="E409" s="5"/>
    </row>
    <row r="410" spans="2:5" ht="13">
      <c r="B410" s="36"/>
      <c r="C410" s="37"/>
      <c r="E410" s="5"/>
    </row>
    <row r="411" spans="2:5" ht="13">
      <c r="B411" s="36"/>
      <c r="C411" s="37"/>
      <c r="E411" s="5"/>
    </row>
    <row r="412" spans="2:5" ht="13">
      <c r="B412" s="36"/>
      <c r="C412" s="37"/>
      <c r="E412" s="5"/>
    </row>
    <row r="413" spans="2:5" ht="13">
      <c r="B413" s="36"/>
      <c r="C413" s="37"/>
      <c r="E413" s="5"/>
    </row>
    <row r="414" spans="2:5" ht="13">
      <c r="B414" s="36"/>
      <c r="C414" s="37"/>
      <c r="E414" s="5"/>
    </row>
    <row r="415" spans="2:5" ht="13">
      <c r="B415" s="36"/>
      <c r="C415" s="37"/>
      <c r="E415" s="5"/>
    </row>
    <row r="416" spans="2:5" ht="13">
      <c r="B416" s="36"/>
      <c r="C416" s="37"/>
      <c r="E416" s="5"/>
    </row>
    <row r="417" spans="2:5" ht="13">
      <c r="B417" s="36"/>
      <c r="C417" s="37"/>
      <c r="E417" s="5"/>
    </row>
    <row r="418" spans="2:5" ht="13">
      <c r="B418" s="36"/>
      <c r="C418" s="37"/>
      <c r="E418" s="5"/>
    </row>
    <row r="419" spans="2:5" ht="13">
      <c r="B419" s="36"/>
      <c r="C419" s="37"/>
      <c r="E419" s="5"/>
    </row>
    <row r="420" spans="2:5" ht="13">
      <c r="B420" s="36"/>
      <c r="C420" s="37"/>
      <c r="E420" s="5"/>
    </row>
    <row r="421" spans="2:5" ht="13">
      <c r="B421" s="36"/>
      <c r="C421" s="37"/>
      <c r="E421" s="5"/>
    </row>
    <row r="422" spans="2:5" ht="13">
      <c r="B422" s="36"/>
      <c r="C422" s="37"/>
      <c r="E422" s="5"/>
    </row>
    <row r="423" spans="2:5" ht="13">
      <c r="B423" s="36"/>
      <c r="C423" s="37"/>
      <c r="E423" s="5"/>
    </row>
    <row r="424" spans="2:5" ht="13">
      <c r="B424" s="36"/>
      <c r="C424" s="37"/>
      <c r="E424" s="5"/>
    </row>
    <row r="425" spans="2:5" ht="13">
      <c r="B425" s="36"/>
      <c r="C425" s="37"/>
      <c r="E425" s="5"/>
    </row>
    <row r="426" spans="2:5" ht="13">
      <c r="B426" s="36"/>
      <c r="C426" s="37"/>
      <c r="E426" s="5"/>
    </row>
    <row r="427" spans="2:5" ht="13">
      <c r="B427" s="36"/>
      <c r="C427" s="37"/>
      <c r="E427" s="5"/>
    </row>
    <row r="428" spans="2:5" ht="13">
      <c r="B428" s="36"/>
      <c r="C428" s="37"/>
      <c r="E428" s="5"/>
    </row>
    <row r="429" spans="2:5" ht="13">
      <c r="B429" s="36"/>
      <c r="C429" s="37"/>
      <c r="E429" s="5"/>
    </row>
    <row r="430" spans="2:5" ht="13">
      <c r="B430" s="36"/>
      <c r="C430" s="37"/>
      <c r="E430" s="5"/>
    </row>
    <row r="431" spans="2:5" ht="13">
      <c r="B431" s="36"/>
      <c r="C431" s="37"/>
      <c r="E431" s="5"/>
    </row>
    <row r="432" spans="2:5" ht="13">
      <c r="B432" s="36"/>
      <c r="C432" s="37"/>
      <c r="E432" s="5"/>
    </row>
    <row r="433" spans="2:5" ht="13">
      <c r="B433" s="36"/>
      <c r="C433" s="37"/>
      <c r="E433" s="5"/>
    </row>
    <row r="434" spans="2:5" ht="13">
      <c r="B434" s="36"/>
      <c r="C434" s="37"/>
      <c r="E434" s="5"/>
    </row>
    <row r="435" spans="2:5" ht="13">
      <c r="B435" s="36"/>
      <c r="C435" s="37"/>
      <c r="E435" s="5"/>
    </row>
    <row r="436" spans="2:5" ht="13">
      <c r="B436" s="36"/>
      <c r="C436" s="37"/>
      <c r="E436" s="5"/>
    </row>
    <row r="437" spans="2:5" ht="13">
      <c r="B437" s="36"/>
      <c r="C437" s="37"/>
      <c r="E437" s="5"/>
    </row>
    <row r="438" spans="2:5" ht="13">
      <c r="B438" s="36"/>
      <c r="C438" s="37"/>
      <c r="E438" s="5"/>
    </row>
    <row r="439" spans="2:5" ht="13">
      <c r="B439" s="36"/>
      <c r="C439" s="37"/>
      <c r="E439" s="5"/>
    </row>
    <row r="440" spans="2:5" ht="13">
      <c r="B440" s="36"/>
      <c r="C440" s="37"/>
      <c r="E440" s="5"/>
    </row>
    <row r="441" spans="2:5" ht="13">
      <c r="B441" s="36"/>
      <c r="C441" s="37"/>
      <c r="E441" s="5"/>
    </row>
    <row r="442" spans="2:5" ht="13">
      <c r="B442" s="36"/>
      <c r="C442" s="37"/>
      <c r="E442" s="5"/>
    </row>
    <row r="443" spans="2:5" ht="13">
      <c r="B443" s="36"/>
      <c r="C443" s="37"/>
      <c r="E443" s="5"/>
    </row>
    <row r="444" spans="2:5" ht="13">
      <c r="B444" s="36"/>
      <c r="C444" s="37"/>
      <c r="E444" s="5"/>
    </row>
    <row r="445" spans="2:5" ht="13">
      <c r="B445" s="36"/>
      <c r="C445" s="37"/>
      <c r="E445" s="5"/>
    </row>
    <row r="446" spans="2:5" ht="13">
      <c r="B446" s="36"/>
      <c r="C446" s="37"/>
      <c r="E446" s="5"/>
    </row>
    <row r="447" spans="2:5" ht="13">
      <c r="B447" s="36"/>
      <c r="C447" s="37"/>
      <c r="E447" s="5"/>
    </row>
    <row r="448" spans="2:5" ht="13">
      <c r="B448" s="36"/>
      <c r="C448" s="37"/>
      <c r="E448" s="5"/>
    </row>
    <row r="449" spans="2:5" ht="13">
      <c r="B449" s="36"/>
      <c r="C449" s="37"/>
      <c r="E449" s="5"/>
    </row>
    <row r="450" spans="2:5" ht="13">
      <c r="B450" s="36"/>
      <c r="C450" s="37"/>
      <c r="E450" s="5"/>
    </row>
    <row r="451" spans="2:5" ht="13">
      <c r="B451" s="36"/>
      <c r="C451" s="37"/>
      <c r="E451" s="5"/>
    </row>
    <row r="452" spans="2:5" ht="13">
      <c r="B452" s="36"/>
      <c r="C452" s="37"/>
      <c r="E452" s="5"/>
    </row>
    <row r="453" spans="2:5" ht="13">
      <c r="B453" s="36"/>
      <c r="C453" s="37"/>
      <c r="E453" s="5"/>
    </row>
    <row r="454" spans="2:5" ht="13">
      <c r="B454" s="36"/>
      <c r="C454" s="37"/>
      <c r="E454" s="5"/>
    </row>
    <row r="455" spans="2:5" ht="13">
      <c r="B455" s="36"/>
      <c r="C455" s="37"/>
      <c r="E455" s="5"/>
    </row>
    <row r="456" spans="2:5" ht="13">
      <c r="B456" s="36"/>
      <c r="C456" s="37"/>
      <c r="E456" s="5"/>
    </row>
    <row r="457" spans="2:5" ht="13">
      <c r="B457" s="36"/>
      <c r="C457" s="37"/>
      <c r="E457" s="5"/>
    </row>
    <row r="458" spans="2:5" ht="13">
      <c r="B458" s="36"/>
      <c r="C458" s="37"/>
      <c r="E458" s="5"/>
    </row>
    <row r="459" spans="2:5" ht="13">
      <c r="B459" s="36"/>
      <c r="C459" s="37"/>
      <c r="E459" s="5"/>
    </row>
    <row r="460" spans="2:5" ht="13">
      <c r="B460" s="36"/>
      <c r="C460" s="37"/>
      <c r="E460" s="5"/>
    </row>
    <row r="461" spans="2:5" ht="13">
      <c r="B461" s="36"/>
      <c r="C461" s="37"/>
      <c r="E461" s="5"/>
    </row>
    <row r="462" spans="2:5" ht="13">
      <c r="B462" s="36"/>
      <c r="C462" s="37"/>
      <c r="E462" s="5"/>
    </row>
    <row r="463" spans="2:5" ht="13">
      <c r="B463" s="36"/>
      <c r="C463" s="37"/>
      <c r="E463" s="5"/>
    </row>
    <row r="464" spans="2:5" ht="13">
      <c r="B464" s="36"/>
      <c r="C464" s="37"/>
      <c r="E464" s="5"/>
    </row>
    <row r="465" spans="2:5" ht="13">
      <c r="B465" s="36"/>
      <c r="C465" s="37"/>
      <c r="E465" s="5"/>
    </row>
    <row r="466" spans="2:5" ht="13">
      <c r="B466" s="36"/>
      <c r="C466" s="37"/>
      <c r="E466" s="5"/>
    </row>
    <row r="467" spans="2:5" ht="13">
      <c r="B467" s="36"/>
      <c r="C467" s="37"/>
      <c r="E467" s="5"/>
    </row>
    <row r="468" spans="2:5" ht="13">
      <c r="B468" s="36"/>
      <c r="C468" s="37"/>
      <c r="E468" s="5"/>
    </row>
    <row r="469" spans="2:5" ht="13">
      <c r="B469" s="36"/>
      <c r="C469" s="37"/>
      <c r="E469" s="5"/>
    </row>
    <row r="470" spans="2:5" ht="13">
      <c r="B470" s="36"/>
      <c r="C470" s="37"/>
      <c r="E470" s="5"/>
    </row>
    <row r="471" spans="2:5" ht="13">
      <c r="B471" s="36"/>
      <c r="C471" s="37"/>
      <c r="E471" s="5"/>
    </row>
    <row r="472" spans="2:5" ht="13">
      <c r="B472" s="36"/>
      <c r="C472" s="37"/>
      <c r="E472" s="5"/>
    </row>
    <row r="473" spans="2:5" ht="13">
      <c r="B473" s="36"/>
      <c r="C473" s="37"/>
      <c r="E473" s="5"/>
    </row>
    <row r="474" spans="2:5" ht="13">
      <c r="B474" s="36"/>
      <c r="C474" s="37"/>
      <c r="E474" s="5"/>
    </row>
    <row r="475" spans="2:5" ht="13">
      <c r="B475" s="36"/>
      <c r="C475" s="37"/>
      <c r="E475" s="5"/>
    </row>
    <row r="476" spans="2:5" ht="13">
      <c r="B476" s="36"/>
      <c r="C476" s="37"/>
      <c r="E476" s="5"/>
    </row>
    <row r="477" spans="2:5" ht="13">
      <c r="B477" s="36"/>
      <c r="C477" s="37"/>
      <c r="E477" s="5"/>
    </row>
    <row r="478" spans="2:5" ht="13">
      <c r="B478" s="36"/>
      <c r="C478" s="37"/>
      <c r="E478" s="5"/>
    </row>
    <row r="479" spans="2:5" ht="13">
      <c r="B479" s="36"/>
      <c r="C479" s="37"/>
      <c r="E479" s="5"/>
    </row>
    <row r="480" spans="2:5" ht="13">
      <c r="B480" s="36"/>
      <c r="C480" s="37"/>
      <c r="E480" s="5"/>
    </row>
    <row r="481" spans="2:5" ht="13">
      <c r="B481" s="36"/>
      <c r="C481" s="37"/>
      <c r="E481" s="5"/>
    </row>
    <row r="482" spans="2:5" ht="13">
      <c r="B482" s="36"/>
      <c r="C482" s="37"/>
      <c r="E482" s="5"/>
    </row>
    <row r="483" spans="2:5" ht="13">
      <c r="B483" s="36"/>
      <c r="C483" s="37"/>
      <c r="E483" s="5"/>
    </row>
    <row r="484" spans="2:5" ht="13">
      <c r="B484" s="36"/>
      <c r="C484" s="37"/>
      <c r="E484" s="5"/>
    </row>
    <row r="485" spans="2:5" ht="13">
      <c r="B485" s="36"/>
      <c r="C485" s="37"/>
      <c r="E485" s="5"/>
    </row>
    <row r="486" spans="2:5" ht="13">
      <c r="B486" s="36"/>
      <c r="C486" s="37"/>
      <c r="E486" s="5"/>
    </row>
    <row r="487" spans="2:5" ht="13">
      <c r="B487" s="36"/>
      <c r="C487" s="37"/>
      <c r="E487" s="5"/>
    </row>
    <row r="488" spans="2:5" ht="13">
      <c r="B488" s="36"/>
      <c r="C488" s="37"/>
      <c r="E488" s="5"/>
    </row>
    <row r="489" spans="2:5" ht="13">
      <c r="B489" s="36"/>
      <c r="C489" s="37"/>
      <c r="E489" s="5"/>
    </row>
    <row r="490" spans="2:5" ht="13">
      <c r="B490" s="36"/>
      <c r="C490" s="37"/>
      <c r="E490" s="5"/>
    </row>
    <row r="491" spans="2:5" ht="13">
      <c r="B491" s="36"/>
      <c r="C491" s="37"/>
      <c r="E491" s="5"/>
    </row>
    <row r="492" spans="2:5" ht="13">
      <c r="B492" s="36"/>
      <c r="C492" s="37"/>
      <c r="E492" s="5"/>
    </row>
    <row r="493" spans="2:5" ht="13">
      <c r="B493" s="36"/>
      <c r="C493" s="37"/>
      <c r="E493" s="5"/>
    </row>
    <row r="494" spans="2:5" ht="13">
      <c r="B494" s="36"/>
      <c r="C494" s="37"/>
      <c r="E494" s="5"/>
    </row>
    <row r="495" spans="2:5" ht="13">
      <c r="B495" s="36"/>
      <c r="C495" s="37"/>
      <c r="E495" s="5"/>
    </row>
    <row r="496" spans="2:5" ht="13">
      <c r="B496" s="36"/>
      <c r="C496" s="37"/>
      <c r="E496" s="5"/>
    </row>
    <row r="497" spans="2:5" ht="13">
      <c r="B497" s="36"/>
      <c r="C497" s="37"/>
      <c r="E497" s="5"/>
    </row>
    <row r="498" spans="2:5" ht="13">
      <c r="B498" s="36"/>
      <c r="C498" s="37"/>
      <c r="E498" s="5"/>
    </row>
    <row r="499" spans="2:5" ht="13">
      <c r="B499" s="36"/>
      <c r="C499" s="37"/>
      <c r="E499" s="5"/>
    </row>
    <row r="500" spans="2:5" ht="13">
      <c r="B500" s="36"/>
      <c r="C500" s="37"/>
      <c r="E500" s="5"/>
    </row>
    <row r="501" spans="2:5" ht="13">
      <c r="B501" s="36"/>
      <c r="C501" s="37"/>
      <c r="E501" s="5"/>
    </row>
    <row r="502" spans="2:5" ht="13">
      <c r="B502" s="36"/>
      <c r="C502" s="37"/>
      <c r="E502" s="5"/>
    </row>
    <row r="503" spans="2:5" ht="13">
      <c r="B503" s="36"/>
      <c r="C503" s="37"/>
      <c r="E503" s="5"/>
    </row>
    <row r="504" spans="2:5" ht="13">
      <c r="B504" s="36"/>
      <c r="C504" s="37"/>
      <c r="E504" s="5"/>
    </row>
    <row r="505" spans="2:5" ht="13">
      <c r="B505" s="36"/>
      <c r="C505" s="37"/>
      <c r="E505" s="5"/>
    </row>
    <row r="506" spans="2:5" ht="13">
      <c r="B506" s="36"/>
      <c r="C506" s="37"/>
      <c r="E506" s="5"/>
    </row>
    <row r="507" spans="2:5" ht="13">
      <c r="B507" s="36"/>
      <c r="C507" s="37"/>
      <c r="E507" s="5"/>
    </row>
    <row r="508" spans="2:5" ht="13">
      <c r="B508" s="36"/>
      <c r="C508" s="37"/>
      <c r="E508" s="5"/>
    </row>
    <row r="509" spans="2:5" ht="13">
      <c r="B509" s="36"/>
      <c r="C509" s="37"/>
      <c r="E509" s="5"/>
    </row>
    <row r="510" spans="2:5" ht="13">
      <c r="B510" s="36"/>
      <c r="C510" s="37"/>
      <c r="E510" s="5"/>
    </row>
    <row r="511" spans="2:5" ht="13">
      <c r="B511" s="36"/>
      <c r="C511" s="37"/>
      <c r="E511" s="5"/>
    </row>
    <row r="512" spans="2:5" ht="13">
      <c r="B512" s="36"/>
      <c r="C512" s="37"/>
      <c r="E512" s="5"/>
    </row>
    <row r="513" spans="2:5" ht="13">
      <c r="B513" s="36"/>
      <c r="C513" s="37"/>
      <c r="E513" s="5"/>
    </row>
    <row r="514" spans="2:5" ht="13">
      <c r="B514" s="36"/>
      <c r="C514" s="37"/>
      <c r="E514" s="5"/>
    </row>
    <row r="515" spans="2:5" ht="13">
      <c r="B515" s="36"/>
      <c r="C515" s="37"/>
      <c r="E515" s="5"/>
    </row>
    <row r="516" spans="2:5" ht="13">
      <c r="B516" s="36"/>
      <c r="C516" s="37"/>
      <c r="E516" s="5"/>
    </row>
    <row r="517" spans="2:5" ht="13">
      <c r="B517" s="36"/>
      <c r="C517" s="37"/>
      <c r="E517" s="5"/>
    </row>
    <row r="518" spans="2:5" ht="13">
      <c r="B518" s="36"/>
      <c r="C518" s="37"/>
      <c r="E518" s="5"/>
    </row>
    <row r="519" spans="2:5" ht="13">
      <c r="B519" s="36"/>
      <c r="C519" s="37"/>
      <c r="E519" s="5"/>
    </row>
    <row r="520" spans="2:5" ht="13">
      <c r="B520" s="36"/>
      <c r="C520" s="37"/>
      <c r="E520" s="5"/>
    </row>
    <row r="521" spans="2:5" ht="13">
      <c r="B521" s="36"/>
      <c r="C521" s="37"/>
      <c r="E521" s="5"/>
    </row>
    <row r="522" spans="2:5" ht="13">
      <c r="B522" s="36"/>
      <c r="C522" s="37"/>
      <c r="E522" s="5"/>
    </row>
    <row r="523" spans="2:5" ht="13">
      <c r="B523" s="36"/>
      <c r="C523" s="37"/>
      <c r="E523" s="5"/>
    </row>
    <row r="524" spans="2:5" ht="13">
      <c r="B524" s="36"/>
      <c r="C524" s="37"/>
      <c r="E524" s="5"/>
    </row>
    <row r="525" spans="2:5" ht="13">
      <c r="B525" s="36"/>
      <c r="C525" s="37"/>
      <c r="E525" s="5"/>
    </row>
    <row r="526" spans="2:5" ht="13">
      <c r="B526" s="36"/>
      <c r="C526" s="37"/>
      <c r="E526" s="5"/>
    </row>
    <row r="527" spans="2:5" ht="13">
      <c r="B527" s="36"/>
      <c r="C527" s="37"/>
      <c r="E527" s="5"/>
    </row>
    <row r="528" spans="2:5" ht="13">
      <c r="B528" s="36"/>
      <c r="C528" s="37"/>
      <c r="E528" s="5"/>
    </row>
    <row r="529" spans="2:5" ht="13">
      <c r="B529" s="36"/>
      <c r="C529" s="37"/>
      <c r="E529" s="5"/>
    </row>
    <row r="530" spans="2:5" ht="13">
      <c r="B530" s="36"/>
      <c r="C530" s="37"/>
      <c r="E530" s="5"/>
    </row>
    <row r="531" spans="2:5" ht="13">
      <c r="B531" s="36"/>
      <c r="C531" s="37"/>
      <c r="E531" s="5"/>
    </row>
    <row r="532" spans="2:5" ht="13">
      <c r="B532" s="36"/>
      <c r="C532" s="37"/>
      <c r="E532" s="5"/>
    </row>
    <row r="533" spans="2:5" ht="13">
      <c r="B533" s="36"/>
      <c r="C533" s="37"/>
      <c r="E533" s="5"/>
    </row>
    <row r="534" spans="2:5" ht="13">
      <c r="B534" s="36"/>
      <c r="C534" s="37"/>
      <c r="E534" s="5"/>
    </row>
    <row r="535" spans="2:5" ht="13">
      <c r="B535" s="36"/>
      <c r="C535" s="37"/>
      <c r="E535" s="5"/>
    </row>
    <row r="536" spans="2:5" ht="13">
      <c r="B536" s="36"/>
      <c r="C536" s="37"/>
      <c r="E536" s="5"/>
    </row>
    <row r="537" spans="2:5" ht="13">
      <c r="B537" s="36"/>
      <c r="C537" s="37"/>
      <c r="E537" s="5"/>
    </row>
    <row r="538" spans="2:5" ht="13">
      <c r="B538" s="36"/>
      <c r="C538" s="37"/>
      <c r="E538" s="5"/>
    </row>
    <row r="539" spans="2:5" ht="13">
      <c r="B539" s="36"/>
      <c r="C539" s="37"/>
      <c r="E539" s="5"/>
    </row>
    <row r="540" spans="2:5" ht="13">
      <c r="B540" s="36"/>
      <c r="C540" s="37"/>
      <c r="E540" s="5"/>
    </row>
    <row r="541" spans="2:5" ht="13">
      <c r="B541" s="36"/>
      <c r="C541" s="37"/>
      <c r="E541" s="5"/>
    </row>
    <row r="542" spans="2:5" ht="13">
      <c r="B542" s="36"/>
      <c r="C542" s="37"/>
      <c r="E542" s="5"/>
    </row>
    <row r="543" spans="2:5" ht="13">
      <c r="B543" s="36"/>
      <c r="C543" s="37"/>
      <c r="E543" s="5"/>
    </row>
    <row r="544" spans="2:5" ht="13">
      <c r="B544" s="36"/>
      <c r="C544" s="37"/>
      <c r="E544" s="5"/>
    </row>
    <row r="545" spans="2:5" ht="13">
      <c r="B545" s="36"/>
      <c r="C545" s="37"/>
      <c r="E545" s="5"/>
    </row>
    <row r="546" spans="2:5" ht="13">
      <c r="B546" s="36"/>
      <c r="C546" s="37"/>
      <c r="E546" s="5"/>
    </row>
    <row r="547" spans="2:5" ht="13">
      <c r="B547" s="36"/>
      <c r="C547" s="37"/>
      <c r="E547" s="5"/>
    </row>
    <row r="548" spans="2:5" ht="13">
      <c r="B548" s="36"/>
      <c r="C548" s="37"/>
      <c r="E548" s="5"/>
    </row>
    <row r="549" spans="2:5" ht="13">
      <c r="B549" s="36"/>
      <c r="C549" s="37"/>
      <c r="E549" s="5"/>
    </row>
    <row r="550" spans="2:5" ht="13">
      <c r="B550" s="36"/>
      <c r="C550" s="37"/>
      <c r="E550" s="5"/>
    </row>
    <row r="551" spans="2:5" ht="13">
      <c r="B551" s="36"/>
      <c r="C551" s="37"/>
      <c r="E551" s="5"/>
    </row>
    <row r="552" spans="2:5" ht="13">
      <c r="B552" s="36"/>
      <c r="C552" s="37"/>
      <c r="E552" s="5"/>
    </row>
    <row r="553" spans="2:5" ht="13">
      <c r="B553" s="36"/>
      <c r="C553" s="37"/>
      <c r="E553" s="5"/>
    </row>
    <row r="554" spans="2:5" ht="13">
      <c r="B554" s="36"/>
      <c r="C554" s="37"/>
      <c r="E554" s="5"/>
    </row>
    <row r="555" spans="2:5" ht="13">
      <c r="B555" s="36"/>
      <c r="C555" s="37"/>
      <c r="E555" s="5"/>
    </row>
    <row r="556" spans="2:5" ht="13">
      <c r="B556" s="36"/>
      <c r="C556" s="37"/>
      <c r="E556" s="5"/>
    </row>
    <row r="557" spans="2:5" ht="13">
      <c r="B557" s="36"/>
      <c r="C557" s="37"/>
      <c r="E557" s="5"/>
    </row>
    <row r="558" spans="2:5" ht="13">
      <c r="B558" s="36"/>
      <c r="C558" s="37"/>
      <c r="E558" s="5"/>
    </row>
    <row r="559" spans="2:5" ht="13">
      <c r="B559" s="36"/>
      <c r="C559" s="37"/>
      <c r="E559" s="5"/>
    </row>
    <row r="560" spans="2:5" ht="13">
      <c r="B560" s="36"/>
      <c r="C560" s="37"/>
      <c r="E560" s="5"/>
    </row>
    <row r="561" spans="2:5" ht="13">
      <c r="B561" s="36"/>
      <c r="C561" s="37"/>
      <c r="E561" s="5"/>
    </row>
    <row r="562" spans="2:5" ht="13">
      <c r="B562" s="36"/>
      <c r="C562" s="37"/>
      <c r="E562" s="5"/>
    </row>
    <row r="563" spans="2:5" ht="13">
      <c r="B563" s="36"/>
      <c r="C563" s="37"/>
      <c r="E563" s="5"/>
    </row>
    <row r="564" spans="2:5" ht="13">
      <c r="B564" s="36"/>
      <c r="C564" s="37"/>
      <c r="E564" s="5"/>
    </row>
    <row r="565" spans="2:5" ht="13">
      <c r="B565" s="36"/>
      <c r="C565" s="37"/>
      <c r="E565" s="5"/>
    </row>
    <row r="566" spans="2:5" ht="13">
      <c r="B566" s="36"/>
      <c r="C566" s="37"/>
      <c r="E566" s="5"/>
    </row>
    <row r="567" spans="2:5" ht="13">
      <c r="B567" s="36"/>
      <c r="C567" s="37"/>
      <c r="E567" s="5"/>
    </row>
    <row r="568" spans="2:5" ht="13">
      <c r="B568" s="36"/>
      <c r="C568" s="37"/>
      <c r="E568" s="5"/>
    </row>
    <row r="569" spans="2:5" ht="13">
      <c r="B569" s="36"/>
      <c r="C569" s="37"/>
      <c r="E569" s="5"/>
    </row>
    <row r="570" spans="2:5" ht="13">
      <c r="B570" s="36"/>
      <c r="C570" s="37"/>
      <c r="E570" s="5"/>
    </row>
    <row r="571" spans="2:5" ht="13">
      <c r="B571" s="36"/>
      <c r="C571" s="37"/>
      <c r="E571" s="5"/>
    </row>
    <row r="572" spans="2:5" ht="13">
      <c r="B572" s="36"/>
      <c r="C572" s="37"/>
      <c r="E572" s="5"/>
    </row>
    <row r="573" spans="2:5" ht="13">
      <c r="B573" s="36"/>
      <c r="C573" s="37"/>
      <c r="E573" s="5"/>
    </row>
    <row r="574" spans="2:5" ht="13">
      <c r="B574" s="36"/>
      <c r="C574" s="37"/>
      <c r="E574" s="5"/>
    </row>
    <row r="575" spans="2:5" ht="13">
      <c r="B575" s="36"/>
      <c r="C575" s="37"/>
      <c r="E575" s="5"/>
    </row>
    <row r="576" spans="2:5" ht="13">
      <c r="B576" s="36"/>
      <c r="C576" s="37"/>
      <c r="E576" s="5"/>
    </row>
    <row r="577" spans="2:5" ht="13">
      <c r="B577" s="36"/>
      <c r="C577" s="37"/>
      <c r="E577" s="5"/>
    </row>
    <row r="578" spans="2:5" ht="13">
      <c r="B578" s="36"/>
      <c r="C578" s="37"/>
      <c r="E578" s="5"/>
    </row>
    <row r="579" spans="2:5" ht="13">
      <c r="B579" s="36"/>
      <c r="C579" s="37"/>
      <c r="E579" s="5"/>
    </row>
    <row r="580" spans="2:5" ht="13">
      <c r="B580" s="36"/>
      <c r="C580" s="37"/>
      <c r="E580" s="5"/>
    </row>
    <row r="581" spans="2:5" ht="13">
      <c r="B581" s="36"/>
      <c r="C581" s="37"/>
      <c r="E581" s="5"/>
    </row>
    <row r="582" spans="2:5" ht="13">
      <c r="B582" s="36"/>
      <c r="C582" s="37"/>
      <c r="E582" s="5"/>
    </row>
    <row r="583" spans="2:5" ht="13">
      <c r="B583" s="36"/>
      <c r="C583" s="37"/>
      <c r="E583" s="5"/>
    </row>
    <row r="584" spans="2:5" ht="13">
      <c r="B584" s="36"/>
      <c r="C584" s="37"/>
      <c r="E584" s="5"/>
    </row>
    <row r="585" spans="2:5" ht="13">
      <c r="B585" s="36"/>
      <c r="C585" s="37"/>
      <c r="E585" s="5"/>
    </row>
    <row r="586" spans="2:5" ht="13">
      <c r="B586" s="36"/>
      <c r="C586" s="37"/>
      <c r="E586" s="5"/>
    </row>
    <row r="587" spans="2:5" ht="13">
      <c r="B587" s="36"/>
      <c r="C587" s="37"/>
      <c r="E587" s="5"/>
    </row>
    <row r="588" spans="2:5" ht="13">
      <c r="B588" s="36"/>
      <c r="C588" s="37"/>
      <c r="E588" s="5"/>
    </row>
    <row r="589" spans="2:5" ht="13">
      <c r="B589" s="36"/>
      <c r="C589" s="37"/>
      <c r="E589" s="5"/>
    </row>
    <row r="590" spans="2:5" ht="13">
      <c r="B590" s="36"/>
      <c r="C590" s="37"/>
      <c r="E590" s="5"/>
    </row>
    <row r="591" spans="2:5" ht="13">
      <c r="B591" s="36"/>
      <c r="C591" s="37"/>
      <c r="E591" s="5"/>
    </row>
    <row r="592" spans="2:5" ht="13">
      <c r="B592" s="36"/>
      <c r="C592" s="37"/>
      <c r="E592" s="5"/>
    </row>
    <row r="593" spans="2:5" ht="13">
      <c r="B593" s="36"/>
      <c r="C593" s="37"/>
      <c r="E593" s="5"/>
    </row>
    <row r="594" spans="2:5" ht="13">
      <c r="B594" s="36"/>
      <c r="C594" s="37"/>
      <c r="E594" s="5"/>
    </row>
    <row r="595" spans="2:5" ht="13">
      <c r="B595" s="36"/>
      <c r="C595" s="37"/>
      <c r="E595" s="5"/>
    </row>
    <row r="596" spans="2:5" ht="13">
      <c r="B596" s="36"/>
      <c r="C596" s="37"/>
      <c r="E596" s="5"/>
    </row>
    <row r="597" spans="2:5" ht="13">
      <c r="B597" s="36"/>
      <c r="C597" s="37"/>
      <c r="E597" s="5"/>
    </row>
    <row r="598" spans="2:5" ht="13">
      <c r="B598" s="36"/>
      <c r="C598" s="37"/>
      <c r="E598" s="5"/>
    </row>
    <row r="599" spans="2:5" ht="13">
      <c r="B599" s="36"/>
      <c r="C599" s="37"/>
      <c r="E599" s="5"/>
    </row>
    <row r="600" spans="2:5" ht="13">
      <c r="B600" s="36"/>
      <c r="C600" s="37"/>
      <c r="E600" s="5"/>
    </row>
    <row r="601" spans="2:5" ht="13">
      <c r="B601" s="36"/>
      <c r="C601" s="37"/>
      <c r="E601" s="5"/>
    </row>
    <row r="602" spans="2:5" ht="13">
      <c r="B602" s="36"/>
      <c r="C602" s="37"/>
      <c r="E602" s="5"/>
    </row>
    <row r="603" spans="2:5" ht="13">
      <c r="B603" s="36"/>
      <c r="C603" s="37"/>
      <c r="E603" s="5"/>
    </row>
    <row r="604" spans="2:5" ht="13">
      <c r="B604" s="36"/>
      <c r="C604" s="37"/>
      <c r="E604" s="5"/>
    </row>
    <row r="605" spans="2:5" ht="13">
      <c r="B605" s="36"/>
      <c r="C605" s="37"/>
      <c r="E605" s="5"/>
    </row>
    <row r="606" spans="2:5" ht="13">
      <c r="B606" s="36"/>
      <c r="C606" s="37"/>
      <c r="E606" s="5"/>
    </row>
    <row r="607" spans="2:5" ht="13">
      <c r="B607" s="36"/>
      <c r="C607" s="37"/>
      <c r="E607" s="5"/>
    </row>
    <row r="608" spans="2:5" ht="13">
      <c r="B608" s="36"/>
      <c r="C608" s="37"/>
      <c r="E608" s="5"/>
    </row>
    <row r="609" spans="2:5" ht="13">
      <c r="B609" s="36"/>
      <c r="C609" s="37"/>
      <c r="E609" s="5"/>
    </row>
    <row r="610" spans="2:5" ht="13">
      <c r="B610" s="36"/>
      <c r="C610" s="37"/>
      <c r="E610" s="5"/>
    </row>
    <row r="611" spans="2:5" ht="13">
      <c r="B611" s="36"/>
      <c r="C611" s="37"/>
      <c r="E611" s="5"/>
    </row>
    <row r="612" spans="2:5" ht="13">
      <c r="B612" s="36"/>
      <c r="C612" s="37"/>
      <c r="E612" s="5"/>
    </row>
    <row r="613" spans="2:5" ht="13">
      <c r="B613" s="36"/>
      <c r="C613" s="37"/>
      <c r="E613" s="5"/>
    </row>
    <row r="614" spans="2:5" ht="13">
      <c r="B614" s="36"/>
      <c r="C614" s="37"/>
      <c r="E614" s="5"/>
    </row>
    <row r="615" spans="2:5" ht="13">
      <c r="B615" s="36"/>
      <c r="C615" s="37"/>
      <c r="E615" s="5"/>
    </row>
    <row r="616" spans="2:5" ht="13">
      <c r="B616" s="36"/>
      <c r="C616" s="37"/>
      <c r="E616" s="5"/>
    </row>
    <row r="617" spans="2:5" ht="13">
      <c r="B617" s="36"/>
      <c r="C617" s="37"/>
      <c r="E617" s="5"/>
    </row>
    <row r="618" spans="2:5" ht="13">
      <c r="B618" s="36"/>
      <c r="C618" s="37"/>
      <c r="E618" s="5"/>
    </row>
    <row r="619" spans="2:5" ht="13">
      <c r="B619" s="36"/>
      <c r="C619" s="37"/>
      <c r="E619" s="5"/>
    </row>
    <row r="620" spans="2:5" ht="13">
      <c r="B620" s="36"/>
      <c r="C620" s="37"/>
      <c r="E620" s="5"/>
    </row>
    <row r="621" spans="2:5" ht="13">
      <c r="B621" s="36"/>
      <c r="C621" s="37"/>
      <c r="E621" s="5"/>
    </row>
    <row r="622" spans="2:5" ht="13">
      <c r="B622" s="36"/>
      <c r="C622" s="37"/>
      <c r="E622" s="5"/>
    </row>
    <row r="623" spans="2:5" ht="13">
      <c r="B623" s="36"/>
      <c r="C623" s="37"/>
      <c r="E623" s="5"/>
    </row>
    <row r="624" spans="2:5" ht="13">
      <c r="B624" s="36"/>
      <c r="C624" s="37"/>
      <c r="E624" s="5"/>
    </row>
    <row r="625" spans="2:5" ht="13">
      <c r="B625" s="36"/>
      <c r="C625" s="37"/>
      <c r="E625" s="5"/>
    </row>
    <row r="626" spans="2:5" ht="13">
      <c r="B626" s="36"/>
      <c r="C626" s="37"/>
      <c r="E626" s="5"/>
    </row>
    <row r="627" spans="2:5" ht="13">
      <c r="B627" s="36"/>
      <c r="C627" s="37"/>
      <c r="E627" s="5"/>
    </row>
    <row r="628" spans="2:5" ht="13">
      <c r="B628" s="36"/>
      <c r="C628" s="37"/>
      <c r="E628" s="5"/>
    </row>
    <row r="629" spans="2:5" ht="13">
      <c r="B629" s="36"/>
      <c r="C629" s="37"/>
      <c r="E629" s="5"/>
    </row>
    <row r="630" spans="2:5" ht="13">
      <c r="B630" s="36"/>
      <c r="C630" s="37"/>
      <c r="E630" s="5"/>
    </row>
    <row r="631" spans="2:5" ht="13">
      <c r="B631" s="36"/>
      <c r="C631" s="37"/>
      <c r="E631" s="5"/>
    </row>
    <row r="632" spans="2:5" ht="13">
      <c r="B632" s="36"/>
      <c r="C632" s="37"/>
      <c r="E632" s="5"/>
    </row>
    <row r="633" spans="2:5" ht="13">
      <c r="B633" s="36"/>
      <c r="C633" s="37"/>
      <c r="E633" s="5"/>
    </row>
    <row r="634" spans="2:5" ht="13">
      <c r="B634" s="36"/>
      <c r="C634" s="37"/>
      <c r="E634" s="5"/>
    </row>
    <row r="635" spans="2:5" ht="13">
      <c r="B635" s="36"/>
      <c r="C635" s="37"/>
      <c r="E635" s="5"/>
    </row>
    <row r="636" spans="2:5" ht="13">
      <c r="B636" s="36"/>
      <c r="C636" s="37"/>
      <c r="E636" s="5"/>
    </row>
    <row r="637" spans="2:5" ht="13">
      <c r="B637" s="36"/>
      <c r="C637" s="37"/>
      <c r="E637" s="5"/>
    </row>
    <row r="638" spans="2:5" ht="13">
      <c r="B638" s="36"/>
      <c r="C638" s="37"/>
      <c r="E638" s="5"/>
    </row>
    <row r="639" spans="2:5" ht="13">
      <c r="B639" s="36"/>
      <c r="C639" s="37"/>
      <c r="E639" s="5"/>
    </row>
    <row r="640" spans="2:5" ht="13">
      <c r="B640" s="36"/>
      <c r="C640" s="37"/>
      <c r="E640" s="5"/>
    </row>
    <row r="641" spans="2:5" ht="13">
      <c r="B641" s="36"/>
      <c r="C641" s="37"/>
      <c r="E641" s="5"/>
    </row>
    <row r="642" spans="2:5" ht="13">
      <c r="B642" s="36"/>
      <c r="C642" s="37"/>
      <c r="E642" s="5"/>
    </row>
    <row r="643" spans="2:5" ht="13">
      <c r="B643" s="36"/>
      <c r="C643" s="37"/>
      <c r="E643" s="5"/>
    </row>
    <row r="644" spans="2:5" ht="13">
      <c r="B644" s="36"/>
      <c r="C644" s="37"/>
      <c r="E644" s="5"/>
    </row>
    <row r="645" spans="2:5" ht="13">
      <c r="B645" s="36"/>
      <c r="C645" s="37"/>
      <c r="E645" s="5"/>
    </row>
    <row r="646" spans="2:5" ht="13">
      <c r="B646" s="36"/>
      <c r="C646" s="37"/>
      <c r="E646" s="5"/>
    </row>
    <row r="647" spans="2:5" ht="13">
      <c r="B647" s="36"/>
      <c r="C647" s="37"/>
      <c r="E647" s="5"/>
    </row>
    <row r="648" spans="2:5" ht="13">
      <c r="B648" s="36"/>
      <c r="C648" s="37"/>
      <c r="E648" s="5"/>
    </row>
    <row r="649" spans="2:5" ht="13">
      <c r="B649" s="36"/>
      <c r="C649" s="37"/>
      <c r="E649" s="5"/>
    </row>
    <row r="650" spans="2:5" ht="13">
      <c r="B650" s="36"/>
      <c r="C650" s="37"/>
      <c r="E650" s="5"/>
    </row>
    <row r="651" spans="2:5" ht="13">
      <c r="B651" s="36"/>
      <c r="C651" s="37"/>
      <c r="E651" s="5"/>
    </row>
    <row r="652" spans="2:5" ht="13">
      <c r="B652" s="36"/>
      <c r="C652" s="37"/>
      <c r="E652" s="5"/>
    </row>
    <row r="653" spans="2:5" ht="13">
      <c r="B653" s="36"/>
      <c r="C653" s="37"/>
      <c r="E653" s="5"/>
    </row>
    <row r="654" spans="2:5" ht="13">
      <c r="B654" s="36"/>
      <c r="C654" s="37"/>
      <c r="E654" s="5"/>
    </row>
    <row r="655" spans="2:5" ht="13">
      <c r="B655" s="36"/>
      <c r="C655" s="37"/>
      <c r="E655" s="5"/>
    </row>
    <row r="656" spans="2:5" ht="13">
      <c r="B656" s="36"/>
      <c r="C656" s="37"/>
      <c r="E656" s="5"/>
    </row>
    <row r="657" spans="2:5" ht="13">
      <c r="B657" s="36"/>
      <c r="C657" s="37"/>
      <c r="E657" s="5"/>
    </row>
    <row r="658" spans="2:5" ht="13">
      <c r="B658" s="36"/>
      <c r="C658" s="37"/>
      <c r="E658" s="5"/>
    </row>
    <row r="659" spans="2:5" ht="13">
      <c r="B659" s="36"/>
      <c r="C659" s="37"/>
      <c r="E659" s="5"/>
    </row>
    <row r="660" spans="2:5" ht="13">
      <c r="B660" s="36"/>
      <c r="C660" s="37"/>
      <c r="E660" s="5"/>
    </row>
    <row r="661" spans="2:5" ht="13">
      <c r="B661" s="36"/>
      <c r="C661" s="37"/>
      <c r="E661" s="5"/>
    </row>
    <row r="662" spans="2:5" ht="13">
      <c r="B662" s="36"/>
      <c r="C662" s="37"/>
      <c r="E662" s="5"/>
    </row>
    <row r="663" spans="2:5" ht="13">
      <c r="B663" s="36"/>
      <c r="C663" s="37"/>
      <c r="E663" s="5"/>
    </row>
    <row r="664" spans="2:5" ht="13">
      <c r="B664" s="36"/>
      <c r="C664" s="37"/>
      <c r="E664" s="5"/>
    </row>
    <row r="665" spans="2:5" ht="13">
      <c r="B665" s="36"/>
      <c r="C665" s="37"/>
      <c r="E665" s="5"/>
    </row>
    <row r="666" spans="2:5" ht="13">
      <c r="B666" s="36"/>
      <c r="C666" s="37"/>
      <c r="E666" s="5"/>
    </row>
    <row r="667" spans="2:5" ht="13">
      <c r="B667" s="36"/>
      <c r="C667" s="37"/>
      <c r="E667" s="5"/>
    </row>
    <row r="668" spans="2:5" ht="13">
      <c r="B668" s="36"/>
      <c r="C668" s="37"/>
      <c r="E668" s="5"/>
    </row>
    <row r="669" spans="2:5" ht="13">
      <c r="B669" s="36"/>
      <c r="C669" s="37"/>
      <c r="E669" s="5"/>
    </row>
    <row r="670" spans="2:5" ht="13">
      <c r="B670" s="36"/>
      <c r="C670" s="37"/>
      <c r="E670" s="5"/>
    </row>
    <row r="671" spans="2:5" ht="13">
      <c r="B671" s="36"/>
      <c r="C671" s="37"/>
      <c r="E671" s="5"/>
    </row>
    <row r="672" spans="2:5" ht="13">
      <c r="B672" s="36"/>
      <c r="C672" s="37"/>
      <c r="E672" s="5"/>
    </row>
    <row r="673" spans="2:5" ht="13">
      <c r="B673" s="36"/>
      <c r="C673" s="37"/>
      <c r="E673" s="5"/>
    </row>
    <row r="674" spans="2:5" ht="13">
      <c r="B674" s="36"/>
      <c r="C674" s="37"/>
      <c r="E674" s="5"/>
    </row>
    <row r="675" spans="2:5" ht="13">
      <c r="B675" s="36"/>
      <c r="C675" s="37"/>
      <c r="E675" s="5"/>
    </row>
    <row r="676" spans="2:5" ht="13">
      <c r="B676" s="36"/>
      <c r="C676" s="37"/>
      <c r="E676" s="5"/>
    </row>
    <row r="677" spans="2:5" ht="13">
      <c r="B677" s="36"/>
      <c r="C677" s="37"/>
      <c r="E677" s="5"/>
    </row>
    <row r="678" spans="2:5" ht="13">
      <c r="B678" s="36"/>
      <c r="C678" s="37"/>
      <c r="E678" s="5"/>
    </row>
    <row r="679" spans="2:5" ht="13">
      <c r="B679" s="36"/>
      <c r="C679" s="37"/>
      <c r="E679" s="5"/>
    </row>
    <row r="680" spans="2:5" ht="13">
      <c r="B680" s="36"/>
      <c r="C680" s="37"/>
      <c r="E680" s="5"/>
    </row>
    <row r="681" spans="2:5" ht="13">
      <c r="B681" s="36"/>
      <c r="C681" s="37"/>
      <c r="E681" s="5"/>
    </row>
    <row r="682" spans="2:5" ht="13">
      <c r="B682" s="36"/>
      <c r="C682" s="37"/>
      <c r="E682" s="5"/>
    </row>
    <row r="683" spans="2:5" ht="13">
      <c r="B683" s="36"/>
      <c r="C683" s="37"/>
      <c r="E683" s="5"/>
    </row>
    <row r="684" spans="2:5" ht="13">
      <c r="B684" s="36"/>
      <c r="C684" s="37"/>
      <c r="E684" s="5"/>
    </row>
    <row r="685" spans="2:5" ht="13">
      <c r="B685" s="36"/>
      <c r="C685" s="37"/>
      <c r="E685" s="5"/>
    </row>
    <row r="686" spans="2:5" ht="13">
      <c r="B686" s="36"/>
      <c r="C686" s="37"/>
      <c r="E686" s="5"/>
    </row>
    <row r="687" spans="2:5" ht="13">
      <c r="B687" s="36"/>
      <c r="C687" s="37"/>
      <c r="E687" s="5"/>
    </row>
    <row r="688" spans="2:5" ht="13">
      <c r="B688" s="36"/>
      <c r="C688" s="37"/>
      <c r="E688" s="5"/>
    </row>
    <row r="689" spans="2:5" ht="13">
      <c r="B689" s="36"/>
      <c r="C689" s="37"/>
      <c r="E689" s="5"/>
    </row>
    <row r="690" spans="2:5" ht="13">
      <c r="B690" s="36"/>
      <c r="C690" s="37"/>
      <c r="E690" s="5"/>
    </row>
    <row r="691" spans="2:5" ht="13">
      <c r="B691" s="36"/>
      <c r="C691" s="37"/>
      <c r="E691" s="5"/>
    </row>
    <row r="692" spans="2:5" ht="13">
      <c r="B692" s="36"/>
      <c r="C692" s="37"/>
      <c r="E692" s="5"/>
    </row>
    <row r="693" spans="2:5" ht="13">
      <c r="B693" s="36"/>
      <c r="C693" s="37"/>
      <c r="E693" s="5"/>
    </row>
    <row r="694" spans="2:5" ht="13">
      <c r="B694" s="36"/>
      <c r="C694" s="37"/>
      <c r="E694" s="5"/>
    </row>
    <row r="695" spans="2:5" ht="13">
      <c r="B695" s="36"/>
      <c r="C695" s="37"/>
      <c r="E695" s="5"/>
    </row>
    <row r="696" spans="2:5" ht="13">
      <c r="B696" s="36"/>
      <c r="C696" s="37"/>
      <c r="E696" s="5"/>
    </row>
    <row r="697" spans="2:5" ht="13">
      <c r="B697" s="36"/>
      <c r="C697" s="37"/>
      <c r="E697" s="5"/>
    </row>
    <row r="698" spans="2:5" ht="13">
      <c r="B698" s="36"/>
      <c r="C698" s="37"/>
      <c r="E698" s="5"/>
    </row>
    <row r="699" spans="2:5" ht="13">
      <c r="B699" s="36"/>
      <c r="C699" s="37"/>
      <c r="E699" s="5"/>
    </row>
    <row r="700" spans="2:5" ht="13">
      <c r="B700" s="36"/>
      <c r="C700" s="37"/>
      <c r="E700" s="5"/>
    </row>
    <row r="701" spans="2:5" ht="13">
      <c r="B701" s="36"/>
      <c r="C701" s="37"/>
      <c r="E701" s="5"/>
    </row>
    <row r="702" spans="2:5" ht="13">
      <c r="B702" s="36"/>
      <c r="C702" s="37"/>
      <c r="E702" s="5"/>
    </row>
    <row r="703" spans="2:5" ht="13">
      <c r="B703" s="36"/>
      <c r="C703" s="37"/>
      <c r="E703" s="5"/>
    </row>
    <row r="704" spans="2:5" ht="13">
      <c r="B704" s="36"/>
      <c r="C704" s="37"/>
      <c r="E704" s="5"/>
    </row>
    <row r="705" spans="2:5" ht="13">
      <c r="B705" s="36"/>
      <c r="C705" s="37"/>
      <c r="E705" s="5"/>
    </row>
    <row r="706" spans="2:5" ht="13">
      <c r="B706" s="36"/>
      <c r="C706" s="37"/>
      <c r="E706" s="5"/>
    </row>
    <row r="707" spans="2:5" ht="13">
      <c r="B707" s="36"/>
      <c r="C707" s="37"/>
      <c r="E707" s="5"/>
    </row>
    <row r="708" spans="2:5" ht="13">
      <c r="B708" s="36"/>
      <c r="C708" s="37"/>
      <c r="E708" s="5"/>
    </row>
    <row r="709" spans="2:5" ht="13">
      <c r="B709" s="36"/>
      <c r="C709" s="37"/>
      <c r="E709" s="5"/>
    </row>
    <row r="710" spans="2:5" ht="13">
      <c r="B710" s="36"/>
      <c r="C710" s="37"/>
      <c r="E710" s="5"/>
    </row>
    <row r="711" spans="2:5" ht="13">
      <c r="B711" s="36"/>
      <c r="C711" s="37"/>
      <c r="E711" s="5"/>
    </row>
    <row r="712" spans="2:5" ht="13">
      <c r="B712" s="36"/>
      <c r="C712" s="37"/>
      <c r="E712" s="5"/>
    </row>
    <row r="713" spans="2:5" ht="13">
      <c r="B713" s="36"/>
      <c r="C713" s="37"/>
      <c r="E713" s="5"/>
    </row>
    <row r="714" spans="2:5" ht="13">
      <c r="B714" s="36"/>
      <c r="C714" s="37"/>
      <c r="E714" s="5"/>
    </row>
    <row r="715" spans="2:5" ht="13">
      <c r="B715" s="36"/>
      <c r="C715" s="37"/>
      <c r="E715" s="5"/>
    </row>
    <row r="716" spans="2:5" ht="13">
      <c r="B716" s="36"/>
      <c r="C716" s="37"/>
      <c r="E716" s="5"/>
    </row>
    <row r="717" spans="2:5" ht="13">
      <c r="B717" s="36"/>
      <c r="C717" s="37"/>
      <c r="E717" s="5"/>
    </row>
    <row r="718" spans="2:5" ht="13">
      <c r="B718" s="36"/>
      <c r="C718" s="37"/>
      <c r="E718" s="5"/>
    </row>
    <row r="719" spans="2:5" ht="13">
      <c r="B719" s="36"/>
      <c r="C719" s="37"/>
      <c r="E719" s="5"/>
    </row>
    <row r="720" spans="2:5" ht="13">
      <c r="B720" s="36"/>
      <c r="C720" s="37"/>
      <c r="E720" s="5"/>
    </row>
    <row r="721" spans="2:5" ht="13">
      <c r="B721" s="36"/>
      <c r="C721" s="37"/>
      <c r="E721" s="5"/>
    </row>
    <row r="722" spans="2:5" ht="13">
      <c r="B722" s="36"/>
      <c r="C722" s="37"/>
      <c r="E722" s="5"/>
    </row>
    <row r="723" spans="2:5" ht="13">
      <c r="B723" s="36"/>
      <c r="C723" s="37"/>
      <c r="E723" s="5"/>
    </row>
    <row r="724" spans="2:5" ht="13">
      <c r="B724" s="36"/>
      <c r="C724" s="37"/>
      <c r="E724" s="5"/>
    </row>
    <row r="725" spans="2:5" ht="13">
      <c r="B725" s="36"/>
      <c r="C725" s="37"/>
      <c r="E725" s="5"/>
    </row>
    <row r="726" spans="2:5" ht="13">
      <c r="B726" s="36"/>
      <c r="C726" s="37"/>
      <c r="E726" s="5"/>
    </row>
    <row r="727" spans="2:5" ht="13">
      <c r="B727" s="36"/>
      <c r="C727" s="37"/>
      <c r="E727" s="5"/>
    </row>
    <row r="728" spans="2:5" ht="13">
      <c r="B728" s="36"/>
      <c r="C728" s="37"/>
      <c r="E728" s="5"/>
    </row>
    <row r="729" spans="2:5" ht="13">
      <c r="B729" s="36"/>
      <c r="C729" s="37"/>
      <c r="E729" s="5"/>
    </row>
    <row r="730" spans="2:5" ht="13">
      <c r="B730" s="36"/>
      <c r="C730" s="37"/>
      <c r="E730" s="5"/>
    </row>
    <row r="731" spans="2:5" ht="13">
      <c r="B731" s="36"/>
      <c r="C731" s="37"/>
      <c r="E731" s="5"/>
    </row>
    <row r="732" spans="2:5" ht="13">
      <c r="B732" s="36"/>
      <c r="C732" s="37"/>
      <c r="E732" s="5"/>
    </row>
    <row r="733" spans="2:5" ht="13">
      <c r="B733" s="36"/>
      <c r="C733" s="37"/>
      <c r="E733" s="5"/>
    </row>
    <row r="734" spans="2:5" ht="13">
      <c r="B734" s="36"/>
      <c r="C734" s="37"/>
      <c r="E734" s="5"/>
    </row>
    <row r="735" spans="2:5" ht="13">
      <c r="B735" s="36"/>
      <c r="C735" s="37"/>
      <c r="E735" s="5"/>
    </row>
    <row r="736" spans="2:5" ht="13">
      <c r="B736" s="36"/>
      <c r="C736" s="37"/>
      <c r="E736" s="5"/>
    </row>
    <row r="737" spans="2:5" ht="13">
      <c r="B737" s="36"/>
      <c r="C737" s="37"/>
      <c r="E737" s="5"/>
    </row>
    <row r="738" spans="2:5" ht="13">
      <c r="B738" s="36"/>
      <c r="C738" s="37"/>
      <c r="E738" s="5"/>
    </row>
    <row r="739" spans="2:5" ht="13">
      <c r="B739" s="36"/>
      <c r="C739" s="37"/>
      <c r="E739" s="5"/>
    </row>
    <row r="740" spans="2:5" ht="13">
      <c r="B740" s="36"/>
      <c r="C740" s="37"/>
      <c r="E740" s="5"/>
    </row>
    <row r="741" spans="2:5" ht="13">
      <c r="B741" s="36"/>
      <c r="C741" s="37"/>
      <c r="E741" s="5"/>
    </row>
    <row r="742" spans="2:5" ht="13">
      <c r="B742" s="36"/>
      <c r="C742" s="37"/>
      <c r="E742" s="5"/>
    </row>
    <row r="743" spans="2:5" ht="13">
      <c r="B743" s="36"/>
      <c r="C743" s="37"/>
      <c r="E743" s="5"/>
    </row>
    <row r="744" spans="2:5" ht="13">
      <c r="B744" s="36"/>
      <c r="C744" s="37"/>
      <c r="E744" s="5"/>
    </row>
    <row r="745" spans="2:5" ht="13">
      <c r="B745" s="36"/>
      <c r="C745" s="37"/>
      <c r="E745" s="5"/>
    </row>
    <row r="746" spans="2:5" ht="13">
      <c r="B746" s="36"/>
      <c r="C746" s="37"/>
      <c r="E746" s="5"/>
    </row>
    <row r="747" spans="2:5" ht="13">
      <c r="B747" s="36"/>
      <c r="C747" s="37"/>
      <c r="E747" s="5"/>
    </row>
    <row r="748" spans="2:5" ht="13">
      <c r="B748" s="36"/>
      <c r="C748" s="37"/>
      <c r="E748" s="5"/>
    </row>
    <row r="749" spans="2:5" ht="13">
      <c r="B749" s="36"/>
      <c r="C749" s="37"/>
      <c r="E749" s="5"/>
    </row>
    <row r="750" spans="2:5" ht="13">
      <c r="B750" s="36"/>
      <c r="C750" s="37"/>
      <c r="E750" s="5"/>
    </row>
    <row r="751" spans="2:5" ht="13">
      <c r="B751" s="36"/>
      <c r="C751" s="37"/>
      <c r="E751" s="5"/>
    </row>
    <row r="752" spans="2:5" ht="13">
      <c r="B752" s="36"/>
      <c r="C752" s="37"/>
      <c r="E752" s="5"/>
    </row>
    <row r="753" spans="2:5" ht="13">
      <c r="B753" s="36"/>
      <c r="C753" s="37"/>
      <c r="E753" s="5"/>
    </row>
    <row r="754" spans="2:5" ht="13">
      <c r="B754" s="36"/>
      <c r="C754" s="37"/>
      <c r="E754" s="5"/>
    </row>
    <row r="755" spans="2:5" ht="13">
      <c r="B755" s="36"/>
      <c r="C755" s="37"/>
      <c r="E755" s="5"/>
    </row>
    <row r="756" spans="2:5" ht="13">
      <c r="B756" s="36"/>
      <c r="C756" s="37"/>
      <c r="E756" s="5"/>
    </row>
    <row r="757" spans="2:5" ht="13">
      <c r="B757" s="36"/>
      <c r="C757" s="37"/>
      <c r="E757" s="5"/>
    </row>
    <row r="758" spans="2:5" ht="13">
      <c r="B758" s="36"/>
      <c r="C758" s="37"/>
      <c r="E758" s="5"/>
    </row>
    <row r="759" spans="2:5" ht="13">
      <c r="B759" s="36"/>
      <c r="C759" s="37"/>
      <c r="E759" s="5"/>
    </row>
    <row r="760" spans="2:5" ht="13">
      <c r="B760" s="36"/>
      <c r="C760" s="37"/>
      <c r="E760" s="5"/>
    </row>
    <row r="761" spans="2:5" ht="13">
      <c r="B761" s="36"/>
      <c r="C761" s="37"/>
      <c r="E761" s="5"/>
    </row>
    <row r="762" spans="2:5" ht="13">
      <c r="B762" s="36"/>
      <c r="C762" s="37"/>
      <c r="E762" s="5"/>
    </row>
    <row r="763" spans="2:5" ht="13">
      <c r="B763" s="36"/>
      <c r="C763" s="37"/>
      <c r="E763" s="5"/>
    </row>
    <row r="764" spans="2:5" ht="13">
      <c r="B764" s="36"/>
      <c r="C764" s="37"/>
      <c r="E764" s="5"/>
    </row>
    <row r="765" spans="2:5" ht="13">
      <c r="B765" s="36"/>
      <c r="C765" s="37"/>
      <c r="E765" s="5"/>
    </row>
    <row r="766" spans="2:5" ht="13">
      <c r="B766" s="36"/>
      <c r="C766" s="37"/>
      <c r="E766" s="5"/>
    </row>
    <row r="767" spans="2:5" ht="13">
      <c r="B767" s="36"/>
      <c r="C767" s="37"/>
      <c r="E767" s="5"/>
    </row>
    <row r="768" spans="2:5" ht="13">
      <c r="B768" s="36"/>
      <c r="C768" s="37"/>
      <c r="E768" s="5"/>
    </row>
    <row r="769" spans="2:5" ht="13">
      <c r="B769" s="36"/>
      <c r="C769" s="37"/>
      <c r="E769" s="5"/>
    </row>
    <row r="770" spans="2:5" ht="13">
      <c r="B770" s="36"/>
      <c r="C770" s="37"/>
      <c r="E770" s="5"/>
    </row>
    <row r="771" spans="2:5" ht="13">
      <c r="B771" s="36"/>
      <c r="C771" s="37"/>
      <c r="E771" s="5"/>
    </row>
    <row r="772" spans="2:5" ht="13">
      <c r="B772" s="36"/>
      <c r="C772" s="37"/>
      <c r="E772" s="5"/>
    </row>
    <row r="773" spans="2:5" ht="13">
      <c r="B773" s="36"/>
      <c r="C773" s="37"/>
      <c r="E773" s="5"/>
    </row>
    <row r="774" spans="2:5" ht="13">
      <c r="B774" s="36"/>
      <c r="C774" s="37"/>
      <c r="E774" s="5"/>
    </row>
    <row r="775" spans="2:5" ht="13">
      <c r="B775" s="36"/>
      <c r="C775" s="37"/>
      <c r="E775" s="5"/>
    </row>
    <row r="776" spans="2:5" ht="13">
      <c r="B776" s="36"/>
      <c r="C776" s="37"/>
      <c r="E776" s="5"/>
    </row>
    <row r="777" spans="2:5" ht="13">
      <c r="B777" s="36"/>
      <c r="C777" s="37"/>
      <c r="E777" s="5"/>
    </row>
    <row r="778" spans="2:5" ht="13">
      <c r="B778" s="36"/>
      <c r="C778" s="37"/>
      <c r="E778" s="5"/>
    </row>
    <row r="779" spans="2:5" ht="13">
      <c r="B779" s="36"/>
      <c r="C779" s="37"/>
      <c r="E779" s="5"/>
    </row>
    <row r="780" spans="2:5" ht="13">
      <c r="B780" s="36"/>
      <c r="C780" s="37"/>
      <c r="E780" s="5"/>
    </row>
    <row r="781" spans="2:5" ht="13">
      <c r="B781" s="36"/>
      <c r="C781" s="37"/>
      <c r="E781" s="5"/>
    </row>
    <row r="782" spans="2:5" ht="13">
      <c r="B782" s="36"/>
      <c r="C782" s="37"/>
      <c r="E782" s="5"/>
    </row>
    <row r="783" spans="2:5" ht="13">
      <c r="B783" s="36"/>
      <c r="C783" s="37"/>
      <c r="E783" s="5"/>
    </row>
    <row r="784" spans="2:5" ht="13">
      <c r="B784" s="36"/>
      <c r="C784" s="37"/>
      <c r="E784" s="5"/>
    </row>
    <row r="785" spans="2:5" ht="13">
      <c r="B785" s="36"/>
      <c r="C785" s="37"/>
      <c r="E785" s="5"/>
    </row>
    <row r="786" spans="2:5" ht="13">
      <c r="B786" s="36"/>
      <c r="C786" s="37"/>
      <c r="E786" s="5"/>
    </row>
    <row r="787" spans="2:5" ht="13">
      <c r="B787" s="36"/>
      <c r="C787" s="37"/>
      <c r="E787" s="5"/>
    </row>
    <row r="788" spans="2:5" ht="13">
      <c r="B788" s="36"/>
      <c r="C788" s="37"/>
      <c r="E788" s="5"/>
    </row>
    <row r="789" spans="2:5" ht="13">
      <c r="B789" s="36"/>
      <c r="C789" s="37"/>
      <c r="E789" s="5"/>
    </row>
    <row r="790" spans="2:5" ht="13">
      <c r="B790" s="36"/>
      <c r="C790" s="37"/>
      <c r="E790" s="5"/>
    </row>
    <row r="791" spans="2:5" ht="13">
      <c r="B791" s="36"/>
      <c r="C791" s="37"/>
      <c r="E791" s="5"/>
    </row>
    <row r="792" spans="2:5" ht="13">
      <c r="B792" s="36"/>
      <c r="C792" s="37"/>
      <c r="E792" s="5"/>
    </row>
    <row r="793" spans="2:5" ht="13">
      <c r="B793" s="36"/>
      <c r="C793" s="37"/>
      <c r="E793" s="5"/>
    </row>
    <row r="794" spans="2:5" ht="13">
      <c r="B794" s="36"/>
      <c r="C794" s="37"/>
      <c r="E794" s="5"/>
    </row>
    <row r="795" spans="2:5" ht="13">
      <c r="B795" s="36"/>
      <c r="C795" s="37"/>
      <c r="E795" s="5"/>
    </row>
    <row r="796" spans="2:5" ht="13">
      <c r="B796" s="36"/>
      <c r="C796" s="37"/>
      <c r="E796" s="5"/>
    </row>
    <row r="797" spans="2:5" ht="13">
      <c r="B797" s="36"/>
      <c r="C797" s="37"/>
      <c r="E797" s="5"/>
    </row>
    <row r="798" spans="2:5" ht="13">
      <c r="B798" s="36"/>
      <c r="C798" s="37"/>
      <c r="E798" s="5"/>
    </row>
    <row r="799" spans="2:5" ht="13">
      <c r="B799" s="36"/>
      <c r="C799" s="37"/>
      <c r="E799" s="5"/>
    </row>
    <row r="800" spans="2:5" ht="13">
      <c r="B800" s="36"/>
      <c r="C800" s="37"/>
      <c r="E800" s="5"/>
    </row>
    <row r="801" spans="2:5" ht="13">
      <c r="B801" s="36"/>
      <c r="C801" s="37"/>
      <c r="E801" s="5"/>
    </row>
    <row r="802" spans="2:5" ht="13">
      <c r="B802" s="36"/>
      <c r="C802" s="37"/>
      <c r="E802" s="5"/>
    </row>
    <row r="803" spans="2:5" ht="13">
      <c r="B803" s="36"/>
      <c r="C803" s="37"/>
      <c r="E803" s="5"/>
    </row>
    <row r="804" spans="2:5" ht="13">
      <c r="B804" s="36"/>
      <c r="C804" s="37"/>
      <c r="E804" s="5"/>
    </row>
    <row r="805" spans="2:5" ht="13">
      <c r="B805" s="36"/>
      <c r="C805" s="37"/>
      <c r="E805" s="5"/>
    </row>
    <row r="806" spans="2:5" ht="13">
      <c r="B806" s="36"/>
      <c r="C806" s="37"/>
      <c r="E806" s="5"/>
    </row>
    <row r="807" spans="2:5" ht="13">
      <c r="B807" s="36"/>
      <c r="C807" s="37"/>
      <c r="E807" s="5"/>
    </row>
    <row r="808" spans="2:5" ht="13">
      <c r="B808" s="36"/>
      <c r="C808" s="37"/>
      <c r="E808" s="5"/>
    </row>
    <row r="809" spans="2:5" ht="13">
      <c r="B809" s="36"/>
      <c r="C809" s="37"/>
      <c r="E809" s="5"/>
    </row>
    <row r="810" spans="2:5" ht="13">
      <c r="B810" s="36"/>
      <c r="C810" s="37"/>
      <c r="E810" s="5"/>
    </row>
    <row r="811" spans="2:5" ht="13">
      <c r="B811" s="36"/>
      <c r="C811" s="37"/>
      <c r="E811" s="5"/>
    </row>
    <row r="812" spans="2:5" ht="13">
      <c r="B812" s="36"/>
      <c r="C812" s="37"/>
      <c r="E812" s="5"/>
    </row>
    <row r="813" spans="2:5" ht="13">
      <c r="B813" s="36"/>
      <c r="C813" s="37"/>
      <c r="E813" s="5"/>
    </row>
    <row r="814" spans="2:5" ht="13">
      <c r="B814" s="36"/>
      <c r="C814" s="37"/>
      <c r="E814" s="5"/>
    </row>
    <row r="815" spans="2:5" ht="13">
      <c r="B815" s="36"/>
      <c r="C815" s="37"/>
      <c r="E815" s="5"/>
    </row>
    <row r="816" spans="2:5" ht="13">
      <c r="B816" s="36"/>
      <c r="C816" s="37"/>
      <c r="E816" s="5"/>
    </row>
    <row r="817" spans="2:5" ht="13">
      <c r="B817" s="36"/>
      <c r="C817" s="37"/>
      <c r="E817" s="5"/>
    </row>
    <row r="818" spans="2:5" ht="13">
      <c r="B818" s="36"/>
      <c r="C818" s="37"/>
      <c r="E818" s="5"/>
    </row>
    <row r="819" spans="2:5" ht="13">
      <c r="B819" s="36"/>
      <c r="C819" s="37"/>
      <c r="E819" s="5"/>
    </row>
    <row r="820" spans="2:5" ht="13">
      <c r="B820" s="36"/>
      <c r="C820" s="37"/>
      <c r="E820" s="5"/>
    </row>
    <row r="821" spans="2:5" ht="13">
      <c r="B821" s="36"/>
      <c r="C821" s="37"/>
      <c r="E821" s="5"/>
    </row>
    <row r="822" spans="2:5" ht="13">
      <c r="B822" s="36"/>
      <c r="C822" s="37"/>
      <c r="E822" s="5"/>
    </row>
    <row r="823" spans="2:5" ht="13">
      <c r="B823" s="36"/>
      <c r="C823" s="37"/>
      <c r="E823" s="5"/>
    </row>
    <row r="824" spans="2:5" ht="13">
      <c r="B824" s="36"/>
      <c r="C824" s="37"/>
      <c r="E824" s="5"/>
    </row>
    <row r="825" spans="2:5" ht="13">
      <c r="B825" s="36"/>
      <c r="C825" s="37"/>
      <c r="E825" s="5"/>
    </row>
    <row r="826" spans="2:5" ht="13">
      <c r="B826" s="36"/>
      <c r="C826" s="37"/>
      <c r="E826" s="5"/>
    </row>
    <row r="827" spans="2:5" ht="13">
      <c r="B827" s="36"/>
      <c r="C827" s="37"/>
      <c r="E827" s="5"/>
    </row>
    <row r="828" spans="2:5" ht="13">
      <c r="B828" s="36"/>
      <c r="C828" s="37"/>
      <c r="E828" s="5"/>
    </row>
    <row r="829" spans="2:5" ht="13">
      <c r="B829" s="36"/>
      <c r="C829" s="37"/>
      <c r="E829" s="5"/>
    </row>
    <row r="830" spans="2:5" ht="13">
      <c r="B830" s="36"/>
      <c r="C830" s="37"/>
      <c r="E830" s="5"/>
    </row>
    <row r="831" spans="2:5" ht="13">
      <c r="B831" s="36"/>
      <c r="C831" s="37"/>
      <c r="E831" s="5"/>
    </row>
    <row r="832" spans="2:5" ht="13">
      <c r="B832" s="36"/>
      <c r="C832" s="37"/>
      <c r="E832" s="5"/>
    </row>
    <row r="833" spans="2:5" ht="13">
      <c r="B833" s="36"/>
      <c r="C833" s="37"/>
      <c r="E833" s="5"/>
    </row>
    <row r="834" spans="2:5" ht="13">
      <c r="B834" s="36"/>
      <c r="C834" s="37"/>
      <c r="E834" s="5"/>
    </row>
    <row r="835" spans="2:5" ht="13">
      <c r="B835" s="36"/>
      <c r="C835" s="37"/>
      <c r="E835" s="5"/>
    </row>
    <row r="836" spans="2:5" ht="13">
      <c r="B836" s="36"/>
      <c r="C836" s="37"/>
      <c r="E836" s="5"/>
    </row>
    <row r="837" spans="2:5" ht="13">
      <c r="B837" s="36"/>
      <c r="C837" s="37"/>
      <c r="E837" s="5"/>
    </row>
    <row r="838" spans="2:5" ht="13">
      <c r="B838" s="36"/>
      <c r="C838" s="37"/>
      <c r="E838" s="5"/>
    </row>
    <row r="839" spans="2:5" ht="13">
      <c r="B839" s="36"/>
      <c r="C839" s="37"/>
      <c r="E839" s="5"/>
    </row>
    <row r="840" spans="2:5" ht="13">
      <c r="B840" s="36"/>
      <c r="C840" s="37"/>
      <c r="E840" s="5"/>
    </row>
    <row r="841" spans="2:5" ht="13">
      <c r="B841" s="36"/>
      <c r="C841" s="37"/>
      <c r="E841" s="5"/>
    </row>
    <row r="842" spans="2:5" ht="13">
      <c r="B842" s="36"/>
      <c r="C842" s="37"/>
      <c r="E842" s="5"/>
    </row>
    <row r="843" spans="2:5" ht="13">
      <c r="B843" s="36"/>
      <c r="C843" s="37"/>
      <c r="E843" s="5"/>
    </row>
    <row r="844" spans="2:5" ht="13">
      <c r="B844" s="36"/>
      <c r="C844" s="37"/>
      <c r="E844" s="5"/>
    </row>
    <row r="845" spans="2:5" ht="13">
      <c r="B845" s="36"/>
      <c r="C845" s="37"/>
      <c r="E845" s="5"/>
    </row>
    <row r="846" spans="2:5" ht="13">
      <c r="B846" s="36"/>
      <c r="C846" s="37"/>
      <c r="E846" s="5"/>
    </row>
    <row r="847" spans="2:5" ht="13">
      <c r="B847" s="36"/>
      <c r="C847" s="37"/>
      <c r="E847" s="5"/>
    </row>
    <row r="848" spans="2:5" ht="13">
      <c r="B848" s="36"/>
      <c r="C848" s="37"/>
      <c r="E848" s="5"/>
    </row>
    <row r="849" spans="2:5" ht="13">
      <c r="B849" s="36"/>
      <c r="C849" s="37"/>
      <c r="E849" s="5"/>
    </row>
    <row r="850" spans="2:5" ht="13">
      <c r="B850" s="36"/>
      <c r="C850" s="37"/>
      <c r="E850" s="5"/>
    </row>
    <row r="851" spans="2:5" ht="13">
      <c r="B851" s="36"/>
      <c r="C851" s="37"/>
      <c r="E851" s="5"/>
    </row>
    <row r="852" spans="2:5" ht="13">
      <c r="B852" s="36"/>
      <c r="C852" s="37"/>
      <c r="E852" s="5"/>
    </row>
    <row r="853" spans="2:5" ht="13">
      <c r="B853" s="36"/>
      <c r="C853" s="37"/>
      <c r="E853" s="5"/>
    </row>
    <row r="854" spans="2:5" ht="13">
      <c r="B854" s="36"/>
      <c r="C854" s="37"/>
      <c r="E854" s="5"/>
    </row>
    <row r="855" spans="2:5" ht="13">
      <c r="B855" s="36"/>
      <c r="C855" s="37"/>
      <c r="E855" s="5"/>
    </row>
    <row r="856" spans="2:5" ht="13">
      <c r="B856" s="36"/>
      <c r="C856" s="37"/>
      <c r="E856" s="5"/>
    </row>
    <row r="857" spans="2:5" ht="13">
      <c r="B857" s="36"/>
      <c r="C857" s="37"/>
      <c r="E857" s="5"/>
    </row>
    <row r="858" spans="2:5" ht="13">
      <c r="B858" s="36"/>
      <c r="C858" s="37"/>
      <c r="E858" s="5"/>
    </row>
    <row r="859" spans="2:5" ht="13">
      <c r="B859" s="36"/>
      <c r="C859" s="37"/>
      <c r="E859" s="5"/>
    </row>
    <row r="860" spans="2:5" ht="13">
      <c r="B860" s="36"/>
      <c r="C860" s="37"/>
      <c r="E860" s="5"/>
    </row>
    <row r="861" spans="2:5" ht="13">
      <c r="B861" s="36"/>
      <c r="C861" s="37"/>
      <c r="E861" s="5"/>
    </row>
    <row r="862" spans="2:5" ht="13">
      <c r="B862" s="36"/>
      <c r="C862" s="37"/>
      <c r="E862" s="5"/>
    </row>
    <row r="863" spans="2:5" ht="13">
      <c r="B863" s="36"/>
      <c r="C863" s="37"/>
      <c r="E863" s="5"/>
    </row>
    <row r="864" spans="2:5" ht="13">
      <c r="B864" s="36"/>
      <c r="C864" s="37"/>
      <c r="E864" s="5"/>
    </row>
    <row r="865" spans="2:5" ht="13">
      <c r="B865" s="36"/>
      <c r="C865" s="37"/>
      <c r="E865" s="5"/>
    </row>
    <row r="866" spans="2:5" ht="13">
      <c r="B866" s="36"/>
      <c r="C866" s="37"/>
      <c r="E866" s="5"/>
    </row>
    <row r="867" spans="2:5" ht="13">
      <c r="B867" s="36"/>
      <c r="C867" s="37"/>
      <c r="E867" s="5"/>
    </row>
    <row r="868" spans="2:5" ht="13">
      <c r="B868" s="36"/>
      <c r="C868" s="37"/>
      <c r="E868" s="5"/>
    </row>
    <row r="869" spans="2:5" ht="13">
      <c r="B869" s="36"/>
      <c r="C869" s="37"/>
      <c r="E869" s="5"/>
    </row>
    <row r="870" spans="2:5" ht="13">
      <c r="B870" s="36"/>
      <c r="C870" s="37"/>
      <c r="E870" s="5"/>
    </row>
    <row r="871" spans="2:5" ht="13">
      <c r="B871" s="36"/>
      <c r="C871" s="37"/>
      <c r="E871" s="5"/>
    </row>
    <row r="872" spans="2:5" ht="13">
      <c r="B872" s="36"/>
      <c r="C872" s="37"/>
      <c r="E872" s="5"/>
    </row>
    <row r="873" spans="2:5" ht="13">
      <c r="B873" s="36"/>
      <c r="C873" s="37"/>
      <c r="E873" s="5"/>
    </row>
    <row r="874" spans="2:5" ht="13">
      <c r="B874" s="36"/>
      <c r="C874" s="37"/>
      <c r="E874" s="5"/>
    </row>
    <row r="875" spans="2:5" ht="13">
      <c r="B875" s="36"/>
      <c r="C875" s="37"/>
      <c r="E875" s="5"/>
    </row>
    <row r="876" spans="2:5" ht="13">
      <c r="B876" s="36"/>
      <c r="C876" s="37"/>
      <c r="E876" s="5"/>
    </row>
    <row r="877" spans="2:5" ht="13">
      <c r="B877" s="36"/>
      <c r="C877" s="37"/>
      <c r="E877" s="5"/>
    </row>
    <row r="878" spans="2:5" ht="13">
      <c r="B878" s="36"/>
      <c r="C878" s="37"/>
      <c r="E878" s="5"/>
    </row>
    <row r="879" spans="2:5" ht="13">
      <c r="B879" s="36"/>
      <c r="C879" s="37"/>
      <c r="E879" s="5"/>
    </row>
    <row r="880" spans="2:5" ht="13">
      <c r="B880" s="36"/>
      <c r="C880" s="37"/>
      <c r="E880" s="5"/>
    </row>
    <row r="881" spans="2:5" ht="13">
      <c r="B881" s="36"/>
      <c r="C881" s="37"/>
      <c r="E881" s="5"/>
    </row>
    <row r="882" spans="2:5" ht="13">
      <c r="B882" s="36"/>
      <c r="C882" s="37"/>
      <c r="E882" s="5"/>
    </row>
    <row r="883" spans="2:5" ht="13">
      <c r="B883" s="36"/>
      <c r="C883" s="37"/>
      <c r="E883" s="5"/>
    </row>
    <row r="884" spans="2:5" ht="13">
      <c r="B884" s="36"/>
      <c r="C884" s="37"/>
      <c r="E884" s="5"/>
    </row>
    <row r="885" spans="2:5" ht="13">
      <c r="B885" s="36"/>
      <c r="C885" s="37"/>
      <c r="E885" s="5"/>
    </row>
    <row r="886" spans="2:5" ht="13">
      <c r="B886" s="36"/>
      <c r="C886" s="37"/>
      <c r="E886" s="5"/>
    </row>
    <row r="887" spans="2:5" ht="13">
      <c r="B887" s="36"/>
      <c r="C887" s="37"/>
      <c r="E887" s="5"/>
    </row>
    <row r="888" spans="2:5" ht="13">
      <c r="B888" s="36"/>
      <c r="C888" s="37"/>
      <c r="E888" s="5"/>
    </row>
    <row r="889" spans="2:5" ht="13">
      <c r="B889" s="36"/>
      <c r="C889" s="37"/>
      <c r="E889" s="5"/>
    </row>
    <row r="890" spans="2:5" ht="13">
      <c r="B890" s="36"/>
      <c r="C890" s="37"/>
      <c r="E890" s="5"/>
    </row>
    <row r="891" spans="2:5" ht="13">
      <c r="B891" s="36"/>
      <c r="C891" s="37"/>
      <c r="E891" s="5"/>
    </row>
    <row r="892" spans="2:5" ht="13">
      <c r="B892" s="36"/>
      <c r="C892" s="37"/>
      <c r="E892" s="5"/>
    </row>
    <row r="893" spans="2:5" ht="13">
      <c r="B893" s="36"/>
      <c r="C893" s="37"/>
      <c r="E893" s="5"/>
    </row>
    <row r="894" spans="2:5" ht="13">
      <c r="B894" s="36"/>
      <c r="C894" s="37"/>
      <c r="E894" s="5"/>
    </row>
    <row r="895" spans="2:5" ht="13">
      <c r="B895" s="36"/>
      <c r="C895" s="37"/>
      <c r="E895" s="5"/>
    </row>
    <row r="896" spans="2:5" ht="13">
      <c r="B896" s="36"/>
      <c r="C896" s="37"/>
      <c r="E896" s="5"/>
    </row>
    <row r="897" spans="2:5" ht="13">
      <c r="B897" s="36"/>
      <c r="C897" s="37"/>
      <c r="E897" s="5"/>
    </row>
    <row r="898" spans="2:5" ht="13">
      <c r="B898" s="36"/>
      <c r="C898" s="37"/>
      <c r="E898" s="5"/>
    </row>
    <row r="899" spans="2:5" ht="13">
      <c r="B899" s="36"/>
      <c r="C899" s="37"/>
      <c r="E899" s="5"/>
    </row>
    <row r="900" spans="2:5" ht="13">
      <c r="B900" s="36"/>
      <c r="C900" s="37"/>
      <c r="E900" s="5"/>
    </row>
    <row r="901" spans="2:5" ht="13">
      <c r="B901" s="36"/>
      <c r="C901" s="37"/>
      <c r="E901" s="5"/>
    </row>
    <row r="902" spans="2:5" ht="13">
      <c r="B902" s="36"/>
      <c r="C902" s="37"/>
      <c r="E902" s="5"/>
    </row>
    <row r="903" spans="2:5" ht="13">
      <c r="B903" s="36"/>
      <c r="C903" s="37"/>
      <c r="E903" s="5"/>
    </row>
    <row r="904" spans="2:5" ht="13">
      <c r="B904" s="36"/>
      <c r="C904" s="37"/>
      <c r="E904" s="5"/>
    </row>
    <row r="905" spans="2:5" ht="13">
      <c r="B905" s="36"/>
      <c r="C905" s="37"/>
      <c r="E905" s="5"/>
    </row>
    <row r="906" spans="2:5" ht="13">
      <c r="B906" s="36"/>
      <c r="C906" s="37"/>
      <c r="E906" s="5"/>
    </row>
    <row r="907" spans="2:5" ht="13">
      <c r="B907" s="36"/>
      <c r="C907" s="37"/>
      <c r="E907" s="5"/>
    </row>
    <row r="908" spans="2:5" ht="13">
      <c r="B908" s="36"/>
      <c r="C908" s="37"/>
      <c r="E908" s="5"/>
    </row>
    <row r="909" spans="2:5" ht="13">
      <c r="B909" s="36"/>
      <c r="C909" s="37"/>
      <c r="E909" s="5"/>
    </row>
    <row r="910" spans="2:5" ht="13">
      <c r="B910" s="36"/>
      <c r="C910" s="37"/>
      <c r="E910" s="5"/>
    </row>
    <row r="911" spans="2:5" ht="13">
      <c r="B911" s="36"/>
      <c r="C911" s="37"/>
      <c r="E911" s="5"/>
    </row>
    <row r="912" spans="2:5" ht="13">
      <c r="B912" s="36"/>
      <c r="C912" s="37"/>
      <c r="E912" s="5"/>
    </row>
    <row r="913" spans="2:5" ht="13">
      <c r="B913" s="36"/>
      <c r="C913" s="37"/>
      <c r="E913" s="5"/>
    </row>
    <row r="914" spans="2:5" ht="13">
      <c r="B914" s="36"/>
      <c r="C914" s="37"/>
      <c r="E914" s="5"/>
    </row>
    <row r="915" spans="2:5" ht="13">
      <c r="B915" s="36"/>
      <c r="C915" s="37"/>
      <c r="E915" s="5"/>
    </row>
    <row r="916" spans="2:5" ht="13">
      <c r="B916" s="36"/>
      <c r="C916" s="37"/>
      <c r="E916" s="5"/>
    </row>
    <row r="917" spans="2:5" ht="13">
      <c r="B917" s="36"/>
      <c r="C917" s="37"/>
      <c r="E917" s="5"/>
    </row>
    <row r="918" spans="2:5" ht="13">
      <c r="B918" s="36"/>
      <c r="C918" s="37"/>
      <c r="E918" s="5"/>
    </row>
    <row r="919" spans="2:5" ht="13">
      <c r="B919" s="36"/>
      <c r="C919" s="37"/>
      <c r="E919" s="5"/>
    </row>
    <row r="920" spans="2:5" ht="13">
      <c r="B920" s="36"/>
      <c r="C920" s="37"/>
      <c r="E920" s="5"/>
    </row>
    <row r="921" spans="2:5" ht="13">
      <c r="B921" s="36"/>
      <c r="C921" s="37"/>
      <c r="E921" s="5"/>
    </row>
    <row r="922" spans="2:5" ht="13">
      <c r="B922" s="36"/>
      <c r="C922" s="37"/>
      <c r="E922" s="5"/>
    </row>
    <row r="923" spans="2:5" ht="13">
      <c r="B923" s="36"/>
      <c r="C923" s="37"/>
      <c r="E923" s="5"/>
    </row>
    <row r="924" spans="2:5" ht="13">
      <c r="B924" s="36"/>
      <c r="C924" s="37"/>
      <c r="E924" s="5"/>
    </row>
    <row r="925" spans="2:5" ht="13">
      <c r="B925" s="36"/>
      <c r="C925" s="37"/>
      <c r="E925" s="5"/>
    </row>
    <row r="926" spans="2:5" ht="13">
      <c r="B926" s="36"/>
      <c r="C926" s="37"/>
      <c r="E926" s="5"/>
    </row>
    <row r="927" spans="2:5" ht="13">
      <c r="B927" s="36"/>
      <c r="C927" s="37"/>
      <c r="E927" s="5"/>
    </row>
    <row r="928" spans="2:5" ht="13">
      <c r="B928" s="36"/>
      <c r="C928" s="37"/>
      <c r="E928" s="5"/>
    </row>
    <row r="929" spans="2:5" ht="13">
      <c r="B929" s="36"/>
      <c r="C929" s="37"/>
      <c r="E929" s="5"/>
    </row>
    <row r="930" spans="2:5" ht="13">
      <c r="B930" s="36"/>
      <c r="C930" s="37"/>
      <c r="E930" s="5"/>
    </row>
    <row r="931" spans="2:5" ht="13">
      <c r="B931" s="36"/>
      <c r="C931" s="37"/>
      <c r="E931" s="5"/>
    </row>
    <row r="932" spans="2:5" ht="13">
      <c r="B932" s="36"/>
      <c r="C932" s="37"/>
      <c r="E932" s="5"/>
    </row>
    <row r="933" spans="2:5" ht="13">
      <c r="B933" s="36"/>
      <c r="C933" s="37"/>
      <c r="E933" s="5"/>
    </row>
    <row r="934" spans="2:5" ht="13">
      <c r="B934" s="36"/>
      <c r="C934" s="37"/>
      <c r="E934" s="5"/>
    </row>
    <row r="935" spans="2:5" ht="13">
      <c r="B935" s="36"/>
      <c r="C935" s="37"/>
      <c r="E935" s="5"/>
    </row>
    <row r="936" spans="2:5" ht="13">
      <c r="B936" s="36"/>
      <c r="C936" s="37"/>
      <c r="E936" s="5"/>
    </row>
    <row r="937" spans="2:5" ht="13">
      <c r="B937" s="36"/>
      <c r="C937" s="37"/>
      <c r="E937" s="5"/>
    </row>
    <row r="938" spans="2:5" ht="13">
      <c r="B938" s="36"/>
      <c r="C938" s="37"/>
      <c r="E938" s="5"/>
    </row>
    <row r="939" spans="2:5" ht="13">
      <c r="B939" s="36"/>
      <c r="C939" s="37"/>
      <c r="E939" s="5"/>
    </row>
    <row r="940" spans="2:5" ht="13">
      <c r="B940" s="36"/>
      <c r="C940" s="37"/>
      <c r="E940" s="5"/>
    </row>
    <row r="941" spans="2:5" ht="13">
      <c r="B941" s="36"/>
      <c r="C941" s="37"/>
      <c r="E941" s="5"/>
    </row>
    <row r="942" spans="2:5" ht="13">
      <c r="B942" s="36"/>
      <c r="C942" s="37"/>
      <c r="E942" s="5"/>
    </row>
    <row r="943" spans="2:5" ht="13">
      <c r="B943" s="36"/>
      <c r="C943" s="37"/>
      <c r="E943" s="5"/>
    </row>
    <row r="944" spans="2:5" ht="13">
      <c r="B944" s="36"/>
      <c r="C944" s="37"/>
      <c r="E944" s="5"/>
    </row>
    <row r="945" spans="2:5" ht="13">
      <c r="B945" s="36"/>
      <c r="C945" s="37"/>
      <c r="E945" s="5"/>
    </row>
    <row r="946" spans="2:5" ht="13">
      <c r="B946" s="36"/>
      <c r="C946" s="37"/>
      <c r="E946" s="5"/>
    </row>
    <row r="947" spans="2:5" ht="13">
      <c r="B947" s="36"/>
      <c r="C947" s="37"/>
      <c r="E947" s="5"/>
    </row>
    <row r="948" spans="2:5" ht="13">
      <c r="B948" s="36"/>
      <c r="C948" s="37"/>
      <c r="E948" s="5"/>
    </row>
    <row r="949" spans="2:5" ht="13">
      <c r="B949" s="36"/>
      <c r="C949" s="37"/>
      <c r="E949" s="5"/>
    </row>
    <row r="950" spans="2:5" ht="13">
      <c r="B950" s="36"/>
      <c r="C950" s="37"/>
      <c r="E950" s="5"/>
    </row>
    <row r="951" spans="2:5" ht="13">
      <c r="B951" s="36"/>
      <c r="C951" s="37"/>
      <c r="E951" s="5"/>
    </row>
    <row r="952" spans="2:5" ht="13">
      <c r="B952" s="36"/>
      <c r="C952" s="37"/>
      <c r="E952" s="5"/>
    </row>
    <row r="953" spans="2:5" ht="13">
      <c r="B953" s="36"/>
      <c r="C953" s="37"/>
      <c r="E953" s="5"/>
    </row>
    <row r="954" spans="2:5" ht="13">
      <c r="B954" s="36"/>
      <c r="C954" s="37"/>
      <c r="E954" s="5"/>
    </row>
    <row r="955" spans="2:5" ht="13">
      <c r="B955" s="36"/>
      <c r="C955" s="37"/>
      <c r="E955" s="5"/>
    </row>
    <row r="956" spans="2:5" ht="13">
      <c r="B956" s="36"/>
      <c r="C956" s="37"/>
      <c r="E956" s="5"/>
    </row>
    <row r="957" spans="2:5" ht="13">
      <c r="B957" s="36"/>
      <c r="C957" s="37"/>
      <c r="E957" s="5"/>
    </row>
    <row r="958" spans="2:5" ht="13">
      <c r="B958" s="36"/>
      <c r="C958" s="37"/>
      <c r="E958" s="5"/>
    </row>
    <row r="959" spans="2:5" ht="13">
      <c r="B959" s="36"/>
      <c r="C959" s="37"/>
      <c r="E959" s="5"/>
    </row>
    <row r="960" spans="2:5" ht="13">
      <c r="B960" s="36"/>
      <c r="C960" s="37"/>
      <c r="E960" s="5"/>
    </row>
    <row r="961" spans="2:5" ht="13">
      <c r="B961" s="36"/>
      <c r="C961" s="37"/>
      <c r="E961" s="5"/>
    </row>
    <row r="962" spans="2:5" ht="13">
      <c r="B962" s="36"/>
      <c r="C962" s="37"/>
      <c r="E962" s="5"/>
    </row>
    <row r="963" spans="2:5" ht="13">
      <c r="B963" s="36"/>
      <c r="C963" s="37"/>
      <c r="E963" s="5"/>
    </row>
    <row r="964" spans="2:5" ht="13">
      <c r="B964" s="36"/>
      <c r="C964" s="37"/>
      <c r="E964" s="5"/>
    </row>
    <row r="965" spans="2:5" ht="13">
      <c r="B965" s="36"/>
      <c r="C965" s="37"/>
      <c r="E965" s="5"/>
    </row>
    <row r="966" spans="2:5" ht="13">
      <c r="B966" s="36"/>
      <c r="C966" s="37"/>
      <c r="E966" s="5"/>
    </row>
    <row r="967" spans="2:5" ht="13">
      <c r="B967" s="36"/>
      <c r="C967" s="37"/>
      <c r="E967" s="5"/>
    </row>
    <row r="968" spans="2:5" ht="13">
      <c r="B968" s="36"/>
      <c r="C968" s="37"/>
      <c r="E968" s="5"/>
    </row>
    <row r="969" spans="2:5" ht="13">
      <c r="B969" s="36"/>
      <c r="C969" s="37"/>
      <c r="E969" s="5"/>
    </row>
    <row r="970" spans="2:5" ht="13">
      <c r="B970" s="36"/>
      <c r="C970" s="37"/>
      <c r="E970" s="5"/>
    </row>
    <row r="971" spans="2:5" ht="13">
      <c r="B971" s="36"/>
      <c r="C971" s="37"/>
      <c r="E971" s="5"/>
    </row>
    <row r="972" spans="2:5" ht="13">
      <c r="B972" s="36"/>
      <c r="C972" s="37"/>
      <c r="E972" s="5"/>
    </row>
    <row r="973" spans="2:5" ht="13">
      <c r="B973" s="36"/>
      <c r="C973" s="37"/>
      <c r="E973" s="5"/>
    </row>
    <row r="974" spans="2:5" ht="13">
      <c r="B974" s="36"/>
      <c r="C974" s="37"/>
      <c r="E974" s="5"/>
    </row>
    <row r="975" spans="2:5" ht="13">
      <c r="B975" s="36"/>
      <c r="C975" s="37"/>
      <c r="E975" s="5"/>
    </row>
    <row r="976" spans="2:5" ht="13">
      <c r="B976" s="36"/>
      <c r="C976" s="37"/>
      <c r="E976" s="5"/>
    </row>
    <row r="977" spans="2:5" ht="13">
      <c r="B977" s="36"/>
      <c r="C977" s="37"/>
      <c r="E977" s="5"/>
    </row>
    <row r="978" spans="2:5" ht="13">
      <c r="B978" s="36"/>
      <c r="C978" s="37"/>
      <c r="E978" s="5"/>
    </row>
    <row r="979" spans="2:5" ht="13">
      <c r="B979" s="36"/>
      <c r="C979" s="37"/>
      <c r="E979" s="5"/>
    </row>
    <row r="980" spans="2:5" ht="13">
      <c r="B980" s="36"/>
      <c r="C980" s="37"/>
      <c r="E980" s="5"/>
    </row>
    <row r="981" spans="2:5" ht="13">
      <c r="B981" s="36"/>
      <c r="C981" s="37"/>
      <c r="E981" s="5"/>
    </row>
    <row r="982" spans="2:5" ht="13">
      <c r="B982" s="36"/>
      <c r="C982" s="37"/>
      <c r="E982" s="5"/>
    </row>
    <row r="983" spans="2:5" ht="13">
      <c r="B983" s="36"/>
      <c r="C983" s="37"/>
      <c r="E983" s="5"/>
    </row>
    <row r="984" spans="2:5" ht="13">
      <c r="B984" s="36"/>
      <c r="C984" s="37"/>
      <c r="E984" s="5"/>
    </row>
    <row r="985" spans="2:5" ht="13">
      <c r="B985" s="36"/>
      <c r="C985" s="37"/>
      <c r="E985" s="5"/>
    </row>
    <row r="986" spans="2:5" ht="13">
      <c r="B986" s="36"/>
      <c r="C986" s="37"/>
      <c r="E986" s="5"/>
    </row>
    <row r="987" spans="2:5" ht="13">
      <c r="B987" s="36"/>
      <c r="C987" s="37"/>
      <c r="E987" s="5"/>
    </row>
    <row r="988" spans="2:5" ht="13">
      <c r="B988" s="36"/>
      <c r="C988" s="37"/>
      <c r="E988" s="5"/>
    </row>
    <row r="989" spans="2:5" ht="13">
      <c r="B989" s="36"/>
      <c r="C989" s="37"/>
      <c r="E989" s="5"/>
    </row>
    <row r="990" spans="2:5" ht="13">
      <c r="B990" s="36"/>
      <c r="C990" s="37"/>
      <c r="E990" s="5"/>
    </row>
    <row r="991" spans="2:5" ht="13">
      <c r="B991" s="36"/>
      <c r="C991" s="37"/>
      <c r="E991" s="5"/>
    </row>
    <row r="992" spans="2:5" ht="13">
      <c r="B992" s="36"/>
      <c r="C992" s="37"/>
      <c r="E992" s="5"/>
    </row>
    <row r="993" spans="2:5" ht="13">
      <c r="B993" s="36"/>
      <c r="C993" s="37"/>
      <c r="E993" s="5"/>
    </row>
    <row r="994" spans="2:5" ht="13">
      <c r="B994" s="36"/>
      <c r="C994" s="37"/>
      <c r="E994" s="5"/>
    </row>
    <row r="995" spans="2:5" ht="13">
      <c r="B995" s="36"/>
      <c r="C995" s="37"/>
      <c r="E995" s="5"/>
    </row>
    <row r="996" spans="2:5" ht="13">
      <c r="B996" s="36"/>
      <c r="C996" s="37"/>
      <c r="E996" s="5"/>
    </row>
    <row r="997" spans="2:5" ht="13">
      <c r="B997" s="36"/>
      <c r="C997" s="37"/>
      <c r="E997" s="5"/>
    </row>
    <row r="998" spans="2:5" ht="13">
      <c r="B998" s="36"/>
      <c r="C998" s="37"/>
      <c r="E998" s="5"/>
    </row>
    <row r="999" spans="2:5" ht="13">
      <c r="B999" s="36"/>
      <c r="C999" s="37"/>
      <c r="E999" s="5"/>
    </row>
    <row r="1000" spans="2:5" ht="13">
      <c r="B1000" s="36"/>
      <c r="C1000" s="37"/>
      <c r="E1000" s="5"/>
    </row>
    <row r="1001" spans="2:5" ht="13">
      <c r="B1001" s="36"/>
      <c r="C1001" s="37"/>
      <c r="E1001" s="5"/>
    </row>
    <row r="1002" spans="2:5" ht="13">
      <c r="B1002" s="36"/>
      <c r="C1002" s="37"/>
      <c r="E1002" s="5"/>
    </row>
  </sheetData>
  <hyperlinks>
    <hyperlink ref="B5" r:id="rId1" xr:uid="{00000000-0004-0000-3E00-000000000000}"/>
    <hyperlink ref="B6" r:id="rId2" xr:uid="{00000000-0004-0000-3E00-000001000000}"/>
    <hyperlink ref="B7" r:id="rId3" xr:uid="{00000000-0004-0000-3E00-000002000000}"/>
    <hyperlink ref="B8" r:id="rId4" xr:uid="{00000000-0004-0000-3E00-000003000000}"/>
    <hyperlink ref="B9" r:id="rId5" xr:uid="{00000000-0004-0000-3E00-000004000000}"/>
    <hyperlink ref="B10" r:id="rId6" xr:uid="{00000000-0004-0000-3E00-000005000000}"/>
    <hyperlink ref="B11" r:id="rId7" xr:uid="{00000000-0004-0000-3E00-000006000000}"/>
    <hyperlink ref="B12" r:id="rId8" xr:uid="{00000000-0004-0000-3E00-000007000000}"/>
    <hyperlink ref="B13" r:id="rId9" xr:uid="{00000000-0004-0000-3E00-000008000000}"/>
    <hyperlink ref="B14" r:id="rId10" xr:uid="{00000000-0004-0000-3E00-000009000000}"/>
    <hyperlink ref="B15" r:id="rId11" xr:uid="{00000000-0004-0000-3E00-00000A000000}"/>
    <hyperlink ref="B16" r:id="rId12" xr:uid="{00000000-0004-0000-3E00-00000B000000}"/>
    <hyperlink ref="B17" r:id="rId13" xr:uid="{00000000-0004-0000-3E00-00000C000000}"/>
    <hyperlink ref="B18" r:id="rId14" xr:uid="{00000000-0004-0000-3E00-00000D000000}"/>
    <hyperlink ref="B19" r:id="rId15" xr:uid="{00000000-0004-0000-3E00-00000E000000}"/>
    <hyperlink ref="B20" r:id="rId16" xr:uid="{00000000-0004-0000-3E00-00000F000000}"/>
    <hyperlink ref="B21" r:id="rId17" xr:uid="{00000000-0004-0000-3E00-000010000000}"/>
    <hyperlink ref="B22" r:id="rId18" xr:uid="{00000000-0004-0000-3E00-000011000000}"/>
    <hyperlink ref="B23" r:id="rId19" xr:uid="{00000000-0004-0000-3E00-000012000000}"/>
    <hyperlink ref="B24" r:id="rId20" xr:uid="{00000000-0004-0000-3E00-000013000000}"/>
    <hyperlink ref="B25" r:id="rId21" xr:uid="{00000000-0004-0000-3E00-000014000000}"/>
    <hyperlink ref="B26" r:id="rId22" xr:uid="{00000000-0004-0000-3E00-000015000000}"/>
    <hyperlink ref="B27" r:id="rId23" xr:uid="{00000000-0004-0000-3E00-000016000000}"/>
    <hyperlink ref="B28" r:id="rId24" xr:uid="{00000000-0004-0000-3E00-000017000000}"/>
    <hyperlink ref="B29" r:id="rId25" xr:uid="{00000000-0004-0000-3E00-000018000000}"/>
    <hyperlink ref="B30" r:id="rId26" xr:uid="{00000000-0004-0000-3E00-000019000000}"/>
    <hyperlink ref="B31" r:id="rId27" xr:uid="{00000000-0004-0000-3E00-00001A000000}"/>
    <hyperlink ref="B32" r:id="rId28" xr:uid="{00000000-0004-0000-3E00-00001B000000}"/>
    <hyperlink ref="B33" r:id="rId29" xr:uid="{00000000-0004-0000-3E00-00001C000000}"/>
    <hyperlink ref="B34" r:id="rId30" xr:uid="{00000000-0004-0000-3E00-00001D000000}"/>
    <hyperlink ref="B35" r:id="rId31" xr:uid="{00000000-0004-0000-3E00-00001E000000}"/>
    <hyperlink ref="B36" r:id="rId32" xr:uid="{00000000-0004-0000-3E00-00001F000000}"/>
    <hyperlink ref="B37" r:id="rId33" xr:uid="{00000000-0004-0000-3E00-000020000000}"/>
    <hyperlink ref="B38" r:id="rId34" xr:uid="{00000000-0004-0000-3E00-000021000000}"/>
    <hyperlink ref="B39" r:id="rId35" xr:uid="{00000000-0004-0000-3E00-000022000000}"/>
    <hyperlink ref="B40" r:id="rId36" xr:uid="{00000000-0004-0000-3E00-000023000000}"/>
    <hyperlink ref="B41" r:id="rId37" xr:uid="{00000000-0004-0000-3E00-000024000000}"/>
    <hyperlink ref="B42" r:id="rId38" xr:uid="{00000000-0004-0000-3E00-000025000000}"/>
    <hyperlink ref="B43" r:id="rId39" xr:uid="{00000000-0004-0000-3E00-000026000000}"/>
    <hyperlink ref="B44" r:id="rId40" xr:uid="{00000000-0004-0000-3E00-000027000000}"/>
    <hyperlink ref="B45" r:id="rId41" xr:uid="{00000000-0004-0000-3E00-000028000000}"/>
    <hyperlink ref="B46" r:id="rId42" xr:uid="{00000000-0004-0000-3E00-000029000000}"/>
    <hyperlink ref="B47" r:id="rId43" xr:uid="{00000000-0004-0000-3E00-00002A000000}"/>
    <hyperlink ref="B48" r:id="rId44" xr:uid="{00000000-0004-0000-3E00-00002B000000}"/>
    <hyperlink ref="B49" r:id="rId45" xr:uid="{00000000-0004-0000-3E00-00002C000000}"/>
    <hyperlink ref="B50" r:id="rId46" xr:uid="{00000000-0004-0000-3E00-00002D000000}"/>
    <hyperlink ref="B51" r:id="rId47" xr:uid="{00000000-0004-0000-3E00-00002E000000}"/>
    <hyperlink ref="B52" r:id="rId48" xr:uid="{00000000-0004-0000-3E00-00002F000000}"/>
    <hyperlink ref="B53" r:id="rId49" xr:uid="{00000000-0004-0000-3E00-000030000000}"/>
    <hyperlink ref="B54" r:id="rId50" xr:uid="{00000000-0004-0000-3E00-000031000000}"/>
    <hyperlink ref="B55" r:id="rId51" xr:uid="{00000000-0004-0000-3E00-000032000000}"/>
    <hyperlink ref="B56" r:id="rId52" xr:uid="{00000000-0004-0000-3E00-000033000000}"/>
    <hyperlink ref="B57" r:id="rId53" xr:uid="{00000000-0004-0000-3E00-000034000000}"/>
    <hyperlink ref="B58" r:id="rId54" xr:uid="{00000000-0004-0000-3E00-000035000000}"/>
    <hyperlink ref="B59" r:id="rId55" xr:uid="{00000000-0004-0000-3E00-000036000000}"/>
    <hyperlink ref="B60" r:id="rId56" xr:uid="{00000000-0004-0000-3E00-000037000000}"/>
    <hyperlink ref="B61" r:id="rId57" xr:uid="{00000000-0004-0000-3E00-000038000000}"/>
    <hyperlink ref="B62" r:id="rId58" xr:uid="{00000000-0004-0000-3E00-000039000000}"/>
    <hyperlink ref="B63" r:id="rId59" xr:uid="{00000000-0004-0000-3E00-00003A000000}"/>
    <hyperlink ref="B64" r:id="rId60" xr:uid="{00000000-0004-0000-3E00-00003B000000}"/>
    <hyperlink ref="B65" r:id="rId61" xr:uid="{00000000-0004-0000-3E00-00003C000000}"/>
    <hyperlink ref="B66" r:id="rId62" xr:uid="{00000000-0004-0000-3E00-00003D000000}"/>
    <hyperlink ref="B67" r:id="rId63" xr:uid="{00000000-0004-0000-3E00-00003E000000}"/>
    <hyperlink ref="B68" r:id="rId64" xr:uid="{00000000-0004-0000-3E00-00003F000000}"/>
    <hyperlink ref="B69" r:id="rId65" xr:uid="{00000000-0004-0000-3E00-000040000000}"/>
    <hyperlink ref="B70" r:id="rId66" xr:uid="{00000000-0004-0000-3E00-000041000000}"/>
    <hyperlink ref="B71" r:id="rId67" xr:uid="{00000000-0004-0000-3E00-000042000000}"/>
    <hyperlink ref="B72" r:id="rId68" xr:uid="{00000000-0004-0000-3E00-000043000000}"/>
    <hyperlink ref="B73" r:id="rId69" xr:uid="{00000000-0004-0000-3E00-000044000000}"/>
    <hyperlink ref="B74" r:id="rId70" xr:uid="{00000000-0004-0000-3E00-000045000000}"/>
    <hyperlink ref="B75" r:id="rId71" xr:uid="{00000000-0004-0000-3E00-000046000000}"/>
    <hyperlink ref="B76" r:id="rId72" xr:uid="{00000000-0004-0000-3E00-000047000000}"/>
    <hyperlink ref="B77" r:id="rId73" xr:uid="{00000000-0004-0000-3E00-000048000000}"/>
    <hyperlink ref="B78" r:id="rId74" xr:uid="{00000000-0004-0000-3E00-000049000000}"/>
    <hyperlink ref="B79" r:id="rId75" xr:uid="{00000000-0004-0000-3E00-00004A000000}"/>
    <hyperlink ref="B80" r:id="rId76" xr:uid="{00000000-0004-0000-3E00-00004B000000}"/>
    <hyperlink ref="B81" r:id="rId77" xr:uid="{00000000-0004-0000-3E00-00004C000000}"/>
    <hyperlink ref="B82" r:id="rId78" xr:uid="{00000000-0004-0000-3E00-00004D000000}"/>
    <hyperlink ref="B83" r:id="rId79" xr:uid="{00000000-0004-0000-3E00-00004E000000}"/>
    <hyperlink ref="B84" r:id="rId80" xr:uid="{00000000-0004-0000-3E00-00004F000000}"/>
    <hyperlink ref="B85" r:id="rId81" xr:uid="{00000000-0004-0000-3E00-000050000000}"/>
    <hyperlink ref="B86" r:id="rId82" xr:uid="{00000000-0004-0000-3E00-000051000000}"/>
    <hyperlink ref="B87" r:id="rId83" xr:uid="{00000000-0004-0000-3E00-000052000000}"/>
    <hyperlink ref="B88" r:id="rId84" xr:uid="{00000000-0004-0000-3E00-000053000000}"/>
    <hyperlink ref="B89" r:id="rId85" xr:uid="{00000000-0004-0000-3E00-000054000000}"/>
    <hyperlink ref="B90" r:id="rId86" xr:uid="{00000000-0004-0000-3E00-000055000000}"/>
    <hyperlink ref="B91" r:id="rId87" xr:uid="{00000000-0004-0000-3E00-000056000000}"/>
    <hyperlink ref="B92" r:id="rId88" xr:uid="{00000000-0004-0000-3E00-000057000000}"/>
    <hyperlink ref="B93" r:id="rId89" xr:uid="{00000000-0004-0000-3E00-000058000000}"/>
    <hyperlink ref="B94" r:id="rId90" xr:uid="{00000000-0004-0000-3E00-000059000000}"/>
    <hyperlink ref="B95" r:id="rId91" xr:uid="{00000000-0004-0000-3E00-00005A000000}"/>
    <hyperlink ref="B96" r:id="rId92" xr:uid="{00000000-0004-0000-3E00-00005B000000}"/>
    <hyperlink ref="B97" r:id="rId93" xr:uid="{00000000-0004-0000-3E00-00005C000000}"/>
    <hyperlink ref="B98" r:id="rId94" xr:uid="{00000000-0004-0000-3E00-00005D000000}"/>
    <hyperlink ref="B99" r:id="rId95" xr:uid="{00000000-0004-0000-3E00-00005E000000}"/>
    <hyperlink ref="B100" r:id="rId96" xr:uid="{00000000-0004-0000-3E00-00005F000000}"/>
    <hyperlink ref="B101" r:id="rId97" xr:uid="{00000000-0004-0000-3E00-000060000000}"/>
    <hyperlink ref="B102" r:id="rId98" xr:uid="{00000000-0004-0000-3E00-000061000000}"/>
    <hyperlink ref="B103" r:id="rId99" xr:uid="{00000000-0004-0000-3E00-000062000000}"/>
    <hyperlink ref="B104" r:id="rId100" xr:uid="{00000000-0004-0000-3E00-000063000000}"/>
    <hyperlink ref="B105" r:id="rId101" xr:uid="{00000000-0004-0000-3E00-000064000000}"/>
    <hyperlink ref="B106" r:id="rId102" xr:uid="{00000000-0004-0000-3E00-000065000000}"/>
    <hyperlink ref="B107" r:id="rId103" xr:uid="{00000000-0004-0000-3E00-000066000000}"/>
    <hyperlink ref="B108" r:id="rId104" xr:uid="{00000000-0004-0000-3E00-000067000000}"/>
    <hyperlink ref="B109" r:id="rId105" xr:uid="{00000000-0004-0000-3E00-000068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6" customWidth="1"/>
    <col min="2" max="2" width="19.1640625" customWidth="1"/>
    <col min="3" max="3" width="13.5" customWidth="1"/>
    <col min="4" max="4" width="14.83203125" customWidth="1"/>
    <col min="5" max="5" width="14.33203125" customWidth="1"/>
    <col min="7" max="7" width="14.1640625" customWidth="1"/>
  </cols>
  <sheetData>
    <row r="1" spans="1:12" ht="15.75" customHeight="1">
      <c r="A1" s="1" t="s">
        <v>111</v>
      </c>
      <c r="B1" s="36"/>
      <c r="C1" s="37"/>
      <c r="D1" s="7" t="s">
        <v>181</v>
      </c>
    </row>
    <row r="2" spans="1:12" ht="15.75" customHeight="1">
      <c r="A2" s="7" t="s">
        <v>182</v>
      </c>
      <c r="B2" s="38">
        <v>41584</v>
      </c>
      <c r="C2" s="37"/>
      <c r="D2" s="39">
        <f>SUM(D5:G146)</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48" t="s">
        <v>2484</v>
      </c>
      <c r="B5" s="49" t="s">
        <v>297</v>
      </c>
      <c r="C5" s="48" t="s">
        <v>205</v>
      </c>
      <c r="D5" s="47"/>
      <c r="L5" s="43"/>
    </row>
    <row r="6" spans="1:12" ht="15.75" customHeight="1">
      <c r="A6" s="48" t="s">
        <v>2487</v>
      </c>
      <c r="B6" s="49" t="s">
        <v>3339</v>
      </c>
      <c r="C6" s="48" t="s">
        <v>205</v>
      </c>
      <c r="D6" s="73"/>
    </row>
    <row r="7" spans="1:12" ht="15.75" customHeight="1">
      <c r="A7" s="48" t="s">
        <v>2489</v>
      </c>
      <c r="B7" s="49" t="s">
        <v>888</v>
      </c>
      <c r="C7" s="48" t="s">
        <v>205</v>
      </c>
      <c r="D7" s="73"/>
    </row>
    <row r="8" spans="1:12" ht="15.75" customHeight="1">
      <c r="A8" s="48" t="s">
        <v>2492</v>
      </c>
      <c r="B8" s="49" t="s">
        <v>3145</v>
      </c>
      <c r="C8" s="48" t="s">
        <v>205</v>
      </c>
      <c r="D8" s="73"/>
    </row>
    <row r="9" spans="1:12" ht="15.75" customHeight="1">
      <c r="A9" s="48" t="s">
        <v>2494</v>
      </c>
      <c r="B9" s="49" t="s">
        <v>3123</v>
      </c>
      <c r="C9" s="48" t="s">
        <v>205</v>
      </c>
      <c r="D9" s="73"/>
    </row>
    <row r="10" spans="1:12" ht="15.75" customHeight="1">
      <c r="A10" s="48" t="s">
        <v>2497</v>
      </c>
      <c r="B10" s="49" t="s">
        <v>4028</v>
      </c>
      <c r="C10" s="48" t="s">
        <v>205</v>
      </c>
      <c r="D10" s="73"/>
    </row>
    <row r="11" spans="1:12" ht="15.75" customHeight="1">
      <c r="A11" s="48" t="s">
        <v>2499</v>
      </c>
      <c r="B11" s="49" t="s">
        <v>4185</v>
      </c>
      <c r="C11" s="48" t="s">
        <v>205</v>
      </c>
      <c r="D11" s="73"/>
    </row>
    <row r="12" spans="1:12" ht="15.75" customHeight="1">
      <c r="A12" s="48" t="s">
        <v>2501</v>
      </c>
      <c r="B12" s="49" t="s">
        <v>4337</v>
      </c>
      <c r="C12" s="48" t="s">
        <v>205</v>
      </c>
      <c r="D12" s="73"/>
    </row>
    <row r="13" spans="1:12" ht="15.75" customHeight="1">
      <c r="A13" s="48" t="s">
        <v>2503</v>
      </c>
      <c r="B13" s="49" t="s">
        <v>4040</v>
      </c>
      <c r="C13" s="48" t="s">
        <v>205</v>
      </c>
      <c r="D13" s="73"/>
    </row>
    <row r="14" spans="1:12" ht="15.75" customHeight="1">
      <c r="A14" s="48" t="s">
        <v>2505</v>
      </c>
      <c r="B14" s="49" t="s">
        <v>4040</v>
      </c>
      <c r="C14" s="48" t="s">
        <v>205</v>
      </c>
      <c r="D14" s="73"/>
    </row>
    <row r="15" spans="1:12" ht="15.75" customHeight="1">
      <c r="A15" s="48" t="s">
        <v>2508</v>
      </c>
      <c r="B15" s="49" t="s">
        <v>4041</v>
      </c>
      <c r="C15" s="48" t="s">
        <v>205</v>
      </c>
      <c r="D15" s="73"/>
    </row>
    <row r="16" spans="1:12" ht="15.75" customHeight="1">
      <c r="A16" s="48" t="s">
        <v>2510</v>
      </c>
      <c r="B16" s="49" t="s">
        <v>4042</v>
      </c>
      <c r="C16" s="48" t="s">
        <v>205</v>
      </c>
      <c r="D16" s="73"/>
    </row>
    <row r="17" spans="1:4" ht="15.75" customHeight="1">
      <c r="A17" s="48" t="s">
        <v>2512</v>
      </c>
      <c r="B17" s="49" t="s">
        <v>4045</v>
      </c>
      <c r="C17" s="48" t="s">
        <v>205</v>
      </c>
      <c r="D17" s="73"/>
    </row>
    <row r="18" spans="1:4" ht="15.75" customHeight="1">
      <c r="A18" s="48" t="s">
        <v>2514</v>
      </c>
      <c r="B18" s="49" t="s">
        <v>4046</v>
      </c>
      <c r="C18" s="48" t="s">
        <v>205</v>
      </c>
      <c r="D18" s="73"/>
    </row>
    <row r="19" spans="1:4" ht="15.75" customHeight="1">
      <c r="A19" s="48" t="s">
        <v>2516</v>
      </c>
      <c r="B19" s="49" t="s">
        <v>4052</v>
      </c>
      <c r="C19" s="48" t="s">
        <v>205</v>
      </c>
      <c r="D19" s="73"/>
    </row>
    <row r="20" spans="1:4" ht="15.75" customHeight="1">
      <c r="A20" s="48" t="s">
        <v>2519</v>
      </c>
      <c r="B20" s="49" t="s">
        <v>4683</v>
      </c>
      <c r="C20" s="48" t="s">
        <v>205</v>
      </c>
      <c r="D20" s="73"/>
    </row>
    <row r="21" spans="1:4" ht="15.75" customHeight="1">
      <c r="A21" s="48" t="s">
        <v>2521</v>
      </c>
      <c r="B21" s="49" t="s">
        <v>278</v>
      </c>
      <c r="C21" s="48" t="s">
        <v>199</v>
      </c>
      <c r="D21" s="73"/>
    </row>
    <row r="22" spans="1:4" ht="15.75" customHeight="1">
      <c r="A22" s="48" t="s">
        <v>2523</v>
      </c>
      <c r="B22" s="49" t="s">
        <v>258</v>
      </c>
      <c r="C22" s="48" t="s">
        <v>199</v>
      </c>
      <c r="D22" s="48"/>
    </row>
    <row r="23" spans="1:4" ht="15.75" customHeight="1">
      <c r="A23" s="48" t="s">
        <v>2525</v>
      </c>
      <c r="B23" s="49" t="s">
        <v>243</v>
      </c>
      <c r="C23" s="48" t="s">
        <v>199</v>
      </c>
      <c r="D23" s="73"/>
    </row>
    <row r="24" spans="1:4" ht="15.75" customHeight="1">
      <c r="A24" s="48" t="s">
        <v>2527</v>
      </c>
      <c r="B24" s="49" t="s">
        <v>299</v>
      </c>
      <c r="C24" s="48" t="s">
        <v>199</v>
      </c>
      <c r="D24" s="73"/>
    </row>
    <row r="25" spans="1:4" ht="15.75" customHeight="1">
      <c r="A25" s="48" t="s">
        <v>2528</v>
      </c>
      <c r="B25" s="49" t="s">
        <v>249</v>
      </c>
      <c r="C25" s="48" t="s">
        <v>199</v>
      </c>
      <c r="D25" s="73"/>
    </row>
    <row r="26" spans="1:4" ht="15.75" customHeight="1">
      <c r="A26" s="48" t="s">
        <v>2530</v>
      </c>
      <c r="B26" s="49" t="s">
        <v>209</v>
      </c>
      <c r="C26" s="48" t="s">
        <v>199</v>
      </c>
      <c r="D26" s="73"/>
    </row>
    <row r="27" spans="1:4" ht="15.75" customHeight="1">
      <c r="A27" s="48" t="s">
        <v>2532</v>
      </c>
      <c r="B27" s="49" t="s">
        <v>4053</v>
      </c>
      <c r="C27" s="48" t="s">
        <v>199</v>
      </c>
      <c r="D27" s="73"/>
    </row>
    <row r="28" spans="1:4" ht="15.75" customHeight="1">
      <c r="A28" s="48" t="s">
        <v>2533</v>
      </c>
      <c r="B28" s="58" t="str">
        <f>HYPERLINK("https://bulbapedia.bulbagarden.net/wiki/Victini-EX_(Legendary_Treasures_24)","VictiniEX")</f>
        <v>VictiniEX</v>
      </c>
      <c r="C28" s="48" t="s">
        <v>199</v>
      </c>
      <c r="D28" s="73"/>
    </row>
    <row r="29" spans="1:4" ht="15.75" customHeight="1">
      <c r="A29" s="48" t="s">
        <v>2535</v>
      </c>
      <c r="B29" s="49" t="s">
        <v>4030</v>
      </c>
      <c r="C29" s="48" t="s">
        <v>199</v>
      </c>
      <c r="D29" s="73"/>
    </row>
    <row r="30" spans="1:4" ht="15.75" customHeight="1">
      <c r="A30" s="48" t="s">
        <v>2536</v>
      </c>
      <c r="B30" s="49" t="s">
        <v>4186</v>
      </c>
      <c r="C30" s="48" t="s">
        <v>199</v>
      </c>
      <c r="D30" s="73"/>
    </row>
    <row r="31" spans="1:4" ht="15.75" customHeight="1">
      <c r="A31" s="48" t="s">
        <v>2537</v>
      </c>
      <c r="B31" s="49" t="s">
        <v>4144</v>
      </c>
      <c r="C31" s="48" t="s">
        <v>199</v>
      </c>
      <c r="D31" s="73"/>
    </row>
    <row r="32" spans="1:4" ht="15.75" customHeight="1">
      <c r="A32" s="48" t="s">
        <v>2539</v>
      </c>
      <c r="B32" s="49" t="s">
        <v>4123</v>
      </c>
      <c r="C32" s="48" t="s">
        <v>199</v>
      </c>
      <c r="D32" s="73"/>
    </row>
    <row r="33" spans="1:4" ht="15.75" customHeight="1">
      <c r="A33" s="48" t="s">
        <v>2540</v>
      </c>
      <c r="B33" s="58" t="str">
        <f>HYPERLINK("https://bulbapedia.bulbagarden.net/wiki/Reshiram-EX_(Legendary_Treasures_29)","ReshiramEX")</f>
        <v>ReshiramEX</v>
      </c>
      <c r="C33" s="48" t="s">
        <v>199</v>
      </c>
      <c r="D33" s="73"/>
    </row>
    <row r="34" spans="1:4" ht="15.75" customHeight="1">
      <c r="A34" s="48" t="s">
        <v>2541</v>
      </c>
      <c r="B34" s="49" t="s">
        <v>268</v>
      </c>
      <c r="C34" s="48" t="s">
        <v>208</v>
      </c>
      <c r="D34" s="73"/>
    </row>
    <row r="35" spans="1:4" ht="15.75" customHeight="1">
      <c r="A35" s="48" t="s">
        <v>2542</v>
      </c>
      <c r="B35" s="49" t="s">
        <v>245</v>
      </c>
      <c r="C35" s="48" t="s">
        <v>208</v>
      </c>
      <c r="D35" s="73"/>
    </row>
    <row r="36" spans="1:4" ht="15.75" customHeight="1">
      <c r="A36" s="48" t="s">
        <v>2543</v>
      </c>
      <c r="B36" s="49" t="s">
        <v>210</v>
      </c>
      <c r="C36" s="48" t="s">
        <v>208</v>
      </c>
      <c r="D36" s="73"/>
    </row>
    <row r="37" spans="1:4" ht="15.75" customHeight="1">
      <c r="A37" s="48" t="s">
        <v>2544</v>
      </c>
      <c r="B37" s="49" t="s">
        <v>3020</v>
      </c>
      <c r="C37" s="48" t="s">
        <v>208</v>
      </c>
      <c r="D37" s="73"/>
    </row>
    <row r="38" spans="1:4" ht="15.75" customHeight="1">
      <c r="A38" s="48" t="s">
        <v>2545</v>
      </c>
      <c r="B38" s="49" t="s">
        <v>3140</v>
      </c>
      <c r="C38" s="48" t="s">
        <v>208</v>
      </c>
      <c r="D38" s="73"/>
    </row>
    <row r="39" spans="1:4" ht="15.75" customHeight="1">
      <c r="A39" s="48" t="s">
        <v>2546</v>
      </c>
      <c r="B39" s="49" t="s">
        <v>3111</v>
      </c>
      <c r="C39" s="48" t="s">
        <v>208</v>
      </c>
      <c r="D39" s="73"/>
    </row>
    <row r="40" spans="1:4" ht="15.75" customHeight="1">
      <c r="A40" s="48" t="s">
        <v>2547</v>
      </c>
      <c r="B40" s="49" t="s">
        <v>3355</v>
      </c>
      <c r="C40" s="48" t="s">
        <v>208</v>
      </c>
      <c r="D40" s="73"/>
    </row>
    <row r="41" spans="1:4" ht="15.75" customHeight="1">
      <c r="A41" s="48" t="s">
        <v>2549</v>
      </c>
      <c r="B41" s="49" t="s">
        <v>4031</v>
      </c>
      <c r="C41" s="48" t="s">
        <v>208</v>
      </c>
      <c r="D41" s="73"/>
    </row>
    <row r="42" spans="1:4" ht="15.75" customHeight="1">
      <c r="A42" s="48" t="s">
        <v>2551</v>
      </c>
      <c r="B42" s="49" t="s">
        <v>4187</v>
      </c>
      <c r="C42" s="48" t="s">
        <v>208</v>
      </c>
      <c r="D42" s="73"/>
    </row>
    <row r="43" spans="1:4" ht="15.75" customHeight="1">
      <c r="A43" s="48" t="s">
        <v>2553</v>
      </c>
      <c r="B43" s="49" t="s">
        <v>4385</v>
      </c>
      <c r="C43" s="48" t="s">
        <v>208</v>
      </c>
      <c r="D43" s="73"/>
    </row>
    <row r="44" spans="1:4" ht="15.75" customHeight="1">
      <c r="A44" s="48" t="s">
        <v>2555</v>
      </c>
      <c r="B44" s="49" t="s">
        <v>4059</v>
      </c>
      <c r="C44" s="48" t="s">
        <v>208</v>
      </c>
      <c r="D44" s="73"/>
    </row>
    <row r="45" spans="1:4" ht="15.75" customHeight="1">
      <c r="A45" s="48" t="s">
        <v>2557</v>
      </c>
      <c r="B45" s="49" t="s">
        <v>4060</v>
      </c>
      <c r="C45" s="48" t="s">
        <v>208</v>
      </c>
      <c r="D45" s="73"/>
    </row>
    <row r="46" spans="1:4" ht="15.75" customHeight="1">
      <c r="A46" s="48" t="s">
        <v>2559</v>
      </c>
      <c r="B46" s="49" t="s">
        <v>4061</v>
      </c>
      <c r="C46" s="48" t="s">
        <v>208</v>
      </c>
      <c r="D46" s="73"/>
    </row>
    <row r="47" spans="1:4" ht="15.75" customHeight="1">
      <c r="A47" s="48" t="s">
        <v>2560</v>
      </c>
      <c r="B47" s="49" t="s">
        <v>4070</v>
      </c>
      <c r="C47" s="48" t="s">
        <v>208</v>
      </c>
      <c r="D47" s="73"/>
    </row>
    <row r="48" spans="1:4" ht="15.75" customHeight="1">
      <c r="A48" s="48" t="s">
        <v>2561</v>
      </c>
      <c r="B48" s="58" t="str">
        <f>HYPERLINK("https://bulbapedia.bulbagarden.net/wiki/Kyurem-EX_(Legendary_Treasures_44)","KyuremEX")</f>
        <v>KyuremEX</v>
      </c>
      <c r="C48" s="48" t="s">
        <v>208</v>
      </c>
      <c r="D48" s="73"/>
    </row>
    <row r="49" spans="1:4" ht="15.75" customHeight="1">
      <c r="A49" s="48" t="s">
        <v>2562</v>
      </c>
      <c r="B49" s="58" t="str">
        <f>HYPERLINK("https://bulbapedia.bulbagarden.net/wiki/Keldeo-EX_(Legendary_Treasures_45)","KeldeoEX")</f>
        <v>KeldeoEX</v>
      </c>
      <c r="C49" s="48" t="s">
        <v>208</v>
      </c>
      <c r="D49" s="73"/>
    </row>
    <row r="50" spans="1:4" ht="15.75" customHeight="1">
      <c r="A50" s="48" t="s">
        <v>2563</v>
      </c>
      <c r="B50" s="49" t="s">
        <v>211</v>
      </c>
      <c r="C50" s="48" t="s">
        <v>192</v>
      </c>
      <c r="D50" s="73"/>
    </row>
    <row r="51" spans="1:4" ht="15.75" customHeight="1">
      <c r="A51" s="48" t="s">
        <v>2564</v>
      </c>
      <c r="B51" s="49" t="s">
        <v>1503</v>
      </c>
      <c r="C51" s="48" t="s">
        <v>192</v>
      </c>
      <c r="D51" s="73"/>
    </row>
    <row r="52" spans="1:4" ht="15.75" customHeight="1">
      <c r="A52" s="48" t="s">
        <v>2565</v>
      </c>
      <c r="B52" s="49" t="s">
        <v>1501</v>
      </c>
      <c r="C52" s="48" t="s">
        <v>192</v>
      </c>
      <c r="D52" s="73"/>
    </row>
    <row r="53" spans="1:4" ht="13">
      <c r="A53" s="48" t="s">
        <v>2566</v>
      </c>
      <c r="B53" s="49" t="s">
        <v>4072</v>
      </c>
      <c r="C53" s="48" t="s">
        <v>192</v>
      </c>
      <c r="D53" s="73"/>
    </row>
    <row r="54" spans="1:4" ht="13">
      <c r="A54" s="48" t="s">
        <v>2568</v>
      </c>
      <c r="B54" s="49" t="s">
        <v>4701</v>
      </c>
      <c r="C54" s="48" t="s">
        <v>192</v>
      </c>
      <c r="D54" s="73"/>
    </row>
    <row r="55" spans="1:4" ht="13">
      <c r="A55" s="48" t="s">
        <v>2569</v>
      </c>
      <c r="B55" s="49" t="s">
        <v>4129</v>
      </c>
      <c r="C55" s="48" t="s">
        <v>192</v>
      </c>
      <c r="D55" s="73"/>
    </row>
    <row r="56" spans="1:4" ht="13">
      <c r="A56" s="48" t="s">
        <v>2571</v>
      </c>
      <c r="B56" s="58" t="str">
        <f>HYPERLINK("https://bulbapedia.bulbagarden.net/wiki/Zekrom-EX_(Legendary_Treasures_52)","ZekromEX")</f>
        <v>ZekromEX</v>
      </c>
      <c r="C56" s="48" t="s">
        <v>192</v>
      </c>
      <c r="D56" s="73"/>
    </row>
    <row r="57" spans="1:4" ht="13">
      <c r="A57" s="48" t="s">
        <v>2572</v>
      </c>
      <c r="B57" s="49" t="s">
        <v>194</v>
      </c>
      <c r="C57" s="48" t="s">
        <v>195</v>
      </c>
      <c r="D57" s="73"/>
    </row>
    <row r="58" spans="1:4" ht="13">
      <c r="A58" s="48" t="s">
        <v>2574</v>
      </c>
      <c r="B58" s="58" t="str">
        <f>HYPERLINK("https://bulbapedia.bulbagarden.net/wiki/Mewtwo-EX_(Legendary_Treasures_54)","MewtwoEX")</f>
        <v>MewtwoEX</v>
      </c>
      <c r="C58" s="48" t="s">
        <v>195</v>
      </c>
      <c r="D58" s="73"/>
    </row>
    <row r="59" spans="1:4" ht="13">
      <c r="A59" s="48" t="s">
        <v>2575</v>
      </c>
      <c r="B59" s="49" t="s">
        <v>881</v>
      </c>
      <c r="C59" s="48" t="s">
        <v>195</v>
      </c>
      <c r="D59" s="73"/>
    </row>
    <row r="60" spans="1:4" ht="13">
      <c r="A60" s="48" t="s">
        <v>2576</v>
      </c>
      <c r="B60" s="49" t="s">
        <v>855</v>
      </c>
      <c r="C60" s="48" t="s">
        <v>195</v>
      </c>
      <c r="D60" s="73"/>
    </row>
    <row r="61" spans="1:4" ht="13">
      <c r="A61" s="48" t="s">
        <v>2577</v>
      </c>
      <c r="B61" s="49" t="s">
        <v>227</v>
      </c>
      <c r="C61" s="48" t="s">
        <v>195</v>
      </c>
      <c r="D61" s="73"/>
    </row>
    <row r="62" spans="1:4" ht="13">
      <c r="A62" s="48" t="s">
        <v>2579</v>
      </c>
      <c r="B62" s="49" t="s">
        <v>3116</v>
      </c>
      <c r="C62" s="48" t="s">
        <v>195</v>
      </c>
      <c r="D62" s="73"/>
    </row>
    <row r="63" spans="1:4" ht="13">
      <c r="A63" s="48" t="s">
        <v>2580</v>
      </c>
      <c r="B63" s="49" t="s">
        <v>1307</v>
      </c>
      <c r="C63" s="48" t="s">
        <v>195</v>
      </c>
      <c r="D63" s="73"/>
    </row>
    <row r="64" spans="1:4" ht="13">
      <c r="A64" s="48" t="s">
        <v>2582</v>
      </c>
      <c r="B64" s="49" t="s">
        <v>1262</v>
      </c>
      <c r="C64" s="48" t="s">
        <v>195</v>
      </c>
      <c r="D64" s="73"/>
    </row>
    <row r="65" spans="1:4" ht="13">
      <c r="A65" s="48" t="s">
        <v>2583</v>
      </c>
      <c r="B65" s="49" t="s">
        <v>1370</v>
      </c>
      <c r="C65" s="48" t="s">
        <v>195</v>
      </c>
      <c r="D65" s="47"/>
    </row>
    <row r="66" spans="1:4" ht="13">
      <c r="A66" s="48" t="s">
        <v>2584</v>
      </c>
      <c r="B66" s="49" t="s">
        <v>3250</v>
      </c>
      <c r="C66" s="48" t="s">
        <v>195</v>
      </c>
      <c r="D66" s="73"/>
    </row>
    <row r="67" spans="1:4" ht="13">
      <c r="A67" s="48" t="s">
        <v>2586</v>
      </c>
      <c r="B67" s="49" t="s">
        <v>3203</v>
      </c>
      <c r="C67" s="48" t="s">
        <v>195</v>
      </c>
      <c r="D67" s="73"/>
    </row>
    <row r="68" spans="1:4" ht="13">
      <c r="A68" s="48" t="s">
        <v>2587</v>
      </c>
      <c r="B68" s="49" t="s">
        <v>4153</v>
      </c>
      <c r="C68" s="48" t="s">
        <v>195</v>
      </c>
      <c r="D68" s="73"/>
    </row>
    <row r="69" spans="1:4" ht="13">
      <c r="A69" s="48" t="s">
        <v>2588</v>
      </c>
      <c r="B69" s="49" t="s">
        <v>4419</v>
      </c>
      <c r="C69" s="48" t="s">
        <v>195</v>
      </c>
      <c r="D69" s="73"/>
    </row>
    <row r="70" spans="1:4" ht="13">
      <c r="A70" s="48" t="s">
        <v>2590</v>
      </c>
      <c r="B70" s="49" t="s">
        <v>4243</v>
      </c>
      <c r="C70" s="48" t="s">
        <v>195</v>
      </c>
      <c r="D70" s="73"/>
    </row>
    <row r="71" spans="1:4" ht="13">
      <c r="A71" s="48" t="s">
        <v>2591</v>
      </c>
      <c r="B71" s="49" t="s">
        <v>4079</v>
      </c>
      <c r="C71" s="48" t="s">
        <v>195</v>
      </c>
      <c r="D71" s="73"/>
    </row>
    <row r="72" spans="1:4" ht="13">
      <c r="A72" s="48" t="s">
        <v>2592</v>
      </c>
      <c r="B72" s="49" t="s">
        <v>4080</v>
      </c>
      <c r="C72" s="48" t="s">
        <v>195</v>
      </c>
      <c r="D72" s="73"/>
    </row>
    <row r="73" spans="1:4" ht="13">
      <c r="A73" s="48" t="s">
        <v>2594</v>
      </c>
      <c r="B73" s="49" t="s">
        <v>4247</v>
      </c>
      <c r="C73" s="48" t="s">
        <v>195</v>
      </c>
      <c r="D73" s="73"/>
    </row>
    <row r="74" spans="1:4" ht="13">
      <c r="A74" s="48" t="s">
        <v>2595</v>
      </c>
      <c r="B74" s="49" t="s">
        <v>4247</v>
      </c>
      <c r="C74" s="48" t="s">
        <v>195</v>
      </c>
      <c r="D74" s="73"/>
    </row>
    <row r="75" spans="1:4" ht="13">
      <c r="A75" s="48" t="s">
        <v>2597</v>
      </c>
      <c r="B75" s="49" t="s">
        <v>4249</v>
      </c>
      <c r="C75" s="48" t="s">
        <v>195</v>
      </c>
      <c r="D75" s="73"/>
    </row>
    <row r="76" spans="1:4" ht="13">
      <c r="A76" s="48" t="s">
        <v>2599</v>
      </c>
      <c r="B76" s="49" t="s">
        <v>4251</v>
      </c>
      <c r="C76" s="48" t="s">
        <v>195</v>
      </c>
      <c r="D76" s="73"/>
    </row>
    <row r="77" spans="1:4" ht="13">
      <c r="A77" s="48" t="s">
        <v>2600</v>
      </c>
      <c r="B77" s="49" t="s">
        <v>4081</v>
      </c>
      <c r="C77" s="48" t="s">
        <v>195</v>
      </c>
      <c r="D77" s="73"/>
    </row>
    <row r="78" spans="1:4" ht="13">
      <c r="A78" s="48" t="s">
        <v>2602</v>
      </c>
      <c r="B78" s="49" t="s">
        <v>4081</v>
      </c>
      <c r="C78" s="48" t="s">
        <v>195</v>
      </c>
      <c r="D78" s="73"/>
    </row>
    <row r="79" spans="1:4" ht="13">
      <c r="A79" s="48" t="s">
        <v>2603</v>
      </c>
      <c r="B79" s="49" t="s">
        <v>4082</v>
      </c>
      <c r="C79" s="48" t="s">
        <v>195</v>
      </c>
      <c r="D79" s="73"/>
    </row>
    <row r="80" spans="1:4" ht="13">
      <c r="A80" s="48" t="s">
        <v>2604</v>
      </c>
      <c r="B80" s="49" t="s">
        <v>4083</v>
      </c>
      <c r="C80" s="48" t="s">
        <v>195</v>
      </c>
      <c r="D80" s="73"/>
    </row>
    <row r="81" spans="1:4" ht="13">
      <c r="A81" s="48" t="s">
        <v>2605</v>
      </c>
      <c r="B81" s="58" t="str">
        <f>HYPERLINK("https://bulbapedia.bulbagarden.net/wiki/Chandelure-EX_(Legendary_Treasures_77)","ChandelureEX")</f>
        <v>ChandelureEX</v>
      </c>
      <c r="C81" s="48" t="s">
        <v>195</v>
      </c>
      <c r="D81" s="73"/>
    </row>
    <row r="82" spans="1:4" ht="13">
      <c r="A82" s="48" t="s">
        <v>2606</v>
      </c>
      <c r="B82" s="49" t="s">
        <v>4429</v>
      </c>
      <c r="C82" s="48" t="s">
        <v>195</v>
      </c>
      <c r="D82" s="73"/>
    </row>
    <row r="83" spans="1:4" ht="13">
      <c r="A83" s="48" t="s">
        <v>2607</v>
      </c>
      <c r="B83" s="49" t="s">
        <v>3141</v>
      </c>
      <c r="C83" s="48" t="s">
        <v>225</v>
      </c>
      <c r="D83" s="73"/>
    </row>
    <row r="84" spans="1:4" ht="13">
      <c r="A84" s="48" t="s">
        <v>2608</v>
      </c>
      <c r="B84" s="49" t="s">
        <v>3113</v>
      </c>
      <c r="C84" s="48" t="s">
        <v>225</v>
      </c>
      <c r="D84" s="73"/>
    </row>
    <row r="85" spans="1:4" ht="13">
      <c r="A85" s="48" t="s">
        <v>2609</v>
      </c>
      <c r="B85" s="49" t="s">
        <v>3314</v>
      </c>
      <c r="C85" s="48" t="s">
        <v>225</v>
      </c>
      <c r="D85" s="73"/>
    </row>
    <row r="86" spans="1:4" ht="13">
      <c r="A86" s="48" t="s">
        <v>2610</v>
      </c>
      <c r="B86" s="58" t="str">
        <f>HYPERLINK("https://bulbapedia.bulbagarden.net/wiki/Excadrill-EX_(Legendary_Treasures_82)","ExcadrillEX")</f>
        <v>ExcadrillEX</v>
      </c>
      <c r="C86" s="48" t="s">
        <v>225</v>
      </c>
      <c r="D86" s="73"/>
    </row>
    <row r="87" spans="1:4" ht="13">
      <c r="A87" s="48" t="s">
        <v>2611</v>
      </c>
      <c r="B87" s="49" t="s">
        <v>4076</v>
      </c>
      <c r="C87" s="48" t="s">
        <v>225</v>
      </c>
      <c r="D87" s="73"/>
    </row>
    <row r="88" spans="1:4" ht="13">
      <c r="A88" s="48" t="s">
        <v>2612</v>
      </c>
      <c r="B88" s="49" t="s">
        <v>4099</v>
      </c>
      <c r="C88" s="48" t="s">
        <v>225</v>
      </c>
      <c r="D88" s="73"/>
    </row>
    <row r="89" spans="1:4" ht="13">
      <c r="A89" s="48" t="s">
        <v>2613</v>
      </c>
      <c r="B89" s="49" t="s">
        <v>4100</v>
      </c>
      <c r="C89" s="48" t="s">
        <v>225</v>
      </c>
      <c r="D89" s="73"/>
    </row>
    <row r="90" spans="1:4" ht="13">
      <c r="A90" s="48" t="s">
        <v>2614</v>
      </c>
      <c r="B90" s="49" t="s">
        <v>4429</v>
      </c>
      <c r="C90" s="48" t="s">
        <v>225</v>
      </c>
      <c r="D90" s="73"/>
    </row>
    <row r="91" spans="1:4" ht="13">
      <c r="A91" s="48" t="s">
        <v>2615</v>
      </c>
      <c r="B91" s="49" t="s">
        <v>3390</v>
      </c>
      <c r="C91" s="48" t="s">
        <v>808</v>
      </c>
      <c r="D91" s="73"/>
    </row>
    <row r="92" spans="1:4" ht="13">
      <c r="A92" s="48" t="s">
        <v>2616</v>
      </c>
      <c r="B92" s="58" t="str">
        <f>HYPERLINK("https://bulbapedia.bulbagarden.net/wiki/Darkrai-EX_(Legendary_Treasures_88)","DarkraiEX")</f>
        <v>DarkraiEX</v>
      </c>
      <c r="C92" s="48" t="s">
        <v>808</v>
      </c>
      <c r="D92" s="73"/>
    </row>
    <row r="93" spans="1:4" ht="13">
      <c r="A93" s="48" t="s">
        <v>2617</v>
      </c>
      <c r="B93" s="49" t="s">
        <v>4036</v>
      </c>
      <c r="C93" s="48" t="s">
        <v>808</v>
      </c>
      <c r="D93" s="73"/>
    </row>
    <row r="94" spans="1:4" ht="13">
      <c r="A94" s="48" t="s">
        <v>2618</v>
      </c>
      <c r="B94" s="49" t="s">
        <v>4147</v>
      </c>
      <c r="C94" s="48" t="s">
        <v>808</v>
      </c>
      <c r="D94" s="73"/>
    </row>
    <row r="95" spans="1:4" ht="13">
      <c r="A95" s="48" t="s">
        <v>2619</v>
      </c>
      <c r="B95" s="49" t="s">
        <v>4108</v>
      </c>
      <c r="C95" s="48" t="s">
        <v>220</v>
      </c>
      <c r="D95" s="73"/>
    </row>
    <row r="96" spans="1:4" ht="13">
      <c r="A96" s="48" t="s">
        <v>2621</v>
      </c>
      <c r="B96" s="49" t="s">
        <v>1493</v>
      </c>
      <c r="C96" s="48" t="s">
        <v>4285</v>
      </c>
      <c r="D96" s="47"/>
    </row>
    <row r="97" spans="1:4" ht="13">
      <c r="A97" s="48" t="s">
        <v>2623</v>
      </c>
      <c r="B97" s="49" t="s">
        <v>2128</v>
      </c>
      <c r="C97" s="48" t="s">
        <v>4285</v>
      </c>
      <c r="D97" s="73"/>
    </row>
    <row r="98" spans="1:4" ht="13">
      <c r="A98" s="48" t="s">
        <v>2625</v>
      </c>
      <c r="B98" s="49" t="s">
        <v>3259</v>
      </c>
      <c r="C98" s="48" t="s">
        <v>4285</v>
      </c>
      <c r="D98" s="73"/>
    </row>
    <row r="99" spans="1:4" ht="13">
      <c r="A99" s="48" t="s">
        <v>2627</v>
      </c>
      <c r="B99" s="49" t="s">
        <v>3217</v>
      </c>
      <c r="C99" s="48" t="s">
        <v>4285</v>
      </c>
      <c r="D99" s="73"/>
    </row>
    <row r="100" spans="1:4" ht="13">
      <c r="A100" s="48" t="s">
        <v>2629</v>
      </c>
      <c r="B100" s="49" t="s">
        <v>3167</v>
      </c>
      <c r="C100" s="48" t="s">
        <v>4285</v>
      </c>
      <c r="D100" s="73"/>
    </row>
    <row r="101" spans="1:4" ht="13">
      <c r="A101" s="48" t="s">
        <v>2631</v>
      </c>
      <c r="B101" s="49" t="s">
        <v>4103</v>
      </c>
      <c r="C101" s="48" t="s">
        <v>4285</v>
      </c>
      <c r="D101" s="73"/>
    </row>
    <row r="102" spans="1:4" ht="13">
      <c r="A102" s="48" t="s">
        <v>2633</v>
      </c>
      <c r="B102" s="49" t="s">
        <v>4104</v>
      </c>
      <c r="C102" s="48" t="s">
        <v>4285</v>
      </c>
      <c r="D102" s="73"/>
    </row>
    <row r="103" spans="1:4" ht="13">
      <c r="A103" s="48" t="s">
        <v>2635</v>
      </c>
      <c r="B103" s="49" t="s">
        <v>4105</v>
      </c>
      <c r="C103" s="48" t="s">
        <v>4285</v>
      </c>
      <c r="D103" s="73"/>
    </row>
    <row r="104" spans="1:4" ht="13">
      <c r="A104" s="48" t="s">
        <v>2636</v>
      </c>
      <c r="B104" s="58" t="str">
        <f>HYPERLINK("https://bulbapedia.bulbagarden.net/wiki/Black_Kyurem-EX_(Legendary_Treasures_100)","Black KyuremEX")</f>
        <v>Black KyuremEX</v>
      </c>
      <c r="C104" s="48" t="s">
        <v>4285</v>
      </c>
      <c r="D104" s="73"/>
    </row>
    <row r="105" spans="1:4" ht="13">
      <c r="A105" s="48" t="s">
        <v>2637</v>
      </c>
      <c r="B105" s="58" t="str">
        <f>HYPERLINK("https://bulbapedia.bulbagarden.net/wiki/White_Kyurem-EX_(Legendary_Treasures_101)","White KyuremEX")</f>
        <v>White KyuremEX</v>
      </c>
      <c r="C105" s="48" t="s">
        <v>4285</v>
      </c>
      <c r="D105" s="73"/>
    </row>
    <row r="106" spans="1:4" ht="13">
      <c r="A106" s="48" t="s">
        <v>2638</v>
      </c>
      <c r="B106" s="58" t="str">
        <f>HYPERLINK("https://bulbapedia.bulbagarden.net/wiki/Lugia-EX_(Legendary_Treasures_102)","LugiaEX")</f>
        <v>LugiaEX</v>
      </c>
      <c r="C106" s="48" t="s">
        <v>197</v>
      </c>
      <c r="D106" s="73"/>
    </row>
    <row r="107" spans="1:4" ht="13">
      <c r="A107" s="48" t="s">
        <v>2639</v>
      </c>
      <c r="B107" s="49" t="s">
        <v>1587</v>
      </c>
      <c r="C107" s="48" t="s">
        <v>197</v>
      </c>
      <c r="D107" s="47"/>
    </row>
    <row r="108" spans="1:4" ht="13">
      <c r="A108" s="48" t="s">
        <v>2640</v>
      </c>
      <c r="B108" s="49" t="s">
        <v>4135</v>
      </c>
      <c r="C108" s="48" t="s">
        <v>197</v>
      </c>
      <c r="D108" s="47"/>
    </row>
    <row r="109" spans="1:4" ht="13">
      <c r="A109" s="48" t="s">
        <v>2642</v>
      </c>
      <c r="B109" s="49" t="s">
        <v>4136</v>
      </c>
      <c r="C109" s="48" t="s">
        <v>197</v>
      </c>
      <c r="D109" s="73"/>
    </row>
    <row r="110" spans="1:4" ht="13">
      <c r="A110" s="48" t="s">
        <v>2644</v>
      </c>
      <c r="B110" s="49" t="s">
        <v>4112</v>
      </c>
      <c r="C110" s="48" t="s">
        <v>197</v>
      </c>
      <c r="D110" s="73"/>
    </row>
    <row r="111" spans="1:4" ht="13">
      <c r="A111" s="48" t="s">
        <v>2646</v>
      </c>
      <c r="B111" s="49" t="s">
        <v>4314</v>
      </c>
      <c r="C111" s="48" t="s">
        <v>197</v>
      </c>
      <c r="D111" s="73"/>
    </row>
    <row r="112" spans="1:4" ht="13">
      <c r="A112" s="48" t="s">
        <v>2647</v>
      </c>
      <c r="B112" s="49" t="s">
        <v>4702</v>
      </c>
      <c r="C112" s="48" t="s">
        <v>197</v>
      </c>
      <c r="D112" s="73"/>
    </row>
    <row r="113" spans="1:4" ht="13">
      <c r="A113" s="48" t="s">
        <v>2649</v>
      </c>
      <c r="B113" s="49" t="s">
        <v>4518</v>
      </c>
      <c r="C113" s="51" t="s">
        <v>1013</v>
      </c>
      <c r="D113" s="73"/>
    </row>
    <row r="114" spans="1:4" ht="13">
      <c r="A114" s="48" t="s">
        <v>2651</v>
      </c>
      <c r="B114" s="49" t="s">
        <v>4703</v>
      </c>
      <c r="C114" s="51" t="s">
        <v>1013</v>
      </c>
      <c r="D114" s="73"/>
    </row>
    <row r="115" spans="1:4" ht="13">
      <c r="A115" s="48" t="s">
        <v>2653</v>
      </c>
      <c r="B115" s="49" t="s">
        <v>4704</v>
      </c>
      <c r="C115" s="51" t="s">
        <v>4114</v>
      </c>
      <c r="D115" s="73"/>
    </row>
    <row r="116" spans="1:4" ht="13">
      <c r="A116" s="48" t="s">
        <v>2654</v>
      </c>
      <c r="B116" s="49" t="s">
        <v>1140</v>
      </c>
      <c r="C116" s="51" t="s">
        <v>4114</v>
      </c>
      <c r="D116" s="73"/>
    </row>
    <row r="117" spans="1:4" ht="13">
      <c r="A117" s="48" t="s">
        <v>2655</v>
      </c>
      <c r="B117" s="49" t="s">
        <v>316</v>
      </c>
      <c r="C117" s="51" t="s">
        <v>317</v>
      </c>
      <c r="D117" s="73"/>
    </row>
    <row r="118" spans="1:4" ht="13">
      <c r="A118" s="48" t="s">
        <v>2656</v>
      </c>
      <c r="B118" s="49" t="s">
        <v>4123</v>
      </c>
      <c r="C118" s="48" t="s">
        <v>199</v>
      </c>
      <c r="D118" s="73"/>
    </row>
    <row r="119" spans="1:4" ht="13">
      <c r="A119" s="48" t="s">
        <v>4705</v>
      </c>
      <c r="B119" s="49" t="s">
        <v>4129</v>
      </c>
      <c r="C119" s="48" t="s">
        <v>192</v>
      </c>
      <c r="D119" s="73"/>
    </row>
    <row r="120" spans="1:4" ht="13">
      <c r="A120" s="48"/>
      <c r="B120" s="50"/>
      <c r="C120" s="48"/>
      <c r="D120" s="48"/>
    </row>
    <row r="121" spans="1:4" ht="13">
      <c r="A121" s="74" t="s">
        <v>4706</v>
      </c>
      <c r="B121" s="50"/>
      <c r="C121" s="48"/>
      <c r="D121" s="73"/>
    </row>
    <row r="122" spans="1:4" ht="13">
      <c r="A122" s="48" t="s">
        <v>4707</v>
      </c>
      <c r="B122" s="49" t="s">
        <v>4028</v>
      </c>
      <c r="C122" s="51" t="s">
        <v>205</v>
      </c>
      <c r="D122" s="54"/>
    </row>
    <row r="123" spans="1:4" ht="13">
      <c r="A123" s="48" t="s">
        <v>4708</v>
      </c>
      <c r="B123" s="49" t="s">
        <v>4185</v>
      </c>
      <c r="C123" s="51" t="s">
        <v>205</v>
      </c>
      <c r="D123" s="54"/>
    </row>
    <row r="124" spans="1:4" ht="13">
      <c r="A124" s="48" t="s">
        <v>4709</v>
      </c>
      <c r="B124" s="49" t="s">
        <v>4337</v>
      </c>
      <c r="C124" s="51" t="s">
        <v>205</v>
      </c>
      <c r="D124" s="54"/>
    </row>
    <row r="125" spans="1:4" ht="13">
      <c r="A125" s="48" t="s">
        <v>4710</v>
      </c>
      <c r="B125" s="49" t="s">
        <v>262</v>
      </c>
      <c r="C125" s="51" t="s">
        <v>199</v>
      </c>
      <c r="D125" s="54"/>
    </row>
    <row r="126" spans="1:4" ht="13">
      <c r="A126" s="48" t="s">
        <v>4711</v>
      </c>
      <c r="B126" s="49" t="s">
        <v>1190</v>
      </c>
      <c r="C126" s="51" t="s">
        <v>199</v>
      </c>
      <c r="D126" s="54"/>
    </row>
    <row r="127" spans="1:4" ht="13">
      <c r="A127" s="48" t="s">
        <v>4712</v>
      </c>
      <c r="B127" s="49" t="s">
        <v>3020</v>
      </c>
      <c r="C127" s="51" t="s">
        <v>208</v>
      </c>
      <c r="D127" s="54"/>
    </row>
    <row r="128" spans="1:4" ht="13">
      <c r="A128" s="48" t="s">
        <v>4713</v>
      </c>
      <c r="B128" s="49" t="s">
        <v>191</v>
      </c>
      <c r="C128" s="51" t="s">
        <v>4714</v>
      </c>
      <c r="D128" s="54"/>
    </row>
    <row r="129" spans="1:4" ht="13">
      <c r="A129" s="48" t="s">
        <v>4715</v>
      </c>
      <c r="B129" s="49" t="s">
        <v>1307</v>
      </c>
      <c r="C129" s="51" t="s">
        <v>195</v>
      </c>
      <c r="D129" s="5"/>
    </row>
    <row r="130" spans="1:4" ht="13">
      <c r="A130" s="48" t="s">
        <v>4716</v>
      </c>
      <c r="B130" s="49" t="s">
        <v>1262</v>
      </c>
      <c r="C130" s="51" t="s">
        <v>195</v>
      </c>
      <c r="D130" s="5"/>
    </row>
    <row r="131" spans="1:4" ht="13">
      <c r="A131" s="48" t="s">
        <v>4717</v>
      </c>
      <c r="B131" s="49" t="s">
        <v>1220</v>
      </c>
      <c r="C131" s="51" t="s">
        <v>195</v>
      </c>
      <c r="D131" s="54"/>
    </row>
    <row r="132" spans="1:4" ht="13">
      <c r="A132" s="48" t="s">
        <v>4718</v>
      </c>
      <c r="B132" s="58" t="str">
        <f>HYPERLINK("https://bulbapedia.bulbagarden.net/wiki/Meloetta-EX_(Legendary_Treasures_RC11)","MeloettaEX")</f>
        <v>MeloettaEX</v>
      </c>
      <c r="C132" s="51" t="s">
        <v>195</v>
      </c>
      <c r="D132" s="54"/>
    </row>
    <row r="133" spans="1:4" ht="13">
      <c r="A133" s="48" t="s">
        <v>4719</v>
      </c>
      <c r="B133" s="49" t="s">
        <v>4076</v>
      </c>
      <c r="C133" s="51" t="s">
        <v>225</v>
      </c>
      <c r="D133" s="5"/>
    </row>
    <row r="134" spans="1:4" ht="13">
      <c r="A134" s="48" t="s">
        <v>4720</v>
      </c>
      <c r="B134" s="49" t="s">
        <v>4188</v>
      </c>
      <c r="C134" s="51" t="s">
        <v>808</v>
      </c>
      <c r="D134" s="5"/>
    </row>
    <row r="135" spans="1:4" ht="13">
      <c r="A135" s="48" t="s">
        <v>4721</v>
      </c>
      <c r="B135" s="49" t="s">
        <v>203</v>
      </c>
      <c r="C135" s="51" t="s">
        <v>197</v>
      </c>
      <c r="D135" s="5"/>
    </row>
    <row r="136" spans="1:4" ht="13">
      <c r="A136" s="48" t="s">
        <v>4722</v>
      </c>
      <c r="B136" s="49" t="s">
        <v>957</v>
      </c>
      <c r="C136" s="51" t="s">
        <v>197</v>
      </c>
      <c r="D136" s="5"/>
    </row>
    <row r="137" spans="1:4" ht="13">
      <c r="A137" s="48" t="s">
        <v>4723</v>
      </c>
      <c r="B137" s="49" t="s">
        <v>944</v>
      </c>
      <c r="C137" s="51" t="s">
        <v>197</v>
      </c>
      <c r="D137" s="5"/>
    </row>
    <row r="138" spans="1:4" ht="13">
      <c r="A138" s="48" t="s">
        <v>4724</v>
      </c>
      <c r="B138" s="49" t="s">
        <v>4039</v>
      </c>
      <c r="C138" s="51" t="s">
        <v>197</v>
      </c>
      <c r="D138" s="5"/>
    </row>
    <row r="139" spans="1:4" ht="13">
      <c r="A139" s="48" t="s">
        <v>4725</v>
      </c>
      <c r="B139" s="49" t="s">
        <v>4135</v>
      </c>
      <c r="C139" s="51" t="s">
        <v>197</v>
      </c>
      <c r="D139" s="5"/>
    </row>
    <row r="140" spans="1:4" ht="13">
      <c r="A140" s="48" t="s">
        <v>4726</v>
      </c>
      <c r="B140" s="49" t="s">
        <v>4136</v>
      </c>
      <c r="C140" s="51" t="s">
        <v>197</v>
      </c>
      <c r="D140" s="5"/>
    </row>
    <row r="141" spans="1:4" ht="13">
      <c r="A141" s="48" t="s">
        <v>4727</v>
      </c>
      <c r="B141" s="49" t="s">
        <v>4728</v>
      </c>
      <c r="C141" s="51" t="s">
        <v>1013</v>
      </c>
      <c r="D141" s="5"/>
    </row>
    <row r="142" spans="1:4" ht="13">
      <c r="A142" s="48" t="s">
        <v>4729</v>
      </c>
      <c r="B142" s="58" t="str">
        <f>HYPERLINK("https://bulbapedia.bulbagarden.net/wiki/Shaymin-EX_(Legendary_Treasures_RC21)","ShayminEX")</f>
        <v>ShayminEX</v>
      </c>
      <c r="C142" s="51" t="s">
        <v>205</v>
      </c>
      <c r="D142" s="5"/>
    </row>
    <row r="143" spans="1:4" ht="13">
      <c r="A143" s="48" t="s">
        <v>4730</v>
      </c>
      <c r="B143" s="49" t="s">
        <v>4123</v>
      </c>
      <c r="C143" s="51" t="s">
        <v>199</v>
      </c>
      <c r="D143" s="51"/>
    </row>
    <row r="144" spans="1:4" ht="13">
      <c r="A144" s="48" t="s">
        <v>4731</v>
      </c>
      <c r="B144" s="49" t="s">
        <v>4072</v>
      </c>
      <c r="C144" s="51" t="s">
        <v>4714</v>
      </c>
      <c r="D144" s="5"/>
    </row>
    <row r="145" spans="1:4" ht="13">
      <c r="A145" s="48" t="s">
        <v>4732</v>
      </c>
      <c r="B145" s="58" t="str">
        <f>HYPERLINK("https://bulbapedia.bulbagarden.net/wiki/Mew-EX_(Legendary_Treasures_RC24)","MewEX")</f>
        <v>MewEX</v>
      </c>
      <c r="C145" s="51" t="s">
        <v>195</v>
      </c>
      <c r="D145" s="51"/>
    </row>
    <row r="146" spans="1:4" ht="13">
      <c r="A146" s="48" t="s">
        <v>4733</v>
      </c>
      <c r="B146" s="58" t="str">
        <f>HYPERLINK("https://bulbapedia.bulbagarden.net/wiki/Meloetta-EX_(Legendary_Treasures_RC25)","MeloettaEX")</f>
        <v>MeloettaEX</v>
      </c>
      <c r="C146" s="48" t="s">
        <v>195</v>
      </c>
      <c r="D146" s="47"/>
    </row>
    <row r="148" spans="1:4" ht="13">
      <c r="A148" s="48"/>
      <c r="B148" s="53"/>
      <c r="C148" s="48"/>
      <c r="D148" s="47"/>
    </row>
    <row r="149" spans="1:4" ht="13">
      <c r="A149" s="48"/>
      <c r="B149" s="53"/>
      <c r="C149" s="48"/>
      <c r="D149" s="47"/>
    </row>
    <row r="150" spans="1:4" ht="13">
      <c r="A150" s="48"/>
      <c r="B150" s="53"/>
      <c r="C150" s="48"/>
      <c r="D150" s="47"/>
    </row>
    <row r="151" spans="1:4" ht="13">
      <c r="A151" s="48"/>
      <c r="B151" s="53"/>
      <c r="C151" s="48"/>
      <c r="D151" s="47"/>
    </row>
    <row r="152" spans="1:4" ht="13">
      <c r="A152" s="64"/>
      <c r="B152" s="65"/>
      <c r="C152" s="64"/>
      <c r="D152" s="66"/>
    </row>
    <row r="153" spans="1:4" ht="13">
      <c r="A153" s="64"/>
      <c r="B153" s="65"/>
      <c r="C153" s="64"/>
      <c r="D153" s="66"/>
    </row>
    <row r="154" spans="1:4" ht="13">
      <c r="A154" s="64"/>
      <c r="B154" s="65"/>
      <c r="C154" s="64"/>
      <c r="D154" s="66"/>
    </row>
    <row r="155" spans="1:4" ht="13">
      <c r="A155" s="64"/>
      <c r="B155" s="65"/>
      <c r="C155" s="64"/>
      <c r="D155" s="66"/>
    </row>
    <row r="156" spans="1:4" ht="13">
      <c r="A156" s="64"/>
      <c r="B156" s="65"/>
      <c r="C156" s="64"/>
      <c r="D156" s="66"/>
    </row>
    <row r="157" spans="1:4" ht="13">
      <c r="A157" s="64"/>
      <c r="B157" s="65"/>
      <c r="C157" s="64"/>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3F00-000000000000}"/>
    <hyperlink ref="B6" r:id="rId2" xr:uid="{00000000-0004-0000-3F00-000001000000}"/>
    <hyperlink ref="B7" r:id="rId3" xr:uid="{00000000-0004-0000-3F00-000002000000}"/>
    <hyperlink ref="B8" r:id="rId4" xr:uid="{00000000-0004-0000-3F00-000003000000}"/>
    <hyperlink ref="B9" r:id="rId5" xr:uid="{00000000-0004-0000-3F00-000004000000}"/>
    <hyperlink ref="B10" r:id="rId6" xr:uid="{00000000-0004-0000-3F00-000005000000}"/>
    <hyperlink ref="B11" r:id="rId7" xr:uid="{00000000-0004-0000-3F00-000006000000}"/>
    <hyperlink ref="B12" r:id="rId8" xr:uid="{00000000-0004-0000-3F00-000007000000}"/>
    <hyperlink ref="B13" r:id="rId9" xr:uid="{00000000-0004-0000-3F00-000008000000}"/>
    <hyperlink ref="B14" r:id="rId10" xr:uid="{00000000-0004-0000-3F00-000009000000}"/>
    <hyperlink ref="B15" r:id="rId11" xr:uid="{00000000-0004-0000-3F00-00000A000000}"/>
    <hyperlink ref="B16" r:id="rId12" xr:uid="{00000000-0004-0000-3F00-00000B000000}"/>
    <hyperlink ref="B17" r:id="rId13" xr:uid="{00000000-0004-0000-3F00-00000C000000}"/>
    <hyperlink ref="B18" r:id="rId14" xr:uid="{00000000-0004-0000-3F00-00000D000000}"/>
    <hyperlink ref="B19" r:id="rId15" xr:uid="{00000000-0004-0000-3F00-00000E000000}"/>
    <hyperlink ref="B20" r:id="rId16" xr:uid="{00000000-0004-0000-3F00-00000F000000}"/>
    <hyperlink ref="B21" r:id="rId17" xr:uid="{00000000-0004-0000-3F00-000010000000}"/>
    <hyperlink ref="B22" r:id="rId18" xr:uid="{00000000-0004-0000-3F00-000011000000}"/>
    <hyperlink ref="B23" r:id="rId19" xr:uid="{00000000-0004-0000-3F00-000012000000}"/>
    <hyperlink ref="B24" r:id="rId20" xr:uid="{00000000-0004-0000-3F00-000013000000}"/>
    <hyperlink ref="B25" r:id="rId21" xr:uid="{00000000-0004-0000-3F00-000014000000}"/>
    <hyperlink ref="B26" r:id="rId22" xr:uid="{00000000-0004-0000-3F00-000015000000}"/>
    <hyperlink ref="B27" r:id="rId23" xr:uid="{00000000-0004-0000-3F00-000016000000}"/>
    <hyperlink ref="B29" r:id="rId24" xr:uid="{00000000-0004-0000-3F00-000017000000}"/>
    <hyperlink ref="B30" r:id="rId25" xr:uid="{00000000-0004-0000-3F00-000018000000}"/>
    <hyperlink ref="B31" r:id="rId26" xr:uid="{00000000-0004-0000-3F00-000019000000}"/>
    <hyperlink ref="B32" r:id="rId27" xr:uid="{00000000-0004-0000-3F00-00001A000000}"/>
    <hyperlink ref="B34" r:id="rId28" xr:uid="{00000000-0004-0000-3F00-00001B000000}"/>
    <hyperlink ref="B35" r:id="rId29" xr:uid="{00000000-0004-0000-3F00-00001C000000}"/>
    <hyperlink ref="B36" r:id="rId30" xr:uid="{00000000-0004-0000-3F00-00001D000000}"/>
    <hyperlink ref="B37" r:id="rId31" xr:uid="{00000000-0004-0000-3F00-00001E000000}"/>
    <hyperlink ref="B38" r:id="rId32" xr:uid="{00000000-0004-0000-3F00-00001F000000}"/>
    <hyperlink ref="B39" r:id="rId33" xr:uid="{00000000-0004-0000-3F00-000020000000}"/>
    <hyperlink ref="B40" r:id="rId34" xr:uid="{00000000-0004-0000-3F00-000021000000}"/>
    <hyperlink ref="B41" r:id="rId35" xr:uid="{00000000-0004-0000-3F00-000022000000}"/>
    <hyperlink ref="B42" r:id="rId36" xr:uid="{00000000-0004-0000-3F00-000023000000}"/>
    <hyperlink ref="B43" r:id="rId37" xr:uid="{00000000-0004-0000-3F00-000024000000}"/>
    <hyperlink ref="B44" r:id="rId38" xr:uid="{00000000-0004-0000-3F00-000025000000}"/>
    <hyperlink ref="B45" r:id="rId39" xr:uid="{00000000-0004-0000-3F00-000026000000}"/>
    <hyperlink ref="B46" r:id="rId40" xr:uid="{00000000-0004-0000-3F00-000027000000}"/>
    <hyperlink ref="B47" r:id="rId41" xr:uid="{00000000-0004-0000-3F00-000028000000}"/>
    <hyperlink ref="B50" r:id="rId42" xr:uid="{00000000-0004-0000-3F00-000029000000}"/>
    <hyperlink ref="B51" r:id="rId43" xr:uid="{00000000-0004-0000-3F00-00002A000000}"/>
    <hyperlink ref="B52" r:id="rId44" xr:uid="{00000000-0004-0000-3F00-00002B000000}"/>
    <hyperlink ref="B53" r:id="rId45" xr:uid="{00000000-0004-0000-3F00-00002C000000}"/>
    <hyperlink ref="B54" r:id="rId46" xr:uid="{00000000-0004-0000-3F00-00002D000000}"/>
    <hyperlink ref="B55" r:id="rId47" xr:uid="{00000000-0004-0000-3F00-00002E000000}"/>
    <hyperlink ref="B57" r:id="rId48" xr:uid="{00000000-0004-0000-3F00-00002F000000}"/>
    <hyperlink ref="B59" r:id="rId49" xr:uid="{00000000-0004-0000-3F00-000030000000}"/>
    <hyperlink ref="B60" r:id="rId50" xr:uid="{00000000-0004-0000-3F00-000031000000}"/>
    <hyperlink ref="B61" r:id="rId51" xr:uid="{00000000-0004-0000-3F00-000032000000}"/>
    <hyperlink ref="B62" r:id="rId52" xr:uid="{00000000-0004-0000-3F00-000033000000}"/>
    <hyperlink ref="B63" r:id="rId53" xr:uid="{00000000-0004-0000-3F00-000034000000}"/>
    <hyperlink ref="B64" r:id="rId54" xr:uid="{00000000-0004-0000-3F00-000035000000}"/>
    <hyperlink ref="B65" r:id="rId55" xr:uid="{00000000-0004-0000-3F00-000036000000}"/>
    <hyperlink ref="B66" r:id="rId56" xr:uid="{00000000-0004-0000-3F00-000037000000}"/>
    <hyperlink ref="B67" r:id="rId57" xr:uid="{00000000-0004-0000-3F00-000038000000}"/>
    <hyperlink ref="B68" r:id="rId58" xr:uid="{00000000-0004-0000-3F00-000039000000}"/>
    <hyperlink ref="B69" r:id="rId59" xr:uid="{00000000-0004-0000-3F00-00003A000000}"/>
    <hyperlink ref="B70" r:id="rId60" xr:uid="{00000000-0004-0000-3F00-00003B000000}"/>
    <hyperlink ref="B71" r:id="rId61" xr:uid="{00000000-0004-0000-3F00-00003C000000}"/>
    <hyperlink ref="B72" r:id="rId62" xr:uid="{00000000-0004-0000-3F00-00003D000000}"/>
    <hyperlink ref="B73" r:id="rId63" xr:uid="{00000000-0004-0000-3F00-00003E000000}"/>
    <hyperlink ref="B74" r:id="rId64" xr:uid="{00000000-0004-0000-3F00-00003F000000}"/>
    <hyperlink ref="B75" r:id="rId65" xr:uid="{00000000-0004-0000-3F00-000040000000}"/>
    <hyperlink ref="B76" r:id="rId66" xr:uid="{00000000-0004-0000-3F00-000041000000}"/>
    <hyperlink ref="B77" r:id="rId67" xr:uid="{00000000-0004-0000-3F00-000042000000}"/>
    <hyperlink ref="B78" r:id="rId68" xr:uid="{00000000-0004-0000-3F00-000043000000}"/>
    <hyperlink ref="B79" r:id="rId69" xr:uid="{00000000-0004-0000-3F00-000044000000}"/>
    <hyperlink ref="B80" r:id="rId70" xr:uid="{00000000-0004-0000-3F00-000045000000}"/>
    <hyperlink ref="B82" r:id="rId71" xr:uid="{00000000-0004-0000-3F00-000046000000}"/>
    <hyperlink ref="B83" r:id="rId72" xr:uid="{00000000-0004-0000-3F00-000047000000}"/>
    <hyperlink ref="B84" r:id="rId73" xr:uid="{00000000-0004-0000-3F00-000048000000}"/>
    <hyperlink ref="B85" r:id="rId74" xr:uid="{00000000-0004-0000-3F00-000049000000}"/>
    <hyperlink ref="B87" r:id="rId75" xr:uid="{00000000-0004-0000-3F00-00004A000000}"/>
    <hyperlink ref="B88" r:id="rId76" xr:uid="{00000000-0004-0000-3F00-00004B000000}"/>
    <hyperlink ref="B89" r:id="rId77" xr:uid="{00000000-0004-0000-3F00-00004C000000}"/>
    <hyperlink ref="B90" r:id="rId78" xr:uid="{00000000-0004-0000-3F00-00004D000000}"/>
    <hyperlink ref="B91" r:id="rId79" xr:uid="{00000000-0004-0000-3F00-00004E000000}"/>
    <hyperlink ref="B93" r:id="rId80" xr:uid="{00000000-0004-0000-3F00-00004F000000}"/>
    <hyperlink ref="B94" r:id="rId81" xr:uid="{00000000-0004-0000-3F00-000050000000}"/>
    <hyperlink ref="B95" r:id="rId82" xr:uid="{00000000-0004-0000-3F00-000051000000}"/>
    <hyperlink ref="B96" r:id="rId83" xr:uid="{00000000-0004-0000-3F00-000052000000}"/>
    <hyperlink ref="B97" r:id="rId84" xr:uid="{00000000-0004-0000-3F00-000053000000}"/>
    <hyperlink ref="B98" r:id="rId85" xr:uid="{00000000-0004-0000-3F00-000054000000}"/>
    <hyperlink ref="B99" r:id="rId86" xr:uid="{00000000-0004-0000-3F00-000055000000}"/>
    <hyperlink ref="B100" r:id="rId87" xr:uid="{00000000-0004-0000-3F00-000056000000}"/>
    <hyperlink ref="B101" r:id="rId88" xr:uid="{00000000-0004-0000-3F00-000057000000}"/>
    <hyperlink ref="B102" r:id="rId89" xr:uid="{00000000-0004-0000-3F00-000058000000}"/>
    <hyperlink ref="B103" r:id="rId90" xr:uid="{00000000-0004-0000-3F00-000059000000}"/>
    <hyperlink ref="B107" r:id="rId91" xr:uid="{00000000-0004-0000-3F00-00005A000000}"/>
    <hyperlink ref="B108" r:id="rId92" xr:uid="{00000000-0004-0000-3F00-00005B000000}"/>
    <hyperlink ref="B109" r:id="rId93" xr:uid="{00000000-0004-0000-3F00-00005C000000}"/>
    <hyperlink ref="B110" r:id="rId94" xr:uid="{00000000-0004-0000-3F00-00005D000000}"/>
    <hyperlink ref="B111" r:id="rId95" xr:uid="{00000000-0004-0000-3F00-00005E000000}"/>
    <hyperlink ref="B112" r:id="rId96" xr:uid="{00000000-0004-0000-3F00-00005F000000}"/>
    <hyperlink ref="B113" r:id="rId97" xr:uid="{00000000-0004-0000-3F00-000060000000}"/>
    <hyperlink ref="B114" r:id="rId98" xr:uid="{00000000-0004-0000-3F00-000061000000}"/>
    <hyperlink ref="B115" r:id="rId99" xr:uid="{00000000-0004-0000-3F00-000062000000}"/>
    <hyperlink ref="B116" r:id="rId100" xr:uid="{00000000-0004-0000-3F00-000063000000}"/>
    <hyperlink ref="B117" r:id="rId101" xr:uid="{00000000-0004-0000-3F00-000064000000}"/>
    <hyperlink ref="B118" r:id="rId102" xr:uid="{00000000-0004-0000-3F00-000065000000}"/>
    <hyperlink ref="B119" r:id="rId103" xr:uid="{00000000-0004-0000-3F00-000066000000}"/>
    <hyperlink ref="B122" r:id="rId104" xr:uid="{00000000-0004-0000-3F00-000067000000}"/>
    <hyperlink ref="B123" r:id="rId105" xr:uid="{00000000-0004-0000-3F00-000068000000}"/>
    <hyperlink ref="B124" r:id="rId106" xr:uid="{00000000-0004-0000-3F00-000069000000}"/>
    <hyperlink ref="B125" r:id="rId107" xr:uid="{00000000-0004-0000-3F00-00006A000000}"/>
    <hyperlink ref="B126" r:id="rId108" xr:uid="{00000000-0004-0000-3F00-00006B000000}"/>
    <hyperlink ref="B127" r:id="rId109" xr:uid="{00000000-0004-0000-3F00-00006C000000}"/>
    <hyperlink ref="B128" r:id="rId110" xr:uid="{00000000-0004-0000-3F00-00006D000000}"/>
    <hyperlink ref="B129" r:id="rId111" xr:uid="{00000000-0004-0000-3F00-00006E000000}"/>
    <hyperlink ref="B130" r:id="rId112" xr:uid="{00000000-0004-0000-3F00-00006F000000}"/>
    <hyperlink ref="B131" r:id="rId113" xr:uid="{00000000-0004-0000-3F00-000070000000}"/>
    <hyperlink ref="B133" r:id="rId114" xr:uid="{00000000-0004-0000-3F00-000071000000}"/>
    <hyperlink ref="B134" r:id="rId115" xr:uid="{00000000-0004-0000-3F00-000072000000}"/>
    <hyperlink ref="B135" r:id="rId116" xr:uid="{00000000-0004-0000-3F00-000073000000}"/>
    <hyperlink ref="B136" r:id="rId117" xr:uid="{00000000-0004-0000-3F00-000074000000}"/>
    <hyperlink ref="B137" r:id="rId118" xr:uid="{00000000-0004-0000-3F00-000075000000}"/>
    <hyperlink ref="B138" r:id="rId119" xr:uid="{00000000-0004-0000-3F00-000076000000}"/>
    <hyperlink ref="B139" r:id="rId120" xr:uid="{00000000-0004-0000-3F00-000077000000}"/>
    <hyperlink ref="B140" r:id="rId121" xr:uid="{00000000-0004-0000-3F00-000078000000}"/>
    <hyperlink ref="B141" r:id="rId122" xr:uid="{00000000-0004-0000-3F00-000079000000}"/>
    <hyperlink ref="B143" r:id="rId123" xr:uid="{00000000-0004-0000-3F00-00007A000000}"/>
    <hyperlink ref="B144" r:id="rId124" xr:uid="{00000000-0004-0000-3F00-00007B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5">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6.5" customWidth="1"/>
    <col min="3" max="3" width="13.5" customWidth="1"/>
    <col min="4" max="4" width="14.83203125" customWidth="1"/>
    <col min="5" max="5" width="14.33203125" customWidth="1"/>
    <col min="11" max="11" width="13.83203125" customWidth="1"/>
  </cols>
  <sheetData>
    <row r="1" spans="1:23" ht="15.75" customHeight="1">
      <c r="A1" s="1" t="s">
        <v>4734</v>
      </c>
      <c r="B1" s="36"/>
      <c r="C1" s="37"/>
      <c r="D1" s="7" t="s">
        <v>181</v>
      </c>
      <c r="E1" s="5"/>
      <c r="F1" s="5"/>
      <c r="G1" s="5"/>
      <c r="K1" s="1"/>
      <c r="M1" s="5"/>
      <c r="N1" s="5"/>
      <c r="S1" s="1"/>
      <c r="U1" s="5"/>
    </row>
    <row r="2" spans="1:23" ht="15.75" customHeight="1">
      <c r="A2" s="7" t="s">
        <v>182</v>
      </c>
      <c r="B2" s="38">
        <v>41675</v>
      </c>
      <c r="C2" s="37"/>
      <c r="D2" s="39">
        <f>SUM(D5:G220)</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48" t="s">
        <v>4735</v>
      </c>
      <c r="B5" s="49" t="s">
        <v>4736</v>
      </c>
      <c r="C5" s="48" t="s">
        <v>205</v>
      </c>
      <c r="D5" s="5"/>
      <c r="E5" s="5"/>
      <c r="F5" s="5"/>
      <c r="G5" s="5"/>
      <c r="L5" s="43"/>
      <c r="M5" s="43"/>
      <c r="N5" s="42"/>
      <c r="O5" s="44"/>
      <c r="S5" s="42"/>
      <c r="T5" s="43"/>
      <c r="U5" s="43"/>
      <c r="V5" s="42"/>
      <c r="W5" s="44"/>
    </row>
    <row r="6" spans="1:23" ht="15.75" customHeight="1">
      <c r="A6" s="48" t="s">
        <v>4737</v>
      </c>
      <c r="B6" s="49" t="s">
        <v>4738</v>
      </c>
      <c r="C6" s="48" t="s">
        <v>199</v>
      </c>
      <c r="D6" s="48"/>
      <c r="E6" s="5"/>
      <c r="F6" s="5"/>
      <c r="G6" s="5"/>
      <c r="L6" s="50"/>
      <c r="M6" s="51"/>
      <c r="N6" s="5"/>
      <c r="S6" s="52"/>
      <c r="T6" s="50"/>
      <c r="U6" s="51"/>
    </row>
    <row r="7" spans="1:23" ht="15.75" customHeight="1">
      <c r="A7" s="48" t="s">
        <v>4739</v>
      </c>
      <c r="B7" s="49" t="s">
        <v>4740</v>
      </c>
      <c r="C7" s="48" t="s">
        <v>208</v>
      </c>
      <c r="D7" s="48"/>
      <c r="E7" s="5"/>
      <c r="F7" s="5"/>
      <c r="G7" s="5"/>
      <c r="K7" s="52"/>
      <c r="L7" s="50"/>
      <c r="M7" s="51"/>
      <c r="N7" s="5"/>
      <c r="S7" s="52"/>
      <c r="T7" s="50"/>
      <c r="U7" s="51"/>
    </row>
    <row r="8" spans="1:23" ht="15.75" customHeight="1">
      <c r="A8" s="48" t="s">
        <v>4741</v>
      </c>
      <c r="B8" s="49" t="s">
        <v>4742</v>
      </c>
      <c r="C8" s="48" t="s">
        <v>4743</v>
      </c>
      <c r="D8" s="48"/>
      <c r="E8" s="5"/>
      <c r="F8" s="5"/>
      <c r="G8" s="5"/>
      <c r="K8" s="52"/>
      <c r="L8" s="50"/>
      <c r="M8" s="51"/>
      <c r="N8" s="51"/>
      <c r="S8" s="52"/>
      <c r="T8" s="50"/>
      <c r="U8" s="51"/>
    </row>
    <row r="9" spans="1:23" ht="15.75" customHeight="1">
      <c r="A9" s="48" t="s">
        <v>4744</v>
      </c>
      <c r="B9" s="49" t="s">
        <v>4745</v>
      </c>
      <c r="C9" s="48" t="s">
        <v>4743</v>
      </c>
      <c r="D9" s="48"/>
      <c r="E9" s="5"/>
      <c r="F9" s="5"/>
      <c r="G9" s="5"/>
      <c r="K9" s="52"/>
      <c r="L9" s="50"/>
      <c r="M9" s="51"/>
      <c r="N9" s="51"/>
      <c r="S9" s="52"/>
      <c r="T9" s="50"/>
      <c r="U9" s="51"/>
    </row>
    <row r="10" spans="1:23" ht="15.75" customHeight="1">
      <c r="A10" s="48" t="s">
        <v>4746</v>
      </c>
      <c r="B10" s="49" t="s">
        <v>4747</v>
      </c>
      <c r="C10" s="48" t="s">
        <v>808</v>
      </c>
      <c r="D10" s="48"/>
      <c r="E10" s="5"/>
      <c r="F10" s="5"/>
      <c r="G10" s="5"/>
      <c r="K10" s="52"/>
      <c r="L10" s="50"/>
      <c r="M10" s="51"/>
      <c r="N10" s="5"/>
      <c r="S10" s="52"/>
      <c r="T10" s="50"/>
      <c r="U10" s="51"/>
    </row>
    <row r="11" spans="1:23" ht="15.75" customHeight="1">
      <c r="A11" s="48" t="s">
        <v>4748</v>
      </c>
      <c r="B11" s="58" t="str">
        <f>HYPERLINK("https://bulbapedia.bulbagarden.net/wiki/Xerneas-EX_(XY_Promo_7)","XerneasEX")</f>
        <v>XerneasEX</v>
      </c>
      <c r="C11" s="48" t="s">
        <v>4743</v>
      </c>
      <c r="D11" s="48"/>
      <c r="E11" s="5"/>
      <c r="F11" s="5"/>
      <c r="G11" s="5"/>
      <c r="K11" s="52"/>
      <c r="L11" s="50"/>
      <c r="M11" s="51"/>
      <c r="N11" s="51"/>
      <c r="S11" s="52"/>
      <c r="T11" s="50"/>
      <c r="U11" s="51"/>
    </row>
    <row r="12" spans="1:23" ht="15.75" customHeight="1">
      <c r="A12" s="48" t="s">
        <v>4749</v>
      </c>
      <c r="B12" s="58" t="str">
        <f>HYPERLINK("https://bulbapedia.bulbagarden.net/wiki/Yveltal-EX_(XY_Promo_8)","YveltalEX")</f>
        <v>YveltalEX</v>
      </c>
      <c r="C12" s="48" t="s">
        <v>808</v>
      </c>
      <c r="D12" s="48"/>
      <c r="E12" s="5"/>
      <c r="F12" s="5"/>
      <c r="G12" s="5"/>
      <c r="K12" s="52"/>
      <c r="L12" s="50"/>
      <c r="M12" s="51"/>
      <c r="N12" s="51"/>
      <c r="S12" s="52"/>
      <c r="T12" s="50"/>
      <c r="U12" s="51"/>
    </row>
    <row r="13" spans="1:23" ht="15.75" customHeight="1">
      <c r="A13" s="48" t="s">
        <v>4750</v>
      </c>
      <c r="B13" s="58" t="str">
        <f>HYPERLINK("https://bulbapedia.bulbagarden.net/wiki/Garchomp-EX_(XY_Promo_9)","GarchompEX")</f>
        <v>GarchompEX</v>
      </c>
      <c r="C13" s="48" t="s">
        <v>4285</v>
      </c>
      <c r="D13" s="48"/>
      <c r="E13" s="5"/>
      <c r="F13" s="5"/>
      <c r="G13" s="5"/>
      <c r="K13" s="52"/>
      <c r="L13" s="50"/>
      <c r="M13" s="51"/>
      <c r="N13" s="5"/>
      <c r="S13" s="52"/>
      <c r="T13" s="50"/>
      <c r="U13" s="51"/>
    </row>
    <row r="14" spans="1:23" ht="15.75" customHeight="1">
      <c r="A14" s="48" t="s">
        <v>4751</v>
      </c>
      <c r="B14" s="58" t="str">
        <f>HYPERLINK("https://bulbapedia.bulbagarden.net/wiki/Dragalge_(XY_Promo_10)","Dragalge")</f>
        <v>Dragalge</v>
      </c>
      <c r="C14" s="48" t="s">
        <v>4285</v>
      </c>
      <c r="D14" s="48"/>
      <c r="E14" s="5"/>
      <c r="F14" s="5"/>
      <c r="G14" s="5"/>
      <c r="K14" s="52"/>
      <c r="L14" s="50"/>
      <c r="M14" s="51"/>
      <c r="N14" s="51"/>
      <c r="S14" s="52"/>
      <c r="T14" s="50"/>
      <c r="U14" s="51"/>
    </row>
    <row r="15" spans="1:23" ht="15.75" customHeight="1">
      <c r="A15" s="48" t="s">
        <v>4752</v>
      </c>
      <c r="B15" s="49" t="s">
        <v>4753</v>
      </c>
      <c r="C15" s="48" t="s">
        <v>205</v>
      </c>
      <c r="D15" s="48"/>
      <c r="E15" s="5"/>
      <c r="F15" s="5"/>
      <c r="G15" s="5"/>
      <c r="K15" s="52"/>
      <c r="L15" s="50"/>
      <c r="M15" s="51"/>
      <c r="N15" s="51"/>
      <c r="S15" s="52"/>
      <c r="T15" s="50"/>
      <c r="U15" s="51"/>
    </row>
    <row r="16" spans="1:23" ht="15.75" customHeight="1">
      <c r="A16" s="48" t="s">
        <v>4754</v>
      </c>
      <c r="B16" s="49" t="s">
        <v>4755</v>
      </c>
      <c r="C16" s="48" t="s">
        <v>220</v>
      </c>
      <c r="D16" s="48"/>
      <c r="E16" s="5"/>
      <c r="F16" s="5"/>
      <c r="G16" s="5"/>
      <c r="K16" s="52"/>
      <c r="L16" s="50"/>
      <c r="M16" s="51"/>
      <c r="N16" s="51"/>
      <c r="S16" s="52"/>
      <c r="T16" s="50"/>
      <c r="U16" s="51"/>
    </row>
    <row r="17" spans="1:27" ht="15.75" customHeight="1">
      <c r="A17" s="48" t="s">
        <v>4756</v>
      </c>
      <c r="B17" s="58" t="str">
        <f>HYPERLINK("https://bulbapedia.bulbagarden.net/wiki/Machamp_(XY_Promo_13)","Machamp")</f>
        <v>Machamp</v>
      </c>
      <c r="C17" s="48" t="s">
        <v>225</v>
      </c>
      <c r="D17" s="48"/>
      <c r="E17" s="5"/>
      <c r="F17" s="5"/>
      <c r="G17" s="5"/>
      <c r="K17" s="52"/>
      <c r="L17" s="50"/>
      <c r="M17" s="51"/>
      <c r="N17" s="51"/>
      <c r="S17" s="52"/>
      <c r="T17" s="50"/>
      <c r="U17" s="51"/>
    </row>
    <row r="18" spans="1:27" ht="15.75" customHeight="1">
      <c r="A18" s="48" t="s">
        <v>4757</v>
      </c>
      <c r="B18" s="49" t="s">
        <v>4758</v>
      </c>
      <c r="C18" s="48" t="s">
        <v>195</v>
      </c>
      <c r="D18" s="48"/>
      <c r="E18" s="5"/>
      <c r="F18" s="5"/>
      <c r="G18" s="5"/>
      <c r="M18" s="5"/>
      <c r="N18" s="5"/>
      <c r="U18" s="5"/>
      <c r="AA18" s="5"/>
    </row>
    <row r="19" spans="1:27" ht="15.75" customHeight="1">
      <c r="A19" s="48" t="s">
        <v>4759</v>
      </c>
      <c r="B19" s="49" t="s">
        <v>4760</v>
      </c>
      <c r="C19" s="48" t="s">
        <v>4743</v>
      </c>
      <c r="D19" s="48"/>
      <c r="E19" s="5"/>
      <c r="F19" s="5"/>
      <c r="G19" s="5"/>
      <c r="K19" s="1"/>
      <c r="M19" s="5"/>
      <c r="N19" s="5"/>
      <c r="U19" s="5"/>
      <c r="AA19" s="5"/>
    </row>
    <row r="20" spans="1:27" ht="15.75" customHeight="1">
      <c r="A20" s="48" t="s">
        <v>4761</v>
      </c>
      <c r="B20" s="49" t="s">
        <v>4762</v>
      </c>
      <c r="C20" s="48" t="s">
        <v>205</v>
      </c>
      <c r="D20" s="48"/>
      <c r="E20" s="5"/>
      <c r="F20" s="5"/>
      <c r="G20" s="5"/>
      <c r="L20" s="40"/>
      <c r="M20" s="5"/>
      <c r="N20" s="5"/>
      <c r="AA20" s="5"/>
    </row>
    <row r="21" spans="1:27" ht="15.75" customHeight="1">
      <c r="A21" s="48" t="s">
        <v>4763</v>
      </c>
      <c r="B21" s="58" t="str">
        <f>HYPERLINK("https://bulbapedia.bulbagarden.net/wiki/Charizard-EX_(XY_Promo_17)","CharizardEX")</f>
        <v>CharizardEX</v>
      </c>
      <c r="C21" s="48" t="s">
        <v>199</v>
      </c>
      <c r="D21" s="48"/>
      <c r="E21" s="5"/>
      <c r="F21" s="5"/>
      <c r="G21" s="5"/>
      <c r="M21" s="5"/>
      <c r="N21" s="5"/>
      <c r="AA21" s="5"/>
    </row>
    <row r="22" spans="1:27" ht="15.75" customHeight="1">
      <c r="A22" s="48" t="s">
        <v>4764</v>
      </c>
      <c r="B22" s="58" t="str">
        <f>HYPERLINK("https://bulbapedia.bulbagarden.net/wiki/Chesnaught-EX_(XY_Promo_18)","ChesnaughtEX")</f>
        <v>ChesnaughtEX</v>
      </c>
      <c r="C22" s="48" t="s">
        <v>205</v>
      </c>
      <c r="D22" s="48"/>
      <c r="E22" s="5"/>
      <c r="F22" s="5"/>
      <c r="G22" s="5"/>
      <c r="K22" s="42"/>
      <c r="L22" s="45"/>
      <c r="M22" s="46"/>
      <c r="N22" s="47"/>
      <c r="AA22" s="5"/>
    </row>
    <row r="23" spans="1:27" ht="15.75" customHeight="1">
      <c r="A23" s="48" t="s">
        <v>4765</v>
      </c>
      <c r="B23" s="58" t="str">
        <f>HYPERLINK("https://bulbapedia.bulbagarden.net/wiki/Delphox-EX_(XY_Promo_19)","DelphoxEX")</f>
        <v>DelphoxEX</v>
      </c>
      <c r="C23" s="48" t="s">
        <v>199</v>
      </c>
      <c r="D23" s="48"/>
      <c r="E23" s="5"/>
      <c r="F23" s="5"/>
      <c r="G23" s="5"/>
      <c r="K23" s="42"/>
      <c r="L23" s="43"/>
      <c r="M23" s="43"/>
      <c r="N23" s="42"/>
      <c r="O23" s="44"/>
      <c r="AA23" s="5"/>
    </row>
    <row r="24" spans="1:27" ht="15.75" customHeight="1">
      <c r="A24" s="48" t="s">
        <v>4766</v>
      </c>
      <c r="B24" s="58" t="str">
        <f>HYPERLINK("https://bulbapedia.bulbagarden.net/wiki/Greninja-EX_(XY_Promo_20)","GreninjaEX")</f>
        <v>GreninjaEX</v>
      </c>
      <c r="C24" s="48" t="s">
        <v>208</v>
      </c>
      <c r="D24" s="48"/>
      <c r="E24" s="5"/>
      <c r="F24" s="5"/>
      <c r="G24" s="5"/>
      <c r="K24" s="52"/>
      <c r="L24" s="50"/>
      <c r="M24" s="51"/>
      <c r="N24" s="5"/>
      <c r="AA24" s="5"/>
    </row>
    <row r="25" spans="1:27" ht="15.75" customHeight="1">
      <c r="A25" s="48" t="s">
        <v>4767</v>
      </c>
      <c r="B25" s="58" t="str">
        <f>HYPERLINK("https://bulbapedia.bulbagarden.net/wiki/Bronzong_(XY_Promo_21)","Bronzong")</f>
        <v>Bronzong</v>
      </c>
      <c r="C25" s="48" t="s">
        <v>220</v>
      </c>
      <c r="D25" s="48"/>
      <c r="E25" s="5"/>
      <c r="F25" s="5"/>
      <c r="G25" s="5"/>
      <c r="K25" s="52"/>
      <c r="L25" s="50"/>
      <c r="M25" s="51"/>
      <c r="N25" s="5"/>
      <c r="AA25" s="5"/>
    </row>
    <row r="26" spans="1:27" ht="15.75" customHeight="1">
      <c r="A26" s="48" t="s">
        <v>4768</v>
      </c>
      <c r="B26" s="49" t="s">
        <v>3059</v>
      </c>
      <c r="C26" s="48" t="s">
        <v>808</v>
      </c>
      <c r="D26" s="48"/>
      <c r="E26" s="5"/>
      <c r="F26" s="5"/>
      <c r="G26" s="5"/>
      <c r="K26" s="52"/>
      <c r="L26" s="50"/>
      <c r="M26" s="51"/>
      <c r="N26" s="51"/>
      <c r="AA26" s="5"/>
    </row>
    <row r="27" spans="1:27" ht="15.75" customHeight="1">
      <c r="A27" s="48" t="s">
        <v>4769</v>
      </c>
      <c r="B27" s="49" t="s">
        <v>1374</v>
      </c>
      <c r="C27" s="48" t="s">
        <v>205</v>
      </c>
      <c r="D27" s="48"/>
      <c r="E27" s="5"/>
      <c r="F27" s="51"/>
      <c r="G27" s="5"/>
      <c r="K27" s="52"/>
      <c r="L27" s="50"/>
      <c r="M27" s="51"/>
      <c r="N27" s="51"/>
      <c r="AA27" s="5"/>
    </row>
    <row r="28" spans="1:27" ht="15.75" customHeight="1">
      <c r="A28" s="48" t="s">
        <v>4770</v>
      </c>
      <c r="B28" s="49" t="s">
        <v>4771</v>
      </c>
      <c r="C28" s="48" t="s">
        <v>808</v>
      </c>
      <c r="D28" s="48"/>
      <c r="E28" s="5"/>
      <c r="F28" s="5"/>
      <c r="G28" s="5"/>
      <c r="J28" s="5"/>
      <c r="K28" s="52"/>
      <c r="L28" s="50"/>
      <c r="M28" s="51"/>
      <c r="N28" s="5"/>
      <c r="P28" s="5"/>
    </row>
    <row r="29" spans="1:27" ht="15.75" customHeight="1">
      <c r="A29" s="48" t="s">
        <v>4772</v>
      </c>
      <c r="B29" s="58" t="str">
        <f>HYPERLINK("https://bulbapedia.bulbagarden.net/wiki/Krookodile-EX_(XY_Promo_25)","KrookodileEX")</f>
        <v>KrookodileEX</v>
      </c>
      <c r="C29" s="48" t="s">
        <v>808</v>
      </c>
      <c r="D29" s="48"/>
      <c r="E29" s="5"/>
      <c r="F29" s="5"/>
      <c r="G29" s="5"/>
      <c r="J29" s="5"/>
      <c r="K29" s="52"/>
      <c r="L29" s="50"/>
      <c r="M29" s="51"/>
      <c r="N29" s="51"/>
      <c r="P29" s="5"/>
    </row>
    <row r="30" spans="1:27" ht="15.75" customHeight="1">
      <c r="A30" s="48" t="s">
        <v>4773</v>
      </c>
      <c r="B30" s="49" t="s">
        <v>4774</v>
      </c>
      <c r="C30" s="48" t="s">
        <v>199</v>
      </c>
      <c r="D30" s="48"/>
      <c r="E30" s="5"/>
      <c r="F30" s="5"/>
      <c r="G30" s="5"/>
      <c r="J30" s="5"/>
      <c r="K30" s="52"/>
      <c r="L30" s="50"/>
      <c r="M30" s="51"/>
      <c r="N30" s="5"/>
      <c r="P30" s="5"/>
    </row>
    <row r="31" spans="1:27" ht="15.75" customHeight="1">
      <c r="A31" s="48" t="s">
        <v>4775</v>
      </c>
      <c r="B31" s="58" t="str">
        <f>HYPERLINK("https://bulbapedia.bulbagarden.net/wiki/Champions_Festival_(XY_Promo_27)","Champions Festival")</f>
        <v>Champions Festival</v>
      </c>
      <c r="C31" s="48" t="s">
        <v>229</v>
      </c>
      <c r="D31" s="48"/>
      <c r="E31" s="5"/>
      <c r="F31" s="5"/>
      <c r="G31" s="5"/>
      <c r="J31" s="5"/>
      <c r="K31" s="52"/>
      <c r="L31" s="50"/>
      <c r="M31" s="51"/>
      <c r="N31" s="51"/>
      <c r="P31" s="5"/>
    </row>
    <row r="32" spans="1:27" ht="15.75" customHeight="1">
      <c r="A32" s="48" t="s">
        <v>4776</v>
      </c>
      <c r="B32" s="58" t="str">
        <f>HYPERLINK("https://bulbapedia.bulbagarden.net/wiki/Venusaur-EX_(XY_Promo_28)","VenusaurEX")</f>
        <v>VenusaurEX</v>
      </c>
      <c r="C32" s="48" t="s">
        <v>205</v>
      </c>
      <c r="D32" s="48"/>
      <c r="E32" s="5"/>
      <c r="F32" s="5"/>
      <c r="G32" s="5"/>
      <c r="J32" s="5"/>
      <c r="K32" s="52"/>
      <c r="L32" s="50"/>
      <c r="M32" s="51"/>
      <c r="N32" s="5"/>
      <c r="P32" s="5"/>
    </row>
    <row r="33" spans="1:16" ht="15.75" customHeight="1">
      <c r="A33" s="48" t="s">
        <v>4777</v>
      </c>
      <c r="B33" s="58" t="str">
        <f>HYPERLINK("https://bulbapedia.bulbagarden.net/wiki/Charizard-EX_(XY_Promo_29)","CharizardEX")</f>
        <v>CharizardEX</v>
      </c>
      <c r="C33" s="48" t="s">
        <v>199</v>
      </c>
      <c r="D33" s="48"/>
      <c r="E33" s="5"/>
      <c r="F33" s="5"/>
      <c r="G33" s="5"/>
      <c r="J33" s="5"/>
      <c r="K33" s="52"/>
      <c r="L33" s="50"/>
      <c r="M33" s="51"/>
      <c r="N33" s="5"/>
      <c r="P33" s="5"/>
    </row>
    <row r="34" spans="1:16" ht="15.75" customHeight="1">
      <c r="A34" s="48" t="s">
        <v>4778</v>
      </c>
      <c r="B34" s="58" t="str">
        <f>HYPERLINK("https://bulbapedia.bulbagarden.net/wiki/Blastoise-EX_(XY_Promo_30)","BlastoiseEX")</f>
        <v>BlastoiseEX</v>
      </c>
      <c r="C34" s="48" t="s">
        <v>208</v>
      </c>
      <c r="D34" s="48"/>
      <c r="E34" s="5"/>
      <c r="F34" s="5"/>
      <c r="G34" s="5"/>
      <c r="J34" s="5"/>
      <c r="K34" s="52"/>
      <c r="L34" s="50"/>
      <c r="M34" s="51"/>
      <c r="N34" s="5"/>
      <c r="P34" s="5"/>
    </row>
    <row r="35" spans="1:16" ht="15.75" customHeight="1">
      <c r="A35" s="48" t="s">
        <v>4779</v>
      </c>
      <c r="B35" s="49" t="s">
        <v>4745</v>
      </c>
      <c r="C35" s="48" t="s">
        <v>4743</v>
      </c>
      <c r="D35" s="48"/>
      <c r="E35" s="5"/>
      <c r="F35" s="5"/>
      <c r="G35" s="5"/>
      <c r="J35" s="5"/>
      <c r="K35" s="52"/>
      <c r="L35" s="50"/>
      <c r="M35" s="51"/>
      <c r="N35" s="51"/>
      <c r="P35" s="5"/>
    </row>
    <row r="36" spans="1:16" ht="15.75" customHeight="1">
      <c r="A36" s="48" t="s">
        <v>4780</v>
      </c>
      <c r="B36" s="49" t="s">
        <v>4747</v>
      </c>
      <c r="C36" s="48" t="s">
        <v>808</v>
      </c>
      <c r="D36" s="48"/>
      <c r="E36" s="5"/>
      <c r="F36" s="5"/>
      <c r="G36" s="5"/>
      <c r="J36" s="5"/>
      <c r="M36" s="5"/>
      <c r="N36" s="5"/>
      <c r="P36" s="5"/>
    </row>
    <row r="37" spans="1:16" ht="15.75" customHeight="1">
      <c r="A37" s="48" t="s">
        <v>4781</v>
      </c>
      <c r="B37" s="49" t="s">
        <v>4782</v>
      </c>
      <c r="C37" s="48" t="s">
        <v>1013</v>
      </c>
      <c r="D37" s="48"/>
      <c r="E37" s="5"/>
      <c r="F37" s="5"/>
      <c r="G37" s="5"/>
      <c r="J37" s="5"/>
      <c r="M37" s="5"/>
      <c r="N37" s="5"/>
    </row>
    <row r="38" spans="1:16" ht="15.75" customHeight="1">
      <c r="A38" s="48" t="s">
        <v>4783</v>
      </c>
      <c r="B38" s="58" t="str">
        <f>HYPERLINK("https://bulbapedia.bulbagarden.net/wiki/Metagross-EX_(XY_Promo_34)","MetagrossEX")</f>
        <v>MetagrossEX</v>
      </c>
      <c r="C38" s="48" t="s">
        <v>220</v>
      </c>
      <c r="D38" s="48"/>
      <c r="E38" s="5"/>
      <c r="F38" s="5"/>
      <c r="G38" s="5"/>
      <c r="J38" s="5"/>
      <c r="M38" s="51"/>
      <c r="N38" s="51"/>
    </row>
    <row r="39" spans="1:16" ht="15.75" customHeight="1">
      <c r="A39" s="48" t="s">
        <v>4784</v>
      </c>
      <c r="B39" s="58" t="str">
        <f>HYPERLINK("https://bulbapedia.bulbagarden.net/wiki/M_Metagross-EX_(XY_Promo_35)","MMetagrossEX")</f>
        <v>MMetagrossEX</v>
      </c>
      <c r="C39" s="48" t="s">
        <v>220</v>
      </c>
      <c r="D39" s="48"/>
      <c r="E39" s="5"/>
      <c r="F39" s="5"/>
      <c r="G39" s="5"/>
      <c r="J39" s="5"/>
      <c r="M39" s="51"/>
      <c r="N39" s="51"/>
    </row>
    <row r="40" spans="1:16" ht="15.75" customHeight="1">
      <c r="A40" s="48" t="s">
        <v>4785</v>
      </c>
      <c r="B40" s="49" t="s">
        <v>1187</v>
      </c>
      <c r="C40" s="48" t="s">
        <v>205</v>
      </c>
      <c r="D40" s="48"/>
      <c r="E40" s="5"/>
      <c r="F40" s="5"/>
      <c r="G40" s="5"/>
      <c r="J40" s="5"/>
      <c r="M40" s="51"/>
      <c r="N40" s="51"/>
    </row>
    <row r="41" spans="1:16" ht="15.75" customHeight="1">
      <c r="A41" s="48" t="s">
        <v>4786</v>
      </c>
      <c r="B41" s="49" t="s">
        <v>1190</v>
      </c>
      <c r="C41" s="48" t="s">
        <v>199</v>
      </c>
      <c r="D41" s="48"/>
      <c r="E41" s="5"/>
      <c r="F41" s="51"/>
      <c r="G41" s="5"/>
      <c r="J41" s="5"/>
      <c r="M41" s="51"/>
      <c r="N41" s="51"/>
    </row>
    <row r="42" spans="1:16" ht="15.75" customHeight="1">
      <c r="A42" s="48" t="s">
        <v>4787</v>
      </c>
      <c r="B42" s="49" t="s">
        <v>1189</v>
      </c>
      <c r="C42" s="48" t="s">
        <v>208</v>
      </c>
      <c r="D42" s="48"/>
      <c r="E42" s="5"/>
      <c r="F42" s="5"/>
      <c r="G42" s="5"/>
      <c r="J42" s="5"/>
      <c r="M42" s="51"/>
      <c r="N42" s="51"/>
    </row>
    <row r="43" spans="1:16" ht="15.75" customHeight="1">
      <c r="A43" s="48" t="s">
        <v>4788</v>
      </c>
      <c r="B43" s="58" t="str">
        <f>HYPERLINK("https://bulbapedia.bulbagarden.net/wiki/Kingdra_(XY_Promo_39)","Kingdra")</f>
        <v>Kingdra</v>
      </c>
      <c r="C43" s="48" t="s">
        <v>4285</v>
      </c>
      <c r="D43" s="48"/>
      <c r="E43" s="5"/>
      <c r="F43" s="5"/>
      <c r="G43" s="5"/>
      <c r="J43" s="5"/>
      <c r="M43" s="51"/>
      <c r="N43" s="51"/>
    </row>
    <row r="44" spans="1:16" ht="15.75" customHeight="1">
      <c r="A44" s="48" t="s">
        <v>4789</v>
      </c>
      <c r="B44" s="49" t="s">
        <v>359</v>
      </c>
      <c r="C44" s="48" t="s">
        <v>197</v>
      </c>
      <c r="D44" s="48"/>
      <c r="E44" s="5"/>
      <c r="F44" s="5"/>
      <c r="G44" s="5"/>
      <c r="J44" s="5"/>
      <c r="M44" s="51"/>
      <c r="N44" s="51"/>
    </row>
    <row r="45" spans="1:16" ht="15.75" customHeight="1">
      <c r="A45" s="48" t="s">
        <v>4790</v>
      </c>
      <c r="B45" s="58" t="str">
        <f>HYPERLINK("https://bulbapedia.bulbagarden.net/wiki/Kyogre-EX_(XY_Promo_41)","KyogreEX")</f>
        <v>KyogreEX</v>
      </c>
      <c r="C45" s="48" t="s">
        <v>208</v>
      </c>
      <c r="D45" s="48"/>
      <c r="E45" s="5"/>
      <c r="F45" s="5"/>
      <c r="G45" s="5"/>
      <c r="J45" s="5"/>
      <c r="M45" s="51"/>
      <c r="N45" s="51"/>
      <c r="P45" s="5"/>
    </row>
    <row r="46" spans="1:16" ht="15.75" customHeight="1">
      <c r="A46" s="48" t="s">
        <v>4791</v>
      </c>
      <c r="B46" s="58" t="str">
        <f>HYPERLINK("https://bulbapedia.bulbagarden.net/wiki/Groudon-EX_(XY_Promo_42)","GroudonEX")</f>
        <v>GroudonEX</v>
      </c>
      <c r="C46" s="48" t="s">
        <v>225</v>
      </c>
      <c r="D46" s="48"/>
      <c r="E46" s="5"/>
      <c r="F46" s="5"/>
      <c r="G46" s="5"/>
      <c r="J46" s="5"/>
      <c r="M46" s="51"/>
      <c r="N46" s="51"/>
      <c r="P46" s="5"/>
    </row>
    <row r="47" spans="1:16" ht="15.75" customHeight="1">
      <c r="A47" s="48" t="s">
        <v>4792</v>
      </c>
      <c r="B47" s="58" t="str">
        <f>HYPERLINK("https://bulbapedia.bulbagarden.net/wiki/Diancie-EX_(XY_Promo_43)","DiancieEX")</f>
        <v>DiancieEX</v>
      </c>
      <c r="C47" s="48" t="s">
        <v>4743</v>
      </c>
      <c r="D47" s="48"/>
      <c r="E47" s="5"/>
      <c r="F47" s="5"/>
      <c r="G47" s="5"/>
      <c r="J47" s="5"/>
      <c r="M47" s="5"/>
      <c r="N47" s="5"/>
      <c r="P47" s="5"/>
    </row>
    <row r="48" spans="1:16" ht="15.75" customHeight="1">
      <c r="A48" s="48" t="s">
        <v>4793</v>
      </c>
      <c r="B48" s="58" t="str">
        <f>HYPERLINK("https://bulbapedia.bulbagarden.net/wiki/M_Diancie-EX_(XY_Promo_44)","MDiancieEX")</f>
        <v>MDiancieEX</v>
      </c>
      <c r="C48" s="48" t="s">
        <v>4743</v>
      </c>
      <c r="D48" s="48"/>
      <c r="E48" s="5"/>
      <c r="F48" s="5"/>
      <c r="G48" s="5"/>
      <c r="J48" s="5"/>
      <c r="M48" s="5"/>
      <c r="N48" s="5"/>
      <c r="P48" s="5"/>
    </row>
    <row r="49" spans="1:16" ht="15.75" customHeight="1">
      <c r="A49" s="48" t="s">
        <v>4794</v>
      </c>
      <c r="B49" s="58" t="str">
        <f>HYPERLINK("https://bulbapedia.bulbagarden.net/wiki/Gallade-EX_(XY_Promo_45)","GalladeEX")</f>
        <v>GalladeEX</v>
      </c>
      <c r="C49" s="48" t="s">
        <v>195</v>
      </c>
      <c r="D49" s="48"/>
      <c r="E49" s="5"/>
      <c r="F49" s="5"/>
      <c r="G49" s="5"/>
      <c r="J49" s="5"/>
      <c r="M49" s="5"/>
      <c r="N49" s="5"/>
      <c r="P49" s="5"/>
    </row>
    <row r="50" spans="1:16" ht="15.75" customHeight="1">
      <c r="A50" s="48" t="s">
        <v>4795</v>
      </c>
      <c r="B50" s="58" t="str">
        <f>HYPERLINK("https://bulbapedia.bulbagarden.net/wiki/Altaria_(XY_Promo_46)","Altaria")</f>
        <v>Altaria</v>
      </c>
      <c r="C50" s="48" t="s">
        <v>197</v>
      </c>
      <c r="D50" s="48"/>
      <c r="E50" s="5"/>
      <c r="F50" s="5"/>
      <c r="G50" s="5"/>
      <c r="J50" s="5"/>
      <c r="M50" s="5"/>
      <c r="N50" s="5"/>
      <c r="P50" s="5"/>
    </row>
    <row r="51" spans="1:16" ht="15.75" customHeight="1">
      <c r="A51" s="48" t="s">
        <v>4796</v>
      </c>
      <c r="B51" s="49" t="s">
        <v>4797</v>
      </c>
      <c r="C51" s="48" t="s">
        <v>192</v>
      </c>
      <c r="D51" s="48"/>
      <c r="E51" s="5"/>
      <c r="F51" s="5"/>
      <c r="G51" s="5"/>
      <c r="J51" s="5"/>
      <c r="M51" s="5"/>
      <c r="N51" s="5"/>
      <c r="P51" s="5"/>
    </row>
    <row r="52" spans="1:16" ht="15.75" customHeight="1">
      <c r="A52" s="48" t="s">
        <v>4798</v>
      </c>
      <c r="B52" s="49" t="s">
        <v>4799</v>
      </c>
      <c r="C52" s="48" t="s">
        <v>195</v>
      </c>
      <c r="D52" s="48"/>
      <c r="E52" s="5"/>
      <c r="F52" s="5"/>
      <c r="G52" s="5"/>
      <c r="J52" s="5"/>
      <c r="M52" s="5"/>
      <c r="N52" s="5"/>
      <c r="P52" s="5"/>
    </row>
    <row r="53" spans="1:16" ht="13">
      <c r="A53" s="48" t="s">
        <v>4800</v>
      </c>
      <c r="B53" s="49" t="s">
        <v>2780</v>
      </c>
      <c r="C53" s="48" t="s">
        <v>225</v>
      </c>
      <c r="D53" s="48"/>
      <c r="E53" s="5"/>
      <c r="F53" s="5"/>
      <c r="G53" s="5"/>
      <c r="J53" s="5"/>
      <c r="M53" s="5"/>
      <c r="N53" s="5"/>
      <c r="P53" s="5"/>
    </row>
    <row r="54" spans="1:16" ht="13">
      <c r="A54" s="48" t="s">
        <v>4801</v>
      </c>
      <c r="B54" s="49" t="s">
        <v>4802</v>
      </c>
      <c r="C54" s="48" t="s">
        <v>225</v>
      </c>
      <c r="D54" s="48"/>
      <c r="E54" s="5"/>
      <c r="F54" s="5"/>
      <c r="G54" s="5"/>
      <c r="J54" s="5"/>
      <c r="M54" s="5"/>
      <c r="N54" s="5"/>
      <c r="P54" s="5"/>
    </row>
    <row r="55" spans="1:16" ht="13">
      <c r="A55" s="48" t="s">
        <v>4803</v>
      </c>
      <c r="B55" s="49" t="s">
        <v>2236</v>
      </c>
      <c r="C55" s="48" t="s">
        <v>208</v>
      </c>
      <c r="D55" s="48"/>
      <c r="E55" s="5"/>
      <c r="F55" s="5"/>
      <c r="G55" s="5"/>
      <c r="J55" s="5"/>
      <c r="M55" s="5"/>
      <c r="N55" s="5"/>
      <c r="P55" s="5"/>
    </row>
    <row r="56" spans="1:16" ht="13">
      <c r="A56" s="48" t="s">
        <v>4804</v>
      </c>
      <c r="B56" s="49" t="s">
        <v>1935</v>
      </c>
      <c r="C56" s="48" t="s">
        <v>225</v>
      </c>
      <c r="D56" s="48"/>
      <c r="E56" s="5"/>
      <c r="F56" s="5"/>
      <c r="G56" s="5"/>
      <c r="J56" s="5"/>
      <c r="M56" s="5"/>
      <c r="N56" s="5"/>
      <c r="P56" s="5"/>
    </row>
    <row r="57" spans="1:16" ht="13">
      <c r="A57" s="48" t="s">
        <v>4805</v>
      </c>
      <c r="B57" s="58" t="str">
        <f>HYPERLINK("https://bulbapedia.bulbagarden.net/wiki/Sceptile-EX_(XY_Promo_53)","SceptileEX")</f>
        <v>SceptileEX</v>
      </c>
      <c r="C57" s="48" t="s">
        <v>205</v>
      </c>
      <c r="D57" s="48"/>
      <c r="E57" s="5"/>
      <c r="F57" s="5"/>
      <c r="G57" s="5"/>
      <c r="J57" s="5"/>
      <c r="M57" s="5"/>
      <c r="N57" s="5"/>
      <c r="P57" s="5"/>
    </row>
    <row r="58" spans="1:16" ht="13">
      <c r="A58" s="48" t="s">
        <v>4806</v>
      </c>
      <c r="B58" s="58" t="str">
        <f>HYPERLINK("https://bulbapedia.bulbagarden.net/wiki/Blaziken-EX_(XY_Promo_54)","BlazikenEX")</f>
        <v>BlazikenEX</v>
      </c>
      <c r="C58" s="48" t="s">
        <v>199</v>
      </c>
      <c r="D58" s="48"/>
      <c r="E58" s="5"/>
      <c r="F58" s="5"/>
      <c r="G58" s="5"/>
      <c r="J58" s="5"/>
      <c r="M58" s="5"/>
      <c r="N58" s="5"/>
      <c r="P58" s="5"/>
    </row>
    <row r="59" spans="1:16" ht="13">
      <c r="A59" s="48" t="s">
        <v>4807</v>
      </c>
      <c r="B59" s="58" t="str">
        <f>HYPERLINK("https://bulbapedia.bulbagarden.net/wiki/Swampert-EX_(XY_Promo_55)","SwampertEX")</f>
        <v>SwampertEX</v>
      </c>
      <c r="C59" s="48" t="s">
        <v>208</v>
      </c>
      <c r="D59" s="48"/>
      <c r="E59" s="5"/>
      <c r="F59" s="5"/>
      <c r="G59" s="5"/>
      <c r="J59" s="5"/>
      <c r="M59" s="5"/>
      <c r="N59" s="5"/>
      <c r="P59" s="5"/>
    </row>
    <row r="60" spans="1:16" ht="13">
      <c r="A60" s="48" t="s">
        <v>4808</v>
      </c>
      <c r="B60" s="49" t="s">
        <v>968</v>
      </c>
      <c r="C60" s="48" t="s">
        <v>197</v>
      </c>
      <c r="D60" s="48"/>
      <c r="E60" s="5"/>
      <c r="F60" s="5"/>
      <c r="G60" s="5"/>
      <c r="J60" s="5"/>
      <c r="M60" s="5"/>
      <c r="N60" s="5"/>
      <c r="P60" s="5"/>
    </row>
    <row r="61" spans="1:16" ht="13">
      <c r="A61" s="48" t="s">
        <v>4809</v>
      </c>
      <c r="B61" s="49" t="s">
        <v>334</v>
      </c>
      <c r="C61" s="48" t="s">
        <v>197</v>
      </c>
      <c r="D61" s="48"/>
      <c r="E61" s="5"/>
      <c r="F61" s="5"/>
      <c r="G61" s="5"/>
      <c r="J61" s="5"/>
      <c r="M61" s="5"/>
      <c r="N61" s="5"/>
      <c r="P61" s="5"/>
    </row>
    <row r="62" spans="1:16" ht="13">
      <c r="A62" s="48" t="s">
        <v>4810</v>
      </c>
      <c r="B62" s="49" t="s">
        <v>4811</v>
      </c>
      <c r="C62" s="48" t="s">
        <v>808</v>
      </c>
      <c r="D62" s="48"/>
      <c r="E62" s="51"/>
      <c r="F62" s="5"/>
      <c r="G62" s="5"/>
      <c r="J62" s="5"/>
      <c r="M62" s="5"/>
      <c r="N62" s="5"/>
      <c r="P62" s="5"/>
    </row>
    <row r="63" spans="1:16" ht="13">
      <c r="A63" s="48" t="s">
        <v>4812</v>
      </c>
      <c r="B63" s="49" t="s">
        <v>1507</v>
      </c>
      <c r="C63" s="48" t="s">
        <v>4285</v>
      </c>
      <c r="D63" s="48"/>
      <c r="E63" s="51"/>
      <c r="F63" s="5"/>
      <c r="G63" s="5"/>
      <c r="J63" s="5"/>
      <c r="M63" s="5"/>
      <c r="N63" s="5"/>
      <c r="P63" s="5"/>
    </row>
    <row r="64" spans="1:16" ht="13">
      <c r="A64" s="48" t="s">
        <v>4813</v>
      </c>
      <c r="B64" s="58" t="str">
        <f>HYPERLINK("https://bulbapedia.bulbagarden.net/wiki/Gyarados_(XY_Promo_60)","Gyarados")</f>
        <v>Gyarados</v>
      </c>
      <c r="C64" s="48" t="s">
        <v>208</v>
      </c>
      <c r="D64" s="48"/>
      <c r="E64" s="5"/>
      <c r="F64" s="5"/>
      <c r="G64" s="5"/>
      <c r="J64" s="5"/>
      <c r="M64" s="5"/>
      <c r="N64" s="5"/>
      <c r="P64" s="5"/>
    </row>
    <row r="65" spans="1:16" ht="13">
      <c r="A65" s="48" t="s">
        <v>4814</v>
      </c>
      <c r="B65" s="58" t="str">
        <f>HYPERLINK("https://bulbapedia.bulbagarden.net/wiki/Flygon-EX_(XY_Promo_61)","FlygonEX")</f>
        <v>FlygonEX</v>
      </c>
      <c r="C65" s="48" t="s">
        <v>4285</v>
      </c>
      <c r="D65" s="48"/>
      <c r="E65" s="5"/>
      <c r="F65" s="5"/>
      <c r="G65" s="5"/>
      <c r="J65" s="5"/>
      <c r="M65" s="5"/>
      <c r="N65" s="5"/>
      <c r="P65" s="5"/>
    </row>
    <row r="66" spans="1:16" ht="13">
      <c r="A66" s="48" t="s">
        <v>4815</v>
      </c>
      <c r="B66" s="58" t="str">
        <f>HYPERLINK("https://bulbapedia.bulbagarden.net/wiki/Absol-EX_(XY_Promo_62)","AbsolEX")</f>
        <v>AbsolEX</v>
      </c>
      <c r="C66" s="48" t="s">
        <v>808</v>
      </c>
      <c r="D66" s="48"/>
      <c r="E66" s="5"/>
      <c r="F66" s="5"/>
      <c r="G66" s="5"/>
      <c r="J66" s="5"/>
      <c r="M66" s="5"/>
      <c r="N66" s="5"/>
      <c r="P66" s="5"/>
    </row>
    <row r="67" spans="1:16" ht="13">
      <c r="A67" s="48" t="s">
        <v>4816</v>
      </c>
      <c r="B67" s="58" t="str">
        <f>HYPERLINK("https://bulbapedia.bulbagarden.net/wiki/M_Absol-EX_(XY_Promo_63)","MAbsolEX")</f>
        <v>MAbsolEX</v>
      </c>
      <c r="C67" s="48" t="s">
        <v>808</v>
      </c>
      <c r="D67" s="48"/>
      <c r="E67" s="5"/>
      <c r="F67" s="5"/>
      <c r="G67" s="5"/>
      <c r="J67" s="5"/>
      <c r="M67" s="5"/>
      <c r="N67" s="5"/>
      <c r="P67" s="5"/>
    </row>
    <row r="68" spans="1:16" ht="13">
      <c r="A68" s="48" t="s">
        <v>4817</v>
      </c>
      <c r="B68" s="49" t="s">
        <v>2128</v>
      </c>
      <c r="C68" s="48" t="s">
        <v>4285</v>
      </c>
      <c r="D68" s="48"/>
      <c r="E68" s="5"/>
      <c r="F68" s="5"/>
      <c r="G68" s="5"/>
      <c r="J68" s="5"/>
      <c r="M68" s="5"/>
      <c r="N68" s="5"/>
      <c r="P68" s="5"/>
    </row>
    <row r="69" spans="1:16" ht="13">
      <c r="A69" s="48" t="s">
        <v>4818</v>
      </c>
      <c r="B69" s="49" t="s">
        <v>1194</v>
      </c>
      <c r="C69" s="48" t="s">
        <v>195</v>
      </c>
      <c r="D69" s="48"/>
      <c r="E69" s="5"/>
      <c r="F69" s="5"/>
      <c r="G69" s="5"/>
      <c r="J69" s="5"/>
      <c r="M69" s="5"/>
      <c r="N69" s="5"/>
      <c r="P69" s="5"/>
    </row>
    <row r="70" spans="1:16" ht="13">
      <c r="A70" s="48" t="s">
        <v>4819</v>
      </c>
      <c r="B70" s="58" t="str">
        <f>HYPERLINK("https://bulbapedia.bulbagarden.net/wiki/Rayquaza-EX_(XY_Promo_66)","RayquazaEX")</f>
        <v>RayquazaEX</v>
      </c>
      <c r="C70" s="48" t="s">
        <v>197</v>
      </c>
      <c r="D70" s="48"/>
      <c r="E70" s="5"/>
      <c r="F70" s="5"/>
      <c r="G70" s="5"/>
      <c r="J70" s="5"/>
      <c r="M70" s="5"/>
      <c r="N70" s="5"/>
      <c r="P70" s="5"/>
    </row>
    <row r="71" spans="1:16" ht="13">
      <c r="A71" s="48" t="s">
        <v>4820</v>
      </c>
      <c r="B71" s="49" t="s">
        <v>1196</v>
      </c>
      <c r="C71" s="48" t="s">
        <v>220</v>
      </c>
      <c r="D71" s="48"/>
      <c r="E71" s="5"/>
      <c r="F71" s="5"/>
      <c r="G71" s="5"/>
      <c r="J71" s="5"/>
      <c r="M71" s="5"/>
      <c r="N71" s="5"/>
      <c r="P71" s="5"/>
    </row>
    <row r="72" spans="1:16" ht="13">
      <c r="A72" s="48" t="s">
        <v>4821</v>
      </c>
      <c r="B72" s="49" t="s">
        <v>1196</v>
      </c>
      <c r="C72" s="48" t="s">
        <v>220</v>
      </c>
      <c r="D72" s="48"/>
      <c r="E72" s="5"/>
      <c r="F72" s="5"/>
      <c r="G72" s="5"/>
      <c r="J72" s="5"/>
      <c r="M72" s="5"/>
      <c r="N72" s="5"/>
      <c r="P72" s="5"/>
    </row>
    <row r="73" spans="1:16" ht="13">
      <c r="A73" s="48" t="s">
        <v>4822</v>
      </c>
      <c r="B73" s="58" t="str">
        <f>HYPERLINK("https://bulbapedia.bulbagarden.net/wiki/Chesnaught_(XY_Promo_68)","Chesnaught")</f>
        <v>Chesnaught</v>
      </c>
      <c r="C73" s="48" t="s">
        <v>205</v>
      </c>
      <c r="D73" s="48"/>
      <c r="E73" s="5"/>
      <c r="F73" s="5"/>
      <c r="G73" s="5"/>
      <c r="J73" s="5"/>
      <c r="M73" s="5"/>
      <c r="N73" s="5"/>
      <c r="P73" s="5"/>
    </row>
    <row r="74" spans="1:16" ht="13">
      <c r="A74" s="48" t="s">
        <v>4823</v>
      </c>
      <c r="B74" s="58" t="str">
        <f>HYPERLINK("https://bulbapedia.bulbagarden.net/wiki/Rayquaza-EX_(XY_Promo_69)","RayquazaEX")</f>
        <v>RayquazaEX</v>
      </c>
      <c r="C74" s="48" t="s">
        <v>197</v>
      </c>
      <c r="D74" s="48"/>
      <c r="E74" s="5"/>
      <c r="F74" s="5"/>
      <c r="G74" s="5"/>
      <c r="J74" s="5"/>
      <c r="M74" s="5"/>
      <c r="N74" s="5"/>
      <c r="P74" s="5"/>
    </row>
    <row r="75" spans="1:16" ht="13">
      <c r="A75" s="48" t="s">
        <v>4824</v>
      </c>
      <c r="B75" s="58" t="str">
        <f>HYPERLINK("https://bulbapedia.bulbagarden.net/wiki/Tyrantrum-EX_(XY_Promo_70)","TyrantrumEX")</f>
        <v>TyrantrumEX</v>
      </c>
      <c r="C75" s="48" t="s">
        <v>4285</v>
      </c>
      <c r="D75" s="48"/>
      <c r="E75" s="5"/>
      <c r="F75" s="5"/>
      <c r="G75" s="5"/>
      <c r="J75" s="5"/>
      <c r="M75" s="5"/>
      <c r="N75" s="5"/>
      <c r="P75" s="5"/>
    </row>
    <row r="76" spans="1:16" ht="13">
      <c r="A76" s="48" t="s">
        <v>4825</v>
      </c>
      <c r="B76" s="58" t="str">
        <f>HYPERLINK("https://bulbapedia.bulbagarden.net/wiki/Hoopa-EX_(XY_Promo_71)","HoopaEX")</f>
        <v>HoopaEX</v>
      </c>
      <c r="C76" s="48" t="s">
        <v>195</v>
      </c>
      <c r="D76" s="48"/>
      <c r="E76" s="5"/>
      <c r="F76" s="5"/>
      <c r="G76" s="5"/>
      <c r="J76" s="5"/>
      <c r="M76" s="5"/>
      <c r="N76" s="5"/>
      <c r="P76" s="5"/>
    </row>
    <row r="77" spans="1:16" ht="13">
      <c r="A77" s="48" t="s">
        <v>4826</v>
      </c>
      <c r="B77" s="58" t="str">
        <f>HYPERLINK("https://bulbapedia.bulbagarden.net/wiki/Latios-EX_(XY_Promo_72)","LatiosEX")</f>
        <v>LatiosEX</v>
      </c>
      <c r="C77" s="48" t="s">
        <v>4285</v>
      </c>
      <c r="D77" s="48"/>
      <c r="E77" s="5"/>
      <c r="F77" s="5"/>
      <c r="G77" s="5"/>
      <c r="J77" s="5"/>
      <c r="M77" s="5"/>
      <c r="N77" s="5"/>
      <c r="P77" s="5"/>
    </row>
    <row r="78" spans="1:16" ht="13">
      <c r="A78" s="48" t="s">
        <v>4827</v>
      </c>
      <c r="B78" s="58" t="str">
        <f>HYPERLINK("https://bulbapedia.bulbagarden.net/wiki/Rayquaza-EX_(XY_Promo_73)","RayquazaEX")</f>
        <v>RayquazaEX</v>
      </c>
      <c r="C78" s="48" t="s">
        <v>4285</v>
      </c>
      <c r="D78" s="48"/>
      <c r="E78" s="5"/>
      <c r="F78" s="5"/>
      <c r="G78" s="5"/>
      <c r="J78" s="5"/>
      <c r="M78" s="5"/>
      <c r="N78" s="5"/>
      <c r="P78" s="5"/>
    </row>
    <row r="79" spans="1:16" ht="13">
      <c r="A79" s="48" t="s">
        <v>4828</v>
      </c>
      <c r="B79" s="49" t="s">
        <v>4123</v>
      </c>
      <c r="C79" s="48" t="s">
        <v>199</v>
      </c>
      <c r="D79" s="48"/>
      <c r="E79" s="5"/>
      <c r="F79" s="5"/>
      <c r="G79" s="5"/>
      <c r="J79" s="5"/>
      <c r="M79" s="5"/>
      <c r="N79" s="5"/>
      <c r="P79" s="5"/>
    </row>
    <row r="80" spans="1:16" ht="13">
      <c r="A80" s="48" t="s">
        <v>4829</v>
      </c>
      <c r="B80" s="49" t="s">
        <v>3064</v>
      </c>
      <c r="C80" s="48" t="s">
        <v>208</v>
      </c>
      <c r="D80" s="48"/>
      <c r="E80" s="5"/>
      <c r="F80" s="5"/>
      <c r="G80" s="5"/>
      <c r="J80" s="5"/>
      <c r="M80" s="5"/>
      <c r="N80" s="5"/>
      <c r="P80" s="5"/>
    </row>
    <row r="81" spans="1:16" ht="13">
      <c r="A81" s="48" t="s">
        <v>4830</v>
      </c>
      <c r="B81" s="49" t="s">
        <v>4129</v>
      </c>
      <c r="C81" s="48" t="s">
        <v>192</v>
      </c>
      <c r="D81" s="48"/>
      <c r="E81" s="5"/>
      <c r="F81" s="5"/>
      <c r="G81" s="5"/>
      <c r="J81" s="5"/>
      <c r="M81" s="5"/>
      <c r="N81" s="5"/>
      <c r="P81" s="5"/>
    </row>
    <row r="82" spans="1:16" ht="13">
      <c r="A82" s="48" t="s">
        <v>4831</v>
      </c>
      <c r="B82" s="49" t="s">
        <v>3062</v>
      </c>
      <c r="C82" s="48" t="s">
        <v>220</v>
      </c>
      <c r="D82" s="48"/>
      <c r="E82" s="5"/>
      <c r="F82" s="5"/>
      <c r="G82" s="5"/>
      <c r="J82" s="5"/>
      <c r="M82" s="5"/>
      <c r="N82" s="5"/>
      <c r="P82" s="5"/>
    </row>
    <row r="83" spans="1:16" ht="13">
      <c r="A83" s="48" t="s">
        <v>4832</v>
      </c>
      <c r="B83" s="49" t="s">
        <v>1193</v>
      </c>
      <c r="C83" s="48" t="s">
        <v>4285</v>
      </c>
      <c r="D83" s="48"/>
      <c r="E83" s="5"/>
      <c r="F83" s="5"/>
      <c r="G83" s="5"/>
      <c r="J83" s="5"/>
      <c r="M83" s="5"/>
      <c r="N83" s="5"/>
      <c r="P83" s="5"/>
    </row>
    <row r="84" spans="1:16" ht="13">
      <c r="A84" s="48" t="s">
        <v>4833</v>
      </c>
      <c r="B84" s="49" t="s">
        <v>1194</v>
      </c>
      <c r="C84" s="48" t="s">
        <v>4285</v>
      </c>
      <c r="D84" s="48"/>
      <c r="E84" s="5"/>
      <c r="F84" s="5"/>
      <c r="G84" s="5"/>
      <c r="J84" s="5"/>
      <c r="M84" s="5"/>
      <c r="N84" s="5"/>
      <c r="P84" s="5"/>
    </row>
    <row r="85" spans="1:16" ht="13">
      <c r="A85" s="48" t="s">
        <v>4834</v>
      </c>
      <c r="B85" s="49" t="s">
        <v>4456</v>
      </c>
      <c r="C85" s="48" t="s">
        <v>4285</v>
      </c>
      <c r="D85" s="48"/>
      <c r="E85" s="5"/>
      <c r="F85" s="5"/>
      <c r="G85" s="5"/>
      <c r="J85" s="5"/>
      <c r="M85" s="5"/>
      <c r="N85" s="5"/>
      <c r="P85" s="5"/>
    </row>
    <row r="86" spans="1:16" ht="13">
      <c r="A86" s="48" t="s">
        <v>4835</v>
      </c>
      <c r="B86" s="49" t="s">
        <v>4460</v>
      </c>
      <c r="C86" s="48" t="s">
        <v>4285</v>
      </c>
      <c r="D86" s="48"/>
      <c r="E86" s="5"/>
      <c r="F86" s="5"/>
      <c r="G86" s="5"/>
      <c r="J86" s="5"/>
      <c r="M86" s="5"/>
      <c r="N86" s="5"/>
      <c r="P86" s="5"/>
    </row>
    <row r="87" spans="1:16" ht="13">
      <c r="A87" s="48" t="s">
        <v>4836</v>
      </c>
      <c r="B87" s="49" t="s">
        <v>3089</v>
      </c>
      <c r="C87" s="48" t="s">
        <v>197</v>
      </c>
      <c r="D87" s="48"/>
      <c r="E87" s="5"/>
      <c r="F87" s="5"/>
      <c r="G87" s="5"/>
      <c r="J87" s="5"/>
      <c r="M87" s="5"/>
      <c r="N87" s="5"/>
      <c r="P87" s="5"/>
    </row>
    <row r="88" spans="1:16" ht="13">
      <c r="A88" s="48" t="s">
        <v>4837</v>
      </c>
      <c r="B88" s="49" t="s">
        <v>56</v>
      </c>
      <c r="C88" s="48" t="s">
        <v>197</v>
      </c>
      <c r="D88" s="48"/>
      <c r="E88" s="5"/>
      <c r="F88" s="5"/>
      <c r="G88" s="5"/>
      <c r="J88" s="5"/>
      <c r="M88" s="5"/>
      <c r="N88" s="5"/>
      <c r="P88" s="5"/>
    </row>
    <row r="89" spans="1:16" ht="13">
      <c r="A89" s="48" t="s">
        <v>4838</v>
      </c>
      <c r="B89" s="58" t="str">
        <f>HYPERLINK("https://bulbapedia.bulbagarden.net/wiki/Pikachu-EX_(XY_Promo_84)","PikachuEX")</f>
        <v>PikachuEX</v>
      </c>
      <c r="C89" s="48" t="s">
        <v>192</v>
      </c>
      <c r="D89" s="48"/>
      <c r="E89" s="5"/>
      <c r="F89" s="5"/>
      <c r="G89" s="5"/>
      <c r="J89" s="5"/>
      <c r="M89" s="5"/>
      <c r="N89" s="5"/>
      <c r="P89" s="5"/>
    </row>
    <row r="90" spans="1:16" ht="13">
      <c r="A90" s="48" t="s">
        <v>4839</v>
      </c>
      <c r="B90" s="58" t="str">
        <f>HYPERLINK("https://bulbapedia.bulbagarden.net/wiki/Hoopa-EX_(XY_Promo_85)","HoopaEX")</f>
        <v>HoopaEX</v>
      </c>
      <c r="C90" s="48" t="s">
        <v>195</v>
      </c>
      <c r="D90" s="48"/>
      <c r="E90" s="5"/>
      <c r="F90" s="5"/>
      <c r="G90" s="5"/>
      <c r="J90" s="5"/>
      <c r="M90" s="5"/>
      <c r="N90" s="5"/>
      <c r="P90" s="5"/>
    </row>
    <row r="91" spans="1:16" ht="13">
      <c r="A91" s="48" t="s">
        <v>4840</v>
      </c>
      <c r="B91" s="58" t="str">
        <f>HYPERLINK("https://bulbapedia.bulbagarden.net/wiki/M_Blaziken-EX_(XY_Promo_86)","MBlazikenEX")</f>
        <v>MBlazikenEX</v>
      </c>
      <c r="C91" s="48" t="s">
        <v>199</v>
      </c>
      <c r="D91" s="48"/>
      <c r="E91" s="5"/>
      <c r="F91" s="5"/>
      <c r="G91" s="5"/>
      <c r="J91" s="5"/>
      <c r="M91" s="5"/>
      <c r="N91" s="5"/>
      <c r="P91" s="5"/>
    </row>
    <row r="92" spans="1:16" ht="13">
      <c r="A92" s="48" t="s">
        <v>4841</v>
      </c>
      <c r="B92" s="58" t="str">
        <f>HYPERLINK("https://bulbapedia.bulbagarden.net/wiki/M_Swampert-EX_(XY_Promo_87)","MSwampertEX")</f>
        <v>MSwampertEX</v>
      </c>
      <c r="C92" s="48" t="s">
        <v>208</v>
      </c>
      <c r="D92" s="48"/>
      <c r="E92" s="5"/>
      <c r="F92" s="5"/>
      <c r="G92" s="5"/>
      <c r="J92" s="5"/>
      <c r="M92" s="5"/>
      <c r="N92" s="5"/>
      <c r="P92" s="5"/>
    </row>
    <row r="93" spans="1:16" ht="13">
      <c r="A93" s="48" t="s">
        <v>4842</v>
      </c>
      <c r="B93" s="49" t="s">
        <v>4736</v>
      </c>
      <c r="C93" s="48" t="s">
        <v>205</v>
      </c>
      <c r="D93" s="48"/>
      <c r="E93" s="5"/>
      <c r="F93" s="5"/>
      <c r="G93" s="5"/>
      <c r="J93" s="5"/>
      <c r="M93" s="5"/>
      <c r="N93" s="5"/>
      <c r="P93" s="5"/>
    </row>
    <row r="94" spans="1:16" ht="13">
      <c r="A94" s="48" t="s">
        <v>4843</v>
      </c>
      <c r="B94" s="49" t="s">
        <v>191</v>
      </c>
      <c r="C94" s="48" t="s">
        <v>192</v>
      </c>
      <c r="D94" s="48"/>
      <c r="E94" s="5"/>
      <c r="F94" s="5"/>
      <c r="G94" s="5"/>
      <c r="J94" s="5"/>
      <c r="M94" s="5"/>
      <c r="N94" s="5"/>
      <c r="P94" s="5"/>
    </row>
    <row r="95" spans="1:16" ht="13">
      <c r="A95" s="48" t="s">
        <v>4844</v>
      </c>
      <c r="B95" s="49" t="s">
        <v>4845</v>
      </c>
      <c r="C95" s="48" t="s">
        <v>195</v>
      </c>
      <c r="D95" s="48"/>
      <c r="E95" s="5"/>
      <c r="F95" s="5"/>
      <c r="G95" s="5"/>
      <c r="J95" s="5"/>
      <c r="M95" s="5"/>
      <c r="N95" s="5"/>
      <c r="P95" s="5"/>
    </row>
    <row r="96" spans="1:16" ht="13">
      <c r="A96" s="48" t="s">
        <v>4846</v>
      </c>
      <c r="B96" s="58" t="str">
        <f>HYPERLINK("https://bulbapedia.bulbagarden.net/wiki/Champions_Festival_(XY_Promo_91)","Champions Festival")</f>
        <v>Champions Festival</v>
      </c>
      <c r="C96" s="48" t="s">
        <v>229</v>
      </c>
      <c r="D96" s="48"/>
      <c r="E96" s="5"/>
      <c r="F96" s="5"/>
      <c r="G96" s="5"/>
      <c r="J96" s="5"/>
      <c r="M96" s="5"/>
      <c r="N96" s="5"/>
      <c r="P96" s="5"/>
    </row>
    <row r="97" spans="1:16" ht="13">
      <c r="A97" s="48" t="s">
        <v>4847</v>
      </c>
      <c r="B97" s="49" t="s">
        <v>1370</v>
      </c>
      <c r="C97" s="48" t="s">
        <v>195</v>
      </c>
      <c r="D97" s="48"/>
      <c r="E97" s="5"/>
      <c r="F97" s="5"/>
      <c r="G97" s="5"/>
      <c r="J97" s="5"/>
      <c r="M97" s="5"/>
      <c r="N97" s="5"/>
      <c r="P97" s="5"/>
    </row>
    <row r="98" spans="1:16" ht="13">
      <c r="A98" s="48" t="s">
        <v>4848</v>
      </c>
      <c r="B98" s="49" t="s">
        <v>234</v>
      </c>
      <c r="C98" s="48" t="s">
        <v>205</v>
      </c>
      <c r="D98" s="48"/>
      <c r="E98" s="5"/>
      <c r="F98" s="5"/>
      <c r="G98" s="5"/>
      <c r="J98" s="5"/>
      <c r="M98" s="5"/>
      <c r="N98" s="5"/>
      <c r="P98" s="5"/>
    </row>
    <row r="99" spans="1:16" ht="13">
      <c r="A99" s="48" t="s">
        <v>4849</v>
      </c>
      <c r="B99" s="58" t="str">
        <f>HYPERLINK("https://bulbapedia.bulbagarden.net/wiki/Trevenant_(XY_Promo_94)","Trevenant")</f>
        <v>Trevenant</v>
      </c>
      <c r="C99" s="48" t="s">
        <v>195</v>
      </c>
      <c r="D99" s="48"/>
      <c r="E99" s="5"/>
      <c r="F99" s="5"/>
      <c r="G99" s="5"/>
      <c r="J99" s="5"/>
      <c r="M99" s="5"/>
      <c r="N99" s="5"/>
      <c r="P99" s="5"/>
    </row>
    <row r="100" spans="1:16" ht="13">
      <c r="A100" s="48" t="s">
        <v>4850</v>
      </c>
      <c r="B100" s="49" t="s">
        <v>191</v>
      </c>
      <c r="C100" s="48" t="s">
        <v>192</v>
      </c>
      <c r="D100" s="48"/>
      <c r="E100" s="5"/>
      <c r="F100" s="5"/>
      <c r="G100" s="5"/>
      <c r="J100" s="5"/>
      <c r="M100" s="5"/>
      <c r="N100" s="5"/>
      <c r="P100" s="5"/>
    </row>
    <row r="101" spans="1:16" ht="13">
      <c r="A101" s="48" t="s">
        <v>4851</v>
      </c>
      <c r="B101" s="49" t="s">
        <v>942</v>
      </c>
      <c r="C101" s="48" t="s">
        <v>808</v>
      </c>
      <c r="D101" s="48"/>
      <c r="E101" s="5"/>
      <c r="F101" s="5"/>
      <c r="G101" s="5"/>
      <c r="J101" s="5"/>
      <c r="M101" s="5"/>
      <c r="N101" s="5"/>
      <c r="P101" s="5"/>
    </row>
    <row r="102" spans="1:16" ht="13">
      <c r="A102" s="48" t="s">
        <v>4852</v>
      </c>
      <c r="B102" s="58" t="str">
        <f>HYPERLINK("https://bulbapedia.bulbagarden.net/wiki/Aerodactyl-EX_(XY_Promo_97)","AerodactylEX")</f>
        <v>AerodactylEX</v>
      </c>
      <c r="C102" s="48" t="s">
        <v>225</v>
      </c>
      <c r="D102" s="48"/>
      <c r="E102" s="5"/>
      <c r="F102" s="5"/>
      <c r="G102" s="5"/>
      <c r="J102" s="5"/>
      <c r="M102" s="5"/>
      <c r="N102" s="5"/>
      <c r="P102" s="5"/>
    </row>
    <row r="103" spans="1:16" ht="13">
      <c r="A103" s="48" t="s">
        <v>4853</v>
      </c>
      <c r="B103" s="58" t="str">
        <f>HYPERLINK("https://bulbapedia.bulbagarden.net/wiki/M_Aerodactyl-EX_(XY_Promo_98)","MAerodactylEX")</f>
        <v>MAerodactylEX</v>
      </c>
      <c r="C103" s="48" t="s">
        <v>225</v>
      </c>
      <c r="D103" s="48"/>
      <c r="E103" s="5"/>
      <c r="F103" s="5"/>
      <c r="G103" s="5"/>
      <c r="J103" s="5"/>
      <c r="M103" s="5"/>
      <c r="N103" s="5"/>
      <c r="P103" s="5"/>
    </row>
    <row r="104" spans="1:16" ht="13">
      <c r="A104" s="48" t="s">
        <v>4854</v>
      </c>
      <c r="B104" s="49" t="s">
        <v>4855</v>
      </c>
      <c r="C104" s="48" t="s">
        <v>4114</v>
      </c>
      <c r="D104" s="48"/>
      <c r="E104" s="5"/>
      <c r="F104" s="5"/>
      <c r="G104" s="5"/>
      <c r="J104" s="5"/>
      <c r="M104" s="5"/>
      <c r="N104" s="5"/>
      <c r="P104" s="5"/>
    </row>
    <row r="105" spans="1:16" ht="13">
      <c r="A105" s="48" t="s">
        <v>4856</v>
      </c>
      <c r="B105" s="49" t="s">
        <v>194</v>
      </c>
      <c r="C105" s="48" t="s">
        <v>195</v>
      </c>
      <c r="D105" s="48"/>
      <c r="E105" s="5"/>
      <c r="F105" s="5"/>
      <c r="G105" s="5"/>
      <c r="J105" s="5"/>
      <c r="M105" s="5"/>
      <c r="N105" s="5"/>
      <c r="P105" s="5"/>
    </row>
    <row r="106" spans="1:16" ht="13">
      <c r="A106" s="48" t="s">
        <v>4857</v>
      </c>
      <c r="B106" s="49" t="s">
        <v>194</v>
      </c>
      <c r="C106" s="48" t="s">
        <v>195</v>
      </c>
      <c r="D106" s="48"/>
      <c r="E106" s="5"/>
      <c r="F106" s="5"/>
      <c r="G106" s="5"/>
      <c r="J106" s="5"/>
      <c r="M106" s="5"/>
      <c r="N106" s="5"/>
      <c r="P106" s="5"/>
    </row>
    <row r="107" spans="1:16" ht="13">
      <c r="A107" s="48" t="s">
        <v>4858</v>
      </c>
      <c r="B107" s="58" t="str">
        <f>HYPERLINK("https://bulbapedia.bulbagarden.net/wiki/Aurorus-EX_(XY_Promo_102)","AurorusEX")</f>
        <v>AurorusEX</v>
      </c>
      <c r="C107" s="48" t="s">
        <v>208</v>
      </c>
      <c r="D107" s="48"/>
      <c r="E107" s="5"/>
      <c r="F107" s="5"/>
      <c r="G107" s="5"/>
      <c r="J107" s="5"/>
      <c r="M107" s="5"/>
      <c r="N107" s="5"/>
      <c r="P107" s="5"/>
    </row>
    <row r="108" spans="1:16" ht="13">
      <c r="A108" s="48" t="s">
        <v>4859</v>
      </c>
      <c r="B108" s="58" t="str">
        <f>HYPERLINK("https://bulbapedia.bulbagarden.net/wiki/Mawile-EX_(XY_Promo_103)","MawileEX")</f>
        <v>MawileEX</v>
      </c>
      <c r="C108" s="48" t="s">
        <v>4743</v>
      </c>
      <c r="D108" s="48"/>
      <c r="E108" s="5"/>
      <c r="F108" s="5"/>
      <c r="G108" s="5"/>
      <c r="J108" s="5"/>
      <c r="M108" s="5"/>
      <c r="N108" s="5"/>
      <c r="P108" s="5"/>
    </row>
    <row r="109" spans="1:16" ht="13">
      <c r="A109" s="48" t="s">
        <v>4860</v>
      </c>
      <c r="B109" s="58" t="str">
        <f>HYPERLINK("https://bulbapedia.bulbagarden.net/wiki/M_Mawile-EX_(XY_Promo_104)","MMawileEX")</f>
        <v>MMawileEX</v>
      </c>
      <c r="C109" s="48" t="s">
        <v>4743</v>
      </c>
      <c r="D109" s="48"/>
      <c r="E109" s="5"/>
      <c r="F109" s="5"/>
      <c r="G109" s="5"/>
      <c r="J109" s="5"/>
      <c r="M109" s="5"/>
      <c r="N109" s="5"/>
      <c r="P109" s="5"/>
    </row>
    <row r="110" spans="1:16" ht="13">
      <c r="A110" s="48" t="s">
        <v>4861</v>
      </c>
      <c r="B110" s="49" t="s">
        <v>4862</v>
      </c>
      <c r="C110" s="48" t="s">
        <v>4114</v>
      </c>
      <c r="D110" s="48"/>
      <c r="E110" s="5"/>
      <c r="F110" s="5"/>
      <c r="G110" s="5"/>
      <c r="J110" s="5"/>
      <c r="M110" s="5"/>
      <c r="N110" s="5"/>
      <c r="P110" s="5"/>
    </row>
    <row r="111" spans="1:16" ht="13">
      <c r="A111" s="48" t="s">
        <v>4863</v>
      </c>
      <c r="B111" s="58" t="str">
        <f>HYPERLINK("https://bulbapedia.bulbagarden.net/wiki/Gyarados-EX_(XY_Promo_106)","GyaradosEX")</f>
        <v>GyaradosEX</v>
      </c>
      <c r="C111" s="48" t="s">
        <v>208</v>
      </c>
      <c r="D111" s="48"/>
      <c r="E111" s="5"/>
      <c r="F111" s="5"/>
      <c r="G111" s="5"/>
      <c r="J111" s="5"/>
      <c r="M111" s="5"/>
      <c r="N111" s="5"/>
      <c r="P111" s="5"/>
    </row>
    <row r="112" spans="1:16" ht="13">
      <c r="A112" s="48" t="s">
        <v>4864</v>
      </c>
      <c r="B112" s="58" t="str">
        <f>HYPERLINK("https://bulbapedia.bulbagarden.net/wiki/Mewtwo-EX_(XY_Promo_107)","MewtwoEX")</f>
        <v>MewtwoEX</v>
      </c>
      <c r="C112" s="48" t="s">
        <v>195</v>
      </c>
      <c r="D112" s="48"/>
      <c r="E112" s="5"/>
      <c r="F112" s="5"/>
      <c r="G112" s="5"/>
      <c r="J112" s="5"/>
      <c r="M112" s="5"/>
      <c r="N112" s="5"/>
      <c r="P112" s="5"/>
    </row>
    <row r="113" spans="1:16" ht="13">
      <c r="A113" s="48" t="s">
        <v>4865</v>
      </c>
      <c r="B113" s="58" t="str">
        <f>HYPERLINK("https://bulbapedia.bulbagarden.net/wiki/Machamp-EX_(XY_Promo_108)","MachampEX")</f>
        <v>MachampEX</v>
      </c>
      <c r="C113" s="48" t="s">
        <v>225</v>
      </c>
      <c r="D113" s="48"/>
      <c r="E113" s="5"/>
      <c r="F113" s="5"/>
      <c r="G113" s="5"/>
      <c r="J113" s="5"/>
      <c r="M113" s="5"/>
      <c r="N113" s="5"/>
      <c r="P113" s="5"/>
    </row>
    <row r="114" spans="1:16" ht="13">
      <c r="A114" s="48" t="s">
        <v>4866</v>
      </c>
      <c r="B114" s="49" t="s">
        <v>245</v>
      </c>
      <c r="C114" s="48" t="s">
        <v>208</v>
      </c>
      <c r="D114" s="48"/>
      <c r="E114" s="5"/>
      <c r="F114" s="5"/>
      <c r="G114" s="5"/>
      <c r="J114" s="5"/>
      <c r="M114" s="5"/>
      <c r="N114" s="5"/>
      <c r="P114" s="5"/>
    </row>
    <row r="115" spans="1:16" ht="13">
      <c r="A115" s="48" t="s">
        <v>4867</v>
      </c>
      <c r="B115" s="49" t="s">
        <v>201</v>
      </c>
      <c r="C115" s="48" t="s">
        <v>195</v>
      </c>
      <c r="D115" s="48"/>
      <c r="E115" s="5"/>
      <c r="F115" s="5"/>
      <c r="G115" s="5"/>
      <c r="J115" s="5"/>
      <c r="M115" s="5"/>
      <c r="N115" s="5"/>
      <c r="P115" s="5"/>
    </row>
    <row r="116" spans="1:16" ht="13">
      <c r="A116" s="48" t="s">
        <v>4868</v>
      </c>
      <c r="B116" s="49" t="s">
        <v>234</v>
      </c>
      <c r="C116" s="48" t="s">
        <v>225</v>
      </c>
      <c r="D116" s="48"/>
      <c r="E116" s="5"/>
      <c r="F116" s="5"/>
      <c r="G116" s="5"/>
      <c r="J116" s="5"/>
      <c r="M116" s="5"/>
      <c r="N116" s="5"/>
      <c r="P116" s="5"/>
    </row>
    <row r="117" spans="1:16" ht="13">
      <c r="A117" s="48" t="s">
        <v>4869</v>
      </c>
      <c r="B117" s="49" t="s">
        <v>1196</v>
      </c>
      <c r="C117" s="48" t="s">
        <v>220</v>
      </c>
      <c r="D117" s="48"/>
      <c r="E117" s="5"/>
      <c r="F117" s="5"/>
      <c r="G117" s="5"/>
      <c r="J117" s="5"/>
      <c r="M117" s="5"/>
      <c r="N117" s="5"/>
      <c r="P117" s="5"/>
    </row>
    <row r="118" spans="1:16" ht="13">
      <c r="A118" s="48" t="s">
        <v>4870</v>
      </c>
      <c r="B118" s="49" t="s">
        <v>3115</v>
      </c>
      <c r="C118" s="48" t="s">
        <v>208</v>
      </c>
      <c r="D118" s="48"/>
      <c r="E118" s="5"/>
      <c r="F118" s="5"/>
      <c r="G118" s="5"/>
      <c r="J118" s="5"/>
      <c r="M118" s="5"/>
      <c r="N118" s="5"/>
      <c r="P118" s="5"/>
    </row>
    <row r="119" spans="1:16" ht="13">
      <c r="A119" s="48" t="s">
        <v>4871</v>
      </c>
      <c r="B119" s="49" t="s">
        <v>3059</v>
      </c>
      <c r="C119" s="48" t="s">
        <v>808</v>
      </c>
      <c r="D119" s="48"/>
      <c r="E119" s="5"/>
      <c r="F119" s="5"/>
      <c r="G119" s="5"/>
      <c r="J119" s="5"/>
      <c r="M119" s="5"/>
      <c r="N119" s="5"/>
      <c r="P119" s="5"/>
    </row>
    <row r="120" spans="1:16" ht="13">
      <c r="A120" s="48" t="s">
        <v>4872</v>
      </c>
      <c r="B120" s="49" t="s">
        <v>3575</v>
      </c>
      <c r="C120" s="48" t="s">
        <v>205</v>
      </c>
      <c r="D120" s="48"/>
      <c r="E120" s="5"/>
      <c r="F120" s="5"/>
      <c r="G120" s="5"/>
      <c r="J120" s="5"/>
      <c r="M120" s="5"/>
      <c r="N120" s="5"/>
      <c r="P120" s="5"/>
    </row>
    <row r="121" spans="1:16" ht="13">
      <c r="A121" s="48" t="s">
        <v>4873</v>
      </c>
      <c r="B121" s="49" t="s">
        <v>56</v>
      </c>
      <c r="C121" s="48" t="s">
        <v>197</v>
      </c>
      <c r="D121" s="48"/>
      <c r="E121" s="5"/>
      <c r="F121" s="5"/>
      <c r="G121" s="5"/>
      <c r="J121" s="5"/>
      <c r="M121" s="5"/>
      <c r="N121" s="5"/>
      <c r="P121" s="5"/>
    </row>
    <row r="122" spans="1:16" ht="13">
      <c r="A122" s="48" t="s">
        <v>4874</v>
      </c>
      <c r="B122" s="49" t="s">
        <v>4053</v>
      </c>
      <c r="C122" s="48" t="s">
        <v>199</v>
      </c>
      <c r="D122" s="48"/>
      <c r="E122" s="5"/>
      <c r="F122" s="5"/>
      <c r="G122" s="5"/>
      <c r="J122" s="5"/>
      <c r="M122" s="5"/>
      <c r="N122" s="5"/>
      <c r="P122" s="5"/>
    </row>
    <row r="123" spans="1:16" ht="13">
      <c r="A123" s="48" t="s">
        <v>4875</v>
      </c>
      <c r="B123" s="49" t="s">
        <v>4392</v>
      </c>
      <c r="C123" s="48" t="s">
        <v>208</v>
      </c>
      <c r="D123" s="48"/>
      <c r="E123" s="5"/>
      <c r="F123" s="5"/>
      <c r="G123" s="5"/>
      <c r="J123" s="5"/>
      <c r="M123" s="5"/>
      <c r="N123" s="5"/>
      <c r="P123" s="5"/>
    </row>
    <row r="124" spans="1:16" ht="13">
      <c r="A124" s="48" t="s">
        <v>4876</v>
      </c>
      <c r="B124" s="49" t="s">
        <v>4683</v>
      </c>
      <c r="C124" s="48" t="s">
        <v>220</v>
      </c>
      <c r="D124" s="48"/>
      <c r="E124" s="5"/>
      <c r="F124" s="5"/>
      <c r="G124" s="5"/>
      <c r="J124" s="5"/>
      <c r="M124" s="5"/>
      <c r="N124" s="5"/>
      <c r="P124" s="5"/>
    </row>
    <row r="125" spans="1:16" ht="13">
      <c r="A125" s="48" t="s">
        <v>4877</v>
      </c>
      <c r="B125" s="49" t="s">
        <v>4429</v>
      </c>
      <c r="C125" s="48" t="s">
        <v>195</v>
      </c>
      <c r="D125" s="48"/>
      <c r="E125" s="5"/>
      <c r="F125" s="5"/>
      <c r="G125" s="5"/>
      <c r="J125" s="5"/>
      <c r="M125" s="5"/>
      <c r="N125" s="5"/>
      <c r="P125" s="5"/>
    </row>
    <row r="126" spans="1:16" ht="13">
      <c r="A126" s="48" t="s">
        <v>4878</v>
      </c>
      <c r="B126" s="58" t="str">
        <f>HYPERLINK("https://bulbapedia.bulbagarden.net/wiki/Charizard-EX_(XY_Promo_121)","CharizardEX")</f>
        <v>CharizardEX</v>
      </c>
      <c r="C126" s="48" t="s">
        <v>199</v>
      </c>
      <c r="D126" s="48"/>
      <c r="E126" s="5"/>
      <c r="F126" s="5"/>
      <c r="G126" s="5"/>
      <c r="J126" s="5"/>
      <c r="M126" s="5"/>
      <c r="N126" s="5"/>
      <c r="P126" s="5"/>
    </row>
    <row r="127" spans="1:16" ht="13">
      <c r="A127" s="48" t="s">
        <v>4879</v>
      </c>
      <c r="B127" s="58" t="str">
        <f>HYPERLINK("https://bulbapedia.bulbagarden.net/wiki/Blastoise-EX_(XY_Promo_122)","BlastoiseEX")</f>
        <v>BlastoiseEX</v>
      </c>
      <c r="C127" s="48" t="s">
        <v>208</v>
      </c>
      <c r="D127" s="48"/>
      <c r="E127" s="5"/>
      <c r="F127" s="5"/>
      <c r="G127" s="5"/>
      <c r="J127" s="5"/>
      <c r="M127" s="5"/>
      <c r="N127" s="5"/>
      <c r="P127" s="5"/>
    </row>
    <row r="128" spans="1:16" ht="13">
      <c r="A128" s="48" t="s">
        <v>4880</v>
      </c>
      <c r="B128" s="58" t="str">
        <f>HYPERLINK("https://bulbapedia.bulbagarden.net/wiki/Venusaur-EX_(XY_Promo_123)","VenusaurEX")</f>
        <v>VenusaurEX</v>
      </c>
      <c r="C128" s="48" t="s">
        <v>205</v>
      </c>
      <c r="D128" s="48"/>
      <c r="E128" s="5"/>
      <c r="F128" s="5"/>
      <c r="G128" s="5"/>
      <c r="J128" s="5"/>
      <c r="M128" s="5"/>
      <c r="N128" s="5"/>
      <c r="P128" s="5"/>
    </row>
    <row r="129" spans="1:16" ht="13">
      <c r="A129" s="48" t="s">
        <v>4881</v>
      </c>
      <c r="B129" s="58" t="str">
        <f>HYPERLINK("https://bulbapedia.bulbagarden.net/wiki/Pikachu-EX_(XY_Promo_124)","PikachuEX")</f>
        <v>PikachuEX</v>
      </c>
      <c r="C129" s="48" t="s">
        <v>192</v>
      </c>
      <c r="D129" s="48"/>
      <c r="E129" s="5"/>
      <c r="F129" s="5"/>
      <c r="G129" s="5"/>
      <c r="J129" s="5"/>
      <c r="M129" s="5"/>
      <c r="N129" s="5"/>
      <c r="P129" s="5"/>
    </row>
    <row r="130" spans="1:16" ht="13">
      <c r="A130" s="48" t="s">
        <v>4882</v>
      </c>
      <c r="B130" s="58" t="str">
        <f>HYPERLINK("https://bulbapedia.bulbagarden.net/wiki/Mewtwo-EX_(XY_Promo_125)","MewtwoEX")</f>
        <v>MewtwoEX</v>
      </c>
      <c r="C130" s="48" t="s">
        <v>195</v>
      </c>
      <c r="D130" s="48"/>
      <c r="E130" s="5"/>
      <c r="F130" s="5"/>
      <c r="G130" s="5"/>
      <c r="J130" s="5"/>
      <c r="M130" s="5"/>
      <c r="N130" s="5"/>
      <c r="P130" s="5"/>
    </row>
    <row r="131" spans="1:16" ht="13">
      <c r="A131" s="48" t="s">
        <v>4883</v>
      </c>
      <c r="B131" s="58" t="str">
        <f>HYPERLINK("https://bulbapedia.bulbagarden.net/wiki/Mew-EX_(XY_Promo_126)","MewEX")</f>
        <v>MewEX</v>
      </c>
      <c r="C131" s="48" t="s">
        <v>195</v>
      </c>
      <c r="D131" s="48"/>
      <c r="E131" s="5"/>
      <c r="F131" s="5"/>
      <c r="G131" s="5"/>
      <c r="J131" s="5"/>
      <c r="M131" s="5"/>
      <c r="N131" s="5"/>
      <c r="P131" s="5"/>
    </row>
    <row r="132" spans="1:16" ht="13">
      <c r="A132" s="48" t="s">
        <v>4884</v>
      </c>
      <c r="B132" s="58" t="str">
        <f>HYPERLINK("https://bulbapedia.bulbagarden.net/wiki/Moltres_(XY_Promo_127)","Moltres")</f>
        <v>Moltres</v>
      </c>
      <c r="C132" s="48" t="s">
        <v>199</v>
      </c>
      <c r="D132" s="48"/>
      <c r="E132" s="5"/>
      <c r="F132" s="5"/>
      <c r="G132" s="5"/>
      <c r="J132" s="5"/>
      <c r="M132" s="5"/>
      <c r="N132" s="5"/>
      <c r="P132" s="5"/>
    </row>
    <row r="133" spans="1:16" ht="13">
      <c r="A133" s="48" t="s">
        <v>4885</v>
      </c>
      <c r="B133" s="58" t="str">
        <f>HYPERLINK("https://bulbapedia.bulbagarden.net/wiki/White_Kyurem_(XY_Promo_128)","White Kyurem")</f>
        <v>White Kyurem</v>
      </c>
      <c r="C133" s="48" t="s">
        <v>208</v>
      </c>
      <c r="D133" s="48"/>
      <c r="E133" s="5"/>
      <c r="F133" s="5"/>
      <c r="G133" s="5"/>
      <c r="J133" s="5"/>
      <c r="M133" s="5"/>
      <c r="N133" s="5"/>
      <c r="P133" s="5"/>
    </row>
    <row r="134" spans="1:16" ht="13">
      <c r="A134" s="48" t="s">
        <v>4886</v>
      </c>
      <c r="B134" s="58" t="str">
        <f>HYPERLINK("https://bulbapedia.bulbagarden.net/wiki/Zygarde_(XY_Promo_129)","Zygarde")</f>
        <v>Zygarde</v>
      </c>
      <c r="C134" s="48" t="s">
        <v>225</v>
      </c>
      <c r="D134" s="48"/>
      <c r="E134" s="5"/>
      <c r="F134" s="5"/>
      <c r="G134" s="5"/>
      <c r="J134" s="5"/>
      <c r="M134" s="5"/>
      <c r="N134" s="5"/>
      <c r="P134" s="5"/>
    </row>
    <row r="135" spans="1:16" ht="13">
      <c r="A135" s="48" t="s">
        <v>4887</v>
      </c>
      <c r="B135" s="58" t="str">
        <f>HYPERLINK("https://bulbapedia.bulbagarden.net/wiki/Tyranitar_(XY_Promo_130)","Tyranitar")</f>
        <v>Tyranitar</v>
      </c>
      <c r="C135" s="48" t="s">
        <v>225</v>
      </c>
      <c r="D135" s="48"/>
      <c r="E135" s="5"/>
      <c r="F135" s="5"/>
      <c r="G135" s="5"/>
      <c r="J135" s="5"/>
      <c r="M135" s="5"/>
      <c r="N135" s="5"/>
      <c r="P135" s="5"/>
    </row>
    <row r="136" spans="1:16" ht="13">
      <c r="A136" s="48" t="s">
        <v>4888</v>
      </c>
      <c r="B136" s="49" t="s">
        <v>4054</v>
      </c>
      <c r="C136" s="48" t="s">
        <v>199</v>
      </c>
      <c r="D136" s="48"/>
      <c r="E136" s="5"/>
      <c r="F136" s="5"/>
      <c r="G136" s="5"/>
      <c r="J136" s="5"/>
      <c r="M136" s="5"/>
      <c r="N136" s="5"/>
      <c r="P136" s="5"/>
    </row>
    <row r="137" spans="1:16" ht="13">
      <c r="A137" s="48" t="s">
        <v>4889</v>
      </c>
      <c r="B137" s="49" t="s">
        <v>282</v>
      </c>
      <c r="C137" s="48" t="s">
        <v>195</v>
      </c>
      <c r="D137" s="48"/>
      <c r="E137" s="5"/>
      <c r="F137" s="5"/>
      <c r="G137" s="5"/>
      <c r="J137" s="5"/>
      <c r="M137" s="5"/>
      <c r="N137" s="5"/>
      <c r="P137" s="5"/>
    </row>
    <row r="138" spans="1:16" ht="13">
      <c r="A138" s="48" t="s">
        <v>4890</v>
      </c>
      <c r="B138" s="58" t="str">
        <f>HYPERLINK("https://bulbapedia.bulbagarden.net/wiki/Ash-Greninja-EX_(XY_Promo_133)","Ash-GreninjaEX")</f>
        <v>Ash-GreninjaEX</v>
      </c>
      <c r="C138" s="48" t="s">
        <v>208</v>
      </c>
      <c r="D138" s="48"/>
      <c r="E138" s="5"/>
      <c r="F138" s="5"/>
      <c r="G138" s="5"/>
      <c r="J138" s="5"/>
      <c r="M138" s="5"/>
      <c r="N138" s="5"/>
      <c r="P138" s="5"/>
    </row>
    <row r="139" spans="1:16" ht="13">
      <c r="A139" s="48" t="s">
        <v>4891</v>
      </c>
      <c r="B139" s="58" t="str">
        <f>HYPERLINK("https://bulbapedia.bulbagarden.net/wiki/Empoleon_BREAK_(XY_Promo_134)","EmpoleonBREAK")</f>
        <v>EmpoleonBREAK</v>
      </c>
      <c r="C139" s="48" t="s">
        <v>208</v>
      </c>
      <c r="D139" s="48"/>
      <c r="E139" s="5"/>
      <c r="F139" s="5"/>
      <c r="G139" s="5"/>
      <c r="J139" s="5"/>
      <c r="M139" s="5"/>
      <c r="N139" s="5"/>
      <c r="P139" s="5"/>
    </row>
    <row r="140" spans="1:16" ht="13">
      <c r="A140" s="48" t="s">
        <v>4892</v>
      </c>
      <c r="B140" s="58" t="str">
        <f>HYPERLINK("https://bulbapedia.bulbagarden.net/wiki/Beheeyem_BREAK_(XY_Promo_135)","BeheeyemBREAK")</f>
        <v>BeheeyemBREAK</v>
      </c>
      <c r="C140" s="48" t="s">
        <v>195</v>
      </c>
      <c r="D140" s="48"/>
      <c r="E140" s="5"/>
      <c r="F140" s="5"/>
      <c r="G140" s="5"/>
      <c r="J140" s="5"/>
      <c r="M140" s="5"/>
      <c r="N140" s="5"/>
      <c r="P140" s="5"/>
    </row>
    <row r="141" spans="1:16" ht="13">
      <c r="A141" s="48" t="s">
        <v>4893</v>
      </c>
      <c r="B141" s="58" t="str">
        <f>HYPERLINK("https://bulbapedia.bulbagarden.net/wiki/Noctowl_BREAK_(XY_Promo_136)","NoctowlBREAK")</f>
        <v>NoctowlBREAK</v>
      </c>
      <c r="C141" s="48" t="s">
        <v>197</v>
      </c>
      <c r="D141" s="48"/>
      <c r="E141" s="5"/>
      <c r="F141" s="5"/>
      <c r="G141" s="5"/>
      <c r="J141" s="5"/>
      <c r="M141" s="5"/>
      <c r="N141" s="5"/>
      <c r="P141" s="5"/>
    </row>
    <row r="142" spans="1:16" ht="13">
      <c r="A142" s="48" t="s">
        <v>4894</v>
      </c>
      <c r="B142" s="49" t="s">
        <v>4895</v>
      </c>
      <c r="C142" s="48" t="s">
        <v>205</v>
      </c>
      <c r="D142" s="48"/>
      <c r="E142" s="5"/>
      <c r="F142" s="5"/>
      <c r="G142" s="5"/>
      <c r="J142" s="5"/>
      <c r="M142" s="5"/>
      <c r="N142" s="5"/>
      <c r="P142" s="5"/>
    </row>
    <row r="143" spans="1:16" ht="13">
      <c r="A143" s="48" t="s">
        <v>4896</v>
      </c>
      <c r="B143" s="49" t="s">
        <v>4740</v>
      </c>
      <c r="C143" s="48" t="s">
        <v>208</v>
      </c>
      <c r="D143" s="48"/>
      <c r="E143" s="5"/>
      <c r="F143" s="5"/>
      <c r="G143" s="5"/>
      <c r="J143" s="5"/>
      <c r="M143" s="5"/>
      <c r="N143" s="5"/>
      <c r="P143" s="5"/>
    </row>
    <row r="144" spans="1:16" ht="13">
      <c r="A144" s="48" t="s">
        <v>4897</v>
      </c>
      <c r="B144" s="49" t="s">
        <v>4898</v>
      </c>
      <c r="C144" s="48" t="s">
        <v>4743</v>
      </c>
      <c r="D144" s="48"/>
      <c r="E144" s="5"/>
      <c r="F144" s="5"/>
      <c r="G144" s="5"/>
      <c r="J144" s="5"/>
      <c r="M144" s="5"/>
      <c r="N144" s="5"/>
      <c r="P144" s="5"/>
    </row>
    <row r="145" spans="1:16" ht="13">
      <c r="A145" s="48" t="s">
        <v>4899</v>
      </c>
      <c r="B145" s="49" t="s">
        <v>3113</v>
      </c>
      <c r="C145" s="48" t="s">
        <v>225</v>
      </c>
      <c r="D145" s="48"/>
      <c r="E145" s="5"/>
      <c r="F145" s="5"/>
      <c r="G145" s="5"/>
      <c r="J145" s="5"/>
      <c r="M145" s="5"/>
      <c r="N145" s="5"/>
      <c r="P145" s="5"/>
    </row>
    <row r="146" spans="1:16" ht="13">
      <c r="A146" s="48" t="s">
        <v>4900</v>
      </c>
      <c r="B146" s="49" t="s">
        <v>2128</v>
      </c>
      <c r="C146" s="48" t="s">
        <v>4285</v>
      </c>
      <c r="D146" s="48"/>
      <c r="E146" s="5"/>
      <c r="F146" s="5"/>
      <c r="G146" s="5"/>
      <c r="J146" s="5"/>
      <c r="M146" s="5"/>
      <c r="N146" s="5"/>
      <c r="P146" s="5"/>
    </row>
    <row r="147" spans="1:16" ht="13">
      <c r="A147" s="48" t="s">
        <v>4901</v>
      </c>
      <c r="B147" s="49" t="s">
        <v>3160</v>
      </c>
      <c r="C147" s="48" t="s">
        <v>195</v>
      </c>
      <c r="D147" s="48"/>
      <c r="E147" s="5"/>
      <c r="F147" s="5"/>
      <c r="G147" s="5"/>
      <c r="J147" s="5"/>
      <c r="M147" s="5"/>
      <c r="N147" s="5"/>
      <c r="P147" s="5"/>
    </row>
    <row r="148" spans="1:16" ht="13">
      <c r="A148" s="48" t="s">
        <v>4902</v>
      </c>
      <c r="B148" s="49" t="s">
        <v>268</v>
      </c>
      <c r="C148" s="48" t="s">
        <v>208</v>
      </c>
      <c r="D148" s="48"/>
      <c r="E148" s="5"/>
      <c r="F148" s="5"/>
      <c r="G148" s="5"/>
      <c r="J148" s="5"/>
      <c r="M148" s="5"/>
      <c r="N148" s="5"/>
      <c r="P148" s="5"/>
    </row>
    <row r="149" spans="1:16" ht="13">
      <c r="A149" s="48" t="s">
        <v>4903</v>
      </c>
      <c r="B149" s="58" t="str">
        <f>HYPERLINK("https://bulbapedia.bulbagarden.net/wiki/Yanmega_(XY_Promo_144)","Yanmega")</f>
        <v>Yanmega</v>
      </c>
      <c r="C149" s="48" t="s">
        <v>205</v>
      </c>
      <c r="D149" s="48"/>
      <c r="E149" s="5"/>
      <c r="F149" s="5"/>
      <c r="G149" s="5"/>
      <c r="J149" s="5"/>
      <c r="M149" s="5"/>
      <c r="N149" s="5"/>
      <c r="P149" s="5"/>
    </row>
    <row r="150" spans="1:16" ht="13">
      <c r="A150" s="48" t="s">
        <v>4904</v>
      </c>
      <c r="B150" s="58" t="str">
        <f>HYPERLINK("https://bulbapedia.bulbagarden.net/wiki/Volcanion_(XY_Promo_145)","Volcanion")</f>
        <v>Volcanion</v>
      </c>
      <c r="C150" s="48" t="s">
        <v>199</v>
      </c>
      <c r="D150" s="48"/>
      <c r="E150" s="5"/>
      <c r="F150" s="5"/>
      <c r="G150" s="5"/>
      <c r="J150" s="5"/>
      <c r="M150" s="5"/>
      <c r="N150" s="5"/>
      <c r="P150" s="5"/>
    </row>
    <row r="151" spans="1:16" ht="13">
      <c r="A151" s="48" t="s">
        <v>4905</v>
      </c>
      <c r="B151" s="58" t="str">
        <f>HYPERLINK("https://bulbapedia.bulbagarden.net/wiki/Clawitzer_(XY_Promo_146)","Clawitzer")</f>
        <v>Clawitzer</v>
      </c>
      <c r="C151" s="48" t="s">
        <v>208</v>
      </c>
      <c r="D151" s="48"/>
      <c r="E151" s="5"/>
      <c r="F151" s="5"/>
      <c r="G151" s="5"/>
      <c r="J151" s="5"/>
      <c r="M151" s="5"/>
      <c r="N151" s="5"/>
      <c r="P151" s="5"/>
    </row>
    <row r="152" spans="1:16" ht="13">
      <c r="A152" s="48" t="s">
        <v>4906</v>
      </c>
      <c r="B152" s="58" t="str">
        <f>HYPERLINK("https://bulbapedia.bulbagarden.net/wiki/Hoopa_(XY_Promo_147)","Hoopa")</f>
        <v>Hoopa</v>
      </c>
      <c r="C152" s="48" t="s">
        <v>195</v>
      </c>
      <c r="D152" s="48"/>
      <c r="E152" s="5"/>
      <c r="F152" s="5"/>
      <c r="G152" s="5"/>
      <c r="J152" s="5"/>
      <c r="M152" s="5"/>
      <c r="N152" s="5"/>
      <c r="P152" s="5"/>
    </row>
    <row r="153" spans="1:16" ht="13">
      <c r="A153" s="48" t="s">
        <v>4907</v>
      </c>
      <c r="B153" s="58" t="str">
        <f>HYPERLINK("https://bulbapedia.bulbagarden.net/wiki/Shaymin-EX_(XY_Promo_148)","ShayminEX")</f>
        <v>ShayminEX</v>
      </c>
      <c r="C153" s="48" t="s">
        <v>205</v>
      </c>
      <c r="D153" s="48"/>
      <c r="E153" s="5"/>
      <c r="F153" s="5"/>
      <c r="G153" s="5"/>
      <c r="J153" s="5"/>
      <c r="M153" s="5"/>
      <c r="N153" s="5"/>
      <c r="P153" s="5"/>
    </row>
    <row r="154" spans="1:16" ht="13">
      <c r="A154" s="48" t="s">
        <v>4908</v>
      </c>
      <c r="B154" s="58" t="str">
        <f>HYPERLINK("https://bulbapedia.bulbagarden.net/wiki/Xerneas-EX_(XY_Promo_149)","XerneasEX")</f>
        <v>XerneasEX</v>
      </c>
      <c r="C154" s="48" t="s">
        <v>4743</v>
      </c>
      <c r="D154" s="48"/>
      <c r="E154" s="5"/>
      <c r="F154" s="5"/>
      <c r="G154" s="5"/>
      <c r="J154" s="5"/>
      <c r="M154" s="5"/>
      <c r="N154" s="5"/>
      <c r="P154" s="5"/>
    </row>
    <row r="155" spans="1:16" ht="13">
      <c r="A155" s="48" t="s">
        <v>4909</v>
      </c>
      <c r="B155" s="58" t="str">
        <f>HYPERLINK("https://bulbapedia.bulbagarden.net/wiki/Yveltal-EX_(XY_Promo_150)","YveltalEX")</f>
        <v>YveltalEX</v>
      </c>
      <c r="C155" s="48" t="s">
        <v>808</v>
      </c>
      <c r="D155" s="48"/>
      <c r="E155" s="5"/>
      <c r="F155" s="5"/>
      <c r="G155" s="5"/>
      <c r="J155" s="5"/>
      <c r="M155" s="5"/>
      <c r="N155" s="5"/>
      <c r="P155" s="5"/>
    </row>
    <row r="156" spans="1:16" ht="13">
      <c r="A156" s="48" t="s">
        <v>4910</v>
      </c>
      <c r="B156" s="58" t="str">
        <f>HYPERLINK("https://bulbapedia.bulbagarden.net/wiki/Yveltal-EX_(XY_Promo_150a)","YveltalEX")</f>
        <v>YveltalEX</v>
      </c>
      <c r="C156" s="48" t="s">
        <v>808</v>
      </c>
      <c r="D156" s="48"/>
      <c r="E156" s="5"/>
      <c r="F156" s="5"/>
      <c r="G156" s="5"/>
      <c r="J156" s="5"/>
      <c r="M156" s="5"/>
      <c r="N156" s="5"/>
      <c r="P156" s="5"/>
    </row>
    <row r="157" spans="1:16" ht="13">
      <c r="A157" s="48" t="s">
        <v>4911</v>
      </c>
      <c r="B157" s="58" t="str">
        <f>HYPERLINK("https://bulbapedia.bulbagarden.net/wiki/Zygarde-EX_(XY_Promo_151)","ZygardeEX")</f>
        <v>ZygardeEX</v>
      </c>
      <c r="C157" s="48" t="s">
        <v>225</v>
      </c>
      <c r="D157" s="48"/>
      <c r="E157" s="5"/>
      <c r="F157" s="5"/>
      <c r="G157" s="5"/>
      <c r="J157" s="5"/>
      <c r="M157" s="5"/>
      <c r="N157" s="5"/>
      <c r="P157" s="5"/>
    </row>
    <row r="158" spans="1:16" ht="13">
      <c r="A158" s="48" t="s">
        <v>4912</v>
      </c>
      <c r="B158" s="49" t="s">
        <v>4913</v>
      </c>
      <c r="C158" s="48" t="s">
        <v>225</v>
      </c>
      <c r="D158" s="48"/>
      <c r="E158" s="5"/>
      <c r="F158" s="5"/>
      <c r="G158" s="5"/>
      <c r="J158" s="5"/>
      <c r="M158" s="5"/>
      <c r="N158" s="5"/>
      <c r="P158" s="5"/>
    </row>
    <row r="159" spans="1:16" ht="13">
      <c r="A159" s="48" t="s">
        <v>4914</v>
      </c>
      <c r="B159" s="49" t="s">
        <v>236</v>
      </c>
      <c r="C159" s="48" t="s">
        <v>199</v>
      </c>
      <c r="D159" s="48"/>
      <c r="E159" s="5"/>
      <c r="F159" s="5"/>
      <c r="G159" s="5"/>
      <c r="J159" s="5"/>
      <c r="M159" s="5"/>
      <c r="N159" s="5"/>
      <c r="P159" s="5"/>
    </row>
    <row r="160" spans="1:16" ht="13">
      <c r="A160" s="48" t="s">
        <v>4915</v>
      </c>
      <c r="B160" s="58" t="str">
        <f>HYPERLINK("https://bulbapedia.bulbagarden.net/wiki/Ho-Oh_BREAK_(XY_Promo_154)","Ho-OhBREAK")</f>
        <v>Ho-OhBREAK</v>
      </c>
      <c r="C160" s="48" t="s">
        <v>199</v>
      </c>
      <c r="D160" s="48"/>
      <c r="E160" s="5"/>
      <c r="F160" s="5"/>
      <c r="G160" s="5"/>
      <c r="J160" s="5"/>
      <c r="M160" s="5"/>
      <c r="N160" s="5"/>
      <c r="P160" s="5"/>
    </row>
    <row r="161" spans="1:16" ht="13">
      <c r="A161" s="48" t="s">
        <v>4916</v>
      </c>
      <c r="B161" s="58" t="str">
        <f>HYPERLINK("https://bulbapedia.bulbagarden.net/wiki/Wobbuffet_BREAK_(XY_Promo_155)","WobbuffetBREAK")</f>
        <v>WobbuffetBREAK</v>
      </c>
      <c r="C161" s="48" t="s">
        <v>195</v>
      </c>
      <c r="D161" s="48"/>
      <c r="E161" s="5"/>
      <c r="F161" s="5"/>
      <c r="G161" s="5"/>
      <c r="J161" s="5"/>
      <c r="M161" s="5"/>
      <c r="N161" s="5"/>
      <c r="P161" s="5"/>
    </row>
    <row r="162" spans="1:16" ht="13">
      <c r="A162" s="48" t="s">
        <v>4917</v>
      </c>
      <c r="B162" s="49" t="s">
        <v>781</v>
      </c>
      <c r="C162" s="48" t="s">
        <v>197</v>
      </c>
      <c r="D162" s="48"/>
      <c r="E162" s="5"/>
      <c r="F162" s="5"/>
      <c r="G162" s="5"/>
      <c r="J162" s="5"/>
      <c r="M162" s="5"/>
      <c r="N162" s="5"/>
      <c r="P162" s="5"/>
    </row>
    <row r="163" spans="1:16" ht="13">
      <c r="A163" s="48" t="s">
        <v>4918</v>
      </c>
      <c r="B163" s="58" t="str">
        <f>HYPERLINK("https://bulbapedia.bulbagarden.net/wiki/Beedrill-EX_(XY_Promo_157)","BeedrillEX")</f>
        <v>BeedrillEX</v>
      </c>
      <c r="C163" s="48" t="s">
        <v>205</v>
      </c>
      <c r="D163" s="48"/>
      <c r="E163" s="5"/>
      <c r="F163" s="5"/>
      <c r="G163" s="5"/>
      <c r="J163" s="5"/>
      <c r="M163" s="5"/>
      <c r="N163" s="5"/>
      <c r="P163" s="5"/>
    </row>
    <row r="164" spans="1:16" ht="13">
      <c r="A164" s="48" t="s">
        <v>4919</v>
      </c>
      <c r="B164" s="58" t="str">
        <f>HYPERLINK("https://bulbapedia.bulbagarden.net/wiki/M_Beedrill-EX_(XY_Promo_158)","MBeedrillEX")</f>
        <v>MBeedrillEX</v>
      </c>
      <c r="C164" s="48" t="s">
        <v>205</v>
      </c>
      <c r="D164" s="48"/>
      <c r="E164" s="5"/>
      <c r="F164" s="5"/>
      <c r="G164" s="5"/>
      <c r="J164" s="5"/>
      <c r="M164" s="5"/>
      <c r="N164" s="5"/>
      <c r="P164" s="5"/>
    </row>
    <row r="165" spans="1:16" ht="13">
      <c r="A165" s="48" t="s">
        <v>4920</v>
      </c>
      <c r="B165" s="49" t="s">
        <v>4921</v>
      </c>
      <c r="C165" s="48" t="s">
        <v>4114</v>
      </c>
      <c r="D165" s="48"/>
      <c r="E165" s="5"/>
      <c r="F165" s="5"/>
      <c r="G165" s="5"/>
      <c r="J165" s="5"/>
      <c r="M165" s="5"/>
      <c r="N165" s="5"/>
      <c r="P165" s="5"/>
    </row>
    <row r="166" spans="1:16" ht="13">
      <c r="A166" s="48" t="s">
        <v>4922</v>
      </c>
      <c r="B166" s="49" t="s">
        <v>4456</v>
      </c>
      <c r="C166" s="48" t="s">
        <v>208</v>
      </c>
      <c r="D166" s="48"/>
      <c r="E166" s="5"/>
      <c r="F166" s="5"/>
      <c r="G166" s="5"/>
      <c r="J166" s="5"/>
      <c r="M166" s="5"/>
      <c r="N166" s="5"/>
      <c r="P166" s="5"/>
    </row>
    <row r="167" spans="1:16" ht="13">
      <c r="A167" s="48" t="s">
        <v>4923</v>
      </c>
      <c r="B167" s="49" t="s">
        <v>4924</v>
      </c>
      <c r="C167" s="48" t="s">
        <v>199</v>
      </c>
      <c r="D167" s="48"/>
      <c r="E167" s="5"/>
      <c r="F167" s="5"/>
      <c r="G167" s="5"/>
      <c r="J167" s="5"/>
      <c r="M167" s="5"/>
      <c r="N167" s="5"/>
      <c r="P167" s="5"/>
    </row>
    <row r="168" spans="1:16" ht="13">
      <c r="A168" s="48" t="s">
        <v>4925</v>
      </c>
      <c r="B168" s="49" t="s">
        <v>4771</v>
      </c>
      <c r="C168" s="48" t="s">
        <v>208</v>
      </c>
      <c r="D168" s="48"/>
      <c r="E168" s="5"/>
      <c r="F168" s="5"/>
      <c r="G168" s="5"/>
      <c r="J168" s="5"/>
      <c r="M168" s="5"/>
      <c r="N168" s="5"/>
      <c r="P168" s="5"/>
    </row>
    <row r="169" spans="1:16" ht="13">
      <c r="A169" s="48" t="s">
        <v>4926</v>
      </c>
      <c r="B169" s="49" t="s">
        <v>378</v>
      </c>
      <c r="C169" s="48" t="s">
        <v>195</v>
      </c>
      <c r="D169" s="48"/>
      <c r="E169" s="5"/>
      <c r="F169" s="5"/>
      <c r="G169" s="5"/>
      <c r="J169" s="5"/>
      <c r="M169" s="5"/>
      <c r="N169" s="5"/>
      <c r="P169" s="5"/>
    </row>
    <row r="170" spans="1:16" ht="13">
      <c r="A170" s="48" t="s">
        <v>4927</v>
      </c>
      <c r="B170" s="49" t="s">
        <v>4928</v>
      </c>
      <c r="C170" s="48" t="s">
        <v>199</v>
      </c>
      <c r="D170" s="48"/>
      <c r="E170" s="5"/>
      <c r="F170" s="5"/>
      <c r="G170" s="5"/>
      <c r="J170" s="5"/>
      <c r="M170" s="5"/>
      <c r="N170" s="5"/>
      <c r="P170" s="5"/>
    </row>
    <row r="171" spans="1:16" ht="13">
      <c r="A171" s="48" t="s">
        <v>4929</v>
      </c>
      <c r="B171" s="49" t="s">
        <v>4930</v>
      </c>
      <c r="C171" s="48" t="s">
        <v>220</v>
      </c>
      <c r="D171" s="48"/>
      <c r="E171" s="5"/>
      <c r="F171" s="5"/>
      <c r="G171" s="5"/>
      <c r="J171" s="5"/>
      <c r="M171" s="5"/>
      <c r="N171" s="5"/>
      <c r="P171" s="5"/>
    </row>
    <row r="172" spans="1:16" ht="13">
      <c r="A172" s="48" t="s">
        <v>4931</v>
      </c>
      <c r="B172" s="58" t="str">
        <f>HYPERLINK("https://bulbapedia.bulbagarden.net/wiki/M_Gengar-EX_(XY_Promo_166)","MGengarEX")</f>
        <v>MGengarEX</v>
      </c>
      <c r="C172" s="48" t="s">
        <v>195</v>
      </c>
      <c r="D172" s="48"/>
      <c r="E172" s="5"/>
      <c r="F172" s="5"/>
      <c r="G172" s="5"/>
      <c r="J172" s="5"/>
      <c r="M172" s="5"/>
      <c r="N172" s="5"/>
      <c r="P172" s="5"/>
    </row>
    <row r="173" spans="1:16" ht="13">
      <c r="A173" s="48" t="s">
        <v>4932</v>
      </c>
      <c r="B173" s="58" t="str">
        <f>HYPERLINK("https://bulbapedia.bulbagarden.net/wiki/Garchomp-EX_(XY_Promo_167)","GarchompEX")</f>
        <v>GarchompEX</v>
      </c>
      <c r="C173" s="48" t="s">
        <v>4285</v>
      </c>
      <c r="D173" s="48"/>
      <c r="E173" s="5"/>
      <c r="F173" s="5"/>
      <c r="G173" s="5"/>
      <c r="J173" s="5"/>
      <c r="M173" s="5"/>
      <c r="N173" s="5"/>
      <c r="P173" s="5"/>
    </row>
    <row r="174" spans="1:16" ht="13">
      <c r="A174" s="48" t="s">
        <v>4933</v>
      </c>
      <c r="B174" s="58" t="str">
        <f>HYPERLINK("https://bulbapedia.bulbagarden.net/wiki/M_Garchomp-EX_(XY_Promo_168)","MGarchompEX")</f>
        <v>MGarchompEX</v>
      </c>
      <c r="C174" s="48" t="s">
        <v>4285</v>
      </c>
      <c r="D174" s="48"/>
      <c r="E174" s="5"/>
      <c r="F174" s="5"/>
      <c r="G174" s="5"/>
      <c r="J174" s="5"/>
      <c r="M174" s="5"/>
      <c r="N174" s="5"/>
      <c r="P174" s="5"/>
    </row>
    <row r="175" spans="1:16" ht="13">
      <c r="A175" s="48" t="s">
        <v>4934</v>
      </c>
      <c r="B175" s="49" t="s">
        <v>4935</v>
      </c>
      <c r="C175" s="48" t="s">
        <v>4114</v>
      </c>
      <c r="D175" s="48"/>
      <c r="E175" s="5"/>
      <c r="F175" s="5"/>
      <c r="G175" s="5"/>
      <c r="J175" s="5"/>
      <c r="M175" s="5"/>
      <c r="N175" s="5"/>
      <c r="P175" s="5"/>
    </row>
    <row r="176" spans="1:16" ht="13">
      <c r="A176" s="48" t="s">
        <v>4936</v>
      </c>
      <c r="B176" s="58" t="str">
        <f>HYPERLINK("https://bulbapedia.bulbagarden.net/wiki/Salamence-EX_(XY_Promo_170)","SalamenceEX")</f>
        <v>SalamenceEX</v>
      </c>
      <c r="C176" s="48" t="s">
        <v>4285</v>
      </c>
      <c r="D176" s="48"/>
      <c r="E176" s="5"/>
      <c r="F176" s="5"/>
      <c r="G176" s="5"/>
      <c r="J176" s="5"/>
      <c r="M176" s="5"/>
      <c r="N176" s="5"/>
      <c r="P176" s="5"/>
    </row>
    <row r="177" spans="1:16" ht="13">
      <c r="A177" s="48" t="s">
        <v>4937</v>
      </c>
      <c r="B177" s="58" t="str">
        <f>HYPERLINK("https://bulbapedia.bulbagarden.net/wiki/M_Salamence-EX_(XY_Promo_171)","MSalamenceEX")</f>
        <v>MSalamenceEX</v>
      </c>
      <c r="C177" s="48" t="s">
        <v>4285</v>
      </c>
      <c r="D177" s="48"/>
      <c r="E177" s="5"/>
      <c r="F177" s="5"/>
      <c r="G177" s="5"/>
      <c r="J177" s="5"/>
      <c r="M177" s="5"/>
      <c r="N177" s="5"/>
      <c r="P177" s="5"/>
    </row>
    <row r="178" spans="1:16" ht="13">
      <c r="A178" s="48" t="s">
        <v>4938</v>
      </c>
      <c r="B178" s="49" t="s">
        <v>4939</v>
      </c>
      <c r="C178" s="48" t="s">
        <v>4114</v>
      </c>
      <c r="D178" s="48"/>
      <c r="E178" s="5"/>
      <c r="F178" s="5"/>
      <c r="G178" s="5"/>
      <c r="J178" s="5"/>
      <c r="M178" s="5"/>
      <c r="N178" s="5"/>
      <c r="P178" s="5"/>
    </row>
    <row r="179" spans="1:16" ht="13">
      <c r="A179" s="48" t="s">
        <v>4940</v>
      </c>
      <c r="B179" s="58" t="str">
        <f>HYPERLINK("https://bulbapedia.bulbagarden.net/wiki/Volcanion-EX_(XY_Promo_173)","VolcanionEX")</f>
        <v>VolcanionEX</v>
      </c>
      <c r="C179" s="48" t="s">
        <v>4941</v>
      </c>
      <c r="D179" s="48"/>
      <c r="E179" s="5"/>
      <c r="F179" s="5"/>
      <c r="G179" s="5"/>
      <c r="J179" s="5"/>
      <c r="M179" s="5"/>
      <c r="N179" s="5"/>
      <c r="P179" s="5"/>
    </row>
    <row r="180" spans="1:16" ht="13">
      <c r="A180" s="48" t="s">
        <v>4942</v>
      </c>
      <c r="B180" s="58" t="str">
        <f>HYPERLINK("https://bulbapedia.bulbagarden.net/wiki/Pikachu-EX_(XY_Promo_174)","PikachuEX")</f>
        <v>PikachuEX</v>
      </c>
      <c r="C180" s="48" t="s">
        <v>192</v>
      </c>
      <c r="D180" s="48"/>
      <c r="E180" s="5"/>
      <c r="F180" s="5"/>
      <c r="G180" s="5"/>
      <c r="J180" s="5"/>
      <c r="M180" s="5"/>
      <c r="N180" s="5"/>
      <c r="P180" s="5"/>
    </row>
    <row r="181" spans="1:16" ht="13">
      <c r="A181" s="48" t="s">
        <v>4943</v>
      </c>
      <c r="B181" s="58" t="str">
        <f>HYPERLINK("https://bulbapedia.bulbagarden.net/wiki/Magearna-EX_(XY_Promo_175)","MagearnaEX")</f>
        <v>MagearnaEX</v>
      </c>
      <c r="C181" s="48" t="s">
        <v>220</v>
      </c>
      <c r="D181" s="48"/>
      <c r="E181" s="5"/>
      <c r="F181" s="5"/>
      <c r="G181" s="5"/>
      <c r="J181" s="5"/>
      <c r="M181" s="5"/>
      <c r="N181" s="5"/>
      <c r="P181" s="5"/>
    </row>
    <row r="182" spans="1:16" ht="13">
      <c r="A182" s="48" t="s">
        <v>4944</v>
      </c>
      <c r="B182" s="58" t="str">
        <f>HYPERLINK("https://bulbapedia.bulbagarden.net/wiki/Champions_Festival_(XY_Promo_176)","Champions Festival")</f>
        <v>Champions Festival</v>
      </c>
      <c r="C182" s="48" t="s">
        <v>229</v>
      </c>
      <c r="D182" s="48"/>
      <c r="E182" s="5"/>
      <c r="F182" s="5"/>
      <c r="G182" s="5"/>
      <c r="J182" s="5"/>
      <c r="M182" s="5"/>
      <c r="N182" s="5"/>
      <c r="P182" s="5"/>
    </row>
    <row r="183" spans="1:16" ht="13">
      <c r="A183" s="48" t="s">
        <v>4945</v>
      </c>
      <c r="B183" s="49" t="s">
        <v>4946</v>
      </c>
      <c r="C183" s="48" t="s">
        <v>1013</v>
      </c>
      <c r="D183" s="48"/>
      <c r="E183" s="5"/>
      <c r="F183" s="5"/>
      <c r="G183" s="5"/>
      <c r="J183" s="5"/>
      <c r="M183" s="5"/>
      <c r="N183" s="5"/>
      <c r="P183" s="5"/>
    </row>
    <row r="184" spans="1:16" ht="13">
      <c r="A184" s="48" t="s">
        <v>4947</v>
      </c>
      <c r="B184" s="49" t="s">
        <v>4946</v>
      </c>
      <c r="C184" s="48" t="s">
        <v>1013</v>
      </c>
      <c r="D184" s="48"/>
      <c r="E184" s="5"/>
      <c r="F184" s="5"/>
      <c r="G184" s="5"/>
      <c r="J184" s="5"/>
      <c r="M184" s="5"/>
      <c r="N184" s="5"/>
      <c r="P184" s="5"/>
    </row>
    <row r="185" spans="1:16" ht="13">
      <c r="A185" s="48" t="s">
        <v>4948</v>
      </c>
      <c r="B185" s="49" t="s">
        <v>1491</v>
      </c>
      <c r="C185" s="48" t="s">
        <v>808</v>
      </c>
      <c r="D185" s="48"/>
      <c r="E185" s="5"/>
      <c r="F185" s="5"/>
      <c r="G185" s="5"/>
      <c r="J185" s="5"/>
      <c r="M185" s="5"/>
      <c r="N185" s="5"/>
      <c r="P185" s="5"/>
    </row>
    <row r="186" spans="1:16" ht="13">
      <c r="A186" s="48" t="s">
        <v>4949</v>
      </c>
      <c r="B186" s="49" t="s">
        <v>233</v>
      </c>
      <c r="C186" s="48" t="s">
        <v>197</v>
      </c>
      <c r="D186" s="48"/>
      <c r="E186" s="5"/>
      <c r="F186" s="5"/>
      <c r="G186" s="5"/>
      <c r="J186" s="5"/>
      <c r="M186" s="5"/>
      <c r="N186" s="5"/>
      <c r="P186" s="5"/>
    </row>
    <row r="187" spans="1:16" ht="13">
      <c r="A187" s="48" t="s">
        <v>4950</v>
      </c>
      <c r="B187" s="58" t="str">
        <f>HYPERLINK("https://bulbapedia.bulbagarden.net/wiki/Arcanine_BREAK_(XY_Promo_180)","ArcanineBREAK")</f>
        <v>ArcanineBREAK</v>
      </c>
      <c r="C187" s="48" t="s">
        <v>199</v>
      </c>
      <c r="D187" s="48"/>
      <c r="E187" s="5"/>
      <c r="F187" s="5"/>
      <c r="G187" s="5"/>
      <c r="J187" s="5"/>
      <c r="M187" s="5"/>
      <c r="N187" s="5"/>
      <c r="P187" s="5"/>
    </row>
    <row r="188" spans="1:16" ht="13">
      <c r="A188" s="48" t="s">
        <v>4951</v>
      </c>
      <c r="B188" s="58" t="str">
        <f>HYPERLINK("https://bulbapedia.bulbagarden.net/wiki/Crobat_BREAK_(XY_Promo_181)","CrobatBREAK")</f>
        <v>CrobatBREAK</v>
      </c>
      <c r="C188" s="48" t="s">
        <v>195</v>
      </c>
      <c r="D188" s="48"/>
      <c r="E188" s="5"/>
      <c r="F188" s="5"/>
      <c r="G188" s="5"/>
      <c r="J188" s="5"/>
      <c r="M188" s="5"/>
      <c r="N188" s="5"/>
      <c r="P188" s="5"/>
    </row>
    <row r="189" spans="1:16" ht="13">
      <c r="A189" s="48" t="s">
        <v>4952</v>
      </c>
      <c r="B189" s="58" t="str">
        <f>HYPERLINK("https://bulbapedia.bulbagarden.net/wiki/Mandibuzz_BREAK_(XY_Promo_182)","MandibuzzBREAK")</f>
        <v>MandibuzzBREAK</v>
      </c>
      <c r="C189" s="48" t="s">
        <v>808</v>
      </c>
      <c r="D189" s="48"/>
      <c r="E189" s="5"/>
      <c r="F189" s="5"/>
      <c r="G189" s="5"/>
      <c r="J189" s="5"/>
      <c r="M189" s="5"/>
      <c r="N189" s="5"/>
      <c r="P189" s="5"/>
    </row>
    <row r="190" spans="1:16" ht="13">
      <c r="A190" s="48" t="s">
        <v>4953</v>
      </c>
      <c r="B190" s="58" t="str">
        <f>HYPERLINK("https://bulbapedia.bulbagarden.net/wiki/Mewtwo-EX_(XY_Promo_183)","MewtwoEX")</f>
        <v>MewtwoEX</v>
      </c>
      <c r="C190" s="48" t="s">
        <v>195</v>
      </c>
      <c r="D190" s="48"/>
      <c r="E190" s="5"/>
      <c r="F190" s="5"/>
      <c r="G190" s="5"/>
      <c r="J190" s="5"/>
      <c r="M190" s="5"/>
      <c r="N190" s="5"/>
      <c r="P190" s="5"/>
    </row>
    <row r="191" spans="1:16" ht="13">
      <c r="A191" s="48" t="s">
        <v>4954</v>
      </c>
      <c r="B191" s="49" t="s">
        <v>3374</v>
      </c>
      <c r="C191" s="48" t="s">
        <v>195</v>
      </c>
      <c r="D191" s="48"/>
      <c r="E191" s="5"/>
      <c r="F191" s="5"/>
      <c r="G191" s="5"/>
      <c r="J191" s="5"/>
      <c r="M191" s="5"/>
      <c r="N191" s="5"/>
      <c r="P191" s="5"/>
    </row>
    <row r="192" spans="1:16" ht="13">
      <c r="A192" s="48" t="s">
        <v>4955</v>
      </c>
      <c r="B192" s="49" t="s">
        <v>4928</v>
      </c>
      <c r="C192" s="48" t="s">
        <v>199</v>
      </c>
      <c r="D192" s="48"/>
      <c r="E192" s="5"/>
      <c r="F192" s="5"/>
      <c r="G192" s="5"/>
      <c r="J192" s="5"/>
      <c r="M192" s="5"/>
      <c r="N192" s="5"/>
      <c r="P192" s="5"/>
    </row>
    <row r="193" spans="1:16" ht="13">
      <c r="A193" s="48" t="s">
        <v>4956</v>
      </c>
      <c r="B193" s="49" t="s">
        <v>4930</v>
      </c>
      <c r="C193" s="48" t="s">
        <v>220</v>
      </c>
      <c r="D193" s="48"/>
      <c r="E193" s="5"/>
      <c r="F193" s="5"/>
      <c r="G193" s="5"/>
      <c r="J193" s="5"/>
      <c r="M193" s="5"/>
      <c r="N193" s="5"/>
      <c r="P193" s="5"/>
    </row>
    <row r="194" spans="1:16" ht="13">
      <c r="A194" s="48" t="s">
        <v>4957</v>
      </c>
      <c r="B194" s="49" t="s">
        <v>234</v>
      </c>
      <c r="C194" s="48" t="s">
        <v>205</v>
      </c>
      <c r="D194" s="48"/>
      <c r="E194" s="5"/>
      <c r="F194" s="5"/>
      <c r="G194" s="5"/>
      <c r="J194" s="5"/>
      <c r="M194" s="5"/>
      <c r="N194" s="5"/>
      <c r="P194" s="5"/>
    </row>
    <row r="195" spans="1:16" ht="13">
      <c r="A195" s="48" t="s">
        <v>4958</v>
      </c>
      <c r="B195" s="49" t="s">
        <v>3575</v>
      </c>
      <c r="C195" s="48" t="s">
        <v>205</v>
      </c>
      <c r="D195" s="48"/>
      <c r="E195" s="5"/>
      <c r="F195" s="5"/>
      <c r="G195" s="5"/>
      <c r="J195" s="5"/>
      <c r="M195" s="5"/>
      <c r="N195" s="5"/>
      <c r="P195" s="5"/>
    </row>
    <row r="196" spans="1:16" ht="13">
      <c r="A196" s="48" t="s">
        <v>4959</v>
      </c>
      <c r="B196" s="49" t="s">
        <v>4053</v>
      </c>
      <c r="C196" s="48" t="s">
        <v>199</v>
      </c>
      <c r="D196" s="48"/>
      <c r="E196" s="5"/>
      <c r="F196" s="5"/>
      <c r="G196" s="5"/>
      <c r="J196" s="5"/>
      <c r="M196" s="5"/>
      <c r="N196" s="5"/>
      <c r="P196" s="5"/>
    </row>
    <row r="197" spans="1:16" ht="13">
      <c r="A197" s="48" t="s">
        <v>4960</v>
      </c>
      <c r="B197" s="49" t="s">
        <v>3115</v>
      </c>
      <c r="C197" s="48" t="s">
        <v>208</v>
      </c>
      <c r="D197" s="48"/>
      <c r="E197" s="5"/>
      <c r="F197" s="5"/>
      <c r="G197" s="5"/>
      <c r="J197" s="5"/>
      <c r="M197" s="5"/>
      <c r="N197" s="5"/>
      <c r="P197" s="5"/>
    </row>
    <row r="198" spans="1:16" ht="13">
      <c r="A198" s="48" t="s">
        <v>4961</v>
      </c>
      <c r="B198" s="49" t="s">
        <v>4392</v>
      </c>
      <c r="C198" s="48" t="s">
        <v>208</v>
      </c>
      <c r="D198" s="48"/>
      <c r="E198" s="5"/>
      <c r="F198" s="5"/>
      <c r="G198" s="5"/>
      <c r="J198" s="5"/>
      <c r="M198" s="5"/>
      <c r="N198" s="5"/>
      <c r="P198" s="5"/>
    </row>
    <row r="199" spans="1:16" ht="13">
      <c r="A199" s="48" t="s">
        <v>4962</v>
      </c>
      <c r="B199" s="49" t="s">
        <v>201</v>
      </c>
      <c r="C199" s="48" t="s">
        <v>195</v>
      </c>
      <c r="D199" s="48"/>
      <c r="E199" s="5"/>
      <c r="F199" s="5"/>
      <c r="G199" s="5"/>
      <c r="J199" s="5"/>
      <c r="M199" s="5"/>
      <c r="N199" s="5"/>
      <c r="P199" s="5"/>
    </row>
    <row r="200" spans="1:16" ht="13">
      <c r="A200" s="48" t="s">
        <v>4963</v>
      </c>
      <c r="B200" s="49" t="s">
        <v>4429</v>
      </c>
      <c r="C200" s="48" t="s">
        <v>195</v>
      </c>
      <c r="D200" s="48"/>
      <c r="E200" s="5"/>
      <c r="F200" s="5"/>
      <c r="G200" s="5"/>
      <c r="J200" s="5"/>
      <c r="M200" s="5"/>
      <c r="N200" s="5"/>
      <c r="P200" s="5"/>
    </row>
    <row r="201" spans="1:16" ht="13">
      <c r="A201" s="48" t="s">
        <v>4964</v>
      </c>
      <c r="B201" s="49" t="s">
        <v>3059</v>
      </c>
      <c r="C201" s="48" t="s">
        <v>808</v>
      </c>
      <c r="D201" s="48"/>
      <c r="E201" s="5"/>
      <c r="F201" s="5"/>
      <c r="G201" s="5"/>
      <c r="J201" s="5"/>
      <c r="M201" s="5"/>
      <c r="N201" s="5"/>
      <c r="P201" s="5"/>
    </row>
    <row r="202" spans="1:16" ht="13">
      <c r="A202" s="48" t="s">
        <v>4965</v>
      </c>
      <c r="B202" s="49" t="s">
        <v>1196</v>
      </c>
      <c r="C202" s="48" t="s">
        <v>220</v>
      </c>
      <c r="D202" s="48"/>
      <c r="E202" s="5"/>
      <c r="F202" s="5"/>
      <c r="G202" s="5"/>
      <c r="J202" s="5"/>
      <c r="M202" s="5"/>
      <c r="N202" s="5"/>
      <c r="P202" s="5"/>
    </row>
    <row r="203" spans="1:16" ht="13">
      <c r="A203" s="48" t="s">
        <v>4966</v>
      </c>
      <c r="B203" s="49" t="s">
        <v>4683</v>
      </c>
      <c r="C203" s="48" t="s">
        <v>220</v>
      </c>
      <c r="D203" s="48"/>
      <c r="E203" s="5"/>
      <c r="F203" s="5"/>
      <c r="G203" s="5"/>
      <c r="J203" s="5"/>
      <c r="M203" s="5"/>
      <c r="N203" s="5"/>
      <c r="P203" s="5"/>
    </row>
    <row r="204" spans="1:16" ht="13">
      <c r="A204" s="48" t="s">
        <v>4967</v>
      </c>
      <c r="B204" s="49" t="s">
        <v>56</v>
      </c>
      <c r="C204" s="48" t="s">
        <v>197</v>
      </c>
      <c r="D204" s="48"/>
      <c r="E204" s="5"/>
      <c r="F204" s="5"/>
      <c r="G204" s="5"/>
      <c r="J204" s="5"/>
      <c r="M204" s="5"/>
      <c r="N204" s="5"/>
      <c r="P204" s="5"/>
    </row>
    <row r="205" spans="1:16" ht="13">
      <c r="A205" s="48" t="s">
        <v>4968</v>
      </c>
      <c r="B205" s="58" t="str">
        <f>HYPERLINK("https://bulbapedia.bulbagarden.net/wiki/M_Camerupt-EX_(XY_Promo_198)","MCameruptEX")</f>
        <v>MCameruptEX</v>
      </c>
      <c r="C205" s="48" t="s">
        <v>199</v>
      </c>
      <c r="D205" s="48"/>
      <c r="E205" s="5"/>
      <c r="F205" s="5"/>
      <c r="G205" s="5"/>
      <c r="J205" s="5"/>
      <c r="M205" s="5"/>
      <c r="N205" s="5"/>
      <c r="P205" s="5"/>
    </row>
    <row r="206" spans="1:16" ht="13">
      <c r="A206" s="48" t="s">
        <v>4969</v>
      </c>
      <c r="B206" s="58" t="str">
        <f>HYPERLINK("https://bulbapedia.bulbagarden.net/wiki/M_Camerupt-EX_(XY_Promo_198a)","MCameruptEX")</f>
        <v>MCameruptEX</v>
      </c>
      <c r="C206" s="48" t="s">
        <v>199</v>
      </c>
      <c r="D206" s="48"/>
      <c r="E206" s="5"/>
      <c r="F206" s="5"/>
      <c r="G206" s="5"/>
      <c r="J206" s="5"/>
      <c r="M206" s="5"/>
      <c r="N206" s="5"/>
      <c r="P206" s="5"/>
    </row>
    <row r="207" spans="1:16" ht="13">
      <c r="A207" s="48" t="s">
        <v>4970</v>
      </c>
      <c r="B207" s="49" t="s">
        <v>4971</v>
      </c>
      <c r="C207" s="48" t="s">
        <v>4114</v>
      </c>
      <c r="D207" s="48"/>
      <c r="E207" s="5"/>
      <c r="F207" s="5"/>
      <c r="G207" s="5"/>
      <c r="J207" s="5"/>
      <c r="M207" s="5"/>
      <c r="N207" s="5"/>
      <c r="P207" s="5"/>
    </row>
    <row r="208" spans="1:16" ht="13">
      <c r="A208" s="48" t="s">
        <v>4972</v>
      </c>
      <c r="B208" s="58" t="str">
        <f>HYPERLINK("https://bulbapedia.bulbagarden.net/wiki/M_Sharpedo-EX_(XY_Promo_200)","MSharpedoEX")</f>
        <v>MSharpedoEX</v>
      </c>
      <c r="C208" s="48" t="s">
        <v>808</v>
      </c>
      <c r="D208" s="48"/>
      <c r="E208" s="5"/>
      <c r="F208" s="5"/>
      <c r="G208" s="5"/>
      <c r="J208" s="5"/>
      <c r="M208" s="5"/>
      <c r="N208" s="5"/>
      <c r="P208" s="5"/>
    </row>
    <row r="209" spans="1:16" ht="13">
      <c r="A209" s="48" t="s">
        <v>4973</v>
      </c>
      <c r="B209" s="58" t="str">
        <f>HYPERLINK("https://bulbapedia.bulbagarden.net/wiki/M_Sharpedo-EX_(XY_Promo_200a)","MSharpedoEX")</f>
        <v>MSharpedoEX</v>
      </c>
      <c r="C209" s="48" t="s">
        <v>808</v>
      </c>
      <c r="D209" s="48"/>
      <c r="E209" s="5"/>
      <c r="F209" s="5"/>
      <c r="G209" s="5"/>
      <c r="J209" s="5"/>
      <c r="M209" s="5"/>
      <c r="N209" s="5"/>
      <c r="P209" s="5"/>
    </row>
    <row r="210" spans="1:16" ht="13">
      <c r="A210" s="48" t="s">
        <v>4974</v>
      </c>
      <c r="B210" s="49" t="s">
        <v>4975</v>
      </c>
      <c r="C210" s="48" t="s">
        <v>4114</v>
      </c>
      <c r="D210" s="48"/>
      <c r="E210" s="5"/>
      <c r="F210" s="5"/>
      <c r="G210" s="5"/>
      <c r="J210" s="5"/>
      <c r="M210" s="5"/>
      <c r="N210" s="5"/>
      <c r="P210" s="5"/>
    </row>
    <row r="211" spans="1:16" ht="13">
      <c r="A211" s="48" t="s">
        <v>4976</v>
      </c>
      <c r="B211" s="49" t="s">
        <v>191</v>
      </c>
      <c r="C211" s="48" t="s">
        <v>192</v>
      </c>
      <c r="D211" s="48"/>
      <c r="E211" s="5"/>
      <c r="F211" s="5"/>
      <c r="G211" s="5"/>
      <c r="J211" s="5"/>
      <c r="M211" s="5"/>
      <c r="N211" s="5"/>
      <c r="P211" s="5"/>
    </row>
    <row r="212" spans="1:16" ht="13">
      <c r="A212" s="48" t="s">
        <v>4977</v>
      </c>
      <c r="B212" s="49" t="s">
        <v>4978</v>
      </c>
      <c r="C212" s="48" t="s">
        <v>4114</v>
      </c>
      <c r="D212" s="48"/>
      <c r="E212" s="5"/>
      <c r="F212" s="5"/>
      <c r="G212" s="5"/>
      <c r="J212" s="5"/>
      <c r="M212" s="5"/>
      <c r="N212" s="5"/>
      <c r="P212" s="5"/>
    </row>
    <row r="213" spans="1:16" ht="13">
      <c r="A213" s="48" t="s">
        <v>4979</v>
      </c>
      <c r="B213" s="49" t="s">
        <v>4978</v>
      </c>
      <c r="C213" s="48" t="s">
        <v>4114</v>
      </c>
      <c r="D213" s="48"/>
      <c r="E213" s="5"/>
      <c r="F213" s="5"/>
      <c r="G213" s="5"/>
      <c r="J213" s="5"/>
      <c r="M213" s="5"/>
      <c r="N213" s="5"/>
      <c r="P213" s="5"/>
    </row>
    <row r="214" spans="1:16" ht="13">
      <c r="A214" s="48" t="s">
        <v>4980</v>
      </c>
      <c r="B214" s="49" t="s">
        <v>4978</v>
      </c>
      <c r="C214" s="48" t="s">
        <v>4114</v>
      </c>
      <c r="D214" s="48"/>
      <c r="E214" s="5"/>
      <c r="F214" s="5"/>
      <c r="G214" s="5"/>
      <c r="J214" s="5"/>
      <c r="M214" s="5"/>
      <c r="N214" s="5"/>
      <c r="P214" s="5"/>
    </row>
    <row r="215" spans="1:16" ht="13">
      <c r="A215" s="48" t="s">
        <v>4981</v>
      </c>
      <c r="B215" s="49" t="s">
        <v>4978</v>
      </c>
      <c r="C215" s="48" t="s">
        <v>4114</v>
      </c>
      <c r="D215" s="48"/>
      <c r="E215" s="5"/>
      <c r="F215" s="5"/>
      <c r="G215" s="5"/>
      <c r="J215" s="5"/>
      <c r="M215" s="5"/>
      <c r="N215" s="5"/>
      <c r="P215" s="5"/>
    </row>
    <row r="216" spans="1:16" ht="13">
      <c r="A216" s="48" t="s">
        <v>4982</v>
      </c>
      <c r="B216" s="49" t="s">
        <v>4978</v>
      </c>
      <c r="C216" s="48" t="s">
        <v>4114</v>
      </c>
      <c r="D216" s="48"/>
      <c r="E216" s="5"/>
      <c r="F216" s="5"/>
      <c r="G216" s="5"/>
      <c r="J216" s="5"/>
      <c r="M216" s="5"/>
      <c r="N216" s="5"/>
      <c r="P216" s="5"/>
    </row>
    <row r="217" spans="1:16" ht="13">
      <c r="A217" s="48" t="s">
        <v>4983</v>
      </c>
      <c r="B217" s="49" t="s">
        <v>4978</v>
      </c>
      <c r="C217" s="48" t="s">
        <v>4114</v>
      </c>
      <c r="D217" s="48"/>
      <c r="E217" s="5"/>
      <c r="F217" s="5"/>
      <c r="G217" s="5"/>
      <c r="J217" s="5"/>
      <c r="M217" s="5"/>
      <c r="N217" s="5"/>
      <c r="P217" s="5"/>
    </row>
    <row r="218" spans="1:16" ht="13">
      <c r="A218" s="48" t="s">
        <v>4984</v>
      </c>
      <c r="B218" s="49" t="s">
        <v>4978</v>
      </c>
      <c r="C218" s="48" t="s">
        <v>4114</v>
      </c>
      <c r="D218" s="48"/>
      <c r="E218" s="5"/>
      <c r="F218" s="5"/>
      <c r="G218" s="5"/>
      <c r="J218" s="5"/>
      <c r="M218" s="5"/>
      <c r="N218" s="5"/>
      <c r="P218" s="5"/>
    </row>
    <row r="219" spans="1:16" ht="13">
      <c r="A219" s="48" t="s">
        <v>4985</v>
      </c>
      <c r="B219" s="49" t="s">
        <v>4978</v>
      </c>
      <c r="C219" s="48" t="s">
        <v>4114</v>
      </c>
      <c r="D219" s="48"/>
      <c r="E219" s="5"/>
      <c r="F219" s="5"/>
      <c r="G219" s="5"/>
      <c r="J219" s="5"/>
      <c r="M219" s="5"/>
      <c r="N219" s="5"/>
      <c r="P219" s="5"/>
    </row>
    <row r="220" spans="1:16" ht="13">
      <c r="A220" s="48" t="s">
        <v>4986</v>
      </c>
      <c r="B220" s="49" t="s">
        <v>4987</v>
      </c>
      <c r="C220" s="48" t="s">
        <v>4114</v>
      </c>
      <c r="D220" s="48"/>
      <c r="E220" s="5"/>
      <c r="F220" s="5"/>
      <c r="G220" s="5"/>
      <c r="J220" s="5"/>
      <c r="M220" s="5"/>
      <c r="N220" s="5"/>
      <c r="P220" s="5"/>
    </row>
    <row r="221" spans="1:16" ht="13">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4000-000000000000}"/>
    <hyperlink ref="B6" r:id="rId2" xr:uid="{00000000-0004-0000-4000-000001000000}"/>
    <hyperlink ref="B7" r:id="rId3" xr:uid="{00000000-0004-0000-4000-000002000000}"/>
    <hyperlink ref="B8" r:id="rId4" xr:uid="{00000000-0004-0000-4000-000003000000}"/>
    <hyperlink ref="B9" r:id="rId5" xr:uid="{00000000-0004-0000-4000-000004000000}"/>
    <hyperlink ref="B10" r:id="rId6" xr:uid="{00000000-0004-0000-4000-000005000000}"/>
    <hyperlink ref="B15" r:id="rId7" xr:uid="{00000000-0004-0000-4000-000006000000}"/>
    <hyperlink ref="B16" r:id="rId8" xr:uid="{00000000-0004-0000-4000-000007000000}"/>
    <hyperlink ref="B18" r:id="rId9" xr:uid="{00000000-0004-0000-4000-000008000000}"/>
    <hyperlink ref="B19" r:id="rId10" xr:uid="{00000000-0004-0000-4000-000009000000}"/>
    <hyperlink ref="B20" r:id="rId11" xr:uid="{00000000-0004-0000-4000-00000A000000}"/>
    <hyperlink ref="B26" r:id="rId12" xr:uid="{00000000-0004-0000-4000-00000B000000}"/>
    <hyperlink ref="B27" r:id="rId13" xr:uid="{00000000-0004-0000-4000-00000C000000}"/>
    <hyperlink ref="B28" r:id="rId14" xr:uid="{00000000-0004-0000-4000-00000D000000}"/>
    <hyperlink ref="B30" r:id="rId15" xr:uid="{00000000-0004-0000-4000-00000E000000}"/>
    <hyperlink ref="B35" r:id="rId16" xr:uid="{00000000-0004-0000-4000-00000F000000}"/>
    <hyperlink ref="B36" r:id="rId17" xr:uid="{00000000-0004-0000-4000-000010000000}"/>
    <hyperlink ref="B37" r:id="rId18" xr:uid="{00000000-0004-0000-4000-000011000000}"/>
    <hyperlink ref="B40" r:id="rId19" xr:uid="{00000000-0004-0000-4000-000012000000}"/>
    <hyperlink ref="B41" r:id="rId20" xr:uid="{00000000-0004-0000-4000-000013000000}"/>
    <hyperlink ref="B42" r:id="rId21" xr:uid="{00000000-0004-0000-4000-000014000000}"/>
    <hyperlink ref="B44" r:id="rId22" xr:uid="{00000000-0004-0000-4000-000015000000}"/>
    <hyperlink ref="B51" r:id="rId23" xr:uid="{00000000-0004-0000-4000-000016000000}"/>
    <hyperlink ref="B52" r:id="rId24" xr:uid="{00000000-0004-0000-4000-000017000000}"/>
    <hyperlink ref="B53" r:id="rId25" xr:uid="{00000000-0004-0000-4000-000018000000}"/>
    <hyperlink ref="B54" r:id="rId26" xr:uid="{00000000-0004-0000-4000-000019000000}"/>
    <hyperlink ref="B55" r:id="rId27" xr:uid="{00000000-0004-0000-4000-00001A000000}"/>
    <hyperlink ref="B56" r:id="rId28" xr:uid="{00000000-0004-0000-4000-00001B000000}"/>
    <hyperlink ref="B60" r:id="rId29" xr:uid="{00000000-0004-0000-4000-00001C000000}"/>
    <hyperlink ref="B61" r:id="rId30" xr:uid="{00000000-0004-0000-4000-00001D000000}"/>
    <hyperlink ref="B62" r:id="rId31" xr:uid="{00000000-0004-0000-4000-00001E000000}"/>
    <hyperlink ref="B63" r:id="rId32" xr:uid="{00000000-0004-0000-4000-00001F000000}"/>
    <hyperlink ref="B68" r:id="rId33" xr:uid="{00000000-0004-0000-4000-000020000000}"/>
    <hyperlink ref="B69" r:id="rId34" xr:uid="{00000000-0004-0000-4000-000021000000}"/>
    <hyperlink ref="B71" r:id="rId35" xr:uid="{00000000-0004-0000-4000-000022000000}"/>
    <hyperlink ref="B72" r:id="rId36" xr:uid="{00000000-0004-0000-4000-000023000000}"/>
    <hyperlink ref="B79" r:id="rId37" xr:uid="{00000000-0004-0000-4000-000024000000}"/>
    <hyperlink ref="B80" r:id="rId38" xr:uid="{00000000-0004-0000-4000-000025000000}"/>
    <hyperlink ref="B81" r:id="rId39" xr:uid="{00000000-0004-0000-4000-000026000000}"/>
    <hyperlink ref="B82" r:id="rId40" xr:uid="{00000000-0004-0000-4000-000027000000}"/>
    <hyperlink ref="B83" r:id="rId41" xr:uid="{00000000-0004-0000-4000-000028000000}"/>
    <hyperlink ref="B84" r:id="rId42" xr:uid="{00000000-0004-0000-4000-000029000000}"/>
    <hyperlink ref="B85" r:id="rId43" xr:uid="{00000000-0004-0000-4000-00002A000000}"/>
    <hyperlink ref="B86" r:id="rId44" xr:uid="{00000000-0004-0000-4000-00002B000000}"/>
    <hyperlink ref="B87" r:id="rId45" xr:uid="{00000000-0004-0000-4000-00002C000000}"/>
    <hyperlink ref="B88" r:id="rId46" xr:uid="{00000000-0004-0000-4000-00002D000000}"/>
    <hyperlink ref="B93" r:id="rId47" xr:uid="{00000000-0004-0000-4000-00002E000000}"/>
    <hyperlink ref="B94" r:id="rId48" xr:uid="{00000000-0004-0000-4000-00002F000000}"/>
    <hyperlink ref="B95" r:id="rId49" xr:uid="{00000000-0004-0000-4000-000030000000}"/>
    <hyperlink ref="B97" r:id="rId50" xr:uid="{00000000-0004-0000-4000-000031000000}"/>
    <hyperlink ref="B98" r:id="rId51" xr:uid="{00000000-0004-0000-4000-000032000000}"/>
    <hyperlink ref="B100" r:id="rId52" xr:uid="{00000000-0004-0000-4000-000033000000}"/>
    <hyperlink ref="B101" r:id="rId53" xr:uid="{00000000-0004-0000-4000-000034000000}"/>
    <hyperlink ref="B104" r:id="rId54" xr:uid="{00000000-0004-0000-4000-000035000000}"/>
    <hyperlink ref="B105" r:id="rId55" xr:uid="{00000000-0004-0000-4000-000036000000}"/>
    <hyperlink ref="B106" r:id="rId56" xr:uid="{00000000-0004-0000-4000-000037000000}"/>
    <hyperlink ref="B110" r:id="rId57" xr:uid="{00000000-0004-0000-4000-000038000000}"/>
    <hyperlink ref="B114" r:id="rId58" xr:uid="{00000000-0004-0000-4000-000039000000}"/>
    <hyperlink ref="B115" r:id="rId59" xr:uid="{00000000-0004-0000-4000-00003A000000}"/>
    <hyperlink ref="B116" r:id="rId60" xr:uid="{00000000-0004-0000-4000-00003B000000}"/>
    <hyperlink ref="B117" r:id="rId61" xr:uid="{00000000-0004-0000-4000-00003C000000}"/>
    <hyperlink ref="B118" r:id="rId62" xr:uid="{00000000-0004-0000-4000-00003D000000}"/>
    <hyperlink ref="B119" r:id="rId63" xr:uid="{00000000-0004-0000-4000-00003E000000}"/>
    <hyperlink ref="B120" r:id="rId64" xr:uid="{00000000-0004-0000-4000-00003F000000}"/>
    <hyperlink ref="B121" r:id="rId65" xr:uid="{00000000-0004-0000-4000-000040000000}"/>
    <hyperlink ref="B122" r:id="rId66" xr:uid="{00000000-0004-0000-4000-000041000000}"/>
    <hyperlink ref="B123" r:id="rId67" xr:uid="{00000000-0004-0000-4000-000042000000}"/>
    <hyperlink ref="B124" r:id="rId68" xr:uid="{00000000-0004-0000-4000-000043000000}"/>
    <hyperlink ref="B125" r:id="rId69" xr:uid="{00000000-0004-0000-4000-000044000000}"/>
    <hyperlink ref="B136" r:id="rId70" xr:uid="{00000000-0004-0000-4000-000045000000}"/>
    <hyperlink ref="B137" r:id="rId71" xr:uid="{00000000-0004-0000-4000-000046000000}"/>
    <hyperlink ref="B142" r:id="rId72" xr:uid="{00000000-0004-0000-4000-000047000000}"/>
    <hyperlink ref="B143" r:id="rId73" xr:uid="{00000000-0004-0000-4000-000048000000}"/>
    <hyperlink ref="B144" r:id="rId74" xr:uid="{00000000-0004-0000-4000-000049000000}"/>
    <hyperlink ref="B145" r:id="rId75" xr:uid="{00000000-0004-0000-4000-00004A000000}"/>
    <hyperlink ref="B146" r:id="rId76" xr:uid="{00000000-0004-0000-4000-00004B000000}"/>
    <hyperlink ref="B147" r:id="rId77" xr:uid="{00000000-0004-0000-4000-00004C000000}"/>
    <hyperlink ref="B148" r:id="rId78" xr:uid="{00000000-0004-0000-4000-00004D000000}"/>
    <hyperlink ref="B158" r:id="rId79" xr:uid="{00000000-0004-0000-4000-00004E000000}"/>
    <hyperlink ref="B159" r:id="rId80" xr:uid="{00000000-0004-0000-4000-00004F000000}"/>
    <hyperlink ref="B162" r:id="rId81" xr:uid="{00000000-0004-0000-4000-000050000000}"/>
    <hyperlink ref="B165" r:id="rId82" xr:uid="{00000000-0004-0000-4000-000051000000}"/>
    <hyperlink ref="B166" r:id="rId83" xr:uid="{00000000-0004-0000-4000-000052000000}"/>
    <hyperlink ref="B167" r:id="rId84" xr:uid="{00000000-0004-0000-4000-000053000000}"/>
    <hyperlink ref="B168" r:id="rId85" xr:uid="{00000000-0004-0000-4000-000054000000}"/>
    <hyperlink ref="B169" r:id="rId86" xr:uid="{00000000-0004-0000-4000-000055000000}"/>
    <hyperlink ref="B170" r:id="rId87" xr:uid="{00000000-0004-0000-4000-000056000000}"/>
    <hyperlink ref="B171" r:id="rId88" xr:uid="{00000000-0004-0000-4000-000057000000}"/>
    <hyperlink ref="B175" r:id="rId89" xr:uid="{00000000-0004-0000-4000-000058000000}"/>
    <hyperlink ref="B178" r:id="rId90" xr:uid="{00000000-0004-0000-4000-000059000000}"/>
    <hyperlink ref="B183" r:id="rId91" xr:uid="{00000000-0004-0000-4000-00005A000000}"/>
    <hyperlink ref="B184" r:id="rId92" xr:uid="{00000000-0004-0000-4000-00005B000000}"/>
    <hyperlink ref="B185" r:id="rId93" xr:uid="{00000000-0004-0000-4000-00005C000000}"/>
    <hyperlink ref="B186" r:id="rId94" xr:uid="{00000000-0004-0000-4000-00005D000000}"/>
    <hyperlink ref="B191" r:id="rId95" xr:uid="{00000000-0004-0000-4000-00005E000000}"/>
    <hyperlink ref="B192" r:id="rId96" xr:uid="{00000000-0004-0000-4000-00005F000000}"/>
    <hyperlink ref="B193" r:id="rId97" xr:uid="{00000000-0004-0000-4000-000060000000}"/>
    <hyperlink ref="B194" r:id="rId98" xr:uid="{00000000-0004-0000-4000-000061000000}"/>
    <hyperlink ref="B195" r:id="rId99" xr:uid="{00000000-0004-0000-4000-000062000000}"/>
    <hyperlink ref="B196" r:id="rId100" xr:uid="{00000000-0004-0000-4000-000063000000}"/>
    <hyperlink ref="B197" r:id="rId101" xr:uid="{00000000-0004-0000-4000-000064000000}"/>
    <hyperlink ref="B198" r:id="rId102" xr:uid="{00000000-0004-0000-4000-000065000000}"/>
    <hyperlink ref="B199" r:id="rId103" xr:uid="{00000000-0004-0000-4000-000066000000}"/>
    <hyperlink ref="B200" r:id="rId104" xr:uid="{00000000-0004-0000-4000-000067000000}"/>
    <hyperlink ref="B201" r:id="rId105" xr:uid="{00000000-0004-0000-4000-000068000000}"/>
    <hyperlink ref="B202" r:id="rId106" xr:uid="{00000000-0004-0000-4000-000069000000}"/>
    <hyperlink ref="B203" r:id="rId107" xr:uid="{00000000-0004-0000-4000-00006A000000}"/>
    <hyperlink ref="B204" r:id="rId108" xr:uid="{00000000-0004-0000-4000-00006B000000}"/>
    <hyperlink ref="B207" r:id="rId109" xr:uid="{00000000-0004-0000-4000-00006C000000}"/>
    <hyperlink ref="B210" r:id="rId110" xr:uid="{00000000-0004-0000-4000-00006D000000}"/>
    <hyperlink ref="B211" r:id="rId111" xr:uid="{00000000-0004-0000-4000-00006E000000}"/>
    <hyperlink ref="B212" r:id="rId112" xr:uid="{00000000-0004-0000-4000-00006F000000}"/>
    <hyperlink ref="B213" r:id="rId113" xr:uid="{00000000-0004-0000-4000-000070000000}"/>
    <hyperlink ref="B214" r:id="rId114" xr:uid="{00000000-0004-0000-4000-000071000000}"/>
    <hyperlink ref="B215" r:id="rId115" xr:uid="{00000000-0004-0000-4000-000072000000}"/>
    <hyperlink ref="B216" r:id="rId116" xr:uid="{00000000-0004-0000-4000-000073000000}"/>
    <hyperlink ref="B217" r:id="rId117" xr:uid="{00000000-0004-0000-4000-000074000000}"/>
    <hyperlink ref="B218" r:id="rId118" xr:uid="{00000000-0004-0000-4000-000075000000}"/>
    <hyperlink ref="B219" r:id="rId119" xr:uid="{00000000-0004-0000-4000-000076000000}"/>
    <hyperlink ref="B220" r:id="rId120" xr:uid="{00000000-0004-0000-4000-000077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6">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6" customWidth="1"/>
    <col min="2" max="2" width="19.1640625" customWidth="1"/>
    <col min="3" max="3" width="13.5" customWidth="1"/>
    <col min="4" max="4" width="14.83203125" customWidth="1"/>
    <col min="5" max="5" width="14.33203125" customWidth="1"/>
    <col min="7" max="7" width="14.1640625" customWidth="1"/>
  </cols>
  <sheetData>
    <row r="1" spans="1:12" ht="15.75" customHeight="1">
      <c r="A1" s="1" t="s">
        <v>80</v>
      </c>
      <c r="B1" s="36"/>
      <c r="C1" s="37"/>
      <c r="D1" s="7" t="s">
        <v>181</v>
      </c>
    </row>
    <row r="2" spans="1:12" ht="15.75" customHeight="1">
      <c r="A2" s="7" t="s">
        <v>182</v>
      </c>
      <c r="B2" s="38">
        <v>41586</v>
      </c>
      <c r="C2" s="37"/>
      <c r="D2" s="39">
        <f>SUM(D5:G146)</f>
        <v>0</v>
      </c>
    </row>
    <row r="3" spans="1:12" ht="15.75" customHeight="1">
      <c r="B3" s="41"/>
      <c r="C3" s="37"/>
    </row>
    <row r="4" spans="1:12" ht="15.75" customHeight="1">
      <c r="A4" s="42" t="s">
        <v>183</v>
      </c>
      <c r="B4" s="43" t="s">
        <v>184</v>
      </c>
      <c r="C4" s="43" t="s">
        <v>185</v>
      </c>
      <c r="D4" s="42" t="s">
        <v>186</v>
      </c>
      <c r="E4" s="44" t="s">
        <v>187</v>
      </c>
      <c r="F4" s="44" t="s">
        <v>188</v>
      </c>
      <c r="G4" s="44" t="s">
        <v>189</v>
      </c>
      <c r="H4" s="44" t="s">
        <v>190</v>
      </c>
      <c r="I4" s="44"/>
    </row>
    <row r="5" spans="1:12" ht="15.75" customHeight="1">
      <c r="A5" s="51" t="s">
        <v>4988</v>
      </c>
      <c r="B5" s="60" t="s">
        <v>300</v>
      </c>
      <c r="C5" s="51" t="s">
        <v>205</v>
      </c>
      <c r="D5" s="47"/>
      <c r="L5" s="43"/>
    </row>
    <row r="6" spans="1:12" ht="15.75" customHeight="1">
      <c r="A6" s="51" t="s">
        <v>4989</v>
      </c>
      <c r="B6" s="60" t="s">
        <v>4120</v>
      </c>
      <c r="C6" s="51" t="s">
        <v>205</v>
      </c>
      <c r="D6" s="73"/>
    </row>
    <row r="7" spans="1:12" ht="15.75" customHeight="1">
      <c r="A7" s="51" t="s">
        <v>4990</v>
      </c>
      <c r="B7" s="60" t="s">
        <v>4736</v>
      </c>
      <c r="C7" s="51" t="s">
        <v>205</v>
      </c>
      <c r="D7" s="73"/>
    </row>
    <row r="8" spans="1:12" ht="15.75" customHeight="1">
      <c r="A8" s="51" t="s">
        <v>4991</v>
      </c>
      <c r="B8" s="60" t="s">
        <v>4992</v>
      </c>
      <c r="C8" s="51" t="s">
        <v>205</v>
      </c>
      <c r="D8" s="73"/>
    </row>
    <row r="9" spans="1:12" ht="15.75" customHeight="1">
      <c r="A9" s="51" t="s">
        <v>4993</v>
      </c>
      <c r="B9" s="60" t="s">
        <v>4994</v>
      </c>
      <c r="C9" s="51" t="s">
        <v>199</v>
      </c>
      <c r="D9" s="73"/>
    </row>
    <row r="10" spans="1:12" ht="15.75" customHeight="1">
      <c r="A10" s="51" t="s">
        <v>4995</v>
      </c>
      <c r="B10" s="60" t="s">
        <v>980</v>
      </c>
      <c r="C10" s="51" t="s">
        <v>199</v>
      </c>
      <c r="D10" s="73"/>
    </row>
    <row r="11" spans="1:12" ht="15.75" customHeight="1">
      <c r="A11" s="51" t="s">
        <v>4996</v>
      </c>
      <c r="B11" s="60" t="s">
        <v>4054</v>
      </c>
      <c r="C11" s="51" t="s">
        <v>199</v>
      </c>
      <c r="D11" s="73"/>
    </row>
    <row r="12" spans="1:12" ht="15.75" customHeight="1">
      <c r="A12" s="51" t="s">
        <v>4997</v>
      </c>
      <c r="B12" s="60" t="s">
        <v>4738</v>
      </c>
      <c r="C12" s="51" t="s">
        <v>199</v>
      </c>
      <c r="D12" s="73"/>
    </row>
    <row r="13" spans="1:12" ht="15.75" customHeight="1">
      <c r="A13" s="51" t="s">
        <v>4998</v>
      </c>
      <c r="B13" s="60" t="s">
        <v>4924</v>
      </c>
      <c r="C13" s="51" t="s">
        <v>199</v>
      </c>
      <c r="D13" s="73"/>
    </row>
    <row r="14" spans="1:12" ht="15.75" customHeight="1">
      <c r="A14" s="51" t="s">
        <v>4999</v>
      </c>
      <c r="B14" s="60" t="s">
        <v>5000</v>
      </c>
      <c r="C14" s="51" t="s">
        <v>199</v>
      </c>
      <c r="D14" s="73"/>
    </row>
    <row r="15" spans="1:12" ht="15.75" customHeight="1">
      <c r="A15" s="51" t="s">
        <v>5001</v>
      </c>
      <c r="B15" s="60" t="s">
        <v>4124</v>
      </c>
      <c r="C15" s="51" t="s">
        <v>208</v>
      </c>
      <c r="D15" s="73"/>
    </row>
    <row r="16" spans="1:12" ht="15.75" customHeight="1">
      <c r="A16" s="51" t="s">
        <v>5002</v>
      </c>
      <c r="B16" s="60" t="s">
        <v>4740</v>
      </c>
      <c r="C16" s="51" t="s">
        <v>208</v>
      </c>
      <c r="D16" s="73"/>
    </row>
    <row r="17" spans="1:4" ht="15.75" customHeight="1">
      <c r="A17" s="51" t="s">
        <v>5003</v>
      </c>
      <c r="B17" s="60" t="s">
        <v>5004</v>
      </c>
      <c r="C17" s="51" t="s">
        <v>208</v>
      </c>
      <c r="D17" s="73"/>
    </row>
    <row r="18" spans="1:4" ht="15.75" customHeight="1">
      <c r="A18" s="51" t="s">
        <v>5005</v>
      </c>
      <c r="B18" s="60" t="s">
        <v>4771</v>
      </c>
      <c r="C18" s="51" t="s">
        <v>208</v>
      </c>
      <c r="D18" s="73"/>
    </row>
    <row r="19" spans="1:4" ht="15.75" customHeight="1">
      <c r="A19" s="51" t="s">
        <v>5006</v>
      </c>
      <c r="B19" s="60" t="s">
        <v>5007</v>
      </c>
      <c r="C19" s="51" t="s">
        <v>208</v>
      </c>
      <c r="D19" s="73"/>
    </row>
    <row r="20" spans="1:4" ht="15.75" customHeight="1">
      <c r="A20" s="51" t="s">
        <v>5008</v>
      </c>
      <c r="B20" s="60" t="s">
        <v>1303</v>
      </c>
      <c r="C20" s="51" t="s">
        <v>808</v>
      </c>
      <c r="D20" s="73"/>
    </row>
    <row r="21" spans="1:4" ht="15.75" customHeight="1">
      <c r="A21" s="51" t="s">
        <v>5009</v>
      </c>
      <c r="B21" s="60" t="s">
        <v>1226</v>
      </c>
      <c r="C21" s="51" t="s">
        <v>808</v>
      </c>
      <c r="D21" s="73"/>
    </row>
    <row r="22" spans="1:4" ht="15.75" customHeight="1">
      <c r="A22" s="51" t="s">
        <v>5010</v>
      </c>
      <c r="B22" s="60" t="s">
        <v>5011</v>
      </c>
      <c r="C22" s="51" t="s">
        <v>808</v>
      </c>
      <c r="D22" s="73"/>
    </row>
    <row r="23" spans="1:4" ht="15.75" customHeight="1">
      <c r="A23" s="51" t="s">
        <v>5012</v>
      </c>
      <c r="B23" s="60" t="s">
        <v>4101</v>
      </c>
      <c r="C23" s="51" t="s">
        <v>220</v>
      </c>
      <c r="D23" s="73"/>
    </row>
    <row r="24" spans="1:4" ht="15.75" customHeight="1">
      <c r="A24" s="51" t="s">
        <v>5013</v>
      </c>
      <c r="B24" s="60" t="s">
        <v>4102</v>
      </c>
      <c r="C24" s="51" t="s">
        <v>220</v>
      </c>
      <c r="D24" s="73"/>
    </row>
    <row r="25" spans="1:4" ht="15.75" customHeight="1">
      <c r="A25" s="51" t="s">
        <v>5014</v>
      </c>
      <c r="B25" s="60" t="s">
        <v>4755</v>
      </c>
      <c r="C25" s="51" t="s">
        <v>220</v>
      </c>
      <c r="D25" s="73"/>
    </row>
    <row r="26" spans="1:4" ht="15.75" customHeight="1">
      <c r="A26" s="51" t="s">
        <v>5015</v>
      </c>
      <c r="B26" s="60" t="s">
        <v>891</v>
      </c>
      <c r="C26" s="51" t="s">
        <v>4743</v>
      </c>
      <c r="D26" s="73"/>
    </row>
    <row r="27" spans="1:4" ht="15.75" customHeight="1">
      <c r="A27" s="51" t="s">
        <v>5016</v>
      </c>
      <c r="B27" s="60" t="s">
        <v>829</v>
      </c>
      <c r="C27" s="51" t="s">
        <v>4743</v>
      </c>
      <c r="D27" s="73"/>
    </row>
    <row r="28" spans="1:4" ht="15.75" customHeight="1">
      <c r="A28" s="51" t="s">
        <v>5017</v>
      </c>
      <c r="B28" s="60" t="s">
        <v>5018</v>
      </c>
      <c r="C28" s="51" t="s">
        <v>205</v>
      </c>
      <c r="D28" s="48"/>
    </row>
    <row r="29" spans="1:4" ht="15.75" customHeight="1">
      <c r="A29" s="51" t="s">
        <v>5019</v>
      </c>
      <c r="B29" s="60" t="s">
        <v>261</v>
      </c>
      <c r="C29" s="51" t="s">
        <v>197</v>
      </c>
      <c r="D29" s="73"/>
    </row>
    <row r="30" spans="1:4" ht="15.75" customHeight="1">
      <c r="A30" s="51" t="s">
        <v>5020</v>
      </c>
      <c r="B30" s="60" t="s">
        <v>233</v>
      </c>
      <c r="C30" s="51" t="s">
        <v>197</v>
      </c>
      <c r="D30" s="73"/>
    </row>
    <row r="31" spans="1:4" ht="15.75" customHeight="1">
      <c r="A31" s="51" t="s">
        <v>5021</v>
      </c>
      <c r="B31" s="60" t="s">
        <v>836</v>
      </c>
      <c r="C31" s="51" t="s">
        <v>197</v>
      </c>
      <c r="D31" s="73"/>
    </row>
    <row r="32" spans="1:4" ht="15.75" customHeight="1">
      <c r="A32" s="51" t="s">
        <v>5022</v>
      </c>
      <c r="B32" s="60" t="s">
        <v>1276</v>
      </c>
      <c r="C32" s="51" t="s">
        <v>197</v>
      </c>
      <c r="D32" s="73"/>
    </row>
    <row r="33" spans="1:4" ht="15.75" customHeight="1">
      <c r="A33" s="51" t="s">
        <v>5023</v>
      </c>
      <c r="B33" s="60" t="s">
        <v>3143</v>
      </c>
      <c r="C33" s="51" t="s">
        <v>197</v>
      </c>
      <c r="D33" s="73"/>
    </row>
    <row r="34" spans="1:4" ht="15.75" customHeight="1">
      <c r="A34" s="51" t="s">
        <v>5024</v>
      </c>
      <c r="B34" s="60" t="s">
        <v>5025</v>
      </c>
      <c r="C34" s="51" t="s">
        <v>197</v>
      </c>
      <c r="D34" s="73"/>
    </row>
    <row r="35" spans="1:4" ht="15.75" customHeight="1">
      <c r="A35" s="51" t="s">
        <v>5026</v>
      </c>
      <c r="B35" s="60" t="s">
        <v>5027</v>
      </c>
      <c r="C35" s="51" t="s">
        <v>197</v>
      </c>
      <c r="D35" s="73"/>
    </row>
    <row r="36" spans="1:4" ht="15.75" customHeight="1">
      <c r="A36" s="51" t="s">
        <v>5028</v>
      </c>
      <c r="B36" s="60" t="s">
        <v>5029</v>
      </c>
      <c r="C36" s="51" t="s">
        <v>197</v>
      </c>
      <c r="D36" s="73"/>
    </row>
    <row r="37" spans="1:4" ht="15.75" customHeight="1">
      <c r="A37" s="51" t="s">
        <v>5030</v>
      </c>
      <c r="B37" s="60" t="s">
        <v>5029</v>
      </c>
      <c r="C37" s="51" t="s">
        <v>197</v>
      </c>
      <c r="D37" s="73"/>
    </row>
    <row r="38" spans="1:4" ht="15.75" customHeight="1">
      <c r="A38" s="51" t="s">
        <v>5031</v>
      </c>
      <c r="B38" s="60" t="s">
        <v>4704</v>
      </c>
      <c r="C38" s="51" t="s">
        <v>4114</v>
      </c>
      <c r="D38" s="73"/>
    </row>
    <row r="39" spans="1:4" ht="15.75" customHeight="1">
      <c r="A39" s="51" t="s">
        <v>5032</v>
      </c>
      <c r="B39" s="60" t="s">
        <v>357</v>
      </c>
      <c r="C39" s="51" t="s">
        <v>4114</v>
      </c>
      <c r="D39" s="73"/>
    </row>
    <row r="40" spans="1:4" ht="15.75" customHeight="1">
      <c r="A40" s="51" t="s">
        <v>5033</v>
      </c>
      <c r="B40" s="60" t="s">
        <v>4183</v>
      </c>
      <c r="C40" s="51" t="s">
        <v>4114</v>
      </c>
      <c r="D40" s="73"/>
    </row>
    <row r="41" spans="1:4" ht="15.75" customHeight="1">
      <c r="A41" s="51" t="s">
        <v>5034</v>
      </c>
      <c r="B41" s="60" t="s">
        <v>314</v>
      </c>
      <c r="C41" s="51" t="s">
        <v>4114</v>
      </c>
      <c r="D41" s="73"/>
    </row>
    <row r="42" spans="1:4" ht="15.75" customHeight="1">
      <c r="A42" s="51" t="s">
        <v>5035</v>
      </c>
      <c r="B42" s="60" t="s">
        <v>315</v>
      </c>
      <c r="C42" s="51" t="s">
        <v>4114</v>
      </c>
      <c r="D42" s="73"/>
    </row>
    <row r="43" spans="1:4" ht="15.75" customHeight="1">
      <c r="A43" s="51" t="s">
        <v>5036</v>
      </c>
      <c r="B43" s="60" t="s">
        <v>5037</v>
      </c>
      <c r="C43" s="48" t="s">
        <v>1013</v>
      </c>
      <c r="D43" s="48"/>
    </row>
    <row r="44" spans="1:4" ht="15.75" customHeight="1">
      <c r="A44" s="48"/>
      <c r="B44" s="50"/>
      <c r="C44" s="48"/>
      <c r="D44" s="73"/>
    </row>
    <row r="45" spans="1:4" ht="15.75" customHeight="1">
      <c r="A45" s="48"/>
      <c r="B45" s="50"/>
      <c r="C45" s="48"/>
      <c r="D45" s="73"/>
    </row>
    <row r="46" spans="1:4" ht="15.75" customHeight="1">
      <c r="A46" s="48"/>
      <c r="B46" s="50"/>
      <c r="C46" s="48"/>
      <c r="D46" s="73"/>
    </row>
    <row r="47" spans="1:4" ht="15.75" customHeight="1">
      <c r="A47" s="48"/>
      <c r="B47" s="50"/>
      <c r="C47" s="48"/>
      <c r="D47" s="73"/>
    </row>
    <row r="48" spans="1:4" ht="15.75" customHeight="1">
      <c r="A48" s="48"/>
      <c r="B48" s="53"/>
      <c r="C48" s="48"/>
      <c r="D48" s="73"/>
    </row>
    <row r="49" spans="1:4" ht="15.75" customHeight="1">
      <c r="A49" s="48"/>
      <c r="B49" s="53"/>
      <c r="C49" s="48"/>
      <c r="D49" s="73"/>
    </row>
    <row r="50" spans="1:4" ht="15.75" customHeight="1">
      <c r="A50" s="48"/>
      <c r="B50" s="50"/>
      <c r="C50" s="48"/>
      <c r="D50" s="73"/>
    </row>
    <row r="51" spans="1:4" ht="15.75" customHeight="1">
      <c r="A51" s="48"/>
      <c r="B51" s="50"/>
      <c r="C51" s="48"/>
      <c r="D51" s="73"/>
    </row>
    <row r="52" spans="1:4" ht="15.75" customHeight="1">
      <c r="A52" s="48"/>
      <c r="B52" s="50"/>
      <c r="C52" s="48"/>
      <c r="D52" s="73"/>
    </row>
    <row r="53" spans="1:4" ht="13">
      <c r="A53" s="48"/>
      <c r="B53" s="50"/>
      <c r="C53" s="48"/>
      <c r="D53" s="73"/>
    </row>
    <row r="54" spans="1:4" ht="13">
      <c r="A54" s="48"/>
      <c r="B54" s="50"/>
      <c r="C54" s="48"/>
      <c r="D54" s="73"/>
    </row>
    <row r="55" spans="1:4" ht="13">
      <c r="A55" s="48"/>
      <c r="B55" s="50"/>
      <c r="C55" s="48"/>
      <c r="D55" s="73"/>
    </row>
    <row r="56" spans="1:4" ht="13">
      <c r="A56" s="48"/>
      <c r="B56" s="53"/>
      <c r="C56" s="48"/>
      <c r="D56" s="73"/>
    </row>
    <row r="57" spans="1:4" ht="13">
      <c r="A57" s="48"/>
      <c r="B57" s="50"/>
      <c r="C57" s="48"/>
      <c r="D57" s="73"/>
    </row>
    <row r="58" spans="1:4" ht="13">
      <c r="A58" s="48"/>
      <c r="B58" s="53"/>
      <c r="C58" s="48"/>
      <c r="D58" s="73"/>
    </row>
    <row r="59" spans="1:4" ht="13">
      <c r="A59" s="48"/>
      <c r="B59" s="50"/>
      <c r="C59" s="48"/>
      <c r="D59" s="73"/>
    </row>
    <row r="60" spans="1:4" ht="13">
      <c r="A60" s="48"/>
      <c r="B60" s="50"/>
      <c r="C60" s="48"/>
      <c r="D60" s="73"/>
    </row>
    <row r="61" spans="1:4" ht="13">
      <c r="A61" s="48"/>
      <c r="B61" s="50"/>
      <c r="C61" s="48"/>
      <c r="D61" s="73"/>
    </row>
    <row r="62" spans="1:4" ht="13">
      <c r="A62" s="48"/>
      <c r="B62" s="50"/>
      <c r="C62" s="48"/>
      <c r="D62" s="73"/>
    </row>
    <row r="63" spans="1:4" ht="13">
      <c r="A63" s="48"/>
      <c r="B63" s="50"/>
      <c r="C63" s="48"/>
      <c r="D63" s="73"/>
    </row>
    <row r="64" spans="1:4" ht="13">
      <c r="A64" s="48"/>
      <c r="B64" s="50"/>
      <c r="C64" s="48"/>
      <c r="D64" s="73"/>
    </row>
    <row r="65" spans="1:4" ht="13">
      <c r="A65" s="48"/>
      <c r="B65" s="50"/>
      <c r="C65" s="48"/>
      <c r="D65" s="47"/>
    </row>
    <row r="66" spans="1:4" ht="13">
      <c r="A66" s="48"/>
      <c r="B66" s="50"/>
      <c r="C66" s="48"/>
      <c r="D66" s="73"/>
    </row>
    <row r="67" spans="1:4" ht="13">
      <c r="A67" s="48"/>
      <c r="B67" s="50"/>
      <c r="C67" s="48"/>
      <c r="D67" s="73"/>
    </row>
    <row r="68" spans="1:4" ht="13">
      <c r="A68" s="48"/>
      <c r="B68" s="50"/>
      <c r="C68" s="48"/>
      <c r="D68" s="73"/>
    </row>
    <row r="69" spans="1:4" ht="13">
      <c r="A69" s="48"/>
      <c r="B69" s="50"/>
      <c r="C69" s="48"/>
      <c r="D69" s="73"/>
    </row>
    <row r="70" spans="1:4" ht="13">
      <c r="A70" s="48"/>
      <c r="B70" s="50"/>
      <c r="C70" s="48"/>
      <c r="D70" s="73"/>
    </row>
    <row r="71" spans="1:4" ht="13">
      <c r="A71" s="48"/>
      <c r="B71" s="50"/>
      <c r="C71" s="48"/>
      <c r="D71" s="73"/>
    </row>
    <row r="72" spans="1:4" ht="13">
      <c r="A72" s="48"/>
      <c r="B72" s="50"/>
      <c r="C72" s="48"/>
      <c r="D72" s="73"/>
    </row>
    <row r="73" spans="1:4" ht="13">
      <c r="A73" s="48"/>
      <c r="B73" s="50"/>
      <c r="C73" s="48"/>
      <c r="D73" s="73"/>
    </row>
    <row r="74" spans="1:4" ht="13">
      <c r="A74" s="48"/>
      <c r="B74" s="50"/>
      <c r="C74" s="48"/>
      <c r="D74" s="73"/>
    </row>
    <row r="75" spans="1:4" ht="13">
      <c r="A75" s="48"/>
      <c r="B75" s="50"/>
      <c r="C75" s="48"/>
      <c r="D75" s="73"/>
    </row>
    <row r="76" spans="1:4" ht="13">
      <c r="A76" s="48"/>
      <c r="B76" s="50"/>
      <c r="C76" s="48"/>
      <c r="D76" s="73"/>
    </row>
    <row r="77" spans="1:4" ht="13">
      <c r="A77" s="48"/>
      <c r="B77" s="50"/>
      <c r="C77" s="48"/>
      <c r="D77" s="73"/>
    </row>
    <row r="78" spans="1:4" ht="13">
      <c r="A78" s="48"/>
      <c r="B78" s="50"/>
      <c r="C78" s="48"/>
      <c r="D78" s="73"/>
    </row>
    <row r="79" spans="1:4" ht="13">
      <c r="A79" s="48"/>
      <c r="B79" s="50"/>
      <c r="C79" s="48"/>
      <c r="D79" s="73"/>
    </row>
    <row r="80" spans="1:4" ht="13">
      <c r="A80" s="48"/>
      <c r="B80" s="50"/>
      <c r="C80" s="48"/>
      <c r="D80" s="73"/>
    </row>
    <row r="81" spans="1:4" ht="13">
      <c r="A81" s="48"/>
      <c r="B81" s="53"/>
      <c r="C81" s="48"/>
      <c r="D81" s="73"/>
    </row>
    <row r="82" spans="1:4" ht="13">
      <c r="A82" s="48"/>
      <c r="B82" s="50"/>
      <c r="C82" s="48"/>
      <c r="D82" s="73"/>
    </row>
    <row r="83" spans="1:4" ht="13">
      <c r="A83" s="48"/>
      <c r="B83" s="50"/>
      <c r="C83" s="48"/>
      <c r="D83" s="73"/>
    </row>
    <row r="84" spans="1:4" ht="13">
      <c r="A84" s="48"/>
      <c r="B84" s="50"/>
      <c r="C84" s="48"/>
      <c r="D84" s="73"/>
    </row>
    <row r="85" spans="1:4" ht="13">
      <c r="A85" s="48"/>
      <c r="B85" s="50"/>
      <c r="C85" s="48"/>
      <c r="D85" s="73"/>
    </row>
    <row r="86" spans="1:4" ht="13">
      <c r="A86" s="48"/>
      <c r="B86" s="53"/>
      <c r="C86" s="48"/>
      <c r="D86" s="73"/>
    </row>
    <row r="87" spans="1:4" ht="13">
      <c r="A87" s="48"/>
      <c r="B87" s="50"/>
      <c r="C87" s="48"/>
      <c r="D87" s="73"/>
    </row>
    <row r="88" spans="1:4" ht="13">
      <c r="A88" s="48"/>
      <c r="B88" s="50"/>
      <c r="C88" s="48"/>
      <c r="D88" s="73"/>
    </row>
    <row r="89" spans="1:4" ht="13">
      <c r="A89" s="48"/>
      <c r="B89" s="50"/>
      <c r="C89" s="48"/>
      <c r="D89" s="73"/>
    </row>
    <row r="90" spans="1:4" ht="13">
      <c r="A90" s="48"/>
      <c r="B90" s="50"/>
      <c r="C90" s="48"/>
      <c r="D90" s="73"/>
    </row>
    <row r="91" spans="1:4" ht="13">
      <c r="A91" s="48"/>
      <c r="B91" s="50"/>
      <c r="C91" s="48"/>
      <c r="D91" s="73"/>
    </row>
    <row r="92" spans="1:4" ht="13">
      <c r="A92" s="48"/>
      <c r="B92" s="53"/>
      <c r="C92" s="48"/>
      <c r="D92" s="73"/>
    </row>
    <row r="93" spans="1:4" ht="13">
      <c r="A93" s="48"/>
      <c r="B93" s="50"/>
      <c r="C93" s="48"/>
      <c r="D93" s="73"/>
    </row>
    <row r="94" spans="1:4" ht="13">
      <c r="A94" s="48"/>
      <c r="B94" s="50"/>
      <c r="C94" s="48"/>
      <c r="D94" s="73"/>
    </row>
    <row r="95" spans="1:4" ht="13">
      <c r="A95" s="48"/>
      <c r="B95" s="50"/>
      <c r="C95" s="48"/>
      <c r="D95" s="73"/>
    </row>
    <row r="96" spans="1:4" ht="13">
      <c r="A96" s="48"/>
      <c r="B96" s="50"/>
      <c r="C96" s="48"/>
      <c r="D96" s="47"/>
    </row>
    <row r="97" spans="1:4" ht="13">
      <c r="A97" s="48"/>
      <c r="B97" s="50"/>
      <c r="C97" s="48"/>
      <c r="D97" s="73"/>
    </row>
    <row r="98" spans="1:4" ht="13">
      <c r="A98" s="48"/>
      <c r="B98" s="50"/>
      <c r="C98" s="48"/>
      <c r="D98" s="73"/>
    </row>
    <row r="99" spans="1:4" ht="13">
      <c r="A99" s="48"/>
      <c r="B99" s="50"/>
      <c r="C99" s="48"/>
      <c r="D99" s="73"/>
    </row>
    <row r="100" spans="1:4" ht="13">
      <c r="A100" s="48"/>
      <c r="B100" s="50"/>
      <c r="C100" s="48"/>
      <c r="D100" s="73"/>
    </row>
    <row r="101" spans="1:4" ht="13">
      <c r="A101" s="48"/>
      <c r="B101" s="50"/>
      <c r="C101" s="48"/>
      <c r="D101" s="73"/>
    </row>
    <row r="102" spans="1:4" ht="13">
      <c r="A102" s="48"/>
      <c r="B102" s="50"/>
      <c r="C102" s="48"/>
      <c r="D102" s="73"/>
    </row>
    <row r="103" spans="1:4" ht="13">
      <c r="A103" s="48"/>
      <c r="B103" s="50"/>
      <c r="C103" s="48"/>
      <c r="D103" s="73"/>
    </row>
    <row r="104" spans="1:4" ht="13">
      <c r="A104" s="48"/>
      <c r="B104" s="53"/>
      <c r="C104" s="48"/>
      <c r="D104" s="73"/>
    </row>
    <row r="105" spans="1:4" ht="13">
      <c r="A105" s="48"/>
      <c r="B105" s="53"/>
      <c r="C105" s="48"/>
      <c r="D105" s="73"/>
    </row>
    <row r="106" spans="1:4" ht="13">
      <c r="A106" s="48"/>
      <c r="B106" s="53"/>
      <c r="C106" s="48"/>
      <c r="D106" s="73"/>
    </row>
    <row r="107" spans="1:4" ht="13">
      <c r="A107" s="48"/>
      <c r="B107" s="50"/>
      <c r="C107" s="48"/>
      <c r="D107" s="47"/>
    </row>
    <row r="108" spans="1:4" ht="13">
      <c r="A108" s="48"/>
      <c r="B108" s="50"/>
      <c r="C108" s="48"/>
      <c r="D108" s="47"/>
    </row>
    <row r="109" spans="1:4" ht="13">
      <c r="A109" s="48"/>
      <c r="B109" s="50"/>
      <c r="C109" s="48"/>
      <c r="D109" s="73"/>
    </row>
    <row r="110" spans="1:4" ht="13">
      <c r="A110" s="48"/>
      <c r="B110" s="50"/>
      <c r="C110" s="48"/>
      <c r="D110" s="73"/>
    </row>
    <row r="111" spans="1:4" ht="13">
      <c r="A111" s="48"/>
      <c r="B111" s="50"/>
      <c r="C111" s="48"/>
      <c r="D111" s="73"/>
    </row>
    <row r="112" spans="1:4" ht="13">
      <c r="A112" s="48"/>
      <c r="B112" s="50"/>
      <c r="C112" s="48"/>
      <c r="D112" s="73"/>
    </row>
    <row r="113" spans="1:4" ht="13">
      <c r="A113" s="48"/>
      <c r="B113" s="50"/>
      <c r="C113" s="51"/>
      <c r="D113" s="73"/>
    </row>
    <row r="114" spans="1:4" ht="13">
      <c r="A114" s="48"/>
      <c r="B114" s="50"/>
      <c r="C114" s="51"/>
      <c r="D114" s="73"/>
    </row>
    <row r="115" spans="1:4" ht="13">
      <c r="A115" s="48"/>
      <c r="B115" s="50"/>
      <c r="C115" s="51"/>
      <c r="D115" s="73"/>
    </row>
    <row r="116" spans="1:4" ht="13">
      <c r="A116" s="48"/>
      <c r="B116" s="50"/>
      <c r="C116" s="51"/>
      <c r="D116" s="73"/>
    </row>
    <row r="117" spans="1:4" ht="13">
      <c r="A117" s="48"/>
      <c r="B117" s="50"/>
      <c r="C117" s="51"/>
      <c r="D117" s="73"/>
    </row>
    <row r="118" spans="1:4" ht="13">
      <c r="A118" s="48"/>
      <c r="B118" s="50"/>
      <c r="C118" s="48"/>
      <c r="D118" s="73"/>
    </row>
    <row r="119" spans="1:4" ht="13">
      <c r="A119" s="48"/>
      <c r="B119" s="50"/>
      <c r="C119" s="48"/>
      <c r="D119" s="73"/>
    </row>
    <row r="120" spans="1:4" ht="13">
      <c r="A120" s="48"/>
      <c r="B120" s="50"/>
      <c r="C120" s="48"/>
      <c r="D120" s="48"/>
    </row>
    <row r="121" spans="1:4" ht="13">
      <c r="A121" s="74"/>
      <c r="B121" s="50"/>
      <c r="C121" s="48"/>
      <c r="D121" s="73"/>
    </row>
    <row r="122" spans="1:4" ht="13">
      <c r="A122" s="48"/>
      <c r="B122" s="50"/>
      <c r="C122" s="51"/>
      <c r="D122" s="54"/>
    </row>
    <row r="123" spans="1:4" ht="13">
      <c r="A123" s="48"/>
      <c r="B123" s="50"/>
      <c r="C123" s="51"/>
      <c r="D123" s="54"/>
    </row>
    <row r="124" spans="1:4" ht="13">
      <c r="A124" s="48"/>
      <c r="B124" s="50"/>
      <c r="C124" s="51"/>
      <c r="D124" s="54"/>
    </row>
    <row r="125" spans="1:4" ht="13">
      <c r="A125" s="48"/>
      <c r="B125" s="50"/>
      <c r="C125" s="51"/>
      <c r="D125" s="54"/>
    </row>
    <row r="126" spans="1:4" ht="13">
      <c r="A126" s="48"/>
      <c r="B126" s="50"/>
      <c r="C126" s="51"/>
      <c r="D126" s="54"/>
    </row>
    <row r="127" spans="1:4" ht="13">
      <c r="A127" s="48"/>
      <c r="B127" s="50"/>
      <c r="C127" s="51"/>
      <c r="D127" s="54"/>
    </row>
    <row r="128" spans="1:4" ht="13">
      <c r="A128" s="48"/>
      <c r="B128" s="50"/>
      <c r="C128" s="51"/>
      <c r="D128" s="54"/>
    </row>
    <row r="129" spans="1:4" ht="13">
      <c r="A129" s="48"/>
      <c r="B129" s="50"/>
      <c r="C129" s="51"/>
      <c r="D129" s="5"/>
    </row>
    <row r="130" spans="1:4" ht="13">
      <c r="A130" s="48"/>
      <c r="B130" s="50"/>
      <c r="C130" s="51"/>
      <c r="D130" s="5"/>
    </row>
    <row r="131" spans="1:4" ht="13">
      <c r="A131" s="48"/>
      <c r="B131" s="50"/>
      <c r="C131" s="51"/>
      <c r="D131" s="54"/>
    </row>
    <row r="132" spans="1:4" ht="13">
      <c r="A132" s="48"/>
      <c r="B132" s="53"/>
      <c r="C132" s="51"/>
      <c r="D132" s="54"/>
    </row>
    <row r="133" spans="1:4" ht="13">
      <c r="A133" s="48"/>
      <c r="B133" s="50"/>
      <c r="C133" s="51"/>
      <c r="D133" s="5"/>
    </row>
    <row r="134" spans="1:4" ht="13">
      <c r="A134" s="48"/>
      <c r="B134" s="50"/>
      <c r="C134" s="51"/>
      <c r="D134" s="5"/>
    </row>
    <row r="135" spans="1:4" ht="13">
      <c r="A135" s="48"/>
      <c r="B135" s="50"/>
      <c r="C135" s="51"/>
      <c r="D135" s="5"/>
    </row>
    <row r="136" spans="1:4" ht="13">
      <c r="A136" s="48"/>
      <c r="B136" s="50"/>
      <c r="C136" s="51"/>
      <c r="D136" s="5"/>
    </row>
    <row r="137" spans="1:4" ht="13">
      <c r="A137" s="48"/>
      <c r="B137" s="50"/>
      <c r="C137" s="51"/>
      <c r="D137" s="5"/>
    </row>
    <row r="138" spans="1:4" ht="13">
      <c r="A138" s="48"/>
      <c r="B138" s="50"/>
      <c r="C138" s="51"/>
      <c r="D138" s="5"/>
    </row>
    <row r="139" spans="1:4" ht="13">
      <c r="A139" s="48"/>
      <c r="B139" s="50"/>
      <c r="C139" s="51"/>
      <c r="D139" s="5"/>
    </row>
    <row r="140" spans="1:4" ht="13">
      <c r="A140" s="48"/>
      <c r="B140" s="50"/>
      <c r="C140" s="51"/>
      <c r="D140" s="5"/>
    </row>
    <row r="141" spans="1:4" ht="13">
      <c r="A141" s="48"/>
      <c r="B141" s="50"/>
      <c r="C141" s="51"/>
      <c r="D141" s="5"/>
    </row>
    <row r="142" spans="1:4" ht="13">
      <c r="A142" s="48"/>
      <c r="B142" s="53"/>
      <c r="C142" s="51"/>
      <c r="D142" s="5"/>
    </row>
    <row r="143" spans="1:4" ht="13">
      <c r="A143" s="48"/>
      <c r="B143" s="50"/>
      <c r="C143" s="51"/>
      <c r="D143" s="5"/>
    </row>
    <row r="144" spans="1:4" ht="13">
      <c r="A144" s="48"/>
      <c r="B144" s="50"/>
      <c r="C144" s="51"/>
      <c r="D144" s="5"/>
    </row>
    <row r="145" spans="1:4" ht="13">
      <c r="A145" s="48"/>
      <c r="B145" s="53"/>
      <c r="C145" s="51"/>
      <c r="D145" s="51"/>
    </row>
    <row r="146" spans="1:4" ht="13">
      <c r="A146" s="48"/>
      <c r="B146" s="53"/>
      <c r="C146" s="48"/>
      <c r="D146" s="47"/>
    </row>
    <row r="148" spans="1:4" ht="13">
      <c r="A148" s="48"/>
      <c r="B148" s="53"/>
      <c r="C148" s="48"/>
      <c r="D148" s="47"/>
    </row>
    <row r="149" spans="1:4" ht="13">
      <c r="A149" s="48"/>
      <c r="B149" s="53"/>
      <c r="C149" s="48"/>
      <c r="D149" s="47"/>
    </row>
    <row r="150" spans="1:4" ht="13">
      <c r="A150" s="48"/>
      <c r="B150" s="53"/>
      <c r="C150" s="48"/>
      <c r="D150" s="47"/>
    </row>
    <row r="151" spans="1:4" ht="13">
      <c r="A151" s="48"/>
      <c r="B151" s="53"/>
      <c r="C151" s="48"/>
      <c r="D151" s="47"/>
    </row>
    <row r="152" spans="1:4" ht="13">
      <c r="A152" s="64"/>
      <c r="B152" s="65"/>
      <c r="C152" s="64"/>
      <c r="D152" s="66"/>
    </row>
    <row r="153" spans="1:4" ht="13">
      <c r="A153" s="64"/>
      <c r="B153" s="65"/>
      <c r="C153" s="64"/>
      <c r="D153" s="66"/>
    </row>
    <row r="154" spans="1:4" ht="13">
      <c r="A154" s="64"/>
      <c r="B154" s="65"/>
      <c r="C154" s="64"/>
      <c r="D154" s="66"/>
    </row>
    <row r="155" spans="1:4" ht="13">
      <c r="A155" s="64"/>
      <c r="B155" s="65"/>
      <c r="C155" s="64"/>
      <c r="D155" s="66"/>
    </row>
    <row r="156" spans="1:4" ht="13">
      <c r="A156" s="64"/>
      <c r="B156" s="65"/>
      <c r="C156" s="64"/>
      <c r="D156" s="66"/>
    </row>
    <row r="157" spans="1:4" ht="13">
      <c r="A157" s="64"/>
      <c r="B157" s="65"/>
      <c r="C157" s="64"/>
      <c r="D157" s="66"/>
    </row>
    <row r="158" spans="1:4" ht="13">
      <c r="A158" s="64"/>
      <c r="B158" s="65"/>
      <c r="C158" s="64"/>
      <c r="D158" s="66"/>
    </row>
    <row r="159" spans="1:4" ht="13">
      <c r="A159" s="64"/>
      <c r="B159" s="67"/>
      <c r="C159" s="64"/>
      <c r="D159" s="66"/>
    </row>
    <row r="160" spans="1:4" ht="13">
      <c r="A160" s="64"/>
      <c r="B160" s="65"/>
      <c r="C160" s="64"/>
      <c r="D160" s="66"/>
    </row>
    <row r="161" spans="1:4" ht="13">
      <c r="A161" s="64"/>
      <c r="B161" s="67"/>
      <c r="C161" s="64"/>
      <c r="D161" s="66"/>
    </row>
    <row r="162" spans="1:4" ht="13">
      <c r="A162" s="64"/>
      <c r="B162" s="68"/>
      <c r="C162" s="64"/>
      <c r="D162" s="66"/>
    </row>
    <row r="163" spans="1:4" ht="13">
      <c r="A163" s="64"/>
      <c r="B163" s="68"/>
      <c r="C163" s="64"/>
      <c r="D163" s="66"/>
    </row>
    <row r="164" spans="1:4" ht="13">
      <c r="A164" s="64"/>
      <c r="B164" s="68"/>
      <c r="C164" s="64"/>
      <c r="D164" s="66"/>
    </row>
    <row r="165" spans="1:4" ht="13">
      <c r="A165" s="64"/>
      <c r="B165" s="68"/>
      <c r="C165" s="64"/>
      <c r="D165" s="66"/>
    </row>
    <row r="166" spans="1:4" ht="13">
      <c r="A166" s="64"/>
      <c r="B166" s="68"/>
      <c r="C166" s="64"/>
      <c r="D166" s="66"/>
    </row>
    <row r="167" spans="1:4" ht="13">
      <c r="A167" s="64"/>
      <c r="B167" s="68"/>
      <c r="C167" s="64"/>
      <c r="D167" s="66"/>
    </row>
    <row r="168" spans="1:4" ht="13">
      <c r="A168" s="64"/>
      <c r="B168" s="68"/>
      <c r="C168" s="64"/>
      <c r="D168" s="66"/>
    </row>
    <row r="169" spans="1:4" ht="13">
      <c r="A169" s="64"/>
      <c r="B169" s="68"/>
      <c r="C169" s="64"/>
      <c r="D169" s="66"/>
    </row>
    <row r="170" spans="1:4" ht="13">
      <c r="A170" s="48"/>
      <c r="B170" s="69"/>
      <c r="C170" s="70"/>
      <c r="D170" s="47"/>
    </row>
    <row r="171" spans="1:4" ht="13">
      <c r="A171" s="48"/>
      <c r="B171" s="71"/>
      <c r="C171" s="70"/>
      <c r="D171" s="47"/>
    </row>
    <row r="172" spans="1:4" ht="13">
      <c r="A172" s="48"/>
      <c r="B172" s="71"/>
      <c r="C172" s="70"/>
      <c r="D172" s="47"/>
    </row>
    <row r="173" spans="1:4" ht="13">
      <c r="A173" s="48"/>
      <c r="B173" s="71"/>
      <c r="C173" s="70"/>
      <c r="D173" s="47"/>
    </row>
    <row r="174" spans="1:4" ht="13">
      <c r="A174" s="48"/>
      <c r="B174" s="71"/>
      <c r="C174" s="70"/>
      <c r="D174" s="47"/>
    </row>
    <row r="175" spans="1:4" ht="13">
      <c r="A175" s="48"/>
      <c r="B175" s="71"/>
      <c r="C175" s="70"/>
      <c r="D175" s="47"/>
    </row>
    <row r="176" spans="1:4" ht="13">
      <c r="A176" s="48"/>
      <c r="B176" s="71"/>
      <c r="C176" s="70"/>
      <c r="D176" s="47"/>
    </row>
    <row r="177" spans="1:4" ht="13">
      <c r="A177" s="48"/>
      <c r="B177" s="69"/>
      <c r="C177" s="70"/>
      <c r="D177" s="47"/>
    </row>
    <row r="178" spans="1:4" ht="13">
      <c r="A178" s="48"/>
      <c r="B178" s="69"/>
      <c r="C178" s="70"/>
      <c r="D178" s="47"/>
    </row>
    <row r="179" spans="1:4" ht="13">
      <c r="B179" s="36"/>
      <c r="C179" s="37"/>
    </row>
    <row r="180" spans="1:4" ht="13">
      <c r="B180" s="36"/>
      <c r="C180" s="37"/>
    </row>
    <row r="181" spans="1:4" ht="13">
      <c r="B181" s="36"/>
      <c r="C181" s="37"/>
    </row>
    <row r="182" spans="1:4" ht="13">
      <c r="B182" s="36"/>
      <c r="C182" s="37"/>
    </row>
    <row r="183" spans="1:4" ht="13">
      <c r="B183" s="36"/>
      <c r="C183" s="37"/>
    </row>
    <row r="184" spans="1:4" ht="13">
      <c r="B184" s="36"/>
      <c r="C184" s="37"/>
    </row>
    <row r="185" spans="1:4" ht="13">
      <c r="B185" s="36"/>
      <c r="C185" s="37"/>
    </row>
    <row r="186" spans="1:4" ht="13">
      <c r="B186" s="36"/>
      <c r="C186" s="37"/>
    </row>
    <row r="187" spans="1:4" ht="13">
      <c r="B187" s="36"/>
      <c r="C187" s="37"/>
    </row>
    <row r="188" spans="1:4" ht="13">
      <c r="B188" s="36"/>
      <c r="C188" s="37"/>
    </row>
    <row r="189" spans="1:4" ht="13">
      <c r="B189" s="36"/>
      <c r="C189" s="37"/>
    </row>
    <row r="190" spans="1:4" ht="13">
      <c r="B190" s="36"/>
      <c r="C190" s="37"/>
    </row>
    <row r="191" spans="1:4" ht="13">
      <c r="B191" s="36"/>
      <c r="C191" s="37"/>
    </row>
    <row r="192" spans="1:4" ht="13">
      <c r="B192" s="36"/>
      <c r="C192" s="37"/>
    </row>
    <row r="193" spans="2:3" ht="13">
      <c r="B193" s="36"/>
      <c r="C193" s="37"/>
    </row>
    <row r="194" spans="2:3" ht="13">
      <c r="B194" s="36"/>
      <c r="C194" s="37"/>
    </row>
    <row r="195" spans="2:3" ht="13">
      <c r="B195" s="36"/>
      <c r="C195" s="37"/>
    </row>
    <row r="196" spans="2:3" ht="13">
      <c r="B196" s="36"/>
      <c r="C196" s="37"/>
    </row>
    <row r="197" spans="2:3" ht="13">
      <c r="B197" s="36"/>
      <c r="C197" s="37"/>
    </row>
    <row r="198" spans="2:3" ht="13">
      <c r="B198" s="36"/>
      <c r="C198" s="37"/>
    </row>
    <row r="199" spans="2:3" ht="13">
      <c r="B199" s="36"/>
      <c r="C199" s="37"/>
    </row>
    <row r="200" spans="2:3" ht="13">
      <c r="B200" s="36"/>
      <c r="C200" s="37"/>
    </row>
    <row r="201" spans="2:3" ht="13">
      <c r="B201" s="36"/>
      <c r="C201" s="37"/>
    </row>
    <row r="202" spans="2:3" ht="13">
      <c r="B202" s="36"/>
      <c r="C202" s="37"/>
    </row>
    <row r="203" spans="2:3" ht="13">
      <c r="B203" s="36"/>
      <c r="C203" s="37"/>
    </row>
    <row r="204" spans="2:3" ht="13">
      <c r="B204" s="36"/>
      <c r="C204" s="37"/>
    </row>
    <row r="205" spans="2:3" ht="13">
      <c r="B205" s="36"/>
      <c r="C205" s="37"/>
    </row>
    <row r="206" spans="2:3" ht="13">
      <c r="B206" s="36"/>
      <c r="C206" s="37"/>
    </row>
    <row r="207" spans="2:3" ht="13">
      <c r="B207" s="36"/>
      <c r="C207" s="37"/>
    </row>
    <row r="208" spans="2:3" ht="13">
      <c r="B208" s="36"/>
      <c r="C208" s="37"/>
    </row>
    <row r="209" spans="2:3" ht="13">
      <c r="B209" s="36"/>
      <c r="C209" s="37"/>
    </row>
    <row r="210" spans="2:3" ht="13">
      <c r="B210" s="36"/>
      <c r="C210" s="37"/>
    </row>
    <row r="211" spans="2:3" ht="13">
      <c r="B211" s="36"/>
      <c r="C211" s="37"/>
    </row>
    <row r="212" spans="2:3" ht="13">
      <c r="B212" s="36"/>
      <c r="C212" s="37"/>
    </row>
    <row r="213" spans="2:3" ht="13">
      <c r="B213" s="36"/>
      <c r="C213" s="37"/>
    </row>
    <row r="214" spans="2:3" ht="13">
      <c r="B214" s="36"/>
      <c r="C214" s="37"/>
    </row>
    <row r="215" spans="2:3" ht="13">
      <c r="B215" s="36"/>
      <c r="C215" s="37"/>
    </row>
    <row r="216" spans="2:3" ht="13">
      <c r="B216" s="36"/>
      <c r="C216" s="37"/>
    </row>
    <row r="217" spans="2:3" ht="13">
      <c r="B217" s="36"/>
      <c r="C217" s="37"/>
    </row>
    <row r="218" spans="2:3" ht="13">
      <c r="B218" s="36"/>
      <c r="C218" s="37"/>
    </row>
    <row r="219" spans="2:3" ht="13">
      <c r="B219" s="36"/>
      <c r="C219" s="37"/>
    </row>
    <row r="220" spans="2:3" ht="13">
      <c r="B220" s="36"/>
      <c r="C220" s="37"/>
    </row>
    <row r="221" spans="2:3" ht="13">
      <c r="B221" s="36"/>
      <c r="C221" s="37"/>
    </row>
    <row r="222" spans="2:3" ht="13">
      <c r="B222" s="36"/>
      <c r="C222" s="37"/>
    </row>
    <row r="223" spans="2:3" ht="13">
      <c r="B223" s="36"/>
      <c r="C223" s="37"/>
    </row>
    <row r="224" spans="2:3" ht="13">
      <c r="B224" s="36"/>
      <c r="C224" s="37"/>
    </row>
    <row r="225" spans="2:3" ht="13">
      <c r="B225" s="36"/>
      <c r="C225" s="37"/>
    </row>
    <row r="226" spans="2:3" ht="13">
      <c r="B226" s="36"/>
      <c r="C226" s="37"/>
    </row>
    <row r="227" spans="2:3" ht="13">
      <c r="B227" s="36"/>
      <c r="C227" s="37"/>
    </row>
    <row r="228" spans="2:3" ht="13">
      <c r="B228" s="36"/>
      <c r="C228" s="37"/>
    </row>
    <row r="229" spans="2:3" ht="13">
      <c r="B229" s="36"/>
      <c r="C229" s="37"/>
    </row>
    <row r="230" spans="2:3" ht="13">
      <c r="B230" s="36"/>
      <c r="C230" s="37"/>
    </row>
    <row r="231" spans="2:3" ht="13">
      <c r="B231" s="36"/>
      <c r="C231" s="37"/>
    </row>
    <row r="232" spans="2:3" ht="13">
      <c r="B232" s="36"/>
      <c r="C232" s="37"/>
    </row>
    <row r="233" spans="2:3" ht="13">
      <c r="B233" s="36"/>
      <c r="C233" s="37"/>
    </row>
    <row r="234" spans="2:3" ht="13">
      <c r="B234" s="36"/>
      <c r="C234" s="37"/>
    </row>
    <row r="235" spans="2:3" ht="13">
      <c r="B235" s="36"/>
      <c r="C235" s="37"/>
    </row>
    <row r="236" spans="2:3" ht="13">
      <c r="B236" s="36"/>
      <c r="C236" s="37"/>
    </row>
    <row r="237" spans="2:3" ht="13">
      <c r="B237" s="36"/>
      <c r="C237" s="37"/>
    </row>
    <row r="238" spans="2:3" ht="13">
      <c r="B238" s="36"/>
      <c r="C238" s="37"/>
    </row>
    <row r="239" spans="2:3" ht="13">
      <c r="B239" s="36"/>
      <c r="C239" s="37"/>
    </row>
    <row r="240" spans="2:3" ht="13">
      <c r="B240" s="36"/>
      <c r="C240" s="37"/>
    </row>
    <row r="241" spans="2:3" ht="13">
      <c r="B241" s="36"/>
      <c r="C241" s="37"/>
    </row>
    <row r="242" spans="2:3" ht="13">
      <c r="B242" s="36"/>
      <c r="C242" s="37"/>
    </row>
    <row r="243" spans="2:3" ht="13">
      <c r="B243" s="36"/>
      <c r="C243" s="37"/>
    </row>
    <row r="244" spans="2:3" ht="13">
      <c r="B244" s="36"/>
      <c r="C244" s="37"/>
    </row>
    <row r="245" spans="2:3" ht="13">
      <c r="B245" s="36"/>
      <c r="C245" s="37"/>
    </row>
    <row r="246" spans="2:3" ht="13">
      <c r="B246" s="36"/>
      <c r="C246" s="37"/>
    </row>
    <row r="247" spans="2:3" ht="13">
      <c r="B247" s="36"/>
      <c r="C247" s="37"/>
    </row>
    <row r="248" spans="2:3" ht="13">
      <c r="B248" s="36"/>
      <c r="C248" s="37"/>
    </row>
    <row r="249" spans="2:3" ht="13">
      <c r="B249" s="36"/>
      <c r="C249" s="37"/>
    </row>
    <row r="250" spans="2:3" ht="13">
      <c r="B250" s="36"/>
      <c r="C250" s="37"/>
    </row>
    <row r="251" spans="2:3" ht="13">
      <c r="B251" s="36"/>
      <c r="C251" s="37"/>
    </row>
    <row r="252" spans="2:3" ht="13">
      <c r="B252" s="36"/>
      <c r="C252" s="37"/>
    </row>
    <row r="253" spans="2:3" ht="13">
      <c r="B253" s="36"/>
      <c r="C253" s="37"/>
    </row>
    <row r="254" spans="2:3" ht="13">
      <c r="B254" s="36"/>
      <c r="C254" s="37"/>
    </row>
    <row r="255" spans="2:3" ht="13">
      <c r="B255" s="36"/>
      <c r="C255" s="37"/>
    </row>
    <row r="256" spans="2:3" ht="13">
      <c r="B256" s="36"/>
      <c r="C256" s="37"/>
    </row>
    <row r="257" spans="2:3" ht="13">
      <c r="B257" s="36"/>
      <c r="C257" s="37"/>
    </row>
    <row r="258" spans="2:3" ht="13">
      <c r="B258" s="36"/>
      <c r="C258" s="37"/>
    </row>
    <row r="259" spans="2:3" ht="13">
      <c r="B259" s="36"/>
      <c r="C259" s="37"/>
    </row>
    <row r="260" spans="2:3" ht="13">
      <c r="B260" s="36"/>
      <c r="C260" s="37"/>
    </row>
    <row r="261" spans="2:3" ht="13">
      <c r="B261" s="36"/>
      <c r="C261" s="37"/>
    </row>
    <row r="262" spans="2:3" ht="13">
      <c r="B262" s="36"/>
      <c r="C262" s="37"/>
    </row>
    <row r="263" spans="2:3" ht="13">
      <c r="B263" s="36"/>
      <c r="C263" s="37"/>
    </row>
    <row r="264" spans="2:3" ht="13">
      <c r="B264" s="36"/>
      <c r="C264" s="37"/>
    </row>
    <row r="265" spans="2:3" ht="13">
      <c r="B265" s="36"/>
      <c r="C265" s="37"/>
    </row>
    <row r="266" spans="2:3" ht="13">
      <c r="B266" s="36"/>
      <c r="C266" s="37"/>
    </row>
    <row r="267" spans="2:3" ht="13">
      <c r="B267" s="36"/>
      <c r="C267" s="37"/>
    </row>
    <row r="268" spans="2:3" ht="13">
      <c r="B268" s="36"/>
      <c r="C268" s="37"/>
    </row>
    <row r="269" spans="2:3" ht="13">
      <c r="B269" s="36"/>
      <c r="C269" s="37"/>
    </row>
    <row r="270" spans="2:3" ht="13">
      <c r="B270" s="36"/>
      <c r="C270" s="37"/>
    </row>
    <row r="271" spans="2:3" ht="13">
      <c r="B271" s="36"/>
      <c r="C271" s="37"/>
    </row>
    <row r="272" spans="2:3" ht="13">
      <c r="B272" s="36"/>
      <c r="C272" s="37"/>
    </row>
    <row r="273" spans="2:3" ht="13">
      <c r="B273" s="36"/>
      <c r="C273" s="37"/>
    </row>
    <row r="274" spans="2:3" ht="13">
      <c r="B274" s="36"/>
      <c r="C274" s="37"/>
    </row>
    <row r="275" spans="2:3" ht="13">
      <c r="B275" s="36"/>
      <c r="C275" s="37"/>
    </row>
    <row r="276" spans="2:3" ht="13">
      <c r="B276" s="36"/>
      <c r="C276" s="37"/>
    </row>
    <row r="277" spans="2:3" ht="13">
      <c r="B277" s="36"/>
      <c r="C277" s="37"/>
    </row>
    <row r="278" spans="2:3" ht="13">
      <c r="B278" s="36"/>
      <c r="C278" s="37"/>
    </row>
    <row r="279" spans="2:3" ht="13">
      <c r="B279" s="36"/>
      <c r="C279" s="37"/>
    </row>
    <row r="280" spans="2:3" ht="13">
      <c r="B280" s="36"/>
      <c r="C280" s="37"/>
    </row>
    <row r="281" spans="2:3" ht="13">
      <c r="B281" s="36"/>
      <c r="C281" s="37"/>
    </row>
    <row r="282" spans="2:3" ht="13">
      <c r="B282" s="36"/>
      <c r="C282" s="37"/>
    </row>
    <row r="283" spans="2:3" ht="13">
      <c r="B283" s="36"/>
      <c r="C283" s="37"/>
    </row>
    <row r="284" spans="2:3" ht="13">
      <c r="B284" s="36"/>
      <c r="C284" s="37"/>
    </row>
    <row r="285" spans="2:3" ht="13">
      <c r="B285" s="36"/>
      <c r="C285" s="37"/>
    </row>
    <row r="286" spans="2:3" ht="13">
      <c r="B286" s="36"/>
      <c r="C286" s="37"/>
    </row>
    <row r="287" spans="2:3" ht="13">
      <c r="B287" s="36"/>
      <c r="C287" s="37"/>
    </row>
    <row r="288" spans="2:3" ht="13">
      <c r="B288" s="36"/>
      <c r="C288" s="37"/>
    </row>
    <row r="289" spans="2:3" ht="13">
      <c r="B289" s="36"/>
      <c r="C289" s="37"/>
    </row>
    <row r="290" spans="2:3" ht="13">
      <c r="B290" s="36"/>
      <c r="C290" s="37"/>
    </row>
    <row r="291" spans="2:3" ht="13">
      <c r="B291" s="36"/>
      <c r="C291" s="37"/>
    </row>
    <row r="292" spans="2:3" ht="13">
      <c r="B292" s="36"/>
      <c r="C292" s="37"/>
    </row>
    <row r="293" spans="2:3" ht="13">
      <c r="B293" s="36"/>
      <c r="C293" s="37"/>
    </row>
    <row r="294" spans="2:3" ht="13">
      <c r="B294" s="36"/>
      <c r="C294" s="37"/>
    </row>
    <row r="295" spans="2:3" ht="13">
      <c r="B295" s="36"/>
      <c r="C295" s="37"/>
    </row>
    <row r="296" spans="2:3" ht="13">
      <c r="B296" s="36"/>
      <c r="C296" s="37"/>
    </row>
    <row r="297" spans="2:3" ht="13">
      <c r="B297" s="36"/>
      <c r="C297" s="37"/>
    </row>
    <row r="298" spans="2:3" ht="13">
      <c r="B298" s="36"/>
      <c r="C298" s="37"/>
    </row>
    <row r="299" spans="2:3" ht="13">
      <c r="B299" s="36"/>
      <c r="C299" s="37"/>
    </row>
    <row r="300" spans="2:3" ht="13">
      <c r="B300" s="36"/>
      <c r="C300" s="37"/>
    </row>
    <row r="301" spans="2:3" ht="13">
      <c r="B301" s="36"/>
      <c r="C301" s="37"/>
    </row>
    <row r="302" spans="2:3" ht="13">
      <c r="B302" s="36"/>
      <c r="C302" s="37"/>
    </row>
    <row r="303" spans="2:3" ht="13">
      <c r="B303" s="36"/>
      <c r="C303" s="37"/>
    </row>
    <row r="304" spans="2:3" ht="13">
      <c r="B304" s="36"/>
      <c r="C304" s="37"/>
    </row>
    <row r="305" spans="2:3" ht="13">
      <c r="B305" s="36"/>
      <c r="C305" s="37"/>
    </row>
    <row r="306" spans="2:3" ht="13">
      <c r="B306" s="36"/>
      <c r="C306" s="37"/>
    </row>
    <row r="307" spans="2:3" ht="13">
      <c r="B307" s="36"/>
      <c r="C307" s="37"/>
    </row>
    <row r="308" spans="2:3" ht="13">
      <c r="B308" s="36"/>
      <c r="C308" s="37"/>
    </row>
    <row r="309" spans="2:3" ht="13">
      <c r="B309" s="36"/>
      <c r="C309" s="37"/>
    </row>
    <row r="310" spans="2:3" ht="13">
      <c r="B310" s="36"/>
      <c r="C310" s="37"/>
    </row>
    <row r="311" spans="2:3" ht="13">
      <c r="B311" s="36"/>
      <c r="C311" s="37"/>
    </row>
    <row r="312" spans="2:3" ht="13">
      <c r="B312" s="36"/>
      <c r="C312" s="37"/>
    </row>
    <row r="313" spans="2:3" ht="13">
      <c r="B313" s="36"/>
      <c r="C313" s="37"/>
    </row>
    <row r="314" spans="2:3" ht="13">
      <c r="B314" s="36"/>
      <c r="C314" s="37"/>
    </row>
    <row r="315" spans="2:3" ht="13">
      <c r="B315" s="36"/>
      <c r="C315" s="37"/>
    </row>
    <row r="316" spans="2:3" ht="13">
      <c r="B316" s="36"/>
      <c r="C316" s="37"/>
    </row>
    <row r="317" spans="2:3" ht="13">
      <c r="B317" s="36"/>
      <c r="C317" s="37"/>
    </row>
    <row r="318" spans="2:3" ht="13">
      <c r="B318" s="36"/>
      <c r="C318" s="37"/>
    </row>
    <row r="319" spans="2:3" ht="13">
      <c r="B319" s="36"/>
      <c r="C319" s="37"/>
    </row>
    <row r="320" spans="2:3" ht="13">
      <c r="B320" s="36"/>
      <c r="C320" s="37"/>
    </row>
    <row r="321" spans="2:3" ht="13">
      <c r="B321" s="36"/>
      <c r="C321" s="37"/>
    </row>
    <row r="322" spans="2:3" ht="13">
      <c r="B322" s="36"/>
      <c r="C322" s="37"/>
    </row>
    <row r="323" spans="2:3" ht="13">
      <c r="B323" s="36"/>
      <c r="C323" s="37"/>
    </row>
    <row r="324" spans="2:3" ht="13">
      <c r="B324" s="36"/>
      <c r="C324" s="37"/>
    </row>
    <row r="325" spans="2:3" ht="13">
      <c r="B325" s="36"/>
      <c r="C325" s="37"/>
    </row>
    <row r="326" spans="2:3" ht="13">
      <c r="B326" s="36"/>
      <c r="C326" s="37"/>
    </row>
    <row r="327" spans="2:3" ht="13">
      <c r="B327" s="36"/>
      <c r="C327" s="37"/>
    </row>
    <row r="328" spans="2:3" ht="13">
      <c r="B328" s="36"/>
      <c r="C328" s="37"/>
    </row>
    <row r="329" spans="2:3" ht="13">
      <c r="B329" s="36"/>
      <c r="C329" s="37"/>
    </row>
    <row r="330" spans="2:3" ht="13">
      <c r="B330" s="36"/>
      <c r="C330" s="37"/>
    </row>
    <row r="331" spans="2:3" ht="13">
      <c r="B331" s="36"/>
      <c r="C331" s="37"/>
    </row>
    <row r="332" spans="2:3" ht="13">
      <c r="B332" s="36"/>
      <c r="C332" s="37"/>
    </row>
    <row r="333" spans="2:3" ht="13">
      <c r="B333" s="36"/>
      <c r="C333" s="37"/>
    </row>
    <row r="334" spans="2:3" ht="13">
      <c r="B334" s="36"/>
      <c r="C334" s="37"/>
    </row>
    <row r="335" spans="2:3" ht="13">
      <c r="B335" s="36"/>
      <c r="C335" s="37"/>
    </row>
    <row r="336" spans="2:3" ht="13">
      <c r="B336" s="36"/>
      <c r="C336" s="37"/>
    </row>
    <row r="337" spans="2:3" ht="13">
      <c r="B337" s="36"/>
      <c r="C337" s="37"/>
    </row>
    <row r="338" spans="2:3" ht="13">
      <c r="B338" s="36"/>
      <c r="C338" s="37"/>
    </row>
    <row r="339" spans="2:3" ht="13">
      <c r="B339" s="36"/>
      <c r="C339" s="37"/>
    </row>
    <row r="340" spans="2:3" ht="13">
      <c r="B340" s="36"/>
      <c r="C340" s="37"/>
    </row>
    <row r="341" spans="2:3" ht="13">
      <c r="B341" s="36"/>
      <c r="C341" s="37"/>
    </row>
    <row r="342" spans="2:3" ht="13">
      <c r="B342" s="36"/>
      <c r="C342" s="37"/>
    </row>
    <row r="343" spans="2:3" ht="13">
      <c r="B343" s="36"/>
      <c r="C343" s="37"/>
    </row>
    <row r="344" spans="2:3" ht="13">
      <c r="B344" s="36"/>
      <c r="C344" s="37"/>
    </row>
    <row r="345" spans="2:3" ht="13">
      <c r="B345" s="36"/>
      <c r="C345" s="37"/>
    </row>
    <row r="346" spans="2:3" ht="13">
      <c r="B346" s="36"/>
      <c r="C346" s="37"/>
    </row>
    <row r="347" spans="2:3" ht="13">
      <c r="B347" s="36"/>
      <c r="C347" s="37"/>
    </row>
    <row r="348" spans="2:3" ht="13">
      <c r="B348" s="36"/>
      <c r="C348" s="37"/>
    </row>
    <row r="349" spans="2:3" ht="13">
      <c r="B349" s="36"/>
      <c r="C349" s="37"/>
    </row>
    <row r="350" spans="2:3" ht="13">
      <c r="B350" s="36"/>
      <c r="C350" s="37"/>
    </row>
    <row r="351" spans="2:3" ht="13">
      <c r="B351" s="36"/>
      <c r="C351" s="37"/>
    </row>
    <row r="352" spans="2:3" ht="13">
      <c r="B352" s="36"/>
      <c r="C352" s="37"/>
    </row>
    <row r="353" spans="2:3" ht="13">
      <c r="B353" s="36"/>
      <c r="C353" s="37"/>
    </row>
    <row r="354" spans="2:3" ht="13">
      <c r="B354" s="36"/>
      <c r="C354" s="37"/>
    </row>
    <row r="355" spans="2:3" ht="13">
      <c r="B355" s="36"/>
      <c r="C355" s="37"/>
    </row>
    <row r="356" spans="2:3" ht="13">
      <c r="B356" s="36"/>
      <c r="C356" s="37"/>
    </row>
    <row r="357" spans="2:3" ht="13">
      <c r="B357" s="36"/>
      <c r="C357" s="37"/>
    </row>
    <row r="358" spans="2:3" ht="13">
      <c r="B358" s="36"/>
      <c r="C358" s="37"/>
    </row>
    <row r="359" spans="2:3" ht="13">
      <c r="B359" s="36"/>
      <c r="C359" s="37"/>
    </row>
    <row r="360" spans="2:3" ht="13">
      <c r="B360" s="36"/>
      <c r="C360" s="37"/>
    </row>
    <row r="361" spans="2:3" ht="13">
      <c r="B361" s="36"/>
      <c r="C361" s="37"/>
    </row>
    <row r="362" spans="2:3" ht="13">
      <c r="B362" s="36"/>
      <c r="C362" s="37"/>
    </row>
    <row r="363" spans="2:3" ht="13">
      <c r="B363" s="36"/>
      <c r="C363" s="37"/>
    </row>
    <row r="364" spans="2:3" ht="13">
      <c r="B364" s="36"/>
      <c r="C364" s="37"/>
    </row>
    <row r="365" spans="2:3" ht="13">
      <c r="B365" s="36"/>
      <c r="C365" s="37"/>
    </row>
    <row r="366" spans="2:3" ht="13">
      <c r="B366" s="36"/>
      <c r="C366" s="37"/>
    </row>
    <row r="367" spans="2:3" ht="13">
      <c r="B367" s="36"/>
      <c r="C367" s="37"/>
    </row>
    <row r="368" spans="2:3" ht="13">
      <c r="B368" s="36"/>
      <c r="C368" s="37"/>
    </row>
    <row r="369" spans="2:3" ht="13">
      <c r="B369" s="36"/>
      <c r="C369" s="37"/>
    </row>
    <row r="370" spans="2:3" ht="13">
      <c r="B370" s="36"/>
      <c r="C370" s="37"/>
    </row>
    <row r="371" spans="2:3" ht="13">
      <c r="B371" s="36"/>
      <c r="C371" s="37"/>
    </row>
    <row r="372" spans="2:3" ht="13">
      <c r="B372" s="36"/>
      <c r="C372" s="37"/>
    </row>
    <row r="373" spans="2:3" ht="13">
      <c r="B373" s="36"/>
      <c r="C373" s="37"/>
    </row>
    <row r="374" spans="2:3" ht="13">
      <c r="B374" s="36"/>
      <c r="C374" s="37"/>
    </row>
    <row r="375" spans="2:3" ht="13">
      <c r="B375" s="36"/>
      <c r="C375" s="37"/>
    </row>
    <row r="376" spans="2:3" ht="13">
      <c r="B376" s="36"/>
      <c r="C376" s="37"/>
    </row>
    <row r="377" spans="2:3" ht="13">
      <c r="B377" s="36"/>
      <c r="C377" s="37"/>
    </row>
    <row r="378" spans="2:3" ht="13">
      <c r="B378" s="36"/>
      <c r="C378" s="37"/>
    </row>
    <row r="379" spans="2:3" ht="13">
      <c r="B379" s="36"/>
      <c r="C379" s="37"/>
    </row>
    <row r="380" spans="2:3" ht="13">
      <c r="B380" s="36"/>
      <c r="C380" s="37"/>
    </row>
    <row r="381" spans="2:3" ht="13">
      <c r="B381" s="36"/>
      <c r="C381" s="37"/>
    </row>
    <row r="382" spans="2:3" ht="13">
      <c r="B382" s="36"/>
      <c r="C382" s="37"/>
    </row>
    <row r="383" spans="2:3" ht="13">
      <c r="B383" s="36"/>
      <c r="C383" s="37"/>
    </row>
    <row r="384" spans="2:3" ht="13">
      <c r="B384" s="36"/>
      <c r="C384" s="37"/>
    </row>
    <row r="385" spans="2:3" ht="13">
      <c r="B385" s="36"/>
      <c r="C385" s="37"/>
    </row>
    <row r="386" spans="2:3" ht="13">
      <c r="B386" s="36"/>
      <c r="C386" s="37"/>
    </row>
    <row r="387" spans="2:3" ht="13">
      <c r="B387" s="36"/>
      <c r="C387" s="37"/>
    </row>
    <row r="388" spans="2:3" ht="13">
      <c r="B388" s="36"/>
      <c r="C388" s="37"/>
    </row>
    <row r="389" spans="2:3" ht="13">
      <c r="B389" s="36"/>
      <c r="C389" s="37"/>
    </row>
    <row r="390" spans="2:3" ht="13">
      <c r="B390" s="36"/>
      <c r="C390" s="37"/>
    </row>
    <row r="391" spans="2:3" ht="13">
      <c r="B391" s="36"/>
      <c r="C391" s="37"/>
    </row>
    <row r="392" spans="2:3" ht="13">
      <c r="B392" s="36"/>
      <c r="C392" s="37"/>
    </row>
    <row r="393" spans="2:3" ht="13">
      <c r="B393" s="36"/>
      <c r="C393" s="37"/>
    </row>
    <row r="394" spans="2:3" ht="13">
      <c r="B394" s="36"/>
      <c r="C394" s="37"/>
    </row>
    <row r="395" spans="2:3" ht="13">
      <c r="B395" s="36"/>
      <c r="C395" s="37"/>
    </row>
    <row r="396" spans="2:3" ht="13">
      <c r="B396" s="36"/>
      <c r="C396" s="37"/>
    </row>
    <row r="397" spans="2:3" ht="13">
      <c r="B397" s="36"/>
      <c r="C397" s="37"/>
    </row>
    <row r="398" spans="2:3" ht="13">
      <c r="B398" s="36"/>
      <c r="C398" s="37"/>
    </row>
    <row r="399" spans="2:3" ht="13">
      <c r="B399" s="36"/>
      <c r="C399" s="37"/>
    </row>
    <row r="400" spans="2:3" ht="13">
      <c r="B400" s="36"/>
      <c r="C400" s="37"/>
    </row>
    <row r="401" spans="2:3" ht="13">
      <c r="B401" s="36"/>
      <c r="C401" s="37"/>
    </row>
    <row r="402" spans="2:3" ht="13">
      <c r="B402" s="36"/>
      <c r="C402" s="37"/>
    </row>
    <row r="403" spans="2:3" ht="13">
      <c r="B403" s="36"/>
      <c r="C403" s="37"/>
    </row>
    <row r="404" spans="2:3" ht="13">
      <c r="B404" s="36"/>
      <c r="C404" s="37"/>
    </row>
    <row r="405" spans="2:3" ht="13">
      <c r="B405" s="36"/>
      <c r="C405" s="37"/>
    </row>
    <row r="406" spans="2:3" ht="13">
      <c r="B406" s="36"/>
      <c r="C406" s="37"/>
    </row>
    <row r="407" spans="2:3" ht="13">
      <c r="B407" s="36"/>
      <c r="C407" s="37"/>
    </row>
    <row r="408" spans="2:3" ht="13">
      <c r="B408" s="36"/>
      <c r="C408" s="37"/>
    </row>
    <row r="409" spans="2:3" ht="13">
      <c r="B409" s="36"/>
      <c r="C409" s="37"/>
    </row>
    <row r="410" spans="2:3" ht="13">
      <c r="B410" s="36"/>
      <c r="C410" s="37"/>
    </row>
    <row r="411" spans="2:3" ht="13">
      <c r="B411" s="36"/>
      <c r="C411" s="37"/>
    </row>
    <row r="412" spans="2:3" ht="13">
      <c r="B412" s="36"/>
      <c r="C412" s="37"/>
    </row>
    <row r="413" spans="2:3" ht="13">
      <c r="B413" s="36"/>
      <c r="C413" s="37"/>
    </row>
    <row r="414" spans="2:3" ht="13">
      <c r="B414" s="36"/>
      <c r="C414" s="37"/>
    </row>
    <row r="415" spans="2:3" ht="13">
      <c r="B415" s="36"/>
      <c r="C415" s="37"/>
    </row>
    <row r="416" spans="2:3" ht="13">
      <c r="B416" s="36"/>
      <c r="C416" s="37"/>
    </row>
    <row r="417" spans="2:3" ht="13">
      <c r="B417" s="36"/>
      <c r="C417" s="37"/>
    </row>
    <row r="418" spans="2:3" ht="13">
      <c r="B418" s="36"/>
      <c r="C418" s="37"/>
    </row>
    <row r="419" spans="2:3" ht="13">
      <c r="B419" s="36"/>
      <c r="C419" s="37"/>
    </row>
    <row r="420" spans="2:3" ht="13">
      <c r="B420" s="36"/>
      <c r="C420" s="37"/>
    </row>
    <row r="421" spans="2:3" ht="13">
      <c r="B421" s="36"/>
      <c r="C421" s="37"/>
    </row>
    <row r="422" spans="2:3" ht="13">
      <c r="B422" s="36"/>
      <c r="C422" s="37"/>
    </row>
    <row r="423" spans="2:3" ht="13">
      <c r="B423" s="36"/>
      <c r="C423" s="37"/>
    </row>
    <row r="424" spans="2:3" ht="13">
      <c r="B424" s="36"/>
      <c r="C424" s="37"/>
    </row>
    <row r="425" spans="2:3" ht="13">
      <c r="B425" s="36"/>
      <c r="C425" s="37"/>
    </row>
    <row r="426" spans="2:3" ht="13">
      <c r="B426" s="36"/>
      <c r="C426" s="37"/>
    </row>
    <row r="427" spans="2:3" ht="13">
      <c r="B427" s="36"/>
      <c r="C427" s="37"/>
    </row>
    <row r="428" spans="2:3" ht="13">
      <c r="B428" s="36"/>
      <c r="C428" s="37"/>
    </row>
    <row r="429" spans="2:3" ht="13">
      <c r="B429" s="36"/>
      <c r="C429" s="37"/>
    </row>
    <row r="430" spans="2:3" ht="13">
      <c r="B430" s="36"/>
      <c r="C430" s="37"/>
    </row>
    <row r="431" spans="2:3" ht="13">
      <c r="B431" s="36"/>
      <c r="C431" s="37"/>
    </row>
    <row r="432" spans="2:3" ht="13">
      <c r="B432" s="36"/>
      <c r="C432" s="37"/>
    </row>
    <row r="433" spans="2:3" ht="13">
      <c r="B433" s="36"/>
      <c r="C433" s="37"/>
    </row>
    <row r="434" spans="2:3" ht="13">
      <c r="B434" s="36"/>
      <c r="C434" s="37"/>
    </row>
    <row r="435" spans="2:3" ht="13">
      <c r="B435" s="36"/>
      <c r="C435" s="37"/>
    </row>
    <row r="436" spans="2:3" ht="13">
      <c r="B436" s="36"/>
      <c r="C436" s="37"/>
    </row>
    <row r="437" spans="2:3" ht="13">
      <c r="B437" s="36"/>
      <c r="C437" s="37"/>
    </row>
    <row r="438" spans="2:3" ht="13">
      <c r="B438" s="36"/>
      <c r="C438" s="37"/>
    </row>
    <row r="439" spans="2:3" ht="13">
      <c r="B439" s="36"/>
      <c r="C439" s="37"/>
    </row>
    <row r="440" spans="2:3" ht="13">
      <c r="B440" s="36"/>
      <c r="C440" s="37"/>
    </row>
    <row r="441" spans="2:3" ht="13">
      <c r="B441" s="36"/>
      <c r="C441" s="37"/>
    </row>
    <row r="442" spans="2:3" ht="13">
      <c r="B442" s="36"/>
      <c r="C442" s="37"/>
    </row>
    <row r="443" spans="2:3" ht="13">
      <c r="B443" s="36"/>
      <c r="C443" s="37"/>
    </row>
    <row r="444" spans="2:3" ht="13">
      <c r="B444" s="36"/>
      <c r="C444" s="37"/>
    </row>
    <row r="445" spans="2:3" ht="13">
      <c r="B445" s="36"/>
      <c r="C445" s="37"/>
    </row>
    <row r="446" spans="2:3" ht="13">
      <c r="B446" s="36"/>
      <c r="C446" s="37"/>
    </row>
    <row r="447" spans="2:3" ht="13">
      <c r="B447" s="36"/>
      <c r="C447" s="37"/>
    </row>
    <row r="448" spans="2:3" ht="13">
      <c r="B448" s="36"/>
      <c r="C448" s="37"/>
    </row>
    <row r="449" spans="2:3" ht="13">
      <c r="B449" s="36"/>
      <c r="C449" s="37"/>
    </row>
    <row r="450" spans="2:3" ht="13">
      <c r="B450" s="36"/>
      <c r="C450" s="37"/>
    </row>
    <row r="451" spans="2:3" ht="13">
      <c r="B451" s="36"/>
      <c r="C451" s="37"/>
    </row>
    <row r="452" spans="2:3" ht="13">
      <c r="B452" s="36"/>
      <c r="C452" s="37"/>
    </row>
    <row r="453" spans="2:3" ht="13">
      <c r="B453" s="36"/>
      <c r="C453" s="37"/>
    </row>
    <row r="454" spans="2:3" ht="13">
      <c r="B454" s="36"/>
      <c r="C454" s="37"/>
    </row>
    <row r="455" spans="2:3" ht="13">
      <c r="B455" s="36"/>
      <c r="C455" s="37"/>
    </row>
    <row r="456" spans="2:3" ht="13">
      <c r="B456" s="36"/>
      <c r="C456" s="37"/>
    </row>
    <row r="457" spans="2:3" ht="13">
      <c r="B457" s="36"/>
      <c r="C457" s="37"/>
    </row>
    <row r="458" spans="2:3" ht="13">
      <c r="B458" s="36"/>
      <c r="C458" s="37"/>
    </row>
    <row r="459" spans="2:3" ht="13">
      <c r="B459" s="36"/>
      <c r="C459" s="37"/>
    </row>
    <row r="460" spans="2:3" ht="13">
      <c r="B460" s="36"/>
      <c r="C460" s="37"/>
    </row>
    <row r="461" spans="2:3" ht="13">
      <c r="B461" s="36"/>
      <c r="C461" s="37"/>
    </row>
    <row r="462" spans="2:3" ht="13">
      <c r="B462" s="36"/>
      <c r="C462" s="37"/>
    </row>
    <row r="463" spans="2:3" ht="13">
      <c r="B463" s="36"/>
      <c r="C463" s="37"/>
    </row>
    <row r="464" spans="2:3" ht="13">
      <c r="B464" s="36"/>
      <c r="C464" s="37"/>
    </row>
    <row r="465" spans="2:3" ht="13">
      <c r="B465" s="36"/>
      <c r="C465" s="37"/>
    </row>
    <row r="466" spans="2:3" ht="13">
      <c r="B466" s="36"/>
      <c r="C466" s="37"/>
    </row>
    <row r="467" spans="2:3" ht="13">
      <c r="B467" s="36"/>
      <c r="C467" s="37"/>
    </row>
    <row r="468" spans="2:3" ht="13">
      <c r="B468" s="36"/>
      <c r="C468" s="37"/>
    </row>
    <row r="469" spans="2:3" ht="13">
      <c r="B469" s="36"/>
      <c r="C469" s="37"/>
    </row>
    <row r="470" spans="2:3" ht="13">
      <c r="B470" s="36"/>
      <c r="C470" s="37"/>
    </row>
    <row r="471" spans="2:3" ht="13">
      <c r="B471" s="36"/>
      <c r="C471" s="37"/>
    </row>
    <row r="472" spans="2:3" ht="13">
      <c r="B472" s="36"/>
      <c r="C472" s="37"/>
    </row>
    <row r="473" spans="2:3" ht="13">
      <c r="B473" s="36"/>
      <c r="C473" s="37"/>
    </row>
    <row r="474" spans="2:3" ht="13">
      <c r="B474" s="36"/>
      <c r="C474" s="37"/>
    </row>
    <row r="475" spans="2:3" ht="13">
      <c r="B475" s="36"/>
      <c r="C475" s="37"/>
    </row>
    <row r="476" spans="2:3" ht="13">
      <c r="B476" s="36"/>
      <c r="C476" s="37"/>
    </row>
    <row r="477" spans="2:3" ht="13">
      <c r="B477" s="36"/>
      <c r="C477" s="37"/>
    </row>
    <row r="478" spans="2:3" ht="13">
      <c r="B478" s="36"/>
      <c r="C478" s="37"/>
    </row>
    <row r="479" spans="2:3" ht="13">
      <c r="B479" s="36"/>
      <c r="C479" s="37"/>
    </row>
    <row r="480" spans="2:3" ht="13">
      <c r="B480" s="36"/>
      <c r="C480" s="37"/>
    </row>
    <row r="481" spans="2:3" ht="13">
      <c r="B481" s="36"/>
      <c r="C481" s="37"/>
    </row>
    <row r="482" spans="2:3" ht="13">
      <c r="B482" s="36"/>
      <c r="C482" s="37"/>
    </row>
    <row r="483" spans="2:3" ht="13">
      <c r="B483" s="36"/>
      <c r="C483" s="37"/>
    </row>
    <row r="484" spans="2:3" ht="13">
      <c r="B484" s="36"/>
      <c r="C484" s="37"/>
    </row>
    <row r="485" spans="2:3" ht="13">
      <c r="B485" s="36"/>
      <c r="C485" s="37"/>
    </row>
    <row r="486" spans="2:3" ht="13">
      <c r="B486" s="36"/>
      <c r="C486" s="37"/>
    </row>
    <row r="487" spans="2:3" ht="13">
      <c r="B487" s="36"/>
      <c r="C487" s="37"/>
    </row>
    <row r="488" spans="2:3" ht="13">
      <c r="B488" s="36"/>
      <c r="C488" s="37"/>
    </row>
    <row r="489" spans="2:3" ht="13">
      <c r="B489" s="36"/>
      <c r="C489" s="37"/>
    </row>
    <row r="490" spans="2:3" ht="13">
      <c r="B490" s="36"/>
      <c r="C490" s="37"/>
    </row>
    <row r="491" spans="2:3" ht="13">
      <c r="B491" s="36"/>
      <c r="C491" s="37"/>
    </row>
    <row r="492" spans="2:3" ht="13">
      <c r="B492" s="36"/>
      <c r="C492" s="37"/>
    </row>
    <row r="493" spans="2:3" ht="13">
      <c r="B493" s="36"/>
      <c r="C493" s="37"/>
    </row>
    <row r="494" spans="2:3" ht="13">
      <c r="B494" s="36"/>
      <c r="C494" s="37"/>
    </row>
    <row r="495" spans="2:3" ht="13">
      <c r="B495" s="36"/>
      <c r="C495" s="37"/>
    </row>
    <row r="496" spans="2:3" ht="13">
      <c r="B496" s="36"/>
      <c r="C496" s="37"/>
    </row>
    <row r="497" spans="2:3" ht="13">
      <c r="B497" s="36"/>
      <c r="C497" s="37"/>
    </row>
    <row r="498" spans="2:3" ht="13">
      <c r="B498" s="36"/>
      <c r="C498" s="37"/>
    </row>
    <row r="499" spans="2:3" ht="13">
      <c r="B499" s="36"/>
      <c r="C499" s="37"/>
    </row>
    <row r="500" spans="2:3" ht="13">
      <c r="B500" s="36"/>
      <c r="C500" s="37"/>
    </row>
    <row r="501" spans="2:3" ht="13">
      <c r="B501" s="36"/>
      <c r="C501" s="37"/>
    </row>
    <row r="502" spans="2:3" ht="13">
      <c r="B502" s="36"/>
      <c r="C502" s="37"/>
    </row>
    <row r="503" spans="2:3" ht="13">
      <c r="B503" s="36"/>
      <c r="C503" s="37"/>
    </row>
    <row r="504" spans="2:3" ht="13">
      <c r="B504" s="36"/>
      <c r="C504" s="37"/>
    </row>
    <row r="505" spans="2:3" ht="13">
      <c r="B505" s="36"/>
      <c r="C505" s="37"/>
    </row>
    <row r="506" spans="2:3" ht="13">
      <c r="B506" s="36"/>
      <c r="C506" s="37"/>
    </row>
    <row r="507" spans="2:3" ht="13">
      <c r="B507" s="36"/>
      <c r="C507" s="37"/>
    </row>
    <row r="508" spans="2:3" ht="13">
      <c r="B508" s="36"/>
      <c r="C508" s="37"/>
    </row>
    <row r="509" spans="2:3" ht="13">
      <c r="B509" s="36"/>
      <c r="C509" s="37"/>
    </row>
    <row r="510" spans="2:3" ht="13">
      <c r="B510" s="36"/>
      <c r="C510" s="37"/>
    </row>
    <row r="511" spans="2:3" ht="13">
      <c r="B511" s="36"/>
      <c r="C511" s="37"/>
    </row>
    <row r="512" spans="2:3" ht="13">
      <c r="B512" s="36"/>
      <c r="C512" s="37"/>
    </row>
    <row r="513" spans="2:3" ht="13">
      <c r="B513" s="36"/>
      <c r="C513" s="37"/>
    </row>
    <row r="514" spans="2:3" ht="13">
      <c r="B514" s="36"/>
      <c r="C514" s="37"/>
    </row>
    <row r="515" spans="2:3" ht="13">
      <c r="B515" s="36"/>
      <c r="C515" s="37"/>
    </row>
    <row r="516" spans="2:3" ht="13">
      <c r="B516" s="36"/>
      <c r="C516" s="37"/>
    </row>
    <row r="517" spans="2:3" ht="13">
      <c r="B517" s="36"/>
      <c r="C517" s="37"/>
    </row>
    <row r="518" spans="2:3" ht="13">
      <c r="B518" s="36"/>
      <c r="C518" s="37"/>
    </row>
    <row r="519" spans="2:3" ht="13">
      <c r="B519" s="36"/>
      <c r="C519" s="37"/>
    </row>
    <row r="520" spans="2:3" ht="13">
      <c r="B520" s="36"/>
      <c r="C520" s="37"/>
    </row>
    <row r="521" spans="2:3" ht="13">
      <c r="B521" s="36"/>
      <c r="C521" s="37"/>
    </row>
    <row r="522" spans="2:3" ht="13">
      <c r="B522" s="36"/>
      <c r="C522" s="37"/>
    </row>
    <row r="523" spans="2:3" ht="13">
      <c r="B523" s="36"/>
      <c r="C523" s="37"/>
    </row>
    <row r="524" spans="2:3" ht="13">
      <c r="B524" s="36"/>
      <c r="C524" s="37"/>
    </row>
    <row r="525" spans="2:3" ht="13">
      <c r="B525" s="36"/>
      <c r="C525" s="37"/>
    </row>
    <row r="526" spans="2:3" ht="13">
      <c r="B526" s="36"/>
      <c r="C526" s="37"/>
    </row>
    <row r="527" spans="2:3" ht="13">
      <c r="B527" s="36"/>
      <c r="C527" s="37"/>
    </row>
    <row r="528" spans="2:3" ht="13">
      <c r="B528" s="36"/>
      <c r="C528" s="37"/>
    </row>
    <row r="529" spans="2:3" ht="13">
      <c r="B529" s="36"/>
      <c r="C529" s="37"/>
    </row>
    <row r="530" spans="2:3" ht="13">
      <c r="B530" s="36"/>
      <c r="C530" s="37"/>
    </row>
    <row r="531" spans="2:3" ht="13">
      <c r="B531" s="36"/>
      <c r="C531" s="37"/>
    </row>
    <row r="532" spans="2:3" ht="13">
      <c r="B532" s="36"/>
      <c r="C532" s="37"/>
    </row>
    <row r="533" spans="2:3" ht="13">
      <c r="B533" s="36"/>
      <c r="C533" s="37"/>
    </row>
    <row r="534" spans="2:3" ht="13">
      <c r="B534" s="36"/>
      <c r="C534" s="37"/>
    </row>
    <row r="535" spans="2:3" ht="13">
      <c r="B535" s="36"/>
      <c r="C535" s="37"/>
    </row>
    <row r="536" spans="2:3" ht="13">
      <c r="B536" s="36"/>
      <c r="C536" s="37"/>
    </row>
    <row r="537" spans="2:3" ht="13">
      <c r="B537" s="36"/>
      <c r="C537" s="37"/>
    </row>
    <row r="538" spans="2:3" ht="13">
      <c r="B538" s="36"/>
      <c r="C538" s="37"/>
    </row>
    <row r="539" spans="2:3" ht="13">
      <c r="B539" s="36"/>
      <c r="C539" s="37"/>
    </row>
    <row r="540" spans="2:3" ht="13">
      <c r="B540" s="36"/>
      <c r="C540" s="37"/>
    </row>
    <row r="541" spans="2:3" ht="13">
      <c r="B541" s="36"/>
      <c r="C541" s="37"/>
    </row>
    <row r="542" spans="2:3" ht="13">
      <c r="B542" s="36"/>
      <c r="C542" s="37"/>
    </row>
    <row r="543" spans="2:3" ht="13">
      <c r="B543" s="36"/>
      <c r="C543" s="37"/>
    </row>
    <row r="544" spans="2:3" ht="13">
      <c r="B544" s="36"/>
      <c r="C544" s="37"/>
    </row>
    <row r="545" spans="2:3" ht="13">
      <c r="B545" s="36"/>
      <c r="C545" s="37"/>
    </row>
    <row r="546" spans="2:3" ht="13">
      <c r="B546" s="36"/>
      <c r="C546" s="37"/>
    </row>
    <row r="547" spans="2:3" ht="13">
      <c r="B547" s="36"/>
      <c r="C547" s="37"/>
    </row>
    <row r="548" spans="2:3" ht="13">
      <c r="B548" s="36"/>
      <c r="C548" s="37"/>
    </row>
    <row r="549" spans="2:3" ht="13">
      <c r="B549" s="36"/>
      <c r="C549" s="37"/>
    </row>
    <row r="550" spans="2:3" ht="13">
      <c r="B550" s="36"/>
      <c r="C550" s="37"/>
    </row>
    <row r="551" spans="2:3" ht="13">
      <c r="B551" s="36"/>
      <c r="C551" s="37"/>
    </row>
    <row r="552" spans="2:3" ht="13">
      <c r="B552" s="36"/>
      <c r="C552" s="37"/>
    </row>
    <row r="553" spans="2:3" ht="13">
      <c r="B553" s="36"/>
      <c r="C553" s="37"/>
    </row>
    <row r="554" spans="2:3" ht="13">
      <c r="B554" s="36"/>
      <c r="C554" s="37"/>
    </row>
    <row r="555" spans="2:3" ht="13">
      <c r="B555" s="36"/>
      <c r="C555" s="37"/>
    </row>
    <row r="556" spans="2:3" ht="13">
      <c r="B556" s="36"/>
      <c r="C556" s="37"/>
    </row>
    <row r="557" spans="2:3" ht="13">
      <c r="B557" s="36"/>
      <c r="C557" s="37"/>
    </row>
    <row r="558" spans="2:3" ht="13">
      <c r="B558" s="36"/>
      <c r="C558" s="37"/>
    </row>
    <row r="559" spans="2:3" ht="13">
      <c r="B559" s="36"/>
      <c r="C559" s="37"/>
    </row>
    <row r="560" spans="2:3" ht="13">
      <c r="B560" s="36"/>
      <c r="C560" s="37"/>
    </row>
    <row r="561" spans="2:3" ht="13">
      <c r="B561" s="36"/>
      <c r="C561" s="37"/>
    </row>
    <row r="562" spans="2:3" ht="13">
      <c r="B562" s="36"/>
      <c r="C562" s="37"/>
    </row>
    <row r="563" spans="2:3" ht="13">
      <c r="B563" s="36"/>
      <c r="C563" s="37"/>
    </row>
    <row r="564" spans="2:3" ht="13">
      <c r="B564" s="36"/>
      <c r="C564" s="37"/>
    </row>
    <row r="565" spans="2:3" ht="13">
      <c r="B565" s="36"/>
      <c r="C565" s="37"/>
    </row>
    <row r="566" spans="2:3" ht="13">
      <c r="B566" s="36"/>
      <c r="C566" s="37"/>
    </row>
    <row r="567" spans="2:3" ht="13">
      <c r="B567" s="36"/>
      <c r="C567" s="37"/>
    </row>
    <row r="568" spans="2:3" ht="13">
      <c r="B568" s="36"/>
      <c r="C568" s="37"/>
    </row>
    <row r="569" spans="2:3" ht="13">
      <c r="B569" s="36"/>
      <c r="C569" s="37"/>
    </row>
    <row r="570" spans="2:3" ht="13">
      <c r="B570" s="36"/>
      <c r="C570" s="37"/>
    </row>
    <row r="571" spans="2:3" ht="13">
      <c r="B571" s="36"/>
      <c r="C571" s="37"/>
    </row>
    <row r="572" spans="2:3" ht="13">
      <c r="B572" s="36"/>
      <c r="C572" s="37"/>
    </row>
    <row r="573" spans="2:3" ht="13">
      <c r="B573" s="36"/>
      <c r="C573" s="37"/>
    </row>
    <row r="574" spans="2:3" ht="13">
      <c r="B574" s="36"/>
      <c r="C574" s="37"/>
    </row>
    <row r="575" spans="2:3" ht="13">
      <c r="B575" s="36"/>
      <c r="C575" s="37"/>
    </row>
    <row r="576" spans="2:3" ht="13">
      <c r="B576" s="36"/>
      <c r="C576" s="37"/>
    </row>
    <row r="577" spans="2:3" ht="13">
      <c r="B577" s="36"/>
      <c r="C577" s="37"/>
    </row>
    <row r="578" spans="2:3" ht="13">
      <c r="B578" s="36"/>
      <c r="C578" s="37"/>
    </row>
    <row r="579" spans="2:3" ht="13">
      <c r="B579" s="36"/>
      <c r="C579" s="37"/>
    </row>
    <row r="580" spans="2:3" ht="13">
      <c r="B580" s="36"/>
      <c r="C580" s="37"/>
    </row>
    <row r="581" spans="2:3" ht="13">
      <c r="B581" s="36"/>
      <c r="C581" s="37"/>
    </row>
    <row r="582" spans="2:3" ht="13">
      <c r="B582" s="36"/>
      <c r="C582" s="37"/>
    </row>
    <row r="583" spans="2:3" ht="13">
      <c r="B583" s="36"/>
      <c r="C583" s="37"/>
    </row>
    <row r="584" spans="2:3" ht="13">
      <c r="B584" s="36"/>
      <c r="C584" s="37"/>
    </row>
    <row r="585" spans="2:3" ht="13">
      <c r="B585" s="36"/>
      <c r="C585" s="37"/>
    </row>
    <row r="586" spans="2:3" ht="13">
      <c r="B586" s="36"/>
      <c r="C586" s="37"/>
    </row>
    <row r="587" spans="2:3" ht="13">
      <c r="B587" s="36"/>
      <c r="C587" s="37"/>
    </row>
    <row r="588" spans="2:3" ht="13">
      <c r="B588" s="36"/>
      <c r="C588" s="37"/>
    </row>
    <row r="589" spans="2:3" ht="13">
      <c r="B589" s="36"/>
      <c r="C589" s="37"/>
    </row>
    <row r="590" spans="2:3" ht="13">
      <c r="B590" s="36"/>
      <c r="C590" s="37"/>
    </row>
    <row r="591" spans="2:3" ht="13">
      <c r="B591" s="36"/>
      <c r="C591" s="37"/>
    </row>
    <row r="592" spans="2:3" ht="13">
      <c r="B592" s="36"/>
      <c r="C592" s="37"/>
    </row>
    <row r="593" spans="2:3" ht="13">
      <c r="B593" s="36"/>
      <c r="C593" s="37"/>
    </row>
    <row r="594" spans="2:3" ht="13">
      <c r="B594" s="36"/>
      <c r="C594" s="37"/>
    </row>
    <row r="595" spans="2:3" ht="13">
      <c r="B595" s="36"/>
      <c r="C595" s="37"/>
    </row>
    <row r="596" spans="2:3" ht="13">
      <c r="B596" s="36"/>
      <c r="C596" s="37"/>
    </row>
    <row r="597" spans="2:3" ht="13">
      <c r="B597" s="36"/>
      <c r="C597" s="37"/>
    </row>
    <row r="598" spans="2:3" ht="13">
      <c r="B598" s="36"/>
      <c r="C598" s="37"/>
    </row>
    <row r="599" spans="2:3" ht="13">
      <c r="B599" s="36"/>
      <c r="C599" s="37"/>
    </row>
    <row r="600" spans="2:3" ht="13">
      <c r="B600" s="36"/>
      <c r="C600" s="37"/>
    </row>
    <row r="601" spans="2:3" ht="13">
      <c r="B601" s="36"/>
      <c r="C601" s="37"/>
    </row>
    <row r="602" spans="2:3" ht="13">
      <c r="B602" s="36"/>
      <c r="C602" s="37"/>
    </row>
    <row r="603" spans="2:3" ht="13">
      <c r="B603" s="36"/>
      <c r="C603" s="37"/>
    </row>
    <row r="604" spans="2:3" ht="13">
      <c r="B604" s="36"/>
      <c r="C604" s="37"/>
    </row>
    <row r="605" spans="2:3" ht="13">
      <c r="B605" s="36"/>
      <c r="C605" s="37"/>
    </row>
    <row r="606" spans="2:3" ht="13">
      <c r="B606" s="36"/>
      <c r="C606" s="37"/>
    </row>
    <row r="607" spans="2:3" ht="13">
      <c r="B607" s="36"/>
      <c r="C607" s="37"/>
    </row>
    <row r="608" spans="2:3" ht="13">
      <c r="B608" s="36"/>
      <c r="C608" s="37"/>
    </row>
    <row r="609" spans="2:3" ht="13">
      <c r="B609" s="36"/>
      <c r="C609" s="37"/>
    </row>
    <row r="610" spans="2:3" ht="13">
      <c r="B610" s="36"/>
      <c r="C610" s="37"/>
    </row>
    <row r="611" spans="2:3" ht="13">
      <c r="B611" s="36"/>
      <c r="C611" s="37"/>
    </row>
    <row r="612" spans="2:3" ht="13">
      <c r="B612" s="36"/>
      <c r="C612" s="37"/>
    </row>
    <row r="613" spans="2:3" ht="13">
      <c r="B613" s="36"/>
      <c r="C613" s="37"/>
    </row>
    <row r="614" spans="2:3" ht="13">
      <c r="B614" s="36"/>
      <c r="C614" s="37"/>
    </row>
    <row r="615" spans="2:3" ht="13">
      <c r="B615" s="36"/>
      <c r="C615" s="37"/>
    </row>
    <row r="616" spans="2:3" ht="13">
      <c r="B616" s="36"/>
      <c r="C616" s="37"/>
    </row>
    <row r="617" spans="2:3" ht="13">
      <c r="B617" s="36"/>
      <c r="C617" s="37"/>
    </row>
    <row r="618" spans="2:3" ht="13">
      <c r="B618" s="36"/>
      <c r="C618" s="37"/>
    </row>
    <row r="619" spans="2:3" ht="13">
      <c r="B619" s="36"/>
      <c r="C619" s="37"/>
    </row>
    <row r="620" spans="2:3" ht="13">
      <c r="B620" s="36"/>
      <c r="C620" s="37"/>
    </row>
    <row r="621" spans="2:3" ht="13">
      <c r="B621" s="36"/>
      <c r="C621" s="37"/>
    </row>
    <row r="622" spans="2:3" ht="13">
      <c r="B622" s="36"/>
      <c r="C622" s="37"/>
    </row>
    <row r="623" spans="2:3" ht="13">
      <c r="B623" s="36"/>
      <c r="C623" s="37"/>
    </row>
    <row r="624" spans="2:3" ht="13">
      <c r="B624" s="36"/>
      <c r="C624" s="37"/>
    </row>
    <row r="625" spans="2:3" ht="13">
      <c r="B625" s="36"/>
      <c r="C625" s="37"/>
    </row>
    <row r="626" spans="2:3" ht="13">
      <c r="B626" s="36"/>
      <c r="C626" s="37"/>
    </row>
    <row r="627" spans="2:3" ht="13">
      <c r="B627" s="36"/>
      <c r="C627" s="37"/>
    </row>
    <row r="628" spans="2:3" ht="13">
      <c r="B628" s="36"/>
      <c r="C628" s="37"/>
    </row>
    <row r="629" spans="2:3" ht="13">
      <c r="B629" s="36"/>
      <c r="C629" s="37"/>
    </row>
    <row r="630" spans="2:3" ht="13">
      <c r="B630" s="36"/>
      <c r="C630" s="37"/>
    </row>
    <row r="631" spans="2:3" ht="13">
      <c r="B631" s="36"/>
      <c r="C631" s="37"/>
    </row>
    <row r="632" spans="2:3" ht="13">
      <c r="B632" s="36"/>
      <c r="C632" s="37"/>
    </row>
    <row r="633" spans="2:3" ht="13">
      <c r="B633" s="36"/>
      <c r="C633" s="37"/>
    </row>
    <row r="634" spans="2:3" ht="13">
      <c r="B634" s="36"/>
      <c r="C634" s="37"/>
    </row>
    <row r="635" spans="2:3" ht="13">
      <c r="B635" s="36"/>
      <c r="C635" s="37"/>
    </row>
    <row r="636" spans="2:3" ht="13">
      <c r="B636" s="36"/>
      <c r="C636" s="37"/>
    </row>
    <row r="637" spans="2:3" ht="13">
      <c r="B637" s="36"/>
      <c r="C637" s="37"/>
    </row>
    <row r="638" spans="2:3" ht="13">
      <c r="B638" s="36"/>
      <c r="C638" s="37"/>
    </row>
    <row r="639" spans="2:3" ht="13">
      <c r="B639" s="36"/>
      <c r="C639" s="37"/>
    </row>
    <row r="640" spans="2:3" ht="13">
      <c r="B640" s="36"/>
      <c r="C640" s="37"/>
    </row>
    <row r="641" spans="2:3" ht="13">
      <c r="B641" s="36"/>
      <c r="C641" s="37"/>
    </row>
    <row r="642" spans="2:3" ht="13">
      <c r="B642" s="36"/>
      <c r="C642" s="37"/>
    </row>
    <row r="643" spans="2:3" ht="13">
      <c r="B643" s="36"/>
      <c r="C643" s="37"/>
    </row>
    <row r="644" spans="2:3" ht="13">
      <c r="B644" s="36"/>
      <c r="C644" s="37"/>
    </row>
    <row r="645" spans="2:3" ht="13">
      <c r="B645" s="36"/>
      <c r="C645" s="37"/>
    </row>
    <row r="646" spans="2:3" ht="13">
      <c r="B646" s="36"/>
      <c r="C646" s="37"/>
    </row>
    <row r="647" spans="2:3" ht="13">
      <c r="B647" s="36"/>
      <c r="C647" s="37"/>
    </row>
    <row r="648" spans="2:3" ht="13">
      <c r="B648" s="36"/>
      <c r="C648" s="37"/>
    </row>
    <row r="649" spans="2:3" ht="13">
      <c r="B649" s="36"/>
      <c r="C649" s="37"/>
    </row>
    <row r="650" spans="2:3" ht="13">
      <c r="B650" s="36"/>
      <c r="C650" s="37"/>
    </row>
    <row r="651" spans="2:3" ht="13">
      <c r="B651" s="36"/>
      <c r="C651" s="37"/>
    </row>
    <row r="652" spans="2:3" ht="13">
      <c r="B652" s="36"/>
      <c r="C652" s="37"/>
    </row>
    <row r="653" spans="2:3" ht="13">
      <c r="B653" s="36"/>
      <c r="C653" s="37"/>
    </row>
    <row r="654" spans="2:3" ht="13">
      <c r="B654" s="36"/>
      <c r="C654" s="37"/>
    </row>
    <row r="655" spans="2:3" ht="13">
      <c r="B655" s="36"/>
      <c r="C655" s="37"/>
    </row>
    <row r="656" spans="2:3" ht="13">
      <c r="B656" s="36"/>
      <c r="C656" s="37"/>
    </row>
    <row r="657" spans="2:3" ht="13">
      <c r="B657" s="36"/>
      <c r="C657" s="37"/>
    </row>
    <row r="658" spans="2:3" ht="13">
      <c r="B658" s="36"/>
      <c r="C658" s="37"/>
    </row>
    <row r="659" spans="2:3" ht="13">
      <c r="B659" s="36"/>
      <c r="C659" s="37"/>
    </row>
    <row r="660" spans="2:3" ht="13">
      <c r="B660" s="36"/>
      <c r="C660" s="37"/>
    </row>
    <row r="661" spans="2:3" ht="13">
      <c r="B661" s="36"/>
      <c r="C661" s="37"/>
    </row>
    <row r="662" spans="2:3" ht="13">
      <c r="B662" s="36"/>
      <c r="C662" s="37"/>
    </row>
    <row r="663" spans="2:3" ht="13">
      <c r="B663" s="36"/>
      <c r="C663" s="37"/>
    </row>
    <row r="664" spans="2:3" ht="13">
      <c r="B664" s="36"/>
      <c r="C664" s="37"/>
    </row>
    <row r="665" spans="2:3" ht="13">
      <c r="B665" s="36"/>
      <c r="C665" s="37"/>
    </row>
    <row r="666" spans="2:3" ht="13">
      <c r="B666" s="36"/>
      <c r="C666" s="37"/>
    </row>
    <row r="667" spans="2:3" ht="13">
      <c r="B667" s="36"/>
      <c r="C667" s="37"/>
    </row>
    <row r="668" spans="2:3" ht="13">
      <c r="B668" s="36"/>
      <c r="C668" s="37"/>
    </row>
    <row r="669" spans="2:3" ht="13">
      <c r="B669" s="36"/>
      <c r="C669" s="37"/>
    </row>
    <row r="670" spans="2:3" ht="13">
      <c r="B670" s="36"/>
      <c r="C670" s="37"/>
    </row>
    <row r="671" spans="2:3" ht="13">
      <c r="B671" s="36"/>
      <c r="C671" s="37"/>
    </row>
    <row r="672" spans="2:3" ht="13">
      <c r="B672" s="36"/>
      <c r="C672" s="37"/>
    </row>
    <row r="673" spans="2:3" ht="13">
      <c r="B673" s="36"/>
      <c r="C673" s="37"/>
    </row>
    <row r="674" spans="2:3" ht="13">
      <c r="B674" s="36"/>
      <c r="C674" s="37"/>
    </row>
    <row r="675" spans="2:3" ht="13">
      <c r="B675" s="36"/>
      <c r="C675" s="37"/>
    </row>
    <row r="676" spans="2:3" ht="13">
      <c r="B676" s="36"/>
      <c r="C676" s="37"/>
    </row>
    <row r="677" spans="2:3" ht="13">
      <c r="B677" s="36"/>
      <c r="C677" s="37"/>
    </row>
    <row r="678" spans="2:3" ht="13">
      <c r="B678" s="36"/>
      <c r="C678" s="37"/>
    </row>
    <row r="679" spans="2:3" ht="13">
      <c r="B679" s="36"/>
      <c r="C679" s="37"/>
    </row>
    <row r="680" spans="2:3" ht="13">
      <c r="B680" s="36"/>
      <c r="C680" s="37"/>
    </row>
    <row r="681" spans="2:3" ht="13">
      <c r="B681" s="36"/>
      <c r="C681" s="37"/>
    </row>
    <row r="682" spans="2:3" ht="13">
      <c r="B682" s="36"/>
      <c r="C682" s="37"/>
    </row>
    <row r="683" spans="2:3" ht="13">
      <c r="B683" s="36"/>
      <c r="C683" s="37"/>
    </row>
    <row r="684" spans="2:3" ht="13">
      <c r="B684" s="36"/>
      <c r="C684" s="37"/>
    </row>
    <row r="685" spans="2:3" ht="13">
      <c r="B685" s="36"/>
      <c r="C685" s="37"/>
    </row>
    <row r="686" spans="2:3" ht="13">
      <c r="B686" s="36"/>
      <c r="C686" s="37"/>
    </row>
    <row r="687" spans="2:3" ht="13">
      <c r="B687" s="36"/>
      <c r="C687" s="37"/>
    </row>
    <row r="688" spans="2:3" ht="13">
      <c r="B688" s="36"/>
      <c r="C688" s="37"/>
    </row>
    <row r="689" spans="2:3" ht="13">
      <c r="B689" s="36"/>
      <c r="C689" s="37"/>
    </row>
    <row r="690" spans="2:3" ht="13">
      <c r="B690" s="36"/>
      <c r="C690" s="37"/>
    </row>
    <row r="691" spans="2:3" ht="13">
      <c r="B691" s="36"/>
      <c r="C691" s="37"/>
    </row>
    <row r="692" spans="2:3" ht="13">
      <c r="B692" s="36"/>
      <c r="C692" s="37"/>
    </row>
    <row r="693" spans="2:3" ht="13">
      <c r="B693" s="36"/>
      <c r="C693" s="37"/>
    </row>
    <row r="694" spans="2:3" ht="13">
      <c r="B694" s="36"/>
      <c r="C694" s="37"/>
    </row>
    <row r="695" spans="2:3" ht="13">
      <c r="B695" s="36"/>
      <c r="C695" s="37"/>
    </row>
    <row r="696" spans="2:3" ht="13">
      <c r="B696" s="36"/>
      <c r="C696" s="37"/>
    </row>
    <row r="697" spans="2:3" ht="13">
      <c r="B697" s="36"/>
      <c r="C697" s="37"/>
    </row>
    <row r="698" spans="2:3" ht="13">
      <c r="B698" s="36"/>
      <c r="C698" s="37"/>
    </row>
    <row r="699" spans="2:3" ht="13">
      <c r="B699" s="36"/>
      <c r="C699" s="37"/>
    </row>
    <row r="700" spans="2:3" ht="13">
      <c r="B700" s="36"/>
      <c r="C700" s="37"/>
    </row>
    <row r="701" spans="2:3" ht="13">
      <c r="B701" s="36"/>
      <c r="C701" s="37"/>
    </row>
    <row r="702" spans="2:3" ht="13">
      <c r="B702" s="36"/>
      <c r="C702" s="37"/>
    </row>
    <row r="703" spans="2:3" ht="13">
      <c r="B703" s="36"/>
      <c r="C703" s="37"/>
    </row>
    <row r="704" spans="2:3" ht="13">
      <c r="B704" s="36"/>
      <c r="C704" s="37"/>
    </row>
    <row r="705" spans="2:3" ht="13">
      <c r="B705" s="36"/>
      <c r="C705" s="37"/>
    </row>
    <row r="706" spans="2:3" ht="13">
      <c r="B706" s="36"/>
      <c r="C706" s="37"/>
    </row>
    <row r="707" spans="2:3" ht="13">
      <c r="B707" s="36"/>
      <c r="C707" s="37"/>
    </row>
    <row r="708" spans="2:3" ht="13">
      <c r="B708" s="36"/>
      <c r="C708" s="37"/>
    </row>
    <row r="709" spans="2:3" ht="13">
      <c r="B709" s="36"/>
      <c r="C709" s="37"/>
    </row>
    <row r="710" spans="2:3" ht="13">
      <c r="B710" s="36"/>
      <c r="C710" s="37"/>
    </row>
    <row r="711" spans="2:3" ht="13">
      <c r="B711" s="36"/>
      <c r="C711" s="37"/>
    </row>
    <row r="712" spans="2:3" ht="13">
      <c r="B712" s="36"/>
      <c r="C712" s="37"/>
    </row>
    <row r="713" spans="2:3" ht="13">
      <c r="B713" s="36"/>
      <c r="C713" s="37"/>
    </row>
    <row r="714" spans="2:3" ht="13">
      <c r="B714" s="36"/>
      <c r="C714" s="37"/>
    </row>
    <row r="715" spans="2:3" ht="13">
      <c r="B715" s="36"/>
      <c r="C715" s="37"/>
    </row>
    <row r="716" spans="2:3" ht="13">
      <c r="B716" s="36"/>
      <c r="C716" s="37"/>
    </row>
    <row r="717" spans="2:3" ht="13">
      <c r="B717" s="36"/>
      <c r="C717" s="37"/>
    </row>
    <row r="718" spans="2:3" ht="13">
      <c r="B718" s="36"/>
      <c r="C718" s="37"/>
    </row>
    <row r="719" spans="2:3" ht="13">
      <c r="B719" s="36"/>
      <c r="C719" s="37"/>
    </row>
    <row r="720" spans="2:3" ht="13">
      <c r="B720" s="36"/>
      <c r="C720" s="37"/>
    </row>
    <row r="721" spans="2:3" ht="13">
      <c r="B721" s="36"/>
      <c r="C721" s="37"/>
    </row>
    <row r="722" spans="2:3" ht="13">
      <c r="B722" s="36"/>
      <c r="C722" s="37"/>
    </row>
    <row r="723" spans="2:3" ht="13">
      <c r="B723" s="36"/>
      <c r="C723" s="37"/>
    </row>
    <row r="724" spans="2:3" ht="13">
      <c r="B724" s="36"/>
      <c r="C724" s="37"/>
    </row>
    <row r="725" spans="2:3" ht="13">
      <c r="B725" s="36"/>
      <c r="C725" s="37"/>
    </row>
    <row r="726" spans="2:3" ht="13">
      <c r="B726" s="36"/>
      <c r="C726" s="37"/>
    </row>
    <row r="727" spans="2:3" ht="13">
      <c r="B727" s="36"/>
      <c r="C727" s="37"/>
    </row>
    <row r="728" spans="2:3" ht="13">
      <c r="B728" s="36"/>
      <c r="C728" s="37"/>
    </row>
    <row r="729" spans="2:3" ht="13">
      <c r="B729" s="36"/>
      <c r="C729" s="37"/>
    </row>
    <row r="730" spans="2:3" ht="13">
      <c r="B730" s="36"/>
      <c r="C730" s="37"/>
    </row>
    <row r="731" spans="2:3" ht="13">
      <c r="B731" s="36"/>
      <c r="C731" s="37"/>
    </row>
    <row r="732" spans="2:3" ht="13">
      <c r="B732" s="36"/>
      <c r="C732" s="37"/>
    </row>
    <row r="733" spans="2:3" ht="13">
      <c r="B733" s="36"/>
      <c r="C733" s="37"/>
    </row>
    <row r="734" spans="2:3" ht="13">
      <c r="B734" s="36"/>
      <c r="C734" s="37"/>
    </row>
    <row r="735" spans="2:3" ht="13">
      <c r="B735" s="36"/>
      <c r="C735" s="37"/>
    </row>
    <row r="736" spans="2:3" ht="13">
      <c r="B736" s="36"/>
      <c r="C736" s="37"/>
    </row>
    <row r="737" spans="2:3" ht="13">
      <c r="B737" s="36"/>
      <c r="C737" s="37"/>
    </row>
    <row r="738" spans="2:3" ht="13">
      <c r="B738" s="36"/>
      <c r="C738" s="37"/>
    </row>
    <row r="739" spans="2:3" ht="13">
      <c r="B739" s="36"/>
      <c r="C739" s="37"/>
    </row>
    <row r="740" spans="2:3" ht="13">
      <c r="B740" s="36"/>
      <c r="C740" s="37"/>
    </row>
    <row r="741" spans="2:3" ht="13">
      <c r="B741" s="36"/>
      <c r="C741" s="37"/>
    </row>
    <row r="742" spans="2:3" ht="13">
      <c r="B742" s="36"/>
      <c r="C742" s="37"/>
    </row>
    <row r="743" spans="2:3" ht="13">
      <c r="B743" s="36"/>
      <c r="C743" s="37"/>
    </row>
    <row r="744" spans="2:3" ht="13">
      <c r="B744" s="36"/>
      <c r="C744" s="37"/>
    </row>
    <row r="745" spans="2:3" ht="13">
      <c r="B745" s="36"/>
      <c r="C745" s="37"/>
    </row>
    <row r="746" spans="2:3" ht="13">
      <c r="B746" s="36"/>
      <c r="C746" s="37"/>
    </row>
    <row r="747" spans="2:3" ht="13">
      <c r="B747" s="36"/>
      <c r="C747" s="37"/>
    </row>
    <row r="748" spans="2:3" ht="13">
      <c r="B748" s="36"/>
      <c r="C748" s="37"/>
    </row>
    <row r="749" spans="2:3" ht="13">
      <c r="B749" s="36"/>
      <c r="C749" s="37"/>
    </row>
    <row r="750" spans="2:3" ht="13">
      <c r="B750" s="36"/>
      <c r="C750" s="37"/>
    </row>
    <row r="751" spans="2:3" ht="13">
      <c r="B751" s="36"/>
      <c r="C751" s="37"/>
    </row>
    <row r="752" spans="2:3" ht="13">
      <c r="B752" s="36"/>
      <c r="C752" s="37"/>
    </row>
    <row r="753" spans="2:3" ht="13">
      <c r="B753" s="36"/>
      <c r="C753" s="37"/>
    </row>
    <row r="754" spans="2:3" ht="13">
      <c r="B754" s="36"/>
      <c r="C754" s="37"/>
    </row>
    <row r="755" spans="2:3" ht="13">
      <c r="B755" s="36"/>
      <c r="C755" s="37"/>
    </row>
    <row r="756" spans="2:3" ht="13">
      <c r="B756" s="36"/>
      <c r="C756" s="37"/>
    </row>
    <row r="757" spans="2:3" ht="13">
      <c r="B757" s="36"/>
      <c r="C757" s="37"/>
    </row>
    <row r="758" spans="2:3" ht="13">
      <c r="B758" s="36"/>
      <c r="C758" s="37"/>
    </row>
    <row r="759" spans="2:3" ht="13">
      <c r="B759" s="36"/>
      <c r="C759" s="37"/>
    </row>
    <row r="760" spans="2:3" ht="13">
      <c r="B760" s="36"/>
      <c r="C760" s="37"/>
    </row>
    <row r="761" spans="2:3" ht="13">
      <c r="B761" s="36"/>
      <c r="C761" s="37"/>
    </row>
    <row r="762" spans="2:3" ht="13">
      <c r="B762" s="36"/>
      <c r="C762" s="37"/>
    </row>
    <row r="763" spans="2:3" ht="13">
      <c r="B763" s="36"/>
      <c r="C763" s="37"/>
    </row>
    <row r="764" spans="2:3" ht="13">
      <c r="B764" s="36"/>
      <c r="C764" s="37"/>
    </row>
    <row r="765" spans="2:3" ht="13">
      <c r="B765" s="36"/>
      <c r="C765" s="37"/>
    </row>
    <row r="766" spans="2:3" ht="13">
      <c r="B766" s="36"/>
      <c r="C766" s="37"/>
    </row>
    <row r="767" spans="2:3" ht="13">
      <c r="B767" s="36"/>
      <c r="C767" s="37"/>
    </row>
    <row r="768" spans="2:3" ht="13">
      <c r="B768" s="36"/>
      <c r="C768" s="37"/>
    </row>
    <row r="769" spans="2:3" ht="13">
      <c r="B769" s="36"/>
      <c r="C769" s="37"/>
    </row>
    <row r="770" spans="2:3" ht="13">
      <c r="B770" s="36"/>
      <c r="C770" s="37"/>
    </row>
    <row r="771" spans="2:3" ht="13">
      <c r="B771" s="36"/>
      <c r="C771" s="37"/>
    </row>
    <row r="772" spans="2:3" ht="13">
      <c r="B772" s="36"/>
      <c r="C772" s="37"/>
    </row>
    <row r="773" spans="2:3" ht="13">
      <c r="B773" s="36"/>
      <c r="C773" s="37"/>
    </row>
    <row r="774" spans="2:3" ht="13">
      <c r="B774" s="36"/>
      <c r="C774" s="37"/>
    </row>
    <row r="775" spans="2:3" ht="13">
      <c r="B775" s="36"/>
      <c r="C775" s="37"/>
    </row>
    <row r="776" spans="2:3" ht="13">
      <c r="B776" s="36"/>
      <c r="C776" s="37"/>
    </row>
    <row r="777" spans="2:3" ht="13">
      <c r="B777" s="36"/>
      <c r="C777" s="37"/>
    </row>
    <row r="778" spans="2:3" ht="13">
      <c r="B778" s="36"/>
      <c r="C778" s="37"/>
    </row>
    <row r="779" spans="2:3" ht="13">
      <c r="B779" s="36"/>
      <c r="C779" s="37"/>
    </row>
    <row r="780" spans="2:3" ht="13">
      <c r="B780" s="36"/>
      <c r="C780" s="37"/>
    </row>
    <row r="781" spans="2:3" ht="13">
      <c r="B781" s="36"/>
      <c r="C781" s="37"/>
    </row>
    <row r="782" spans="2:3" ht="13">
      <c r="B782" s="36"/>
      <c r="C782" s="37"/>
    </row>
    <row r="783" spans="2:3" ht="13">
      <c r="B783" s="36"/>
      <c r="C783" s="37"/>
    </row>
    <row r="784" spans="2:3" ht="13">
      <c r="B784" s="36"/>
      <c r="C784" s="37"/>
    </row>
    <row r="785" spans="2:3" ht="13">
      <c r="B785" s="36"/>
      <c r="C785" s="37"/>
    </row>
    <row r="786" spans="2:3" ht="13">
      <c r="B786" s="36"/>
      <c r="C786" s="37"/>
    </row>
    <row r="787" spans="2:3" ht="13">
      <c r="B787" s="36"/>
      <c r="C787" s="37"/>
    </row>
    <row r="788" spans="2:3" ht="13">
      <c r="B788" s="36"/>
      <c r="C788" s="37"/>
    </row>
    <row r="789" spans="2:3" ht="13">
      <c r="B789" s="36"/>
      <c r="C789" s="37"/>
    </row>
    <row r="790" spans="2:3" ht="13">
      <c r="B790" s="36"/>
      <c r="C790" s="37"/>
    </row>
    <row r="791" spans="2:3" ht="13">
      <c r="B791" s="36"/>
      <c r="C791" s="37"/>
    </row>
    <row r="792" spans="2:3" ht="13">
      <c r="B792" s="36"/>
      <c r="C792" s="37"/>
    </row>
    <row r="793" spans="2:3" ht="13">
      <c r="B793" s="36"/>
      <c r="C793" s="37"/>
    </row>
    <row r="794" spans="2:3" ht="13">
      <c r="B794" s="36"/>
      <c r="C794" s="37"/>
    </row>
    <row r="795" spans="2:3" ht="13">
      <c r="B795" s="36"/>
      <c r="C795" s="37"/>
    </row>
    <row r="796" spans="2:3" ht="13">
      <c r="B796" s="36"/>
      <c r="C796" s="37"/>
    </row>
    <row r="797" spans="2:3" ht="13">
      <c r="B797" s="36"/>
      <c r="C797" s="37"/>
    </row>
    <row r="798" spans="2:3" ht="13">
      <c r="B798" s="36"/>
      <c r="C798" s="37"/>
    </row>
    <row r="799" spans="2:3" ht="13">
      <c r="B799" s="36"/>
      <c r="C799" s="37"/>
    </row>
    <row r="800" spans="2:3" ht="13">
      <c r="B800" s="36"/>
      <c r="C800" s="37"/>
    </row>
    <row r="801" spans="2:3" ht="13">
      <c r="B801" s="36"/>
      <c r="C801" s="37"/>
    </row>
    <row r="802" spans="2:3" ht="13">
      <c r="B802" s="36"/>
      <c r="C802" s="37"/>
    </row>
    <row r="803" spans="2:3" ht="13">
      <c r="B803" s="36"/>
      <c r="C803" s="37"/>
    </row>
    <row r="804" spans="2:3" ht="13">
      <c r="B804" s="36"/>
      <c r="C804" s="37"/>
    </row>
    <row r="805" spans="2:3" ht="13">
      <c r="B805" s="36"/>
      <c r="C805" s="37"/>
    </row>
    <row r="806" spans="2:3" ht="13">
      <c r="B806" s="36"/>
      <c r="C806" s="37"/>
    </row>
    <row r="807" spans="2:3" ht="13">
      <c r="B807" s="36"/>
      <c r="C807" s="37"/>
    </row>
    <row r="808" spans="2:3" ht="13">
      <c r="B808" s="36"/>
      <c r="C808" s="37"/>
    </row>
    <row r="809" spans="2:3" ht="13">
      <c r="B809" s="36"/>
      <c r="C809" s="37"/>
    </row>
    <row r="810" spans="2:3" ht="13">
      <c r="B810" s="36"/>
      <c r="C810" s="37"/>
    </row>
    <row r="811" spans="2:3" ht="13">
      <c r="B811" s="36"/>
      <c r="C811" s="37"/>
    </row>
    <row r="812" spans="2:3" ht="13">
      <c r="B812" s="36"/>
      <c r="C812" s="37"/>
    </row>
    <row r="813" spans="2:3" ht="13">
      <c r="B813" s="36"/>
      <c r="C813" s="37"/>
    </row>
    <row r="814" spans="2:3" ht="13">
      <c r="B814" s="36"/>
      <c r="C814" s="37"/>
    </row>
    <row r="815" spans="2:3" ht="13">
      <c r="B815" s="36"/>
      <c r="C815" s="37"/>
    </row>
    <row r="816" spans="2:3" ht="13">
      <c r="B816" s="36"/>
      <c r="C816" s="37"/>
    </row>
    <row r="817" spans="2:3" ht="13">
      <c r="B817" s="36"/>
      <c r="C817" s="37"/>
    </row>
    <row r="818" spans="2:3" ht="13">
      <c r="B818" s="36"/>
      <c r="C818" s="37"/>
    </row>
    <row r="819" spans="2:3" ht="13">
      <c r="B819" s="36"/>
      <c r="C819" s="37"/>
    </row>
    <row r="820" spans="2:3" ht="13">
      <c r="B820" s="36"/>
      <c r="C820" s="37"/>
    </row>
    <row r="821" spans="2:3" ht="13">
      <c r="B821" s="36"/>
      <c r="C821" s="37"/>
    </row>
    <row r="822" spans="2:3" ht="13">
      <c r="B822" s="36"/>
      <c r="C822" s="37"/>
    </row>
    <row r="823" spans="2:3" ht="13">
      <c r="B823" s="36"/>
      <c r="C823" s="37"/>
    </row>
    <row r="824" spans="2:3" ht="13">
      <c r="B824" s="36"/>
      <c r="C824" s="37"/>
    </row>
    <row r="825" spans="2:3" ht="13">
      <c r="B825" s="36"/>
      <c r="C825" s="37"/>
    </row>
    <row r="826" spans="2:3" ht="13">
      <c r="B826" s="36"/>
      <c r="C826" s="37"/>
    </row>
    <row r="827" spans="2:3" ht="13">
      <c r="B827" s="36"/>
      <c r="C827" s="37"/>
    </row>
    <row r="828" spans="2:3" ht="13">
      <c r="B828" s="36"/>
      <c r="C828" s="37"/>
    </row>
    <row r="829" spans="2:3" ht="13">
      <c r="B829" s="36"/>
      <c r="C829" s="37"/>
    </row>
    <row r="830" spans="2:3" ht="13">
      <c r="B830" s="36"/>
      <c r="C830" s="37"/>
    </row>
    <row r="831" spans="2:3" ht="13">
      <c r="B831" s="36"/>
      <c r="C831" s="37"/>
    </row>
    <row r="832" spans="2:3" ht="13">
      <c r="B832" s="36"/>
      <c r="C832" s="37"/>
    </row>
    <row r="833" spans="2:3" ht="13">
      <c r="B833" s="36"/>
      <c r="C833" s="37"/>
    </row>
    <row r="834" spans="2:3" ht="13">
      <c r="B834" s="36"/>
      <c r="C834" s="37"/>
    </row>
    <row r="835" spans="2:3" ht="13">
      <c r="B835" s="36"/>
      <c r="C835" s="37"/>
    </row>
    <row r="836" spans="2:3" ht="13">
      <c r="B836" s="36"/>
      <c r="C836" s="37"/>
    </row>
    <row r="837" spans="2:3" ht="13">
      <c r="B837" s="36"/>
      <c r="C837" s="37"/>
    </row>
    <row r="838" spans="2:3" ht="13">
      <c r="B838" s="36"/>
      <c r="C838" s="37"/>
    </row>
    <row r="839" spans="2:3" ht="13">
      <c r="B839" s="36"/>
      <c r="C839" s="37"/>
    </row>
    <row r="840" spans="2:3" ht="13">
      <c r="B840" s="36"/>
      <c r="C840" s="37"/>
    </row>
    <row r="841" spans="2:3" ht="13">
      <c r="B841" s="36"/>
      <c r="C841" s="37"/>
    </row>
    <row r="842" spans="2:3" ht="13">
      <c r="B842" s="36"/>
      <c r="C842" s="37"/>
    </row>
    <row r="843" spans="2:3" ht="13">
      <c r="B843" s="36"/>
      <c r="C843" s="37"/>
    </row>
    <row r="844" spans="2:3" ht="13">
      <c r="B844" s="36"/>
      <c r="C844" s="37"/>
    </row>
    <row r="845" spans="2:3" ht="13">
      <c r="B845" s="36"/>
      <c r="C845" s="37"/>
    </row>
    <row r="846" spans="2:3" ht="13">
      <c r="B846" s="36"/>
      <c r="C846" s="37"/>
    </row>
    <row r="847" spans="2:3" ht="13">
      <c r="B847" s="36"/>
      <c r="C847" s="37"/>
    </row>
    <row r="848" spans="2:3" ht="13">
      <c r="B848" s="36"/>
      <c r="C848" s="37"/>
    </row>
    <row r="849" spans="2:3" ht="13">
      <c r="B849" s="36"/>
      <c r="C849" s="37"/>
    </row>
    <row r="850" spans="2:3" ht="13">
      <c r="B850" s="36"/>
      <c r="C850" s="37"/>
    </row>
    <row r="851" spans="2:3" ht="13">
      <c r="B851" s="36"/>
      <c r="C851" s="37"/>
    </row>
    <row r="852" spans="2:3" ht="13">
      <c r="B852" s="36"/>
      <c r="C852" s="37"/>
    </row>
    <row r="853" spans="2:3" ht="13">
      <c r="B853" s="36"/>
      <c r="C853" s="37"/>
    </row>
    <row r="854" spans="2:3" ht="13">
      <c r="B854" s="36"/>
      <c r="C854" s="37"/>
    </row>
    <row r="855" spans="2:3" ht="13">
      <c r="B855" s="36"/>
      <c r="C855" s="37"/>
    </row>
    <row r="856" spans="2:3" ht="13">
      <c r="B856" s="36"/>
      <c r="C856" s="37"/>
    </row>
    <row r="857" spans="2:3" ht="13">
      <c r="B857" s="36"/>
      <c r="C857" s="37"/>
    </row>
    <row r="858" spans="2:3" ht="13">
      <c r="B858" s="36"/>
      <c r="C858" s="37"/>
    </row>
    <row r="859" spans="2:3" ht="13">
      <c r="B859" s="36"/>
      <c r="C859" s="37"/>
    </row>
    <row r="860" spans="2:3" ht="13">
      <c r="B860" s="36"/>
      <c r="C860" s="37"/>
    </row>
    <row r="861" spans="2:3" ht="13">
      <c r="B861" s="36"/>
      <c r="C861" s="37"/>
    </row>
    <row r="862" spans="2:3" ht="13">
      <c r="B862" s="36"/>
      <c r="C862" s="37"/>
    </row>
    <row r="863" spans="2:3" ht="13">
      <c r="B863" s="36"/>
      <c r="C863" s="37"/>
    </row>
    <row r="864" spans="2:3" ht="13">
      <c r="B864" s="36"/>
      <c r="C864" s="37"/>
    </row>
    <row r="865" spans="2:3" ht="13">
      <c r="B865" s="36"/>
      <c r="C865" s="37"/>
    </row>
    <row r="866" spans="2:3" ht="13">
      <c r="B866" s="36"/>
      <c r="C866" s="37"/>
    </row>
    <row r="867" spans="2:3" ht="13">
      <c r="B867" s="36"/>
      <c r="C867" s="37"/>
    </row>
    <row r="868" spans="2:3" ht="13">
      <c r="B868" s="36"/>
      <c r="C868" s="37"/>
    </row>
    <row r="869" spans="2:3" ht="13">
      <c r="B869" s="36"/>
      <c r="C869" s="37"/>
    </row>
    <row r="870" spans="2:3" ht="13">
      <c r="B870" s="36"/>
      <c r="C870" s="37"/>
    </row>
    <row r="871" spans="2:3" ht="13">
      <c r="B871" s="36"/>
      <c r="C871" s="37"/>
    </row>
    <row r="872" spans="2:3" ht="13">
      <c r="B872" s="36"/>
      <c r="C872" s="37"/>
    </row>
    <row r="873" spans="2:3" ht="13">
      <c r="B873" s="36"/>
      <c r="C873" s="37"/>
    </row>
    <row r="874" spans="2:3" ht="13">
      <c r="B874" s="36"/>
      <c r="C874" s="37"/>
    </row>
    <row r="875" spans="2:3" ht="13">
      <c r="B875" s="36"/>
      <c r="C875" s="37"/>
    </row>
    <row r="876" spans="2:3" ht="13">
      <c r="B876" s="36"/>
      <c r="C876" s="37"/>
    </row>
    <row r="877" spans="2:3" ht="13">
      <c r="B877" s="36"/>
      <c r="C877" s="37"/>
    </row>
    <row r="878" spans="2:3" ht="13">
      <c r="B878" s="36"/>
      <c r="C878" s="37"/>
    </row>
    <row r="879" spans="2:3" ht="13">
      <c r="B879" s="36"/>
      <c r="C879" s="37"/>
    </row>
    <row r="880" spans="2:3" ht="13">
      <c r="B880" s="36"/>
      <c r="C880" s="37"/>
    </row>
    <row r="881" spans="2:3" ht="13">
      <c r="B881" s="36"/>
      <c r="C881" s="37"/>
    </row>
    <row r="882" spans="2:3" ht="13">
      <c r="B882" s="36"/>
      <c r="C882" s="37"/>
    </row>
    <row r="883" spans="2:3" ht="13">
      <c r="B883" s="36"/>
      <c r="C883" s="37"/>
    </row>
    <row r="884" spans="2:3" ht="13">
      <c r="B884" s="36"/>
      <c r="C884" s="37"/>
    </row>
    <row r="885" spans="2:3" ht="13">
      <c r="B885" s="36"/>
      <c r="C885" s="37"/>
    </row>
    <row r="886" spans="2:3" ht="13">
      <c r="B886" s="36"/>
      <c r="C886" s="37"/>
    </row>
    <row r="887" spans="2:3" ht="13">
      <c r="B887" s="36"/>
      <c r="C887" s="37"/>
    </row>
    <row r="888" spans="2:3" ht="13">
      <c r="B888" s="36"/>
      <c r="C888" s="37"/>
    </row>
    <row r="889" spans="2:3" ht="13">
      <c r="B889" s="36"/>
      <c r="C889" s="37"/>
    </row>
    <row r="890" spans="2:3" ht="13">
      <c r="B890" s="36"/>
      <c r="C890" s="37"/>
    </row>
    <row r="891" spans="2:3" ht="13">
      <c r="B891" s="36"/>
      <c r="C891" s="37"/>
    </row>
    <row r="892" spans="2:3" ht="13">
      <c r="B892" s="36"/>
      <c r="C892" s="37"/>
    </row>
    <row r="893" spans="2:3" ht="13">
      <c r="B893" s="36"/>
      <c r="C893" s="37"/>
    </row>
    <row r="894" spans="2:3" ht="13">
      <c r="B894" s="36"/>
      <c r="C894" s="37"/>
    </row>
    <row r="895" spans="2:3" ht="13">
      <c r="B895" s="36"/>
      <c r="C895" s="37"/>
    </row>
    <row r="896" spans="2:3" ht="13">
      <c r="B896" s="36"/>
      <c r="C896" s="37"/>
    </row>
    <row r="897" spans="2:3" ht="13">
      <c r="B897" s="36"/>
      <c r="C897" s="37"/>
    </row>
    <row r="898" spans="2:3" ht="13">
      <c r="B898" s="36"/>
      <c r="C898" s="37"/>
    </row>
    <row r="899" spans="2:3" ht="13">
      <c r="B899" s="36"/>
      <c r="C899" s="37"/>
    </row>
    <row r="900" spans="2:3" ht="13">
      <c r="B900" s="36"/>
      <c r="C900" s="37"/>
    </row>
    <row r="901" spans="2:3" ht="13">
      <c r="B901" s="36"/>
      <c r="C901" s="37"/>
    </row>
    <row r="902" spans="2:3" ht="13">
      <c r="B902" s="36"/>
      <c r="C902" s="37"/>
    </row>
    <row r="903" spans="2:3" ht="13">
      <c r="B903" s="36"/>
      <c r="C903" s="37"/>
    </row>
    <row r="904" spans="2:3" ht="13">
      <c r="B904" s="36"/>
      <c r="C904" s="37"/>
    </row>
    <row r="905" spans="2:3" ht="13">
      <c r="B905" s="36"/>
      <c r="C905" s="37"/>
    </row>
    <row r="906" spans="2:3" ht="13">
      <c r="B906" s="36"/>
      <c r="C906" s="37"/>
    </row>
    <row r="907" spans="2:3" ht="13">
      <c r="B907" s="36"/>
      <c r="C907" s="37"/>
    </row>
    <row r="908" spans="2:3" ht="13">
      <c r="B908" s="36"/>
      <c r="C908" s="37"/>
    </row>
    <row r="909" spans="2:3" ht="13">
      <c r="B909" s="36"/>
      <c r="C909" s="37"/>
    </row>
    <row r="910" spans="2:3" ht="13">
      <c r="B910" s="36"/>
      <c r="C910" s="37"/>
    </row>
    <row r="911" spans="2:3" ht="13">
      <c r="B911" s="36"/>
      <c r="C911" s="37"/>
    </row>
    <row r="912" spans="2:3" ht="13">
      <c r="B912" s="36"/>
      <c r="C912" s="37"/>
    </row>
    <row r="913" spans="2:3" ht="13">
      <c r="B913" s="36"/>
      <c r="C913" s="37"/>
    </row>
    <row r="914" spans="2:3" ht="13">
      <c r="B914" s="36"/>
      <c r="C914" s="37"/>
    </row>
    <row r="915" spans="2:3" ht="13">
      <c r="B915" s="36"/>
      <c r="C915" s="37"/>
    </row>
    <row r="916" spans="2:3" ht="13">
      <c r="B916" s="36"/>
      <c r="C916" s="37"/>
    </row>
    <row r="917" spans="2:3" ht="13">
      <c r="B917" s="36"/>
      <c r="C917" s="37"/>
    </row>
    <row r="918" spans="2:3" ht="13">
      <c r="B918" s="36"/>
      <c r="C918" s="37"/>
    </row>
    <row r="919" spans="2:3" ht="13">
      <c r="B919" s="36"/>
      <c r="C919" s="37"/>
    </row>
    <row r="920" spans="2:3" ht="13">
      <c r="B920" s="36"/>
      <c r="C920" s="37"/>
    </row>
    <row r="921" spans="2:3" ht="13">
      <c r="B921" s="36"/>
      <c r="C921" s="37"/>
    </row>
    <row r="922" spans="2:3" ht="13">
      <c r="B922" s="36"/>
      <c r="C922" s="37"/>
    </row>
    <row r="923" spans="2:3" ht="13">
      <c r="B923" s="36"/>
      <c r="C923" s="37"/>
    </row>
    <row r="924" spans="2:3" ht="13">
      <c r="B924" s="36"/>
      <c r="C924" s="37"/>
    </row>
    <row r="925" spans="2:3" ht="13">
      <c r="B925" s="36"/>
      <c r="C925" s="37"/>
    </row>
    <row r="926" spans="2:3" ht="13">
      <c r="B926" s="36"/>
      <c r="C926" s="37"/>
    </row>
    <row r="927" spans="2:3" ht="13">
      <c r="B927" s="36"/>
      <c r="C927" s="37"/>
    </row>
    <row r="928" spans="2:3" ht="13">
      <c r="B928" s="36"/>
      <c r="C928" s="37"/>
    </row>
    <row r="929" spans="2:3" ht="13">
      <c r="B929" s="36"/>
      <c r="C929" s="37"/>
    </row>
    <row r="930" spans="2:3" ht="13">
      <c r="B930" s="36"/>
      <c r="C930" s="37"/>
    </row>
    <row r="931" spans="2:3" ht="13">
      <c r="B931" s="36"/>
      <c r="C931" s="37"/>
    </row>
    <row r="932" spans="2:3" ht="13">
      <c r="B932" s="36"/>
      <c r="C932" s="37"/>
    </row>
    <row r="933" spans="2:3" ht="13">
      <c r="B933" s="36"/>
      <c r="C933" s="37"/>
    </row>
    <row r="934" spans="2:3" ht="13">
      <c r="B934" s="36"/>
      <c r="C934" s="37"/>
    </row>
    <row r="935" spans="2:3" ht="13">
      <c r="B935" s="36"/>
      <c r="C935" s="37"/>
    </row>
    <row r="936" spans="2:3" ht="13">
      <c r="B936" s="36"/>
      <c r="C936" s="37"/>
    </row>
    <row r="937" spans="2:3" ht="13">
      <c r="B937" s="36"/>
      <c r="C937" s="37"/>
    </row>
    <row r="938" spans="2:3" ht="13">
      <c r="B938" s="36"/>
      <c r="C938" s="37"/>
    </row>
    <row r="939" spans="2:3" ht="13">
      <c r="B939" s="36"/>
      <c r="C939" s="37"/>
    </row>
    <row r="940" spans="2:3" ht="13">
      <c r="B940" s="36"/>
      <c r="C940" s="37"/>
    </row>
    <row r="941" spans="2:3" ht="13">
      <c r="B941" s="36"/>
      <c r="C941" s="37"/>
    </row>
    <row r="942" spans="2:3" ht="13">
      <c r="B942" s="36"/>
      <c r="C942" s="37"/>
    </row>
    <row r="943" spans="2:3" ht="13">
      <c r="B943" s="36"/>
      <c r="C943" s="37"/>
    </row>
    <row r="944" spans="2:3" ht="13">
      <c r="B944" s="36"/>
      <c r="C944" s="37"/>
    </row>
    <row r="945" spans="2:3" ht="13">
      <c r="B945" s="36"/>
      <c r="C945" s="37"/>
    </row>
    <row r="946" spans="2:3" ht="13">
      <c r="B946" s="36"/>
      <c r="C946" s="37"/>
    </row>
    <row r="947" spans="2:3" ht="13">
      <c r="B947" s="36"/>
      <c r="C947" s="37"/>
    </row>
    <row r="948" spans="2:3" ht="13">
      <c r="B948" s="36"/>
      <c r="C948" s="37"/>
    </row>
    <row r="949" spans="2:3" ht="13">
      <c r="B949" s="36"/>
      <c r="C949" s="37"/>
    </row>
    <row r="950" spans="2:3" ht="13">
      <c r="B950" s="36"/>
      <c r="C950" s="37"/>
    </row>
    <row r="951" spans="2:3" ht="13">
      <c r="B951" s="36"/>
      <c r="C951" s="37"/>
    </row>
    <row r="952" spans="2:3" ht="13">
      <c r="B952" s="36"/>
      <c r="C952" s="37"/>
    </row>
    <row r="953" spans="2:3" ht="13">
      <c r="B953" s="36"/>
      <c r="C953" s="37"/>
    </row>
    <row r="954" spans="2:3" ht="13">
      <c r="B954" s="36"/>
      <c r="C954" s="37"/>
    </row>
    <row r="955" spans="2:3" ht="13">
      <c r="B955" s="36"/>
      <c r="C955" s="37"/>
    </row>
    <row r="956" spans="2:3" ht="13">
      <c r="B956" s="36"/>
      <c r="C956" s="37"/>
    </row>
    <row r="957" spans="2:3" ht="13">
      <c r="B957" s="36"/>
      <c r="C957" s="37"/>
    </row>
    <row r="958" spans="2:3" ht="13">
      <c r="B958" s="36"/>
      <c r="C958" s="37"/>
    </row>
    <row r="959" spans="2:3" ht="13">
      <c r="B959" s="36"/>
      <c r="C959" s="37"/>
    </row>
    <row r="960" spans="2:3" ht="13">
      <c r="B960" s="36"/>
      <c r="C960" s="37"/>
    </row>
    <row r="961" spans="2:3" ht="13">
      <c r="B961" s="36"/>
      <c r="C961" s="37"/>
    </row>
    <row r="962" spans="2:3" ht="13">
      <c r="B962" s="36"/>
      <c r="C962" s="37"/>
    </row>
    <row r="963" spans="2:3" ht="13">
      <c r="B963" s="36"/>
      <c r="C963" s="37"/>
    </row>
    <row r="964" spans="2:3" ht="13">
      <c r="B964" s="36"/>
      <c r="C964" s="37"/>
    </row>
    <row r="965" spans="2:3" ht="13">
      <c r="B965" s="36"/>
      <c r="C965" s="37"/>
    </row>
    <row r="966" spans="2:3" ht="13">
      <c r="B966" s="36"/>
      <c r="C966" s="37"/>
    </row>
    <row r="967" spans="2:3" ht="13">
      <c r="B967" s="36"/>
      <c r="C967" s="37"/>
    </row>
    <row r="968" spans="2:3" ht="13">
      <c r="B968" s="36"/>
      <c r="C968" s="37"/>
    </row>
    <row r="969" spans="2:3" ht="13">
      <c r="B969" s="36"/>
      <c r="C969" s="37"/>
    </row>
    <row r="970" spans="2:3" ht="13">
      <c r="B970" s="36"/>
      <c r="C970" s="37"/>
    </row>
    <row r="971" spans="2:3" ht="13">
      <c r="B971" s="36"/>
      <c r="C971" s="37"/>
    </row>
    <row r="972" spans="2:3" ht="13">
      <c r="B972" s="36"/>
      <c r="C972" s="37"/>
    </row>
    <row r="973" spans="2:3" ht="13">
      <c r="B973" s="36"/>
      <c r="C973" s="37"/>
    </row>
    <row r="974" spans="2:3" ht="13">
      <c r="B974" s="36"/>
      <c r="C974" s="37"/>
    </row>
    <row r="975" spans="2:3" ht="13">
      <c r="B975" s="36"/>
      <c r="C975" s="37"/>
    </row>
    <row r="976" spans="2:3" ht="13">
      <c r="B976" s="36"/>
      <c r="C976" s="37"/>
    </row>
    <row r="977" spans="2:3" ht="13">
      <c r="B977" s="36"/>
      <c r="C977" s="37"/>
    </row>
    <row r="978" spans="2:3" ht="13">
      <c r="B978" s="36"/>
      <c r="C978" s="37"/>
    </row>
    <row r="979" spans="2:3" ht="13">
      <c r="B979" s="36"/>
      <c r="C979" s="37"/>
    </row>
    <row r="980" spans="2:3" ht="13">
      <c r="B980" s="36"/>
      <c r="C980" s="37"/>
    </row>
    <row r="981" spans="2:3" ht="13">
      <c r="B981" s="36"/>
      <c r="C981" s="37"/>
    </row>
    <row r="982" spans="2:3" ht="13">
      <c r="B982" s="36"/>
      <c r="C982" s="37"/>
    </row>
    <row r="983" spans="2:3" ht="13">
      <c r="B983" s="36"/>
      <c r="C983" s="37"/>
    </row>
    <row r="984" spans="2:3" ht="13">
      <c r="B984" s="36"/>
      <c r="C984" s="37"/>
    </row>
    <row r="985" spans="2:3" ht="13">
      <c r="B985" s="36"/>
      <c r="C985" s="37"/>
    </row>
    <row r="986" spans="2:3" ht="13">
      <c r="B986" s="36"/>
      <c r="C986" s="37"/>
    </row>
    <row r="987" spans="2:3" ht="13">
      <c r="B987" s="36"/>
      <c r="C987" s="37"/>
    </row>
    <row r="988" spans="2:3" ht="13">
      <c r="B988" s="36"/>
      <c r="C988" s="37"/>
    </row>
    <row r="989" spans="2:3" ht="13">
      <c r="B989" s="36"/>
      <c r="C989" s="37"/>
    </row>
    <row r="990" spans="2:3" ht="13">
      <c r="B990" s="36"/>
      <c r="C990" s="37"/>
    </row>
    <row r="991" spans="2:3" ht="13">
      <c r="B991" s="36"/>
      <c r="C991" s="37"/>
    </row>
    <row r="992" spans="2:3" ht="13">
      <c r="B992" s="36"/>
      <c r="C992" s="37"/>
    </row>
    <row r="993" spans="2:3" ht="13">
      <c r="B993" s="36"/>
      <c r="C993" s="37"/>
    </row>
    <row r="994" spans="2:3" ht="13">
      <c r="B994" s="36"/>
      <c r="C994" s="37"/>
    </row>
    <row r="995" spans="2:3" ht="13">
      <c r="B995" s="36"/>
      <c r="C995" s="37"/>
    </row>
    <row r="996" spans="2:3" ht="13">
      <c r="B996" s="36"/>
      <c r="C996" s="37"/>
    </row>
    <row r="997" spans="2:3" ht="13">
      <c r="B997" s="36"/>
      <c r="C997" s="37"/>
    </row>
    <row r="998" spans="2:3" ht="13">
      <c r="B998" s="36"/>
      <c r="C998" s="37"/>
    </row>
    <row r="999" spans="2:3" ht="13">
      <c r="B999" s="36"/>
      <c r="C999" s="37"/>
    </row>
    <row r="1000" spans="2:3" ht="13">
      <c r="B1000" s="36"/>
      <c r="C1000" s="37"/>
    </row>
    <row r="1001" spans="2:3" ht="13">
      <c r="B1001" s="36"/>
      <c r="C1001" s="37"/>
    </row>
    <row r="1002" spans="2:3" ht="13">
      <c r="B1002" s="36"/>
      <c r="C1002" s="37"/>
    </row>
  </sheetData>
  <hyperlinks>
    <hyperlink ref="B5" r:id="rId1" xr:uid="{00000000-0004-0000-4100-000000000000}"/>
    <hyperlink ref="B6" r:id="rId2" xr:uid="{00000000-0004-0000-4100-000001000000}"/>
    <hyperlink ref="B7" r:id="rId3" xr:uid="{00000000-0004-0000-4100-000002000000}"/>
    <hyperlink ref="B8" r:id="rId4" xr:uid="{00000000-0004-0000-4100-000003000000}"/>
    <hyperlink ref="B9" r:id="rId5" xr:uid="{00000000-0004-0000-4100-000004000000}"/>
    <hyperlink ref="B10" r:id="rId6" xr:uid="{00000000-0004-0000-4100-000005000000}"/>
    <hyperlink ref="B11" r:id="rId7" xr:uid="{00000000-0004-0000-4100-000006000000}"/>
    <hyperlink ref="B12" r:id="rId8" xr:uid="{00000000-0004-0000-4100-000007000000}"/>
    <hyperlink ref="B13" r:id="rId9" xr:uid="{00000000-0004-0000-4100-000008000000}"/>
    <hyperlink ref="B14" r:id="rId10" xr:uid="{00000000-0004-0000-4100-000009000000}"/>
    <hyperlink ref="B15" r:id="rId11" xr:uid="{00000000-0004-0000-4100-00000A000000}"/>
    <hyperlink ref="B16" r:id="rId12" xr:uid="{00000000-0004-0000-4100-00000B000000}"/>
    <hyperlink ref="B17" r:id="rId13" xr:uid="{00000000-0004-0000-4100-00000C000000}"/>
    <hyperlink ref="B18" r:id="rId14" xr:uid="{00000000-0004-0000-4100-00000D000000}"/>
    <hyperlink ref="B19" r:id="rId15" xr:uid="{00000000-0004-0000-4100-00000E000000}"/>
    <hyperlink ref="B20" r:id="rId16" xr:uid="{00000000-0004-0000-4100-00000F000000}"/>
    <hyperlink ref="B21" r:id="rId17" xr:uid="{00000000-0004-0000-4100-000010000000}"/>
    <hyperlink ref="B22" r:id="rId18" xr:uid="{00000000-0004-0000-4100-000011000000}"/>
    <hyperlink ref="B23" r:id="rId19" xr:uid="{00000000-0004-0000-4100-000012000000}"/>
    <hyperlink ref="B24" r:id="rId20" xr:uid="{00000000-0004-0000-4100-000013000000}"/>
    <hyperlink ref="B25" r:id="rId21" xr:uid="{00000000-0004-0000-4100-000014000000}"/>
    <hyperlink ref="B26" r:id="rId22" xr:uid="{00000000-0004-0000-4100-000015000000}"/>
    <hyperlink ref="B27" r:id="rId23" xr:uid="{00000000-0004-0000-4100-000016000000}"/>
    <hyperlink ref="B28" r:id="rId24" xr:uid="{00000000-0004-0000-4100-000017000000}"/>
    <hyperlink ref="B29" r:id="rId25" xr:uid="{00000000-0004-0000-4100-000018000000}"/>
    <hyperlink ref="B30" r:id="rId26" xr:uid="{00000000-0004-0000-4100-000019000000}"/>
    <hyperlink ref="B31" r:id="rId27" xr:uid="{00000000-0004-0000-4100-00001A000000}"/>
    <hyperlink ref="B32" r:id="rId28" xr:uid="{00000000-0004-0000-4100-00001B000000}"/>
    <hyperlink ref="B33" r:id="rId29" xr:uid="{00000000-0004-0000-4100-00001C000000}"/>
    <hyperlink ref="B34" r:id="rId30" xr:uid="{00000000-0004-0000-4100-00001D000000}"/>
    <hyperlink ref="B35" r:id="rId31" xr:uid="{00000000-0004-0000-4100-00001E000000}"/>
    <hyperlink ref="B36" r:id="rId32" xr:uid="{00000000-0004-0000-4100-00001F000000}"/>
    <hyperlink ref="B37" r:id="rId33" xr:uid="{00000000-0004-0000-4100-000020000000}"/>
    <hyperlink ref="B38" r:id="rId34" xr:uid="{00000000-0004-0000-4100-000021000000}"/>
    <hyperlink ref="B39" r:id="rId35" xr:uid="{00000000-0004-0000-4100-000022000000}"/>
    <hyperlink ref="B40" r:id="rId36" xr:uid="{00000000-0004-0000-4100-000023000000}"/>
    <hyperlink ref="B41" r:id="rId37" xr:uid="{00000000-0004-0000-4100-000024000000}"/>
    <hyperlink ref="B42" r:id="rId38" xr:uid="{00000000-0004-0000-4100-000025000000}"/>
    <hyperlink ref="B43" r:id="rId39" xr:uid="{00000000-0004-0000-4100-000026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7">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33203125" customWidth="1"/>
    <col min="3" max="3" width="13.5" customWidth="1"/>
    <col min="4" max="4" width="14.83203125" customWidth="1"/>
    <col min="5" max="5" width="14.33203125" customWidth="1"/>
    <col min="7" max="7" width="14.1640625" customWidth="1"/>
  </cols>
  <sheetData>
    <row r="1" spans="1:12" ht="15.75" customHeight="1">
      <c r="A1" s="1" t="s">
        <v>84</v>
      </c>
      <c r="B1" s="36"/>
      <c r="C1" s="37"/>
      <c r="D1" s="51" t="s">
        <v>181</v>
      </c>
      <c r="E1" s="5"/>
      <c r="F1" s="5"/>
      <c r="G1" s="5"/>
    </row>
    <row r="2" spans="1:12" ht="15.75" customHeight="1">
      <c r="A2" s="7" t="s">
        <v>182</v>
      </c>
      <c r="B2" s="38">
        <v>41675</v>
      </c>
      <c r="C2" s="37"/>
      <c r="D2" s="75">
        <f>SUM(D5:G150)</f>
        <v>0</v>
      </c>
      <c r="E2" s="5"/>
      <c r="F2" s="5"/>
      <c r="G2" s="5"/>
    </row>
    <row r="3" spans="1:12" ht="15.75" customHeight="1">
      <c r="B3" s="41"/>
      <c r="C3" s="37"/>
      <c r="D3" s="5"/>
      <c r="E3" s="5"/>
      <c r="F3" s="5"/>
      <c r="G3" s="5"/>
    </row>
    <row r="4" spans="1:12" ht="15.75" customHeight="1">
      <c r="A4" s="42" t="s">
        <v>183</v>
      </c>
      <c r="B4" s="43" t="s">
        <v>184</v>
      </c>
      <c r="C4" s="43" t="s">
        <v>185</v>
      </c>
      <c r="D4" s="42" t="s">
        <v>186</v>
      </c>
      <c r="E4" s="44" t="s">
        <v>187</v>
      </c>
      <c r="F4" s="44" t="s">
        <v>188</v>
      </c>
      <c r="G4" s="44" t="s">
        <v>189</v>
      </c>
      <c r="H4" s="44" t="s">
        <v>190</v>
      </c>
      <c r="I4" s="44"/>
    </row>
    <row r="5" spans="1:12" ht="15.75" customHeight="1">
      <c r="A5" s="48" t="s">
        <v>3368</v>
      </c>
      <c r="B5" s="58" t="str">
        <f>HYPERLINK("https://bulbapedia.bulbagarden.net/wiki/Venusaur-EX_(XY_1)","VenusaurEX")</f>
        <v>VenusaurEX</v>
      </c>
      <c r="C5" s="48" t="s">
        <v>205</v>
      </c>
      <c r="D5" s="5"/>
      <c r="E5" s="5"/>
      <c r="F5" s="5"/>
      <c r="G5" s="5"/>
      <c r="L5" s="43"/>
    </row>
    <row r="6" spans="1:12" ht="15.75" customHeight="1">
      <c r="A6" s="48" t="s">
        <v>3370</v>
      </c>
      <c r="B6" s="58" t="str">
        <f>HYPERLINK("https://bulbapedia.bulbagarden.net/wiki/M_Venusaur-EX_(XY_2)","MVenusaurEX")</f>
        <v>MVenusaurEX</v>
      </c>
      <c r="C6" s="48" t="s">
        <v>205</v>
      </c>
      <c r="D6" s="73"/>
      <c r="E6" s="5"/>
      <c r="F6" s="5"/>
      <c r="G6" s="5"/>
    </row>
    <row r="7" spans="1:12" ht="15.75" customHeight="1">
      <c r="A7" s="48" t="s">
        <v>3371</v>
      </c>
      <c r="B7" s="49" t="s">
        <v>300</v>
      </c>
      <c r="C7" s="48" t="s">
        <v>205</v>
      </c>
      <c r="D7" s="73"/>
      <c r="E7" s="5"/>
      <c r="F7" s="5"/>
      <c r="G7" s="5"/>
    </row>
    <row r="8" spans="1:12" ht="15.75" customHeight="1">
      <c r="A8" s="48" t="s">
        <v>3373</v>
      </c>
      <c r="B8" s="49" t="s">
        <v>266</v>
      </c>
      <c r="C8" s="48" t="s">
        <v>205</v>
      </c>
      <c r="D8" s="73"/>
      <c r="E8" s="5"/>
      <c r="F8" s="5"/>
      <c r="G8" s="5"/>
    </row>
    <row r="9" spans="1:12" ht="15.75" customHeight="1">
      <c r="A9" s="48" t="s">
        <v>3375</v>
      </c>
      <c r="B9" s="49" t="s">
        <v>253</v>
      </c>
      <c r="C9" s="48" t="s">
        <v>205</v>
      </c>
      <c r="D9" s="73"/>
      <c r="E9" s="5"/>
      <c r="F9" s="5"/>
      <c r="G9" s="5"/>
    </row>
    <row r="10" spans="1:12" ht="15.75" customHeight="1">
      <c r="A10" s="48" t="s">
        <v>3376</v>
      </c>
      <c r="B10" s="49" t="s">
        <v>874</v>
      </c>
      <c r="C10" s="48" t="s">
        <v>205</v>
      </c>
      <c r="D10" s="73"/>
      <c r="E10" s="5"/>
      <c r="F10" s="5"/>
      <c r="G10" s="5"/>
    </row>
    <row r="11" spans="1:12" ht="15.75" customHeight="1">
      <c r="A11" s="48" t="s">
        <v>3378</v>
      </c>
      <c r="B11" s="49" t="s">
        <v>833</v>
      </c>
      <c r="C11" s="48" t="s">
        <v>205</v>
      </c>
      <c r="D11" s="73"/>
      <c r="E11" s="5"/>
      <c r="F11" s="5"/>
      <c r="G11" s="5"/>
    </row>
    <row r="12" spans="1:12" ht="15.75" customHeight="1">
      <c r="A12" s="48" t="s">
        <v>3379</v>
      </c>
      <c r="B12" s="49" t="s">
        <v>1426</v>
      </c>
      <c r="C12" s="48" t="s">
        <v>205</v>
      </c>
      <c r="D12" s="48"/>
      <c r="E12" s="5"/>
      <c r="F12" s="5"/>
      <c r="G12" s="5"/>
    </row>
    <row r="13" spans="1:12" ht="15.75" customHeight="1">
      <c r="A13" s="48" t="s">
        <v>3380</v>
      </c>
      <c r="B13" s="49" t="s">
        <v>1407</v>
      </c>
      <c r="C13" s="48" t="s">
        <v>205</v>
      </c>
      <c r="D13" s="73"/>
      <c r="E13" s="5"/>
      <c r="F13" s="5"/>
      <c r="G13" s="5"/>
    </row>
    <row r="14" spans="1:12" ht="15.75" customHeight="1">
      <c r="A14" s="48" t="s">
        <v>3382</v>
      </c>
      <c r="B14" s="49" t="s">
        <v>4120</v>
      </c>
      <c r="C14" s="48" t="s">
        <v>205</v>
      </c>
      <c r="D14" s="73"/>
      <c r="E14" s="5"/>
      <c r="F14" s="5"/>
      <c r="G14" s="5"/>
    </row>
    <row r="15" spans="1:12" ht="15.75" customHeight="1">
      <c r="A15" s="48" t="s">
        <v>3383</v>
      </c>
      <c r="B15" s="49" t="s">
        <v>4121</v>
      </c>
      <c r="C15" s="48" t="s">
        <v>205</v>
      </c>
      <c r="D15" s="73"/>
      <c r="E15" s="5"/>
      <c r="F15" s="5"/>
      <c r="G15" s="5"/>
    </row>
    <row r="16" spans="1:12" ht="15.75" customHeight="1">
      <c r="A16" s="48" t="s">
        <v>3384</v>
      </c>
      <c r="B16" s="49" t="s">
        <v>4736</v>
      </c>
      <c r="C16" s="48" t="s">
        <v>205</v>
      </c>
      <c r="D16" s="73"/>
      <c r="E16" s="5"/>
      <c r="F16" s="5"/>
      <c r="G16" s="5"/>
    </row>
    <row r="17" spans="1:7" ht="15.75" customHeight="1">
      <c r="A17" s="48" t="s">
        <v>3385</v>
      </c>
      <c r="B17" s="49" t="s">
        <v>4992</v>
      </c>
      <c r="C17" s="48" t="s">
        <v>205</v>
      </c>
      <c r="D17" s="73"/>
      <c r="E17" s="5"/>
      <c r="F17" s="5"/>
      <c r="G17" s="5"/>
    </row>
    <row r="18" spans="1:7" ht="15.75" customHeight="1">
      <c r="A18" s="48" t="s">
        <v>3387</v>
      </c>
      <c r="B18" s="49" t="s">
        <v>4994</v>
      </c>
      <c r="C18" s="48" t="s">
        <v>205</v>
      </c>
      <c r="D18" s="73"/>
      <c r="E18" s="5"/>
      <c r="F18" s="5"/>
      <c r="G18" s="5"/>
    </row>
    <row r="19" spans="1:7" ht="15.75" customHeight="1">
      <c r="A19" s="48" t="s">
        <v>3388</v>
      </c>
      <c r="B19" s="49" t="s">
        <v>5038</v>
      </c>
      <c r="C19" s="48" t="s">
        <v>205</v>
      </c>
      <c r="D19" s="73"/>
      <c r="E19" s="5"/>
      <c r="F19" s="5"/>
      <c r="G19" s="5"/>
    </row>
    <row r="20" spans="1:7" ht="15.75" customHeight="1">
      <c r="A20" s="48" t="s">
        <v>3389</v>
      </c>
      <c r="B20" s="49" t="s">
        <v>5039</v>
      </c>
      <c r="C20" s="48" t="s">
        <v>205</v>
      </c>
      <c r="D20" s="73"/>
      <c r="E20" s="5"/>
      <c r="F20" s="5"/>
      <c r="G20" s="5"/>
    </row>
    <row r="21" spans="1:7" ht="15.75" customHeight="1">
      <c r="A21" s="48" t="s">
        <v>3391</v>
      </c>
      <c r="B21" s="58" t="str">
        <f>HYPERLINK("https://bulbapedia.bulbagarden.net/wiki/Vivillon_(XY_17)","Vivillon")</f>
        <v>Vivillon</v>
      </c>
      <c r="C21" s="48" t="s">
        <v>205</v>
      </c>
      <c r="D21" s="73"/>
      <c r="E21" s="5"/>
      <c r="F21" s="5"/>
      <c r="G21" s="5"/>
    </row>
    <row r="22" spans="1:7" ht="15.75" customHeight="1">
      <c r="A22" s="48" t="s">
        <v>3393</v>
      </c>
      <c r="B22" s="49" t="s">
        <v>4753</v>
      </c>
      <c r="C22" s="48" t="s">
        <v>205</v>
      </c>
      <c r="D22" s="73"/>
      <c r="E22" s="5"/>
      <c r="F22" s="5"/>
      <c r="G22" s="5"/>
    </row>
    <row r="23" spans="1:7" ht="15.75" customHeight="1">
      <c r="A23" s="48" t="s">
        <v>3394</v>
      </c>
      <c r="B23" s="49" t="s">
        <v>4762</v>
      </c>
      <c r="C23" s="48" t="s">
        <v>205</v>
      </c>
      <c r="D23" s="73"/>
      <c r="E23" s="5"/>
      <c r="F23" s="5"/>
      <c r="G23" s="5"/>
    </row>
    <row r="24" spans="1:7" ht="15.75" customHeight="1">
      <c r="A24" s="48" t="s">
        <v>3395</v>
      </c>
      <c r="B24" s="49" t="s">
        <v>980</v>
      </c>
      <c r="C24" s="48" t="s">
        <v>199</v>
      </c>
      <c r="D24" s="73"/>
      <c r="E24" s="5"/>
      <c r="F24" s="5"/>
      <c r="G24" s="5"/>
    </row>
    <row r="25" spans="1:7" ht="15.75" customHeight="1">
      <c r="A25" s="48" t="s">
        <v>3396</v>
      </c>
      <c r="B25" s="49" t="s">
        <v>974</v>
      </c>
      <c r="C25" s="48" t="s">
        <v>199</v>
      </c>
      <c r="D25" s="73"/>
      <c r="E25" s="5"/>
      <c r="F25" s="5"/>
      <c r="G25" s="5"/>
    </row>
    <row r="26" spans="1:7" ht="15.75" customHeight="1">
      <c r="A26" s="48" t="s">
        <v>3397</v>
      </c>
      <c r="B26" s="49" t="s">
        <v>4054</v>
      </c>
      <c r="C26" s="48" t="s">
        <v>199</v>
      </c>
      <c r="D26" s="73"/>
      <c r="E26" s="5"/>
      <c r="F26" s="5"/>
      <c r="G26" s="5"/>
    </row>
    <row r="27" spans="1:7" ht="15.75" customHeight="1">
      <c r="A27" s="48" t="s">
        <v>3398</v>
      </c>
      <c r="B27" s="49" t="s">
        <v>4055</v>
      </c>
      <c r="C27" s="48" t="s">
        <v>199</v>
      </c>
      <c r="D27" s="73"/>
      <c r="E27" s="5"/>
      <c r="F27" s="5"/>
      <c r="G27" s="5"/>
    </row>
    <row r="28" spans="1:7" ht="15.75" customHeight="1">
      <c r="A28" s="48" t="s">
        <v>3399</v>
      </c>
      <c r="B28" s="49" t="s">
        <v>4738</v>
      </c>
      <c r="C28" s="48" t="s">
        <v>199</v>
      </c>
      <c r="D28" s="73"/>
      <c r="E28" s="5"/>
      <c r="F28" s="5"/>
      <c r="G28" s="5"/>
    </row>
    <row r="29" spans="1:7" ht="15.75" customHeight="1">
      <c r="A29" s="48" t="s">
        <v>3401</v>
      </c>
      <c r="B29" s="49" t="s">
        <v>4924</v>
      </c>
      <c r="C29" s="48" t="s">
        <v>199</v>
      </c>
      <c r="D29" s="73"/>
      <c r="E29" s="5"/>
      <c r="F29" s="5"/>
      <c r="G29" s="5"/>
    </row>
    <row r="30" spans="1:7" ht="15.75" customHeight="1">
      <c r="A30" s="48" t="s">
        <v>3403</v>
      </c>
      <c r="B30" s="49" t="s">
        <v>5000</v>
      </c>
      <c r="C30" s="48" t="s">
        <v>199</v>
      </c>
      <c r="D30" s="73"/>
      <c r="E30" s="5"/>
      <c r="F30" s="5"/>
      <c r="G30" s="5"/>
    </row>
    <row r="31" spans="1:7" ht="15.75" customHeight="1">
      <c r="A31" s="48" t="s">
        <v>3405</v>
      </c>
      <c r="B31" s="49" t="s">
        <v>5040</v>
      </c>
      <c r="C31" s="48" t="s">
        <v>199</v>
      </c>
      <c r="D31" s="73"/>
      <c r="E31" s="5"/>
      <c r="F31" s="5"/>
      <c r="G31" s="5"/>
    </row>
    <row r="32" spans="1:7" ht="15.75" customHeight="1">
      <c r="A32" s="48" t="s">
        <v>3406</v>
      </c>
      <c r="B32" s="49" t="s">
        <v>5041</v>
      </c>
      <c r="C32" s="48" t="s">
        <v>199</v>
      </c>
      <c r="D32" s="73"/>
      <c r="E32" s="5"/>
      <c r="F32" s="51"/>
      <c r="G32" s="5"/>
    </row>
    <row r="33" spans="1:7" ht="15.75" customHeight="1">
      <c r="A33" s="48" t="s">
        <v>3407</v>
      </c>
      <c r="B33" s="58" t="str">
        <f>HYPERLINK("https://bulbapedia.bulbagarden.net/wiki/Blastoise-EX_(XY_29)","BlastoiseEX")</f>
        <v>BlastoiseEX</v>
      </c>
      <c r="C33" s="48" t="s">
        <v>208</v>
      </c>
      <c r="D33" s="73"/>
      <c r="E33" s="5"/>
      <c r="F33" s="5"/>
      <c r="G33" s="5"/>
    </row>
    <row r="34" spans="1:7" ht="15.75" customHeight="1">
      <c r="A34" s="48" t="s">
        <v>3408</v>
      </c>
      <c r="B34" s="58" t="str">
        <f>HYPERLINK("https://bulbapedia.bulbagarden.net/wiki/M_Blastoise-EX_(XY_30)","MBlastoiseEX")</f>
        <v>MBlastoiseEX</v>
      </c>
      <c r="C34" s="48" t="s">
        <v>208</v>
      </c>
      <c r="D34" s="73"/>
      <c r="E34" s="5"/>
      <c r="F34" s="5"/>
      <c r="G34" s="5"/>
    </row>
    <row r="35" spans="1:7" ht="15.75" customHeight="1">
      <c r="A35" s="48" t="s">
        <v>3409</v>
      </c>
      <c r="B35" s="49" t="s">
        <v>386</v>
      </c>
      <c r="C35" s="48" t="s">
        <v>208</v>
      </c>
      <c r="D35" s="73"/>
      <c r="E35" s="5"/>
      <c r="F35" s="5"/>
      <c r="G35" s="5"/>
    </row>
    <row r="36" spans="1:7" ht="15.75" customHeight="1">
      <c r="A36" s="48" t="s">
        <v>3410</v>
      </c>
      <c r="B36" s="49" t="s">
        <v>367</v>
      </c>
      <c r="C36" s="48" t="s">
        <v>208</v>
      </c>
      <c r="D36" s="73"/>
      <c r="E36" s="5"/>
      <c r="F36" s="5"/>
      <c r="G36" s="5"/>
    </row>
    <row r="37" spans="1:7" ht="15.75" customHeight="1">
      <c r="A37" s="48" t="s">
        <v>3411</v>
      </c>
      <c r="B37" s="49" t="s">
        <v>296</v>
      </c>
      <c r="C37" s="48" t="s">
        <v>208</v>
      </c>
      <c r="D37" s="73"/>
      <c r="E37" s="5"/>
      <c r="F37" s="5"/>
      <c r="G37" s="5"/>
    </row>
    <row r="38" spans="1:7" ht="15.75" customHeight="1">
      <c r="A38" s="48" t="s">
        <v>3412</v>
      </c>
      <c r="B38" s="49" t="s">
        <v>295</v>
      </c>
      <c r="C38" s="48" t="s">
        <v>208</v>
      </c>
      <c r="D38" s="73"/>
      <c r="E38" s="5"/>
      <c r="F38" s="5"/>
      <c r="G38" s="5"/>
    </row>
    <row r="39" spans="1:7" ht="15.75" customHeight="1">
      <c r="A39" s="48" t="s">
        <v>3413</v>
      </c>
      <c r="B39" s="49" t="s">
        <v>364</v>
      </c>
      <c r="C39" s="48" t="s">
        <v>208</v>
      </c>
      <c r="D39" s="73"/>
      <c r="E39" s="5"/>
      <c r="F39" s="5"/>
      <c r="G39" s="5"/>
    </row>
    <row r="40" spans="1:7" ht="15.75" customHeight="1">
      <c r="A40" s="48" t="s">
        <v>3414</v>
      </c>
      <c r="B40" s="49" t="s">
        <v>947</v>
      </c>
      <c r="C40" s="48" t="s">
        <v>208</v>
      </c>
      <c r="D40" s="73"/>
      <c r="E40" s="5"/>
      <c r="F40" s="5"/>
      <c r="G40" s="5"/>
    </row>
    <row r="41" spans="1:7" ht="15.75" customHeight="1">
      <c r="A41" s="48" t="s">
        <v>3415</v>
      </c>
      <c r="B41" s="49" t="s">
        <v>4124</v>
      </c>
      <c r="C41" s="48" t="s">
        <v>208</v>
      </c>
      <c r="D41" s="73"/>
      <c r="E41" s="5"/>
      <c r="F41" s="5"/>
      <c r="G41" s="5"/>
    </row>
    <row r="42" spans="1:7" ht="15.75" customHeight="1">
      <c r="A42" s="48" t="s">
        <v>3416</v>
      </c>
      <c r="B42" s="49" t="s">
        <v>4125</v>
      </c>
      <c r="C42" s="48" t="s">
        <v>208</v>
      </c>
      <c r="D42" s="73"/>
      <c r="E42" s="5"/>
      <c r="F42" s="5"/>
      <c r="G42" s="5"/>
    </row>
    <row r="43" spans="1:7" ht="15.75" customHeight="1">
      <c r="A43" s="48" t="s">
        <v>3417</v>
      </c>
      <c r="B43" s="49" t="s">
        <v>4740</v>
      </c>
      <c r="C43" s="48" t="s">
        <v>208</v>
      </c>
      <c r="D43" s="73"/>
      <c r="E43" s="5"/>
      <c r="F43" s="5"/>
      <c r="G43" s="5"/>
    </row>
    <row r="44" spans="1:7" ht="15.75" customHeight="1">
      <c r="A44" s="48" t="s">
        <v>3418</v>
      </c>
      <c r="B44" s="49" t="s">
        <v>5004</v>
      </c>
      <c r="C44" s="48" t="s">
        <v>208</v>
      </c>
      <c r="D44" s="73"/>
      <c r="E44" s="5"/>
      <c r="F44" s="5"/>
      <c r="G44" s="5"/>
    </row>
    <row r="45" spans="1:7" ht="15.75" customHeight="1">
      <c r="A45" s="48" t="s">
        <v>3419</v>
      </c>
      <c r="B45" s="49" t="s">
        <v>4771</v>
      </c>
      <c r="C45" s="48" t="s">
        <v>208</v>
      </c>
      <c r="D45" s="73"/>
      <c r="E45" s="5"/>
      <c r="F45" s="5"/>
      <c r="G45" s="5"/>
    </row>
    <row r="46" spans="1:7" ht="15.75" customHeight="1">
      <c r="A46" s="48" t="s">
        <v>3420</v>
      </c>
      <c r="B46" s="49" t="s">
        <v>191</v>
      </c>
      <c r="C46" s="48" t="s">
        <v>192</v>
      </c>
      <c r="D46" s="73"/>
      <c r="E46" s="5"/>
      <c r="F46" s="5"/>
      <c r="G46" s="5"/>
    </row>
    <row r="47" spans="1:7" ht="15.75" customHeight="1">
      <c r="A47" s="48" t="s">
        <v>3422</v>
      </c>
      <c r="B47" s="49" t="s">
        <v>251</v>
      </c>
      <c r="C47" s="48" t="s">
        <v>192</v>
      </c>
      <c r="D47" s="73"/>
      <c r="E47" s="5"/>
      <c r="F47" s="5"/>
      <c r="G47" s="5"/>
    </row>
    <row r="48" spans="1:7" ht="15.75" customHeight="1">
      <c r="A48" s="48" t="s">
        <v>3423</v>
      </c>
      <c r="B48" s="49" t="s">
        <v>298</v>
      </c>
      <c r="C48" s="48" t="s">
        <v>192</v>
      </c>
      <c r="D48" s="73"/>
      <c r="E48" s="51"/>
      <c r="F48" s="5"/>
      <c r="G48" s="5"/>
    </row>
    <row r="49" spans="1:7" ht="15.75" customHeight="1">
      <c r="A49" s="48" t="s">
        <v>3424</v>
      </c>
      <c r="B49" s="49" t="s">
        <v>256</v>
      </c>
      <c r="C49" s="48" t="s">
        <v>192</v>
      </c>
      <c r="D49" s="73"/>
      <c r="E49" s="5"/>
      <c r="F49" s="5"/>
      <c r="G49" s="5"/>
    </row>
    <row r="50" spans="1:7" ht="15.75" customHeight="1">
      <c r="A50" s="48" t="s">
        <v>3425</v>
      </c>
      <c r="B50" s="58" t="str">
        <f>HYPERLINK("https://bulbapedia.bulbagarden.net/wiki/Emolga-EX_(XY_46)","EmolgaEX")</f>
        <v>EmolgaEX</v>
      </c>
      <c r="C50" s="48" t="s">
        <v>192</v>
      </c>
      <c r="D50" s="73"/>
      <c r="E50" s="5"/>
      <c r="F50" s="5"/>
      <c r="G50" s="5"/>
    </row>
    <row r="51" spans="1:7" ht="15.75" customHeight="1">
      <c r="A51" s="48" t="s">
        <v>3426</v>
      </c>
      <c r="B51" s="49" t="s">
        <v>379</v>
      </c>
      <c r="C51" s="48" t="s">
        <v>195</v>
      </c>
      <c r="D51" s="48"/>
      <c r="E51" s="5"/>
      <c r="F51" s="5"/>
      <c r="G51" s="5"/>
    </row>
    <row r="52" spans="1:7" ht="15.75" customHeight="1">
      <c r="A52" s="48" t="s">
        <v>3427</v>
      </c>
      <c r="B52" s="49" t="s">
        <v>366</v>
      </c>
      <c r="C52" s="48" t="s">
        <v>195</v>
      </c>
      <c r="D52" s="73"/>
      <c r="E52" s="51"/>
      <c r="F52" s="5"/>
      <c r="G52" s="5"/>
    </row>
    <row r="53" spans="1:7" ht="13">
      <c r="A53" s="48" t="s">
        <v>3428</v>
      </c>
      <c r="B53" s="49" t="s">
        <v>1584</v>
      </c>
      <c r="C53" s="48" t="s">
        <v>195</v>
      </c>
      <c r="D53" s="73"/>
      <c r="E53" s="5"/>
      <c r="F53" s="5"/>
      <c r="G53" s="5"/>
    </row>
    <row r="54" spans="1:7" ht="13">
      <c r="A54" s="48" t="s">
        <v>3430</v>
      </c>
      <c r="B54" s="49" t="s">
        <v>1499</v>
      </c>
      <c r="C54" s="48" t="s">
        <v>195</v>
      </c>
      <c r="D54" s="73"/>
      <c r="E54" s="5"/>
      <c r="F54" s="5"/>
      <c r="G54" s="5"/>
    </row>
    <row r="55" spans="1:7" ht="13">
      <c r="A55" s="48" t="s">
        <v>3432</v>
      </c>
      <c r="B55" s="49" t="s">
        <v>4421</v>
      </c>
      <c r="C55" s="48" t="s">
        <v>195</v>
      </c>
      <c r="D55" s="73"/>
      <c r="E55" s="5"/>
      <c r="F55" s="5"/>
      <c r="G55" s="5"/>
    </row>
    <row r="56" spans="1:7" ht="13">
      <c r="A56" s="48" t="s">
        <v>3434</v>
      </c>
      <c r="B56" s="49" t="s">
        <v>4423</v>
      </c>
      <c r="C56" s="48" t="s">
        <v>195</v>
      </c>
      <c r="D56" s="73"/>
      <c r="E56" s="5"/>
      <c r="F56" s="5"/>
      <c r="G56" s="5"/>
    </row>
    <row r="57" spans="1:7" ht="13">
      <c r="A57" s="48" t="s">
        <v>3435</v>
      </c>
      <c r="B57" s="49" t="s">
        <v>4425</v>
      </c>
      <c r="C57" s="48" t="s">
        <v>195</v>
      </c>
      <c r="D57" s="73"/>
      <c r="E57" s="5"/>
      <c r="F57" s="5"/>
      <c r="G57" s="5"/>
    </row>
    <row r="58" spans="1:7" ht="13">
      <c r="A58" s="48" t="s">
        <v>3436</v>
      </c>
      <c r="B58" s="49" t="s">
        <v>5042</v>
      </c>
      <c r="C58" s="48" t="s">
        <v>195</v>
      </c>
      <c r="D58" s="73"/>
      <c r="E58" s="5"/>
      <c r="F58" s="5"/>
      <c r="G58" s="5"/>
    </row>
    <row r="59" spans="1:7" ht="13">
      <c r="A59" s="48" t="s">
        <v>3437</v>
      </c>
      <c r="B59" s="49" t="s">
        <v>4758</v>
      </c>
      <c r="C59" s="48" t="s">
        <v>195</v>
      </c>
      <c r="D59" s="73"/>
      <c r="E59" s="5"/>
      <c r="F59" s="5"/>
      <c r="G59" s="5"/>
    </row>
    <row r="60" spans="1:7" ht="13">
      <c r="A60" s="48" t="s">
        <v>3438</v>
      </c>
      <c r="B60" s="49" t="s">
        <v>5043</v>
      </c>
      <c r="C60" s="48" t="s">
        <v>195</v>
      </c>
      <c r="D60" s="73"/>
      <c r="E60" s="5"/>
      <c r="F60" s="5"/>
      <c r="G60" s="5"/>
    </row>
    <row r="61" spans="1:7" ht="13">
      <c r="A61" s="48" t="s">
        <v>3439</v>
      </c>
      <c r="B61" s="49" t="s">
        <v>5044</v>
      </c>
      <c r="C61" s="48" t="s">
        <v>195</v>
      </c>
      <c r="D61" s="73"/>
      <c r="E61" s="5"/>
      <c r="F61" s="5"/>
      <c r="G61" s="5"/>
    </row>
    <row r="62" spans="1:7" ht="13">
      <c r="A62" s="48" t="s">
        <v>3440</v>
      </c>
      <c r="B62" s="49" t="s">
        <v>279</v>
      </c>
      <c r="C62" s="48" t="s">
        <v>225</v>
      </c>
      <c r="D62" s="73"/>
      <c r="E62" s="5"/>
      <c r="F62" s="5"/>
      <c r="G62" s="5"/>
    </row>
    <row r="63" spans="1:7" ht="13">
      <c r="A63" s="48" t="s">
        <v>3441</v>
      </c>
      <c r="B63" s="49" t="s">
        <v>255</v>
      </c>
      <c r="C63" s="48" t="s">
        <v>225</v>
      </c>
      <c r="D63" s="73"/>
      <c r="E63" s="5"/>
      <c r="F63" s="5"/>
      <c r="G63" s="5"/>
    </row>
    <row r="64" spans="1:7" ht="13">
      <c r="A64" s="48" t="s">
        <v>3442</v>
      </c>
      <c r="B64" s="49" t="s">
        <v>354</v>
      </c>
      <c r="C64" s="48" t="s">
        <v>225</v>
      </c>
      <c r="D64" s="48"/>
      <c r="E64" s="5"/>
      <c r="F64" s="5"/>
      <c r="G64" s="5"/>
    </row>
    <row r="65" spans="1:7" ht="13">
      <c r="A65" s="48" t="s">
        <v>3443</v>
      </c>
      <c r="B65" s="49" t="s">
        <v>342</v>
      </c>
      <c r="C65" s="48" t="s">
        <v>225</v>
      </c>
      <c r="D65" s="47"/>
      <c r="E65" s="5"/>
      <c r="F65" s="5"/>
      <c r="G65" s="5"/>
    </row>
    <row r="66" spans="1:7" ht="13">
      <c r="A66" s="48" t="s">
        <v>3444</v>
      </c>
      <c r="B66" s="49" t="s">
        <v>3117</v>
      </c>
      <c r="C66" s="48" t="s">
        <v>225</v>
      </c>
      <c r="D66" s="73"/>
      <c r="E66" s="5"/>
      <c r="F66" s="5"/>
      <c r="G66" s="5"/>
    </row>
    <row r="67" spans="1:7" ht="13">
      <c r="A67" s="48" t="s">
        <v>3445</v>
      </c>
      <c r="B67" s="49" t="s">
        <v>1366</v>
      </c>
      <c r="C67" s="48" t="s">
        <v>225</v>
      </c>
      <c r="D67" s="73"/>
      <c r="E67" s="5"/>
      <c r="F67" s="5"/>
      <c r="G67" s="5"/>
    </row>
    <row r="68" spans="1:7" ht="13">
      <c r="A68" s="48" t="s">
        <v>3446</v>
      </c>
      <c r="B68" s="49" t="s">
        <v>1376</v>
      </c>
      <c r="C68" s="48" t="s">
        <v>225</v>
      </c>
      <c r="D68" s="73"/>
      <c r="E68" s="5"/>
      <c r="F68" s="5"/>
      <c r="G68" s="5"/>
    </row>
    <row r="69" spans="1:7" ht="13">
      <c r="A69" s="48" t="s">
        <v>3447</v>
      </c>
      <c r="B69" s="49" t="s">
        <v>4090</v>
      </c>
      <c r="C69" s="48" t="s">
        <v>225</v>
      </c>
      <c r="D69" s="48"/>
      <c r="E69" s="5"/>
      <c r="F69" s="5"/>
      <c r="G69" s="5"/>
    </row>
    <row r="70" spans="1:7" ht="13">
      <c r="A70" s="48" t="s">
        <v>3448</v>
      </c>
      <c r="B70" s="49" t="s">
        <v>4091</v>
      </c>
      <c r="C70" s="48" t="s">
        <v>225</v>
      </c>
      <c r="D70" s="73"/>
      <c r="E70" s="5"/>
      <c r="F70" s="5"/>
      <c r="G70" s="5"/>
    </row>
    <row r="71" spans="1:7" ht="13">
      <c r="A71" s="48" t="s">
        <v>3449</v>
      </c>
      <c r="B71" s="49" t="s">
        <v>4092</v>
      </c>
      <c r="C71" s="48" t="s">
        <v>225</v>
      </c>
      <c r="D71" s="73"/>
      <c r="E71" s="5"/>
      <c r="F71" s="5"/>
      <c r="G71" s="5"/>
    </row>
    <row r="72" spans="1:7" ht="13">
      <c r="A72" s="48" t="s">
        <v>3450</v>
      </c>
      <c r="B72" s="49" t="s">
        <v>1370</v>
      </c>
      <c r="C72" s="48" t="s">
        <v>808</v>
      </c>
      <c r="D72" s="73"/>
      <c r="E72" s="5"/>
      <c r="F72" s="5"/>
      <c r="G72" s="5"/>
    </row>
    <row r="73" spans="1:7" ht="13">
      <c r="A73" s="48" t="s">
        <v>3451</v>
      </c>
      <c r="B73" s="49" t="s">
        <v>4035</v>
      </c>
      <c r="C73" s="48" t="s">
        <v>808</v>
      </c>
      <c r="D73" s="73"/>
      <c r="E73" s="5"/>
      <c r="F73" s="5"/>
      <c r="G73" s="5"/>
    </row>
    <row r="74" spans="1:7" ht="13">
      <c r="A74" s="48" t="s">
        <v>3452</v>
      </c>
      <c r="B74" s="49" t="s">
        <v>4156</v>
      </c>
      <c r="C74" s="48" t="s">
        <v>808</v>
      </c>
      <c r="D74" s="73"/>
      <c r="E74" s="5"/>
      <c r="F74" s="5"/>
      <c r="G74" s="5"/>
    </row>
    <row r="75" spans="1:7" ht="13">
      <c r="A75" s="48" t="s">
        <v>3453</v>
      </c>
      <c r="B75" s="49" t="s">
        <v>4157</v>
      </c>
      <c r="C75" s="48" t="s">
        <v>808</v>
      </c>
      <c r="D75" s="73"/>
      <c r="E75" s="5"/>
      <c r="F75" s="5"/>
      <c r="G75" s="5"/>
    </row>
    <row r="76" spans="1:7" ht="13">
      <c r="A76" s="48" t="s">
        <v>3454</v>
      </c>
      <c r="B76" s="49" t="s">
        <v>4036</v>
      </c>
      <c r="C76" s="48" t="s">
        <v>808</v>
      </c>
      <c r="D76" s="73"/>
      <c r="E76" s="5"/>
      <c r="F76" s="5"/>
      <c r="G76" s="5"/>
    </row>
    <row r="77" spans="1:7" ht="13">
      <c r="A77" s="48" t="s">
        <v>3455</v>
      </c>
      <c r="B77" s="49" t="s">
        <v>4147</v>
      </c>
      <c r="C77" s="48" t="s">
        <v>808</v>
      </c>
      <c r="D77" s="73"/>
      <c r="E77" s="5"/>
      <c r="F77" s="5"/>
      <c r="G77" s="5"/>
    </row>
    <row r="78" spans="1:7" ht="13">
      <c r="A78" s="48" t="s">
        <v>3456</v>
      </c>
      <c r="B78" s="49" t="s">
        <v>5011</v>
      </c>
      <c r="C78" s="48" t="s">
        <v>808</v>
      </c>
      <c r="D78" s="73"/>
      <c r="E78" s="5"/>
      <c r="F78" s="5"/>
      <c r="G78" s="5"/>
    </row>
    <row r="79" spans="1:7" ht="13">
      <c r="A79" s="48" t="s">
        <v>3457</v>
      </c>
      <c r="B79" s="49" t="s">
        <v>5011</v>
      </c>
      <c r="C79" s="48" t="s">
        <v>808</v>
      </c>
      <c r="D79" s="73"/>
      <c r="E79" s="5"/>
      <c r="F79" s="5"/>
      <c r="G79" s="5"/>
    </row>
    <row r="80" spans="1:7" ht="13">
      <c r="A80" s="48" t="s">
        <v>3458</v>
      </c>
      <c r="B80" s="49" t="s">
        <v>4811</v>
      </c>
      <c r="C80" s="48" t="s">
        <v>808</v>
      </c>
      <c r="D80" s="73"/>
      <c r="E80" s="5"/>
      <c r="F80" s="5"/>
      <c r="G80" s="5"/>
    </row>
    <row r="81" spans="1:7" ht="13">
      <c r="A81" s="48" t="s">
        <v>3459</v>
      </c>
      <c r="B81" s="49" t="s">
        <v>4811</v>
      </c>
      <c r="C81" s="48" t="s">
        <v>808</v>
      </c>
      <c r="D81" s="73"/>
      <c r="E81" s="51"/>
      <c r="F81" s="5"/>
      <c r="G81" s="5"/>
    </row>
    <row r="82" spans="1:7" ht="13">
      <c r="A82" s="48" t="s">
        <v>3461</v>
      </c>
      <c r="B82" s="49" t="s">
        <v>4747</v>
      </c>
      <c r="C82" s="48" t="s">
        <v>808</v>
      </c>
      <c r="D82" s="73"/>
      <c r="E82" s="5"/>
      <c r="F82" s="5"/>
      <c r="G82" s="5"/>
    </row>
    <row r="83" spans="1:7" ht="13">
      <c r="A83" s="48" t="s">
        <v>3462</v>
      </c>
      <c r="B83" s="58" t="str">
        <f>HYPERLINK("https://bulbapedia.bulbagarden.net/wiki/Yveltal-EX_(XY_79)","YveltalEX")</f>
        <v>YveltalEX</v>
      </c>
      <c r="C83" s="48" t="s">
        <v>808</v>
      </c>
      <c r="D83" s="73"/>
      <c r="E83" s="5"/>
      <c r="F83" s="5"/>
      <c r="G83" s="5"/>
    </row>
    <row r="84" spans="1:7" ht="13">
      <c r="A84" s="48" t="s">
        <v>3463</v>
      </c>
      <c r="B84" s="58" t="str">
        <f>HYPERLINK("https://bulbapedia.bulbagarden.net/wiki/Skarmory-EX_(XY_80)","SkarmoryEX")</f>
        <v>SkarmoryEX</v>
      </c>
      <c r="C84" s="48" t="s">
        <v>220</v>
      </c>
      <c r="D84" s="73"/>
      <c r="E84" s="5"/>
      <c r="F84" s="5"/>
      <c r="G84" s="5"/>
    </row>
    <row r="85" spans="1:7" ht="13">
      <c r="A85" s="48" t="s">
        <v>3464</v>
      </c>
      <c r="B85" s="49" t="s">
        <v>4101</v>
      </c>
      <c r="C85" s="48" t="s">
        <v>220</v>
      </c>
      <c r="D85" s="73"/>
      <c r="E85" s="5"/>
      <c r="F85" s="5"/>
      <c r="G85" s="5"/>
    </row>
    <row r="86" spans="1:7" ht="13">
      <c r="A86" s="48" t="s">
        <v>3465</v>
      </c>
      <c r="B86" s="49" t="s">
        <v>4102</v>
      </c>
      <c r="C86" s="48" t="s">
        <v>220</v>
      </c>
      <c r="D86" s="73"/>
      <c r="E86" s="5"/>
      <c r="F86" s="5"/>
      <c r="G86" s="5"/>
    </row>
    <row r="87" spans="1:7" ht="13">
      <c r="A87" s="48" t="s">
        <v>3467</v>
      </c>
      <c r="B87" s="49" t="s">
        <v>4755</v>
      </c>
      <c r="C87" s="48" t="s">
        <v>220</v>
      </c>
      <c r="D87" s="73"/>
      <c r="E87" s="5"/>
      <c r="F87" s="5"/>
      <c r="G87" s="5"/>
    </row>
    <row r="88" spans="1:7" ht="13">
      <c r="A88" s="48" t="s">
        <v>3468</v>
      </c>
      <c r="B88" s="49" t="s">
        <v>5045</v>
      </c>
      <c r="C88" s="48" t="s">
        <v>220</v>
      </c>
      <c r="D88" s="73"/>
      <c r="E88" s="5"/>
      <c r="F88" s="5"/>
      <c r="G88" s="5"/>
    </row>
    <row r="89" spans="1:7" ht="13">
      <c r="A89" s="48" t="s">
        <v>3469</v>
      </c>
      <c r="B89" s="49" t="s">
        <v>5046</v>
      </c>
      <c r="C89" s="48" t="s">
        <v>220</v>
      </c>
      <c r="D89" s="73"/>
      <c r="E89" s="5"/>
      <c r="F89" s="5"/>
      <c r="G89" s="5"/>
    </row>
    <row r="90" spans="1:7" ht="13">
      <c r="A90" s="48" t="s">
        <v>3470</v>
      </c>
      <c r="B90" s="49" t="s">
        <v>5046</v>
      </c>
      <c r="C90" s="48" t="s">
        <v>220</v>
      </c>
      <c r="D90" s="73"/>
      <c r="E90" s="5"/>
      <c r="F90" s="5"/>
      <c r="G90" s="5"/>
    </row>
    <row r="91" spans="1:7" ht="13">
      <c r="A91" s="48" t="s">
        <v>3471</v>
      </c>
      <c r="B91" s="49" t="s">
        <v>200</v>
      </c>
      <c r="C91" s="48" t="s">
        <v>4743</v>
      </c>
      <c r="D91" s="73"/>
      <c r="E91" s="5"/>
      <c r="F91" s="5"/>
      <c r="G91" s="5"/>
    </row>
    <row r="92" spans="1:7" ht="13">
      <c r="A92" s="48" t="s">
        <v>3472</v>
      </c>
      <c r="B92" s="49" t="s">
        <v>200</v>
      </c>
      <c r="C92" s="48" t="s">
        <v>4743</v>
      </c>
      <c r="D92" s="73"/>
      <c r="E92" s="5"/>
      <c r="F92" s="5"/>
      <c r="G92" s="5"/>
    </row>
    <row r="93" spans="1:7" ht="13">
      <c r="A93" s="48" t="s">
        <v>3473</v>
      </c>
      <c r="B93" s="49" t="s">
        <v>330</v>
      </c>
      <c r="C93" s="48" t="s">
        <v>4743</v>
      </c>
      <c r="D93" s="73"/>
      <c r="E93" s="5"/>
      <c r="F93" s="5"/>
      <c r="G93" s="5"/>
    </row>
    <row r="94" spans="1:7" ht="13">
      <c r="A94" s="48" t="s">
        <v>3474</v>
      </c>
      <c r="B94" s="49" t="s">
        <v>330</v>
      </c>
      <c r="C94" s="48" t="s">
        <v>4743</v>
      </c>
      <c r="D94" s="48"/>
      <c r="E94" s="5"/>
      <c r="F94" s="5"/>
      <c r="G94" s="5"/>
    </row>
    <row r="95" spans="1:7" ht="13">
      <c r="A95" s="48" t="s">
        <v>3475</v>
      </c>
      <c r="B95" s="49" t="s">
        <v>322</v>
      </c>
      <c r="C95" s="48" t="s">
        <v>4743</v>
      </c>
      <c r="D95" s="73"/>
      <c r="E95" s="5"/>
      <c r="F95" s="5"/>
      <c r="G95" s="5"/>
    </row>
    <row r="96" spans="1:7" ht="13">
      <c r="A96" s="48" t="s">
        <v>3476</v>
      </c>
      <c r="B96" s="49" t="s">
        <v>5047</v>
      </c>
      <c r="C96" s="48" t="s">
        <v>4743</v>
      </c>
      <c r="D96" s="47"/>
      <c r="E96" s="5"/>
      <c r="F96" s="5"/>
      <c r="G96" s="5"/>
    </row>
    <row r="97" spans="1:7" ht="13">
      <c r="A97" s="48" t="s">
        <v>3477</v>
      </c>
      <c r="B97" s="49" t="s">
        <v>5048</v>
      </c>
      <c r="C97" s="48" t="s">
        <v>4743</v>
      </c>
      <c r="D97" s="73"/>
      <c r="E97" s="5"/>
      <c r="F97" s="5"/>
      <c r="G97" s="5"/>
    </row>
    <row r="98" spans="1:7" ht="13">
      <c r="A98" s="48" t="s">
        <v>3478</v>
      </c>
      <c r="B98" s="49" t="s">
        <v>5018</v>
      </c>
      <c r="C98" s="48" t="s">
        <v>4743</v>
      </c>
      <c r="D98" s="73"/>
      <c r="E98" s="5"/>
      <c r="F98" s="5"/>
      <c r="G98" s="5"/>
    </row>
    <row r="99" spans="1:7" ht="13">
      <c r="A99" s="48" t="s">
        <v>3479</v>
      </c>
      <c r="B99" s="49" t="s">
        <v>4760</v>
      </c>
      <c r="C99" s="48" t="s">
        <v>4743</v>
      </c>
      <c r="D99" s="73"/>
      <c r="E99" s="5"/>
      <c r="F99" s="5"/>
      <c r="G99" s="5"/>
    </row>
    <row r="100" spans="1:7" ht="13">
      <c r="A100" s="48" t="s">
        <v>3480</v>
      </c>
      <c r="B100" s="49" t="s">
        <v>4745</v>
      </c>
      <c r="C100" s="48" t="s">
        <v>4743</v>
      </c>
      <c r="D100" s="48"/>
      <c r="E100" s="5"/>
      <c r="F100" s="5"/>
      <c r="G100" s="5"/>
    </row>
    <row r="101" spans="1:7" ht="13">
      <c r="A101" s="48" t="s">
        <v>3481</v>
      </c>
      <c r="B101" s="58" t="str">
        <f>HYPERLINK("https://bulbapedia.bulbagarden.net/wiki/Xerneas-EX_(XY_97)","XerneasEX")</f>
        <v>XerneasEX</v>
      </c>
      <c r="C101" s="48" t="s">
        <v>4743</v>
      </c>
      <c r="D101" s="73"/>
      <c r="E101" s="5"/>
      <c r="F101" s="5"/>
      <c r="G101" s="5"/>
    </row>
    <row r="102" spans="1:7" ht="13">
      <c r="A102" s="48" t="s">
        <v>3482</v>
      </c>
      <c r="B102" s="49" t="s">
        <v>280</v>
      </c>
      <c r="C102" s="48" t="s">
        <v>197</v>
      </c>
      <c r="D102" s="73"/>
      <c r="E102" s="5"/>
      <c r="F102" s="5"/>
      <c r="G102" s="5"/>
    </row>
    <row r="103" spans="1:7" ht="13">
      <c r="A103" s="48" t="s">
        <v>3483</v>
      </c>
      <c r="B103" s="49" t="s">
        <v>332</v>
      </c>
      <c r="C103" s="48" t="s">
        <v>197</v>
      </c>
      <c r="D103" s="73"/>
      <c r="E103" s="5"/>
      <c r="F103" s="5"/>
      <c r="G103" s="5"/>
    </row>
    <row r="104" spans="1:7" ht="13">
      <c r="A104" s="48" t="s">
        <v>3484</v>
      </c>
      <c r="B104" s="49" t="s">
        <v>344</v>
      </c>
      <c r="C104" s="48" t="s">
        <v>197</v>
      </c>
      <c r="D104" s="73"/>
      <c r="E104" s="5"/>
      <c r="F104" s="5"/>
      <c r="G104" s="5"/>
    </row>
    <row r="105" spans="1:7" ht="13">
      <c r="A105" s="48" t="s">
        <v>3485</v>
      </c>
      <c r="B105" s="49" t="s">
        <v>954</v>
      </c>
      <c r="C105" s="48" t="s">
        <v>197</v>
      </c>
      <c r="D105" s="73"/>
      <c r="E105" s="5"/>
      <c r="F105" s="5"/>
      <c r="G105" s="5"/>
    </row>
    <row r="106" spans="1:7" ht="13">
      <c r="A106" s="48" t="s">
        <v>3486</v>
      </c>
      <c r="B106" s="49" t="s">
        <v>1315</v>
      </c>
      <c r="C106" s="48" t="s">
        <v>197</v>
      </c>
      <c r="D106" s="73"/>
      <c r="E106" s="5"/>
      <c r="F106" s="5"/>
      <c r="G106" s="5"/>
    </row>
    <row r="107" spans="1:7" ht="13">
      <c r="A107" s="48" t="s">
        <v>3487</v>
      </c>
      <c r="B107" s="49" t="s">
        <v>1280</v>
      </c>
      <c r="C107" s="48" t="s">
        <v>197</v>
      </c>
      <c r="D107" s="47"/>
      <c r="E107" s="5"/>
      <c r="F107" s="5"/>
      <c r="G107" s="5"/>
    </row>
    <row r="108" spans="1:7" ht="13">
      <c r="A108" s="48" t="s">
        <v>3488</v>
      </c>
      <c r="B108" s="49" t="s">
        <v>1276</v>
      </c>
      <c r="C108" s="48" t="s">
        <v>197</v>
      </c>
      <c r="D108" s="47"/>
      <c r="E108" s="5"/>
      <c r="F108" s="5"/>
      <c r="G108" s="5"/>
    </row>
    <row r="109" spans="1:7" ht="13">
      <c r="A109" s="48" t="s">
        <v>3489</v>
      </c>
      <c r="B109" s="49" t="s">
        <v>1216</v>
      </c>
      <c r="C109" s="48" t="s">
        <v>197</v>
      </c>
      <c r="D109" s="73"/>
      <c r="E109" s="5"/>
      <c r="F109" s="5"/>
      <c r="G109" s="5"/>
    </row>
    <row r="110" spans="1:7" ht="13">
      <c r="A110" s="48" t="s">
        <v>3490</v>
      </c>
      <c r="B110" s="49" t="s">
        <v>3143</v>
      </c>
      <c r="C110" s="48" t="s">
        <v>197</v>
      </c>
      <c r="D110" s="48"/>
      <c r="E110" s="5"/>
      <c r="F110" s="5"/>
      <c r="G110" s="5"/>
    </row>
    <row r="111" spans="1:7" ht="13">
      <c r="A111" s="48" t="s">
        <v>3491</v>
      </c>
      <c r="B111" s="49" t="s">
        <v>3122</v>
      </c>
      <c r="C111" s="48" t="s">
        <v>197</v>
      </c>
      <c r="D111" s="73"/>
      <c r="E111" s="5"/>
      <c r="F111" s="5"/>
      <c r="G111" s="5"/>
    </row>
    <row r="112" spans="1:7" ht="13">
      <c r="A112" s="48" t="s">
        <v>3492</v>
      </c>
      <c r="B112" s="49" t="s">
        <v>4161</v>
      </c>
      <c r="C112" s="48" t="s">
        <v>197</v>
      </c>
      <c r="D112" s="48"/>
      <c r="E112" s="5"/>
      <c r="F112" s="5"/>
      <c r="G112" s="5"/>
    </row>
    <row r="113" spans="1:7" ht="13">
      <c r="A113" s="48" t="s">
        <v>3493</v>
      </c>
      <c r="B113" s="49" t="s">
        <v>4162</v>
      </c>
      <c r="C113" s="48" t="s">
        <v>197</v>
      </c>
      <c r="D113" s="73"/>
      <c r="E113" s="5"/>
      <c r="F113" s="5"/>
      <c r="G113" s="5"/>
    </row>
    <row r="114" spans="1:7" ht="13">
      <c r="A114" s="48" t="s">
        <v>3494</v>
      </c>
      <c r="B114" s="49" t="s">
        <v>4163</v>
      </c>
      <c r="C114" s="48" t="s">
        <v>197</v>
      </c>
      <c r="D114" s="73"/>
      <c r="E114" s="5"/>
      <c r="F114" s="5"/>
      <c r="G114" s="5"/>
    </row>
    <row r="115" spans="1:7" ht="13">
      <c r="A115" s="48" t="s">
        <v>3495</v>
      </c>
      <c r="B115" s="49" t="s">
        <v>5025</v>
      </c>
      <c r="C115" s="48" t="s">
        <v>197</v>
      </c>
      <c r="D115" s="73"/>
      <c r="E115" s="5"/>
      <c r="F115" s="5"/>
      <c r="G115" s="5"/>
    </row>
    <row r="116" spans="1:7" ht="13">
      <c r="A116" s="48" t="s">
        <v>3496</v>
      </c>
      <c r="B116" s="49" t="s">
        <v>5049</v>
      </c>
      <c r="C116" s="48" t="s">
        <v>197</v>
      </c>
      <c r="D116" s="73"/>
      <c r="E116" s="5"/>
      <c r="F116" s="5"/>
      <c r="G116" s="5"/>
    </row>
    <row r="117" spans="1:7" ht="13">
      <c r="A117" s="48" t="s">
        <v>3497</v>
      </c>
      <c r="B117" s="49" t="s">
        <v>5027</v>
      </c>
      <c r="C117" s="48" t="s">
        <v>197</v>
      </c>
      <c r="D117" s="73"/>
      <c r="E117" s="5"/>
      <c r="F117" s="5"/>
      <c r="G117" s="5"/>
    </row>
    <row r="118" spans="1:7" ht="13">
      <c r="A118" s="48" t="s">
        <v>3498</v>
      </c>
      <c r="B118" s="49" t="s">
        <v>5029</v>
      </c>
      <c r="C118" s="48" t="s">
        <v>197</v>
      </c>
      <c r="D118" s="73"/>
      <c r="E118" s="5"/>
      <c r="F118" s="5"/>
      <c r="G118" s="5"/>
    </row>
    <row r="119" spans="1:7" ht="13">
      <c r="A119" s="48" t="s">
        <v>3499</v>
      </c>
      <c r="B119" s="49" t="s">
        <v>5050</v>
      </c>
      <c r="C119" s="48" t="s">
        <v>1013</v>
      </c>
      <c r="D119" s="73"/>
      <c r="E119" s="5"/>
      <c r="F119" s="5"/>
      <c r="G119" s="5"/>
    </row>
    <row r="120" spans="1:7" ht="13">
      <c r="A120" s="48" t="s">
        <v>3500</v>
      </c>
      <c r="B120" s="49" t="s">
        <v>5051</v>
      </c>
      <c r="C120" s="48" t="s">
        <v>4114</v>
      </c>
      <c r="D120" s="48"/>
      <c r="E120" s="5"/>
      <c r="F120" s="5"/>
      <c r="G120" s="5"/>
    </row>
    <row r="121" spans="1:7" ht="13">
      <c r="A121" s="48" t="s">
        <v>3501</v>
      </c>
      <c r="B121" s="49" t="s">
        <v>5052</v>
      </c>
      <c r="C121" s="48" t="s">
        <v>229</v>
      </c>
      <c r="D121" s="73"/>
      <c r="E121" s="5"/>
      <c r="F121" s="5"/>
      <c r="G121" s="5"/>
    </row>
    <row r="122" spans="1:7" ht="13">
      <c r="A122" s="48" t="s">
        <v>3502</v>
      </c>
      <c r="B122" s="49" t="s">
        <v>2029</v>
      </c>
      <c r="C122" s="48" t="s">
        <v>4114</v>
      </c>
      <c r="D122" s="73"/>
      <c r="E122" s="5"/>
      <c r="F122" s="5"/>
      <c r="G122" s="5"/>
    </row>
    <row r="123" spans="1:7" ht="13">
      <c r="A123" s="48" t="s">
        <v>3503</v>
      </c>
      <c r="B123" s="49" t="s">
        <v>5053</v>
      </c>
      <c r="C123" s="48" t="s">
        <v>4114</v>
      </c>
      <c r="D123" s="73"/>
      <c r="E123" s="5"/>
      <c r="F123" s="5"/>
      <c r="G123" s="5"/>
    </row>
    <row r="124" spans="1:7" ht="13">
      <c r="A124" s="48" t="s">
        <v>3504</v>
      </c>
      <c r="B124" s="49" t="s">
        <v>659</v>
      </c>
      <c r="C124" s="48" t="s">
        <v>4114</v>
      </c>
      <c r="D124" s="73"/>
      <c r="E124" s="5"/>
      <c r="F124" s="5"/>
      <c r="G124" s="5"/>
    </row>
    <row r="125" spans="1:7" ht="13">
      <c r="A125" s="48" t="s">
        <v>3505</v>
      </c>
      <c r="B125" s="49" t="s">
        <v>5054</v>
      </c>
      <c r="C125" s="48" t="s">
        <v>4114</v>
      </c>
      <c r="D125" s="73"/>
      <c r="E125" s="5"/>
      <c r="F125" s="5"/>
      <c r="G125" s="5"/>
    </row>
    <row r="126" spans="1:7" ht="13">
      <c r="A126" s="48" t="s">
        <v>3506</v>
      </c>
      <c r="B126" s="49" t="s">
        <v>5055</v>
      </c>
      <c r="C126" s="48" t="s">
        <v>1013</v>
      </c>
      <c r="D126" s="73"/>
      <c r="E126" s="5"/>
      <c r="F126" s="5"/>
      <c r="G126" s="5"/>
    </row>
    <row r="127" spans="1:7" ht="13">
      <c r="A127" s="48" t="s">
        <v>3507</v>
      </c>
      <c r="B127" s="49" t="s">
        <v>5056</v>
      </c>
      <c r="C127" s="48" t="s">
        <v>4114</v>
      </c>
      <c r="D127" s="48"/>
      <c r="E127" s="5"/>
      <c r="F127" s="5"/>
      <c r="G127" s="5"/>
    </row>
    <row r="128" spans="1:7" ht="13">
      <c r="A128" s="48" t="s">
        <v>3508</v>
      </c>
      <c r="B128" s="49" t="s">
        <v>5057</v>
      </c>
      <c r="C128" s="48" t="s">
        <v>4114</v>
      </c>
      <c r="D128" s="73"/>
      <c r="E128" s="5"/>
      <c r="F128" s="5"/>
      <c r="G128" s="5"/>
    </row>
    <row r="129" spans="1:7" ht="13">
      <c r="A129" s="48" t="s">
        <v>3509</v>
      </c>
      <c r="B129" s="49" t="s">
        <v>5058</v>
      </c>
      <c r="C129" s="48" t="s">
        <v>4114</v>
      </c>
      <c r="D129" s="47"/>
      <c r="E129" s="5"/>
      <c r="F129" s="5"/>
      <c r="G129" s="5"/>
    </row>
    <row r="130" spans="1:7" ht="13">
      <c r="A130" s="48" t="s">
        <v>3510</v>
      </c>
      <c r="B130" s="49" t="s">
        <v>5059</v>
      </c>
      <c r="C130" s="48" t="s">
        <v>229</v>
      </c>
      <c r="D130" s="47"/>
      <c r="E130" s="5"/>
      <c r="F130" s="5"/>
      <c r="G130" s="5"/>
    </row>
    <row r="131" spans="1:7" ht="13">
      <c r="A131" s="48" t="s">
        <v>3511</v>
      </c>
      <c r="B131" s="49" t="s">
        <v>5060</v>
      </c>
      <c r="C131" s="48" t="s">
        <v>1013</v>
      </c>
      <c r="D131" s="73"/>
      <c r="E131" s="5"/>
      <c r="F131" s="5"/>
      <c r="G131" s="5"/>
    </row>
    <row r="132" spans="1:7" ht="13">
      <c r="A132" s="48" t="s">
        <v>3512</v>
      </c>
      <c r="B132" s="49" t="s">
        <v>313</v>
      </c>
      <c r="C132" s="48" t="s">
        <v>4114</v>
      </c>
      <c r="D132" s="73"/>
      <c r="E132" s="5"/>
      <c r="F132" s="5"/>
      <c r="G132" s="5"/>
    </row>
    <row r="133" spans="1:7" ht="13">
      <c r="A133" s="48" t="s">
        <v>3513</v>
      </c>
      <c r="B133" s="49" t="s">
        <v>5061</v>
      </c>
      <c r="C133" s="48" t="s">
        <v>1013</v>
      </c>
      <c r="D133" s="47"/>
      <c r="E133" s="5"/>
      <c r="F133" s="5"/>
      <c r="G133" s="5"/>
    </row>
    <row r="134" spans="1:7" ht="13">
      <c r="A134" s="48" t="s">
        <v>3515</v>
      </c>
      <c r="B134" s="49" t="s">
        <v>316</v>
      </c>
      <c r="C134" s="48" t="s">
        <v>317</v>
      </c>
      <c r="D134" s="47"/>
      <c r="E134" s="5"/>
      <c r="F134" s="5"/>
      <c r="G134" s="5"/>
    </row>
    <row r="135" spans="1:7" ht="13">
      <c r="A135" s="48" t="s">
        <v>3517</v>
      </c>
      <c r="B135" s="49" t="s">
        <v>524</v>
      </c>
      <c r="C135" s="48" t="s">
        <v>317</v>
      </c>
      <c r="D135" s="47"/>
      <c r="E135" s="5"/>
      <c r="F135" s="5"/>
      <c r="G135" s="5"/>
    </row>
    <row r="136" spans="1:7" ht="13">
      <c r="A136" s="48" t="s">
        <v>3519</v>
      </c>
      <c r="B136" s="49" t="s">
        <v>5062</v>
      </c>
      <c r="C136" s="48" t="s">
        <v>317</v>
      </c>
      <c r="D136" s="47"/>
      <c r="E136" s="5"/>
      <c r="F136" s="5"/>
      <c r="G136" s="5"/>
    </row>
    <row r="137" spans="1:7" ht="13">
      <c r="A137" s="48" t="s">
        <v>3521</v>
      </c>
      <c r="B137" s="49" t="s">
        <v>5063</v>
      </c>
      <c r="C137" s="48" t="s">
        <v>317</v>
      </c>
      <c r="D137" s="47"/>
      <c r="E137" s="5"/>
      <c r="F137" s="5"/>
      <c r="G137" s="5"/>
    </row>
    <row r="138" spans="1:7" ht="13">
      <c r="A138" s="48" t="s">
        <v>3523</v>
      </c>
      <c r="B138" s="49" t="s">
        <v>5064</v>
      </c>
      <c r="C138" s="48" t="s">
        <v>317</v>
      </c>
      <c r="D138" s="47"/>
      <c r="E138" s="5"/>
      <c r="F138" s="5"/>
      <c r="G138" s="5"/>
    </row>
    <row r="139" spans="1:7" ht="13">
      <c r="A139" s="48" t="s">
        <v>3525</v>
      </c>
      <c r="B139" s="49" t="s">
        <v>5065</v>
      </c>
      <c r="C139" s="48" t="s">
        <v>317</v>
      </c>
      <c r="D139" s="47"/>
      <c r="E139" s="5"/>
      <c r="F139" s="5"/>
      <c r="G139" s="5"/>
    </row>
    <row r="140" spans="1:7" ht="13">
      <c r="A140" s="48" t="s">
        <v>3527</v>
      </c>
      <c r="B140" s="49" t="s">
        <v>5066</v>
      </c>
      <c r="C140" s="48" t="s">
        <v>317</v>
      </c>
      <c r="D140" s="47"/>
      <c r="E140" s="5"/>
      <c r="F140" s="5"/>
      <c r="G140" s="5"/>
    </row>
    <row r="141" spans="1:7" ht="13">
      <c r="A141" s="48" t="s">
        <v>3529</v>
      </c>
      <c r="B141" s="49" t="s">
        <v>5067</v>
      </c>
      <c r="C141" s="48" t="s">
        <v>317</v>
      </c>
      <c r="D141" s="47"/>
      <c r="E141" s="5"/>
      <c r="F141" s="5"/>
      <c r="G141" s="5"/>
    </row>
    <row r="142" spans="1:7" ht="13">
      <c r="A142" s="48" t="s">
        <v>3531</v>
      </c>
      <c r="B142" s="49" t="s">
        <v>933</v>
      </c>
      <c r="C142" s="48" t="s">
        <v>317</v>
      </c>
      <c r="D142" s="47"/>
      <c r="E142" s="5"/>
      <c r="F142" s="5"/>
      <c r="G142" s="5"/>
    </row>
    <row r="143" spans="1:7" ht="13">
      <c r="A143" s="48" t="s">
        <v>3532</v>
      </c>
      <c r="B143" s="49" t="s">
        <v>798</v>
      </c>
      <c r="C143" s="48" t="s">
        <v>317</v>
      </c>
      <c r="D143" s="47"/>
      <c r="E143" s="5"/>
      <c r="F143" s="5"/>
      <c r="G143" s="5"/>
    </row>
    <row r="144" spans="1:7" ht="13">
      <c r="A144" s="48" t="s">
        <v>3533</v>
      </c>
      <c r="B144" s="49" t="s">
        <v>5068</v>
      </c>
      <c r="C144" s="48" t="s">
        <v>317</v>
      </c>
      <c r="D144" s="47"/>
      <c r="E144" s="5"/>
      <c r="F144" s="5"/>
      <c r="G144" s="5"/>
    </row>
    <row r="145" spans="1:7" ht="13">
      <c r="A145" s="48" t="s">
        <v>3535</v>
      </c>
      <c r="B145" s="58" t="str">
        <f>HYPERLINK("https://bulbapedia.bulbagarden.net/wiki/Venusaur-EX_(XY_141)","VenusaurEX")</f>
        <v>VenusaurEX</v>
      </c>
      <c r="C145" s="48" t="s">
        <v>205</v>
      </c>
      <c r="D145" s="47"/>
      <c r="E145" s="5"/>
      <c r="F145" s="5"/>
      <c r="G145" s="5"/>
    </row>
    <row r="146" spans="1:7" ht="13">
      <c r="A146" s="48" t="s">
        <v>3537</v>
      </c>
      <c r="B146" s="58" t="str">
        <f>HYPERLINK("https://bulbapedia.bulbagarden.net/wiki/Blastoise-EX_(XY_142)","BlastoiseEX")</f>
        <v>BlastoiseEX</v>
      </c>
      <c r="C146" s="48" t="s">
        <v>208</v>
      </c>
      <c r="D146" s="47"/>
      <c r="E146" s="5"/>
      <c r="F146" s="5"/>
      <c r="G146" s="5"/>
    </row>
    <row r="147" spans="1:7" ht="13">
      <c r="A147" s="48" t="s">
        <v>3539</v>
      </c>
      <c r="B147" s="58" t="str">
        <f>HYPERLINK("https://bulbapedia.bulbagarden.net/wiki/Emolga-EX_(XY_143)","EmolgaEX")</f>
        <v>EmolgaEX</v>
      </c>
      <c r="C147" s="48" t="s">
        <v>192</v>
      </c>
      <c r="D147" s="47"/>
      <c r="E147" s="5"/>
      <c r="F147" s="5"/>
      <c r="G147" s="5"/>
    </row>
    <row r="148" spans="1:7" ht="13">
      <c r="A148" s="48" t="s">
        <v>3541</v>
      </c>
      <c r="B148" s="58" t="str">
        <f>HYPERLINK("https://bulbapedia.bulbagarden.net/wiki/Yveltal-EX_(XY_144)","YveltalEX")</f>
        <v>YveltalEX</v>
      </c>
      <c r="C148" s="48" t="s">
        <v>808</v>
      </c>
      <c r="D148" s="47"/>
      <c r="E148" s="5"/>
      <c r="F148" s="5"/>
      <c r="G148" s="5"/>
    </row>
    <row r="149" spans="1:7" ht="13">
      <c r="A149" s="48" t="s">
        <v>3542</v>
      </c>
      <c r="B149" s="58" t="str">
        <f>HYPERLINK("https://bulbapedia.bulbagarden.net/wiki/Skarmory-EX_(XY_145)","SkarmoryEX")</f>
        <v>SkarmoryEX</v>
      </c>
      <c r="C149" s="48" t="s">
        <v>220</v>
      </c>
      <c r="D149" s="47"/>
      <c r="E149" s="5"/>
      <c r="F149" s="5"/>
      <c r="G149" s="5"/>
    </row>
    <row r="150" spans="1:7" ht="13">
      <c r="A150" s="48" t="s">
        <v>3543</v>
      </c>
      <c r="B150" s="58" t="str">
        <f>HYPERLINK("https://bulbapedia.bulbagarden.net/wiki/Xerneas-EX_(XY_146)","XerneasEX")</f>
        <v>XerneasEX</v>
      </c>
      <c r="C150" s="48" t="s">
        <v>4743</v>
      </c>
      <c r="D150" s="47"/>
      <c r="E150" s="5"/>
      <c r="F150" s="5"/>
      <c r="G150" s="5"/>
    </row>
    <row r="151" spans="1:7" ht="13">
      <c r="D151" s="5"/>
      <c r="E151" s="5"/>
      <c r="F151" s="5"/>
      <c r="G151" s="5"/>
    </row>
    <row r="152" spans="1:7" ht="13">
      <c r="A152" s="64"/>
      <c r="B152" s="65"/>
      <c r="C152" s="64"/>
      <c r="D152" s="66"/>
      <c r="E152" s="5"/>
      <c r="F152" s="5"/>
      <c r="G152" s="5"/>
    </row>
    <row r="153" spans="1:7" ht="13">
      <c r="A153" s="64"/>
      <c r="B153" s="65"/>
      <c r="C153" s="64"/>
      <c r="D153" s="66"/>
      <c r="E153" s="5"/>
      <c r="F153" s="5"/>
      <c r="G153" s="5"/>
    </row>
    <row r="154" spans="1:7" ht="13">
      <c r="A154" s="64"/>
      <c r="B154" s="65"/>
      <c r="C154" s="64"/>
      <c r="D154" s="66"/>
      <c r="E154" s="5"/>
      <c r="F154" s="5"/>
      <c r="G154" s="5"/>
    </row>
    <row r="155" spans="1:7" ht="13">
      <c r="A155" s="64"/>
      <c r="B155" s="65"/>
      <c r="C155" s="64"/>
      <c r="D155" s="66"/>
      <c r="E155" s="5"/>
      <c r="F155" s="5"/>
      <c r="G155" s="5"/>
    </row>
    <row r="156" spans="1:7" ht="13">
      <c r="A156" s="64"/>
      <c r="B156" s="65"/>
      <c r="C156" s="64"/>
      <c r="D156" s="66"/>
      <c r="E156" s="5"/>
      <c r="F156" s="5"/>
      <c r="G156" s="5"/>
    </row>
    <row r="157" spans="1:7" ht="13">
      <c r="A157" s="64"/>
      <c r="B157" s="65"/>
      <c r="C157" s="64"/>
      <c r="D157" s="66"/>
      <c r="E157" s="5"/>
      <c r="F157" s="5"/>
      <c r="G157" s="5"/>
    </row>
    <row r="158" spans="1:7" ht="13">
      <c r="A158" s="64"/>
      <c r="B158" s="65"/>
      <c r="C158" s="64"/>
      <c r="D158" s="66"/>
      <c r="E158" s="5"/>
      <c r="F158" s="5"/>
      <c r="G158" s="5"/>
    </row>
    <row r="159" spans="1:7" ht="13">
      <c r="A159" s="64"/>
      <c r="B159" s="67"/>
      <c r="C159" s="64"/>
      <c r="D159" s="66"/>
      <c r="E159" s="5"/>
      <c r="F159" s="5"/>
      <c r="G159" s="5"/>
    </row>
    <row r="160" spans="1:7" ht="13">
      <c r="A160" s="64"/>
      <c r="B160" s="65"/>
      <c r="C160" s="64"/>
      <c r="D160" s="66"/>
      <c r="E160" s="5"/>
      <c r="F160" s="5"/>
      <c r="G160" s="5"/>
    </row>
    <row r="161" spans="1:7" ht="13">
      <c r="A161" s="64"/>
      <c r="B161" s="67"/>
      <c r="C161" s="64"/>
      <c r="D161" s="66"/>
      <c r="E161" s="5"/>
      <c r="F161" s="5"/>
      <c r="G161" s="5"/>
    </row>
    <row r="162" spans="1:7" ht="13">
      <c r="A162" s="64"/>
      <c r="B162" s="68"/>
      <c r="C162" s="64"/>
      <c r="D162" s="66"/>
      <c r="E162" s="5"/>
      <c r="F162" s="5"/>
      <c r="G162" s="5"/>
    </row>
    <row r="163" spans="1:7" ht="13">
      <c r="A163" s="64"/>
      <c r="B163" s="68"/>
      <c r="C163" s="64"/>
      <c r="D163" s="66"/>
      <c r="E163" s="5"/>
      <c r="F163" s="5"/>
      <c r="G163" s="5"/>
    </row>
    <row r="164" spans="1:7" ht="13">
      <c r="A164" s="64"/>
      <c r="B164" s="68"/>
      <c r="C164" s="64"/>
      <c r="D164" s="66"/>
      <c r="E164" s="5"/>
      <c r="F164" s="5"/>
      <c r="G164" s="5"/>
    </row>
    <row r="165" spans="1:7" ht="13">
      <c r="A165" s="64"/>
      <c r="B165" s="68"/>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8"/>
      <c r="C168" s="64"/>
      <c r="D168" s="66"/>
      <c r="E168" s="5"/>
      <c r="F168" s="5"/>
      <c r="G168" s="5"/>
    </row>
    <row r="169" spans="1:7" ht="13">
      <c r="A169" s="64"/>
      <c r="B169" s="68"/>
      <c r="C169" s="64"/>
      <c r="D169" s="66"/>
      <c r="E169" s="5"/>
      <c r="F169" s="5"/>
      <c r="G169"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7" r:id="rId1" xr:uid="{00000000-0004-0000-4200-000000000000}"/>
    <hyperlink ref="B8" r:id="rId2" xr:uid="{00000000-0004-0000-4200-000001000000}"/>
    <hyperlink ref="B9" r:id="rId3" xr:uid="{00000000-0004-0000-4200-000002000000}"/>
    <hyperlink ref="B10" r:id="rId4" xr:uid="{00000000-0004-0000-4200-000003000000}"/>
    <hyperlink ref="B11" r:id="rId5" xr:uid="{00000000-0004-0000-4200-000004000000}"/>
    <hyperlink ref="B12" r:id="rId6" xr:uid="{00000000-0004-0000-4200-000005000000}"/>
    <hyperlink ref="B13" r:id="rId7" xr:uid="{00000000-0004-0000-4200-000006000000}"/>
    <hyperlink ref="B14" r:id="rId8" xr:uid="{00000000-0004-0000-4200-000007000000}"/>
    <hyperlink ref="B15" r:id="rId9" xr:uid="{00000000-0004-0000-4200-000008000000}"/>
    <hyperlink ref="B16" r:id="rId10" xr:uid="{00000000-0004-0000-4200-000009000000}"/>
    <hyperlink ref="B17" r:id="rId11" xr:uid="{00000000-0004-0000-4200-00000A000000}"/>
    <hyperlink ref="B18" r:id="rId12" xr:uid="{00000000-0004-0000-4200-00000B000000}"/>
    <hyperlink ref="B19" r:id="rId13" xr:uid="{00000000-0004-0000-4200-00000C000000}"/>
    <hyperlink ref="B20" r:id="rId14" xr:uid="{00000000-0004-0000-4200-00000D000000}"/>
    <hyperlink ref="B22" r:id="rId15" xr:uid="{00000000-0004-0000-4200-00000E000000}"/>
    <hyperlink ref="B23" r:id="rId16" xr:uid="{00000000-0004-0000-4200-00000F000000}"/>
    <hyperlink ref="B24" r:id="rId17" xr:uid="{00000000-0004-0000-4200-000010000000}"/>
    <hyperlink ref="B25" r:id="rId18" xr:uid="{00000000-0004-0000-4200-000011000000}"/>
    <hyperlink ref="B26" r:id="rId19" xr:uid="{00000000-0004-0000-4200-000012000000}"/>
    <hyperlink ref="B27" r:id="rId20" xr:uid="{00000000-0004-0000-4200-000013000000}"/>
    <hyperlink ref="B28" r:id="rId21" xr:uid="{00000000-0004-0000-4200-000014000000}"/>
    <hyperlink ref="B29" r:id="rId22" xr:uid="{00000000-0004-0000-4200-000015000000}"/>
    <hyperlink ref="B30" r:id="rId23" xr:uid="{00000000-0004-0000-4200-000016000000}"/>
    <hyperlink ref="B31" r:id="rId24" xr:uid="{00000000-0004-0000-4200-000017000000}"/>
    <hyperlink ref="B32" r:id="rId25" xr:uid="{00000000-0004-0000-4200-000018000000}"/>
    <hyperlink ref="B35" r:id="rId26" xr:uid="{00000000-0004-0000-4200-000019000000}"/>
    <hyperlink ref="B36" r:id="rId27" xr:uid="{00000000-0004-0000-4200-00001A000000}"/>
    <hyperlink ref="B37" r:id="rId28" xr:uid="{00000000-0004-0000-4200-00001B000000}"/>
    <hyperlink ref="B38" r:id="rId29" xr:uid="{00000000-0004-0000-4200-00001C000000}"/>
    <hyperlink ref="B39" r:id="rId30" xr:uid="{00000000-0004-0000-4200-00001D000000}"/>
    <hyperlink ref="B40" r:id="rId31" xr:uid="{00000000-0004-0000-4200-00001E000000}"/>
    <hyperlink ref="B41" r:id="rId32" xr:uid="{00000000-0004-0000-4200-00001F000000}"/>
    <hyperlink ref="B42" r:id="rId33" xr:uid="{00000000-0004-0000-4200-000020000000}"/>
    <hyperlink ref="B43" r:id="rId34" xr:uid="{00000000-0004-0000-4200-000021000000}"/>
    <hyperlink ref="B44" r:id="rId35" xr:uid="{00000000-0004-0000-4200-000022000000}"/>
    <hyperlink ref="B45" r:id="rId36" xr:uid="{00000000-0004-0000-4200-000023000000}"/>
    <hyperlink ref="B46" r:id="rId37" xr:uid="{00000000-0004-0000-4200-000024000000}"/>
    <hyperlink ref="B47" r:id="rId38" xr:uid="{00000000-0004-0000-4200-000025000000}"/>
    <hyperlink ref="B48" r:id="rId39" xr:uid="{00000000-0004-0000-4200-000026000000}"/>
    <hyperlink ref="B49" r:id="rId40" xr:uid="{00000000-0004-0000-4200-000027000000}"/>
    <hyperlink ref="B51" r:id="rId41" xr:uid="{00000000-0004-0000-4200-000028000000}"/>
    <hyperlink ref="B52" r:id="rId42" xr:uid="{00000000-0004-0000-4200-000029000000}"/>
    <hyperlink ref="B53" r:id="rId43" xr:uid="{00000000-0004-0000-4200-00002A000000}"/>
    <hyperlink ref="B54" r:id="rId44" xr:uid="{00000000-0004-0000-4200-00002B000000}"/>
    <hyperlink ref="B55" r:id="rId45" xr:uid="{00000000-0004-0000-4200-00002C000000}"/>
    <hyperlink ref="B56" r:id="rId46" xr:uid="{00000000-0004-0000-4200-00002D000000}"/>
    <hyperlink ref="B57" r:id="rId47" xr:uid="{00000000-0004-0000-4200-00002E000000}"/>
    <hyperlink ref="B58" r:id="rId48" xr:uid="{00000000-0004-0000-4200-00002F000000}"/>
    <hyperlink ref="B59" r:id="rId49" xr:uid="{00000000-0004-0000-4200-000030000000}"/>
    <hyperlink ref="B60" r:id="rId50" xr:uid="{00000000-0004-0000-4200-000031000000}"/>
    <hyperlink ref="B61" r:id="rId51" xr:uid="{00000000-0004-0000-4200-000032000000}"/>
    <hyperlink ref="B62" r:id="rId52" xr:uid="{00000000-0004-0000-4200-000033000000}"/>
    <hyperlink ref="B63" r:id="rId53" xr:uid="{00000000-0004-0000-4200-000034000000}"/>
    <hyperlink ref="B64" r:id="rId54" xr:uid="{00000000-0004-0000-4200-000035000000}"/>
    <hyperlink ref="B65" r:id="rId55" xr:uid="{00000000-0004-0000-4200-000036000000}"/>
    <hyperlink ref="B66" r:id="rId56" xr:uid="{00000000-0004-0000-4200-000037000000}"/>
    <hyperlink ref="B67" r:id="rId57" xr:uid="{00000000-0004-0000-4200-000038000000}"/>
    <hyperlink ref="B68" r:id="rId58" xr:uid="{00000000-0004-0000-4200-000039000000}"/>
    <hyperlink ref="B69" r:id="rId59" xr:uid="{00000000-0004-0000-4200-00003A000000}"/>
    <hyperlink ref="B70" r:id="rId60" xr:uid="{00000000-0004-0000-4200-00003B000000}"/>
    <hyperlink ref="B71" r:id="rId61" xr:uid="{00000000-0004-0000-4200-00003C000000}"/>
    <hyperlink ref="B72" r:id="rId62" xr:uid="{00000000-0004-0000-4200-00003D000000}"/>
    <hyperlink ref="B73" r:id="rId63" xr:uid="{00000000-0004-0000-4200-00003E000000}"/>
    <hyperlink ref="B74" r:id="rId64" xr:uid="{00000000-0004-0000-4200-00003F000000}"/>
    <hyperlink ref="B75" r:id="rId65" xr:uid="{00000000-0004-0000-4200-000040000000}"/>
    <hyperlink ref="B76" r:id="rId66" xr:uid="{00000000-0004-0000-4200-000041000000}"/>
    <hyperlink ref="B77" r:id="rId67" xr:uid="{00000000-0004-0000-4200-000042000000}"/>
    <hyperlink ref="B78" r:id="rId68" xr:uid="{00000000-0004-0000-4200-000043000000}"/>
    <hyperlink ref="B79" r:id="rId69" xr:uid="{00000000-0004-0000-4200-000044000000}"/>
    <hyperlink ref="B80" r:id="rId70" xr:uid="{00000000-0004-0000-4200-000045000000}"/>
    <hyperlink ref="B81" r:id="rId71" xr:uid="{00000000-0004-0000-4200-000046000000}"/>
    <hyperlink ref="B82" r:id="rId72" xr:uid="{00000000-0004-0000-4200-000047000000}"/>
    <hyperlink ref="B85" r:id="rId73" xr:uid="{00000000-0004-0000-4200-000048000000}"/>
    <hyperlink ref="B86" r:id="rId74" xr:uid="{00000000-0004-0000-4200-000049000000}"/>
    <hyperlink ref="B87" r:id="rId75" xr:uid="{00000000-0004-0000-4200-00004A000000}"/>
    <hyperlink ref="B88" r:id="rId76" xr:uid="{00000000-0004-0000-4200-00004B000000}"/>
    <hyperlink ref="B89" r:id="rId77" xr:uid="{00000000-0004-0000-4200-00004C000000}"/>
    <hyperlink ref="B90" r:id="rId78" xr:uid="{00000000-0004-0000-4200-00004D000000}"/>
    <hyperlink ref="B91" r:id="rId79" xr:uid="{00000000-0004-0000-4200-00004E000000}"/>
    <hyperlink ref="B92" r:id="rId80" xr:uid="{00000000-0004-0000-4200-00004F000000}"/>
    <hyperlink ref="B93" r:id="rId81" xr:uid="{00000000-0004-0000-4200-000050000000}"/>
    <hyperlink ref="B94" r:id="rId82" xr:uid="{00000000-0004-0000-4200-000051000000}"/>
    <hyperlink ref="B95" r:id="rId83" xr:uid="{00000000-0004-0000-4200-000052000000}"/>
    <hyperlink ref="B96" r:id="rId84" xr:uid="{00000000-0004-0000-4200-000053000000}"/>
    <hyperlink ref="B97" r:id="rId85" xr:uid="{00000000-0004-0000-4200-000054000000}"/>
    <hyperlink ref="B98" r:id="rId86" xr:uid="{00000000-0004-0000-4200-000055000000}"/>
    <hyperlink ref="B99" r:id="rId87" xr:uid="{00000000-0004-0000-4200-000056000000}"/>
    <hyperlink ref="B100" r:id="rId88" xr:uid="{00000000-0004-0000-4200-000057000000}"/>
    <hyperlink ref="B102" r:id="rId89" xr:uid="{00000000-0004-0000-4200-000058000000}"/>
    <hyperlink ref="B103" r:id="rId90" xr:uid="{00000000-0004-0000-4200-000059000000}"/>
    <hyperlink ref="B104" r:id="rId91" xr:uid="{00000000-0004-0000-4200-00005A000000}"/>
    <hyperlink ref="B105" r:id="rId92" xr:uid="{00000000-0004-0000-4200-00005B000000}"/>
    <hyperlink ref="B106" r:id="rId93" xr:uid="{00000000-0004-0000-4200-00005C000000}"/>
    <hyperlink ref="B107" r:id="rId94" xr:uid="{00000000-0004-0000-4200-00005D000000}"/>
    <hyperlink ref="B108" r:id="rId95" xr:uid="{00000000-0004-0000-4200-00005E000000}"/>
    <hyperlink ref="B109" r:id="rId96" xr:uid="{00000000-0004-0000-4200-00005F000000}"/>
    <hyperlink ref="B110" r:id="rId97" xr:uid="{00000000-0004-0000-4200-000060000000}"/>
    <hyperlink ref="B111" r:id="rId98" xr:uid="{00000000-0004-0000-4200-000061000000}"/>
    <hyperlink ref="B112" r:id="rId99" xr:uid="{00000000-0004-0000-4200-000062000000}"/>
    <hyperlink ref="B113" r:id="rId100" xr:uid="{00000000-0004-0000-4200-000063000000}"/>
    <hyperlink ref="B114" r:id="rId101" xr:uid="{00000000-0004-0000-4200-000064000000}"/>
    <hyperlink ref="B115" r:id="rId102" xr:uid="{00000000-0004-0000-4200-000065000000}"/>
    <hyperlink ref="B116" r:id="rId103" xr:uid="{00000000-0004-0000-4200-000066000000}"/>
    <hyperlink ref="B117" r:id="rId104" xr:uid="{00000000-0004-0000-4200-000067000000}"/>
    <hyperlink ref="B118" r:id="rId105" xr:uid="{00000000-0004-0000-4200-000068000000}"/>
    <hyperlink ref="B119" r:id="rId106" xr:uid="{00000000-0004-0000-4200-000069000000}"/>
    <hyperlink ref="B120" r:id="rId107" xr:uid="{00000000-0004-0000-4200-00006A000000}"/>
    <hyperlink ref="B121" r:id="rId108" xr:uid="{00000000-0004-0000-4200-00006B000000}"/>
    <hyperlink ref="B122" r:id="rId109" xr:uid="{00000000-0004-0000-4200-00006C000000}"/>
    <hyperlink ref="B123" r:id="rId110" xr:uid="{00000000-0004-0000-4200-00006D000000}"/>
    <hyperlink ref="B124" r:id="rId111" xr:uid="{00000000-0004-0000-4200-00006E000000}"/>
    <hyperlink ref="B125" r:id="rId112" xr:uid="{00000000-0004-0000-4200-00006F000000}"/>
    <hyperlink ref="B126" r:id="rId113" xr:uid="{00000000-0004-0000-4200-000070000000}"/>
    <hyperlink ref="B127" r:id="rId114" xr:uid="{00000000-0004-0000-4200-000071000000}"/>
    <hyperlink ref="B128" r:id="rId115" xr:uid="{00000000-0004-0000-4200-000072000000}"/>
    <hyperlink ref="B129" r:id="rId116" xr:uid="{00000000-0004-0000-4200-000073000000}"/>
    <hyperlink ref="B130" r:id="rId117" xr:uid="{00000000-0004-0000-4200-000074000000}"/>
    <hyperlink ref="B131" r:id="rId118" xr:uid="{00000000-0004-0000-4200-000075000000}"/>
    <hyperlink ref="B132" r:id="rId119" xr:uid="{00000000-0004-0000-4200-000076000000}"/>
    <hyperlink ref="B133" r:id="rId120" xr:uid="{00000000-0004-0000-4200-000077000000}"/>
    <hyperlink ref="B134" r:id="rId121" xr:uid="{00000000-0004-0000-4200-000078000000}"/>
    <hyperlink ref="B135" r:id="rId122" xr:uid="{00000000-0004-0000-4200-000079000000}"/>
    <hyperlink ref="B136" r:id="rId123" xr:uid="{00000000-0004-0000-4200-00007A000000}"/>
    <hyperlink ref="B137" r:id="rId124" xr:uid="{00000000-0004-0000-4200-00007B000000}"/>
    <hyperlink ref="B138" r:id="rId125" xr:uid="{00000000-0004-0000-4200-00007C000000}"/>
    <hyperlink ref="B139" r:id="rId126" xr:uid="{00000000-0004-0000-4200-00007D000000}"/>
    <hyperlink ref="B140" r:id="rId127" xr:uid="{00000000-0004-0000-4200-00007E000000}"/>
    <hyperlink ref="B141" r:id="rId128" xr:uid="{00000000-0004-0000-4200-00007F000000}"/>
    <hyperlink ref="B142" r:id="rId129" xr:uid="{00000000-0004-0000-4200-000080000000}"/>
    <hyperlink ref="B143" r:id="rId130" xr:uid="{00000000-0004-0000-4200-000081000000}"/>
    <hyperlink ref="B144" r:id="rId131" xr:uid="{00000000-0004-0000-4200-00008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8">
    <outlinePr summaryBelow="0" summaryRight="0"/>
  </sheetPr>
  <dimension ref="A1:L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33203125" customWidth="1"/>
    <col min="3" max="3" width="13.5" customWidth="1"/>
    <col min="4" max="4" width="14.83203125" customWidth="1"/>
    <col min="5" max="5" width="14.33203125" customWidth="1"/>
    <col min="7" max="7" width="14.1640625" customWidth="1"/>
  </cols>
  <sheetData>
    <row r="1" spans="1:12" ht="15.75" customHeight="1">
      <c r="A1" s="1" t="s">
        <v>88</v>
      </c>
      <c r="B1" s="36"/>
      <c r="C1" s="37"/>
      <c r="D1" s="51" t="s">
        <v>181</v>
      </c>
      <c r="E1" s="5"/>
      <c r="F1" s="5"/>
      <c r="G1" s="5"/>
    </row>
    <row r="2" spans="1:12" ht="15.75" customHeight="1">
      <c r="A2" s="7" t="s">
        <v>182</v>
      </c>
      <c r="B2" s="38">
        <v>41682</v>
      </c>
      <c r="C2" s="37"/>
      <c r="D2" s="75">
        <f>SUM(D5:G64)</f>
        <v>0</v>
      </c>
      <c r="E2" s="5"/>
      <c r="F2" s="5"/>
      <c r="G2" s="5"/>
    </row>
    <row r="3" spans="1:12" ht="15.75" customHeight="1">
      <c r="B3" s="41"/>
      <c r="C3" s="37"/>
      <c r="D3" s="5"/>
      <c r="E3" s="5"/>
      <c r="F3" s="5"/>
      <c r="G3" s="5"/>
    </row>
    <row r="4" spans="1:12" ht="15.75" customHeight="1">
      <c r="A4" s="42" t="s">
        <v>183</v>
      </c>
      <c r="B4" s="43" t="s">
        <v>184</v>
      </c>
      <c r="C4" s="43" t="s">
        <v>185</v>
      </c>
      <c r="D4" s="42" t="s">
        <v>186</v>
      </c>
      <c r="E4" s="44" t="s">
        <v>187</v>
      </c>
      <c r="F4" s="44" t="s">
        <v>188</v>
      </c>
      <c r="G4" s="44" t="s">
        <v>189</v>
      </c>
      <c r="H4" s="44" t="s">
        <v>190</v>
      </c>
      <c r="I4" s="44"/>
    </row>
    <row r="5" spans="1:12" ht="15.75" customHeight="1">
      <c r="A5" s="59">
        <v>43860</v>
      </c>
      <c r="B5" s="60" t="s">
        <v>5027</v>
      </c>
      <c r="C5" s="51" t="s">
        <v>197</v>
      </c>
      <c r="D5" s="51"/>
      <c r="E5" s="5"/>
      <c r="F5" s="5"/>
      <c r="G5" s="5"/>
      <c r="L5" s="43"/>
    </row>
    <row r="6" spans="1:12" ht="15.75" customHeight="1">
      <c r="A6" s="51" t="s">
        <v>5069</v>
      </c>
      <c r="B6" s="60" t="s">
        <v>5068</v>
      </c>
      <c r="C6" s="51" t="s">
        <v>317</v>
      </c>
      <c r="D6" s="51"/>
      <c r="E6" s="5"/>
      <c r="F6" s="5"/>
      <c r="G6" s="5"/>
    </row>
    <row r="7" spans="1:12" ht="15.75" customHeight="1">
      <c r="A7" s="59">
        <v>43920</v>
      </c>
      <c r="B7" s="60" t="s">
        <v>5068</v>
      </c>
      <c r="C7" s="51" t="s">
        <v>317</v>
      </c>
      <c r="D7" s="51"/>
      <c r="E7" s="5"/>
      <c r="F7" s="5"/>
      <c r="G7" s="5"/>
    </row>
    <row r="8" spans="1:12" ht="15.75" customHeight="1">
      <c r="A8" s="59">
        <v>43951</v>
      </c>
      <c r="B8" s="60" t="s">
        <v>315</v>
      </c>
      <c r="C8" s="51" t="s">
        <v>4114</v>
      </c>
      <c r="D8" s="51"/>
      <c r="E8" s="5"/>
      <c r="F8" s="5"/>
      <c r="G8" s="5"/>
    </row>
    <row r="9" spans="1:12" ht="15.75" customHeight="1">
      <c r="A9" s="59">
        <v>43981</v>
      </c>
      <c r="B9" s="60" t="s">
        <v>5068</v>
      </c>
      <c r="C9" s="51" t="s">
        <v>317</v>
      </c>
      <c r="D9" s="51"/>
      <c r="E9" s="5"/>
      <c r="F9" s="5"/>
      <c r="G9" s="5"/>
    </row>
    <row r="10" spans="1:12" ht="15.75" customHeight="1">
      <c r="A10" s="59">
        <v>44012</v>
      </c>
      <c r="B10" s="60" t="s">
        <v>5068</v>
      </c>
      <c r="C10" s="51" t="s">
        <v>317</v>
      </c>
      <c r="D10" s="51"/>
      <c r="E10" s="5"/>
      <c r="F10" s="5"/>
      <c r="G10" s="5"/>
    </row>
    <row r="11" spans="1:12" ht="15.75" customHeight="1">
      <c r="A11" s="59">
        <v>44042</v>
      </c>
      <c r="B11" s="60" t="s">
        <v>5068</v>
      </c>
      <c r="C11" s="51" t="s">
        <v>317</v>
      </c>
      <c r="D11" s="51"/>
      <c r="E11" s="5"/>
      <c r="F11" s="5"/>
      <c r="G11" s="5"/>
    </row>
    <row r="12" spans="1:12" ht="15.75" customHeight="1">
      <c r="A12" s="59">
        <v>44073</v>
      </c>
      <c r="B12" s="60" t="s">
        <v>5068</v>
      </c>
      <c r="C12" s="51" t="s">
        <v>317</v>
      </c>
      <c r="D12" s="51"/>
      <c r="E12" s="5"/>
      <c r="F12" s="5"/>
      <c r="G12" s="5"/>
    </row>
    <row r="13" spans="1:12" ht="15.75" customHeight="1">
      <c r="A13" s="59">
        <v>44104</v>
      </c>
      <c r="B13" s="60" t="s">
        <v>5068</v>
      </c>
      <c r="C13" s="51" t="s">
        <v>317</v>
      </c>
      <c r="D13" s="51"/>
      <c r="E13" s="5"/>
      <c r="F13" s="5"/>
      <c r="G13" s="5"/>
    </row>
    <row r="14" spans="1:12" ht="15.75" customHeight="1">
      <c r="A14" s="59">
        <v>44134</v>
      </c>
      <c r="B14" s="60" t="s">
        <v>5068</v>
      </c>
      <c r="C14" s="51" t="s">
        <v>317</v>
      </c>
      <c r="D14" s="51"/>
      <c r="E14" s="5"/>
      <c r="F14" s="5"/>
      <c r="G14" s="5"/>
    </row>
    <row r="15" spans="1:12" ht="15.75" customHeight="1">
      <c r="A15" s="59">
        <v>44165</v>
      </c>
      <c r="B15" s="60" t="s">
        <v>891</v>
      </c>
      <c r="C15" s="51" t="s">
        <v>4743</v>
      </c>
      <c r="D15" s="51"/>
      <c r="E15" s="5"/>
      <c r="F15" s="5"/>
      <c r="G15" s="5"/>
    </row>
    <row r="16" spans="1:12" ht="15.75" customHeight="1">
      <c r="A16" s="59">
        <v>44195</v>
      </c>
      <c r="B16" s="60" t="s">
        <v>5068</v>
      </c>
      <c r="C16" s="51" t="s">
        <v>317</v>
      </c>
      <c r="D16" s="51"/>
      <c r="E16" s="5"/>
      <c r="F16" s="5"/>
      <c r="G16" s="5"/>
    </row>
    <row r="17" spans="1:7" ht="15.75" customHeight="1">
      <c r="A17" s="51" t="s">
        <v>5070</v>
      </c>
      <c r="B17" s="60" t="s">
        <v>203</v>
      </c>
      <c r="C17" s="51" t="s">
        <v>197</v>
      </c>
      <c r="D17" s="51"/>
      <c r="E17" s="5"/>
      <c r="F17" s="5"/>
      <c r="G17" s="5"/>
    </row>
    <row r="18" spans="1:7" ht="15.75" customHeight="1">
      <c r="A18" s="51" t="s">
        <v>5071</v>
      </c>
      <c r="B18" s="60" t="s">
        <v>829</v>
      </c>
      <c r="C18" s="51" t="s">
        <v>4743</v>
      </c>
      <c r="D18" s="51"/>
      <c r="E18" s="5"/>
      <c r="F18" s="5"/>
      <c r="G18" s="5"/>
    </row>
    <row r="19" spans="1:7" ht="15.75" customHeight="1">
      <c r="A19" s="51" t="s">
        <v>5072</v>
      </c>
      <c r="B19" s="60" t="s">
        <v>4742</v>
      </c>
      <c r="C19" s="51" t="s">
        <v>4743</v>
      </c>
      <c r="D19" s="51"/>
      <c r="E19" s="5"/>
      <c r="F19" s="5"/>
      <c r="G19" s="5"/>
    </row>
    <row r="20" spans="1:7" ht="15.75" customHeight="1">
      <c r="A20" s="51" t="s">
        <v>5073</v>
      </c>
      <c r="B20" s="60" t="s">
        <v>5029</v>
      </c>
      <c r="C20" s="51" t="s">
        <v>197</v>
      </c>
      <c r="D20" s="51"/>
      <c r="E20" s="5"/>
      <c r="F20" s="5"/>
      <c r="G20" s="5"/>
    </row>
    <row r="21" spans="1:7" ht="15.75" customHeight="1">
      <c r="A21" s="51" t="s">
        <v>5074</v>
      </c>
      <c r="B21" s="60" t="s">
        <v>5068</v>
      </c>
      <c r="C21" s="51" t="s">
        <v>317</v>
      </c>
      <c r="D21" s="51"/>
      <c r="E21" s="5"/>
      <c r="F21" s="5"/>
      <c r="G21" s="5"/>
    </row>
    <row r="22" spans="1:7" ht="15.75" customHeight="1">
      <c r="A22" s="51" t="s">
        <v>5075</v>
      </c>
      <c r="B22" s="60" t="s">
        <v>5068</v>
      </c>
      <c r="C22" s="51" t="s">
        <v>317</v>
      </c>
      <c r="D22" s="51"/>
      <c r="E22" s="5"/>
      <c r="F22" s="5"/>
      <c r="G22" s="5"/>
    </row>
    <row r="23" spans="1:7" ht="15.75" customHeight="1">
      <c r="A23" s="51" t="s">
        <v>5076</v>
      </c>
      <c r="B23" s="60" t="s">
        <v>5027</v>
      </c>
      <c r="C23" s="51" t="s">
        <v>197</v>
      </c>
      <c r="D23" s="51"/>
      <c r="E23" s="5"/>
      <c r="F23" s="5"/>
      <c r="G23" s="5"/>
    </row>
    <row r="24" spans="1:7" ht="15.75" customHeight="1">
      <c r="A24" s="51" t="s">
        <v>5077</v>
      </c>
      <c r="B24" s="60" t="s">
        <v>314</v>
      </c>
      <c r="C24" s="51" t="s">
        <v>4114</v>
      </c>
      <c r="D24" s="51"/>
      <c r="E24" s="5"/>
      <c r="F24" s="5"/>
      <c r="G24" s="5"/>
    </row>
    <row r="25" spans="1:7" ht="15.75" customHeight="1">
      <c r="A25" s="51" t="s">
        <v>5078</v>
      </c>
      <c r="B25" s="60" t="s">
        <v>203</v>
      </c>
      <c r="C25" s="51" t="s">
        <v>197</v>
      </c>
      <c r="D25" s="51"/>
      <c r="E25" s="5"/>
      <c r="F25" s="5"/>
      <c r="G25" s="5"/>
    </row>
    <row r="26" spans="1:7" ht="15.75" customHeight="1">
      <c r="A26" s="51" t="s">
        <v>5079</v>
      </c>
      <c r="B26" s="60" t="s">
        <v>5029</v>
      </c>
      <c r="C26" s="51" t="s">
        <v>197</v>
      </c>
      <c r="D26" s="51"/>
      <c r="E26" s="5"/>
      <c r="F26" s="5"/>
      <c r="G26" s="5"/>
    </row>
    <row r="27" spans="1:7" ht="15.75" customHeight="1">
      <c r="A27" s="51" t="s">
        <v>5080</v>
      </c>
      <c r="B27" s="60" t="s">
        <v>4183</v>
      </c>
      <c r="C27" s="51" t="s">
        <v>4114</v>
      </c>
      <c r="D27" s="51"/>
      <c r="E27" s="5"/>
      <c r="F27" s="5"/>
      <c r="G27" s="5"/>
    </row>
    <row r="28" spans="1:7" ht="15.75" customHeight="1">
      <c r="A28" s="51" t="s">
        <v>5081</v>
      </c>
      <c r="B28" s="60" t="s">
        <v>314</v>
      </c>
      <c r="C28" s="51" t="s">
        <v>4114</v>
      </c>
      <c r="D28" s="51"/>
      <c r="E28" s="5"/>
      <c r="F28" s="5"/>
      <c r="G28" s="5"/>
    </row>
    <row r="29" spans="1:7" ht="15.75" customHeight="1">
      <c r="A29" s="51" t="s">
        <v>5082</v>
      </c>
      <c r="B29" s="60" t="s">
        <v>5068</v>
      </c>
      <c r="C29" s="51" t="s">
        <v>317</v>
      </c>
      <c r="D29" s="51"/>
      <c r="E29" s="5"/>
      <c r="F29" s="5"/>
      <c r="G29" s="5"/>
    </row>
    <row r="30" spans="1:7" ht="15.75" customHeight="1">
      <c r="A30" s="51" t="s">
        <v>5083</v>
      </c>
      <c r="B30" s="60" t="s">
        <v>357</v>
      </c>
      <c r="C30" s="51" t="s">
        <v>4114</v>
      </c>
      <c r="D30" s="51"/>
      <c r="E30" s="5"/>
      <c r="F30" s="5"/>
      <c r="G30" s="5"/>
    </row>
    <row r="31" spans="1:7" ht="15.75" customHeight="1">
      <c r="A31" s="51" t="s">
        <v>5084</v>
      </c>
      <c r="B31" s="60" t="s">
        <v>891</v>
      </c>
      <c r="C31" s="51" t="s">
        <v>4743</v>
      </c>
      <c r="D31" s="51"/>
      <c r="E31" s="5"/>
      <c r="F31" s="5"/>
      <c r="G31" s="5"/>
    </row>
    <row r="32" spans="1:7" ht="15.75" customHeight="1">
      <c r="A32" s="51" t="s">
        <v>5085</v>
      </c>
      <c r="B32" s="60" t="s">
        <v>5056</v>
      </c>
      <c r="C32" s="51" t="s">
        <v>4114</v>
      </c>
      <c r="D32" s="51"/>
      <c r="E32" s="5"/>
      <c r="F32" s="5"/>
      <c r="G32" s="5"/>
    </row>
    <row r="33" spans="1:7" ht="15.75" customHeight="1">
      <c r="A33" s="51" t="s">
        <v>5086</v>
      </c>
      <c r="B33" s="60" t="s">
        <v>829</v>
      </c>
      <c r="C33" s="51" t="s">
        <v>4743</v>
      </c>
      <c r="D33" s="51"/>
      <c r="E33" s="5"/>
      <c r="F33" s="5"/>
      <c r="G33" s="5"/>
    </row>
    <row r="34" spans="1:7" ht="15.75" customHeight="1">
      <c r="A34" s="51" t="s">
        <v>5087</v>
      </c>
      <c r="B34" s="60" t="s">
        <v>4742</v>
      </c>
      <c r="C34" s="51" t="s">
        <v>4743</v>
      </c>
      <c r="D34" s="73"/>
      <c r="E34" s="5"/>
      <c r="F34" s="51"/>
      <c r="G34" s="5"/>
    </row>
    <row r="35" spans="1:7" ht="15.75" customHeight="1">
      <c r="A35" s="59">
        <v>43860</v>
      </c>
      <c r="B35" s="60" t="s">
        <v>1584</v>
      </c>
      <c r="C35" s="51" t="s">
        <v>195</v>
      </c>
      <c r="D35" s="51"/>
      <c r="E35" s="5"/>
      <c r="F35" s="5"/>
      <c r="G35" s="5"/>
    </row>
    <row r="36" spans="1:7" ht="15.75" customHeight="1">
      <c r="A36" s="51" t="s">
        <v>5069</v>
      </c>
      <c r="B36" s="60" t="s">
        <v>5044</v>
      </c>
      <c r="C36" s="51" t="s">
        <v>195</v>
      </c>
      <c r="D36" s="51"/>
      <c r="E36" s="5"/>
      <c r="F36" s="5"/>
      <c r="G36" s="5"/>
    </row>
    <row r="37" spans="1:7" ht="15.75" customHeight="1">
      <c r="A37" s="59">
        <v>43920</v>
      </c>
      <c r="B37" s="60" t="s">
        <v>366</v>
      </c>
      <c r="C37" s="51" t="s">
        <v>195</v>
      </c>
      <c r="D37" s="51"/>
      <c r="E37" s="5"/>
      <c r="F37" s="5"/>
      <c r="G37" s="5"/>
    </row>
    <row r="38" spans="1:7" ht="15.75" customHeight="1">
      <c r="A38" s="59">
        <v>43951</v>
      </c>
      <c r="B38" s="60" t="s">
        <v>5025</v>
      </c>
      <c r="C38" s="51" t="s">
        <v>197</v>
      </c>
      <c r="D38" s="51"/>
      <c r="E38" s="5"/>
      <c r="F38" s="5"/>
      <c r="G38" s="5"/>
    </row>
    <row r="39" spans="1:7" ht="15.75" customHeight="1">
      <c r="A39" s="59">
        <v>43981</v>
      </c>
      <c r="B39" s="60" t="s">
        <v>5066</v>
      </c>
      <c r="C39" s="51" t="s">
        <v>317</v>
      </c>
      <c r="D39" s="51"/>
      <c r="E39" s="5"/>
      <c r="F39" s="5"/>
      <c r="G39" s="5"/>
    </row>
    <row r="40" spans="1:7" ht="15.75" customHeight="1">
      <c r="A40" s="59">
        <v>44012</v>
      </c>
      <c r="B40" s="60" t="s">
        <v>5066</v>
      </c>
      <c r="C40" s="51" t="s">
        <v>317</v>
      </c>
      <c r="D40" s="51"/>
      <c r="E40" s="5"/>
      <c r="F40" s="5"/>
      <c r="G40" s="5"/>
    </row>
    <row r="41" spans="1:7" ht="15.75" customHeight="1">
      <c r="A41" s="59">
        <v>44042</v>
      </c>
      <c r="B41" s="60" t="s">
        <v>5066</v>
      </c>
      <c r="C41" s="51" t="s">
        <v>317</v>
      </c>
      <c r="D41" s="51"/>
      <c r="E41" s="5"/>
      <c r="F41" s="5"/>
      <c r="G41" s="5"/>
    </row>
    <row r="42" spans="1:7" ht="15.75" customHeight="1">
      <c r="A42" s="59">
        <v>44073</v>
      </c>
      <c r="B42" s="60" t="s">
        <v>5066</v>
      </c>
      <c r="C42" s="51" t="s">
        <v>317</v>
      </c>
      <c r="D42" s="51"/>
      <c r="E42" s="5"/>
      <c r="F42" s="5"/>
      <c r="G42" s="5"/>
    </row>
    <row r="43" spans="1:7" ht="15.75" customHeight="1">
      <c r="A43" s="59">
        <v>44104</v>
      </c>
      <c r="B43" s="60" t="s">
        <v>5066</v>
      </c>
      <c r="C43" s="51" t="s">
        <v>317</v>
      </c>
      <c r="D43" s="51"/>
      <c r="E43" s="5"/>
      <c r="F43" s="5"/>
      <c r="G43" s="5"/>
    </row>
    <row r="44" spans="1:7" ht="15.75" customHeight="1">
      <c r="A44" s="59">
        <v>44134</v>
      </c>
      <c r="B44" s="60" t="s">
        <v>5066</v>
      </c>
      <c r="C44" s="51" t="s">
        <v>317</v>
      </c>
      <c r="D44" s="51"/>
      <c r="E44" s="5"/>
      <c r="F44" s="5"/>
      <c r="G44" s="5"/>
    </row>
    <row r="45" spans="1:7" ht="15.75" customHeight="1">
      <c r="A45" s="59">
        <v>44165</v>
      </c>
      <c r="B45" s="60" t="s">
        <v>5043</v>
      </c>
      <c r="C45" s="51" t="s">
        <v>195</v>
      </c>
      <c r="D45" s="51"/>
      <c r="E45" s="5"/>
      <c r="F45" s="5"/>
      <c r="G45" s="5"/>
    </row>
    <row r="46" spans="1:7" ht="15.75" customHeight="1">
      <c r="A46" s="59">
        <v>44195</v>
      </c>
      <c r="B46" s="60" t="s">
        <v>5088</v>
      </c>
      <c r="C46" s="51" t="s">
        <v>197</v>
      </c>
      <c r="D46" s="51"/>
      <c r="E46" s="5"/>
      <c r="F46" s="5"/>
      <c r="G46" s="5"/>
    </row>
    <row r="47" spans="1:7" ht="15.75" customHeight="1">
      <c r="A47" s="51" t="s">
        <v>5070</v>
      </c>
      <c r="B47" s="60" t="s">
        <v>5089</v>
      </c>
      <c r="C47" s="51" t="s">
        <v>4285</v>
      </c>
      <c r="D47" s="51"/>
      <c r="E47" s="5"/>
      <c r="F47" s="5"/>
      <c r="G47" s="5"/>
    </row>
    <row r="48" spans="1:7" ht="15.75" customHeight="1">
      <c r="A48" s="51" t="s">
        <v>5071</v>
      </c>
      <c r="B48" s="60" t="s">
        <v>4183</v>
      </c>
      <c r="C48" s="51" t="s">
        <v>4114</v>
      </c>
      <c r="D48" s="51"/>
      <c r="E48" s="51"/>
      <c r="F48" s="5"/>
      <c r="G48" s="5"/>
    </row>
    <row r="49" spans="1:7" ht="15.75" customHeight="1">
      <c r="A49" s="51" t="s">
        <v>5072</v>
      </c>
      <c r="B49" s="60" t="s">
        <v>314</v>
      </c>
      <c r="C49" s="51" t="s">
        <v>4114</v>
      </c>
      <c r="D49" s="51"/>
      <c r="E49" s="5"/>
      <c r="F49" s="5"/>
      <c r="G49" s="5"/>
    </row>
    <row r="50" spans="1:7" ht="15.75" customHeight="1">
      <c r="A50" s="51" t="s">
        <v>5073</v>
      </c>
      <c r="B50" s="60" t="s">
        <v>379</v>
      </c>
      <c r="C50" s="51" t="s">
        <v>195</v>
      </c>
      <c r="D50" s="51"/>
      <c r="E50" s="5"/>
      <c r="F50" s="5"/>
      <c r="G50" s="5"/>
    </row>
    <row r="51" spans="1:7" ht="15.75" customHeight="1">
      <c r="A51" s="51" t="s">
        <v>5074</v>
      </c>
      <c r="B51" s="60" t="s">
        <v>5066</v>
      </c>
      <c r="C51" s="51" t="s">
        <v>317</v>
      </c>
      <c r="D51" s="51"/>
      <c r="E51" s="5"/>
      <c r="F51" s="5"/>
      <c r="G51" s="5"/>
    </row>
    <row r="52" spans="1:7" ht="15.75" customHeight="1">
      <c r="A52" s="51" t="s">
        <v>5075</v>
      </c>
      <c r="B52" s="60" t="s">
        <v>5043</v>
      </c>
      <c r="C52" s="51" t="s">
        <v>195</v>
      </c>
      <c r="D52" s="51"/>
      <c r="E52" s="51"/>
      <c r="F52" s="5"/>
      <c r="G52" s="5"/>
    </row>
    <row r="53" spans="1:7" ht="13">
      <c r="A53" s="51" t="s">
        <v>5076</v>
      </c>
      <c r="B53" s="60" t="s">
        <v>933</v>
      </c>
      <c r="C53" s="51" t="s">
        <v>317</v>
      </c>
      <c r="D53" s="51"/>
      <c r="E53" s="5"/>
      <c r="F53" s="5"/>
      <c r="G53" s="5"/>
    </row>
    <row r="54" spans="1:7" ht="13">
      <c r="A54" s="51" t="s">
        <v>5077</v>
      </c>
      <c r="B54" s="60" t="s">
        <v>5029</v>
      </c>
      <c r="C54" s="51" t="s">
        <v>197</v>
      </c>
      <c r="D54" s="51"/>
      <c r="E54" s="5"/>
      <c r="F54" s="5"/>
      <c r="G54" s="5"/>
    </row>
    <row r="55" spans="1:7" ht="13">
      <c r="A55" s="51" t="s">
        <v>5078</v>
      </c>
      <c r="B55" s="60" t="s">
        <v>357</v>
      </c>
      <c r="C55" s="51" t="s">
        <v>4114</v>
      </c>
      <c r="D55" s="51"/>
      <c r="E55" s="5"/>
      <c r="F55" s="5"/>
      <c r="G55" s="5"/>
    </row>
    <row r="56" spans="1:7" ht="13">
      <c r="A56" s="51" t="s">
        <v>5079</v>
      </c>
      <c r="B56" s="60" t="s">
        <v>933</v>
      </c>
      <c r="C56" s="51" t="s">
        <v>317</v>
      </c>
      <c r="D56" s="51"/>
      <c r="E56" s="5"/>
      <c r="F56" s="5"/>
      <c r="G56" s="5"/>
    </row>
    <row r="57" spans="1:7" ht="13">
      <c r="A57" s="51" t="s">
        <v>5080</v>
      </c>
      <c r="B57" s="60" t="s">
        <v>5088</v>
      </c>
      <c r="C57" s="51" t="s">
        <v>4285</v>
      </c>
      <c r="D57" s="51"/>
      <c r="E57" s="5"/>
      <c r="F57" s="5"/>
      <c r="G57" s="5"/>
    </row>
    <row r="58" spans="1:7" ht="13">
      <c r="A58" s="51" t="s">
        <v>5081</v>
      </c>
      <c r="B58" s="60" t="s">
        <v>5056</v>
      </c>
      <c r="C58" s="51" t="s">
        <v>4114</v>
      </c>
      <c r="D58" s="51"/>
      <c r="E58" s="5"/>
      <c r="F58" s="5"/>
      <c r="G58" s="5"/>
    </row>
    <row r="59" spans="1:7" ht="13">
      <c r="A59" s="51" t="s">
        <v>5082</v>
      </c>
      <c r="B59" s="60" t="s">
        <v>5066</v>
      </c>
      <c r="C59" s="51" t="s">
        <v>317</v>
      </c>
      <c r="D59" s="51"/>
      <c r="E59" s="5"/>
      <c r="F59" s="5"/>
      <c r="G59" s="5"/>
    </row>
    <row r="60" spans="1:7" ht="13">
      <c r="A60" s="51" t="s">
        <v>5083</v>
      </c>
      <c r="B60" s="60" t="s">
        <v>933</v>
      </c>
      <c r="C60" s="51" t="s">
        <v>317</v>
      </c>
      <c r="D60" s="51"/>
      <c r="E60" s="5"/>
      <c r="F60" s="5"/>
      <c r="G60" s="5"/>
    </row>
    <row r="61" spans="1:7" ht="13">
      <c r="A61" s="51" t="s">
        <v>5084</v>
      </c>
      <c r="B61" s="60" t="s">
        <v>314</v>
      </c>
      <c r="C61" s="51" t="s">
        <v>4114</v>
      </c>
      <c r="D61" s="51"/>
      <c r="E61" s="5"/>
      <c r="F61" s="5"/>
      <c r="G61" s="5"/>
    </row>
    <row r="62" spans="1:7" ht="13">
      <c r="A62" s="51" t="s">
        <v>5085</v>
      </c>
      <c r="B62" s="60" t="s">
        <v>933</v>
      </c>
      <c r="C62" s="51" t="s">
        <v>317</v>
      </c>
      <c r="D62" s="51"/>
      <c r="E62" s="5"/>
      <c r="F62" s="5"/>
      <c r="G62" s="5"/>
    </row>
    <row r="63" spans="1:7" ht="13">
      <c r="A63" s="51" t="s">
        <v>5086</v>
      </c>
      <c r="B63" s="60" t="s">
        <v>315</v>
      </c>
      <c r="C63" s="51" t="s">
        <v>4114</v>
      </c>
      <c r="D63" s="51"/>
      <c r="E63" s="5"/>
      <c r="F63" s="5"/>
      <c r="G63" s="5"/>
    </row>
    <row r="64" spans="1:7" ht="13">
      <c r="A64" s="51" t="s">
        <v>5087</v>
      </c>
      <c r="B64" s="60" t="s">
        <v>5089</v>
      </c>
      <c r="C64" s="48" t="s">
        <v>4285</v>
      </c>
      <c r="D64" s="48"/>
      <c r="E64" s="5"/>
      <c r="F64" s="5"/>
      <c r="G64" s="5"/>
    </row>
    <row r="65" spans="1:7" ht="13">
      <c r="A65" s="48"/>
      <c r="B65" s="50"/>
      <c r="C65" s="48"/>
      <c r="D65" s="47"/>
      <c r="E65" s="5"/>
      <c r="F65" s="5"/>
      <c r="G65" s="5"/>
    </row>
    <row r="66" spans="1:7" ht="13">
      <c r="A66" s="48"/>
      <c r="B66" s="50"/>
      <c r="C66" s="48"/>
      <c r="D66" s="73"/>
      <c r="E66" s="5"/>
      <c r="F66" s="5"/>
      <c r="G66" s="5"/>
    </row>
    <row r="67" spans="1:7" ht="13">
      <c r="A67" s="48"/>
      <c r="B67" s="50"/>
      <c r="C67" s="48"/>
      <c r="D67" s="73"/>
      <c r="E67" s="5"/>
      <c r="F67" s="5"/>
      <c r="G67" s="5"/>
    </row>
    <row r="68" spans="1:7" ht="13">
      <c r="A68" s="48"/>
      <c r="B68" s="50"/>
      <c r="C68" s="48"/>
      <c r="D68" s="73"/>
      <c r="E68" s="5"/>
      <c r="F68" s="5"/>
      <c r="G68" s="5"/>
    </row>
    <row r="69" spans="1:7" ht="13">
      <c r="A69" s="48"/>
      <c r="B69" s="50"/>
      <c r="C69" s="48"/>
      <c r="D69" s="48"/>
      <c r="E69" s="5"/>
      <c r="F69" s="5"/>
      <c r="G69" s="5"/>
    </row>
    <row r="70" spans="1:7" ht="13">
      <c r="A70" s="48"/>
      <c r="B70" s="50"/>
      <c r="C70" s="48"/>
      <c r="D70" s="73"/>
      <c r="E70" s="5"/>
      <c r="F70" s="5"/>
      <c r="G70" s="5"/>
    </row>
    <row r="71" spans="1:7" ht="13">
      <c r="A71" s="48"/>
      <c r="B71" s="50"/>
      <c r="C71" s="48"/>
      <c r="D71" s="73"/>
      <c r="E71" s="5"/>
      <c r="F71" s="5"/>
      <c r="G71" s="5"/>
    </row>
    <row r="72" spans="1:7" ht="13">
      <c r="A72" s="48"/>
      <c r="B72" s="50"/>
      <c r="C72" s="48"/>
      <c r="D72" s="73"/>
      <c r="E72" s="5"/>
      <c r="F72" s="5"/>
      <c r="G72" s="5"/>
    </row>
    <row r="73" spans="1:7" ht="13">
      <c r="A73" s="48"/>
      <c r="B73" s="50"/>
      <c r="C73" s="48"/>
      <c r="D73" s="73"/>
      <c r="E73" s="5"/>
      <c r="F73" s="5"/>
      <c r="G73" s="5"/>
    </row>
    <row r="74" spans="1:7" ht="13">
      <c r="A74" s="48"/>
      <c r="B74" s="50"/>
      <c r="C74" s="48"/>
      <c r="D74" s="73"/>
      <c r="E74" s="5"/>
      <c r="F74" s="5"/>
      <c r="G74" s="5"/>
    </row>
    <row r="75" spans="1:7" ht="13">
      <c r="A75" s="48"/>
      <c r="B75" s="50"/>
      <c r="C75" s="48"/>
      <c r="D75" s="73"/>
      <c r="E75" s="5"/>
      <c r="F75" s="5"/>
      <c r="G75" s="5"/>
    </row>
    <row r="76" spans="1:7" ht="13">
      <c r="A76" s="48"/>
      <c r="B76" s="50"/>
      <c r="C76" s="48"/>
      <c r="D76" s="73"/>
      <c r="E76" s="5"/>
      <c r="F76" s="5"/>
      <c r="G76" s="5"/>
    </row>
    <row r="77" spans="1:7" ht="13">
      <c r="A77" s="48"/>
      <c r="B77" s="50"/>
      <c r="C77" s="48"/>
      <c r="D77" s="73"/>
      <c r="E77" s="5"/>
      <c r="F77" s="5"/>
      <c r="G77" s="5"/>
    </row>
    <row r="78" spans="1:7" ht="13">
      <c r="A78" s="48"/>
      <c r="B78" s="50"/>
      <c r="C78" s="48"/>
      <c r="D78" s="73"/>
      <c r="E78" s="5"/>
      <c r="F78" s="5"/>
      <c r="G78" s="5"/>
    </row>
    <row r="79" spans="1:7" ht="13">
      <c r="A79" s="48"/>
      <c r="B79" s="50"/>
      <c r="C79" s="48"/>
      <c r="D79" s="73"/>
      <c r="E79" s="5"/>
      <c r="F79" s="5"/>
      <c r="G79" s="5"/>
    </row>
    <row r="80" spans="1:7" ht="13">
      <c r="A80" s="48"/>
      <c r="B80" s="50"/>
      <c r="C80" s="48"/>
      <c r="D80" s="73"/>
      <c r="E80" s="5"/>
      <c r="F80" s="5"/>
      <c r="G80" s="5"/>
    </row>
    <row r="81" spans="1:7" ht="13">
      <c r="A81" s="48"/>
      <c r="B81" s="50"/>
      <c r="C81" s="48"/>
      <c r="D81" s="73"/>
      <c r="E81" s="5"/>
      <c r="F81" s="5"/>
      <c r="G81" s="5"/>
    </row>
    <row r="82" spans="1:7" ht="13">
      <c r="A82" s="48"/>
      <c r="B82" s="50"/>
      <c r="C82" s="48"/>
      <c r="D82" s="73"/>
      <c r="E82" s="5"/>
      <c r="F82" s="5"/>
      <c r="G82" s="5"/>
    </row>
    <row r="83" spans="1:7" ht="13">
      <c r="A83" s="48"/>
      <c r="B83" s="53"/>
      <c r="C83" s="48"/>
      <c r="D83" s="73"/>
      <c r="E83" s="5"/>
      <c r="F83" s="5"/>
      <c r="G83" s="5"/>
    </row>
    <row r="84" spans="1:7" ht="13">
      <c r="A84" s="48"/>
      <c r="B84" s="53"/>
      <c r="C84" s="48"/>
      <c r="D84" s="73"/>
      <c r="E84" s="5"/>
      <c r="F84" s="5"/>
      <c r="G84" s="5"/>
    </row>
    <row r="85" spans="1:7" ht="13">
      <c r="A85" s="48"/>
      <c r="B85" s="50"/>
      <c r="C85" s="48"/>
      <c r="D85" s="73"/>
      <c r="E85" s="5"/>
      <c r="F85" s="5"/>
      <c r="G85" s="5"/>
    </row>
    <row r="86" spans="1:7" ht="13">
      <c r="A86" s="48"/>
      <c r="B86" s="50"/>
      <c r="C86" s="48"/>
      <c r="D86" s="73"/>
      <c r="E86" s="5"/>
      <c r="F86" s="5"/>
      <c r="G86" s="5"/>
    </row>
    <row r="87" spans="1:7" ht="13">
      <c r="A87" s="48"/>
      <c r="B87" s="50"/>
      <c r="C87" s="48"/>
      <c r="D87" s="73"/>
      <c r="E87" s="5"/>
      <c r="F87" s="5"/>
      <c r="G87" s="5"/>
    </row>
    <row r="88" spans="1:7" ht="13">
      <c r="A88" s="48"/>
      <c r="B88" s="50"/>
      <c r="C88" s="48"/>
      <c r="D88" s="73"/>
      <c r="E88" s="5"/>
      <c r="F88" s="5"/>
      <c r="G88" s="5"/>
    </row>
    <row r="89" spans="1:7" ht="13">
      <c r="A89" s="48"/>
      <c r="B89" s="50"/>
      <c r="C89" s="48"/>
      <c r="D89" s="73"/>
      <c r="E89" s="5"/>
      <c r="F89" s="5"/>
      <c r="G89" s="5"/>
    </row>
    <row r="90" spans="1:7" ht="13">
      <c r="A90" s="48"/>
      <c r="B90" s="50"/>
      <c r="C90" s="48"/>
      <c r="D90" s="73"/>
      <c r="E90" s="5"/>
      <c r="F90" s="5"/>
      <c r="G90" s="5"/>
    </row>
    <row r="91" spans="1:7" ht="13">
      <c r="A91" s="48"/>
      <c r="B91" s="50"/>
      <c r="C91" s="48"/>
      <c r="D91" s="73"/>
      <c r="E91" s="5"/>
      <c r="F91" s="5"/>
      <c r="G91" s="5"/>
    </row>
    <row r="92" spans="1:7" ht="13">
      <c r="A92" s="48"/>
      <c r="B92" s="50"/>
      <c r="C92" s="48"/>
      <c r="D92" s="73"/>
      <c r="E92" s="5"/>
      <c r="F92" s="5"/>
      <c r="G92" s="5"/>
    </row>
    <row r="93" spans="1:7" ht="13">
      <c r="A93" s="48"/>
      <c r="B93" s="50"/>
      <c r="C93" s="48"/>
      <c r="D93" s="73"/>
      <c r="E93" s="5"/>
      <c r="F93" s="5"/>
      <c r="G93" s="5"/>
    </row>
    <row r="94" spans="1:7" ht="13">
      <c r="A94" s="48"/>
      <c r="B94" s="50"/>
      <c r="C94" s="48"/>
      <c r="D94" s="73"/>
      <c r="E94" s="5"/>
      <c r="F94" s="5"/>
      <c r="G94" s="5"/>
    </row>
    <row r="95" spans="1:7" ht="13">
      <c r="A95" s="48"/>
      <c r="B95" s="50"/>
      <c r="C95" s="48"/>
      <c r="D95" s="73"/>
      <c r="E95" s="5"/>
      <c r="F95" s="5"/>
      <c r="G95" s="5"/>
    </row>
    <row r="96" spans="1:7" ht="13">
      <c r="A96" s="48"/>
      <c r="B96" s="50"/>
      <c r="C96" s="48"/>
      <c r="D96" s="47"/>
      <c r="E96" s="5"/>
      <c r="F96" s="5"/>
      <c r="G96" s="5"/>
    </row>
    <row r="97" spans="1:7" ht="13">
      <c r="A97" s="48"/>
      <c r="B97" s="50"/>
      <c r="C97" s="48"/>
      <c r="D97" s="73"/>
      <c r="E97" s="5"/>
      <c r="F97" s="5"/>
      <c r="G97" s="5"/>
    </row>
    <row r="98" spans="1:7" ht="13">
      <c r="A98" s="48"/>
      <c r="B98" s="50"/>
      <c r="C98" s="48"/>
      <c r="D98" s="73"/>
      <c r="E98" s="5"/>
      <c r="F98" s="5"/>
      <c r="G98" s="5"/>
    </row>
    <row r="99" spans="1:7" ht="13">
      <c r="A99" s="48"/>
      <c r="B99" s="50"/>
      <c r="C99" s="48"/>
      <c r="D99" s="73"/>
      <c r="E99" s="5"/>
      <c r="F99" s="5"/>
      <c r="G99" s="5"/>
    </row>
    <row r="100" spans="1:7" ht="13">
      <c r="A100" s="48"/>
      <c r="B100" s="50"/>
      <c r="C100" s="48"/>
      <c r="D100" s="48"/>
      <c r="E100" s="5"/>
      <c r="F100" s="5"/>
      <c r="G100" s="5"/>
    </row>
    <row r="101" spans="1:7" ht="13">
      <c r="A101" s="48"/>
      <c r="B101" s="53"/>
      <c r="C101" s="48"/>
      <c r="D101" s="73"/>
      <c r="E101" s="5"/>
      <c r="F101" s="5"/>
      <c r="G101" s="5"/>
    </row>
    <row r="102" spans="1:7" ht="13">
      <c r="A102" s="48"/>
      <c r="B102" s="50"/>
      <c r="C102" s="48"/>
      <c r="D102" s="73"/>
      <c r="E102" s="5"/>
      <c r="F102" s="5"/>
      <c r="G102" s="5"/>
    </row>
    <row r="103" spans="1:7" ht="13">
      <c r="A103" s="48"/>
      <c r="B103" s="50"/>
      <c r="C103" s="48"/>
      <c r="D103" s="73"/>
      <c r="E103" s="5"/>
      <c r="F103" s="5"/>
      <c r="G103" s="5"/>
    </row>
    <row r="104" spans="1:7" ht="13">
      <c r="A104" s="48"/>
      <c r="B104" s="50"/>
      <c r="C104" s="48"/>
      <c r="D104" s="73"/>
      <c r="E104" s="5"/>
      <c r="F104" s="5"/>
      <c r="G104" s="5"/>
    </row>
    <row r="105" spans="1:7" ht="13">
      <c r="A105" s="48"/>
      <c r="B105" s="50"/>
      <c r="C105" s="48"/>
      <c r="D105" s="73"/>
      <c r="E105" s="5"/>
      <c r="F105" s="5"/>
      <c r="G105" s="5"/>
    </row>
    <row r="106" spans="1:7" ht="13">
      <c r="A106" s="48"/>
      <c r="B106" s="50"/>
      <c r="C106" s="48"/>
      <c r="D106" s="73"/>
      <c r="E106" s="5"/>
      <c r="F106" s="5"/>
      <c r="G106" s="5"/>
    </row>
    <row r="107" spans="1:7" ht="13">
      <c r="A107" s="48"/>
      <c r="B107" s="50"/>
      <c r="C107" s="48"/>
      <c r="D107" s="47"/>
      <c r="E107" s="5"/>
      <c r="F107" s="5"/>
      <c r="G107" s="5"/>
    </row>
    <row r="108" spans="1:7" ht="13">
      <c r="A108" s="48"/>
      <c r="B108" s="50"/>
      <c r="C108" s="48"/>
      <c r="D108" s="47"/>
      <c r="E108" s="5"/>
      <c r="F108" s="5"/>
      <c r="G108" s="5"/>
    </row>
    <row r="109" spans="1:7" ht="13">
      <c r="A109" s="48"/>
      <c r="B109" s="50"/>
      <c r="C109" s="48"/>
      <c r="D109" s="73"/>
      <c r="E109" s="5"/>
      <c r="F109" s="5"/>
      <c r="G109" s="5"/>
    </row>
    <row r="110" spans="1:7" ht="13">
      <c r="A110" s="48"/>
      <c r="B110" s="50"/>
      <c r="C110" s="48"/>
      <c r="D110" s="48"/>
      <c r="E110" s="5"/>
      <c r="F110" s="5"/>
      <c r="G110" s="5"/>
    </row>
    <row r="111" spans="1:7" ht="13">
      <c r="A111" s="48"/>
      <c r="B111" s="50"/>
      <c r="C111" s="48"/>
      <c r="D111" s="73"/>
      <c r="E111" s="5"/>
      <c r="F111" s="5"/>
      <c r="G111" s="5"/>
    </row>
    <row r="112" spans="1:7" ht="13">
      <c r="A112" s="48"/>
      <c r="B112" s="50"/>
      <c r="C112" s="48"/>
      <c r="D112" s="48"/>
      <c r="E112" s="5"/>
      <c r="F112" s="5"/>
      <c r="G112" s="5"/>
    </row>
    <row r="113" spans="1:7" ht="13">
      <c r="A113" s="48"/>
      <c r="B113" s="50"/>
      <c r="C113" s="48"/>
      <c r="D113" s="73"/>
      <c r="E113" s="5"/>
      <c r="F113" s="5"/>
      <c r="G113" s="5"/>
    </row>
    <row r="114" spans="1:7" ht="13">
      <c r="A114" s="48"/>
      <c r="B114" s="50"/>
      <c r="C114" s="48"/>
      <c r="D114" s="73"/>
      <c r="E114" s="5"/>
      <c r="F114" s="5"/>
      <c r="G114" s="5"/>
    </row>
    <row r="115" spans="1:7" ht="13">
      <c r="A115" s="48"/>
      <c r="B115" s="50"/>
      <c r="C115" s="48"/>
      <c r="D115" s="73"/>
      <c r="E115" s="5"/>
      <c r="F115" s="5"/>
      <c r="G115" s="5"/>
    </row>
    <row r="116" spans="1:7" ht="13">
      <c r="A116" s="48"/>
      <c r="B116" s="50"/>
      <c r="C116" s="48"/>
      <c r="D116" s="73"/>
      <c r="E116" s="5"/>
      <c r="F116" s="5"/>
      <c r="G116" s="5"/>
    </row>
    <row r="117" spans="1:7" ht="13">
      <c r="A117" s="48"/>
      <c r="B117" s="50"/>
      <c r="C117" s="48"/>
      <c r="D117" s="73"/>
      <c r="E117" s="5"/>
      <c r="F117" s="5"/>
      <c r="G117" s="5"/>
    </row>
    <row r="118" spans="1:7" ht="13">
      <c r="A118" s="48"/>
      <c r="B118" s="50"/>
      <c r="C118" s="48"/>
      <c r="D118" s="73"/>
      <c r="E118" s="5"/>
      <c r="F118" s="5"/>
      <c r="G118" s="5"/>
    </row>
    <row r="119" spans="1:7" ht="13">
      <c r="A119" s="48"/>
      <c r="B119" s="50"/>
      <c r="C119" s="48"/>
      <c r="D119" s="73"/>
      <c r="E119" s="5"/>
      <c r="F119" s="5"/>
      <c r="G119" s="5"/>
    </row>
    <row r="120" spans="1:7" ht="13">
      <c r="A120" s="48"/>
      <c r="B120" s="50"/>
      <c r="C120" s="48"/>
      <c r="D120" s="48"/>
      <c r="E120" s="5"/>
      <c r="F120" s="5"/>
      <c r="G120" s="5"/>
    </row>
    <row r="121" spans="1:7" ht="13">
      <c r="A121" s="48"/>
      <c r="B121" s="50"/>
      <c r="C121" s="48"/>
      <c r="D121" s="73"/>
      <c r="E121" s="5"/>
      <c r="F121" s="5"/>
      <c r="G121" s="5"/>
    </row>
    <row r="122" spans="1:7" ht="13">
      <c r="A122" s="48"/>
      <c r="B122" s="50"/>
      <c r="C122" s="48"/>
      <c r="D122" s="73"/>
      <c r="E122" s="5"/>
      <c r="F122" s="5"/>
      <c r="G122" s="5"/>
    </row>
    <row r="123" spans="1:7" ht="13">
      <c r="A123" s="48"/>
      <c r="B123" s="50"/>
      <c r="C123" s="48"/>
      <c r="D123" s="73"/>
      <c r="E123" s="5"/>
      <c r="F123" s="5"/>
      <c r="G123" s="5"/>
    </row>
    <row r="124" spans="1:7" ht="13">
      <c r="A124" s="48"/>
      <c r="B124" s="50"/>
      <c r="C124" s="48"/>
      <c r="D124" s="73"/>
      <c r="E124" s="5"/>
      <c r="F124" s="5"/>
      <c r="G124" s="5"/>
    </row>
    <row r="125" spans="1:7" ht="13">
      <c r="A125" s="48"/>
      <c r="B125" s="50"/>
      <c r="C125" s="48"/>
      <c r="D125" s="73"/>
      <c r="E125" s="5"/>
      <c r="F125" s="5"/>
      <c r="G125" s="5"/>
    </row>
    <row r="126" spans="1:7" ht="13">
      <c r="A126" s="48"/>
      <c r="B126" s="50"/>
      <c r="C126" s="48"/>
      <c r="D126" s="73"/>
      <c r="E126" s="5"/>
      <c r="F126" s="5"/>
      <c r="G126" s="5"/>
    </row>
    <row r="127" spans="1:7" ht="13">
      <c r="A127" s="48"/>
      <c r="B127" s="50"/>
      <c r="C127" s="48"/>
      <c r="D127" s="48"/>
      <c r="E127" s="5"/>
      <c r="F127" s="5"/>
      <c r="G127" s="5"/>
    </row>
    <row r="128" spans="1:7" ht="13">
      <c r="A128" s="48"/>
      <c r="B128" s="50"/>
      <c r="C128" s="48"/>
      <c r="D128" s="73"/>
      <c r="E128" s="5"/>
      <c r="F128" s="5"/>
      <c r="G128" s="5"/>
    </row>
    <row r="129" spans="1:7" ht="13">
      <c r="A129" s="48"/>
      <c r="B129" s="50"/>
      <c r="C129" s="48"/>
      <c r="D129" s="47"/>
      <c r="E129" s="5"/>
      <c r="F129" s="5"/>
      <c r="G129" s="5"/>
    </row>
    <row r="130" spans="1:7" ht="13">
      <c r="A130" s="48"/>
      <c r="B130" s="50"/>
      <c r="C130" s="48"/>
      <c r="D130" s="47"/>
      <c r="E130" s="5"/>
      <c r="F130" s="5"/>
      <c r="G130" s="5"/>
    </row>
    <row r="131" spans="1:7" ht="13">
      <c r="A131" s="48"/>
      <c r="B131" s="50"/>
      <c r="C131" s="48"/>
      <c r="D131" s="73"/>
      <c r="E131" s="5"/>
      <c r="F131" s="5"/>
      <c r="G131" s="5"/>
    </row>
    <row r="132" spans="1:7" ht="13">
      <c r="A132" s="48"/>
      <c r="B132" s="50"/>
      <c r="C132" s="48"/>
      <c r="D132" s="73"/>
      <c r="E132" s="5"/>
      <c r="F132" s="5"/>
      <c r="G132" s="5"/>
    </row>
    <row r="133" spans="1:7" ht="13">
      <c r="A133" s="48"/>
      <c r="B133" s="50"/>
      <c r="C133" s="48"/>
      <c r="D133" s="47"/>
      <c r="E133" s="5"/>
      <c r="F133" s="5"/>
      <c r="G133" s="5"/>
    </row>
    <row r="134" spans="1:7" ht="13">
      <c r="A134" s="48"/>
      <c r="B134" s="50"/>
      <c r="C134" s="48"/>
      <c r="D134" s="47"/>
      <c r="E134" s="5"/>
      <c r="F134" s="5"/>
      <c r="G134" s="5"/>
    </row>
    <row r="135" spans="1:7" ht="13">
      <c r="A135" s="48"/>
      <c r="B135" s="50"/>
      <c r="C135" s="48"/>
      <c r="D135" s="47"/>
      <c r="E135" s="5"/>
      <c r="F135" s="5"/>
      <c r="G135" s="5"/>
    </row>
    <row r="136" spans="1:7" ht="13">
      <c r="A136" s="48"/>
      <c r="B136" s="50"/>
      <c r="C136" s="48"/>
      <c r="D136" s="47"/>
      <c r="E136" s="5"/>
      <c r="F136" s="5"/>
      <c r="G136" s="5"/>
    </row>
    <row r="137" spans="1:7" ht="13">
      <c r="A137" s="48"/>
      <c r="B137" s="50"/>
      <c r="C137" s="48"/>
      <c r="D137" s="47"/>
      <c r="E137" s="5"/>
      <c r="F137" s="5"/>
      <c r="G137" s="5"/>
    </row>
    <row r="138" spans="1:7" ht="13">
      <c r="A138" s="48"/>
      <c r="B138" s="50"/>
      <c r="C138" s="48"/>
      <c r="D138" s="47"/>
      <c r="E138" s="5"/>
      <c r="F138" s="5"/>
      <c r="G138" s="5"/>
    </row>
    <row r="139" spans="1:7" ht="13">
      <c r="A139" s="48"/>
      <c r="B139" s="50"/>
      <c r="C139" s="48"/>
      <c r="D139" s="47"/>
      <c r="E139" s="5"/>
      <c r="F139" s="5"/>
      <c r="G139" s="5"/>
    </row>
    <row r="140" spans="1:7" ht="13">
      <c r="A140" s="48"/>
      <c r="B140" s="50"/>
      <c r="C140" s="48"/>
      <c r="D140" s="47"/>
      <c r="E140" s="5"/>
      <c r="F140" s="5"/>
      <c r="G140" s="5"/>
    </row>
    <row r="141" spans="1:7" ht="13">
      <c r="A141" s="48"/>
      <c r="B141" s="50"/>
      <c r="C141" s="48"/>
      <c r="D141" s="47"/>
      <c r="E141" s="5"/>
      <c r="F141" s="5"/>
      <c r="G141" s="5"/>
    </row>
    <row r="142" spans="1:7" ht="13">
      <c r="A142" s="48"/>
      <c r="B142" s="50"/>
      <c r="C142" s="48"/>
      <c r="D142" s="47"/>
      <c r="E142" s="5"/>
      <c r="F142" s="5"/>
      <c r="G142" s="5"/>
    </row>
    <row r="143" spans="1:7" ht="13">
      <c r="A143" s="48"/>
      <c r="B143" s="50"/>
      <c r="C143" s="48"/>
      <c r="D143" s="47"/>
      <c r="E143" s="5"/>
      <c r="F143" s="5"/>
      <c r="G143" s="5"/>
    </row>
    <row r="144" spans="1:7" ht="13">
      <c r="A144" s="48"/>
      <c r="B144" s="50"/>
      <c r="C144" s="48"/>
      <c r="D144" s="47"/>
      <c r="E144" s="5"/>
      <c r="F144" s="5"/>
      <c r="G144" s="5"/>
    </row>
    <row r="145" spans="1:7" ht="13">
      <c r="A145" s="48"/>
      <c r="B145" s="53"/>
      <c r="C145" s="48"/>
      <c r="D145" s="47"/>
      <c r="E145" s="5"/>
      <c r="F145" s="5"/>
      <c r="G145" s="5"/>
    </row>
    <row r="146" spans="1:7" ht="13">
      <c r="A146" s="48"/>
      <c r="B146" s="53"/>
      <c r="C146" s="48"/>
      <c r="D146" s="47"/>
      <c r="E146" s="5"/>
      <c r="F146" s="5"/>
      <c r="G146" s="5"/>
    </row>
    <row r="147" spans="1:7" ht="13">
      <c r="A147" s="48"/>
      <c r="B147" s="53"/>
      <c r="C147" s="48"/>
      <c r="D147" s="47"/>
      <c r="E147" s="5"/>
      <c r="F147" s="5"/>
      <c r="G147" s="5"/>
    </row>
    <row r="148" spans="1:7" ht="13">
      <c r="A148" s="48"/>
      <c r="B148" s="53"/>
      <c r="C148" s="48"/>
      <c r="D148" s="47"/>
      <c r="E148" s="5"/>
      <c r="F148" s="5"/>
      <c r="G148" s="5"/>
    </row>
    <row r="149" spans="1:7" ht="13">
      <c r="A149" s="48"/>
      <c r="B149" s="53"/>
      <c r="C149" s="48"/>
      <c r="D149" s="47"/>
      <c r="E149" s="5"/>
      <c r="F149" s="5"/>
      <c r="G149" s="5"/>
    </row>
    <row r="150" spans="1:7" ht="13">
      <c r="A150" s="48"/>
      <c r="B150" s="53"/>
      <c r="C150" s="48"/>
      <c r="D150" s="47"/>
      <c r="E150" s="5"/>
      <c r="F150" s="5"/>
      <c r="G150" s="5"/>
    </row>
    <row r="151" spans="1:7" ht="13">
      <c r="D151" s="5"/>
      <c r="E151" s="5"/>
      <c r="F151" s="5"/>
      <c r="G151" s="5"/>
    </row>
    <row r="152" spans="1:7" ht="13">
      <c r="A152" s="64"/>
      <c r="B152" s="65"/>
      <c r="C152" s="64"/>
      <c r="D152" s="66"/>
      <c r="E152" s="5"/>
      <c r="F152" s="5"/>
      <c r="G152" s="5"/>
    </row>
    <row r="153" spans="1:7" ht="13">
      <c r="A153" s="64"/>
      <c r="B153" s="65"/>
      <c r="C153" s="64"/>
      <c r="D153" s="66"/>
      <c r="E153" s="5"/>
      <c r="F153" s="5"/>
      <c r="G153" s="5"/>
    </row>
    <row r="154" spans="1:7" ht="13">
      <c r="A154" s="64"/>
      <c r="B154" s="65"/>
      <c r="C154" s="64"/>
      <c r="D154" s="66"/>
      <c r="E154" s="5"/>
      <c r="F154" s="5"/>
      <c r="G154" s="5"/>
    </row>
    <row r="155" spans="1:7" ht="13">
      <c r="A155" s="64"/>
      <c r="B155" s="65"/>
      <c r="C155" s="64"/>
      <c r="D155" s="66"/>
      <c r="E155" s="5"/>
      <c r="F155" s="5"/>
      <c r="G155" s="5"/>
    </row>
    <row r="156" spans="1:7" ht="13">
      <c r="A156" s="64"/>
      <c r="B156" s="65"/>
      <c r="C156" s="64"/>
      <c r="D156" s="66"/>
      <c r="E156" s="5"/>
      <c r="F156" s="5"/>
      <c r="G156" s="5"/>
    </row>
    <row r="157" spans="1:7" ht="13">
      <c r="A157" s="64"/>
      <c r="B157" s="65"/>
      <c r="C157" s="64"/>
      <c r="D157" s="66"/>
      <c r="E157" s="5"/>
      <c r="F157" s="5"/>
      <c r="G157" s="5"/>
    </row>
    <row r="158" spans="1:7" ht="13">
      <c r="A158" s="64"/>
      <c r="B158" s="65"/>
      <c r="C158" s="64"/>
      <c r="D158" s="66"/>
      <c r="E158" s="5"/>
      <c r="F158" s="5"/>
      <c r="G158" s="5"/>
    </row>
    <row r="159" spans="1:7" ht="13">
      <c r="A159" s="64"/>
      <c r="B159" s="67"/>
      <c r="C159" s="64"/>
      <c r="D159" s="66"/>
      <c r="E159" s="5"/>
      <c r="F159" s="5"/>
      <c r="G159" s="5"/>
    </row>
    <row r="160" spans="1:7" ht="13">
      <c r="A160" s="64"/>
      <c r="B160" s="65"/>
      <c r="C160" s="64"/>
      <c r="D160" s="66"/>
      <c r="E160" s="5"/>
      <c r="F160" s="5"/>
      <c r="G160" s="5"/>
    </row>
    <row r="161" spans="1:7" ht="13">
      <c r="A161" s="64"/>
      <c r="B161" s="67"/>
      <c r="C161" s="64"/>
      <c r="D161" s="66"/>
      <c r="E161" s="5"/>
      <c r="F161" s="5"/>
      <c r="G161" s="5"/>
    </row>
    <row r="162" spans="1:7" ht="13">
      <c r="A162" s="64"/>
      <c r="B162" s="68"/>
      <c r="C162" s="64"/>
      <c r="D162" s="66"/>
      <c r="E162" s="5"/>
      <c r="F162" s="5"/>
      <c r="G162" s="5"/>
    </row>
    <row r="163" spans="1:7" ht="13">
      <c r="A163" s="64"/>
      <c r="B163" s="68"/>
      <c r="C163" s="64"/>
      <c r="D163" s="66"/>
      <c r="E163" s="5"/>
      <c r="F163" s="5"/>
      <c r="G163" s="5"/>
    </row>
    <row r="164" spans="1:7" ht="13">
      <c r="A164" s="64"/>
      <c r="B164" s="68"/>
      <c r="C164" s="64"/>
      <c r="D164" s="66"/>
      <c r="E164" s="5"/>
      <c r="F164" s="5"/>
      <c r="G164" s="5"/>
    </row>
    <row r="165" spans="1:7" ht="13">
      <c r="A165" s="64"/>
      <c r="B165" s="68"/>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8"/>
      <c r="C168" s="64"/>
      <c r="D168" s="66"/>
      <c r="E168" s="5"/>
      <c r="F168" s="5"/>
      <c r="G168" s="5"/>
    </row>
    <row r="169" spans="1:7" ht="13">
      <c r="A169" s="64"/>
      <c r="B169" s="68"/>
      <c r="C169" s="64"/>
      <c r="D169" s="66"/>
      <c r="E169" s="5"/>
      <c r="F169" s="5"/>
      <c r="G169"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5" r:id="rId1" xr:uid="{00000000-0004-0000-4300-000000000000}"/>
    <hyperlink ref="B6" r:id="rId2" xr:uid="{00000000-0004-0000-4300-000001000000}"/>
    <hyperlink ref="B7" r:id="rId3" xr:uid="{00000000-0004-0000-4300-000002000000}"/>
    <hyperlink ref="B8" r:id="rId4" xr:uid="{00000000-0004-0000-4300-000003000000}"/>
    <hyperlink ref="B9" r:id="rId5" xr:uid="{00000000-0004-0000-4300-000004000000}"/>
    <hyperlink ref="B10" r:id="rId6" xr:uid="{00000000-0004-0000-4300-000005000000}"/>
    <hyperlink ref="B11" r:id="rId7" xr:uid="{00000000-0004-0000-4300-000006000000}"/>
    <hyperlink ref="B12" r:id="rId8" xr:uid="{00000000-0004-0000-4300-000007000000}"/>
    <hyperlink ref="B13" r:id="rId9" xr:uid="{00000000-0004-0000-4300-000008000000}"/>
    <hyperlink ref="B14" r:id="rId10" xr:uid="{00000000-0004-0000-4300-000009000000}"/>
    <hyperlink ref="B15" r:id="rId11" xr:uid="{00000000-0004-0000-4300-00000A000000}"/>
    <hyperlink ref="B16" r:id="rId12" xr:uid="{00000000-0004-0000-4300-00000B000000}"/>
    <hyperlink ref="B17" r:id="rId13" xr:uid="{00000000-0004-0000-4300-00000C000000}"/>
    <hyperlink ref="B18" r:id="rId14" xr:uid="{00000000-0004-0000-4300-00000D000000}"/>
    <hyperlink ref="B19" r:id="rId15" xr:uid="{00000000-0004-0000-4300-00000E000000}"/>
    <hyperlink ref="B20" r:id="rId16" xr:uid="{00000000-0004-0000-4300-00000F000000}"/>
    <hyperlink ref="B21" r:id="rId17" xr:uid="{00000000-0004-0000-4300-000010000000}"/>
    <hyperlink ref="B22" r:id="rId18" xr:uid="{00000000-0004-0000-4300-000011000000}"/>
    <hyperlink ref="B23" r:id="rId19" xr:uid="{00000000-0004-0000-4300-000012000000}"/>
    <hyperlink ref="B24" r:id="rId20" xr:uid="{00000000-0004-0000-4300-000013000000}"/>
    <hyperlink ref="B25" r:id="rId21" xr:uid="{00000000-0004-0000-4300-000014000000}"/>
    <hyperlink ref="B26" r:id="rId22" xr:uid="{00000000-0004-0000-4300-000015000000}"/>
    <hyperlink ref="B27" r:id="rId23" xr:uid="{00000000-0004-0000-4300-000016000000}"/>
    <hyperlink ref="B28" r:id="rId24" xr:uid="{00000000-0004-0000-4300-000017000000}"/>
    <hyperlink ref="B29" r:id="rId25" xr:uid="{00000000-0004-0000-4300-000018000000}"/>
    <hyperlink ref="B30" r:id="rId26" xr:uid="{00000000-0004-0000-4300-000019000000}"/>
    <hyperlink ref="B31" r:id="rId27" xr:uid="{00000000-0004-0000-4300-00001A000000}"/>
    <hyperlink ref="B32" r:id="rId28" xr:uid="{00000000-0004-0000-4300-00001B000000}"/>
    <hyperlink ref="B33" r:id="rId29" xr:uid="{00000000-0004-0000-4300-00001C000000}"/>
    <hyperlink ref="B34" r:id="rId30" xr:uid="{00000000-0004-0000-4300-00001D000000}"/>
    <hyperlink ref="B35" r:id="rId31" xr:uid="{00000000-0004-0000-4300-00001E000000}"/>
    <hyperlink ref="B36" r:id="rId32" xr:uid="{00000000-0004-0000-4300-00001F000000}"/>
    <hyperlink ref="B37" r:id="rId33" xr:uid="{00000000-0004-0000-4300-000020000000}"/>
    <hyperlink ref="B38" r:id="rId34" xr:uid="{00000000-0004-0000-4300-000021000000}"/>
    <hyperlink ref="B39" r:id="rId35" xr:uid="{00000000-0004-0000-4300-000022000000}"/>
    <hyperlink ref="B40" r:id="rId36" xr:uid="{00000000-0004-0000-4300-000023000000}"/>
    <hyperlink ref="B41" r:id="rId37" xr:uid="{00000000-0004-0000-4300-000024000000}"/>
    <hyperlink ref="B42" r:id="rId38" xr:uid="{00000000-0004-0000-4300-000025000000}"/>
    <hyperlink ref="B43" r:id="rId39" xr:uid="{00000000-0004-0000-4300-000026000000}"/>
    <hyperlink ref="B44" r:id="rId40" xr:uid="{00000000-0004-0000-4300-000027000000}"/>
    <hyperlink ref="B45" r:id="rId41" xr:uid="{00000000-0004-0000-4300-000028000000}"/>
    <hyperlink ref="B46" r:id="rId42" xr:uid="{00000000-0004-0000-4300-000029000000}"/>
    <hyperlink ref="B47" r:id="rId43" xr:uid="{00000000-0004-0000-4300-00002A000000}"/>
    <hyperlink ref="B48" r:id="rId44" xr:uid="{00000000-0004-0000-4300-00002B000000}"/>
    <hyperlink ref="B49" r:id="rId45" xr:uid="{00000000-0004-0000-4300-00002C000000}"/>
    <hyperlink ref="B50" r:id="rId46" xr:uid="{00000000-0004-0000-4300-00002D000000}"/>
    <hyperlink ref="B51" r:id="rId47" xr:uid="{00000000-0004-0000-4300-00002E000000}"/>
    <hyperlink ref="B52" r:id="rId48" xr:uid="{00000000-0004-0000-4300-00002F000000}"/>
    <hyperlink ref="B53" r:id="rId49" xr:uid="{00000000-0004-0000-4300-000030000000}"/>
    <hyperlink ref="B54" r:id="rId50" xr:uid="{00000000-0004-0000-4300-000031000000}"/>
    <hyperlink ref="B55" r:id="rId51" xr:uid="{00000000-0004-0000-4300-000032000000}"/>
    <hyperlink ref="B56" r:id="rId52" xr:uid="{00000000-0004-0000-4300-000033000000}"/>
    <hyperlink ref="B57" r:id="rId53" xr:uid="{00000000-0004-0000-4300-000034000000}"/>
    <hyperlink ref="B58" r:id="rId54" xr:uid="{00000000-0004-0000-4300-000035000000}"/>
    <hyperlink ref="B59" r:id="rId55" xr:uid="{00000000-0004-0000-4300-000036000000}"/>
    <hyperlink ref="B60" r:id="rId56" xr:uid="{00000000-0004-0000-4300-000037000000}"/>
    <hyperlink ref="B61" r:id="rId57" xr:uid="{00000000-0004-0000-4300-000038000000}"/>
    <hyperlink ref="B62" r:id="rId58" xr:uid="{00000000-0004-0000-4300-000039000000}"/>
    <hyperlink ref="B63" r:id="rId59" xr:uid="{00000000-0004-0000-4300-00003A000000}"/>
    <hyperlink ref="B64" r:id="rId60" xr:uid="{00000000-0004-0000-4300-00003B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9">
    <outlinePr summaryBelow="0" summaryRight="0"/>
  </sheetPr>
  <dimension ref="A1:I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5" customWidth="1"/>
    <col min="3" max="3" width="13.5" customWidth="1"/>
    <col min="4" max="4" width="14.83203125" customWidth="1"/>
    <col min="5" max="5" width="14.33203125" customWidth="1"/>
  </cols>
  <sheetData>
    <row r="1" spans="1:9" ht="15.75" customHeight="1">
      <c r="A1" s="1" t="s">
        <v>92</v>
      </c>
      <c r="B1" s="36"/>
      <c r="C1" s="37"/>
      <c r="D1" s="7" t="s">
        <v>181</v>
      </c>
      <c r="E1" s="5"/>
      <c r="F1" s="5"/>
      <c r="G1" s="5"/>
    </row>
    <row r="2" spans="1:9" ht="15.75" customHeight="1">
      <c r="A2" s="7" t="s">
        <v>182</v>
      </c>
      <c r="B2" s="38">
        <v>41763</v>
      </c>
      <c r="C2" s="37"/>
      <c r="D2" s="39">
        <f>SUM(D5:G113)</f>
        <v>0</v>
      </c>
      <c r="E2" s="5"/>
      <c r="F2" s="5"/>
      <c r="G2" s="5"/>
    </row>
    <row r="3" spans="1:9" ht="15.75" customHeight="1">
      <c r="B3" s="41"/>
      <c r="C3" s="37"/>
      <c r="D3" s="5"/>
      <c r="E3" s="5"/>
      <c r="F3" s="5"/>
      <c r="G3" s="5"/>
    </row>
    <row r="4" spans="1:9" ht="15.75" customHeight="1">
      <c r="A4" s="42" t="s">
        <v>183</v>
      </c>
      <c r="B4" s="43" t="s">
        <v>184</v>
      </c>
      <c r="C4" s="43" t="s">
        <v>185</v>
      </c>
      <c r="D4" s="42" t="s">
        <v>186</v>
      </c>
      <c r="E4" s="44" t="s">
        <v>187</v>
      </c>
      <c r="F4" s="44" t="s">
        <v>188</v>
      </c>
      <c r="G4" s="44" t="s">
        <v>189</v>
      </c>
      <c r="H4" s="44" t="s">
        <v>190</v>
      </c>
      <c r="I4" s="44"/>
    </row>
    <row r="5" spans="1:9" ht="15.75" customHeight="1">
      <c r="A5" s="48" t="s">
        <v>2229</v>
      </c>
      <c r="B5" s="49" t="s">
        <v>277</v>
      </c>
      <c r="C5" s="48" t="s">
        <v>205</v>
      </c>
      <c r="D5" s="5"/>
      <c r="E5" s="5"/>
      <c r="F5" s="5"/>
      <c r="G5" s="5"/>
    </row>
    <row r="6" spans="1:9" ht="15.75" customHeight="1">
      <c r="A6" s="48" t="s">
        <v>2230</v>
      </c>
      <c r="B6" s="49" t="s">
        <v>286</v>
      </c>
      <c r="C6" s="48" t="s">
        <v>205</v>
      </c>
      <c r="D6" s="48"/>
      <c r="E6" s="5"/>
      <c r="F6" s="5"/>
      <c r="G6" s="5"/>
    </row>
    <row r="7" spans="1:9" ht="15.75" customHeight="1">
      <c r="A7" s="48" t="s">
        <v>2232</v>
      </c>
      <c r="B7" s="49" t="s">
        <v>331</v>
      </c>
      <c r="C7" s="48" t="s">
        <v>205</v>
      </c>
      <c r="D7" s="73"/>
      <c r="E7" s="51"/>
      <c r="F7" s="5"/>
      <c r="G7" s="5"/>
    </row>
    <row r="8" spans="1:9" ht="15.75" customHeight="1">
      <c r="A8" s="48" t="s">
        <v>2233</v>
      </c>
      <c r="B8" s="49" t="s">
        <v>956</v>
      </c>
      <c r="C8" s="48" t="s">
        <v>205</v>
      </c>
      <c r="D8" s="73"/>
      <c r="E8" s="5"/>
      <c r="F8" s="5"/>
      <c r="G8" s="5"/>
    </row>
    <row r="9" spans="1:9" ht="15.75" customHeight="1">
      <c r="A9" s="48" t="s">
        <v>2234</v>
      </c>
      <c r="B9" s="49" t="s">
        <v>1454</v>
      </c>
      <c r="C9" s="48" t="s">
        <v>205</v>
      </c>
      <c r="D9" s="48"/>
      <c r="E9" s="5"/>
      <c r="F9" s="5"/>
      <c r="G9" s="5"/>
    </row>
    <row r="10" spans="1:9" ht="15.75" customHeight="1">
      <c r="A10" s="48" t="s">
        <v>2235</v>
      </c>
      <c r="B10" s="49" t="s">
        <v>1420</v>
      </c>
      <c r="C10" s="48" t="s">
        <v>205</v>
      </c>
      <c r="D10" s="73"/>
      <c r="E10" s="5"/>
      <c r="F10" s="5"/>
      <c r="G10" s="5"/>
    </row>
    <row r="11" spans="1:9" ht="15.75" customHeight="1">
      <c r="A11" s="48" t="s">
        <v>2237</v>
      </c>
      <c r="B11" s="49" t="s">
        <v>1374</v>
      </c>
      <c r="C11" s="48" t="s">
        <v>205</v>
      </c>
      <c r="D11" s="73"/>
      <c r="E11" s="5"/>
      <c r="F11" s="5"/>
      <c r="G11" s="5"/>
    </row>
    <row r="12" spans="1:9" ht="15.75" customHeight="1">
      <c r="A12" s="48" t="s">
        <v>2238</v>
      </c>
      <c r="B12" s="49" t="s">
        <v>1505</v>
      </c>
      <c r="C12" s="48" t="s">
        <v>205</v>
      </c>
      <c r="D12" s="73"/>
      <c r="E12" s="5"/>
      <c r="F12" s="5"/>
      <c r="G12" s="5"/>
    </row>
    <row r="13" spans="1:9" ht="15.75" customHeight="1">
      <c r="A13" s="48" t="s">
        <v>2239</v>
      </c>
      <c r="B13" s="49" t="s">
        <v>3118</v>
      </c>
      <c r="C13" s="48" t="s">
        <v>205</v>
      </c>
      <c r="D13" s="73"/>
      <c r="E13" s="5"/>
      <c r="F13" s="5"/>
      <c r="G13" s="5"/>
    </row>
    <row r="14" spans="1:9" ht="15.75" customHeight="1">
      <c r="A14" s="48" t="s">
        <v>2240</v>
      </c>
      <c r="B14" s="49" t="s">
        <v>4029</v>
      </c>
      <c r="C14" s="48" t="s">
        <v>205</v>
      </c>
      <c r="D14" s="73"/>
      <c r="E14" s="5"/>
      <c r="F14" s="5"/>
      <c r="G14" s="5"/>
    </row>
    <row r="15" spans="1:9" ht="15.75" customHeight="1">
      <c r="A15" s="48" t="s">
        <v>2241</v>
      </c>
      <c r="B15" s="58" t="str">
        <f>HYPERLINK("https://bulbapedia.bulbagarden.net/wiki/Charizard-EX_(Flashfire_11)","CharizardEX")</f>
        <v>CharizardEX</v>
      </c>
      <c r="C15" s="48" t="s">
        <v>199</v>
      </c>
      <c r="D15" s="73"/>
      <c r="E15" s="5"/>
      <c r="F15" s="5"/>
      <c r="G15" s="5"/>
    </row>
    <row r="16" spans="1:9" ht="15.75" customHeight="1">
      <c r="A16" s="48" t="s">
        <v>2242</v>
      </c>
      <c r="B16" s="58" t="str">
        <f>HYPERLINK("https://bulbapedia.bulbagarden.net/wiki/Charizard-EX_(Flashfire_12)","CharizardEX")</f>
        <v>CharizardEX</v>
      </c>
      <c r="C16" s="48" t="s">
        <v>199</v>
      </c>
      <c r="D16" s="73"/>
      <c r="E16" s="5"/>
      <c r="F16" s="5"/>
      <c r="G16" s="5"/>
    </row>
    <row r="17" spans="1:7" ht="15.75" customHeight="1">
      <c r="A17" s="48" t="s">
        <v>2243</v>
      </c>
      <c r="B17" s="58" t="str">
        <f>HYPERLINK("https://bulbapedia.bulbagarden.net/wiki/M_Charizard-EX_(Flashfire_13)","MCharizardEX")</f>
        <v>MCharizardEX</v>
      </c>
      <c r="C17" s="48" t="s">
        <v>199</v>
      </c>
      <c r="D17" s="73"/>
      <c r="E17" s="5"/>
      <c r="F17" s="5"/>
      <c r="G17" s="5"/>
    </row>
    <row r="18" spans="1:7" ht="15.75" customHeight="1">
      <c r="A18" s="48" t="s">
        <v>2244</v>
      </c>
      <c r="B18" s="49" t="s">
        <v>291</v>
      </c>
      <c r="C18" s="48" t="s">
        <v>199</v>
      </c>
      <c r="D18" s="48"/>
      <c r="E18" s="5"/>
      <c r="F18" s="5"/>
      <c r="G18" s="5"/>
    </row>
    <row r="19" spans="1:7" ht="15.75" customHeight="1">
      <c r="A19" s="48" t="s">
        <v>2245</v>
      </c>
      <c r="B19" s="49" t="s">
        <v>235</v>
      </c>
      <c r="C19" s="48" t="s">
        <v>199</v>
      </c>
      <c r="D19" s="48"/>
      <c r="E19" s="5"/>
      <c r="F19" s="5"/>
      <c r="G19" s="5"/>
    </row>
    <row r="20" spans="1:7" ht="15.75" customHeight="1">
      <c r="A20" s="48" t="s">
        <v>2246</v>
      </c>
      <c r="B20" s="49" t="s">
        <v>1511</v>
      </c>
      <c r="C20" s="48" t="s">
        <v>199</v>
      </c>
      <c r="D20" s="73"/>
      <c r="E20" s="5"/>
      <c r="F20" s="5"/>
      <c r="G20" s="5"/>
    </row>
    <row r="21" spans="1:7" ht="15.75" customHeight="1">
      <c r="A21" s="48" t="s">
        <v>2247</v>
      </c>
      <c r="B21" s="49" t="s">
        <v>5040</v>
      </c>
      <c r="C21" s="48" t="s">
        <v>199</v>
      </c>
      <c r="D21" s="73"/>
      <c r="E21" s="5"/>
      <c r="F21" s="5"/>
      <c r="G21" s="5"/>
    </row>
    <row r="22" spans="1:7" ht="15.75" customHeight="1">
      <c r="A22" s="48" t="s">
        <v>2248</v>
      </c>
      <c r="B22" s="49" t="s">
        <v>5090</v>
      </c>
      <c r="C22" s="48" t="s">
        <v>199</v>
      </c>
      <c r="D22" s="73"/>
      <c r="E22" s="5"/>
      <c r="F22" s="5"/>
      <c r="G22" s="5"/>
    </row>
    <row r="23" spans="1:7" ht="15.75" customHeight="1">
      <c r="A23" s="48" t="s">
        <v>2249</v>
      </c>
      <c r="B23" s="49" t="s">
        <v>5090</v>
      </c>
      <c r="C23" s="48" t="s">
        <v>199</v>
      </c>
      <c r="D23" s="73"/>
      <c r="E23" s="5"/>
      <c r="F23" s="5"/>
      <c r="G23" s="5"/>
    </row>
    <row r="24" spans="1:7" ht="15.75" customHeight="1">
      <c r="A24" s="48" t="s">
        <v>2250</v>
      </c>
      <c r="B24" s="49" t="s">
        <v>4774</v>
      </c>
      <c r="C24" s="48" t="s">
        <v>199</v>
      </c>
      <c r="D24" s="73"/>
      <c r="E24" s="5"/>
      <c r="F24" s="5"/>
      <c r="G24" s="5"/>
    </row>
    <row r="25" spans="1:7" ht="15.75" customHeight="1">
      <c r="A25" s="48" t="s">
        <v>2251</v>
      </c>
      <c r="B25" s="49" t="s">
        <v>978</v>
      </c>
      <c r="C25" s="48" t="s">
        <v>208</v>
      </c>
      <c r="D25" s="73"/>
      <c r="E25" s="5"/>
      <c r="F25" s="5"/>
      <c r="G25" s="5"/>
    </row>
    <row r="26" spans="1:7" ht="15.75" customHeight="1">
      <c r="A26" s="48" t="s">
        <v>2252</v>
      </c>
      <c r="B26" s="49" t="s">
        <v>1873</v>
      </c>
      <c r="C26" s="48" t="s">
        <v>208</v>
      </c>
      <c r="D26" s="73"/>
      <c r="E26" s="5"/>
      <c r="F26" s="5"/>
      <c r="G26" s="5"/>
    </row>
    <row r="27" spans="1:7" ht="15.75" customHeight="1">
      <c r="A27" s="48" t="s">
        <v>2253</v>
      </c>
      <c r="B27" s="49" t="s">
        <v>1806</v>
      </c>
      <c r="C27" s="48" t="s">
        <v>208</v>
      </c>
      <c r="D27" s="73"/>
      <c r="E27" s="5"/>
      <c r="F27" s="5"/>
      <c r="G27" s="5"/>
    </row>
    <row r="28" spans="1:7" ht="15.75" customHeight="1">
      <c r="A28" s="48" t="s">
        <v>2254</v>
      </c>
      <c r="B28" s="49" t="s">
        <v>1888</v>
      </c>
      <c r="C28" s="48" t="s">
        <v>208</v>
      </c>
      <c r="D28" s="73"/>
      <c r="E28" s="5"/>
      <c r="F28" s="5"/>
      <c r="G28" s="5"/>
    </row>
    <row r="29" spans="1:7" ht="15.75" customHeight="1">
      <c r="A29" s="48" t="s">
        <v>2255</v>
      </c>
      <c r="B29" s="49" t="s">
        <v>1855</v>
      </c>
      <c r="C29" s="48" t="s">
        <v>208</v>
      </c>
      <c r="D29" s="73"/>
      <c r="E29" s="5"/>
      <c r="F29" s="5"/>
      <c r="G29" s="5"/>
    </row>
    <row r="30" spans="1:7" ht="15.75" customHeight="1">
      <c r="A30" s="48" t="s">
        <v>2256</v>
      </c>
      <c r="B30" s="49" t="s">
        <v>1810</v>
      </c>
      <c r="C30" s="48" t="s">
        <v>208</v>
      </c>
      <c r="D30" s="48"/>
      <c r="E30" s="5"/>
      <c r="F30" s="5"/>
      <c r="G30" s="5"/>
    </row>
    <row r="31" spans="1:7" ht="15.75" customHeight="1">
      <c r="A31" s="48" t="s">
        <v>2257</v>
      </c>
      <c r="B31" s="49" t="s">
        <v>1847</v>
      </c>
      <c r="C31" s="48" t="s">
        <v>208</v>
      </c>
      <c r="D31" s="73"/>
      <c r="E31" s="5"/>
      <c r="F31" s="5"/>
      <c r="G31" s="5"/>
    </row>
    <row r="32" spans="1:7" ht="15.75" customHeight="1">
      <c r="A32" s="48" t="s">
        <v>2258</v>
      </c>
      <c r="B32" s="49" t="s">
        <v>3039</v>
      </c>
      <c r="C32" s="48" t="s">
        <v>208</v>
      </c>
      <c r="D32" s="73"/>
      <c r="E32" s="5"/>
      <c r="F32" s="5"/>
      <c r="G32" s="5"/>
    </row>
    <row r="33" spans="1:7" ht="15.75" customHeight="1">
      <c r="A33" s="48" t="s">
        <v>2259</v>
      </c>
      <c r="B33" s="49" t="s">
        <v>3125</v>
      </c>
      <c r="C33" s="48" t="s">
        <v>208</v>
      </c>
      <c r="D33" s="73"/>
      <c r="E33" s="5"/>
      <c r="F33" s="5"/>
      <c r="G33" s="5"/>
    </row>
    <row r="34" spans="1:7" ht="15.75" customHeight="1">
      <c r="A34" s="48" t="s">
        <v>2260</v>
      </c>
      <c r="B34" s="49" t="s">
        <v>5091</v>
      </c>
      <c r="C34" s="48" t="s">
        <v>208</v>
      </c>
      <c r="D34" s="73"/>
      <c r="E34" s="5"/>
      <c r="F34" s="5"/>
      <c r="G34" s="5"/>
    </row>
    <row r="35" spans="1:7" ht="15.75" customHeight="1">
      <c r="A35" s="48" t="s">
        <v>2261</v>
      </c>
      <c r="B35" s="49" t="s">
        <v>5092</v>
      </c>
      <c r="C35" s="48" t="s">
        <v>208</v>
      </c>
      <c r="D35" s="73"/>
      <c r="E35" s="5"/>
      <c r="F35" s="5"/>
      <c r="G35" s="5"/>
    </row>
    <row r="36" spans="1:7" ht="15.75" customHeight="1">
      <c r="A36" s="48" t="s">
        <v>2262</v>
      </c>
      <c r="B36" s="49" t="s">
        <v>3043</v>
      </c>
      <c r="C36" s="48" t="s">
        <v>192</v>
      </c>
      <c r="D36" s="48"/>
      <c r="E36" s="5"/>
      <c r="F36" s="5"/>
      <c r="G36" s="5"/>
    </row>
    <row r="37" spans="1:7" ht="15.75" customHeight="1">
      <c r="A37" s="48" t="s">
        <v>2263</v>
      </c>
      <c r="B37" s="49" t="s">
        <v>3137</v>
      </c>
      <c r="C37" s="48" t="s">
        <v>192</v>
      </c>
      <c r="D37" s="73"/>
      <c r="E37" s="5"/>
      <c r="F37" s="5"/>
      <c r="G37" s="5"/>
    </row>
    <row r="38" spans="1:7" ht="15.75" customHeight="1">
      <c r="A38" s="48" t="s">
        <v>2264</v>
      </c>
      <c r="B38" s="49" t="s">
        <v>3114</v>
      </c>
      <c r="C38" s="48" t="s">
        <v>192</v>
      </c>
      <c r="D38" s="73"/>
      <c r="E38" s="5"/>
      <c r="F38" s="5"/>
      <c r="G38" s="5"/>
    </row>
    <row r="39" spans="1:7" ht="15.75" customHeight="1">
      <c r="A39" s="48" t="s">
        <v>2265</v>
      </c>
      <c r="B39" s="58" t="str">
        <f>HYPERLINK("https://bulbapedia.bulbagarden.net/wiki/Magnezone-EX_(Flashfire_35)","MagnezoneEX")</f>
        <v>MagnezoneEX</v>
      </c>
      <c r="C39" s="48" t="s">
        <v>192</v>
      </c>
      <c r="D39" s="73"/>
      <c r="E39" s="5"/>
      <c r="F39" s="5"/>
      <c r="G39" s="5"/>
    </row>
    <row r="40" spans="1:7" ht="15.75" customHeight="1">
      <c r="A40" s="48" t="s">
        <v>2266</v>
      </c>
      <c r="B40" s="49" t="s">
        <v>5093</v>
      </c>
      <c r="C40" s="48" t="s">
        <v>192</v>
      </c>
      <c r="D40" s="73"/>
      <c r="E40" s="51"/>
      <c r="F40" s="5"/>
      <c r="G40" s="5"/>
    </row>
    <row r="41" spans="1:7" ht="15.75" customHeight="1">
      <c r="A41" s="48" t="s">
        <v>2267</v>
      </c>
      <c r="B41" s="49" t="s">
        <v>4797</v>
      </c>
      <c r="C41" s="48" t="s">
        <v>192</v>
      </c>
      <c r="D41" s="73"/>
      <c r="E41" s="5"/>
      <c r="F41" s="5"/>
      <c r="G41" s="5"/>
    </row>
    <row r="42" spans="1:7" ht="15.75" customHeight="1">
      <c r="A42" s="48" t="s">
        <v>2268</v>
      </c>
      <c r="B42" s="49" t="s">
        <v>1437</v>
      </c>
      <c r="C42" s="48" t="s">
        <v>195</v>
      </c>
      <c r="D42" s="73"/>
      <c r="E42" s="5"/>
      <c r="F42" s="5"/>
      <c r="G42" s="5"/>
    </row>
    <row r="43" spans="1:7" ht="15.75" customHeight="1">
      <c r="A43" s="48" t="s">
        <v>2269</v>
      </c>
      <c r="B43" s="49" t="s">
        <v>1361</v>
      </c>
      <c r="C43" s="48" t="s">
        <v>195</v>
      </c>
      <c r="D43" s="73"/>
      <c r="E43" s="5"/>
      <c r="F43" s="5"/>
      <c r="G43" s="5"/>
    </row>
    <row r="44" spans="1:7" ht="15.75" customHeight="1">
      <c r="A44" s="48" t="s">
        <v>2270</v>
      </c>
      <c r="B44" s="49" t="s">
        <v>3076</v>
      </c>
      <c r="C44" s="48" t="s">
        <v>195</v>
      </c>
      <c r="D44" s="73"/>
      <c r="E44" s="5"/>
      <c r="F44" s="5"/>
      <c r="G44" s="5"/>
    </row>
    <row r="45" spans="1:7" ht="15.75" customHeight="1">
      <c r="A45" s="48" t="s">
        <v>2271</v>
      </c>
      <c r="B45" s="58" t="str">
        <f>HYPERLINK("https://bulbapedia.bulbagarden.net/wiki/Toxicroak-EX_(Flashfire_41)","ToxicroakEX")</f>
        <v>ToxicroakEX</v>
      </c>
      <c r="C45" s="48" t="s">
        <v>195</v>
      </c>
      <c r="D45" s="73"/>
      <c r="E45" s="5"/>
      <c r="F45" s="5"/>
      <c r="G45" s="5"/>
    </row>
    <row r="46" spans="1:7" ht="15.75" customHeight="1">
      <c r="A46" s="48" t="s">
        <v>2272</v>
      </c>
      <c r="B46" s="49" t="s">
        <v>5094</v>
      </c>
      <c r="C46" s="48" t="s">
        <v>195</v>
      </c>
      <c r="D46" s="73"/>
      <c r="E46" s="5"/>
      <c r="F46" s="5"/>
      <c r="G46" s="5"/>
    </row>
    <row r="47" spans="1:7" ht="15.75" customHeight="1">
      <c r="A47" s="48" t="s">
        <v>2273</v>
      </c>
      <c r="B47" s="49" t="s">
        <v>4799</v>
      </c>
      <c r="C47" s="48" t="s">
        <v>195</v>
      </c>
      <c r="D47" s="73"/>
      <c r="E47" s="5"/>
      <c r="F47" s="5"/>
      <c r="G47" s="5"/>
    </row>
    <row r="48" spans="1:7" ht="15.75" customHeight="1">
      <c r="A48" s="48" t="s">
        <v>2274</v>
      </c>
      <c r="B48" s="49" t="s">
        <v>5095</v>
      </c>
      <c r="C48" s="48" t="s">
        <v>195</v>
      </c>
      <c r="D48" s="73"/>
      <c r="E48" s="5"/>
      <c r="F48" s="5"/>
      <c r="G48" s="5"/>
    </row>
    <row r="49" spans="1:7" ht="15.75" customHeight="1">
      <c r="A49" s="48" t="s">
        <v>2275</v>
      </c>
      <c r="B49" s="49" t="s">
        <v>380</v>
      </c>
      <c r="C49" s="48" t="s">
        <v>225</v>
      </c>
      <c r="D49" s="73"/>
      <c r="E49" s="5"/>
      <c r="F49" s="5"/>
      <c r="G49" s="5"/>
    </row>
    <row r="50" spans="1:7" ht="15.75" customHeight="1">
      <c r="A50" s="48" t="s">
        <v>2276</v>
      </c>
      <c r="B50" s="49" t="s">
        <v>371</v>
      </c>
      <c r="C50" s="48" t="s">
        <v>225</v>
      </c>
      <c r="D50" s="73"/>
      <c r="E50" s="5"/>
      <c r="F50" s="5"/>
      <c r="G50" s="5"/>
    </row>
    <row r="51" spans="1:7" ht="15.75" customHeight="1">
      <c r="A51" s="48" t="s">
        <v>2277</v>
      </c>
      <c r="B51" s="49" t="s">
        <v>370</v>
      </c>
      <c r="C51" s="48" t="s">
        <v>225</v>
      </c>
      <c r="D51" s="73"/>
      <c r="E51" s="5"/>
      <c r="F51" s="5"/>
      <c r="G51" s="5"/>
    </row>
    <row r="52" spans="1:7" ht="15.75" customHeight="1">
      <c r="A52" s="48" t="s">
        <v>2278</v>
      </c>
      <c r="B52" s="49" t="s">
        <v>5096</v>
      </c>
      <c r="C52" s="48" t="s">
        <v>225</v>
      </c>
      <c r="D52" s="73"/>
      <c r="E52" s="5"/>
      <c r="F52" s="5"/>
      <c r="G52" s="5"/>
    </row>
    <row r="53" spans="1:7" ht="13">
      <c r="A53" s="48" t="s">
        <v>2279</v>
      </c>
      <c r="B53" s="49" t="s">
        <v>5097</v>
      </c>
      <c r="C53" s="48" t="s">
        <v>225</v>
      </c>
      <c r="D53" s="73"/>
      <c r="E53" s="5"/>
      <c r="F53" s="5"/>
      <c r="G53" s="5"/>
    </row>
    <row r="54" spans="1:7" ht="13">
      <c r="A54" s="48" t="s">
        <v>2280</v>
      </c>
      <c r="B54" s="49" t="s">
        <v>810</v>
      </c>
      <c r="C54" s="48" t="s">
        <v>808</v>
      </c>
      <c r="D54" s="48"/>
      <c r="E54" s="5"/>
      <c r="F54" s="5"/>
      <c r="G54" s="5"/>
    </row>
    <row r="55" spans="1:7" ht="13">
      <c r="A55" s="48" t="s">
        <v>2281</v>
      </c>
      <c r="B55" s="49" t="s">
        <v>810</v>
      </c>
      <c r="C55" s="48" t="s">
        <v>808</v>
      </c>
      <c r="D55" s="73"/>
      <c r="E55" s="5"/>
      <c r="F55" s="5"/>
      <c r="G55" s="5"/>
    </row>
    <row r="56" spans="1:7" ht="13">
      <c r="A56" s="48" t="s">
        <v>2282</v>
      </c>
      <c r="B56" s="49" t="s">
        <v>3131</v>
      </c>
      <c r="C56" s="48" t="s">
        <v>808</v>
      </c>
      <c r="D56" s="73"/>
      <c r="E56" s="5"/>
      <c r="F56" s="5"/>
      <c r="G56" s="5"/>
    </row>
    <row r="57" spans="1:7" ht="13">
      <c r="A57" s="48" t="s">
        <v>2283</v>
      </c>
      <c r="B57" s="49" t="s">
        <v>3149</v>
      </c>
      <c r="C57" s="48" t="s">
        <v>808</v>
      </c>
      <c r="D57" s="73"/>
      <c r="E57" s="5"/>
      <c r="F57" s="5"/>
      <c r="G57" s="5"/>
    </row>
    <row r="58" spans="1:7" ht="13">
      <c r="A58" s="48" t="s">
        <v>2284</v>
      </c>
      <c r="B58" s="49" t="s">
        <v>3149</v>
      </c>
      <c r="C58" s="48" t="s">
        <v>808</v>
      </c>
      <c r="D58" s="73"/>
      <c r="E58" s="5"/>
      <c r="F58" s="5"/>
      <c r="G58" s="5"/>
    </row>
    <row r="59" spans="1:7" ht="13">
      <c r="A59" s="48" t="s">
        <v>2285</v>
      </c>
      <c r="B59" s="49" t="s">
        <v>3119</v>
      </c>
      <c r="C59" s="48" t="s">
        <v>808</v>
      </c>
      <c r="D59" s="48"/>
      <c r="E59" s="5"/>
      <c r="F59" s="5"/>
      <c r="G59" s="5"/>
    </row>
    <row r="60" spans="1:7" ht="13">
      <c r="A60" s="48" t="s">
        <v>2286</v>
      </c>
      <c r="B60" s="49" t="s">
        <v>4035</v>
      </c>
      <c r="C60" s="48" t="s">
        <v>808</v>
      </c>
      <c r="D60" s="73"/>
      <c r="E60" s="5"/>
      <c r="F60" s="5"/>
      <c r="G60" s="5"/>
    </row>
    <row r="61" spans="1:7" ht="13">
      <c r="A61" s="48" t="s">
        <v>2287</v>
      </c>
      <c r="B61" s="49" t="s">
        <v>4156</v>
      </c>
      <c r="C61" s="48" t="s">
        <v>808</v>
      </c>
      <c r="D61" s="73"/>
      <c r="E61" s="5"/>
      <c r="F61" s="5"/>
      <c r="G61" s="5"/>
    </row>
    <row r="62" spans="1:7" ht="13">
      <c r="A62" s="48" t="s">
        <v>2288</v>
      </c>
      <c r="B62" s="49" t="s">
        <v>4132</v>
      </c>
      <c r="C62" s="48" t="s">
        <v>808</v>
      </c>
      <c r="D62" s="73"/>
      <c r="E62" s="5"/>
      <c r="F62" s="5"/>
      <c r="G62" s="5"/>
    </row>
    <row r="63" spans="1:7" ht="13">
      <c r="A63" s="48" t="s">
        <v>2289</v>
      </c>
      <c r="B63" s="49" t="s">
        <v>4133</v>
      </c>
      <c r="C63" s="48" t="s">
        <v>808</v>
      </c>
      <c r="D63" s="73"/>
      <c r="E63" s="5"/>
      <c r="F63" s="5"/>
      <c r="G63" s="5"/>
    </row>
    <row r="64" spans="1:7" ht="13">
      <c r="A64" s="48" t="s">
        <v>2290</v>
      </c>
      <c r="B64" s="49" t="s">
        <v>937</v>
      </c>
      <c r="C64" s="48" t="s">
        <v>220</v>
      </c>
      <c r="D64" s="73"/>
      <c r="E64" s="5"/>
      <c r="F64" s="5"/>
      <c r="G64" s="5"/>
    </row>
    <row r="65" spans="1:7" ht="13">
      <c r="A65" s="48" t="s">
        <v>2291</v>
      </c>
      <c r="B65" s="49" t="s">
        <v>4107</v>
      </c>
      <c r="C65" s="48" t="s">
        <v>220</v>
      </c>
      <c r="D65" s="47"/>
      <c r="E65" s="5"/>
      <c r="F65" s="5"/>
      <c r="G65" s="5"/>
    </row>
    <row r="66" spans="1:7" ht="13">
      <c r="A66" s="48" t="s">
        <v>2292</v>
      </c>
      <c r="B66" s="49" t="s">
        <v>5098</v>
      </c>
      <c r="C66" s="48" t="s">
        <v>4743</v>
      </c>
      <c r="D66" s="73"/>
      <c r="E66" s="5"/>
      <c r="F66" s="5"/>
      <c r="G66" s="5"/>
    </row>
    <row r="67" spans="1:7" ht="13">
      <c r="A67" s="48" t="s">
        <v>2293</v>
      </c>
      <c r="B67" s="49" t="s">
        <v>5098</v>
      </c>
      <c r="C67" s="48" t="s">
        <v>4743</v>
      </c>
      <c r="D67" s="73"/>
      <c r="E67" s="5"/>
      <c r="F67" s="5"/>
      <c r="G67" s="5"/>
    </row>
    <row r="68" spans="1:7" ht="13">
      <c r="A68" s="48" t="s">
        <v>2294</v>
      </c>
      <c r="B68" s="49" t="s">
        <v>4898</v>
      </c>
      <c r="C68" s="48" t="s">
        <v>4743</v>
      </c>
      <c r="D68" s="73"/>
      <c r="E68" s="5"/>
      <c r="F68" s="5"/>
      <c r="G68" s="5"/>
    </row>
    <row r="69" spans="1:7" ht="13">
      <c r="A69" s="48" t="s">
        <v>2295</v>
      </c>
      <c r="B69" s="49" t="s">
        <v>4898</v>
      </c>
      <c r="C69" s="48" t="s">
        <v>4743</v>
      </c>
      <c r="D69" s="73"/>
      <c r="E69" s="5"/>
      <c r="F69" s="5"/>
      <c r="G69" s="5"/>
    </row>
    <row r="70" spans="1:7" ht="13">
      <c r="A70" s="48" t="s">
        <v>2296</v>
      </c>
      <c r="B70" s="49" t="s">
        <v>5099</v>
      </c>
      <c r="C70" s="48" t="s">
        <v>4743</v>
      </c>
      <c r="D70" s="73"/>
      <c r="E70" s="5"/>
      <c r="F70" s="5"/>
      <c r="G70" s="5"/>
    </row>
    <row r="71" spans="1:7" ht="13">
      <c r="A71" s="48" t="s">
        <v>2297</v>
      </c>
      <c r="B71" s="49" t="s">
        <v>5047</v>
      </c>
      <c r="C71" s="48" t="s">
        <v>4743</v>
      </c>
      <c r="D71" s="48"/>
      <c r="E71" s="5"/>
      <c r="F71" s="5"/>
      <c r="G71" s="5"/>
    </row>
    <row r="72" spans="1:7" ht="13">
      <c r="A72" s="48" t="s">
        <v>2298</v>
      </c>
      <c r="B72" s="49" t="s">
        <v>5100</v>
      </c>
      <c r="C72" s="48" t="s">
        <v>4743</v>
      </c>
      <c r="D72" s="73"/>
      <c r="E72" s="5"/>
      <c r="F72" s="5"/>
      <c r="G72" s="5"/>
    </row>
    <row r="73" spans="1:7" ht="13">
      <c r="A73" s="48" t="s">
        <v>2299</v>
      </c>
      <c r="B73" s="58" t="str">
        <f>HYPERLINK("https://bulbapedia.bulbagarden.net/wiki/M_Charizard-EX_(Flashfire_69)","MCharizardEX")</f>
        <v>MCharizardEX</v>
      </c>
      <c r="C73" s="48" t="s">
        <v>4285</v>
      </c>
      <c r="D73" s="73"/>
      <c r="E73" s="5"/>
      <c r="F73" s="5"/>
      <c r="G73" s="5"/>
    </row>
    <row r="74" spans="1:7" ht="13">
      <c r="A74" s="48" t="s">
        <v>2300</v>
      </c>
      <c r="B74" s="49" t="s">
        <v>4112</v>
      </c>
      <c r="C74" s="48" t="s">
        <v>4285</v>
      </c>
      <c r="D74" s="73"/>
      <c r="E74" s="5"/>
      <c r="F74" s="5"/>
      <c r="G74" s="5"/>
    </row>
    <row r="75" spans="1:7" ht="13">
      <c r="A75" s="48" t="s">
        <v>2301</v>
      </c>
      <c r="B75" s="49" t="s">
        <v>5101</v>
      </c>
      <c r="C75" s="48" t="s">
        <v>4285</v>
      </c>
      <c r="D75" s="73"/>
      <c r="E75" s="5"/>
      <c r="F75" s="5"/>
      <c r="G75" s="5"/>
    </row>
    <row r="76" spans="1:7" ht="13">
      <c r="A76" s="48" t="s">
        <v>2302</v>
      </c>
      <c r="B76" s="49" t="s">
        <v>5102</v>
      </c>
      <c r="C76" s="48" t="s">
        <v>4285</v>
      </c>
      <c r="D76" s="73"/>
      <c r="E76" s="5"/>
      <c r="F76" s="5"/>
      <c r="G76" s="5"/>
    </row>
    <row r="77" spans="1:7" ht="13">
      <c r="A77" s="48" t="s">
        <v>2303</v>
      </c>
      <c r="B77" s="49" t="s">
        <v>5103</v>
      </c>
      <c r="C77" s="48" t="s">
        <v>4285</v>
      </c>
      <c r="D77" s="48"/>
      <c r="E77" s="5"/>
      <c r="F77" s="5"/>
      <c r="G77" s="5"/>
    </row>
    <row r="78" spans="1:7" ht="13">
      <c r="A78" s="48" t="s">
        <v>2304</v>
      </c>
      <c r="B78" s="49" t="s">
        <v>5104</v>
      </c>
      <c r="C78" s="48" t="s">
        <v>4285</v>
      </c>
      <c r="D78" s="73"/>
      <c r="E78" s="5"/>
      <c r="F78" s="5"/>
      <c r="G78" s="5"/>
    </row>
    <row r="79" spans="1:7" ht="13">
      <c r="A79" s="48" t="s">
        <v>2305</v>
      </c>
      <c r="B79" s="49" t="s">
        <v>289</v>
      </c>
      <c r="C79" s="48" t="s">
        <v>197</v>
      </c>
      <c r="D79" s="73"/>
      <c r="E79" s="5"/>
      <c r="F79" s="5"/>
      <c r="G79" s="5"/>
    </row>
    <row r="80" spans="1:7" ht="13">
      <c r="A80" s="48" t="s">
        <v>2307</v>
      </c>
      <c r="B80" s="49" t="s">
        <v>257</v>
      </c>
      <c r="C80" s="48" t="s">
        <v>197</v>
      </c>
      <c r="D80" s="73"/>
      <c r="E80" s="5"/>
      <c r="F80" s="5"/>
      <c r="G80" s="5"/>
    </row>
    <row r="81" spans="1:7" ht="13">
      <c r="A81" s="48" t="s">
        <v>2308</v>
      </c>
      <c r="B81" s="49" t="s">
        <v>324</v>
      </c>
      <c r="C81" s="48" t="s">
        <v>197</v>
      </c>
      <c r="D81" s="73"/>
      <c r="E81" s="5"/>
      <c r="F81" s="5"/>
      <c r="G81" s="5"/>
    </row>
    <row r="82" spans="1:7" ht="13">
      <c r="A82" s="48" t="s">
        <v>2309</v>
      </c>
      <c r="B82" s="58" t="str">
        <f>HYPERLINK("https://bulbapedia.bulbagarden.net/wiki/Kangaskhan-EX_(Flashfire_78)","KangaskhanEX")</f>
        <v>KangaskhanEX</v>
      </c>
      <c r="C82" s="48" t="s">
        <v>197</v>
      </c>
      <c r="D82" s="73"/>
      <c r="E82" s="5"/>
      <c r="F82" s="5"/>
      <c r="G82" s="5"/>
    </row>
    <row r="83" spans="1:7" ht="13">
      <c r="A83" s="48" t="s">
        <v>2310</v>
      </c>
      <c r="B83" s="58" t="str">
        <f>HYPERLINK("https://bulbapedia.bulbagarden.net/wiki/M_Kangaskhan-EX_(Flashfire_79)","MKangaskhanEX")</f>
        <v>MKangaskhanEX</v>
      </c>
      <c r="C83" s="48" t="s">
        <v>197</v>
      </c>
      <c r="D83" s="73"/>
      <c r="E83" s="5"/>
      <c r="F83" s="5"/>
      <c r="G83" s="5"/>
    </row>
    <row r="84" spans="1:7" ht="13">
      <c r="A84" s="48" t="s">
        <v>2312</v>
      </c>
      <c r="B84" s="49" t="s">
        <v>233</v>
      </c>
      <c r="C84" s="48" t="s">
        <v>197</v>
      </c>
      <c r="D84" s="73"/>
      <c r="E84" s="5"/>
      <c r="F84" s="5"/>
      <c r="G84" s="5"/>
    </row>
    <row r="85" spans="1:7" ht="13">
      <c r="A85" s="48" t="s">
        <v>2313</v>
      </c>
      <c r="B85" s="49" t="s">
        <v>886</v>
      </c>
      <c r="C85" s="48" t="s">
        <v>197</v>
      </c>
      <c r="D85" s="73"/>
      <c r="E85" s="5"/>
      <c r="F85" s="5"/>
      <c r="G85" s="5"/>
    </row>
    <row r="86" spans="1:7" ht="13">
      <c r="A86" s="48" t="s">
        <v>2314</v>
      </c>
      <c r="B86" s="49" t="s">
        <v>826</v>
      </c>
      <c r="C86" s="48" t="s">
        <v>197</v>
      </c>
      <c r="D86" s="73"/>
      <c r="E86" s="5"/>
      <c r="F86" s="5"/>
      <c r="G86" s="5"/>
    </row>
    <row r="87" spans="1:7" ht="13">
      <c r="A87" s="48" t="s">
        <v>2315</v>
      </c>
      <c r="B87" s="49" t="s">
        <v>836</v>
      </c>
      <c r="C87" s="48" t="s">
        <v>197</v>
      </c>
      <c r="D87" s="73"/>
      <c r="E87" s="5"/>
      <c r="F87" s="5"/>
      <c r="G87" s="5"/>
    </row>
    <row r="88" spans="1:7" ht="13">
      <c r="A88" s="48" t="s">
        <v>2316</v>
      </c>
      <c r="B88" s="49" t="s">
        <v>3025</v>
      </c>
      <c r="C88" s="48" t="s">
        <v>197</v>
      </c>
      <c r="D88" s="73"/>
      <c r="E88" s="5"/>
      <c r="F88" s="5"/>
      <c r="G88" s="5"/>
    </row>
    <row r="89" spans="1:7" ht="13">
      <c r="A89" s="48" t="s">
        <v>2318</v>
      </c>
      <c r="B89" s="49" t="s">
        <v>3127</v>
      </c>
      <c r="C89" s="48" t="s">
        <v>197</v>
      </c>
      <c r="D89" s="73"/>
      <c r="E89" s="5"/>
      <c r="F89" s="5"/>
      <c r="G89" s="5"/>
    </row>
    <row r="90" spans="1:7" ht="13">
      <c r="A90" s="48" t="s">
        <v>2319</v>
      </c>
      <c r="B90" s="49" t="s">
        <v>5027</v>
      </c>
      <c r="C90" s="48" t="s">
        <v>197</v>
      </c>
      <c r="D90" s="73"/>
      <c r="E90" s="5"/>
      <c r="F90" s="5"/>
      <c r="G90" s="5"/>
    </row>
    <row r="91" spans="1:7" ht="13">
      <c r="A91" s="48" t="s">
        <v>2320</v>
      </c>
      <c r="B91" s="49" t="s">
        <v>5029</v>
      </c>
      <c r="C91" s="48" t="s">
        <v>197</v>
      </c>
      <c r="D91" s="73"/>
      <c r="E91" s="51"/>
      <c r="F91" s="5"/>
      <c r="G91" s="5"/>
    </row>
    <row r="92" spans="1:7" ht="13">
      <c r="A92" s="48" t="s">
        <v>2321</v>
      </c>
      <c r="B92" s="49" t="s">
        <v>5105</v>
      </c>
      <c r="C92" s="48" t="s">
        <v>1013</v>
      </c>
      <c r="D92" s="48"/>
      <c r="E92" s="5"/>
      <c r="F92" s="5"/>
      <c r="G92" s="5"/>
    </row>
    <row r="93" spans="1:7" ht="13">
      <c r="A93" s="48" t="s">
        <v>2322</v>
      </c>
      <c r="B93" s="49" t="s">
        <v>5106</v>
      </c>
      <c r="C93" s="48" t="s">
        <v>4114</v>
      </c>
      <c r="D93" s="73"/>
      <c r="E93" s="5"/>
      <c r="F93" s="5"/>
      <c r="G93" s="5"/>
    </row>
    <row r="94" spans="1:7" ht="13">
      <c r="A94" s="48" t="s">
        <v>2323</v>
      </c>
      <c r="B94" s="49" t="s">
        <v>5107</v>
      </c>
      <c r="C94" s="48" t="s">
        <v>1013</v>
      </c>
      <c r="D94" s="73"/>
      <c r="E94" s="5"/>
      <c r="F94" s="5"/>
      <c r="G94" s="5"/>
    </row>
    <row r="95" spans="1:7" ht="13">
      <c r="A95" s="48" t="s">
        <v>2325</v>
      </c>
      <c r="B95" s="49" t="s">
        <v>1915</v>
      </c>
      <c r="C95" s="48" t="s">
        <v>229</v>
      </c>
      <c r="D95" s="73"/>
      <c r="E95" s="5"/>
      <c r="F95" s="5"/>
      <c r="G95" s="5"/>
    </row>
    <row r="96" spans="1:7" ht="13">
      <c r="A96" s="48" t="s">
        <v>2327</v>
      </c>
      <c r="B96" s="49" t="s">
        <v>5108</v>
      </c>
      <c r="C96" s="48" t="s">
        <v>4114</v>
      </c>
      <c r="D96" s="47"/>
      <c r="E96" s="5"/>
      <c r="F96" s="5"/>
      <c r="G96" s="5"/>
    </row>
    <row r="97" spans="1:7" ht="13">
      <c r="A97" s="48" t="s">
        <v>2329</v>
      </c>
      <c r="B97" s="49" t="s">
        <v>5109</v>
      </c>
      <c r="C97" s="48" t="s">
        <v>1013</v>
      </c>
      <c r="D97" s="48"/>
      <c r="E97" s="5"/>
      <c r="F97" s="5"/>
      <c r="G97" s="5"/>
    </row>
    <row r="98" spans="1:7" ht="13">
      <c r="A98" s="48" t="s">
        <v>2331</v>
      </c>
      <c r="B98" s="49" t="s">
        <v>1152</v>
      </c>
      <c r="C98" s="48" t="s">
        <v>1013</v>
      </c>
      <c r="D98" s="48"/>
      <c r="E98" s="5"/>
      <c r="F98" s="5"/>
      <c r="G98" s="5"/>
    </row>
    <row r="99" spans="1:7" ht="13">
      <c r="A99" s="48" t="s">
        <v>2333</v>
      </c>
      <c r="B99" s="49" t="s">
        <v>5110</v>
      </c>
      <c r="C99" s="48" t="s">
        <v>4114</v>
      </c>
      <c r="D99" s="73"/>
      <c r="E99" s="5"/>
      <c r="F99" s="5"/>
      <c r="G99" s="5"/>
    </row>
    <row r="100" spans="1:7" ht="13">
      <c r="A100" s="48" t="s">
        <v>2335</v>
      </c>
      <c r="B100" s="49" t="s">
        <v>5111</v>
      </c>
      <c r="C100" s="48" t="s">
        <v>4114</v>
      </c>
      <c r="D100" s="73"/>
      <c r="E100" s="5"/>
      <c r="F100" s="5"/>
      <c r="G100" s="5"/>
    </row>
    <row r="101" spans="1:7" ht="13">
      <c r="A101" s="48" t="s">
        <v>2337</v>
      </c>
      <c r="B101" s="49" t="s">
        <v>5112</v>
      </c>
      <c r="C101" s="48" t="s">
        <v>4114</v>
      </c>
      <c r="D101" s="73"/>
      <c r="E101" s="5"/>
      <c r="F101" s="5"/>
      <c r="G101" s="5"/>
    </row>
    <row r="102" spans="1:7" ht="13">
      <c r="A102" s="48" t="s">
        <v>2338</v>
      </c>
      <c r="B102" s="49" t="s">
        <v>5113</v>
      </c>
      <c r="C102" s="48" t="s">
        <v>4114</v>
      </c>
      <c r="D102" s="73"/>
      <c r="E102" s="5"/>
      <c r="F102" s="5"/>
      <c r="G102" s="5"/>
    </row>
    <row r="103" spans="1:7" ht="13">
      <c r="A103" s="48" t="s">
        <v>2339</v>
      </c>
      <c r="B103" s="49" t="s">
        <v>4173</v>
      </c>
      <c r="C103" s="48" t="s">
        <v>4114</v>
      </c>
      <c r="D103" s="73"/>
      <c r="E103" s="5"/>
      <c r="F103" s="5"/>
      <c r="G103" s="5"/>
    </row>
    <row r="104" spans="1:7" ht="13">
      <c r="A104" s="48" t="s">
        <v>2340</v>
      </c>
      <c r="B104" s="58" t="str">
        <f>HYPERLINK("https://bulbapedia.bulbagarden.net/wiki/Charizard-EX_(Flashfire_100)","CharizardEX")</f>
        <v>CharizardEX</v>
      </c>
      <c r="C104" s="48" t="s">
        <v>199</v>
      </c>
      <c r="D104" s="73"/>
      <c r="E104" s="5"/>
      <c r="F104" s="5"/>
      <c r="G104" s="5"/>
    </row>
    <row r="105" spans="1:7" ht="13">
      <c r="A105" s="48" t="s">
        <v>3345</v>
      </c>
      <c r="B105" s="58" t="str">
        <f>HYPERLINK("https://bulbapedia.bulbagarden.net/wiki/Magnezone-EX_(Flashfire_101)","MagnezoneEX")</f>
        <v>MagnezoneEX</v>
      </c>
      <c r="C105" s="48" t="s">
        <v>192</v>
      </c>
      <c r="D105" s="73"/>
      <c r="E105" s="5"/>
      <c r="F105" s="5"/>
      <c r="G105" s="5"/>
    </row>
    <row r="106" spans="1:7" ht="13">
      <c r="A106" s="48" t="s">
        <v>3347</v>
      </c>
      <c r="B106" s="58" t="str">
        <f>HYPERLINK("https://bulbapedia.bulbagarden.net/wiki/Toxicroak-EX_(Flashfire_102)","ToxicroakEX")</f>
        <v>ToxicroakEX</v>
      </c>
      <c r="C106" s="48" t="s">
        <v>195</v>
      </c>
      <c r="D106" s="73"/>
      <c r="E106" s="5"/>
      <c r="F106" s="5"/>
      <c r="G106" s="5"/>
    </row>
    <row r="107" spans="1:7" ht="13">
      <c r="A107" s="48" t="s">
        <v>3348</v>
      </c>
      <c r="B107" s="58" t="str">
        <f>HYPERLINK("https://bulbapedia.bulbagarden.net/wiki/Kangaskhan-EX_(Flashfire_103)","KangaskhanEX")</f>
        <v>KangaskhanEX</v>
      </c>
      <c r="C107" s="48" t="s">
        <v>197</v>
      </c>
      <c r="D107" s="47"/>
      <c r="E107" s="5"/>
      <c r="F107" s="5"/>
      <c r="G107" s="5"/>
    </row>
    <row r="108" spans="1:7" ht="13">
      <c r="A108" s="48" t="s">
        <v>3350</v>
      </c>
      <c r="B108" s="49" t="s">
        <v>5107</v>
      </c>
      <c r="C108" s="48" t="s">
        <v>1013</v>
      </c>
      <c r="D108" s="47"/>
      <c r="E108" s="5"/>
      <c r="F108" s="5"/>
      <c r="G108" s="5"/>
    </row>
    <row r="109" spans="1:7" ht="13">
      <c r="A109" s="48" t="s">
        <v>3351</v>
      </c>
      <c r="B109" s="49" t="s">
        <v>5109</v>
      </c>
      <c r="C109" s="48" t="s">
        <v>1013</v>
      </c>
      <c r="D109" s="73"/>
      <c r="E109" s="5"/>
      <c r="F109" s="5"/>
      <c r="G109" s="5"/>
    </row>
    <row r="110" spans="1:7" ht="13">
      <c r="A110" s="48" t="s">
        <v>3352</v>
      </c>
      <c r="B110" s="49" t="s">
        <v>1152</v>
      </c>
      <c r="C110" s="48" t="s">
        <v>1013</v>
      </c>
      <c r="D110" s="73"/>
      <c r="E110" s="5"/>
      <c r="F110" s="5"/>
      <c r="G110" s="5"/>
    </row>
    <row r="111" spans="1:7" ht="13">
      <c r="A111" s="48" t="s">
        <v>2341</v>
      </c>
      <c r="B111" s="58" t="str">
        <f>HYPERLINK("https://bulbapedia.bulbagarden.net/wiki/M_Charizard-EX_(Flashfire_107)","MCharizardEX")</f>
        <v>MCharizardEX</v>
      </c>
      <c r="C111" s="48" t="s">
        <v>199</v>
      </c>
      <c r="D111" s="73"/>
      <c r="E111" s="5"/>
      <c r="F111" s="5"/>
      <c r="G111" s="5"/>
    </row>
    <row r="112" spans="1:7" ht="13">
      <c r="A112" s="48" t="s">
        <v>5114</v>
      </c>
      <c r="B112" s="58" t="str">
        <f>HYPERLINK("https://bulbapedia.bulbagarden.net/wiki/M_Charizard-EX_(Flashfire_108)","MCharizardEX")</f>
        <v>MCharizardEX</v>
      </c>
      <c r="C112" s="48" t="s">
        <v>4285</v>
      </c>
      <c r="D112" s="73"/>
      <c r="E112" s="5"/>
      <c r="F112" s="5"/>
      <c r="G112" s="5"/>
    </row>
    <row r="113" spans="1:7" ht="13">
      <c r="A113" s="48" t="s">
        <v>5115</v>
      </c>
      <c r="B113" s="58" t="str">
        <f>HYPERLINK("https://bulbapedia.bulbagarden.net/wiki/M_Kangaskhan-EX_(Flashfire_109)","MKangaskhanEX")</f>
        <v>MKangaskhanEX</v>
      </c>
      <c r="C113" s="48" t="s">
        <v>197</v>
      </c>
      <c r="D113" s="73"/>
      <c r="E113" s="5"/>
      <c r="F113" s="5"/>
      <c r="G113" s="5"/>
    </row>
    <row r="115" spans="1:7" ht="13">
      <c r="A115" s="48"/>
      <c r="B115" s="50"/>
      <c r="C115" s="48"/>
      <c r="D115" s="73"/>
      <c r="E115" s="5"/>
      <c r="F115" s="5"/>
      <c r="G115" s="5"/>
    </row>
    <row r="116" spans="1:7" ht="13">
      <c r="A116" s="48"/>
      <c r="B116" s="50"/>
      <c r="C116" s="48"/>
      <c r="D116" s="73"/>
      <c r="E116" s="5"/>
      <c r="F116" s="5"/>
      <c r="G116" s="5"/>
    </row>
    <row r="117" spans="1:7" ht="13">
      <c r="A117" s="48"/>
      <c r="B117" s="50"/>
      <c r="C117" s="73"/>
      <c r="D117" s="73"/>
      <c r="E117" s="5"/>
      <c r="F117" s="5"/>
      <c r="G117" s="5"/>
    </row>
    <row r="118" spans="1:7" ht="13">
      <c r="A118" s="48"/>
      <c r="B118" s="50"/>
      <c r="C118" s="73"/>
      <c r="D118" s="73"/>
      <c r="E118" s="5"/>
      <c r="F118" s="5"/>
      <c r="G118" s="5"/>
    </row>
    <row r="119" spans="1:7" ht="13">
      <c r="A119" s="64"/>
      <c r="B119" s="65"/>
      <c r="C119" s="64"/>
      <c r="D119" s="76"/>
      <c r="E119" s="5"/>
      <c r="F119" s="5"/>
      <c r="G119" s="5"/>
    </row>
    <row r="120" spans="1:7" ht="13">
      <c r="A120" s="64"/>
      <c r="B120" s="65"/>
      <c r="C120" s="64"/>
      <c r="D120" s="76"/>
      <c r="E120" s="5"/>
      <c r="F120" s="5"/>
      <c r="G120" s="5"/>
    </row>
    <row r="121" spans="1:7" ht="13">
      <c r="A121" s="64"/>
      <c r="B121" s="65"/>
      <c r="C121" s="64"/>
      <c r="D121" s="76"/>
      <c r="E121" s="5"/>
      <c r="F121" s="5"/>
      <c r="G121" s="5"/>
    </row>
    <row r="122" spans="1:7" ht="13">
      <c r="A122" s="64"/>
      <c r="B122" s="68"/>
      <c r="C122" s="64"/>
      <c r="D122" s="76"/>
      <c r="E122" s="5"/>
      <c r="F122" s="5"/>
      <c r="G122" s="5"/>
    </row>
    <row r="123" spans="1:7" ht="13">
      <c r="A123" s="64"/>
      <c r="B123" s="68"/>
      <c r="C123" s="64"/>
      <c r="D123" s="76"/>
      <c r="E123" s="5"/>
      <c r="F123" s="5"/>
      <c r="G123" s="5"/>
    </row>
    <row r="124" spans="1:7" ht="13">
      <c r="A124" s="64"/>
      <c r="B124" s="68"/>
      <c r="C124" s="64"/>
      <c r="D124" s="76"/>
      <c r="E124" s="5"/>
      <c r="F124" s="5"/>
      <c r="G124" s="5"/>
    </row>
    <row r="125" spans="1:7" ht="13">
      <c r="A125" s="64"/>
      <c r="B125" s="67"/>
      <c r="C125" s="64"/>
      <c r="D125" s="76"/>
      <c r="E125" s="5"/>
      <c r="F125" s="5"/>
      <c r="G125" s="5"/>
    </row>
    <row r="126" spans="1:7" ht="13">
      <c r="A126" s="64"/>
      <c r="B126" s="67"/>
      <c r="C126" s="64"/>
      <c r="D126" s="76"/>
      <c r="E126" s="5"/>
      <c r="F126" s="5"/>
      <c r="G126" s="5"/>
    </row>
    <row r="127" spans="1:7" ht="13">
      <c r="A127" s="64"/>
      <c r="B127" s="65"/>
      <c r="C127" s="64"/>
      <c r="D127" s="76"/>
      <c r="E127" s="5"/>
      <c r="F127" s="5"/>
      <c r="G127" s="5"/>
    </row>
    <row r="128" spans="1:7" ht="13">
      <c r="A128" s="64"/>
      <c r="B128" s="68"/>
      <c r="C128" s="64"/>
      <c r="D128" s="76"/>
      <c r="E128" s="5"/>
      <c r="F128" s="5"/>
      <c r="G128" s="5"/>
    </row>
    <row r="129" spans="1:7" ht="13">
      <c r="A129" s="64"/>
      <c r="B129" s="68"/>
      <c r="C129" s="64"/>
      <c r="D129" s="76"/>
      <c r="E129" s="5"/>
      <c r="F129" s="5"/>
      <c r="G129" s="5"/>
    </row>
    <row r="130" spans="1:7" ht="13">
      <c r="A130" s="64"/>
      <c r="B130" s="68"/>
      <c r="C130" s="64"/>
      <c r="D130" s="66"/>
      <c r="E130" s="5"/>
      <c r="F130" s="5"/>
      <c r="G130" s="5"/>
    </row>
    <row r="131" spans="1:7" ht="13">
      <c r="A131" s="64"/>
      <c r="B131" s="68"/>
      <c r="C131" s="64"/>
      <c r="D131" s="66"/>
      <c r="E131" s="5"/>
      <c r="F131" s="5"/>
      <c r="G131" s="5"/>
    </row>
    <row r="132" spans="1:7" ht="13">
      <c r="A132" s="64"/>
      <c r="B132" s="68"/>
      <c r="C132" s="64"/>
      <c r="D132" s="76"/>
      <c r="E132" s="5"/>
      <c r="F132" s="5"/>
      <c r="G132" s="5"/>
    </row>
    <row r="133" spans="1:7" ht="13">
      <c r="A133" s="64"/>
      <c r="B133" s="68"/>
      <c r="C133" s="64"/>
      <c r="D133" s="76"/>
      <c r="E133" s="5"/>
      <c r="F133" s="5"/>
      <c r="G133" s="5"/>
    </row>
    <row r="134" spans="1:7" ht="13">
      <c r="A134" s="64"/>
      <c r="B134" s="68"/>
      <c r="C134" s="64"/>
      <c r="D134" s="66"/>
      <c r="E134" s="5"/>
      <c r="F134" s="5"/>
      <c r="G134" s="5"/>
    </row>
    <row r="135" spans="1:7" ht="13">
      <c r="A135" s="64"/>
      <c r="B135" s="68"/>
      <c r="C135" s="64"/>
      <c r="D135" s="66"/>
      <c r="E135" s="5"/>
      <c r="F135" s="5"/>
      <c r="G135" s="5"/>
    </row>
    <row r="136" spans="1:7" ht="13">
      <c r="A136" s="64"/>
      <c r="B136" s="68"/>
      <c r="C136" s="64"/>
      <c r="D136" s="66"/>
      <c r="E136" s="5"/>
      <c r="F136" s="5"/>
      <c r="G136" s="5"/>
    </row>
    <row r="137" spans="1:7" ht="13">
      <c r="A137" s="64"/>
      <c r="B137" s="68"/>
      <c r="C137" s="64"/>
      <c r="D137" s="66"/>
      <c r="E137" s="5"/>
      <c r="F137" s="5"/>
      <c r="G137" s="5"/>
    </row>
    <row r="138" spans="1:7" ht="13">
      <c r="A138" s="64"/>
      <c r="B138" s="68"/>
      <c r="C138" s="64"/>
      <c r="D138" s="66"/>
      <c r="E138" s="5"/>
      <c r="F138" s="5"/>
      <c r="G138" s="5"/>
    </row>
    <row r="139" spans="1:7" ht="13">
      <c r="A139" s="64"/>
      <c r="B139" s="68"/>
      <c r="C139" s="64"/>
      <c r="D139" s="66"/>
      <c r="E139" s="5"/>
      <c r="F139" s="5"/>
      <c r="G139" s="5"/>
    </row>
    <row r="140" spans="1:7" ht="13">
      <c r="A140" s="64"/>
      <c r="B140" s="68"/>
      <c r="C140" s="64"/>
      <c r="D140" s="66"/>
      <c r="E140" s="5"/>
      <c r="F140" s="5"/>
      <c r="G140" s="5"/>
    </row>
    <row r="141" spans="1:7" ht="13">
      <c r="A141" s="64"/>
      <c r="B141" s="68"/>
      <c r="C141" s="64"/>
      <c r="D141" s="66"/>
      <c r="E141" s="5"/>
      <c r="F141" s="5"/>
      <c r="G141" s="5"/>
    </row>
    <row r="142" spans="1:7" ht="13">
      <c r="A142" s="64"/>
      <c r="B142" s="68"/>
      <c r="C142" s="64"/>
      <c r="D142" s="66"/>
      <c r="E142" s="5"/>
      <c r="F142" s="5"/>
      <c r="G142" s="5"/>
    </row>
    <row r="143" spans="1:7" ht="13">
      <c r="A143" s="64"/>
      <c r="B143" s="68"/>
      <c r="C143" s="64"/>
      <c r="D143" s="66"/>
      <c r="E143" s="5"/>
      <c r="F143" s="5"/>
      <c r="G143" s="5"/>
    </row>
    <row r="144" spans="1:7" ht="13">
      <c r="A144" s="64"/>
      <c r="B144" s="68"/>
      <c r="C144" s="64"/>
      <c r="D144" s="66"/>
      <c r="E144" s="5"/>
      <c r="F144" s="5"/>
      <c r="G144" s="5"/>
    </row>
    <row r="145" spans="1:7" ht="13">
      <c r="A145" s="64"/>
      <c r="B145" s="68"/>
      <c r="C145" s="64"/>
      <c r="D145" s="66"/>
      <c r="E145" s="5"/>
      <c r="F145" s="5"/>
      <c r="G145" s="5"/>
    </row>
    <row r="146" spans="1:7" ht="13">
      <c r="A146" s="64"/>
      <c r="B146" s="68"/>
      <c r="C146" s="64"/>
      <c r="D146" s="66"/>
      <c r="E146" s="5"/>
      <c r="F146" s="5"/>
      <c r="G146" s="5"/>
    </row>
    <row r="147" spans="1:7" ht="13">
      <c r="A147" s="64"/>
      <c r="B147" s="68"/>
      <c r="C147" s="64"/>
      <c r="D147" s="66"/>
      <c r="E147" s="5"/>
      <c r="F147" s="5"/>
      <c r="G147" s="5"/>
    </row>
    <row r="148" spans="1:7" ht="13">
      <c r="A148" s="64"/>
      <c r="B148" s="68"/>
      <c r="C148" s="64"/>
      <c r="D148" s="66"/>
      <c r="E148" s="5"/>
      <c r="F148" s="5"/>
      <c r="G148" s="5"/>
    </row>
    <row r="149" spans="1:7" ht="13">
      <c r="A149" s="64"/>
      <c r="B149" s="68"/>
      <c r="C149" s="64"/>
      <c r="D149" s="66"/>
      <c r="E149" s="5"/>
      <c r="F149" s="5"/>
      <c r="G149" s="5"/>
    </row>
    <row r="150" spans="1:7" ht="13">
      <c r="A150" s="64"/>
      <c r="B150" s="65"/>
      <c r="C150" s="64"/>
      <c r="D150" s="66"/>
      <c r="E150" s="5"/>
      <c r="F150" s="5"/>
      <c r="G150" s="5"/>
    </row>
    <row r="151" spans="1:7" ht="13">
      <c r="A151" s="64"/>
      <c r="B151" s="65"/>
      <c r="C151" s="64"/>
      <c r="D151" s="66"/>
      <c r="E151" s="5"/>
      <c r="F151" s="5"/>
      <c r="G151" s="5"/>
    </row>
    <row r="152" spans="1:7" ht="13">
      <c r="A152" s="64"/>
      <c r="B152" s="65"/>
      <c r="C152" s="64"/>
      <c r="D152" s="66"/>
      <c r="E152" s="5"/>
      <c r="F152" s="5"/>
      <c r="G152" s="5"/>
    </row>
    <row r="153" spans="1:7" ht="13">
      <c r="A153" s="64"/>
      <c r="B153" s="65"/>
      <c r="C153" s="64"/>
      <c r="D153" s="66"/>
      <c r="E153" s="5"/>
      <c r="F153" s="5"/>
      <c r="G153" s="5"/>
    </row>
    <row r="154" spans="1:7" ht="13">
      <c r="A154" s="64"/>
      <c r="B154" s="65"/>
      <c r="C154" s="64"/>
      <c r="D154" s="66"/>
      <c r="E154" s="5"/>
      <c r="F154" s="5"/>
      <c r="G154" s="5"/>
    </row>
    <row r="155" spans="1:7" ht="13">
      <c r="A155" s="64"/>
      <c r="B155" s="65"/>
      <c r="C155" s="64"/>
      <c r="D155" s="66"/>
      <c r="E155" s="5"/>
      <c r="F155" s="5"/>
      <c r="G155" s="5"/>
    </row>
    <row r="156" spans="1:7" ht="13">
      <c r="A156" s="64"/>
      <c r="B156" s="65"/>
      <c r="C156" s="64"/>
      <c r="D156" s="66"/>
      <c r="E156" s="5"/>
      <c r="F156" s="5"/>
      <c r="G156" s="5"/>
    </row>
    <row r="157" spans="1:7" ht="13">
      <c r="A157" s="64"/>
      <c r="B157" s="65"/>
      <c r="C157" s="64"/>
      <c r="D157" s="66"/>
      <c r="E157" s="5"/>
      <c r="F157" s="5"/>
      <c r="G157" s="5"/>
    </row>
    <row r="158" spans="1:7" ht="13">
      <c r="A158" s="64"/>
      <c r="B158" s="65"/>
      <c r="C158" s="64"/>
      <c r="D158" s="66"/>
      <c r="E158" s="5"/>
      <c r="F158" s="5"/>
      <c r="G158" s="5"/>
    </row>
    <row r="159" spans="1:7" ht="13">
      <c r="A159" s="64"/>
      <c r="B159" s="67"/>
      <c r="C159" s="64"/>
      <c r="D159" s="66"/>
      <c r="E159" s="5"/>
      <c r="F159" s="5"/>
      <c r="G159" s="5"/>
    </row>
    <row r="160" spans="1:7" ht="13">
      <c r="A160" s="64"/>
      <c r="B160" s="65"/>
      <c r="C160" s="64"/>
      <c r="D160" s="66"/>
      <c r="E160" s="5"/>
      <c r="F160" s="5"/>
      <c r="G160" s="5"/>
    </row>
    <row r="161" spans="1:7" ht="13">
      <c r="A161" s="64"/>
      <c r="B161" s="67"/>
      <c r="C161" s="64"/>
      <c r="D161" s="66"/>
      <c r="E161" s="5"/>
      <c r="F161" s="5"/>
      <c r="G161" s="5"/>
    </row>
    <row r="162" spans="1:7" ht="13">
      <c r="A162" s="64"/>
      <c r="B162" s="68"/>
      <c r="C162" s="64"/>
      <c r="D162" s="66"/>
      <c r="E162" s="5"/>
      <c r="F162" s="5"/>
      <c r="G162" s="5"/>
    </row>
    <row r="163" spans="1:7" ht="13">
      <c r="A163" s="64"/>
      <c r="B163" s="68"/>
      <c r="C163" s="64"/>
      <c r="D163" s="66"/>
      <c r="E163" s="5"/>
      <c r="F163" s="5"/>
      <c r="G163" s="5"/>
    </row>
    <row r="164" spans="1:7" ht="13">
      <c r="A164" s="64"/>
      <c r="B164" s="68"/>
      <c r="C164" s="64"/>
      <c r="D164" s="66"/>
      <c r="E164" s="5"/>
      <c r="F164" s="5"/>
      <c r="G164" s="5"/>
    </row>
    <row r="165" spans="1:7" ht="13">
      <c r="A165" s="64"/>
      <c r="B165" s="68"/>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8"/>
      <c r="C168" s="64"/>
      <c r="D168" s="66"/>
      <c r="E168" s="5"/>
      <c r="F168" s="5"/>
      <c r="G168" s="5"/>
    </row>
    <row r="169" spans="1:7" ht="13">
      <c r="A169" s="64"/>
      <c r="B169" s="68"/>
      <c r="C169" s="64"/>
      <c r="D169" s="66"/>
      <c r="E169" s="5"/>
      <c r="F169" s="5"/>
      <c r="G169"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5" r:id="rId1" xr:uid="{00000000-0004-0000-4400-000000000000}"/>
    <hyperlink ref="B6" r:id="rId2" xr:uid="{00000000-0004-0000-4400-000001000000}"/>
    <hyperlink ref="B7" r:id="rId3" xr:uid="{00000000-0004-0000-4400-000002000000}"/>
    <hyperlink ref="B8" r:id="rId4" xr:uid="{00000000-0004-0000-4400-000003000000}"/>
    <hyperlink ref="B9" r:id="rId5" xr:uid="{00000000-0004-0000-4400-000004000000}"/>
    <hyperlink ref="B10" r:id="rId6" xr:uid="{00000000-0004-0000-4400-000005000000}"/>
    <hyperlink ref="B11" r:id="rId7" xr:uid="{00000000-0004-0000-4400-000006000000}"/>
    <hyperlink ref="B12" r:id="rId8" xr:uid="{00000000-0004-0000-4400-000007000000}"/>
    <hyperlink ref="B13" r:id="rId9" xr:uid="{00000000-0004-0000-4400-000008000000}"/>
    <hyperlink ref="B14" r:id="rId10" xr:uid="{00000000-0004-0000-4400-000009000000}"/>
    <hyperlink ref="B18" r:id="rId11" xr:uid="{00000000-0004-0000-4400-00000A000000}"/>
    <hyperlink ref="B19" r:id="rId12" xr:uid="{00000000-0004-0000-4400-00000B000000}"/>
    <hyperlink ref="B20" r:id="rId13" xr:uid="{00000000-0004-0000-4400-00000C000000}"/>
    <hyperlink ref="B21" r:id="rId14" xr:uid="{00000000-0004-0000-4400-00000D000000}"/>
    <hyperlink ref="B22" r:id="rId15" xr:uid="{00000000-0004-0000-4400-00000E000000}"/>
    <hyperlink ref="B23" r:id="rId16" xr:uid="{00000000-0004-0000-4400-00000F000000}"/>
    <hyperlink ref="B24" r:id="rId17" xr:uid="{00000000-0004-0000-4400-000010000000}"/>
    <hyperlink ref="B25" r:id="rId18" xr:uid="{00000000-0004-0000-4400-000011000000}"/>
    <hyperlink ref="B26" r:id="rId19" xr:uid="{00000000-0004-0000-4400-000012000000}"/>
    <hyperlink ref="B27" r:id="rId20" xr:uid="{00000000-0004-0000-4400-000013000000}"/>
    <hyperlink ref="B28" r:id="rId21" xr:uid="{00000000-0004-0000-4400-000014000000}"/>
    <hyperlink ref="B29" r:id="rId22" xr:uid="{00000000-0004-0000-4400-000015000000}"/>
    <hyperlink ref="B30" r:id="rId23" xr:uid="{00000000-0004-0000-4400-000016000000}"/>
    <hyperlink ref="B31" r:id="rId24" xr:uid="{00000000-0004-0000-4400-000017000000}"/>
    <hyperlink ref="B32" r:id="rId25" xr:uid="{00000000-0004-0000-4400-000018000000}"/>
    <hyperlink ref="B33" r:id="rId26" xr:uid="{00000000-0004-0000-4400-000019000000}"/>
    <hyperlink ref="B34" r:id="rId27" xr:uid="{00000000-0004-0000-4400-00001A000000}"/>
    <hyperlink ref="B35" r:id="rId28" xr:uid="{00000000-0004-0000-4400-00001B000000}"/>
    <hyperlink ref="B36" r:id="rId29" xr:uid="{00000000-0004-0000-4400-00001C000000}"/>
    <hyperlink ref="B37" r:id="rId30" xr:uid="{00000000-0004-0000-4400-00001D000000}"/>
    <hyperlink ref="B38" r:id="rId31" xr:uid="{00000000-0004-0000-4400-00001E000000}"/>
    <hyperlink ref="B40" r:id="rId32" xr:uid="{00000000-0004-0000-4400-00001F000000}"/>
    <hyperlink ref="B41" r:id="rId33" xr:uid="{00000000-0004-0000-4400-000020000000}"/>
    <hyperlink ref="B42" r:id="rId34" xr:uid="{00000000-0004-0000-4400-000021000000}"/>
    <hyperlink ref="B43" r:id="rId35" xr:uid="{00000000-0004-0000-4400-000022000000}"/>
    <hyperlink ref="B44" r:id="rId36" xr:uid="{00000000-0004-0000-4400-000023000000}"/>
    <hyperlink ref="B46" r:id="rId37" xr:uid="{00000000-0004-0000-4400-000024000000}"/>
    <hyperlink ref="B47" r:id="rId38" xr:uid="{00000000-0004-0000-4400-000025000000}"/>
    <hyperlink ref="B48" r:id="rId39" xr:uid="{00000000-0004-0000-4400-000026000000}"/>
    <hyperlink ref="B49" r:id="rId40" xr:uid="{00000000-0004-0000-4400-000027000000}"/>
    <hyperlink ref="B50" r:id="rId41" xr:uid="{00000000-0004-0000-4400-000028000000}"/>
    <hyperlink ref="B51" r:id="rId42" xr:uid="{00000000-0004-0000-4400-000029000000}"/>
    <hyperlink ref="B52" r:id="rId43" xr:uid="{00000000-0004-0000-4400-00002A000000}"/>
    <hyperlink ref="B53" r:id="rId44" xr:uid="{00000000-0004-0000-4400-00002B000000}"/>
    <hyperlink ref="B54" r:id="rId45" xr:uid="{00000000-0004-0000-4400-00002C000000}"/>
    <hyperlink ref="B55" r:id="rId46" xr:uid="{00000000-0004-0000-4400-00002D000000}"/>
    <hyperlink ref="B56" r:id="rId47" xr:uid="{00000000-0004-0000-4400-00002E000000}"/>
    <hyperlink ref="B57" r:id="rId48" xr:uid="{00000000-0004-0000-4400-00002F000000}"/>
    <hyperlink ref="B58" r:id="rId49" xr:uid="{00000000-0004-0000-4400-000030000000}"/>
    <hyperlink ref="B59" r:id="rId50" xr:uid="{00000000-0004-0000-4400-000031000000}"/>
    <hyperlink ref="B60" r:id="rId51" xr:uid="{00000000-0004-0000-4400-000032000000}"/>
    <hyperlink ref="B61" r:id="rId52" xr:uid="{00000000-0004-0000-4400-000033000000}"/>
    <hyperlink ref="B62" r:id="rId53" xr:uid="{00000000-0004-0000-4400-000034000000}"/>
    <hyperlink ref="B63" r:id="rId54" xr:uid="{00000000-0004-0000-4400-000035000000}"/>
    <hyperlink ref="B64" r:id="rId55" xr:uid="{00000000-0004-0000-4400-000036000000}"/>
    <hyperlink ref="B65" r:id="rId56" xr:uid="{00000000-0004-0000-4400-000037000000}"/>
    <hyperlink ref="B66" r:id="rId57" xr:uid="{00000000-0004-0000-4400-000038000000}"/>
    <hyperlink ref="B67" r:id="rId58" xr:uid="{00000000-0004-0000-4400-000039000000}"/>
    <hyperlink ref="B68" r:id="rId59" xr:uid="{00000000-0004-0000-4400-00003A000000}"/>
    <hyperlink ref="B69" r:id="rId60" xr:uid="{00000000-0004-0000-4400-00003B000000}"/>
    <hyperlink ref="B70" r:id="rId61" xr:uid="{00000000-0004-0000-4400-00003C000000}"/>
    <hyperlink ref="B71" r:id="rId62" xr:uid="{00000000-0004-0000-4400-00003D000000}"/>
    <hyperlink ref="B72" r:id="rId63" xr:uid="{00000000-0004-0000-4400-00003E000000}"/>
    <hyperlink ref="B74" r:id="rId64" xr:uid="{00000000-0004-0000-4400-00003F000000}"/>
    <hyperlink ref="B75" r:id="rId65" xr:uid="{00000000-0004-0000-4400-000040000000}"/>
    <hyperlink ref="B76" r:id="rId66" xr:uid="{00000000-0004-0000-4400-000041000000}"/>
    <hyperlink ref="B77" r:id="rId67" xr:uid="{00000000-0004-0000-4400-000042000000}"/>
    <hyperlink ref="B78" r:id="rId68" xr:uid="{00000000-0004-0000-4400-000043000000}"/>
    <hyperlink ref="B79" r:id="rId69" xr:uid="{00000000-0004-0000-4400-000044000000}"/>
    <hyperlink ref="B80" r:id="rId70" xr:uid="{00000000-0004-0000-4400-000045000000}"/>
    <hyperlink ref="B81" r:id="rId71" xr:uid="{00000000-0004-0000-4400-000046000000}"/>
    <hyperlink ref="B84" r:id="rId72" xr:uid="{00000000-0004-0000-4400-000047000000}"/>
    <hyperlink ref="B85" r:id="rId73" xr:uid="{00000000-0004-0000-4400-000048000000}"/>
    <hyperlink ref="B86" r:id="rId74" xr:uid="{00000000-0004-0000-4400-000049000000}"/>
    <hyperlink ref="B87" r:id="rId75" xr:uid="{00000000-0004-0000-4400-00004A000000}"/>
    <hyperlink ref="B88" r:id="rId76" xr:uid="{00000000-0004-0000-4400-00004B000000}"/>
    <hyperlink ref="B89" r:id="rId77" xr:uid="{00000000-0004-0000-4400-00004C000000}"/>
    <hyperlink ref="B90" r:id="rId78" xr:uid="{00000000-0004-0000-4400-00004D000000}"/>
    <hyperlink ref="B91" r:id="rId79" xr:uid="{00000000-0004-0000-4400-00004E000000}"/>
    <hyperlink ref="B92" r:id="rId80" xr:uid="{00000000-0004-0000-4400-00004F000000}"/>
    <hyperlink ref="B93" r:id="rId81" xr:uid="{00000000-0004-0000-4400-000050000000}"/>
    <hyperlink ref="B94" r:id="rId82" xr:uid="{00000000-0004-0000-4400-000051000000}"/>
    <hyperlink ref="B95" r:id="rId83" xr:uid="{00000000-0004-0000-4400-000052000000}"/>
    <hyperlink ref="B96" r:id="rId84" xr:uid="{00000000-0004-0000-4400-000053000000}"/>
    <hyperlink ref="B97" r:id="rId85" xr:uid="{00000000-0004-0000-4400-000054000000}"/>
    <hyperlink ref="B98" r:id="rId86" xr:uid="{00000000-0004-0000-4400-000055000000}"/>
    <hyperlink ref="B99" r:id="rId87" xr:uid="{00000000-0004-0000-4400-000056000000}"/>
    <hyperlink ref="B100" r:id="rId88" xr:uid="{00000000-0004-0000-4400-000057000000}"/>
    <hyperlink ref="B101" r:id="rId89" xr:uid="{00000000-0004-0000-4400-000058000000}"/>
    <hyperlink ref="B102" r:id="rId90" xr:uid="{00000000-0004-0000-4400-000059000000}"/>
    <hyperlink ref="B103" r:id="rId91" xr:uid="{00000000-0004-0000-4400-00005A000000}"/>
    <hyperlink ref="B108" r:id="rId92" xr:uid="{00000000-0004-0000-4400-00005B000000}"/>
    <hyperlink ref="B109" r:id="rId93" xr:uid="{00000000-0004-0000-4400-00005C000000}"/>
    <hyperlink ref="B110" r:id="rId94" xr:uid="{00000000-0004-0000-4400-00005D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0">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8.5" customWidth="1"/>
    <col min="3" max="3" width="13.5" customWidth="1"/>
    <col min="4" max="4" width="14.83203125" customWidth="1"/>
    <col min="5" max="5" width="14.33203125" customWidth="1"/>
    <col min="7" max="7" width="14.83203125" customWidth="1"/>
    <col min="11" max="11" width="13.83203125" customWidth="1"/>
  </cols>
  <sheetData>
    <row r="1" spans="1:23" ht="15.75" customHeight="1">
      <c r="A1" s="1" t="s">
        <v>96</v>
      </c>
      <c r="B1" s="36"/>
      <c r="C1" s="37"/>
      <c r="D1" s="7" t="s">
        <v>181</v>
      </c>
      <c r="E1" s="5"/>
      <c r="F1" s="5"/>
      <c r="G1" s="5"/>
      <c r="K1" s="1"/>
      <c r="M1" s="5"/>
      <c r="N1" s="5"/>
      <c r="S1" s="1"/>
      <c r="U1" s="5"/>
    </row>
    <row r="2" spans="1:23" ht="15.75" customHeight="1">
      <c r="A2" s="7" t="s">
        <v>182</v>
      </c>
      <c r="B2" s="38">
        <v>41782</v>
      </c>
      <c r="C2" s="37"/>
      <c r="D2" s="39">
        <f>SUM(D5:G16)</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43112</v>
      </c>
      <c r="B5" s="49" t="s">
        <v>300</v>
      </c>
      <c r="C5" s="51" t="s">
        <v>205</v>
      </c>
      <c r="D5" s="5"/>
      <c r="E5" s="5"/>
      <c r="F5" s="5"/>
      <c r="G5" s="5"/>
      <c r="L5" s="43"/>
      <c r="M5" s="43"/>
      <c r="N5" s="42"/>
      <c r="O5" s="44"/>
      <c r="S5" s="42"/>
      <c r="T5" s="43"/>
      <c r="U5" s="43"/>
      <c r="V5" s="42"/>
      <c r="W5" s="44"/>
    </row>
    <row r="6" spans="1:23" ht="15.75" customHeight="1">
      <c r="A6" s="52">
        <v>43143</v>
      </c>
      <c r="B6" s="49" t="s">
        <v>4736</v>
      </c>
      <c r="C6" s="51" t="s">
        <v>205</v>
      </c>
      <c r="D6" s="5"/>
      <c r="E6" s="5"/>
      <c r="F6" s="5"/>
      <c r="G6" s="5"/>
      <c r="S6" s="52"/>
      <c r="T6" s="50"/>
      <c r="U6" s="51"/>
    </row>
    <row r="7" spans="1:23" ht="15.75" customHeight="1">
      <c r="A7" s="52">
        <v>43171</v>
      </c>
      <c r="B7" s="49" t="s">
        <v>4738</v>
      </c>
      <c r="C7" s="51" t="s">
        <v>199</v>
      </c>
      <c r="D7" s="51"/>
      <c r="E7" s="5"/>
      <c r="F7" s="51"/>
      <c r="G7" s="5"/>
      <c r="S7" s="52"/>
      <c r="T7" s="50"/>
      <c r="U7" s="51"/>
    </row>
    <row r="8" spans="1:23" ht="15.75" customHeight="1">
      <c r="A8" s="52">
        <v>43202</v>
      </c>
      <c r="B8" s="49" t="s">
        <v>4740</v>
      </c>
      <c r="C8" s="51" t="s">
        <v>208</v>
      </c>
      <c r="D8" s="51"/>
      <c r="E8" s="5"/>
      <c r="F8" s="51"/>
      <c r="G8" s="5"/>
      <c r="S8" s="52"/>
      <c r="T8" s="50"/>
      <c r="U8" s="51"/>
    </row>
    <row r="9" spans="1:23" ht="15.75" customHeight="1">
      <c r="A9" s="52">
        <v>43232</v>
      </c>
      <c r="B9" s="49" t="s">
        <v>191</v>
      </c>
      <c r="C9" s="51" t="s">
        <v>192</v>
      </c>
      <c r="D9" s="5"/>
      <c r="E9" s="5"/>
      <c r="F9" s="51"/>
      <c r="G9" s="5"/>
      <c r="S9" s="52"/>
      <c r="T9" s="50"/>
      <c r="U9" s="51"/>
    </row>
    <row r="10" spans="1:23" ht="15.75" customHeight="1">
      <c r="A10" s="52">
        <v>43263</v>
      </c>
      <c r="B10" s="49" t="s">
        <v>5011</v>
      </c>
      <c r="C10" s="51" t="s">
        <v>808</v>
      </c>
      <c r="D10" s="51"/>
      <c r="E10" s="5"/>
      <c r="F10" s="51"/>
      <c r="G10" s="5"/>
      <c r="S10" s="52"/>
      <c r="T10" s="50"/>
      <c r="U10" s="51"/>
    </row>
    <row r="11" spans="1:23" ht="15.75" customHeight="1">
      <c r="A11" s="52">
        <v>43293</v>
      </c>
      <c r="B11" s="49" t="s">
        <v>4755</v>
      </c>
      <c r="C11" s="51" t="s">
        <v>220</v>
      </c>
      <c r="D11" s="51"/>
      <c r="E11" s="5"/>
      <c r="F11" s="51"/>
      <c r="G11" s="5"/>
      <c r="S11" s="52"/>
      <c r="T11" s="50"/>
      <c r="U11" s="51"/>
    </row>
    <row r="12" spans="1:23" ht="15.75" customHeight="1">
      <c r="A12" s="52">
        <v>43324</v>
      </c>
      <c r="B12" s="49" t="s">
        <v>891</v>
      </c>
      <c r="C12" s="51" t="s">
        <v>4743</v>
      </c>
      <c r="D12" s="5"/>
      <c r="E12" s="5"/>
      <c r="F12" s="5"/>
      <c r="G12" s="5"/>
      <c r="S12" s="52"/>
      <c r="T12" s="50"/>
      <c r="U12" s="51"/>
    </row>
    <row r="13" spans="1:23" ht="15.75" customHeight="1">
      <c r="A13" s="52">
        <v>43355</v>
      </c>
      <c r="B13" s="49" t="s">
        <v>5018</v>
      </c>
      <c r="C13" s="51" t="s">
        <v>4743</v>
      </c>
      <c r="D13" s="51"/>
      <c r="E13" s="5"/>
      <c r="F13" s="51"/>
      <c r="G13" s="5"/>
      <c r="S13" s="52"/>
      <c r="T13" s="50"/>
      <c r="U13" s="51"/>
    </row>
    <row r="14" spans="1:23" ht="15.75" customHeight="1">
      <c r="A14" s="52">
        <v>43385</v>
      </c>
      <c r="B14" s="49" t="s">
        <v>5025</v>
      </c>
      <c r="C14" s="51" t="s">
        <v>5116</v>
      </c>
      <c r="D14" s="51"/>
      <c r="E14" s="5"/>
      <c r="F14" s="51"/>
      <c r="G14" s="5"/>
      <c r="S14" s="52"/>
      <c r="T14" s="50"/>
      <c r="U14" s="51"/>
    </row>
    <row r="15" spans="1:23" ht="15.75" customHeight="1">
      <c r="A15" s="52">
        <v>43416</v>
      </c>
      <c r="B15" s="49" t="s">
        <v>5027</v>
      </c>
      <c r="C15" s="51" t="s">
        <v>5116</v>
      </c>
      <c r="D15" s="51"/>
      <c r="E15" s="5"/>
      <c r="F15" s="51"/>
      <c r="G15" s="5"/>
      <c r="S15" s="52"/>
      <c r="T15" s="50"/>
      <c r="U15" s="51"/>
    </row>
    <row r="16" spans="1:23" ht="15.75" customHeight="1">
      <c r="A16" s="52">
        <v>43446</v>
      </c>
      <c r="B16" s="49" t="s">
        <v>5029</v>
      </c>
      <c r="C16" s="51" t="s">
        <v>5116</v>
      </c>
      <c r="D16" s="51"/>
      <c r="E16" s="5"/>
      <c r="F16" s="51"/>
      <c r="G16" s="5"/>
      <c r="S16" s="52"/>
      <c r="T16" s="50"/>
      <c r="U16" s="51"/>
    </row>
    <row r="17" spans="1:27" ht="15.75" customHeight="1">
      <c r="S17" s="52"/>
      <c r="T17" s="50"/>
      <c r="U17" s="51"/>
    </row>
    <row r="18" spans="1:27" ht="15.75" customHeight="1">
      <c r="A18" s="48"/>
      <c r="B18" s="53"/>
      <c r="C18" s="48"/>
      <c r="D18" s="48"/>
      <c r="E18" s="5"/>
      <c r="F18" s="5"/>
      <c r="G18" s="5"/>
      <c r="M18" s="5"/>
      <c r="N18" s="5"/>
      <c r="U18" s="5"/>
      <c r="AA18" s="5"/>
    </row>
    <row r="19" spans="1:27" ht="15.75" customHeight="1">
      <c r="A19" s="48"/>
      <c r="B19" s="50"/>
      <c r="C19" s="48"/>
      <c r="D19" s="48"/>
      <c r="E19" s="5"/>
      <c r="F19" s="5"/>
      <c r="G19" s="5"/>
      <c r="K19" s="1"/>
      <c r="M19" s="5"/>
      <c r="N19" s="5"/>
      <c r="U19" s="5"/>
      <c r="AA19" s="5"/>
    </row>
    <row r="20" spans="1:27" ht="15.75" customHeight="1">
      <c r="A20" s="48"/>
      <c r="B20" s="50"/>
      <c r="C20" s="48"/>
      <c r="D20" s="48"/>
      <c r="E20" s="5"/>
      <c r="F20" s="5"/>
      <c r="G20" s="5"/>
      <c r="L20" s="40"/>
      <c r="M20" s="5"/>
      <c r="N20" s="5"/>
      <c r="AA20" s="5"/>
    </row>
    <row r="21" spans="1:27" ht="15.75" customHeight="1">
      <c r="A21" s="48"/>
      <c r="B21" s="50"/>
      <c r="C21" s="48"/>
      <c r="D21" s="48"/>
      <c r="E21" s="5"/>
      <c r="F21" s="5"/>
      <c r="G21" s="5"/>
      <c r="M21" s="5"/>
      <c r="N21" s="5"/>
      <c r="AA21" s="5"/>
    </row>
    <row r="22" spans="1:27" ht="15.75" customHeight="1">
      <c r="A22" s="48"/>
      <c r="B22" s="53"/>
      <c r="C22" s="48"/>
      <c r="D22" s="48"/>
      <c r="E22" s="5"/>
      <c r="F22" s="5"/>
      <c r="G22" s="5"/>
      <c r="K22" s="42"/>
      <c r="L22" s="45"/>
      <c r="M22" s="46"/>
      <c r="N22" s="47"/>
      <c r="AA22" s="5"/>
    </row>
    <row r="23" spans="1:27" ht="15.75" customHeight="1">
      <c r="A23" s="48"/>
      <c r="B23" s="53"/>
      <c r="C23" s="48"/>
      <c r="D23" s="48"/>
      <c r="E23" s="5"/>
      <c r="F23" s="5"/>
      <c r="G23" s="5"/>
      <c r="K23" s="42"/>
      <c r="L23" s="43"/>
      <c r="M23" s="43"/>
      <c r="N23" s="42"/>
      <c r="O23" s="44"/>
      <c r="AA23" s="5"/>
    </row>
    <row r="24" spans="1:27" ht="15.75" customHeight="1">
      <c r="A24" s="48"/>
      <c r="B24" s="53"/>
      <c r="C24" s="48"/>
      <c r="D24" s="48"/>
      <c r="E24" s="5"/>
      <c r="F24" s="5"/>
      <c r="G24" s="5"/>
      <c r="K24" s="52"/>
      <c r="L24" s="50"/>
      <c r="M24" s="51"/>
      <c r="N24" s="5"/>
      <c r="AA24" s="5"/>
    </row>
    <row r="25" spans="1:27" ht="15.75" customHeight="1">
      <c r="A25" s="48"/>
      <c r="B25" s="53"/>
      <c r="C25" s="48"/>
      <c r="D25" s="48"/>
      <c r="E25" s="5"/>
      <c r="F25" s="5"/>
      <c r="G25" s="5"/>
      <c r="K25" s="52"/>
      <c r="L25" s="50"/>
      <c r="M25" s="51"/>
      <c r="N25" s="5"/>
      <c r="AA25" s="5"/>
    </row>
    <row r="26" spans="1:27" ht="15.75" customHeight="1">
      <c r="A26" s="48"/>
      <c r="B26" s="53"/>
      <c r="C26" s="48"/>
      <c r="D26" s="48"/>
      <c r="E26" s="5"/>
      <c r="F26" s="5"/>
      <c r="G26" s="5"/>
      <c r="K26" s="52"/>
      <c r="L26" s="50"/>
      <c r="M26" s="51"/>
      <c r="N26" s="51"/>
      <c r="AA26" s="5"/>
    </row>
    <row r="27" spans="1:27" ht="15.75" customHeight="1">
      <c r="A27" s="48"/>
      <c r="B27" s="50"/>
      <c r="C27" s="48"/>
      <c r="D27" s="48"/>
      <c r="E27" s="5"/>
      <c r="F27" s="5"/>
      <c r="G27" s="5"/>
      <c r="K27" s="52"/>
      <c r="L27" s="50"/>
      <c r="M27" s="51"/>
      <c r="N27" s="51"/>
      <c r="AA27" s="5"/>
    </row>
    <row r="28" spans="1:27" ht="15.75" customHeight="1">
      <c r="A28" s="48"/>
      <c r="B28" s="50"/>
      <c r="C28" s="48"/>
      <c r="D28" s="48"/>
      <c r="E28" s="5"/>
      <c r="F28" s="5"/>
      <c r="G28" s="5"/>
      <c r="J28" s="5"/>
      <c r="K28" s="52"/>
      <c r="L28" s="50"/>
      <c r="M28" s="51"/>
      <c r="N28" s="5"/>
      <c r="P28" s="5"/>
    </row>
    <row r="29" spans="1:27" ht="15.75" customHeight="1">
      <c r="A29" s="48"/>
      <c r="B29" s="50"/>
      <c r="C29" s="48"/>
      <c r="D29" s="48"/>
      <c r="E29" s="5"/>
      <c r="F29" s="5"/>
      <c r="G29" s="5"/>
      <c r="J29" s="5"/>
      <c r="K29" s="52"/>
      <c r="L29" s="50"/>
      <c r="M29" s="51"/>
      <c r="N29" s="51"/>
      <c r="P29" s="5"/>
    </row>
    <row r="30" spans="1:27" ht="15.75" customHeight="1">
      <c r="A30" s="48"/>
      <c r="B30" s="53"/>
      <c r="C30" s="48"/>
      <c r="D30" s="48"/>
      <c r="E30" s="5"/>
      <c r="F30" s="5"/>
      <c r="G30" s="5"/>
      <c r="J30" s="5"/>
      <c r="K30" s="52"/>
      <c r="L30" s="50"/>
      <c r="M30" s="51"/>
      <c r="N30" s="5"/>
      <c r="P30" s="5"/>
    </row>
    <row r="31" spans="1:27" ht="15.75" customHeight="1">
      <c r="A31" s="48"/>
      <c r="B31" s="50"/>
      <c r="C31" s="48"/>
      <c r="D31" s="48"/>
      <c r="E31" s="5"/>
      <c r="F31" s="5"/>
      <c r="G31" s="5"/>
      <c r="J31" s="5"/>
      <c r="K31" s="52"/>
      <c r="L31" s="50"/>
      <c r="M31" s="51"/>
      <c r="N31" s="51"/>
      <c r="P31" s="5"/>
    </row>
    <row r="32" spans="1:27" ht="15.75" customHeight="1">
      <c r="A32" s="48"/>
      <c r="B32" s="53"/>
      <c r="C32" s="48"/>
      <c r="D32" s="48"/>
      <c r="E32" s="5"/>
      <c r="F32" s="5"/>
      <c r="G32" s="5"/>
      <c r="J32" s="5"/>
      <c r="K32" s="52"/>
      <c r="L32" s="50"/>
      <c r="M32" s="51"/>
      <c r="N32" s="5"/>
      <c r="P32" s="5"/>
    </row>
    <row r="33" spans="1:16" ht="15.75" customHeight="1">
      <c r="A33" s="48"/>
      <c r="B33" s="53"/>
      <c r="C33" s="48"/>
      <c r="D33" s="48"/>
      <c r="E33" s="5"/>
      <c r="F33" s="5"/>
      <c r="G33" s="5"/>
      <c r="J33" s="5"/>
      <c r="K33" s="52"/>
      <c r="L33" s="50"/>
      <c r="M33" s="51"/>
      <c r="N33" s="5"/>
      <c r="P33" s="5"/>
    </row>
    <row r="34" spans="1:16" ht="15.75" customHeight="1">
      <c r="A34" s="48"/>
      <c r="B34" s="53"/>
      <c r="C34" s="48"/>
      <c r="D34" s="48"/>
      <c r="E34" s="5"/>
      <c r="F34" s="5"/>
      <c r="G34" s="5"/>
      <c r="J34" s="5"/>
      <c r="K34" s="52"/>
      <c r="L34" s="50"/>
      <c r="M34" s="51"/>
      <c r="N34" s="5"/>
      <c r="P34" s="5"/>
    </row>
    <row r="35" spans="1:16" ht="15.75" customHeight="1">
      <c r="A35" s="48"/>
      <c r="B35" s="53"/>
      <c r="C35" s="48"/>
      <c r="D35" s="48"/>
      <c r="E35" s="5"/>
      <c r="F35" s="5"/>
      <c r="G35" s="5"/>
      <c r="J35" s="5"/>
      <c r="K35" s="52"/>
      <c r="L35" s="50"/>
      <c r="M35" s="51"/>
      <c r="N35" s="51"/>
      <c r="P35" s="5"/>
    </row>
    <row r="36" spans="1:16" ht="15.75" customHeight="1">
      <c r="A36" s="48"/>
      <c r="B36" s="50"/>
      <c r="C36" s="48"/>
      <c r="D36" s="48"/>
      <c r="E36" s="5"/>
      <c r="F36" s="5"/>
      <c r="G36" s="5"/>
      <c r="J36" s="5"/>
      <c r="M36" s="5"/>
      <c r="N36" s="5"/>
      <c r="P36" s="5"/>
    </row>
    <row r="37" spans="1:16" ht="15.75" customHeight="1">
      <c r="A37" s="48"/>
      <c r="B37" s="50"/>
      <c r="C37" s="48"/>
      <c r="D37" s="48"/>
      <c r="E37" s="5"/>
      <c r="F37" s="5"/>
      <c r="G37" s="5"/>
      <c r="J37" s="5"/>
      <c r="M37" s="5"/>
      <c r="N37" s="5"/>
    </row>
    <row r="38" spans="1:16" ht="15.75" customHeight="1">
      <c r="A38" s="48"/>
      <c r="B38" s="50"/>
      <c r="C38" s="48"/>
      <c r="D38" s="48"/>
      <c r="E38" s="5"/>
      <c r="F38" s="5"/>
      <c r="G38" s="5"/>
      <c r="J38" s="5"/>
      <c r="M38" s="51"/>
      <c r="N38" s="51"/>
    </row>
    <row r="39" spans="1:16" ht="15.75" customHeight="1">
      <c r="A39" s="48"/>
      <c r="B39" s="53"/>
      <c r="C39" s="48"/>
      <c r="D39" s="48"/>
      <c r="E39" s="5"/>
      <c r="F39" s="5"/>
      <c r="G39" s="5"/>
      <c r="J39" s="5"/>
      <c r="M39" s="51"/>
      <c r="N39" s="51"/>
    </row>
    <row r="40" spans="1:16" ht="15.75" customHeight="1">
      <c r="A40" s="48"/>
      <c r="B40" s="53"/>
      <c r="C40" s="48"/>
      <c r="D40" s="48"/>
      <c r="E40" s="5"/>
      <c r="F40" s="5"/>
      <c r="G40" s="5"/>
      <c r="J40" s="5"/>
      <c r="M40" s="51"/>
      <c r="N40" s="51"/>
    </row>
    <row r="41" spans="1:16" ht="15.75" customHeight="1">
      <c r="A41" s="48"/>
      <c r="B41" s="50"/>
      <c r="C41" s="48"/>
      <c r="D41" s="48"/>
      <c r="E41" s="5"/>
      <c r="F41" s="5"/>
      <c r="G41" s="5"/>
      <c r="J41" s="5"/>
      <c r="M41" s="51"/>
      <c r="N41" s="51"/>
    </row>
    <row r="42" spans="1:16" ht="15.75" customHeight="1">
      <c r="A42" s="48"/>
      <c r="B42" s="50"/>
      <c r="C42" s="48"/>
      <c r="D42" s="48"/>
      <c r="E42" s="5"/>
      <c r="F42" s="5"/>
      <c r="G42" s="5"/>
      <c r="J42" s="5"/>
      <c r="M42" s="51"/>
      <c r="N42" s="51"/>
    </row>
    <row r="43" spans="1:16" ht="15.75" customHeight="1">
      <c r="A43" s="48"/>
      <c r="B43" s="50"/>
      <c r="C43" s="48"/>
      <c r="D43" s="48"/>
      <c r="E43" s="5"/>
      <c r="F43" s="5"/>
      <c r="G43" s="5"/>
      <c r="J43" s="5"/>
      <c r="M43" s="51"/>
      <c r="N43" s="51"/>
    </row>
    <row r="44" spans="1:16" ht="15.75" customHeight="1">
      <c r="A44" s="48"/>
      <c r="B44" s="53"/>
      <c r="C44" s="48"/>
      <c r="D44" s="48"/>
      <c r="E44" s="5"/>
      <c r="F44" s="5"/>
      <c r="G44" s="5"/>
      <c r="J44" s="5"/>
      <c r="M44" s="51"/>
      <c r="N44" s="51"/>
    </row>
    <row r="45" spans="1:16" ht="15.75" customHeight="1">
      <c r="A45" s="48"/>
      <c r="B45" s="50"/>
      <c r="C45" s="48"/>
      <c r="D45" s="48"/>
      <c r="E45" s="5"/>
      <c r="F45" s="5"/>
      <c r="G45" s="5"/>
      <c r="J45" s="5"/>
      <c r="M45" s="51"/>
      <c r="N45" s="51"/>
      <c r="P45" s="5"/>
    </row>
    <row r="46" spans="1:16" ht="15.75" customHeight="1">
      <c r="A46" s="48"/>
      <c r="B46" s="53"/>
      <c r="C46" s="48"/>
      <c r="D46" s="48"/>
      <c r="E46" s="5"/>
      <c r="F46" s="5"/>
      <c r="G46" s="5"/>
      <c r="J46" s="5"/>
      <c r="M46" s="51"/>
      <c r="N46" s="51"/>
      <c r="P46" s="5"/>
    </row>
    <row r="47" spans="1:16" ht="15.75" customHeight="1">
      <c r="A47" s="48"/>
      <c r="B47" s="53"/>
      <c r="C47" s="48"/>
      <c r="D47" s="48"/>
      <c r="E47" s="5"/>
      <c r="F47" s="5"/>
      <c r="G47" s="5"/>
      <c r="J47" s="5"/>
      <c r="M47" s="5"/>
      <c r="N47" s="5"/>
      <c r="P47" s="5"/>
    </row>
    <row r="48" spans="1:16" ht="15.75" customHeight="1">
      <c r="A48" s="48"/>
      <c r="B48" s="53"/>
      <c r="C48" s="48"/>
      <c r="D48" s="48"/>
      <c r="E48" s="5"/>
      <c r="F48" s="5"/>
      <c r="G48" s="5"/>
      <c r="J48" s="5"/>
      <c r="M48" s="5"/>
      <c r="N48" s="5"/>
      <c r="P48" s="5"/>
    </row>
    <row r="49" spans="1:16" ht="15.75" customHeight="1">
      <c r="A49" s="48"/>
      <c r="B49" s="53"/>
      <c r="C49" s="48"/>
      <c r="D49" s="48"/>
      <c r="E49" s="5"/>
      <c r="F49" s="5"/>
      <c r="G49" s="5"/>
      <c r="J49" s="5"/>
      <c r="M49" s="5"/>
      <c r="N49" s="5"/>
      <c r="P49" s="5"/>
    </row>
    <row r="50" spans="1:16" ht="15.75" customHeight="1">
      <c r="A50" s="48"/>
      <c r="B50" s="53"/>
      <c r="C50" s="48"/>
      <c r="D50" s="48"/>
      <c r="E50" s="5"/>
      <c r="F50" s="5"/>
      <c r="G50" s="5"/>
      <c r="J50" s="5"/>
      <c r="M50" s="5"/>
      <c r="N50" s="5"/>
      <c r="P50" s="5"/>
    </row>
    <row r="51" spans="1:16" ht="15.75" customHeight="1">
      <c r="A51" s="48"/>
      <c r="B51" s="53"/>
      <c r="C51" s="48"/>
      <c r="D51" s="48"/>
      <c r="E51" s="5"/>
      <c r="F51" s="5"/>
      <c r="G51" s="5"/>
      <c r="J51" s="5"/>
      <c r="M51" s="5"/>
      <c r="N51" s="5"/>
      <c r="P51" s="5"/>
    </row>
    <row r="52" spans="1:16" ht="15.75" customHeight="1">
      <c r="A52" s="48"/>
      <c r="B52" s="50"/>
      <c r="C52" s="48"/>
      <c r="D52" s="48"/>
      <c r="E52" s="5"/>
      <c r="F52" s="5"/>
      <c r="G52" s="5"/>
      <c r="J52" s="5"/>
      <c r="M52" s="5"/>
      <c r="N52" s="5"/>
      <c r="P52" s="5"/>
    </row>
    <row r="53" spans="1:16" ht="13">
      <c r="A53" s="48"/>
      <c r="B53" s="50"/>
      <c r="C53" s="48"/>
      <c r="D53" s="48"/>
      <c r="E53" s="5"/>
      <c r="F53" s="5"/>
      <c r="G53" s="5"/>
      <c r="J53" s="5"/>
      <c r="M53" s="5"/>
      <c r="N53" s="5"/>
      <c r="P53" s="5"/>
    </row>
    <row r="54" spans="1:16" ht="13">
      <c r="A54" s="48"/>
      <c r="B54" s="50"/>
      <c r="C54" s="48"/>
      <c r="D54" s="48"/>
      <c r="E54" s="5"/>
      <c r="F54" s="5"/>
      <c r="G54" s="5"/>
      <c r="J54" s="5"/>
      <c r="M54" s="5"/>
      <c r="N54" s="5"/>
      <c r="P54" s="5"/>
    </row>
    <row r="55" spans="1:16" ht="13">
      <c r="A55" s="48"/>
      <c r="B55" s="50"/>
      <c r="C55" s="48"/>
      <c r="D55" s="48"/>
      <c r="E55" s="5"/>
      <c r="F55" s="5"/>
      <c r="G55" s="5"/>
      <c r="J55" s="5"/>
      <c r="M55" s="5"/>
      <c r="N55" s="5"/>
      <c r="P55" s="5"/>
    </row>
    <row r="56" spans="1:16" ht="13">
      <c r="A56" s="48"/>
      <c r="B56" s="50"/>
      <c r="C56" s="48"/>
      <c r="D56" s="48"/>
      <c r="E56" s="5"/>
      <c r="F56" s="5"/>
      <c r="G56" s="5"/>
      <c r="J56" s="5"/>
      <c r="M56" s="5"/>
      <c r="N56" s="5"/>
      <c r="P56" s="5"/>
    </row>
    <row r="57" spans="1:16" ht="13">
      <c r="A57" s="48"/>
      <c r="B57" s="50"/>
      <c r="C57" s="48"/>
      <c r="D57" s="48"/>
      <c r="E57" s="5"/>
      <c r="F57" s="5"/>
      <c r="G57" s="5"/>
      <c r="J57" s="5"/>
      <c r="M57" s="5"/>
      <c r="N57" s="5"/>
      <c r="P57" s="5"/>
    </row>
    <row r="58" spans="1:16" ht="13">
      <c r="A58" s="48"/>
      <c r="B58" s="53"/>
      <c r="C58" s="48"/>
      <c r="D58" s="48"/>
      <c r="E58" s="5"/>
      <c r="F58" s="5"/>
      <c r="G58" s="5"/>
      <c r="J58" s="5"/>
      <c r="M58" s="5"/>
      <c r="N58" s="5"/>
      <c r="P58" s="5"/>
    </row>
    <row r="59" spans="1:16" ht="13">
      <c r="A59" s="48"/>
      <c r="B59" s="53"/>
      <c r="C59" s="48"/>
      <c r="D59" s="48"/>
      <c r="E59" s="5"/>
      <c r="F59" s="5"/>
      <c r="G59" s="5"/>
      <c r="J59" s="5"/>
      <c r="M59" s="5"/>
      <c r="N59" s="5"/>
      <c r="P59" s="5"/>
    </row>
    <row r="60" spans="1:16" ht="13">
      <c r="A60" s="48"/>
      <c r="B60" s="53"/>
      <c r="C60" s="48"/>
      <c r="D60" s="48"/>
      <c r="E60" s="5"/>
      <c r="F60" s="5"/>
      <c r="G60" s="5"/>
      <c r="J60" s="5"/>
      <c r="M60" s="5"/>
      <c r="N60" s="5"/>
      <c r="P60" s="5"/>
    </row>
    <row r="61" spans="1:16" ht="13">
      <c r="A61" s="48"/>
      <c r="B61" s="50"/>
      <c r="C61" s="48"/>
      <c r="D61" s="48"/>
      <c r="E61" s="5"/>
      <c r="F61" s="5"/>
      <c r="G61" s="5"/>
      <c r="J61" s="5"/>
      <c r="M61" s="5"/>
      <c r="N61" s="5"/>
      <c r="P61" s="5"/>
    </row>
    <row r="62" spans="1:16" ht="13">
      <c r="A62" s="48"/>
      <c r="B62" s="50"/>
      <c r="C62" s="48"/>
      <c r="D62" s="48"/>
      <c r="E62" s="5"/>
      <c r="F62" s="5"/>
      <c r="G62" s="5"/>
      <c r="J62" s="5"/>
      <c r="M62" s="5"/>
      <c r="N62" s="5"/>
      <c r="P62" s="5"/>
    </row>
    <row r="63" spans="1:16" ht="13">
      <c r="A63" s="48"/>
      <c r="B63" s="50"/>
      <c r="C63" s="48"/>
      <c r="D63" s="48"/>
      <c r="E63" s="5"/>
      <c r="F63" s="5"/>
      <c r="G63" s="5"/>
      <c r="J63" s="5"/>
      <c r="M63" s="5"/>
      <c r="N63" s="5"/>
      <c r="P63" s="5"/>
    </row>
    <row r="64" spans="1:16" ht="13">
      <c r="A64" s="48"/>
      <c r="B64" s="50"/>
      <c r="C64" s="48"/>
      <c r="D64" s="48"/>
      <c r="E64" s="5"/>
      <c r="F64" s="5"/>
      <c r="G64" s="5"/>
      <c r="J64" s="5"/>
      <c r="M64" s="5"/>
      <c r="N64" s="5"/>
      <c r="P64" s="5"/>
    </row>
    <row r="65" spans="1:16" ht="13">
      <c r="A65" s="48"/>
      <c r="B65" s="53"/>
      <c r="C65" s="48"/>
      <c r="D65" s="48"/>
      <c r="E65" s="5"/>
      <c r="F65" s="5"/>
      <c r="G65" s="5"/>
      <c r="J65" s="5"/>
      <c r="M65" s="5"/>
      <c r="N65" s="5"/>
      <c r="P65" s="5"/>
    </row>
    <row r="66" spans="1:16" ht="13">
      <c r="A66" s="48"/>
      <c r="B66" s="53"/>
      <c r="C66" s="48"/>
      <c r="D66" s="48"/>
      <c r="E66" s="5"/>
      <c r="F66" s="5"/>
      <c r="G66" s="5"/>
      <c r="J66" s="5"/>
      <c r="M66" s="5"/>
      <c r="N66" s="5"/>
      <c r="P66" s="5"/>
    </row>
    <row r="67" spans="1:16" ht="13">
      <c r="A67" s="48"/>
      <c r="B67" s="53"/>
      <c r="C67" s="48"/>
      <c r="D67" s="48"/>
      <c r="E67" s="5"/>
      <c r="F67" s="5"/>
      <c r="G67" s="5"/>
      <c r="J67" s="5"/>
      <c r="M67" s="5"/>
      <c r="N67" s="5"/>
      <c r="P67" s="5"/>
    </row>
    <row r="68" spans="1:16" ht="13">
      <c r="A68" s="48"/>
      <c r="B68" s="53"/>
      <c r="C68" s="48"/>
      <c r="D68" s="48"/>
      <c r="E68" s="5"/>
      <c r="F68" s="5"/>
      <c r="G68" s="5"/>
      <c r="J68" s="5"/>
      <c r="M68" s="5"/>
      <c r="N68" s="5"/>
      <c r="P68" s="5"/>
    </row>
    <row r="69" spans="1:16" ht="13">
      <c r="A69" s="48"/>
      <c r="B69" s="50"/>
      <c r="C69" s="48"/>
      <c r="D69" s="48"/>
      <c r="E69" s="5"/>
      <c r="F69" s="5"/>
      <c r="G69" s="5"/>
      <c r="J69" s="5"/>
      <c r="M69" s="5"/>
      <c r="N69" s="5"/>
      <c r="P69" s="5"/>
    </row>
    <row r="70" spans="1:16" ht="13">
      <c r="A70" s="48"/>
      <c r="B70" s="50"/>
      <c r="C70" s="48"/>
      <c r="D70" s="48"/>
      <c r="E70" s="5"/>
      <c r="F70" s="5"/>
      <c r="G70" s="5"/>
      <c r="J70" s="5"/>
      <c r="M70" s="5"/>
      <c r="N70" s="5"/>
      <c r="P70" s="5"/>
    </row>
    <row r="71" spans="1:16" ht="13">
      <c r="A71" s="48"/>
      <c r="B71" s="53"/>
      <c r="C71" s="48"/>
      <c r="D71" s="48"/>
      <c r="E71" s="5"/>
      <c r="F71" s="5"/>
      <c r="G71" s="5"/>
      <c r="J71" s="5"/>
      <c r="M71" s="5"/>
      <c r="N71" s="5"/>
      <c r="P71" s="5"/>
    </row>
    <row r="72" spans="1:16" ht="13">
      <c r="A72" s="48"/>
      <c r="B72" s="50"/>
      <c r="C72" s="48"/>
      <c r="D72" s="48"/>
      <c r="E72" s="5"/>
      <c r="F72" s="5"/>
      <c r="G72" s="5"/>
      <c r="J72" s="5"/>
      <c r="M72" s="5"/>
      <c r="N72" s="5"/>
      <c r="P72" s="5"/>
    </row>
    <row r="73" spans="1:16" ht="13">
      <c r="A73" s="48"/>
      <c r="B73" s="50"/>
      <c r="C73" s="48"/>
      <c r="D73" s="48"/>
      <c r="E73" s="5"/>
      <c r="F73" s="5"/>
      <c r="G73" s="5"/>
      <c r="J73" s="5"/>
      <c r="M73" s="5"/>
      <c r="N73" s="5"/>
      <c r="P73" s="5"/>
    </row>
    <row r="74" spans="1:16" ht="13">
      <c r="A74" s="48"/>
      <c r="B74" s="53"/>
      <c r="C74" s="48"/>
      <c r="D74" s="48"/>
      <c r="E74" s="5"/>
      <c r="F74" s="5"/>
      <c r="G74" s="5"/>
      <c r="J74" s="5"/>
      <c r="M74" s="5"/>
      <c r="N74" s="5"/>
      <c r="P74" s="5"/>
    </row>
    <row r="75" spans="1:16" ht="13">
      <c r="A75" s="48"/>
      <c r="B75" s="53"/>
      <c r="C75" s="48"/>
      <c r="D75" s="48"/>
      <c r="E75" s="5"/>
      <c r="F75" s="5"/>
      <c r="G75" s="5"/>
      <c r="J75" s="5"/>
      <c r="M75" s="5"/>
      <c r="N75" s="5"/>
      <c r="P75" s="5"/>
    </row>
    <row r="76" spans="1:16" ht="13">
      <c r="A76" s="48"/>
      <c r="B76" s="53"/>
      <c r="C76" s="48"/>
      <c r="D76" s="48"/>
      <c r="E76" s="5"/>
      <c r="F76" s="5"/>
      <c r="G76" s="5"/>
      <c r="J76" s="5"/>
      <c r="M76" s="5"/>
      <c r="N76" s="5"/>
      <c r="P76" s="5"/>
    </row>
    <row r="77" spans="1:16" ht="13">
      <c r="A77" s="48"/>
      <c r="B77" s="53"/>
      <c r="C77" s="48"/>
      <c r="D77" s="48"/>
      <c r="E77" s="5"/>
      <c r="F77" s="5"/>
      <c r="G77" s="5"/>
      <c r="J77" s="5"/>
      <c r="M77" s="5"/>
      <c r="N77" s="5"/>
      <c r="P77" s="5"/>
    </row>
    <row r="78" spans="1:16" ht="13">
      <c r="A78" s="48"/>
      <c r="B78" s="53"/>
      <c r="C78" s="48"/>
      <c r="D78" s="48"/>
      <c r="E78" s="5"/>
      <c r="F78" s="5"/>
      <c r="G78" s="5"/>
      <c r="J78" s="5"/>
      <c r="M78" s="5"/>
      <c r="N78" s="5"/>
      <c r="P78" s="5"/>
    </row>
    <row r="79" spans="1:16" ht="13">
      <c r="A79" s="48"/>
      <c r="B79" s="53"/>
      <c r="C79" s="48"/>
      <c r="D79" s="48"/>
      <c r="E79" s="5"/>
      <c r="F79" s="5"/>
      <c r="G79" s="5"/>
      <c r="J79" s="5"/>
      <c r="M79" s="5"/>
      <c r="N79" s="5"/>
      <c r="P79" s="5"/>
    </row>
    <row r="80" spans="1:16" ht="13">
      <c r="A80" s="48"/>
      <c r="B80" s="50"/>
      <c r="C80" s="48"/>
      <c r="D80" s="48"/>
      <c r="E80" s="5"/>
      <c r="F80" s="5"/>
      <c r="G80" s="5"/>
      <c r="J80" s="5"/>
      <c r="M80" s="5"/>
      <c r="N80" s="5"/>
      <c r="P80" s="5"/>
    </row>
    <row r="81" spans="1:16" ht="13">
      <c r="A81" s="48"/>
      <c r="B81" s="50"/>
      <c r="C81" s="48"/>
      <c r="D81" s="48"/>
      <c r="E81" s="5"/>
      <c r="F81" s="5"/>
      <c r="G81" s="5"/>
      <c r="J81" s="5"/>
      <c r="M81" s="5"/>
      <c r="N81" s="5"/>
      <c r="P81" s="5"/>
    </row>
    <row r="82" spans="1:16" ht="13">
      <c r="A82" s="48"/>
      <c r="B82" s="50"/>
      <c r="C82" s="48"/>
      <c r="D82" s="48"/>
      <c r="E82" s="5"/>
      <c r="F82" s="5"/>
      <c r="G82" s="5"/>
      <c r="J82" s="5"/>
      <c r="M82" s="5"/>
      <c r="N82" s="5"/>
      <c r="P82" s="5"/>
    </row>
    <row r="83" spans="1:16" ht="13">
      <c r="A83" s="48"/>
      <c r="B83" s="50"/>
      <c r="C83" s="48"/>
      <c r="D83" s="48"/>
      <c r="E83" s="5"/>
      <c r="F83" s="5"/>
      <c r="G83" s="5"/>
      <c r="J83" s="5"/>
      <c r="M83" s="5"/>
      <c r="N83" s="5"/>
      <c r="P83" s="5"/>
    </row>
    <row r="84" spans="1:16" ht="13">
      <c r="A84" s="48"/>
      <c r="B84" s="50"/>
      <c r="C84" s="48"/>
      <c r="D84" s="48"/>
      <c r="E84" s="5"/>
      <c r="F84" s="5"/>
      <c r="G84" s="5"/>
      <c r="J84" s="5"/>
      <c r="M84" s="5"/>
      <c r="N84" s="5"/>
      <c r="P84" s="5"/>
    </row>
    <row r="85" spans="1:16" ht="13">
      <c r="A85" s="48"/>
      <c r="B85" s="50"/>
      <c r="C85" s="48"/>
      <c r="D85" s="48"/>
      <c r="E85" s="5"/>
      <c r="F85" s="5"/>
      <c r="G85" s="5"/>
      <c r="J85" s="5"/>
      <c r="M85" s="5"/>
      <c r="N85" s="5"/>
      <c r="P85" s="5"/>
    </row>
    <row r="86" spans="1:16" ht="13">
      <c r="A86" s="48"/>
      <c r="B86" s="50"/>
      <c r="C86" s="48"/>
      <c r="D86" s="48"/>
      <c r="E86" s="5"/>
      <c r="F86" s="5"/>
      <c r="G86" s="5"/>
      <c r="J86" s="5"/>
      <c r="M86" s="5"/>
      <c r="N86" s="5"/>
      <c r="P86" s="5"/>
    </row>
    <row r="87" spans="1:16" ht="13">
      <c r="A87" s="48"/>
      <c r="B87" s="50"/>
      <c r="C87" s="48"/>
      <c r="D87" s="48"/>
      <c r="E87" s="5"/>
      <c r="F87" s="5"/>
      <c r="G87" s="5"/>
      <c r="J87" s="5"/>
      <c r="M87" s="5"/>
      <c r="N87" s="5"/>
      <c r="P87" s="5"/>
    </row>
    <row r="88" spans="1:16" ht="13">
      <c r="A88" s="48"/>
      <c r="B88" s="50"/>
      <c r="C88" s="48"/>
      <c r="D88" s="48"/>
      <c r="E88" s="5"/>
      <c r="F88" s="5"/>
      <c r="G88" s="5"/>
      <c r="J88" s="5"/>
      <c r="M88" s="5"/>
      <c r="N88" s="5"/>
      <c r="P88" s="5"/>
    </row>
    <row r="89" spans="1:16" ht="13">
      <c r="A89" s="48"/>
      <c r="B89" s="50"/>
      <c r="C89" s="48"/>
      <c r="D89" s="48"/>
      <c r="E89" s="5"/>
      <c r="F89" s="5"/>
      <c r="G89" s="5"/>
      <c r="J89" s="5"/>
      <c r="M89" s="5"/>
      <c r="N89" s="5"/>
      <c r="P89" s="5"/>
    </row>
    <row r="90" spans="1:16" ht="13">
      <c r="A90" s="48"/>
      <c r="B90" s="53"/>
      <c r="C90" s="48"/>
      <c r="D90" s="48"/>
      <c r="E90" s="5"/>
      <c r="F90" s="5"/>
      <c r="G90" s="5"/>
      <c r="J90" s="5"/>
      <c r="M90" s="5"/>
      <c r="N90" s="5"/>
      <c r="P90" s="5"/>
    </row>
    <row r="91" spans="1:16" ht="13">
      <c r="A91" s="48"/>
      <c r="B91" s="53"/>
      <c r="C91" s="48"/>
      <c r="D91" s="48"/>
      <c r="E91" s="5"/>
      <c r="F91" s="5"/>
      <c r="G91" s="5"/>
      <c r="J91" s="5"/>
      <c r="M91" s="5"/>
      <c r="N91" s="5"/>
      <c r="P91" s="5"/>
    </row>
    <row r="92" spans="1:16" ht="13">
      <c r="A92" s="48"/>
      <c r="B92" s="53"/>
      <c r="C92" s="48"/>
      <c r="D92" s="48"/>
      <c r="E92" s="5"/>
      <c r="F92" s="5"/>
      <c r="G92" s="5"/>
      <c r="J92" s="5"/>
      <c r="M92" s="5"/>
      <c r="N92" s="5"/>
      <c r="P92" s="5"/>
    </row>
    <row r="93" spans="1:16" ht="13">
      <c r="A93" s="48"/>
      <c r="B93" s="53"/>
      <c r="C93" s="48"/>
      <c r="D93" s="48"/>
      <c r="E93" s="5"/>
      <c r="F93" s="5"/>
      <c r="G93" s="5"/>
      <c r="J93" s="5"/>
      <c r="M93" s="5"/>
      <c r="N93" s="5"/>
      <c r="P93" s="5"/>
    </row>
    <row r="94" spans="1:16" ht="13">
      <c r="A94" s="48"/>
      <c r="B94" s="50"/>
      <c r="C94" s="48"/>
      <c r="D94" s="48"/>
      <c r="E94" s="5"/>
      <c r="F94" s="5"/>
      <c r="G94" s="5"/>
      <c r="J94" s="5"/>
      <c r="M94" s="5"/>
      <c r="N94" s="5"/>
      <c r="P94" s="5"/>
    </row>
    <row r="95" spans="1:16" ht="13">
      <c r="A95" s="48"/>
      <c r="B95" s="50"/>
      <c r="C95" s="48"/>
      <c r="D95" s="48"/>
      <c r="E95" s="5"/>
      <c r="F95" s="5"/>
      <c r="G95" s="5"/>
      <c r="J95" s="5"/>
      <c r="M95" s="5"/>
      <c r="N95" s="5"/>
      <c r="P95" s="5"/>
    </row>
    <row r="96" spans="1:16" ht="13">
      <c r="A96" s="48"/>
      <c r="B96" s="50"/>
      <c r="C96" s="48"/>
      <c r="D96" s="48"/>
      <c r="E96" s="5"/>
      <c r="F96" s="5"/>
      <c r="G96" s="5"/>
      <c r="J96" s="5"/>
      <c r="M96" s="5"/>
      <c r="N96" s="5"/>
      <c r="P96" s="5"/>
    </row>
    <row r="97" spans="1:16" ht="13">
      <c r="A97" s="48"/>
      <c r="B97" s="53"/>
      <c r="C97" s="48"/>
      <c r="D97" s="48"/>
      <c r="E97" s="5"/>
      <c r="F97" s="5"/>
      <c r="G97" s="5"/>
      <c r="J97" s="5"/>
      <c r="M97" s="5"/>
      <c r="N97" s="5"/>
      <c r="P97" s="5"/>
    </row>
    <row r="98" spans="1:16" ht="13">
      <c r="A98" s="48"/>
      <c r="B98" s="50"/>
      <c r="C98" s="48"/>
      <c r="D98" s="48"/>
      <c r="E98" s="5"/>
      <c r="F98" s="5"/>
      <c r="G98" s="5"/>
      <c r="J98" s="5"/>
      <c r="M98" s="5"/>
      <c r="N98" s="5"/>
      <c r="P98" s="5"/>
    </row>
    <row r="99" spans="1:16" ht="13">
      <c r="A99" s="48"/>
      <c r="B99" s="50"/>
      <c r="C99" s="48"/>
      <c r="D99" s="48"/>
      <c r="E99" s="5"/>
      <c r="F99" s="5"/>
      <c r="G99" s="5"/>
      <c r="J99" s="5"/>
      <c r="M99" s="5"/>
      <c r="N99" s="5"/>
      <c r="P99" s="5"/>
    </row>
    <row r="100" spans="1:16" ht="13">
      <c r="A100" s="48"/>
      <c r="B100" s="53"/>
      <c r="C100" s="48"/>
      <c r="D100" s="48"/>
      <c r="E100" s="5"/>
      <c r="F100" s="5"/>
      <c r="G100" s="5"/>
      <c r="J100" s="5"/>
      <c r="M100" s="5"/>
      <c r="N100" s="5"/>
      <c r="P100" s="5"/>
    </row>
    <row r="101" spans="1:16" ht="13">
      <c r="A101" s="48"/>
      <c r="B101" s="50"/>
      <c r="C101" s="48"/>
      <c r="D101" s="48"/>
      <c r="E101" s="5"/>
      <c r="F101" s="5"/>
      <c r="G101" s="5"/>
      <c r="J101" s="5"/>
      <c r="M101" s="5"/>
      <c r="N101" s="5"/>
      <c r="P101" s="5"/>
    </row>
    <row r="102" spans="1:16" ht="13">
      <c r="A102" s="48"/>
      <c r="B102" s="50"/>
      <c r="C102" s="48"/>
      <c r="D102" s="48"/>
      <c r="E102" s="5"/>
      <c r="F102" s="5"/>
      <c r="G102" s="5"/>
      <c r="J102" s="5"/>
      <c r="M102" s="5"/>
      <c r="N102" s="5"/>
      <c r="P102" s="5"/>
    </row>
    <row r="103" spans="1:16" ht="13">
      <c r="A103" s="48"/>
      <c r="B103" s="53"/>
      <c r="C103" s="48"/>
      <c r="D103" s="48"/>
      <c r="E103" s="5"/>
      <c r="F103" s="5"/>
      <c r="G103" s="5"/>
      <c r="J103" s="5"/>
      <c r="M103" s="5"/>
      <c r="N103" s="5"/>
      <c r="P103" s="5"/>
    </row>
    <row r="104" spans="1:16" ht="13">
      <c r="A104" s="48"/>
      <c r="B104" s="53"/>
      <c r="C104" s="48"/>
      <c r="D104" s="48"/>
      <c r="E104" s="5"/>
      <c r="F104" s="5"/>
      <c r="G104" s="5"/>
      <c r="J104" s="5"/>
      <c r="M104" s="5"/>
      <c r="N104" s="5"/>
      <c r="P104" s="5"/>
    </row>
    <row r="105" spans="1:16" ht="13">
      <c r="A105" s="48"/>
      <c r="B105" s="50"/>
      <c r="C105" s="48"/>
      <c r="D105" s="48"/>
      <c r="E105" s="5"/>
      <c r="F105" s="5"/>
      <c r="G105" s="5"/>
      <c r="J105" s="5"/>
      <c r="M105" s="5"/>
      <c r="N105" s="5"/>
      <c r="P105" s="5"/>
    </row>
    <row r="106" spans="1:16" ht="13">
      <c r="A106" s="48"/>
      <c r="B106" s="50"/>
      <c r="C106" s="48"/>
      <c r="D106" s="48"/>
      <c r="E106" s="5"/>
      <c r="F106" s="5"/>
      <c r="G106" s="5"/>
      <c r="J106" s="5"/>
      <c r="M106" s="5"/>
      <c r="N106" s="5"/>
      <c r="P106" s="5"/>
    </row>
    <row r="107" spans="1:16" ht="13">
      <c r="A107" s="48"/>
      <c r="B107" s="50"/>
      <c r="C107" s="48"/>
      <c r="D107" s="48"/>
      <c r="E107" s="5"/>
      <c r="F107" s="5"/>
      <c r="G107" s="5"/>
      <c r="J107" s="5"/>
      <c r="M107" s="5"/>
      <c r="N107" s="5"/>
      <c r="P107" s="5"/>
    </row>
    <row r="108" spans="1:16" ht="13">
      <c r="A108" s="48"/>
      <c r="B108" s="53"/>
      <c r="C108" s="48"/>
      <c r="D108" s="48"/>
      <c r="E108" s="5"/>
      <c r="F108" s="5"/>
      <c r="G108" s="5"/>
      <c r="J108" s="5"/>
      <c r="M108" s="5"/>
      <c r="N108" s="5"/>
      <c r="P108" s="5"/>
    </row>
    <row r="109" spans="1:16" ht="13">
      <c r="A109" s="48"/>
      <c r="B109" s="53"/>
      <c r="C109" s="48"/>
      <c r="D109" s="48"/>
      <c r="E109" s="5"/>
      <c r="F109" s="5"/>
      <c r="G109" s="5"/>
      <c r="J109" s="5"/>
      <c r="M109" s="5"/>
      <c r="N109" s="5"/>
      <c r="P109" s="5"/>
    </row>
    <row r="110" spans="1:16" ht="13">
      <c r="A110" s="48"/>
      <c r="B110" s="53"/>
      <c r="C110" s="48"/>
      <c r="D110" s="48"/>
      <c r="E110" s="5"/>
      <c r="F110" s="5"/>
      <c r="G110" s="5"/>
      <c r="J110" s="5"/>
      <c r="M110" s="5"/>
      <c r="N110" s="5"/>
      <c r="P110" s="5"/>
    </row>
    <row r="111" spans="1:16" ht="13">
      <c r="A111" s="48"/>
      <c r="B111" s="50"/>
      <c r="C111" s="48"/>
      <c r="D111" s="48"/>
      <c r="E111" s="5"/>
      <c r="F111" s="5"/>
      <c r="G111" s="5"/>
      <c r="J111" s="5"/>
      <c r="M111" s="5"/>
      <c r="N111" s="5"/>
      <c r="P111" s="5"/>
    </row>
    <row r="112" spans="1:16" ht="13">
      <c r="A112" s="48"/>
      <c r="B112" s="53"/>
      <c r="C112" s="48"/>
      <c r="D112" s="48"/>
      <c r="E112" s="5"/>
      <c r="F112" s="5"/>
      <c r="G112" s="5"/>
      <c r="J112" s="5"/>
      <c r="M112" s="5"/>
      <c r="N112" s="5"/>
      <c r="P112" s="5"/>
    </row>
    <row r="113" spans="1:16" ht="13">
      <c r="A113" s="48"/>
      <c r="B113" s="53"/>
      <c r="C113" s="48"/>
      <c r="D113" s="48"/>
      <c r="E113" s="5"/>
      <c r="F113" s="5"/>
      <c r="G113" s="5"/>
      <c r="J113" s="5"/>
      <c r="M113" s="5"/>
      <c r="N113" s="5"/>
      <c r="P113" s="5"/>
    </row>
    <row r="114" spans="1:16" ht="13">
      <c r="A114" s="48"/>
      <c r="B114" s="53"/>
      <c r="C114" s="48"/>
      <c r="D114" s="48"/>
      <c r="E114" s="5"/>
      <c r="F114" s="5"/>
      <c r="G114" s="5"/>
      <c r="J114" s="5"/>
      <c r="M114" s="5"/>
      <c r="N114" s="5"/>
      <c r="P114" s="5"/>
    </row>
    <row r="115" spans="1:16" ht="13">
      <c r="A115" s="48"/>
      <c r="B115" s="50"/>
      <c r="C115" s="48"/>
      <c r="D115" s="48"/>
      <c r="E115" s="5"/>
      <c r="F115" s="5"/>
      <c r="G115" s="5"/>
      <c r="J115" s="5"/>
      <c r="M115" s="5"/>
      <c r="N115" s="5"/>
      <c r="P115" s="5"/>
    </row>
    <row r="116" spans="1:16" ht="13">
      <c r="A116" s="48"/>
      <c r="B116" s="50"/>
      <c r="C116" s="48"/>
      <c r="D116" s="48"/>
      <c r="E116" s="5"/>
      <c r="F116" s="5"/>
      <c r="G116" s="5"/>
      <c r="J116" s="5"/>
      <c r="M116" s="5"/>
      <c r="N116" s="5"/>
      <c r="P116" s="5"/>
    </row>
    <row r="117" spans="1:16" ht="13">
      <c r="A117" s="48"/>
      <c r="B117" s="50"/>
      <c r="C117" s="48"/>
      <c r="D117" s="48"/>
      <c r="E117" s="5"/>
      <c r="F117" s="5"/>
      <c r="G117" s="5"/>
      <c r="J117" s="5"/>
      <c r="M117" s="5"/>
      <c r="N117" s="5"/>
      <c r="P117" s="5"/>
    </row>
    <row r="118" spans="1:16" ht="13">
      <c r="A118" s="48"/>
      <c r="B118" s="50"/>
      <c r="C118" s="48"/>
      <c r="D118" s="48"/>
      <c r="E118" s="5"/>
      <c r="F118" s="5"/>
      <c r="G118" s="5"/>
      <c r="J118" s="5"/>
      <c r="M118" s="5"/>
      <c r="N118" s="5"/>
      <c r="P118" s="5"/>
    </row>
    <row r="119" spans="1:16" ht="13">
      <c r="A119" s="48"/>
      <c r="B119" s="50"/>
      <c r="C119" s="48"/>
      <c r="D119" s="48"/>
      <c r="E119" s="5"/>
      <c r="F119" s="5"/>
      <c r="G119" s="5"/>
      <c r="J119" s="5"/>
      <c r="M119" s="5"/>
      <c r="N119" s="5"/>
      <c r="P119" s="5"/>
    </row>
    <row r="120" spans="1:16" ht="13">
      <c r="A120" s="48"/>
      <c r="B120" s="50"/>
      <c r="C120" s="48"/>
      <c r="D120" s="48"/>
      <c r="E120" s="5"/>
      <c r="F120" s="5"/>
      <c r="G120" s="5"/>
      <c r="J120" s="5"/>
      <c r="M120" s="5"/>
      <c r="N120" s="5"/>
      <c r="P120" s="5"/>
    </row>
    <row r="121" spans="1:16" ht="13">
      <c r="A121" s="48"/>
      <c r="B121" s="50"/>
      <c r="C121" s="48"/>
      <c r="D121" s="48"/>
      <c r="E121" s="5"/>
      <c r="F121" s="5"/>
      <c r="G121" s="5"/>
      <c r="J121" s="5"/>
      <c r="M121" s="5"/>
      <c r="N121" s="5"/>
      <c r="P121" s="5"/>
    </row>
    <row r="122" spans="1:16" ht="13">
      <c r="A122" s="48"/>
      <c r="B122" s="50"/>
      <c r="C122" s="48"/>
      <c r="D122" s="48"/>
      <c r="E122" s="5"/>
      <c r="F122" s="5"/>
      <c r="G122" s="5"/>
      <c r="J122" s="5"/>
      <c r="M122" s="5"/>
      <c r="N122" s="5"/>
      <c r="P122" s="5"/>
    </row>
    <row r="123" spans="1:16" ht="13">
      <c r="A123" s="48"/>
      <c r="B123" s="50"/>
      <c r="C123" s="48"/>
      <c r="D123" s="48"/>
      <c r="E123" s="5"/>
      <c r="F123" s="5"/>
      <c r="G123" s="5"/>
      <c r="J123" s="5"/>
      <c r="M123" s="5"/>
      <c r="N123" s="5"/>
      <c r="P123" s="5"/>
    </row>
    <row r="124" spans="1:16" ht="13">
      <c r="A124" s="48"/>
      <c r="B124" s="50"/>
      <c r="C124" s="48"/>
      <c r="D124" s="48"/>
      <c r="E124" s="5"/>
      <c r="F124" s="5"/>
      <c r="G124" s="5"/>
      <c r="J124" s="5"/>
      <c r="M124" s="5"/>
      <c r="N124" s="5"/>
      <c r="P124" s="5"/>
    </row>
    <row r="125" spans="1:16" ht="13">
      <c r="A125" s="48"/>
      <c r="B125" s="50"/>
      <c r="C125" s="48"/>
      <c r="D125" s="48"/>
      <c r="E125" s="5"/>
      <c r="F125" s="5"/>
      <c r="G125" s="5"/>
      <c r="J125" s="5"/>
      <c r="M125" s="5"/>
      <c r="N125" s="5"/>
      <c r="P125" s="5"/>
    </row>
    <row r="126" spans="1:16" ht="13">
      <c r="A126" s="48"/>
      <c r="B126" s="50"/>
      <c r="C126" s="48"/>
      <c r="D126" s="48"/>
      <c r="E126" s="5"/>
      <c r="F126" s="5"/>
      <c r="G126" s="5"/>
      <c r="J126" s="5"/>
      <c r="M126" s="5"/>
      <c r="N126" s="5"/>
      <c r="P126" s="5"/>
    </row>
    <row r="127" spans="1:16" ht="13">
      <c r="A127" s="48"/>
      <c r="B127" s="53"/>
      <c r="C127" s="48"/>
      <c r="D127" s="48"/>
      <c r="E127" s="5"/>
      <c r="F127" s="5"/>
      <c r="G127" s="5"/>
      <c r="J127" s="5"/>
      <c r="M127" s="5"/>
      <c r="N127" s="5"/>
      <c r="P127" s="5"/>
    </row>
    <row r="128" spans="1:16" ht="13">
      <c r="A128" s="48"/>
      <c r="B128" s="53"/>
      <c r="C128" s="48"/>
      <c r="D128" s="48"/>
      <c r="E128" s="5"/>
      <c r="F128" s="5"/>
      <c r="G128" s="5"/>
      <c r="J128" s="5"/>
      <c r="M128" s="5"/>
      <c r="N128" s="5"/>
      <c r="P128" s="5"/>
    </row>
    <row r="129" spans="1:16" ht="13">
      <c r="A129" s="48"/>
      <c r="B129" s="53"/>
      <c r="C129" s="48"/>
      <c r="D129" s="48"/>
      <c r="E129" s="5"/>
      <c r="F129" s="5"/>
      <c r="G129" s="5"/>
      <c r="J129" s="5"/>
      <c r="M129" s="5"/>
      <c r="N129" s="5"/>
      <c r="P129" s="5"/>
    </row>
    <row r="130" spans="1:16" ht="13">
      <c r="A130" s="48"/>
      <c r="B130" s="53"/>
      <c r="C130" s="48"/>
      <c r="D130" s="48"/>
      <c r="E130" s="5"/>
      <c r="F130" s="5"/>
      <c r="G130" s="5"/>
      <c r="J130" s="5"/>
      <c r="M130" s="5"/>
      <c r="N130" s="5"/>
      <c r="P130" s="5"/>
    </row>
    <row r="131" spans="1:16" ht="13">
      <c r="A131" s="48"/>
      <c r="B131" s="53"/>
      <c r="C131" s="48"/>
      <c r="D131" s="48"/>
      <c r="E131" s="5"/>
      <c r="F131" s="5"/>
      <c r="G131" s="5"/>
      <c r="J131" s="5"/>
      <c r="M131" s="5"/>
      <c r="N131" s="5"/>
      <c r="P131" s="5"/>
    </row>
    <row r="132" spans="1:16" ht="13">
      <c r="A132" s="48"/>
      <c r="B132" s="53"/>
      <c r="C132" s="48"/>
      <c r="D132" s="48"/>
      <c r="E132" s="5"/>
      <c r="F132" s="5"/>
      <c r="G132" s="5"/>
      <c r="J132" s="5"/>
      <c r="M132" s="5"/>
      <c r="N132" s="5"/>
      <c r="P132" s="5"/>
    </row>
    <row r="133" spans="1:16" ht="13">
      <c r="A133" s="48"/>
      <c r="B133" s="53"/>
      <c r="C133" s="48"/>
      <c r="D133" s="48"/>
      <c r="E133" s="5"/>
      <c r="F133" s="5"/>
      <c r="G133" s="5"/>
      <c r="J133" s="5"/>
      <c r="M133" s="5"/>
      <c r="N133" s="5"/>
      <c r="P133" s="5"/>
    </row>
    <row r="134" spans="1:16" ht="13">
      <c r="A134" s="48"/>
      <c r="B134" s="53"/>
      <c r="C134" s="48"/>
      <c r="D134" s="48"/>
      <c r="E134" s="5"/>
      <c r="F134" s="5"/>
      <c r="G134" s="5"/>
      <c r="J134" s="5"/>
      <c r="M134" s="5"/>
      <c r="N134" s="5"/>
      <c r="P134" s="5"/>
    </row>
    <row r="135" spans="1:16" ht="13">
      <c r="A135" s="48"/>
      <c r="B135" s="53"/>
      <c r="C135" s="48"/>
      <c r="D135" s="48"/>
      <c r="E135" s="5"/>
      <c r="F135" s="5"/>
      <c r="G135" s="5"/>
      <c r="J135" s="5"/>
      <c r="M135" s="5"/>
      <c r="N135" s="5"/>
      <c r="P135" s="5"/>
    </row>
    <row r="136" spans="1:16" ht="13">
      <c r="A136" s="48"/>
      <c r="B136" s="53"/>
      <c r="C136" s="48"/>
      <c r="D136" s="48"/>
      <c r="E136" s="5"/>
      <c r="F136" s="5"/>
      <c r="G136" s="5"/>
      <c r="J136" s="5"/>
      <c r="M136" s="5"/>
      <c r="N136" s="5"/>
      <c r="P136" s="5"/>
    </row>
    <row r="137" spans="1:16" ht="13">
      <c r="A137" s="48"/>
      <c r="B137" s="50"/>
      <c r="C137" s="48"/>
      <c r="D137" s="48"/>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4500-000000000000}"/>
    <hyperlink ref="B6" r:id="rId2" xr:uid="{00000000-0004-0000-4500-000001000000}"/>
    <hyperlink ref="B7" r:id="rId3" xr:uid="{00000000-0004-0000-4500-000002000000}"/>
    <hyperlink ref="B8" r:id="rId4" xr:uid="{00000000-0004-0000-4500-000003000000}"/>
    <hyperlink ref="B9" r:id="rId5" xr:uid="{00000000-0004-0000-4500-000004000000}"/>
    <hyperlink ref="B10" r:id="rId6" xr:uid="{00000000-0004-0000-4500-000005000000}"/>
    <hyperlink ref="B11" r:id="rId7" xr:uid="{00000000-0004-0000-4500-000006000000}"/>
    <hyperlink ref="B12" r:id="rId8" xr:uid="{00000000-0004-0000-4500-000007000000}"/>
    <hyperlink ref="B13" r:id="rId9" xr:uid="{00000000-0004-0000-4500-000008000000}"/>
    <hyperlink ref="B14" r:id="rId10" xr:uid="{00000000-0004-0000-4500-000009000000}"/>
    <hyperlink ref="B15" r:id="rId11" xr:uid="{00000000-0004-0000-4500-00000A000000}"/>
    <hyperlink ref="B16" r:id="rId12" xr:uid="{00000000-0004-0000-4500-00000B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1">
    <outlinePr summaryBelow="0" summaryRight="0"/>
  </sheetPr>
  <dimension ref="A1:I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4.83203125" customWidth="1"/>
    <col min="3" max="3" width="13.5" customWidth="1"/>
    <col min="4" max="4" width="14.83203125" customWidth="1"/>
    <col min="5" max="5" width="14.33203125" customWidth="1"/>
  </cols>
  <sheetData>
    <row r="1" spans="1:9" ht="15.75" customHeight="1">
      <c r="A1" s="1" t="s">
        <v>100</v>
      </c>
      <c r="B1" s="36"/>
      <c r="C1" s="37"/>
      <c r="D1" s="7" t="s">
        <v>181</v>
      </c>
      <c r="E1" s="5"/>
      <c r="F1" s="5"/>
      <c r="G1" s="5"/>
    </row>
    <row r="2" spans="1:9" ht="15.75" customHeight="1">
      <c r="A2" s="7" t="s">
        <v>182</v>
      </c>
      <c r="B2" s="38">
        <v>41864</v>
      </c>
      <c r="C2" s="37"/>
      <c r="D2" s="39">
        <f>SUM(D5:G117)</f>
        <v>0</v>
      </c>
      <c r="E2" s="5"/>
      <c r="F2" s="5"/>
      <c r="G2" s="5"/>
    </row>
    <row r="3" spans="1:9" ht="15.75" customHeight="1">
      <c r="B3" s="41"/>
      <c r="C3" s="37"/>
      <c r="D3" s="5"/>
      <c r="E3" s="5"/>
      <c r="F3" s="5"/>
      <c r="G3" s="5"/>
    </row>
    <row r="4" spans="1:9" ht="15.75" customHeight="1">
      <c r="A4" s="42" t="s">
        <v>183</v>
      </c>
      <c r="B4" s="43" t="s">
        <v>184</v>
      </c>
      <c r="C4" s="43" t="s">
        <v>185</v>
      </c>
      <c r="D4" s="42" t="s">
        <v>186</v>
      </c>
      <c r="E4" s="44" t="s">
        <v>187</v>
      </c>
      <c r="F4" s="44" t="s">
        <v>188</v>
      </c>
      <c r="G4" s="44" t="s">
        <v>189</v>
      </c>
      <c r="H4" s="44" t="s">
        <v>190</v>
      </c>
      <c r="I4" s="44"/>
    </row>
    <row r="5" spans="1:9" ht="15.75" customHeight="1">
      <c r="A5" s="48" t="s">
        <v>765</v>
      </c>
      <c r="B5" s="49" t="s">
        <v>346</v>
      </c>
      <c r="C5" s="48" t="s">
        <v>205</v>
      </c>
      <c r="D5" s="51"/>
      <c r="E5" s="5"/>
      <c r="F5" s="5"/>
      <c r="G5" s="5"/>
    </row>
    <row r="6" spans="1:9" ht="15.75" customHeight="1">
      <c r="A6" s="48" t="s">
        <v>767</v>
      </c>
      <c r="B6" s="49" t="s">
        <v>345</v>
      </c>
      <c r="C6" s="48" t="s">
        <v>205</v>
      </c>
      <c r="D6" s="73"/>
      <c r="E6" s="51"/>
      <c r="F6" s="5"/>
      <c r="G6" s="5"/>
    </row>
    <row r="7" spans="1:9" ht="15.75" customHeight="1">
      <c r="A7" s="48" t="s">
        <v>769</v>
      </c>
      <c r="B7" s="49" t="s">
        <v>328</v>
      </c>
      <c r="C7" s="48" t="s">
        <v>205</v>
      </c>
      <c r="D7" s="73"/>
      <c r="E7" s="5"/>
      <c r="F7" s="51"/>
      <c r="G7" s="5"/>
    </row>
    <row r="8" spans="1:9" ht="15.75" customHeight="1">
      <c r="A8" s="48" t="s">
        <v>771</v>
      </c>
      <c r="B8" s="58" t="str">
        <f>HYPERLINK("https://bulbapedia.bulbagarden.net/wiki/Heracross-EX_(Furious_Fists_4)","HeracrossEX")</f>
        <v>HeracrossEX</v>
      </c>
      <c r="C8" s="48" t="s">
        <v>205</v>
      </c>
      <c r="D8" s="73"/>
      <c r="E8" s="5"/>
      <c r="F8" s="5"/>
      <c r="G8" s="5"/>
    </row>
    <row r="9" spans="1:9" ht="15.75" customHeight="1">
      <c r="A9" s="48" t="s">
        <v>773</v>
      </c>
      <c r="B9" s="58" t="str">
        <f>HYPERLINK("https://bulbapedia.bulbagarden.net/wiki/M_Heracross-EX_(Furious_Fists_5)","MHeracrossEX")</f>
        <v>MHeracrossEX</v>
      </c>
      <c r="C9" s="48" t="s">
        <v>205</v>
      </c>
      <c r="D9" s="73"/>
      <c r="E9" s="5"/>
      <c r="F9" s="5"/>
      <c r="G9" s="5"/>
    </row>
    <row r="10" spans="1:9" ht="15.75" customHeight="1">
      <c r="A10" s="48" t="s">
        <v>774</v>
      </c>
      <c r="B10" s="49" t="s">
        <v>1311</v>
      </c>
      <c r="C10" s="48" t="s">
        <v>205</v>
      </c>
      <c r="D10" s="48"/>
      <c r="E10" s="51"/>
      <c r="F10" s="5"/>
      <c r="G10" s="5"/>
    </row>
    <row r="11" spans="1:9" ht="15.75" customHeight="1">
      <c r="A11" s="48" t="s">
        <v>776</v>
      </c>
      <c r="B11" s="49" t="s">
        <v>3354</v>
      </c>
      <c r="C11" s="48" t="s">
        <v>205</v>
      </c>
      <c r="D11" s="48"/>
      <c r="E11" s="5"/>
      <c r="F11" s="5"/>
      <c r="G11" s="5"/>
    </row>
    <row r="12" spans="1:9" ht="15.75" customHeight="1">
      <c r="A12" s="48" t="s">
        <v>778</v>
      </c>
      <c r="B12" s="49" t="s">
        <v>4050</v>
      </c>
      <c r="C12" s="48" t="s">
        <v>205</v>
      </c>
      <c r="D12" s="73"/>
      <c r="E12" s="5"/>
      <c r="F12" s="5"/>
      <c r="G12" s="5"/>
    </row>
    <row r="13" spans="1:9" ht="15.75" customHeight="1">
      <c r="A13" s="48" t="s">
        <v>780</v>
      </c>
      <c r="B13" s="49" t="s">
        <v>4051</v>
      </c>
      <c r="C13" s="48" t="s">
        <v>205</v>
      </c>
      <c r="D13" s="73"/>
      <c r="E13" s="5"/>
      <c r="F13" s="5"/>
      <c r="G13" s="5"/>
    </row>
    <row r="14" spans="1:9" ht="15.75" customHeight="1">
      <c r="A14" s="48" t="s">
        <v>782</v>
      </c>
      <c r="B14" s="49" t="s">
        <v>231</v>
      </c>
      <c r="C14" s="48" t="s">
        <v>199</v>
      </c>
      <c r="D14" s="73"/>
      <c r="E14" s="5"/>
      <c r="F14" s="5"/>
      <c r="G14" s="5"/>
    </row>
    <row r="15" spans="1:9" ht="15.75" customHeight="1">
      <c r="A15" s="48" t="s">
        <v>784</v>
      </c>
      <c r="B15" s="49" t="s">
        <v>3052</v>
      </c>
      <c r="C15" s="48" t="s">
        <v>199</v>
      </c>
      <c r="D15" s="73"/>
      <c r="E15" s="5"/>
      <c r="F15" s="5"/>
      <c r="G15" s="5"/>
    </row>
    <row r="16" spans="1:9" ht="15.75" customHeight="1">
      <c r="A16" s="48" t="s">
        <v>785</v>
      </c>
      <c r="B16" s="49" t="s">
        <v>1190</v>
      </c>
      <c r="C16" s="48" t="s">
        <v>199</v>
      </c>
      <c r="D16" s="48"/>
      <c r="E16" s="5"/>
      <c r="F16" s="5"/>
      <c r="G16" s="5"/>
    </row>
    <row r="17" spans="1:7" ht="15.75" customHeight="1">
      <c r="A17" s="48" t="s">
        <v>786</v>
      </c>
      <c r="B17" s="49" t="s">
        <v>1191</v>
      </c>
      <c r="C17" s="48" t="s">
        <v>199</v>
      </c>
      <c r="D17" s="73"/>
      <c r="E17" s="5"/>
      <c r="F17" s="5"/>
      <c r="G17" s="5"/>
    </row>
    <row r="18" spans="1:7" ht="15.75" customHeight="1">
      <c r="A18" s="48" t="s">
        <v>788</v>
      </c>
      <c r="B18" s="49" t="s">
        <v>1212</v>
      </c>
      <c r="C18" s="48" t="s">
        <v>199</v>
      </c>
      <c r="D18" s="73"/>
      <c r="E18" s="5"/>
      <c r="F18" s="5"/>
      <c r="G18" s="5"/>
    </row>
    <row r="19" spans="1:7" ht="15.75" customHeight="1">
      <c r="A19" s="48" t="s">
        <v>790</v>
      </c>
      <c r="B19" s="49" t="s">
        <v>290</v>
      </c>
      <c r="C19" s="48" t="s">
        <v>208</v>
      </c>
      <c r="D19" s="48"/>
      <c r="E19" s="5"/>
      <c r="F19" s="5"/>
      <c r="G19" s="5"/>
    </row>
    <row r="20" spans="1:7" ht="15.75" customHeight="1">
      <c r="A20" s="48" t="s">
        <v>792</v>
      </c>
      <c r="B20" s="49" t="s">
        <v>270</v>
      </c>
      <c r="C20" s="48" t="s">
        <v>208</v>
      </c>
      <c r="D20" s="73"/>
      <c r="E20" s="5"/>
      <c r="F20" s="5"/>
      <c r="G20" s="5"/>
    </row>
    <row r="21" spans="1:7" ht="15.75" customHeight="1">
      <c r="A21" s="48" t="s">
        <v>794</v>
      </c>
      <c r="B21" s="49" t="s">
        <v>250</v>
      </c>
      <c r="C21" s="48" t="s">
        <v>208</v>
      </c>
      <c r="D21" s="73"/>
      <c r="E21" s="5"/>
      <c r="F21" s="5"/>
      <c r="G21" s="5"/>
    </row>
    <row r="22" spans="1:7" ht="15.75" customHeight="1">
      <c r="A22" s="48" t="s">
        <v>796</v>
      </c>
      <c r="B22" s="49" t="s">
        <v>940</v>
      </c>
      <c r="C22" s="48" t="s">
        <v>208</v>
      </c>
      <c r="D22" s="73"/>
      <c r="E22" s="5"/>
      <c r="F22" s="5"/>
      <c r="G22" s="5"/>
    </row>
    <row r="23" spans="1:7" ht="15.75" customHeight="1">
      <c r="A23" s="48" t="s">
        <v>797</v>
      </c>
      <c r="B23" s="49" t="s">
        <v>3353</v>
      </c>
      <c r="C23" s="48" t="s">
        <v>208</v>
      </c>
      <c r="D23" s="48"/>
      <c r="E23" s="5"/>
      <c r="F23" s="5"/>
      <c r="G23" s="5"/>
    </row>
    <row r="24" spans="1:7" ht="15.75" customHeight="1">
      <c r="A24" s="48" t="s">
        <v>799</v>
      </c>
      <c r="B24" s="58" t="str">
        <f>HYPERLINK("https://bulbapedia.bulbagarden.net/wiki/Seismitoad-EX_(Furious_Fists_20)","SeismitoadEX")</f>
        <v>SeismitoadEX</v>
      </c>
      <c r="C24" s="48" t="s">
        <v>208</v>
      </c>
      <c r="D24" s="73"/>
      <c r="E24" s="5"/>
      <c r="F24" s="5"/>
      <c r="G24" s="5"/>
    </row>
    <row r="25" spans="1:7" ht="15.75" customHeight="1">
      <c r="A25" s="48" t="s">
        <v>800</v>
      </c>
      <c r="B25" s="49" t="s">
        <v>4127</v>
      </c>
      <c r="C25" s="48" t="s">
        <v>208</v>
      </c>
      <c r="D25" s="73"/>
      <c r="E25" s="5"/>
      <c r="F25" s="5"/>
      <c r="G25" s="5"/>
    </row>
    <row r="26" spans="1:7" ht="15.75" customHeight="1">
      <c r="A26" s="48" t="s">
        <v>802</v>
      </c>
      <c r="B26" s="49" t="s">
        <v>4128</v>
      </c>
      <c r="C26" s="48" t="s">
        <v>208</v>
      </c>
      <c r="D26" s="73"/>
      <c r="E26" s="5"/>
      <c r="F26" s="5"/>
      <c r="G26" s="5"/>
    </row>
    <row r="27" spans="1:7" ht="15.75" customHeight="1">
      <c r="A27" s="48" t="s">
        <v>804</v>
      </c>
      <c r="B27" s="49" t="s">
        <v>5007</v>
      </c>
      <c r="C27" s="48" t="s">
        <v>208</v>
      </c>
      <c r="D27" s="73"/>
      <c r="E27" s="5"/>
      <c r="F27" s="5"/>
      <c r="G27" s="5"/>
    </row>
    <row r="28" spans="1:7" ht="15.75" customHeight="1">
      <c r="A28" s="48" t="s">
        <v>806</v>
      </c>
      <c r="B28" s="49" t="s">
        <v>5117</v>
      </c>
      <c r="C28" s="48" t="s">
        <v>208</v>
      </c>
      <c r="D28" s="73"/>
      <c r="E28" s="5"/>
      <c r="F28" s="5"/>
      <c r="G28" s="5"/>
    </row>
    <row r="29" spans="1:7" ht="15.75" customHeight="1">
      <c r="A29" s="48" t="s">
        <v>809</v>
      </c>
      <c r="B29" s="49" t="s">
        <v>5118</v>
      </c>
      <c r="C29" s="48" t="s">
        <v>208</v>
      </c>
      <c r="D29" s="73"/>
      <c r="E29" s="5"/>
      <c r="F29" s="5"/>
      <c r="G29" s="5"/>
    </row>
    <row r="30" spans="1:7" ht="15.75" customHeight="1">
      <c r="A30" s="48" t="s">
        <v>811</v>
      </c>
      <c r="B30" s="49" t="s">
        <v>5119</v>
      </c>
      <c r="C30" s="48" t="s">
        <v>208</v>
      </c>
      <c r="D30" s="73"/>
      <c r="E30" s="5"/>
      <c r="F30" s="5"/>
      <c r="G30" s="5"/>
    </row>
    <row r="31" spans="1:7" ht="15.75" customHeight="1">
      <c r="A31" s="48" t="s">
        <v>813</v>
      </c>
      <c r="B31" s="49" t="s">
        <v>191</v>
      </c>
      <c r="C31" s="48" t="s">
        <v>192</v>
      </c>
      <c r="D31" s="73"/>
      <c r="E31" s="5"/>
      <c r="F31" s="5"/>
      <c r="G31" s="5"/>
    </row>
    <row r="32" spans="1:7" ht="15.75" customHeight="1">
      <c r="A32" s="48" t="s">
        <v>815</v>
      </c>
      <c r="B32" s="49" t="s">
        <v>251</v>
      </c>
      <c r="C32" s="48" t="s">
        <v>192</v>
      </c>
      <c r="D32" s="73"/>
      <c r="E32" s="5"/>
      <c r="F32" s="5"/>
      <c r="G32" s="5"/>
    </row>
    <row r="33" spans="1:7" ht="15.75" customHeight="1">
      <c r="A33" s="48" t="s">
        <v>817</v>
      </c>
      <c r="B33" s="49" t="s">
        <v>193</v>
      </c>
      <c r="C33" s="48" t="s">
        <v>192</v>
      </c>
      <c r="D33" s="48"/>
      <c r="E33" s="5"/>
      <c r="F33" s="5"/>
      <c r="G33" s="5"/>
    </row>
    <row r="34" spans="1:7" ht="15.75" customHeight="1">
      <c r="A34" s="48" t="s">
        <v>818</v>
      </c>
      <c r="B34" s="49" t="s">
        <v>3110</v>
      </c>
      <c r="C34" s="48" t="s">
        <v>192</v>
      </c>
      <c r="D34" s="73"/>
      <c r="E34" s="5"/>
      <c r="F34" s="5"/>
      <c r="G34" s="5"/>
    </row>
    <row r="35" spans="1:7" ht="15.75" customHeight="1">
      <c r="A35" s="48" t="s">
        <v>819</v>
      </c>
      <c r="B35" s="49" t="s">
        <v>1503</v>
      </c>
      <c r="C35" s="48" t="s">
        <v>192</v>
      </c>
      <c r="D35" s="73"/>
      <c r="E35" s="5"/>
      <c r="F35" s="5"/>
      <c r="G35" s="5"/>
    </row>
    <row r="36" spans="1:7" ht="15.75" customHeight="1">
      <c r="A36" s="48" t="s">
        <v>821</v>
      </c>
      <c r="B36" s="49" t="s">
        <v>1501</v>
      </c>
      <c r="C36" s="48" t="s">
        <v>192</v>
      </c>
      <c r="D36" s="48"/>
      <c r="E36" s="5"/>
      <c r="F36" s="5"/>
      <c r="G36" s="5"/>
    </row>
    <row r="37" spans="1:7" ht="15.75" customHeight="1">
      <c r="A37" s="48" t="s">
        <v>822</v>
      </c>
      <c r="B37" s="49" t="s">
        <v>4701</v>
      </c>
      <c r="C37" s="48" t="s">
        <v>192</v>
      </c>
      <c r="D37" s="73"/>
      <c r="E37" s="5"/>
      <c r="F37" s="5"/>
      <c r="G37" s="5"/>
    </row>
    <row r="38" spans="1:7" ht="15.75" customHeight="1">
      <c r="A38" s="48" t="s">
        <v>823</v>
      </c>
      <c r="B38" s="49" t="s">
        <v>5120</v>
      </c>
      <c r="C38" s="48" t="s">
        <v>192</v>
      </c>
      <c r="D38" s="73"/>
      <c r="E38" s="5"/>
      <c r="F38" s="5"/>
      <c r="G38" s="5"/>
    </row>
    <row r="39" spans="1:7" ht="15.75" customHeight="1">
      <c r="A39" s="48" t="s">
        <v>825</v>
      </c>
      <c r="B39" s="49" t="s">
        <v>281</v>
      </c>
      <c r="C39" s="48" t="s">
        <v>195</v>
      </c>
      <c r="D39" s="48"/>
      <c r="E39" s="5"/>
      <c r="F39" s="5"/>
      <c r="G39" s="5"/>
    </row>
    <row r="40" spans="1:7" ht="15.75" customHeight="1">
      <c r="A40" s="48" t="s">
        <v>827</v>
      </c>
      <c r="B40" s="49" t="s">
        <v>362</v>
      </c>
      <c r="C40" s="48" t="s">
        <v>195</v>
      </c>
      <c r="D40" s="73"/>
      <c r="E40" s="5"/>
      <c r="F40" s="5"/>
      <c r="G40" s="5"/>
    </row>
    <row r="41" spans="1:7" ht="15.75" customHeight="1">
      <c r="A41" s="48" t="s">
        <v>828</v>
      </c>
      <c r="B41" s="49" t="s">
        <v>265</v>
      </c>
      <c r="C41" s="48" t="s">
        <v>195</v>
      </c>
      <c r="D41" s="73"/>
      <c r="E41" s="5"/>
      <c r="F41" s="5"/>
      <c r="G41" s="5"/>
    </row>
    <row r="42" spans="1:7" ht="15.75" customHeight="1">
      <c r="A42" s="48" t="s">
        <v>830</v>
      </c>
      <c r="B42" s="49" t="s">
        <v>3147</v>
      </c>
      <c r="C42" s="48" t="s">
        <v>195</v>
      </c>
      <c r="D42" s="73"/>
      <c r="E42" s="5"/>
      <c r="F42" s="5"/>
      <c r="G42" s="5"/>
    </row>
    <row r="43" spans="1:7" ht="15.75" customHeight="1">
      <c r="A43" s="48" t="s">
        <v>832</v>
      </c>
      <c r="B43" s="49" t="s">
        <v>4247</v>
      </c>
      <c r="C43" s="48" t="s">
        <v>195</v>
      </c>
      <c r="D43" s="73"/>
      <c r="E43" s="5"/>
      <c r="F43" s="5"/>
      <c r="G43" s="5"/>
    </row>
    <row r="44" spans="1:7" ht="15.75" customHeight="1">
      <c r="A44" s="48" t="s">
        <v>834</v>
      </c>
      <c r="B44" s="49" t="s">
        <v>4249</v>
      </c>
      <c r="C44" s="48" t="s">
        <v>195</v>
      </c>
      <c r="D44" s="73"/>
      <c r="E44" s="5"/>
      <c r="F44" s="5"/>
      <c r="G44" s="5"/>
    </row>
    <row r="45" spans="1:7" ht="15.75" customHeight="1">
      <c r="A45" s="48" t="s">
        <v>835</v>
      </c>
      <c r="B45" s="49" t="s">
        <v>4251</v>
      </c>
      <c r="C45" s="48" t="s">
        <v>195</v>
      </c>
      <c r="D45" s="73"/>
      <c r="E45" s="5"/>
      <c r="F45" s="5"/>
      <c r="G45" s="5"/>
    </row>
    <row r="46" spans="1:7" ht="15.75" customHeight="1">
      <c r="A46" s="48" t="s">
        <v>837</v>
      </c>
      <c r="B46" s="49" t="s">
        <v>4097</v>
      </c>
      <c r="C46" s="48" t="s">
        <v>195</v>
      </c>
      <c r="D46" s="73"/>
      <c r="E46" s="5"/>
      <c r="F46" s="5"/>
      <c r="G46" s="5"/>
    </row>
    <row r="47" spans="1:7" ht="15.75" customHeight="1">
      <c r="A47" s="48" t="s">
        <v>839</v>
      </c>
      <c r="B47" s="49" t="s">
        <v>4098</v>
      </c>
      <c r="C47" s="48" t="s">
        <v>195</v>
      </c>
      <c r="D47" s="73"/>
      <c r="E47" s="5"/>
      <c r="F47" s="5"/>
      <c r="G47" s="5"/>
    </row>
    <row r="48" spans="1:7" ht="15.75" customHeight="1">
      <c r="A48" s="48" t="s">
        <v>841</v>
      </c>
      <c r="B48" s="49" t="s">
        <v>284</v>
      </c>
      <c r="C48" s="48" t="s">
        <v>225</v>
      </c>
      <c r="D48" s="73"/>
      <c r="E48" s="51"/>
      <c r="F48" s="5"/>
      <c r="G48" s="5"/>
    </row>
    <row r="49" spans="1:7" ht="15.75" customHeight="1">
      <c r="A49" s="48" t="s">
        <v>843</v>
      </c>
      <c r="B49" s="49" t="s">
        <v>267</v>
      </c>
      <c r="C49" s="48" t="s">
        <v>225</v>
      </c>
      <c r="D49" s="73"/>
      <c r="E49" s="5"/>
      <c r="F49" s="5"/>
      <c r="G49" s="5"/>
    </row>
    <row r="50" spans="1:7" ht="15.75" customHeight="1">
      <c r="A50" s="48" t="s">
        <v>845</v>
      </c>
      <c r="B50" s="49" t="s">
        <v>230</v>
      </c>
      <c r="C50" s="48" t="s">
        <v>225</v>
      </c>
      <c r="D50" s="73"/>
      <c r="E50" s="5"/>
      <c r="F50" s="5"/>
      <c r="G50" s="5"/>
    </row>
    <row r="51" spans="1:7" ht="15.75" customHeight="1">
      <c r="A51" s="48" t="s">
        <v>847</v>
      </c>
      <c r="B51" s="49" t="s">
        <v>361</v>
      </c>
      <c r="C51" s="48" t="s">
        <v>225</v>
      </c>
      <c r="D51" s="73"/>
      <c r="E51" s="5"/>
      <c r="F51" s="5"/>
      <c r="G51" s="5"/>
    </row>
    <row r="52" spans="1:7" ht="15.75" customHeight="1">
      <c r="A52" s="48" t="s">
        <v>848</v>
      </c>
      <c r="B52" s="49" t="s">
        <v>246</v>
      </c>
      <c r="C52" s="48" t="s">
        <v>225</v>
      </c>
      <c r="D52" s="73"/>
      <c r="E52" s="5"/>
      <c r="F52" s="5"/>
      <c r="G52" s="5"/>
    </row>
    <row r="53" spans="1:7" ht="13">
      <c r="A53" s="48" t="s">
        <v>849</v>
      </c>
      <c r="B53" s="49" t="s">
        <v>224</v>
      </c>
      <c r="C53" s="48" t="s">
        <v>225</v>
      </c>
      <c r="D53" s="73"/>
      <c r="E53" s="5"/>
      <c r="F53" s="5"/>
      <c r="G53" s="5"/>
    </row>
    <row r="54" spans="1:7" ht="13">
      <c r="A54" s="48" t="s">
        <v>851</v>
      </c>
      <c r="B54" s="49" t="s">
        <v>1237</v>
      </c>
      <c r="C54" s="48" t="s">
        <v>225</v>
      </c>
      <c r="D54" s="48"/>
      <c r="E54" s="5"/>
      <c r="F54" s="5"/>
      <c r="G54" s="5"/>
    </row>
    <row r="55" spans="1:7" ht="13">
      <c r="A55" s="48" t="s">
        <v>853</v>
      </c>
      <c r="B55" s="49" t="s">
        <v>1294</v>
      </c>
      <c r="C55" s="48" t="s">
        <v>225</v>
      </c>
      <c r="D55" s="48"/>
      <c r="E55" s="5"/>
      <c r="F55" s="5"/>
      <c r="G55" s="5"/>
    </row>
    <row r="56" spans="1:7" ht="13">
      <c r="A56" s="48" t="s">
        <v>854</v>
      </c>
      <c r="B56" s="49" t="s">
        <v>1222</v>
      </c>
      <c r="C56" s="48" t="s">
        <v>225</v>
      </c>
      <c r="D56" s="48"/>
      <c r="E56" s="5"/>
      <c r="F56" s="5"/>
      <c r="G56" s="5"/>
    </row>
    <row r="57" spans="1:7" ht="13">
      <c r="A57" s="48" t="s">
        <v>856</v>
      </c>
      <c r="B57" s="49" t="s">
        <v>1461</v>
      </c>
      <c r="C57" s="48" t="s">
        <v>225</v>
      </c>
      <c r="D57" s="73"/>
      <c r="E57" s="5"/>
      <c r="F57" s="5"/>
      <c r="G57" s="5"/>
    </row>
    <row r="58" spans="1:7" ht="13">
      <c r="A58" s="48" t="s">
        <v>858</v>
      </c>
      <c r="B58" s="58" t="str">
        <f>HYPERLINK("https://bulbapedia.bulbagarden.net/wiki/Lucario-EX_(Furious_Fists_54)","LucarioEX")</f>
        <v>LucarioEX</v>
      </c>
      <c r="C58" s="48" t="s">
        <v>225</v>
      </c>
      <c r="D58" s="73"/>
      <c r="E58" s="5"/>
      <c r="F58" s="5"/>
      <c r="G58" s="5"/>
    </row>
    <row r="59" spans="1:7" ht="13">
      <c r="A59" s="48" t="s">
        <v>859</v>
      </c>
      <c r="B59" s="58" t="str">
        <f>HYPERLINK("https://bulbapedia.bulbagarden.net/wiki/M_Lucario-EX_(Furious_Fists_55)","MLucarioEX")</f>
        <v>MLucarioEX</v>
      </c>
      <c r="C59" s="48" t="s">
        <v>225</v>
      </c>
      <c r="D59" s="73"/>
      <c r="E59" s="5"/>
      <c r="F59" s="5"/>
      <c r="G59" s="5"/>
    </row>
    <row r="60" spans="1:7" ht="13">
      <c r="A60" s="48" t="s">
        <v>861</v>
      </c>
      <c r="B60" s="49" t="s">
        <v>4095</v>
      </c>
      <c r="C60" s="48" t="s">
        <v>225</v>
      </c>
      <c r="D60" s="73"/>
      <c r="E60" s="5"/>
      <c r="F60" s="5"/>
      <c r="G60" s="5"/>
    </row>
    <row r="61" spans="1:7" ht="13">
      <c r="A61" s="48" t="s">
        <v>863</v>
      </c>
      <c r="B61" s="49" t="s">
        <v>4096</v>
      </c>
      <c r="C61" s="48" t="s">
        <v>225</v>
      </c>
      <c r="D61" s="73"/>
      <c r="E61" s="5"/>
      <c r="F61" s="5"/>
      <c r="G61" s="5"/>
    </row>
    <row r="62" spans="1:7" ht="13">
      <c r="A62" s="48" t="s">
        <v>864</v>
      </c>
      <c r="B62" s="49" t="s">
        <v>4100</v>
      </c>
      <c r="C62" s="48" t="s">
        <v>225</v>
      </c>
      <c r="D62" s="73"/>
      <c r="E62" s="5"/>
      <c r="F62" s="5"/>
      <c r="G62" s="5"/>
    </row>
    <row r="63" spans="1:7" ht="13">
      <c r="A63" s="48" t="s">
        <v>866</v>
      </c>
      <c r="B63" s="49" t="s">
        <v>5121</v>
      </c>
      <c r="C63" s="48" t="s">
        <v>225</v>
      </c>
      <c r="D63" s="73"/>
      <c r="E63" s="5"/>
      <c r="F63" s="5"/>
      <c r="G63" s="5"/>
    </row>
    <row r="64" spans="1:7" ht="13">
      <c r="A64" s="48" t="s">
        <v>868</v>
      </c>
      <c r="B64" s="49" t="s">
        <v>5121</v>
      </c>
      <c r="C64" s="48" t="s">
        <v>225</v>
      </c>
      <c r="D64" s="48"/>
      <c r="E64" s="5"/>
      <c r="F64" s="5"/>
      <c r="G64" s="5"/>
    </row>
    <row r="65" spans="1:7" ht="13">
      <c r="A65" s="48" t="s">
        <v>870</v>
      </c>
      <c r="B65" s="49" t="s">
        <v>5122</v>
      </c>
      <c r="C65" s="48" t="s">
        <v>225</v>
      </c>
      <c r="D65" s="47"/>
      <c r="E65" s="5"/>
      <c r="F65" s="5"/>
      <c r="G65" s="5"/>
    </row>
    <row r="66" spans="1:7" ht="13">
      <c r="A66" s="48" t="s">
        <v>872</v>
      </c>
      <c r="B66" s="49" t="s">
        <v>5123</v>
      </c>
      <c r="C66" s="48" t="s">
        <v>225</v>
      </c>
      <c r="D66" s="73"/>
      <c r="E66" s="5"/>
      <c r="F66" s="5"/>
      <c r="G66" s="5"/>
    </row>
    <row r="67" spans="1:7" ht="13">
      <c r="A67" s="48" t="s">
        <v>873</v>
      </c>
      <c r="B67" s="49" t="s">
        <v>5124</v>
      </c>
      <c r="C67" s="48" t="s">
        <v>225</v>
      </c>
      <c r="D67" s="73"/>
      <c r="E67" s="5"/>
      <c r="F67" s="5"/>
      <c r="G67" s="5"/>
    </row>
    <row r="68" spans="1:7" ht="13">
      <c r="A68" s="48" t="s">
        <v>875</v>
      </c>
      <c r="B68" s="58" t="str">
        <f>HYPERLINK("https://bulbapedia.bulbagarden.net/wiki/Hawlucha-EX_(Furious_Fists_64)","HawluchaEX")</f>
        <v>HawluchaEX</v>
      </c>
      <c r="C68" s="48" t="s">
        <v>225</v>
      </c>
      <c r="D68" s="73"/>
      <c r="E68" s="5"/>
      <c r="F68" s="5"/>
      <c r="G68" s="5"/>
    </row>
    <row r="69" spans="1:7" ht="13">
      <c r="A69" s="48" t="s">
        <v>877</v>
      </c>
      <c r="B69" s="49" t="s">
        <v>3124</v>
      </c>
      <c r="C69" s="48" t="s">
        <v>808</v>
      </c>
      <c r="D69" s="73"/>
      <c r="E69" s="5"/>
      <c r="F69" s="5"/>
      <c r="G69" s="5"/>
    </row>
    <row r="70" spans="1:7" ht="13">
      <c r="A70" s="48" t="s">
        <v>879</v>
      </c>
      <c r="B70" s="49" t="s">
        <v>4132</v>
      </c>
      <c r="C70" s="48" t="s">
        <v>808</v>
      </c>
      <c r="D70" s="73"/>
      <c r="E70" s="5"/>
      <c r="F70" s="5"/>
      <c r="G70" s="5"/>
    </row>
    <row r="71" spans="1:7" ht="13">
      <c r="A71" s="48" t="s">
        <v>880</v>
      </c>
      <c r="B71" s="49" t="s">
        <v>4133</v>
      </c>
      <c r="C71" s="48" t="s">
        <v>808</v>
      </c>
      <c r="D71" s="73"/>
      <c r="E71" s="5"/>
      <c r="F71" s="5"/>
      <c r="G71" s="5"/>
    </row>
    <row r="72" spans="1:7" ht="13">
      <c r="A72" s="48" t="s">
        <v>882</v>
      </c>
      <c r="B72" s="49" t="s">
        <v>4802</v>
      </c>
      <c r="C72" s="48" t="s">
        <v>808</v>
      </c>
      <c r="D72" s="73"/>
      <c r="E72" s="5"/>
      <c r="F72" s="5"/>
      <c r="G72" s="5"/>
    </row>
    <row r="73" spans="1:7" ht="13">
      <c r="A73" s="48" t="s">
        <v>883</v>
      </c>
      <c r="B73" s="49" t="s">
        <v>244</v>
      </c>
      <c r="C73" s="48" t="s">
        <v>4743</v>
      </c>
      <c r="D73" s="48"/>
      <c r="E73" s="5"/>
      <c r="F73" s="5"/>
      <c r="G73" s="5"/>
    </row>
    <row r="74" spans="1:7" ht="13">
      <c r="A74" s="48" t="s">
        <v>884</v>
      </c>
      <c r="B74" s="49" t="s">
        <v>244</v>
      </c>
      <c r="C74" s="48" t="s">
        <v>4743</v>
      </c>
      <c r="D74" s="73"/>
      <c r="E74" s="5"/>
      <c r="F74" s="5"/>
      <c r="G74" s="5"/>
    </row>
    <row r="75" spans="1:7" ht="13">
      <c r="A75" s="48" t="s">
        <v>885</v>
      </c>
      <c r="B75" s="49" t="s">
        <v>318</v>
      </c>
      <c r="C75" s="48" t="s">
        <v>4743</v>
      </c>
      <c r="D75" s="73"/>
      <c r="E75" s="5"/>
      <c r="F75" s="5"/>
      <c r="G75" s="5"/>
    </row>
    <row r="76" spans="1:7" ht="13">
      <c r="A76" s="48" t="s">
        <v>887</v>
      </c>
      <c r="B76" s="49" t="s">
        <v>4742</v>
      </c>
      <c r="C76" s="48" t="s">
        <v>4743</v>
      </c>
      <c r="D76" s="73"/>
      <c r="E76" s="5"/>
      <c r="F76" s="5"/>
      <c r="G76" s="5"/>
    </row>
    <row r="77" spans="1:7" ht="13">
      <c r="A77" s="48" t="s">
        <v>889</v>
      </c>
      <c r="B77" s="49" t="s">
        <v>5125</v>
      </c>
      <c r="C77" s="48" t="s">
        <v>4743</v>
      </c>
      <c r="D77" s="73"/>
      <c r="E77" s="5"/>
      <c r="F77" s="5"/>
      <c r="G77" s="5"/>
    </row>
    <row r="78" spans="1:7" ht="13">
      <c r="A78" s="48" t="s">
        <v>890</v>
      </c>
      <c r="B78" s="58" t="str">
        <f>HYPERLINK("https://bulbapedia.bulbagarden.net/wiki/Dragonite-EX_(Furious_Fists_74)","DragoniteEX")</f>
        <v>DragoniteEX</v>
      </c>
      <c r="C78" s="48" t="s">
        <v>4285</v>
      </c>
      <c r="D78" s="73"/>
      <c r="E78" s="5"/>
      <c r="F78" s="5"/>
      <c r="G78" s="5"/>
    </row>
    <row r="79" spans="1:7" ht="13">
      <c r="A79" s="48" t="s">
        <v>892</v>
      </c>
      <c r="B79" s="49" t="s">
        <v>1524</v>
      </c>
      <c r="C79" s="48" t="s">
        <v>4285</v>
      </c>
      <c r="D79" s="73"/>
      <c r="E79" s="5"/>
      <c r="F79" s="5"/>
      <c r="G79" s="5"/>
    </row>
    <row r="80" spans="1:7" ht="13">
      <c r="A80" s="48" t="s">
        <v>894</v>
      </c>
      <c r="B80" s="49" t="s">
        <v>1200</v>
      </c>
      <c r="C80" s="48" t="s">
        <v>4285</v>
      </c>
      <c r="D80" s="73"/>
      <c r="E80" s="51"/>
      <c r="F80" s="5"/>
      <c r="G80" s="5"/>
    </row>
    <row r="81" spans="1:7" ht="13">
      <c r="A81" s="48" t="s">
        <v>896</v>
      </c>
      <c r="B81" s="49" t="s">
        <v>5089</v>
      </c>
      <c r="C81" s="48" t="s">
        <v>4285</v>
      </c>
      <c r="D81" s="73"/>
      <c r="E81" s="5"/>
      <c r="F81" s="5"/>
      <c r="G81" s="5"/>
    </row>
    <row r="82" spans="1:7" ht="13">
      <c r="A82" s="48" t="s">
        <v>898</v>
      </c>
      <c r="B82" s="49" t="s">
        <v>336</v>
      </c>
      <c r="C82" s="48" t="s">
        <v>197</v>
      </c>
      <c r="D82" s="73"/>
      <c r="E82" s="5"/>
      <c r="F82" s="5"/>
      <c r="G82" s="5"/>
    </row>
    <row r="83" spans="1:7" ht="13">
      <c r="A83" s="48" t="s">
        <v>900</v>
      </c>
      <c r="B83" s="49" t="s">
        <v>3317</v>
      </c>
      <c r="C83" s="48" t="s">
        <v>197</v>
      </c>
      <c r="D83" s="73"/>
      <c r="E83" s="5"/>
      <c r="F83" s="5"/>
      <c r="G83" s="5"/>
    </row>
    <row r="84" spans="1:7" ht="13">
      <c r="A84" s="48" t="s">
        <v>902</v>
      </c>
      <c r="B84" s="49" t="s">
        <v>203</v>
      </c>
      <c r="C84" s="48" t="s">
        <v>197</v>
      </c>
      <c r="D84" s="48"/>
      <c r="E84" s="5"/>
      <c r="F84" s="5"/>
      <c r="G84" s="5"/>
    </row>
    <row r="85" spans="1:7" ht="13">
      <c r="A85" s="48" t="s">
        <v>904</v>
      </c>
      <c r="B85" s="49" t="s">
        <v>1278</v>
      </c>
      <c r="C85" s="48" t="s">
        <v>197</v>
      </c>
      <c r="D85" s="73"/>
      <c r="E85" s="5"/>
      <c r="F85" s="5"/>
      <c r="G85" s="5"/>
    </row>
    <row r="86" spans="1:7" ht="13">
      <c r="A86" s="48" t="s">
        <v>905</v>
      </c>
      <c r="B86" s="49" t="s">
        <v>1282</v>
      </c>
      <c r="C86" s="48" t="s">
        <v>197</v>
      </c>
      <c r="D86" s="48"/>
      <c r="E86" s="5"/>
      <c r="F86" s="5"/>
      <c r="G86" s="5"/>
    </row>
    <row r="87" spans="1:7" ht="13">
      <c r="A87" s="48" t="s">
        <v>907</v>
      </c>
      <c r="B87" s="49" t="s">
        <v>1230</v>
      </c>
      <c r="C87" s="48" t="s">
        <v>197</v>
      </c>
      <c r="D87" s="73"/>
      <c r="E87" s="5"/>
      <c r="F87" s="5"/>
      <c r="G87" s="5"/>
    </row>
    <row r="88" spans="1:7" ht="13">
      <c r="A88" s="48" t="s">
        <v>908</v>
      </c>
      <c r="B88" s="49" t="s">
        <v>4478</v>
      </c>
      <c r="C88" s="48" t="s">
        <v>197</v>
      </c>
      <c r="D88" s="73"/>
      <c r="E88" s="5"/>
      <c r="F88" s="5"/>
      <c r="G88" s="5"/>
    </row>
    <row r="89" spans="1:7" ht="13">
      <c r="A89" s="48" t="s">
        <v>909</v>
      </c>
      <c r="B89" s="49" t="s">
        <v>4480</v>
      </c>
      <c r="C89" s="48" t="s">
        <v>197</v>
      </c>
      <c r="D89" s="73"/>
      <c r="E89" s="5"/>
      <c r="F89" s="5"/>
      <c r="G89" s="5"/>
    </row>
    <row r="90" spans="1:7" ht="13">
      <c r="A90" s="48" t="s">
        <v>911</v>
      </c>
      <c r="B90" s="49" t="s">
        <v>4702</v>
      </c>
      <c r="C90" s="48" t="s">
        <v>197</v>
      </c>
      <c r="D90" s="73"/>
      <c r="E90" s="5"/>
      <c r="F90" s="5"/>
      <c r="G90" s="5"/>
    </row>
    <row r="91" spans="1:7" ht="13">
      <c r="A91" s="48" t="s">
        <v>913</v>
      </c>
      <c r="B91" s="49" t="s">
        <v>5088</v>
      </c>
      <c r="C91" s="48" t="s">
        <v>197</v>
      </c>
      <c r="D91" s="73"/>
      <c r="E91" s="5"/>
      <c r="F91" s="5"/>
      <c r="G91" s="5"/>
    </row>
    <row r="92" spans="1:7" ht="13">
      <c r="A92" s="48" t="s">
        <v>914</v>
      </c>
      <c r="B92" s="49" t="s">
        <v>5126</v>
      </c>
      <c r="C92" s="48" t="s">
        <v>1013</v>
      </c>
      <c r="D92" s="73"/>
      <c r="E92" s="5"/>
      <c r="F92" s="5"/>
      <c r="G92" s="5"/>
    </row>
    <row r="93" spans="1:7" ht="13">
      <c r="A93" s="48" t="s">
        <v>915</v>
      </c>
      <c r="B93" s="49" t="s">
        <v>1140</v>
      </c>
      <c r="C93" s="48" t="s">
        <v>4114</v>
      </c>
      <c r="D93" s="73"/>
      <c r="E93" s="5"/>
      <c r="F93" s="5"/>
      <c r="G93" s="5"/>
    </row>
    <row r="94" spans="1:7" ht="13">
      <c r="A94" s="48" t="s">
        <v>916</v>
      </c>
      <c r="B94" s="49" t="s">
        <v>5127</v>
      </c>
      <c r="C94" s="48" t="s">
        <v>229</v>
      </c>
      <c r="D94" s="48"/>
      <c r="E94" s="5"/>
      <c r="F94" s="5"/>
      <c r="G94" s="5"/>
    </row>
    <row r="95" spans="1:7" ht="13">
      <c r="A95" s="48" t="s">
        <v>917</v>
      </c>
      <c r="B95" s="49" t="s">
        <v>5128</v>
      </c>
      <c r="C95" s="48" t="s">
        <v>4114</v>
      </c>
      <c r="D95" s="73"/>
      <c r="E95" s="5"/>
      <c r="F95" s="5"/>
      <c r="G95" s="5"/>
    </row>
    <row r="96" spans="1:7" ht="13">
      <c r="A96" s="48" t="s">
        <v>918</v>
      </c>
      <c r="B96" s="49" t="s">
        <v>5129</v>
      </c>
      <c r="C96" s="48" t="s">
        <v>1013</v>
      </c>
      <c r="D96" s="47"/>
      <c r="E96" s="5"/>
      <c r="F96" s="5"/>
      <c r="G96" s="5"/>
    </row>
    <row r="97" spans="1:7" ht="13">
      <c r="A97" s="48" t="s">
        <v>919</v>
      </c>
      <c r="B97" s="49" t="s">
        <v>308</v>
      </c>
      <c r="C97" s="48" t="s">
        <v>4114</v>
      </c>
      <c r="D97" s="48"/>
      <c r="E97" s="5"/>
      <c r="F97" s="5"/>
      <c r="G97" s="5"/>
    </row>
    <row r="98" spans="1:7" ht="13">
      <c r="A98" s="48" t="s">
        <v>920</v>
      </c>
      <c r="B98" s="49" t="s">
        <v>5130</v>
      </c>
      <c r="C98" s="48" t="s">
        <v>4114</v>
      </c>
      <c r="D98" s="73"/>
      <c r="E98" s="5"/>
      <c r="F98" s="5"/>
      <c r="G98" s="5"/>
    </row>
    <row r="99" spans="1:7" ht="13">
      <c r="A99" s="48" t="s">
        <v>921</v>
      </c>
      <c r="B99" s="49" t="s">
        <v>5131</v>
      </c>
      <c r="C99" s="48" t="s">
        <v>1013</v>
      </c>
      <c r="D99" s="73"/>
      <c r="E99" s="5"/>
      <c r="F99" s="5"/>
      <c r="G99" s="5"/>
    </row>
    <row r="100" spans="1:7" ht="13">
      <c r="A100" s="48" t="s">
        <v>922</v>
      </c>
      <c r="B100" s="49" t="s">
        <v>309</v>
      </c>
      <c r="C100" s="48" t="s">
        <v>4114</v>
      </c>
      <c r="D100" s="73"/>
      <c r="E100" s="5"/>
      <c r="F100" s="5"/>
      <c r="G100" s="5"/>
    </row>
    <row r="101" spans="1:7" ht="13">
      <c r="A101" s="48" t="s">
        <v>923</v>
      </c>
      <c r="B101" s="49" t="s">
        <v>5132</v>
      </c>
      <c r="C101" s="48" t="s">
        <v>229</v>
      </c>
      <c r="D101" s="73"/>
      <c r="E101" s="5"/>
      <c r="F101" s="5"/>
      <c r="G101" s="5"/>
    </row>
    <row r="102" spans="1:7" ht="13">
      <c r="A102" s="48" t="s">
        <v>924</v>
      </c>
      <c r="B102" s="49" t="s">
        <v>5133</v>
      </c>
      <c r="C102" s="48" t="s">
        <v>4114</v>
      </c>
      <c r="D102" s="73"/>
      <c r="E102" s="5"/>
      <c r="F102" s="5"/>
      <c r="G102" s="5"/>
    </row>
    <row r="103" spans="1:7" ht="13">
      <c r="A103" s="48" t="s">
        <v>926</v>
      </c>
      <c r="B103" s="49" t="s">
        <v>5134</v>
      </c>
      <c r="C103" s="48" t="s">
        <v>4114</v>
      </c>
      <c r="D103" s="73"/>
      <c r="E103" s="5"/>
      <c r="F103" s="5"/>
      <c r="G103" s="5"/>
    </row>
    <row r="104" spans="1:7" ht="13">
      <c r="A104" s="48" t="s">
        <v>927</v>
      </c>
      <c r="B104" s="49" t="s">
        <v>925</v>
      </c>
      <c r="C104" s="48" t="s">
        <v>4114</v>
      </c>
      <c r="D104" s="73"/>
      <c r="E104" s="5"/>
      <c r="F104" s="5"/>
      <c r="G104" s="5"/>
    </row>
    <row r="105" spans="1:7" ht="13">
      <c r="A105" s="48" t="s">
        <v>928</v>
      </c>
      <c r="B105" s="49" t="s">
        <v>5135</v>
      </c>
      <c r="C105" s="48" t="s">
        <v>4114</v>
      </c>
      <c r="D105" s="73"/>
      <c r="E105" s="5"/>
      <c r="F105" s="5"/>
      <c r="G105" s="5"/>
    </row>
    <row r="106" spans="1:7" ht="13">
      <c r="A106" s="48" t="s">
        <v>929</v>
      </c>
      <c r="B106" s="49" t="s">
        <v>5136</v>
      </c>
      <c r="C106" s="48" t="s">
        <v>229</v>
      </c>
      <c r="D106" s="48"/>
      <c r="E106" s="5"/>
      <c r="F106" s="5"/>
      <c r="G106" s="5"/>
    </row>
    <row r="107" spans="1:7" ht="13">
      <c r="A107" s="48" t="s">
        <v>930</v>
      </c>
      <c r="B107" s="49" t="s">
        <v>5137</v>
      </c>
      <c r="C107" s="48" t="s">
        <v>317</v>
      </c>
      <c r="D107" s="47"/>
      <c r="E107" s="5"/>
      <c r="F107" s="5"/>
      <c r="G107" s="5"/>
    </row>
    <row r="108" spans="1:7" ht="13">
      <c r="A108" s="48" t="s">
        <v>932</v>
      </c>
      <c r="B108" s="49" t="s">
        <v>5138</v>
      </c>
      <c r="C108" s="48" t="s">
        <v>317</v>
      </c>
      <c r="D108" s="48"/>
      <c r="E108" s="51"/>
      <c r="F108" s="5"/>
      <c r="G108" s="5"/>
    </row>
    <row r="109" spans="1:7" ht="13">
      <c r="A109" s="48" t="s">
        <v>934</v>
      </c>
      <c r="B109" s="58" t="str">
        <f>HYPERLINK("https://bulbapedia.bulbagarden.net/wiki/Heracross-EX_(Furious_Fists_105)","HeracrossEX")</f>
        <v>HeracrossEX</v>
      </c>
      <c r="C109" s="48" t="s">
        <v>205</v>
      </c>
      <c r="D109" s="73"/>
      <c r="E109" s="5"/>
      <c r="F109" s="5"/>
      <c r="G109" s="5"/>
    </row>
    <row r="110" spans="1:7" ht="13">
      <c r="A110" s="48" t="s">
        <v>3759</v>
      </c>
      <c r="B110" s="58" t="str">
        <f>HYPERLINK("https://bulbapedia.bulbagarden.net/wiki/Seismitoad-EX_(Furious_Fists_106)","SeismitoadEX")</f>
        <v>SeismitoadEX</v>
      </c>
      <c r="C110" s="48" t="s">
        <v>208</v>
      </c>
      <c r="D110" s="73"/>
      <c r="E110" s="5"/>
      <c r="F110" s="5"/>
      <c r="G110" s="5"/>
    </row>
    <row r="111" spans="1:7" ht="13">
      <c r="A111" s="48" t="s">
        <v>3761</v>
      </c>
      <c r="B111" s="58" t="str">
        <f>HYPERLINK("https://bulbapedia.bulbagarden.net/wiki/Lucario-EX_(Furious_Fists_107)","LucarioEX")</f>
        <v>LucarioEX</v>
      </c>
      <c r="C111" s="48" t="s">
        <v>225</v>
      </c>
      <c r="D111" s="73"/>
      <c r="E111" s="5"/>
      <c r="F111" s="5"/>
      <c r="G111" s="5"/>
    </row>
    <row r="112" spans="1:7" ht="13">
      <c r="A112" s="48" t="s">
        <v>3763</v>
      </c>
      <c r="B112" s="58" t="str">
        <f>HYPERLINK("https://bulbapedia.bulbagarden.net/wiki/Dragonite-EX_(Furious_Fists_108)","DragoniteEX")</f>
        <v>DragoniteEX</v>
      </c>
      <c r="C112" s="48" t="s">
        <v>4285</v>
      </c>
      <c r="D112" s="73"/>
      <c r="E112" s="5"/>
      <c r="F112" s="5"/>
      <c r="G112" s="5"/>
    </row>
    <row r="113" spans="1:7" ht="13">
      <c r="A113" s="48" t="s">
        <v>3765</v>
      </c>
      <c r="B113" s="49" t="s">
        <v>5126</v>
      </c>
      <c r="C113" s="48" t="s">
        <v>1013</v>
      </c>
      <c r="D113" s="73"/>
      <c r="E113" s="5"/>
      <c r="F113" s="5"/>
      <c r="G113" s="5"/>
    </row>
    <row r="114" spans="1:7" ht="13">
      <c r="A114" s="48" t="s">
        <v>3767</v>
      </c>
      <c r="B114" s="49" t="s">
        <v>5129</v>
      </c>
      <c r="C114" s="48" t="s">
        <v>1013</v>
      </c>
      <c r="D114" s="73"/>
      <c r="E114" s="5"/>
      <c r="F114" s="5"/>
      <c r="G114" s="5"/>
    </row>
    <row r="115" spans="1:7" ht="13">
      <c r="A115" s="48" t="s">
        <v>3769</v>
      </c>
      <c r="B115" s="49" t="s">
        <v>5131</v>
      </c>
      <c r="C115" s="48" t="s">
        <v>1013</v>
      </c>
      <c r="D115" s="73"/>
      <c r="E115" s="5"/>
      <c r="F115" s="5"/>
      <c r="G115" s="5"/>
    </row>
    <row r="116" spans="1:7" ht="13">
      <c r="A116" s="48" t="s">
        <v>3771</v>
      </c>
      <c r="B116" s="58" t="str">
        <f>HYPERLINK("https://bulbapedia.bulbagarden.net/wiki/M_Heracross-EX_(Furious_Fists_112)","MHeracrossEX")</f>
        <v>MHeracrossEX</v>
      </c>
      <c r="C116" s="48" t="s">
        <v>205</v>
      </c>
      <c r="D116" s="73"/>
      <c r="E116" s="5"/>
      <c r="F116" s="5"/>
      <c r="G116" s="5"/>
    </row>
    <row r="117" spans="1:7" ht="13">
      <c r="A117" s="48" t="s">
        <v>3772</v>
      </c>
      <c r="B117" s="58" t="str">
        <f>HYPERLINK("https://bulbapedia.bulbagarden.net/wiki/M_Lucario-EX_(Furious_Fists_113)","MLucarioEX")</f>
        <v>MLucarioEX</v>
      </c>
      <c r="C117" s="48" t="s">
        <v>225</v>
      </c>
      <c r="D117" s="73"/>
      <c r="E117" s="5"/>
      <c r="F117" s="5"/>
      <c r="G117" s="5"/>
    </row>
    <row r="119" spans="1:7" ht="13">
      <c r="A119" s="64"/>
      <c r="B119" s="65"/>
      <c r="C119" s="64"/>
      <c r="D119" s="76"/>
      <c r="E119" s="5"/>
      <c r="F119" s="5"/>
      <c r="G119" s="5"/>
    </row>
    <row r="120" spans="1:7" ht="13">
      <c r="A120" s="64"/>
      <c r="B120" s="65"/>
      <c r="C120" s="64"/>
      <c r="D120" s="76"/>
      <c r="E120" s="5"/>
      <c r="F120" s="5"/>
      <c r="G120" s="5"/>
    </row>
    <row r="121" spans="1:7" ht="13">
      <c r="A121" s="64"/>
      <c r="B121" s="65"/>
      <c r="C121" s="64"/>
      <c r="D121" s="76"/>
      <c r="E121" s="5"/>
      <c r="F121" s="5"/>
      <c r="G121" s="5"/>
    </row>
    <row r="122" spans="1:7" ht="13">
      <c r="A122" s="64"/>
      <c r="B122" s="68"/>
      <c r="C122" s="64"/>
      <c r="D122" s="76"/>
      <c r="E122" s="5"/>
      <c r="F122" s="5"/>
      <c r="G122" s="5"/>
    </row>
    <row r="123" spans="1:7" ht="13">
      <c r="A123" s="64"/>
      <c r="B123" s="68"/>
      <c r="C123" s="64"/>
      <c r="D123" s="76"/>
      <c r="E123" s="5"/>
      <c r="F123" s="5"/>
      <c r="G123" s="5"/>
    </row>
    <row r="124" spans="1:7" ht="13">
      <c r="A124" s="64"/>
      <c r="B124" s="68"/>
      <c r="C124" s="64"/>
      <c r="D124" s="76"/>
      <c r="E124" s="5"/>
      <c r="F124" s="5"/>
      <c r="G124" s="5"/>
    </row>
    <row r="125" spans="1:7" ht="13">
      <c r="A125" s="64"/>
      <c r="B125" s="67"/>
      <c r="C125" s="64"/>
      <c r="D125" s="76"/>
      <c r="E125" s="5"/>
      <c r="F125" s="5"/>
      <c r="G125" s="5"/>
    </row>
    <row r="126" spans="1:7" ht="13">
      <c r="A126" s="64"/>
      <c r="B126" s="67"/>
      <c r="C126" s="64"/>
      <c r="D126" s="76"/>
      <c r="E126" s="5"/>
      <c r="F126" s="5"/>
      <c r="G126" s="5"/>
    </row>
    <row r="127" spans="1:7" ht="13">
      <c r="A127" s="64"/>
      <c r="B127" s="65"/>
      <c r="C127" s="64"/>
      <c r="D127" s="76"/>
      <c r="E127" s="5"/>
      <c r="F127" s="5"/>
      <c r="G127" s="5"/>
    </row>
    <row r="128" spans="1:7" ht="13">
      <c r="A128" s="64"/>
      <c r="B128" s="68"/>
      <c r="C128" s="64"/>
      <c r="D128" s="76"/>
      <c r="E128" s="5"/>
      <c r="F128" s="5"/>
      <c r="G128" s="5"/>
    </row>
    <row r="129" spans="1:7" ht="13">
      <c r="A129" s="64"/>
      <c r="B129" s="68"/>
      <c r="C129" s="64"/>
      <c r="D129" s="76"/>
      <c r="E129" s="5"/>
      <c r="F129" s="5"/>
      <c r="G129" s="5"/>
    </row>
    <row r="130" spans="1:7" ht="13">
      <c r="A130" s="64"/>
      <c r="B130" s="68"/>
      <c r="C130" s="64"/>
      <c r="D130" s="66"/>
      <c r="E130" s="5"/>
      <c r="F130" s="5"/>
      <c r="G130" s="5"/>
    </row>
    <row r="131" spans="1:7" ht="13">
      <c r="A131" s="64"/>
      <c r="B131" s="68"/>
      <c r="C131" s="64"/>
      <c r="D131" s="66"/>
      <c r="E131" s="5"/>
      <c r="F131" s="5"/>
      <c r="G131" s="5"/>
    </row>
    <row r="132" spans="1:7" ht="13">
      <c r="A132" s="64"/>
      <c r="B132" s="68"/>
      <c r="C132" s="64"/>
      <c r="D132" s="76"/>
      <c r="E132" s="5"/>
      <c r="F132" s="5"/>
      <c r="G132" s="5"/>
    </row>
    <row r="133" spans="1:7" ht="13">
      <c r="A133" s="64"/>
      <c r="B133" s="68"/>
      <c r="C133" s="64"/>
      <c r="D133" s="76"/>
      <c r="E133" s="5"/>
      <c r="F133" s="5"/>
      <c r="G133" s="5"/>
    </row>
    <row r="134" spans="1:7" ht="13">
      <c r="A134" s="64"/>
      <c r="B134" s="68"/>
      <c r="C134" s="64"/>
      <c r="D134" s="66"/>
      <c r="E134" s="5"/>
      <c r="F134" s="5"/>
      <c r="G134" s="5"/>
    </row>
    <row r="135" spans="1:7" ht="13">
      <c r="A135" s="64"/>
      <c r="B135" s="68"/>
      <c r="C135" s="64"/>
      <c r="D135" s="66"/>
      <c r="E135" s="5"/>
      <c r="F135" s="5"/>
      <c r="G135" s="5"/>
    </row>
    <row r="136" spans="1:7" ht="13">
      <c r="A136" s="64"/>
      <c r="B136" s="68"/>
      <c r="C136" s="64"/>
      <c r="D136" s="66"/>
      <c r="E136" s="5"/>
      <c r="F136" s="5"/>
      <c r="G136" s="5"/>
    </row>
    <row r="137" spans="1:7" ht="13">
      <c r="A137" s="64"/>
      <c r="B137" s="68"/>
      <c r="C137" s="64"/>
      <c r="D137" s="66"/>
      <c r="E137" s="5"/>
      <c r="F137" s="5"/>
      <c r="G137" s="5"/>
    </row>
    <row r="138" spans="1:7" ht="13">
      <c r="A138" s="64"/>
      <c r="B138" s="68"/>
      <c r="C138" s="64"/>
      <c r="D138" s="66"/>
      <c r="E138" s="5"/>
      <c r="F138" s="5"/>
      <c r="G138" s="5"/>
    </row>
    <row r="139" spans="1:7" ht="13">
      <c r="A139" s="64"/>
      <c r="B139" s="68"/>
      <c r="C139" s="64"/>
      <c r="D139" s="66"/>
      <c r="E139" s="5"/>
      <c r="F139" s="5"/>
      <c r="G139" s="5"/>
    </row>
    <row r="140" spans="1:7" ht="13">
      <c r="A140" s="64"/>
      <c r="B140" s="68"/>
      <c r="C140" s="64"/>
      <c r="D140" s="66"/>
      <c r="E140" s="5"/>
      <c r="F140" s="5"/>
      <c r="G140" s="5"/>
    </row>
    <row r="141" spans="1:7" ht="13">
      <c r="A141" s="64"/>
      <c r="B141" s="68"/>
      <c r="C141" s="64"/>
      <c r="D141" s="66"/>
      <c r="E141" s="5"/>
      <c r="F141" s="5"/>
      <c r="G141" s="5"/>
    </row>
    <row r="142" spans="1:7" ht="13">
      <c r="A142" s="64"/>
      <c r="B142" s="68"/>
      <c r="C142" s="64"/>
      <c r="D142" s="66"/>
      <c r="E142" s="5"/>
      <c r="F142" s="5"/>
      <c r="G142" s="5"/>
    </row>
    <row r="143" spans="1:7" ht="13">
      <c r="A143" s="64"/>
      <c r="B143" s="68"/>
      <c r="C143" s="64"/>
      <c r="D143" s="66"/>
      <c r="E143" s="5"/>
      <c r="F143" s="5"/>
      <c r="G143" s="5"/>
    </row>
    <row r="144" spans="1:7" ht="13">
      <c r="A144" s="64"/>
      <c r="B144" s="68"/>
      <c r="C144" s="64"/>
      <c r="D144" s="66"/>
      <c r="E144" s="5"/>
      <c r="F144" s="5"/>
      <c r="G144" s="5"/>
    </row>
    <row r="145" spans="1:7" ht="13">
      <c r="A145" s="64"/>
      <c r="B145" s="68"/>
      <c r="C145" s="64"/>
      <c r="D145" s="66"/>
      <c r="E145" s="5"/>
      <c r="F145" s="5"/>
      <c r="G145" s="5"/>
    </row>
    <row r="146" spans="1:7" ht="13">
      <c r="A146" s="64"/>
      <c r="B146" s="68"/>
      <c r="C146" s="64"/>
      <c r="D146" s="66"/>
      <c r="E146" s="5"/>
      <c r="F146" s="5"/>
      <c r="G146" s="5"/>
    </row>
    <row r="147" spans="1:7" ht="13">
      <c r="A147" s="64"/>
      <c r="B147" s="68"/>
      <c r="C147" s="64"/>
      <c r="D147" s="66"/>
      <c r="E147" s="5"/>
      <c r="F147" s="5"/>
      <c r="G147" s="5"/>
    </row>
    <row r="148" spans="1:7" ht="13">
      <c r="A148" s="64"/>
      <c r="B148" s="68"/>
      <c r="C148" s="64"/>
      <c r="D148" s="66"/>
      <c r="E148" s="5"/>
      <c r="F148" s="5"/>
      <c r="G148" s="5"/>
    </row>
    <row r="149" spans="1:7" ht="13">
      <c r="A149" s="64"/>
      <c r="B149" s="68"/>
      <c r="C149" s="64"/>
      <c r="D149" s="66"/>
      <c r="E149" s="5"/>
      <c r="F149" s="5"/>
      <c r="G149" s="5"/>
    </row>
    <row r="150" spans="1:7" ht="13">
      <c r="A150" s="64"/>
      <c r="B150" s="65"/>
      <c r="C150" s="64"/>
      <c r="D150" s="66"/>
      <c r="E150" s="5"/>
      <c r="F150" s="5"/>
      <c r="G150" s="5"/>
    </row>
    <row r="151" spans="1:7" ht="13">
      <c r="A151" s="64"/>
      <c r="B151" s="65"/>
      <c r="C151" s="64"/>
      <c r="D151" s="66"/>
      <c r="E151" s="5"/>
      <c r="F151" s="5"/>
      <c r="G151" s="5"/>
    </row>
    <row r="152" spans="1:7" ht="13">
      <c r="A152" s="64"/>
      <c r="B152" s="65"/>
      <c r="C152" s="64"/>
      <c r="D152" s="66"/>
      <c r="E152" s="5"/>
      <c r="F152" s="5"/>
      <c r="G152" s="5"/>
    </row>
    <row r="153" spans="1:7" ht="13">
      <c r="A153" s="64"/>
      <c r="B153" s="65"/>
      <c r="C153" s="64"/>
      <c r="D153" s="66"/>
      <c r="E153" s="5"/>
      <c r="F153" s="5"/>
      <c r="G153" s="5"/>
    </row>
    <row r="154" spans="1:7" ht="13">
      <c r="A154" s="64"/>
      <c r="B154" s="65"/>
      <c r="C154" s="64"/>
      <c r="D154" s="66"/>
      <c r="E154" s="5"/>
      <c r="F154" s="5"/>
      <c r="G154" s="5"/>
    </row>
    <row r="155" spans="1:7" ht="13">
      <c r="A155" s="64"/>
      <c r="B155" s="65"/>
      <c r="C155" s="64"/>
      <c r="D155" s="66"/>
      <c r="E155" s="5"/>
      <c r="F155" s="5"/>
      <c r="G155" s="5"/>
    </row>
    <row r="156" spans="1:7" ht="13">
      <c r="A156" s="64"/>
      <c r="B156" s="65"/>
      <c r="C156" s="64"/>
      <c r="D156" s="66"/>
      <c r="E156" s="5"/>
      <c r="F156" s="5"/>
      <c r="G156" s="5"/>
    </row>
    <row r="157" spans="1:7" ht="13">
      <c r="A157" s="64"/>
      <c r="B157" s="65"/>
      <c r="C157" s="64"/>
      <c r="D157" s="66"/>
      <c r="E157" s="5"/>
      <c r="F157" s="5"/>
      <c r="G157" s="5"/>
    </row>
    <row r="158" spans="1:7" ht="13">
      <c r="A158" s="64"/>
      <c r="B158" s="65"/>
      <c r="C158" s="64"/>
      <c r="D158" s="66"/>
      <c r="E158" s="5"/>
      <c r="F158" s="5"/>
      <c r="G158" s="5"/>
    </row>
    <row r="159" spans="1:7" ht="13">
      <c r="A159" s="64"/>
      <c r="B159" s="67"/>
      <c r="C159" s="64"/>
      <c r="D159" s="66"/>
      <c r="E159" s="5"/>
      <c r="F159" s="5"/>
      <c r="G159" s="5"/>
    </row>
    <row r="160" spans="1:7" ht="13">
      <c r="A160" s="64"/>
      <c r="B160" s="65"/>
      <c r="C160" s="64"/>
      <c r="D160" s="66"/>
      <c r="E160" s="5"/>
      <c r="F160" s="5"/>
      <c r="G160" s="5"/>
    </row>
    <row r="161" spans="1:7" ht="13">
      <c r="A161" s="64"/>
      <c r="B161" s="67"/>
      <c r="C161" s="64"/>
      <c r="D161" s="66"/>
      <c r="E161" s="5"/>
      <c r="F161" s="5"/>
      <c r="G161" s="5"/>
    </row>
    <row r="162" spans="1:7" ht="13">
      <c r="A162" s="64"/>
      <c r="B162" s="68"/>
      <c r="C162" s="64"/>
      <c r="D162" s="66"/>
      <c r="E162" s="5"/>
      <c r="F162" s="5"/>
      <c r="G162" s="5"/>
    </row>
    <row r="163" spans="1:7" ht="13">
      <c r="A163" s="64"/>
      <c r="B163" s="68"/>
      <c r="C163" s="64"/>
      <c r="D163" s="66"/>
      <c r="E163" s="5"/>
      <c r="F163" s="5"/>
      <c r="G163" s="5"/>
    </row>
    <row r="164" spans="1:7" ht="13">
      <c r="A164" s="64"/>
      <c r="B164" s="68"/>
      <c r="C164" s="64"/>
      <c r="D164" s="66"/>
      <c r="E164" s="5"/>
      <c r="F164" s="5"/>
      <c r="G164" s="5"/>
    </row>
    <row r="165" spans="1:7" ht="13">
      <c r="A165" s="64"/>
      <c r="B165" s="68"/>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8"/>
      <c r="C168" s="64"/>
      <c r="D168" s="66"/>
      <c r="E168" s="5"/>
      <c r="F168" s="5"/>
      <c r="G168" s="5"/>
    </row>
    <row r="169" spans="1:7" ht="13">
      <c r="A169" s="64"/>
      <c r="B169" s="68"/>
      <c r="C169" s="64"/>
      <c r="D169" s="66"/>
      <c r="E169" s="5"/>
      <c r="F169" s="5"/>
      <c r="G169"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5" r:id="rId1" xr:uid="{00000000-0004-0000-4600-000000000000}"/>
    <hyperlink ref="B6" r:id="rId2" xr:uid="{00000000-0004-0000-4600-000001000000}"/>
    <hyperlink ref="B7" r:id="rId3" xr:uid="{00000000-0004-0000-4600-000002000000}"/>
    <hyperlink ref="B10" r:id="rId4" xr:uid="{00000000-0004-0000-4600-000003000000}"/>
    <hyperlink ref="B11" r:id="rId5" xr:uid="{00000000-0004-0000-4600-000004000000}"/>
    <hyperlink ref="B12" r:id="rId6" xr:uid="{00000000-0004-0000-4600-000005000000}"/>
    <hyperlink ref="B13" r:id="rId7" xr:uid="{00000000-0004-0000-4600-000006000000}"/>
    <hyperlink ref="B14" r:id="rId8" xr:uid="{00000000-0004-0000-4600-000007000000}"/>
    <hyperlink ref="B15" r:id="rId9" xr:uid="{00000000-0004-0000-4600-000008000000}"/>
    <hyperlink ref="B16" r:id="rId10" xr:uid="{00000000-0004-0000-4600-000009000000}"/>
    <hyperlink ref="B17" r:id="rId11" xr:uid="{00000000-0004-0000-4600-00000A000000}"/>
    <hyperlink ref="B18" r:id="rId12" xr:uid="{00000000-0004-0000-4600-00000B000000}"/>
    <hyperlink ref="B19" r:id="rId13" xr:uid="{00000000-0004-0000-4600-00000C000000}"/>
    <hyperlink ref="B20" r:id="rId14" xr:uid="{00000000-0004-0000-4600-00000D000000}"/>
    <hyperlink ref="B21" r:id="rId15" xr:uid="{00000000-0004-0000-4600-00000E000000}"/>
    <hyperlink ref="B22" r:id="rId16" xr:uid="{00000000-0004-0000-4600-00000F000000}"/>
    <hyperlink ref="B23" r:id="rId17" xr:uid="{00000000-0004-0000-4600-000010000000}"/>
    <hyperlink ref="B25" r:id="rId18" xr:uid="{00000000-0004-0000-4600-000011000000}"/>
    <hyperlink ref="B26" r:id="rId19" xr:uid="{00000000-0004-0000-4600-000012000000}"/>
    <hyperlink ref="B27" r:id="rId20" xr:uid="{00000000-0004-0000-4600-000013000000}"/>
    <hyperlink ref="B28" r:id="rId21" xr:uid="{00000000-0004-0000-4600-000014000000}"/>
    <hyperlink ref="B29" r:id="rId22" xr:uid="{00000000-0004-0000-4600-000015000000}"/>
    <hyperlink ref="B30" r:id="rId23" xr:uid="{00000000-0004-0000-4600-000016000000}"/>
    <hyperlink ref="B31" r:id="rId24" xr:uid="{00000000-0004-0000-4600-000017000000}"/>
    <hyperlink ref="B32" r:id="rId25" xr:uid="{00000000-0004-0000-4600-000018000000}"/>
    <hyperlink ref="B33" r:id="rId26" xr:uid="{00000000-0004-0000-4600-000019000000}"/>
    <hyperlink ref="B34" r:id="rId27" xr:uid="{00000000-0004-0000-4600-00001A000000}"/>
    <hyperlink ref="B35" r:id="rId28" xr:uid="{00000000-0004-0000-4600-00001B000000}"/>
    <hyperlink ref="B36" r:id="rId29" xr:uid="{00000000-0004-0000-4600-00001C000000}"/>
    <hyperlink ref="B37" r:id="rId30" xr:uid="{00000000-0004-0000-4600-00001D000000}"/>
    <hyperlink ref="B38" r:id="rId31" xr:uid="{00000000-0004-0000-4600-00001E000000}"/>
    <hyperlink ref="B39" r:id="rId32" xr:uid="{00000000-0004-0000-4600-00001F000000}"/>
    <hyperlink ref="B40" r:id="rId33" xr:uid="{00000000-0004-0000-4600-000020000000}"/>
    <hyperlink ref="B41" r:id="rId34" xr:uid="{00000000-0004-0000-4600-000021000000}"/>
    <hyperlink ref="B42" r:id="rId35" xr:uid="{00000000-0004-0000-4600-000022000000}"/>
    <hyperlink ref="B43" r:id="rId36" xr:uid="{00000000-0004-0000-4600-000023000000}"/>
    <hyperlink ref="B44" r:id="rId37" xr:uid="{00000000-0004-0000-4600-000024000000}"/>
    <hyperlink ref="B45" r:id="rId38" xr:uid="{00000000-0004-0000-4600-000025000000}"/>
    <hyperlink ref="B46" r:id="rId39" xr:uid="{00000000-0004-0000-4600-000026000000}"/>
    <hyperlink ref="B47" r:id="rId40" xr:uid="{00000000-0004-0000-4600-000027000000}"/>
    <hyperlink ref="B48" r:id="rId41" xr:uid="{00000000-0004-0000-4600-000028000000}"/>
    <hyperlink ref="B49" r:id="rId42" xr:uid="{00000000-0004-0000-4600-000029000000}"/>
    <hyperlink ref="B50" r:id="rId43" xr:uid="{00000000-0004-0000-4600-00002A000000}"/>
    <hyperlink ref="B51" r:id="rId44" xr:uid="{00000000-0004-0000-4600-00002B000000}"/>
    <hyperlink ref="B52" r:id="rId45" xr:uid="{00000000-0004-0000-4600-00002C000000}"/>
    <hyperlink ref="B53" r:id="rId46" xr:uid="{00000000-0004-0000-4600-00002D000000}"/>
    <hyperlink ref="B54" r:id="rId47" xr:uid="{00000000-0004-0000-4600-00002E000000}"/>
    <hyperlink ref="B55" r:id="rId48" xr:uid="{00000000-0004-0000-4600-00002F000000}"/>
    <hyperlink ref="B56" r:id="rId49" xr:uid="{00000000-0004-0000-4600-000030000000}"/>
    <hyperlink ref="B57" r:id="rId50" xr:uid="{00000000-0004-0000-4600-000031000000}"/>
    <hyperlink ref="B60" r:id="rId51" xr:uid="{00000000-0004-0000-4600-000032000000}"/>
    <hyperlink ref="B61" r:id="rId52" xr:uid="{00000000-0004-0000-4600-000033000000}"/>
    <hyperlink ref="B62" r:id="rId53" xr:uid="{00000000-0004-0000-4600-000034000000}"/>
    <hyperlink ref="B63" r:id="rId54" xr:uid="{00000000-0004-0000-4600-000035000000}"/>
    <hyperlink ref="B64" r:id="rId55" xr:uid="{00000000-0004-0000-4600-000036000000}"/>
    <hyperlink ref="B65" r:id="rId56" xr:uid="{00000000-0004-0000-4600-000037000000}"/>
    <hyperlink ref="B66" r:id="rId57" xr:uid="{00000000-0004-0000-4600-000038000000}"/>
    <hyperlink ref="B67" r:id="rId58" xr:uid="{00000000-0004-0000-4600-000039000000}"/>
    <hyperlink ref="B69" r:id="rId59" xr:uid="{00000000-0004-0000-4600-00003A000000}"/>
    <hyperlink ref="B70" r:id="rId60" xr:uid="{00000000-0004-0000-4600-00003B000000}"/>
    <hyperlink ref="B71" r:id="rId61" xr:uid="{00000000-0004-0000-4600-00003C000000}"/>
    <hyperlink ref="B72" r:id="rId62" xr:uid="{00000000-0004-0000-4600-00003D000000}"/>
    <hyperlink ref="B73" r:id="rId63" xr:uid="{00000000-0004-0000-4600-00003E000000}"/>
    <hyperlink ref="B74" r:id="rId64" xr:uid="{00000000-0004-0000-4600-00003F000000}"/>
    <hyperlink ref="B75" r:id="rId65" xr:uid="{00000000-0004-0000-4600-000040000000}"/>
    <hyperlink ref="B76" r:id="rId66" xr:uid="{00000000-0004-0000-4600-000041000000}"/>
    <hyperlink ref="B77" r:id="rId67" xr:uid="{00000000-0004-0000-4600-000042000000}"/>
    <hyperlink ref="B79" r:id="rId68" xr:uid="{00000000-0004-0000-4600-000043000000}"/>
    <hyperlink ref="B80" r:id="rId69" xr:uid="{00000000-0004-0000-4600-000044000000}"/>
    <hyperlink ref="B81" r:id="rId70" xr:uid="{00000000-0004-0000-4600-000045000000}"/>
    <hyperlink ref="B82" r:id="rId71" xr:uid="{00000000-0004-0000-4600-000046000000}"/>
    <hyperlink ref="B83" r:id="rId72" xr:uid="{00000000-0004-0000-4600-000047000000}"/>
    <hyperlink ref="B84" r:id="rId73" xr:uid="{00000000-0004-0000-4600-000048000000}"/>
    <hyperlink ref="B85" r:id="rId74" xr:uid="{00000000-0004-0000-4600-000049000000}"/>
    <hyperlink ref="B86" r:id="rId75" xr:uid="{00000000-0004-0000-4600-00004A000000}"/>
    <hyperlink ref="B87" r:id="rId76" xr:uid="{00000000-0004-0000-4600-00004B000000}"/>
    <hyperlink ref="B88" r:id="rId77" xr:uid="{00000000-0004-0000-4600-00004C000000}"/>
    <hyperlink ref="B89" r:id="rId78" xr:uid="{00000000-0004-0000-4600-00004D000000}"/>
    <hyperlink ref="B90" r:id="rId79" xr:uid="{00000000-0004-0000-4600-00004E000000}"/>
    <hyperlink ref="B91" r:id="rId80" xr:uid="{00000000-0004-0000-4600-00004F000000}"/>
    <hyperlink ref="B92" r:id="rId81" xr:uid="{00000000-0004-0000-4600-000050000000}"/>
    <hyperlink ref="B93" r:id="rId82" xr:uid="{00000000-0004-0000-4600-000051000000}"/>
    <hyperlink ref="B94" r:id="rId83" xr:uid="{00000000-0004-0000-4600-000052000000}"/>
    <hyperlink ref="B95" r:id="rId84" xr:uid="{00000000-0004-0000-4600-000053000000}"/>
    <hyperlink ref="B96" r:id="rId85" xr:uid="{00000000-0004-0000-4600-000054000000}"/>
    <hyperlink ref="B97" r:id="rId86" xr:uid="{00000000-0004-0000-4600-000055000000}"/>
    <hyperlink ref="B98" r:id="rId87" xr:uid="{00000000-0004-0000-4600-000056000000}"/>
    <hyperlink ref="B99" r:id="rId88" xr:uid="{00000000-0004-0000-4600-000057000000}"/>
    <hyperlink ref="B100" r:id="rId89" xr:uid="{00000000-0004-0000-4600-000058000000}"/>
    <hyperlink ref="B101" r:id="rId90" xr:uid="{00000000-0004-0000-4600-000059000000}"/>
    <hyperlink ref="B102" r:id="rId91" xr:uid="{00000000-0004-0000-4600-00005A000000}"/>
    <hyperlink ref="B103" r:id="rId92" xr:uid="{00000000-0004-0000-4600-00005B000000}"/>
    <hyperlink ref="B104" r:id="rId93" xr:uid="{00000000-0004-0000-4600-00005C000000}"/>
    <hyperlink ref="B105" r:id="rId94" xr:uid="{00000000-0004-0000-4600-00005D000000}"/>
    <hyperlink ref="B106" r:id="rId95" xr:uid="{00000000-0004-0000-4600-00005E000000}"/>
    <hyperlink ref="B107" r:id="rId96" xr:uid="{00000000-0004-0000-4600-00005F000000}"/>
    <hyperlink ref="B108" r:id="rId97" xr:uid="{00000000-0004-0000-4600-000060000000}"/>
    <hyperlink ref="B113" r:id="rId98" xr:uid="{00000000-0004-0000-4600-000061000000}"/>
    <hyperlink ref="B114" r:id="rId99" xr:uid="{00000000-0004-0000-4600-000062000000}"/>
    <hyperlink ref="B115" r:id="rId100" xr:uid="{00000000-0004-0000-4600-000063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2">
    <outlinePr summaryBelow="0" summaryRight="0"/>
  </sheetPr>
  <dimension ref="A1:I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 customWidth="1"/>
    <col min="3" max="3" width="13.5" customWidth="1"/>
    <col min="4" max="4" width="14.83203125" customWidth="1"/>
    <col min="5" max="5" width="14.33203125" customWidth="1"/>
  </cols>
  <sheetData>
    <row r="1" spans="1:9" ht="15.75" customHeight="1">
      <c r="A1" s="1" t="s">
        <v>104</v>
      </c>
      <c r="B1" s="36"/>
      <c r="C1" s="37"/>
      <c r="D1" s="7" t="s">
        <v>181</v>
      </c>
      <c r="E1" s="5"/>
      <c r="F1" s="5"/>
      <c r="G1" s="5"/>
    </row>
    <row r="2" spans="1:9" ht="15.75" customHeight="1">
      <c r="A2" s="7" t="s">
        <v>182</v>
      </c>
      <c r="B2" s="38">
        <v>41948</v>
      </c>
      <c r="C2" s="37"/>
      <c r="D2" s="39">
        <f>SUM(D5:G126)</f>
        <v>0</v>
      </c>
      <c r="E2" s="5"/>
      <c r="F2" s="5"/>
      <c r="G2" s="5"/>
    </row>
    <row r="3" spans="1:9" ht="15.75" customHeight="1">
      <c r="B3" s="41"/>
      <c r="C3" s="37"/>
      <c r="D3" s="5"/>
      <c r="E3" s="5"/>
      <c r="F3" s="5"/>
      <c r="G3" s="5"/>
    </row>
    <row r="4" spans="1:9" ht="15.75" customHeight="1">
      <c r="A4" s="42" t="s">
        <v>183</v>
      </c>
      <c r="B4" s="43" t="s">
        <v>184</v>
      </c>
      <c r="C4" s="43" t="s">
        <v>185</v>
      </c>
      <c r="D4" s="42" t="s">
        <v>186</v>
      </c>
      <c r="E4" s="44" t="s">
        <v>187</v>
      </c>
      <c r="F4" s="44" t="s">
        <v>188</v>
      </c>
      <c r="G4" s="44" t="s">
        <v>189</v>
      </c>
      <c r="H4" s="44" t="s">
        <v>190</v>
      </c>
      <c r="I4" s="44"/>
    </row>
    <row r="5" spans="1:9" ht="15.75" customHeight="1">
      <c r="A5" s="64" t="s">
        <v>5139</v>
      </c>
      <c r="B5" s="77" t="s">
        <v>356</v>
      </c>
      <c r="C5" s="64" t="s">
        <v>205</v>
      </c>
      <c r="D5" s="51"/>
      <c r="E5" s="5"/>
      <c r="F5" s="5"/>
      <c r="G5" s="5"/>
    </row>
    <row r="6" spans="1:9" ht="15.75" customHeight="1">
      <c r="A6" s="64" t="s">
        <v>5140</v>
      </c>
      <c r="B6" s="77" t="s">
        <v>327</v>
      </c>
      <c r="C6" s="64" t="s">
        <v>205</v>
      </c>
      <c r="D6" s="76"/>
      <c r="E6" s="5"/>
      <c r="F6" s="5"/>
      <c r="G6" s="5"/>
    </row>
    <row r="7" spans="1:9" ht="15.75" customHeight="1">
      <c r="A7" s="64" t="s">
        <v>5141</v>
      </c>
      <c r="B7" s="77" t="s">
        <v>946</v>
      </c>
      <c r="C7" s="64" t="s">
        <v>205</v>
      </c>
      <c r="D7" s="72"/>
      <c r="E7" s="5"/>
      <c r="F7" s="5"/>
      <c r="G7" s="5"/>
    </row>
    <row r="8" spans="1:9" ht="15.75" customHeight="1">
      <c r="A8" s="64" t="s">
        <v>5142</v>
      </c>
      <c r="B8" s="77" t="s">
        <v>3392</v>
      </c>
      <c r="C8" s="64" t="s">
        <v>205</v>
      </c>
      <c r="D8" s="72"/>
      <c r="E8" s="5"/>
      <c r="F8" s="5"/>
      <c r="G8" s="5"/>
    </row>
    <row r="9" spans="1:9" ht="15.75" customHeight="1">
      <c r="A9" s="64" t="s">
        <v>5143</v>
      </c>
      <c r="B9" s="77" t="s">
        <v>4040</v>
      </c>
      <c r="C9" s="64" t="s">
        <v>205</v>
      </c>
      <c r="D9" s="76"/>
      <c r="E9" s="5"/>
      <c r="F9" s="5"/>
      <c r="G9" s="5"/>
    </row>
    <row r="10" spans="1:9" ht="15.75" customHeight="1">
      <c r="A10" s="64" t="s">
        <v>5144</v>
      </c>
      <c r="B10" s="77" t="s">
        <v>4041</v>
      </c>
      <c r="C10" s="64" t="s">
        <v>205</v>
      </c>
      <c r="D10" s="72"/>
      <c r="E10" s="5"/>
      <c r="F10" s="5"/>
      <c r="G10" s="5"/>
    </row>
    <row r="11" spans="1:9" ht="15.75" customHeight="1">
      <c r="A11" s="64" t="s">
        <v>5145</v>
      </c>
      <c r="B11" s="77" t="s">
        <v>4042</v>
      </c>
      <c r="C11" s="64" t="s">
        <v>205</v>
      </c>
      <c r="D11" s="76"/>
      <c r="E11" s="5"/>
      <c r="F11" s="5"/>
      <c r="G11" s="5"/>
    </row>
    <row r="12" spans="1:9" ht="15.75" customHeight="1">
      <c r="A12" s="64" t="s">
        <v>5146</v>
      </c>
      <c r="B12" s="77" t="s">
        <v>4047</v>
      </c>
      <c r="C12" s="64" t="s">
        <v>205</v>
      </c>
      <c r="D12" s="72"/>
      <c r="E12" s="5"/>
      <c r="F12" s="5"/>
      <c r="G12" s="5"/>
    </row>
    <row r="13" spans="1:9" ht="15.75" customHeight="1">
      <c r="A13" s="64" t="s">
        <v>5147</v>
      </c>
      <c r="B13" s="77" t="s">
        <v>5040</v>
      </c>
      <c r="C13" s="64" t="s">
        <v>199</v>
      </c>
      <c r="D13" s="72"/>
      <c r="E13" s="51"/>
      <c r="F13" s="5"/>
      <c r="G13" s="5"/>
    </row>
    <row r="14" spans="1:9" ht="15.75" customHeight="1">
      <c r="A14" s="64" t="s">
        <v>5148</v>
      </c>
      <c r="B14" s="77" t="s">
        <v>5041</v>
      </c>
      <c r="C14" s="64" t="s">
        <v>199</v>
      </c>
      <c r="D14" s="72"/>
      <c r="E14" s="5"/>
      <c r="F14" s="5"/>
      <c r="G14" s="5"/>
    </row>
    <row r="15" spans="1:9" ht="15.75" customHeight="1">
      <c r="A15" s="64" t="s">
        <v>5149</v>
      </c>
      <c r="B15" s="77" t="s">
        <v>5090</v>
      </c>
      <c r="C15" s="64" t="s">
        <v>199</v>
      </c>
      <c r="D15" s="72"/>
      <c r="E15" s="5"/>
      <c r="F15" s="5"/>
      <c r="G15" s="5"/>
    </row>
    <row r="16" spans="1:9" ht="15.75" customHeight="1">
      <c r="A16" s="64" t="s">
        <v>5150</v>
      </c>
      <c r="B16" s="77" t="s">
        <v>4774</v>
      </c>
      <c r="C16" s="64" t="s">
        <v>199</v>
      </c>
      <c r="D16" s="72"/>
      <c r="E16" s="5"/>
      <c r="F16" s="5"/>
      <c r="G16" s="5"/>
    </row>
    <row r="17" spans="1:7" ht="15.75" customHeight="1">
      <c r="A17" s="64" t="s">
        <v>5151</v>
      </c>
      <c r="B17" s="77" t="s">
        <v>384</v>
      </c>
      <c r="C17" s="64" t="s">
        <v>208</v>
      </c>
      <c r="D17" s="72"/>
      <c r="E17" s="5"/>
      <c r="F17" s="5"/>
      <c r="G17" s="5"/>
    </row>
    <row r="18" spans="1:7" ht="15.75" customHeight="1">
      <c r="A18" s="64" t="s">
        <v>5152</v>
      </c>
      <c r="B18" s="77" t="s">
        <v>372</v>
      </c>
      <c r="C18" s="64" t="s">
        <v>208</v>
      </c>
      <c r="D18" s="76"/>
      <c r="E18" s="5"/>
      <c r="F18" s="5"/>
      <c r="G18" s="5"/>
    </row>
    <row r="19" spans="1:7" ht="15.75" customHeight="1">
      <c r="A19" s="64" t="s">
        <v>5153</v>
      </c>
      <c r="B19" s="77" t="s">
        <v>903</v>
      </c>
      <c r="C19" s="64" t="s">
        <v>208</v>
      </c>
      <c r="D19" s="72"/>
      <c r="E19" s="5"/>
      <c r="F19" s="5"/>
      <c r="G19" s="5"/>
    </row>
    <row r="20" spans="1:7" ht="15.75" customHeight="1">
      <c r="A20" s="64" t="s">
        <v>5154</v>
      </c>
      <c r="B20" s="77" t="s">
        <v>820</v>
      </c>
      <c r="C20" s="64" t="s">
        <v>208</v>
      </c>
      <c r="D20" s="72"/>
      <c r="E20" s="5"/>
      <c r="F20" s="5"/>
      <c r="G20" s="5"/>
    </row>
    <row r="21" spans="1:7" ht="15.75" customHeight="1">
      <c r="A21" s="64" t="s">
        <v>5155</v>
      </c>
      <c r="B21" s="77" t="s">
        <v>772</v>
      </c>
      <c r="C21" s="64" t="s">
        <v>208</v>
      </c>
      <c r="D21" s="76"/>
      <c r="E21" s="5"/>
      <c r="F21" s="5"/>
      <c r="G21" s="5"/>
    </row>
    <row r="22" spans="1:7" ht="15.75" customHeight="1">
      <c r="A22" s="64" t="s">
        <v>5156</v>
      </c>
      <c r="B22" s="77" t="s">
        <v>3256</v>
      </c>
      <c r="C22" s="64" t="s">
        <v>208</v>
      </c>
      <c r="D22" s="72"/>
      <c r="E22" s="5"/>
      <c r="F22" s="5"/>
      <c r="G22" s="5"/>
    </row>
    <row r="23" spans="1:7" ht="15.75" customHeight="1">
      <c r="A23" s="64" t="s">
        <v>5157</v>
      </c>
      <c r="B23" s="77" t="s">
        <v>3171</v>
      </c>
      <c r="C23" s="64" t="s">
        <v>208</v>
      </c>
      <c r="D23" s="76"/>
      <c r="E23" s="5"/>
      <c r="F23" s="5"/>
      <c r="G23" s="5"/>
    </row>
    <row r="24" spans="1:7" ht="15.75" customHeight="1">
      <c r="A24" s="64" t="s">
        <v>5158</v>
      </c>
      <c r="B24" s="77" t="s">
        <v>4067</v>
      </c>
      <c r="C24" s="64" t="s">
        <v>208</v>
      </c>
      <c r="D24" s="76"/>
      <c r="E24" s="5"/>
      <c r="F24" s="5"/>
      <c r="G24" s="5"/>
    </row>
    <row r="25" spans="1:7" ht="15.75" customHeight="1">
      <c r="A25" s="64" t="s">
        <v>5159</v>
      </c>
      <c r="B25" s="77" t="s">
        <v>4068</v>
      </c>
      <c r="C25" s="64" t="s">
        <v>208</v>
      </c>
      <c r="D25" s="76"/>
      <c r="E25" s="5"/>
      <c r="F25" s="5"/>
      <c r="G25" s="5"/>
    </row>
    <row r="26" spans="1:7" ht="15.75" customHeight="1">
      <c r="A26" s="64" t="s">
        <v>5160</v>
      </c>
      <c r="B26" s="77" t="s">
        <v>4032</v>
      </c>
      <c r="C26" s="64" t="s">
        <v>208</v>
      </c>
      <c r="D26" s="72"/>
      <c r="E26" s="51"/>
      <c r="F26" s="5"/>
      <c r="G26" s="5"/>
    </row>
    <row r="27" spans="1:7" ht="15.75" customHeight="1">
      <c r="A27" s="64" t="s">
        <v>5161</v>
      </c>
      <c r="B27" s="78" t="str">
        <f>HYPERLINK("https://bulbapedia.bulbagarden.net/wiki/Manectric-EX_(Phantom_Forces_23)","ManectricEX")</f>
        <v>ManectricEX</v>
      </c>
      <c r="C27" s="64" t="s">
        <v>192</v>
      </c>
      <c r="D27" s="76"/>
      <c r="E27" s="5"/>
      <c r="F27" s="5"/>
      <c r="G27" s="5"/>
    </row>
    <row r="28" spans="1:7" ht="15.75" customHeight="1">
      <c r="A28" s="64" t="s">
        <v>5162</v>
      </c>
      <c r="B28" s="79" t="str">
        <f>HYPERLINK("https://bulbapedia.bulbagarden.net/wiki/M_Manectric-EX_(Phantom_Forces_24)","MManectricEX")</f>
        <v>MManectricEX</v>
      </c>
      <c r="C28" s="64" t="s">
        <v>192</v>
      </c>
      <c r="D28" s="76"/>
      <c r="E28" s="5"/>
      <c r="F28" s="5"/>
      <c r="G28" s="5"/>
    </row>
    <row r="29" spans="1:7" ht="15.75" customHeight="1">
      <c r="A29" s="64" t="s">
        <v>5163</v>
      </c>
      <c r="B29" s="77" t="s">
        <v>3022</v>
      </c>
      <c r="C29" s="64" t="s">
        <v>192</v>
      </c>
      <c r="D29" s="72"/>
      <c r="E29" s="5"/>
      <c r="F29" s="5"/>
      <c r="G29" s="5"/>
    </row>
    <row r="30" spans="1:7" ht="15.75" customHeight="1">
      <c r="A30" s="64" t="s">
        <v>5164</v>
      </c>
      <c r="B30" s="77" t="s">
        <v>4151</v>
      </c>
      <c r="C30" s="64" t="s">
        <v>192</v>
      </c>
      <c r="D30" s="76"/>
      <c r="E30" s="5"/>
      <c r="F30" s="5"/>
      <c r="G30" s="5"/>
    </row>
    <row r="31" spans="1:7" ht="15.75" customHeight="1">
      <c r="A31" s="64" t="s">
        <v>5165</v>
      </c>
      <c r="B31" s="77" t="s">
        <v>4152</v>
      </c>
      <c r="C31" s="64" t="s">
        <v>192</v>
      </c>
      <c r="D31" s="76"/>
      <c r="E31" s="5"/>
      <c r="F31" s="5"/>
      <c r="G31" s="5"/>
    </row>
    <row r="32" spans="1:7" ht="15.75" customHeight="1">
      <c r="A32" s="64" t="s">
        <v>5166</v>
      </c>
      <c r="B32" s="77" t="s">
        <v>5093</v>
      </c>
      <c r="C32" s="64" t="s">
        <v>192</v>
      </c>
      <c r="D32" s="72"/>
      <c r="E32" s="5"/>
      <c r="F32" s="5"/>
      <c r="G32" s="5"/>
    </row>
    <row r="33" spans="1:7" ht="15.75" customHeight="1">
      <c r="A33" s="64" t="s">
        <v>5167</v>
      </c>
      <c r="B33" s="77" t="s">
        <v>5093</v>
      </c>
      <c r="C33" s="64" t="s">
        <v>192</v>
      </c>
      <c r="D33" s="72"/>
      <c r="E33" s="5"/>
      <c r="F33" s="5"/>
      <c r="G33" s="5"/>
    </row>
    <row r="34" spans="1:7" ht="15.75" customHeight="1">
      <c r="A34" s="64" t="s">
        <v>5168</v>
      </c>
      <c r="B34" s="77" t="s">
        <v>4797</v>
      </c>
      <c r="C34" s="64" t="s">
        <v>192</v>
      </c>
      <c r="D34" s="76"/>
      <c r="E34" s="5"/>
      <c r="F34" s="5"/>
      <c r="G34" s="5"/>
    </row>
    <row r="35" spans="1:7" ht="15.75" customHeight="1">
      <c r="A35" s="64" t="s">
        <v>5169</v>
      </c>
      <c r="B35" s="77" t="s">
        <v>389</v>
      </c>
      <c r="C35" s="64" t="s">
        <v>195</v>
      </c>
      <c r="D35" s="76"/>
      <c r="E35" s="5"/>
      <c r="F35" s="5"/>
      <c r="G35" s="5"/>
    </row>
    <row r="36" spans="1:7" ht="15.75" customHeight="1">
      <c r="A36" s="64" t="s">
        <v>5170</v>
      </c>
      <c r="B36" s="77" t="s">
        <v>368</v>
      </c>
      <c r="C36" s="64" t="s">
        <v>195</v>
      </c>
      <c r="D36" s="72"/>
      <c r="E36" s="5"/>
      <c r="F36" s="5"/>
      <c r="G36" s="5"/>
    </row>
    <row r="37" spans="1:7" ht="15.75" customHeight="1">
      <c r="A37" s="64" t="s">
        <v>5171</v>
      </c>
      <c r="B37" s="77" t="s">
        <v>969</v>
      </c>
      <c r="C37" s="64" t="s">
        <v>195</v>
      </c>
      <c r="D37" s="72"/>
      <c r="E37" s="5"/>
      <c r="F37" s="5"/>
      <c r="G37" s="5"/>
    </row>
    <row r="38" spans="1:7" ht="15.75" customHeight="1">
      <c r="A38" s="64" t="s">
        <v>5172</v>
      </c>
      <c r="B38" s="78" t="str">
        <f>HYPERLINK("https://bulbapedia.bulbagarden.net/wiki/Gengar-EX_(Phantom_Forces_34)","GengarEX")</f>
        <v>GengarEX</v>
      </c>
      <c r="C38" s="64" t="s">
        <v>195</v>
      </c>
      <c r="D38" s="72"/>
      <c r="E38" s="5"/>
      <c r="F38" s="5"/>
      <c r="G38" s="5"/>
    </row>
    <row r="39" spans="1:7" ht="15.75" customHeight="1">
      <c r="A39" s="64" t="s">
        <v>5173</v>
      </c>
      <c r="B39" s="79" t="str">
        <f>HYPERLINK("https://bulbapedia.bulbagarden.net/wiki/M_Gengar-EX_(Phantom_Forces_35)","MGengarEX")</f>
        <v>MGengarEX</v>
      </c>
      <c r="C39" s="64" t="s">
        <v>195</v>
      </c>
      <c r="D39" s="76"/>
      <c r="E39" s="5"/>
      <c r="F39" s="5"/>
      <c r="G39" s="5"/>
    </row>
    <row r="40" spans="1:7" ht="15.75" customHeight="1">
      <c r="A40" s="64" t="s">
        <v>5174</v>
      </c>
      <c r="B40" s="77" t="s">
        <v>945</v>
      </c>
      <c r="C40" s="64" t="s">
        <v>195</v>
      </c>
      <c r="D40" s="76"/>
      <c r="E40" s="5"/>
      <c r="F40" s="5"/>
      <c r="G40" s="5"/>
    </row>
    <row r="41" spans="1:7" ht="15.75" customHeight="1">
      <c r="A41" s="64" t="s">
        <v>5175</v>
      </c>
      <c r="B41" s="77" t="s">
        <v>1875</v>
      </c>
      <c r="C41" s="64" t="s">
        <v>195</v>
      </c>
      <c r="D41" s="72"/>
      <c r="E41" s="5"/>
      <c r="F41" s="5"/>
      <c r="G41" s="5"/>
    </row>
    <row r="42" spans="1:7" ht="15.75" customHeight="1">
      <c r="A42" s="64" t="s">
        <v>5176</v>
      </c>
      <c r="B42" s="77" t="s">
        <v>1860</v>
      </c>
      <c r="C42" s="64" t="s">
        <v>195</v>
      </c>
      <c r="D42" s="76"/>
      <c r="E42" s="5"/>
      <c r="F42" s="5"/>
      <c r="G42" s="5"/>
    </row>
    <row r="43" spans="1:7" ht="15.75" customHeight="1">
      <c r="A43" s="64" t="s">
        <v>5177</v>
      </c>
      <c r="B43" s="77" t="s">
        <v>4034</v>
      </c>
      <c r="C43" s="64" t="s">
        <v>195</v>
      </c>
      <c r="D43" s="72"/>
      <c r="E43" s="5"/>
      <c r="F43" s="5"/>
      <c r="G43" s="5"/>
    </row>
    <row r="44" spans="1:7" ht="15.75" customHeight="1">
      <c r="A44" s="64" t="s">
        <v>5178</v>
      </c>
      <c r="B44" s="77" t="s">
        <v>4130</v>
      </c>
      <c r="C44" s="64" t="s">
        <v>195</v>
      </c>
      <c r="D44" s="76"/>
      <c r="E44" s="5"/>
      <c r="F44" s="5"/>
      <c r="G44" s="5"/>
    </row>
    <row r="45" spans="1:7" ht="15.75" customHeight="1">
      <c r="A45" s="64" t="s">
        <v>5179</v>
      </c>
      <c r="B45" s="77" t="s">
        <v>4086</v>
      </c>
      <c r="C45" s="64" t="s">
        <v>195</v>
      </c>
      <c r="D45" s="76"/>
      <c r="E45" s="5"/>
      <c r="F45" s="5"/>
      <c r="G45" s="5"/>
    </row>
    <row r="46" spans="1:7" ht="15.75" customHeight="1">
      <c r="A46" s="64" t="s">
        <v>5180</v>
      </c>
      <c r="B46" s="77" t="s">
        <v>4087</v>
      </c>
      <c r="C46" s="64" t="s">
        <v>195</v>
      </c>
      <c r="D46" s="72"/>
      <c r="E46" s="5"/>
      <c r="F46" s="5"/>
      <c r="G46" s="5"/>
    </row>
    <row r="47" spans="1:7" ht="15.75" customHeight="1">
      <c r="A47" s="64" t="s">
        <v>5181</v>
      </c>
      <c r="B47" s="77" t="s">
        <v>4088</v>
      </c>
      <c r="C47" s="64" t="s">
        <v>195</v>
      </c>
      <c r="D47" s="76"/>
      <c r="E47" s="5"/>
      <c r="F47" s="5"/>
      <c r="G47" s="5"/>
    </row>
    <row r="48" spans="1:7" ht="15.75" customHeight="1">
      <c r="A48" s="64" t="s">
        <v>5182</v>
      </c>
      <c r="B48" s="77" t="s">
        <v>5043</v>
      </c>
      <c r="C48" s="64" t="s">
        <v>195</v>
      </c>
      <c r="D48" s="72"/>
      <c r="E48" s="5"/>
      <c r="F48" s="5"/>
      <c r="G48" s="5"/>
    </row>
    <row r="49" spans="1:7" ht="15.75" customHeight="1">
      <c r="A49" s="64" t="s">
        <v>5183</v>
      </c>
      <c r="B49" s="77" t="s">
        <v>5044</v>
      </c>
      <c r="C49" s="64" t="s">
        <v>195</v>
      </c>
      <c r="D49" s="64"/>
      <c r="E49" s="5"/>
      <c r="F49" s="51"/>
      <c r="G49" s="5"/>
    </row>
    <row r="50" spans="1:7" ht="15.75" customHeight="1">
      <c r="A50" s="64" t="s">
        <v>5184</v>
      </c>
      <c r="B50" s="77" t="s">
        <v>867</v>
      </c>
      <c r="C50" s="64" t="s">
        <v>225</v>
      </c>
      <c r="D50" s="72"/>
      <c r="E50" s="5"/>
      <c r="F50" s="5"/>
      <c r="G50" s="5"/>
    </row>
    <row r="51" spans="1:7" ht="15.75" customHeight="1">
      <c r="A51" s="64" t="s">
        <v>5185</v>
      </c>
      <c r="B51" s="77" t="s">
        <v>3082</v>
      </c>
      <c r="C51" s="64" t="s">
        <v>225</v>
      </c>
      <c r="D51" s="76"/>
      <c r="E51" s="5"/>
      <c r="F51" s="5"/>
      <c r="G51" s="5"/>
    </row>
    <row r="52" spans="1:7" ht="15.75" customHeight="1">
      <c r="A52" s="64" t="s">
        <v>5186</v>
      </c>
      <c r="B52" s="77" t="s">
        <v>4260</v>
      </c>
      <c r="C52" s="64" t="s">
        <v>225</v>
      </c>
      <c r="D52" s="72"/>
      <c r="E52" s="5"/>
      <c r="F52" s="5"/>
      <c r="G52" s="5"/>
    </row>
    <row r="53" spans="1:7" ht="13">
      <c r="A53" s="64" t="s">
        <v>5187</v>
      </c>
      <c r="B53" s="77" t="s">
        <v>4262</v>
      </c>
      <c r="C53" s="64" t="s">
        <v>225</v>
      </c>
      <c r="D53" s="76"/>
      <c r="E53" s="5"/>
      <c r="F53" s="5"/>
      <c r="G53" s="5"/>
    </row>
    <row r="54" spans="1:7" ht="13">
      <c r="A54" s="64" t="s">
        <v>5188</v>
      </c>
      <c r="B54" s="77" t="s">
        <v>4089</v>
      </c>
      <c r="C54" s="64" t="s">
        <v>225</v>
      </c>
      <c r="D54" s="76"/>
      <c r="E54" s="5"/>
      <c r="F54" s="5"/>
      <c r="G54" s="5"/>
    </row>
    <row r="55" spans="1:7" ht="13">
      <c r="A55" s="64" t="s">
        <v>5189</v>
      </c>
      <c r="B55" s="77" t="s">
        <v>807</v>
      </c>
      <c r="C55" s="64" t="s">
        <v>808</v>
      </c>
      <c r="D55" s="76"/>
      <c r="E55" s="5"/>
      <c r="F55" s="5"/>
      <c r="G55" s="5"/>
    </row>
    <row r="56" spans="1:7" ht="13">
      <c r="A56" s="64" t="s">
        <v>5190</v>
      </c>
      <c r="B56" s="77" t="s">
        <v>3169</v>
      </c>
      <c r="C56" s="64" t="s">
        <v>808</v>
      </c>
      <c r="D56" s="76"/>
      <c r="E56" s="5"/>
      <c r="F56" s="5"/>
      <c r="G56" s="5"/>
    </row>
    <row r="57" spans="1:7" ht="13">
      <c r="A57" s="64" t="s">
        <v>5191</v>
      </c>
      <c r="B57" s="77" t="s">
        <v>1303</v>
      </c>
      <c r="C57" s="64" t="s">
        <v>808</v>
      </c>
      <c r="D57" s="76"/>
      <c r="E57" s="5"/>
      <c r="F57" s="5"/>
      <c r="G57" s="5"/>
    </row>
    <row r="58" spans="1:7" ht="13">
      <c r="A58" s="64" t="s">
        <v>5192</v>
      </c>
      <c r="B58" s="77" t="s">
        <v>1226</v>
      </c>
      <c r="C58" s="64" t="s">
        <v>808</v>
      </c>
      <c r="D58" s="76"/>
      <c r="E58" s="5"/>
      <c r="F58" s="5"/>
      <c r="G58" s="5"/>
    </row>
    <row r="59" spans="1:7" ht="13">
      <c r="A59" s="64" t="s">
        <v>5193</v>
      </c>
      <c r="B59" s="77" t="s">
        <v>3390</v>
      </c>
      <c r="C59" s="64" t="s">
        <v>808</v>
      </c>
      <c r="D59" s="76"/>
      <c r="E59" s="5"/>
      <c r="F59" s="5"/>
      <c r="G59" s="5"/>
    </row>
    <row r="60" spans="1:7" ht="13">
      <c r="A60" s="64" t="s">
        <v>5194</v>
      </c>
      <c r="B60" s="77" t="s">
        <v>4188</v>
      </c>
      <c r="C60" s="64" t="s">
        <v>808</v>
      </c>
      <c r="D60" s="76"/>
      <c r="E60" s="5"/>
      <c r="F60" s="5"/>
      <c r="G60" s="5"/>
    </row>
    <row r="61" spans="1:7" ht="13">
      <c r="A61" s="64" t="s">
        <v>5195</v>
      </c>
      <c r="B61" s="77" t="s">
        <v>4445</v>
      </c>
      <c r="C61" s="64" t="s">
        <v>808</v>
      </c>
      <c r="D61" s="76"/>
      <c r="E61" s="5"/>
      <c r="F61" s="5"/>
      <c r="G61" s="5"/>
    </row>
    <row r="62" spans="1:7" ht="13">
      <c r="A62" s="64" t="s">
        <v>5196</v>
      </c>
      <c r="B62" s="78" t="str">
        <f>HYPERLINK("https://bulbapedia.bulbagarden.net/wiki/Malamar-EX_(Phantom_Forces_58)","MalamarEX")</f>
        <v>MalamarEX</v>
      </c>
      <c r="C62" s="64" t="s">
        <v>808</v>
      </c>
      <c r="D62" s="76"/>
      <c r="E62" s="5"/>
      <c r="F62" s="5"/>
      <c r="G62" s="5"/>
    </row>
    <row r="63" spans="1:7" ht="13">
      <c r="A63" s="64" t="s">
        <v>5197</v>
      </c>
      <c r="B63" s="77" t="s">
        <v>787</v>
      </c>
      <c r="C63" s="64" t="s">
        <v>808</v>
      </c>
      <c r="D63" s="72"/>
      <c r="E63" s="5"/>
      <c r="F63" s="5"/>
      <c r="G63" s="5"/>
    </row>
    <row r="64" spans="1:7" ht="13">
      <c r="A64" s="64" t="s">
        <v>5198</v>
      </c>
      <c r="B64" s="77" t="s">
        <v>3245</v>
      </c>
      <c r="C64" s="64" t="s">
        <v>220</v>
      </c>
      <c r="D64" s="72"/>
      <c r="E64" s="5"/>
      <c r="F64" s="5"/>
      <c r="G64" s="5"/>
    </row>
    <row r="65" spans="1:7" ht="13">
      <c r="A65" s="64" t="s">
        <v>5199</v>
      </c>
      <c r="B65" s="77" t="s">
        <v>3163</v>
      </c>
      <c r="C65" s="64" t="s">
        <v>220</v>
      </c>
      <c r="D65" s="66"/>
      <c r="E65" s="5"/>
      <c r="F65" s="5"/>
      <c r="G65" s="5"/>
    </row>
    <row r="66" spans="1:7" ht="13">
      <c r="A66" s="64" t="s">
        <v>5200</v>
      </c>
      <c r="B66" s="78" t="str">
        <f>HYPERLINK("https://bulbapedia.bulbagarden.net/wiki/Dialga-EX_(Phantom_Forces_62)","DialgaEX")</f>
        <v>DialgaEX</v>
      </c>
      <c r="C66" s="64" t="s">
        <v>220</v>
      </c>
      <c r="D66" s="76"/>
      <c r="E66" s="5"/>
      <c r="F66" s="5"/>
      <c r="G66" s="5"/>
    </row>
    <row r="67" spans="1:7" ht="13">
      <c r="A67" s="64" t="s">
        <v>5201</v>
      </c>
      <c r="B67" s="77" t="s">
        <v>3377</v>
      </c>
      <c r="C67" s="64" t="s">
        <v>220</v>
      </c>
      <c r="D67" s="76"/>
      <c r="E67" s="5"/>
      <c r="F67" s="5"/>
      <c r="G67" s="5"/>
    </row>
    <row r="68" spans="1:7" ht="13">
      <c r="A68" s="64" t="s">
        <v>5202</v>
      </c>
      <c r="B68" s="77" t="s">
        <v>4106</v>
      </c>
      <c r="C68" s="64" t="s">
        <v>220</v>
      </c>
      <c r="D68" s="76"/>
      <c r="E68" s="5"/>
      <c r="F68" s="5"/>
      <c r="G68" s="5"/>
    </row>
    <row r="69" spans="1:7" ht="13">
      <c r="A69" s="64" t="s">
        <v>5203</v>
      </c>
      <c r="B69" s="78" t="str">
        <f>HYPERLINK("https://bulbapedia.bulbagarden.net/wiki/Aegislash-EX_(Phantom_Forces_65)","AegislashEX")</f>
        <v>AegislashEX</v>
      </c>
      <c r="C69" s="64" t="s">
        <v>220</v>
      </c>
      <c r="D69" s="76"/>
      <c r="E69" s="5"/>
      <c r="F69" s="5"/>
      <c r="G69" s="5"/>
    </row>
    <row r="70" spans="1:7" ht="13">
      <c r="A70" s="64" t="s">
        <v>5204</v>
      </c>
      <c r="B70" s="77" t="s">
        <v>5125</v>
      </c>
      <c r="C70" s="64" t="s">
        <v>220</v>
      </c>
      <c r="D70" s="72"/>
      <c r="E70" s="5"/>
      <c r="F70" s="5"/>
      <c r="G70" s="5"/>
    </row>
    <row r="71" spans="1:7" ht="13">
      <c r="A71" s="64" t="s">
        <v>5205</v>
      </c>
      <c r="B71" s="78" t="str">
        <f>HYPERLINK("https://bulbapedia.bulbagarden.net/wiki/Florges-EX_(Phantom_Forces_67)","FlorgesEX")</f>
        <v>FlorgesEX</v>
      </c>
      <c r="C71" s="64" t="s">
        <v>4743</v>
      </c>
      <c r="D71" s="76"/>
      <c r="E71" s="5"/>
      <c r="F71" s="5"/>
      <c r="G71" s="5"/>
    </row>
    <row r="72" spans="1:7" ht="13">
      <c r="A72" s="64" t="s">
        <v>5206</v>
      </c>
      <c r="B72" s="77" t="s">
        <v>5018</v>
      </c>
      <c r="C72" s="64" t="s">
        <v>4743</v>
      </c>
      <c r="D72" s="76"/>
      <c r="E72" s="5"/>
      <c r="F72" s="5"/>
      <c r="G72" s="5"/>
    </row>
    <row r="73" spans="1:7" ht="13">
      <c r="A73" s="64" t="s">
        <v>5207</v>
      </c>
      <c r="B73" s="77" t="s">
        <v>4760</v>
      </c>
      <c r="C73" s="64" t="s">
        <v>4743</v>
      </c>
      <c r="D73" s="76"/>
      <c r="E73" s="5"/>
      <c r="F73" s="5"/>
      <c r="G73" s="5"/>
    </row>
    <row r="74" spans="1:7" ht="13">
      <c r="A74" s="64" t="s">
        <v>5208</v>
      </c>
      <c r="B74" s="77" t="s">
        <v>5120</v>
      </c>
      <c r="C74" s="64" t="s">
        <v>4743</v>
      </c>
      <c r="D74" s="76"/>
      <c r="E74" s="5"/>
      <c r="F74" s="5"/>
      <c r="G74" s="5"/>
    </row>
    <row r="75" spans="1:7" ht="13">
      <c r="A75" s="64" t="s">
        <v>5209</v>
      </c>
      <c r="B75" s="77" t="s">
        <v>5210</v>
      </c>
      <c r="C75" s="64" t="s">
        <v>4743</v>
      </c>
      <c r="D75" s="76"/>
      <c r="E75" s="5"/>
      <c r="F75" s="5"/>
      <c r="G75" s="5"/>
    </row>
    <row r="76" spans="1:7" ht="13">
      <c r="A76" s="64" t="s">
        <v>5211</v>
      </c>
      <c r="B76" s="77" t="s">
        <v>4103</v>
      </c>
      <c r="C76" s="64" t="s">
        <v>4285</v>
      </c>
      <c r="D76" s="72"/>
      <c r="E76" s="5"/>
      <c r="F76" s="5"/>
      <c r="G76" s="5"/>
    </row>
    <row r="77" spans="1:7" ht="13">
      <c r="A77" s="64" t="s">
        <v>5212</v>
      </c>
      <c r="B77" s="77" t="s">
        <v>4104</v>
      </c>
      <c r="C77" s="64" t="s">
        <v>4285</v>
      </c>
      <c r="D77" s="76"/>
      <c r="E77" s="5"/>
      <c r="F77" s="5"/>
      <c r="G77" s="5"/>
    </row>
    <row r="78" spans="1:7" ht="13">
      <c r="A78" s="64" t="s">
        <v>5213</v>
      </c>
      <c r="B78" s="77" t="s">
        <v>4105</v>
      </c>
      <c r="C78" s="64" t="s">
        <v>4285</v>
      </c>
      <c r="D78" s="76"/>
      <c r="E78" s="5"/>
      <c r="F78" s="5"/>
      <c r="G78" s="5"/>
    </row>
    <row r="79" spans="1:7" ht="13">
      <c r="A79" s="64" t="s">
        <v>5214</v>
      </c>
      <c r="B79" s="77" t="s">
        <v>5102</v>
      </c>
      <c r="C79" s="64" t="s">
        <v>4285</v>
      </c>
      <c r="D79" s="72"/>
      <c r="E79" s="5"/>
      <c r="F79" s="5"/>
      <c r="G79" s="5"/>
    </row>
    <row r="80" spans="1:7" ht="13">
      <c r="A80" s="64" t="s">
        <v>5215</v>
      </c>
      <c r="B80" s="77" t="s">
        <v>5103</v>
      </c>
      <c r="C80" s="64" t="s">
        <v>4285</v>
      </c>
      <c r="D80" s="76"/>
      <c r="E80" s="5"/>
      <c r="F80" s="5"/>
      <c r="G80" s="5"/>
    </row>
    <row r="81" spans="1:7" ht="13">
      <c r="A81" s="64" t="s">
        <v>5216</v>
      </c>
      <c r="B81" s="77" t="s">
        <v>5104</v>
      </c>
      <c r="C81" s="64" t="s">
        <v>4285</v>
      </c>
      <c r="D81" s="76"/>
      <c r="E81" s="5"/>
      <c r="F81" s="5"/>
      <c r="G81" s="5"/>
    </row>
    <row r="82" spans="1:7" ht="13">
      <c r="A82" s="64" t="s">
        <v>5217</v>
      </c>
      <c r="B82" s="77" t="s">
        <v>355</v>
      </c>
      <c r="C82" s="64" t="s">
        <v>197</v>
      </c>
      <c r="D82" s="72"/>
      <c r="E82" s="5"/>
      <c r="F82" s="5"/>
      <c r="G82" s="5"/>
    </row>
    <row r="83" spans="1:7" ht="13">
      <c r="A83" s="64" t="s">
        <v>5218</v>
      </c>
      <c r="B83" s="77" t="s">
        <v>334</v>
      </c>
      <c r="C83" s="64" t="s">
        <v>197</v>
      </c>
      <c r="D83" s="76"/>
      <c r="E83" s="5"/>
      <c r="F83" s="5"/>
      <c r="G83" s="5"/>
    </row>
    <row r="84" spans="1:7" ht="13">
      <c r="A84" s="64" t="s">
        <v>5219</v>
      </c>
      <c r="B84" s="77" t="s">
        <v>241</v>
      </c>
      <c r="C84" s="64" t="s">
        <v>197</v>
      </c>
      <c r="D84" s="72"/>
      <c r="E84" s="51"/>
      <c r="F84" s="5"/>
      <c r="G84" s="5"/>
    </row>
    <row r="85" spans="1:7" ht="13">
      <c r="A85" s="64" t="s">
        <v>5220</v>
      </c>
      <c r="B85" s="77" t="s">
        <v>968</v>
      </c>
      <c r="C85" s="64" t="s">
        <v>197</v>
      </c>
      <c r="D85" s="76"/>
      <c r="E85" s="5"/>
      <c r="F85" s="5"/>
      <c r="G85" s="5"/>
    </row>
    <row r="86" spans="1:7" ht="13">
      <c r="A86" s="64" t="s">
        <v>5221</v>
      </c>
      <c r="B86" s="77" t="s">
        <v>865</v>
      </c>
      <c r="C86" s="64" t="s">
        <v>197</v>
      </c>
      <c r="D86" s="76"/>
      <c r="E86" s="5"/>
      <c r="F86" s="5"/>
      <c r="G86" s="5"/>
    </row>
    <row r="87" spans="1:7" ht="13">
      <c r="A87" s="64" t="s">
        <v>5222</v>
      </c>
      <c r="B87" s="77" t="s">
        <v>1898</v>
      </c>
      <c r="C87" s="64" t="s">
        <v>197</v>
      </c>
      <c r="D87" s="76"/>
      <c r="E87" s="5"/>
      <c r="F87" s="5"/>
      <c r="G87" s="5"/>
    </row>
    <row r="88" spans="1:7" ht="13">
      <c r="A88" s="64" t="s">
        <v>5223</v>
      </c>
      <c r="B88" s="77" t="s">
        <v>1845</v>
      </c>
      <c r="C88" s="64" t="s">
        <v>197</v>
      </c>
      <c r="D88" s="72"/>
      <c r="E88" s="5"/>
      <c r="F88" s="5"/>
      <c r="G88" s="5"/>
    </row>
    <row r="89" spans="1:7" ht="13">
      <c r="A89" s="64" t="s">
        <v>5224</v>
      </c>
      <c r="B89" s="77" t="s">
        <v>1796</v>
      </c>
      <c r="C89" s="64" t="s">
        <v>197</v>
      </c>
      <c r="D89" s="76"/>
      <c r="E89" s="5"/>
      <c r="F89" s="5"/>
      <c r="G89" s="5"/>
    </row>
    <row r="90" spans="1:7" ht="13">
      <c r="A90" s="64" t="s">
        <v>5225</v>
      </c>
      <c r="B90" s="77" t="s">
        <v>3089</v>
      </c>
      <c r="C90" s="64" t="s">
        <v>197</v>
      </c>
      <c r="D90" s="76"/>
      <c r="E90" s="51"/>
      <c r="F90" s="5"/>
      <c r="G90" s="5"/>
    </row>
    <row r="91" spans="1:7" ht="13">
      <c r="A91" s="64" t="s">
        <v>5226</v>
      </c>
      <c r="B91" s="77" t="s">
        <v>5025</v>
      </c>
      <c r="C91" s="64" t="s">
        <v>197</v>
      </c>
      <c r="D91" s="76"/>
      <c r="E91" s="5"/>
      <c r="F91" s="5"/>
      <c r="G91" s="5"/>
    </row>
    <row r="92" spans="1:7" ht="13">
      <c r="A92" s="64" t="s">
        <v>5227</v>
      </c>
      <c r="B92" s="77" t="s">
        <v>5049</v>
      </c>
      <c r="C92" s="64" t="s">
        <v>197</v>
      </c>
      <c r="D92" s="76"/>
      <c r="E92" s="5"/>
      <c r="F92" s="5"/>
      <c r="G92" s="5"/>
    </row>
    <row r="93" spans="1:7" ht="13">
      <c r="A93" s="64" t="s">
        <v>5228</v>
      </c>
      <c r="B93" s="77" t="s">
        <v>5027</v>
      </c>
      <c r="C93" s="64" t="s">
        <v>197</v>
      </c>
      <c r="D93" s="76"/>
      <c r="E93" s="5"/>
      <c r="F93" s="5"/>
      <c r="G93" s="5"/>
    </row>
    <row r="94" spans="1:7" ht="13">
      <c r="A94" s="64" t="s">
        <v>5229</v>
      </c>
      <c r="B94" s="77" t="s">
        <v>5029</v>
      </c>
      <c r="C94" s="64" t="s">
        <v>197</v>
      </c>
      <c r="D94" s="76"/>
      <c r="E94" s="5"/>
      <c r="F94" s="5"/>
      <c r="G94" s="5"/>
    </row>
    <row r="95" spans="1:7" ht="13">
      <c r="A95" s="64" t="s">
        <v>5230</v>
      </c>
      <c r="B95" s="77" t="s">
        <v>5231</v>
      </c>
      <c r="C95" s="64" t="s">
        <v>1013</v>
      </c>
      <c r="D95" s="72"/>
      <c r="E95" s="5"/>
      <c r="F95" s="5"/>
      <c r="G95" s="5"/>
    </row>
    <row r="96" spans="1:7" ht="13">
      <c r="A96" s="64" t="s">
        <v>5232</v>
      </c>
      <c r="B96" s="77" t="s">
        <v>5233</v>
      </c>
      <c r="C96" s="64" t="s">
        <v>4114</v>
      </c>
      <c r="D96" s="66"/>
      <c r="E96" s="5"/>
      <c r="F96" s="5"/>
      <c r="G96" s="5"/>
    </row>
    <row r="97" spans="1:7" ht="13">
      <c r="A97" s="64" t="s">
        <v>5234</v>
      </c>
      <c r="B97" s="77" t="s">
        <v>5235</v>
      </c>
      <c r="C97" s="64" t="s">
        <v>229</v>
      </c>
      <c r="D97" s="72"/>
      <c r="E97" s="5"/>
      <c r="F97" s="5"/>
      <c r="G97" s="5"/>
    </row>
    <row r="98" spans="1:7" ht="13">
      <c r="A98" s="64" t="s">
        <v>5236</v>
      </c>
      <c r="B98" s="77" t="s">
        <v>4167</v>
      </c>
      <c r="C98" s="64" t="s">
        <v>4114</v>
      </c>
      <c r="D98" s="76"/>
      <c r="E98" s="5"/>
      <c r="F98" s="5"/>
      <c r="G98" s="5"/>
    </row>
    <row r="99" spans="1:7" ht="13">
      <c r="A99" s="64" t="s">
        <v>5237</v>
      </c>
      <c r="B99" s="77" t="s">
        <v>5238</v>
      </c>
      <c r="C99" s="64" t="s">
        <v>4114</v>
      </c>
      <c r="D99" s="76"/>
      <c r="E99" s="5"/>
      <c r="F99" s="5"/>
      <c r="G99" s="5"/>
    </row>
    <row r="100" spans="1:7" ht="13">
      <c r="A100" s="64" t="s">
        <v>5239</v>
      </c>
      <c r="B100" s="77" t="s">
        <v>5240</v>
      </c>
      <c r="C100" s="64" t="s">
        <v>4114</v>
      </c>
      <c r="D100" s="76"/>
      <c r="E100" s="5"/>
      <c r="F100" s="5"/>
      <c r="G100" s="5"/>
    </row>
    <row r="101" spans="1:7" ht="13">
      <c r="A101" s="64" t="s">
        <v>5241</v>
      </c>
      <c r="B101" s="77" t="s">
        <v>5242</v>
      </c>
      <c r="C101" s="64" t="s">
        <v>4114</v>
      </c>
      <c r="D101" s="76"/>
      <c r="E101" s="5"/>
      <c r="F101" s="5"/>
      <c r="G101" s="5"/>
    </row>
    <row r="102" spans="1:7" ht="13">
      <c r="A102" s="64" t="s">
        <v>5243</v>
      </c>
      <c r="B102" s="77" t="s">
        <v>5244</v>
      </c>
      <c r="C102" s="64" t="s">
        <v>4114</v>
      </c>
      <c r="D102" s="76"/>
      <c r="E102" s="5"/>
      <c r="F102" s="51"/>
      <c r="G102" s="5"/>
    </row>
    <row r="103" spans="1:7" ht="13">
      <c r="A103" s="64" t="s">
        <v>5245</v>
      </c>
      <c r="B103" s="77" t="s">
        <v>5246</v>
      </c>
      <c r="C103" s="64" t="s">
        <v>1013</v>
      </c>
      <c r="D103" s="76"/>
      <c r="E103" s="5"/>
      <c r="F103" s="5"/>
      <c r="G103" s="5"/>
    </row>
    <row r="104" spans="1:7" ht="13">
      <c r="A104" s="64" t="s">
        <v>5247</v>
      </c>
      <c r="B104" s="77" t="s">
        <v>5248</v>
      </c>
      <c r="C104" s="64" t="s">
        <v>4114</v>
      </c>
      <c r="D104" s="76"/>
      <c r="E104" s="5"/>
      <c r="F104" s="5"/>
      <c r="G104" s="5"/>
    </row>
    <row r="105" spans="1:7" ht="13">
      <c r="A105" s="64" t="s">
        <v>5249</v>
      </c>
      <c r="B105" s="77" t="s">
        <v>5055</v>
      </c>
      <c r="C105" s="64" t="s">
        <v>1013</v>
      </c>
      <c r="D105" s="72"/>
      <c r="E105" s="5"/>
      <c r="F105" s="5"/>
      <c r="G105" s="5"/>
    </row>
    <row r="106" spans="1:7" ht="13">
      <c r="A106" s="64" t="s">
        <v>5250</v>
      </c>
      <c r="B106" s="77" t="s">
        <v>5251</v>
      </c>
      <c r="C106" s="64" t="s">
        <v>4114</v>
      </c>
      <c r="D106" s="72"/>
      <c r="E106" s="5"/>
      <c r="F106" s="5"/>
      <c r="G106" s="5"/>
    </row>
    <row r="107" spans="1:7" ht="13">
      <c r="A107" s="64" t="s">
        <v>5252</v>
      </c>
      <c r="B107" s="77" t="s">
        <v>5058</v>
      </c>
      <c r="C107" s="64" t="s">
        <v>4114</v>
      </c>
      <c r="D107" s="66"/>
      <c r="E107" s="51"/>
      <c r="F107" s="5"/>
      <c r="G107" s="5"/>
    </row>
    <row r="108" spans="1:7" ht="13">
      <c r="A108" s="64" t="s">
        <v>5253</v>
      </c>
      <c r="B108" s="77" t="s">
        <v>5060</v>
      </c>
      <c r="C108" s="64" t="s">
        <v>1013</v>
      </c>
      <c r="D108" s="72"/>
      <c r="E108" s="5"/>
      <c r="F108" s="5"/>
      <c r="G108" s="5"/>
    </row>
    <row r="109" spans="1:7" ht="13">
      <c r="A109" s="64" t="s">
        <v>5254</v>
      </c>
      <c r="B109" s="77" t="s">
        <v>5255</v>
      </c>
      <c r="C109" s="64" t="s">
        <v>229</v>
      </c>
      <c r="D109" s="72"/>
      <c r="E109" s="5"/>
      <c r="F109" s="5"/>
      <c r="G109" s="5"/>
    </row>
    <row r="110" spans="1:7" ht="13">
      <c r="A110" s="64" t="s">
        <v>5256</v>
      </c>
      <c r="B110" s="77" t="s">
        <v>5257</v>
      </c>
      <c r="C110" s="64" t="s">
        <v>4114</v>
      </c>
      <c r="D110" s="76"/>
      <c r="E110" s="5"/>
      <c r="F110" s="5"/>
      <c r="G110" s="5"/>
    </row>
    <row r="111" spans="1:7" ht="13">
      <c r="A111" s="64" t="s">
        <v>5258</v>
      </c>
      <c r="B111" s="77" t="s">
        <v>5037</v>
      </c>
      <c r="C111" s="64" t="s">
        <v>1013</v>
      </c>
      <c r="D111" s="72"/>
      <c r="E111" s="5"/>
      <c r="F111" s="5"/>
      <c r="G111" s="5"/>
    </row>
    <row r="112" spans="1:7" ht="13">
      <c r="A112" s="64" t="s">
        <v>5259</v>
      </c>
      <c r="B112" s="77" t="s">
        <v>5260</v>
      </c>
      <c r="C112" s="64" t="s">
        <v>4114</v>
      </c>
      <c r="D112" s="76"/>
      <c r="E112" s="5"/>
      <c r="F112" s="5"/>
      <c r="G112" s="5"/>
    </row>
    <row r="113" spans="1:7" ht="13">
      <c r="A113" s="64" t="s">
        <v>5261</v>
      </c>
      <c r="B113" s="77" t="s">
        <v>2041</v>
      </c>
      <c r="C113" s="64" t="s">
        <v>4114</v>
      </c>
      <c r="D113" s="76"/>
      <c r="E113" s="5"/>
      <c r="F113" s="5"/>
      <c r="G113" s="5"/>
    </row>
    <row r="114" spans="1:7" ht="13">
      <c r="A114" s="64" t="s">
        <v>5262</v>
      </c>
      <c r="B114" s="77" t="s">
        <v>5263</v>
      </c>
      <c r="C114" s="64" t="s">
        <v>1013</v>
      </c>
      <c r="D114" s="76"/>
      <c r="E114" s="5"/>
      <c r="F114" s="5"/>
      <c r="G114" s="5"/>
    </row>
    <row r="115" spans="1:7" ht="13">
      <c r="A115" s="64" t="s">
        <v>5264</v>
      </c>
      <c r="B115" s="77" t="s">
        <v>316</v>
      </c>
      <c r="C115" s="64" t="s">
        <v>317</v>
      </c>
      <c r="D115" s="76"/>
      <c r="E115" s="5"/>
      <c r="F115" s="5"/>
      <c r="G115" s="5"/>
    </row>
    <row r="116" spans="1:7" ht="13">
      <c r="A116" s="64" t="s">
        <v>5265</v>
      </c>
      <c r="B116" s="77" t="s">
        <v>5266</v>
      </c>
      <c r="C116" s="64" t="s">
        <v>317</v>
      </c>
      <c r="D116" s="76"/>
      <c r="E116" s="5"/>
      <c r="F116" s="5"/>
      <c r="G116" s="5"/>
    </row>
    <row r="117" spans="1:7" ht="13">
      <c r="A117" s="64" t="s">
        <v>5267</v>
      </c>
      <c r="B117" s="78" t="str">
        <f>HYPERLINK("https://bulbapedia.bulbagarden.net/wiki/Manectric-EX_(Phantom_Forces_113)","ManectricEX")</f>
        <v>ManectricEX</v>
      </c>
      <c r="C117" s="64" t="s">
        <v>192</v>
      </c>
      <c r="D117" s="76"/>
      <c r="E117" s="5"/>
      <c r="F117" s="5"/>
      <c r="G117" s="5"/>
    </row>
    <row r="118" spans="1:7" ht="13">
      <c r="A118" s="64" t="s">
        <v>5268</v>
      </c>
      <c r="B118" s="78" t="str">
        <f>HYPERLINK("https://bulbapedia.bulbagarden.net/wiki/Gengar-EX_(Phantom_Forces_114)","GengarEX")</f>
        <v>GengarEX</v>
      </c>
      <c r="C118" s="64" t="s">
        <v>195</v>
      </c>
      <c r="D118" s="76"/>
      <c r="E118" s="5"/>
      <c r="F118" s="5"/>
      <c r="G118" s="5"/>
    </row>
    <row r="119" spans="1:7" ht="13">
      <c r="A119" s="64" t="s">
        <v>5269</v>
      </c>
      <c r="B119" s="78" t="str">
        <f>HYPERLINK("https://bulbapedia.bulbagarden.net/wiki/Malamar-EX_(Phantom_Forces_115)","MalamarEX")</f>
        <v>MalamarEX</v>
      </c>
      <c r="C119" s="64" t="s">
        <v>808</v>
      </c>
      <c r="D119" s="76"/>
      <c r="E119" s="5"/>
      <c r="F119" s="5"/>
      <c r="G119" s="5"/>
    </row>
    <row r="120" spans="1:7" ht="13">
      <c r="A120" s="64" t="s">
        <v>5270</v>
      </c>
      <c r="B120" s="78" t="str">
        <f>HYPERLINK("https://bulbapedia.bulbagarden.net/wiki/Florges-EX_(Phantom_Forces_116)","FlorgesEX")</f>
        <v>FlorgesEX</v>
      </c>
      <c r="C120" s="64" t="s">
        <v>4743</v>
      </c>
      <c r="D120" s="76"/>
      <c r="E120" s="5"/>
      <c r="F120" s="5"/>
      <c r="G120" s="5"/>
    </row>
    <row r="121" spans="1:7" ht="13">
      <c r="A121" s="64" t="s">
        <v>5271</v>
      </c>
      <c r="B121" s="77" t="s">
        <v>5231</v>
      </c>
      <c r="C121" s="64" t="s">
        <v>1013</v>
      </c>
      <c r="D121" s="76"/>
      <c r="E121" s="5"/>
      <c r="F121" s="5"/>
      <c r="G121" s="5"/>
    </row>
    <row r="122" spans="1:7" ht="13">
      <c r="A122" s="64" t="s">
        <v>5272</v>
      </c>
      <c r="B122" s="77" t="s">
        <v>5246</v>
      </c>
      <c r="C122" s="64" t="s">
        <v>1013</v>
      </c>
      <c r="D122" s="76"/>
      <c r="E122" s="5"/>
      <c r="F122" s="5"/>
      <c r="G122" s="5"/>
    </row>
    <row r="123" spans="1:7" ht="13">
      <c r="A123" s="64" t="s">
        <v>5273</v>
      </c>
      <c r="B123" s="77" t="s">
        <v>5263</v>
      </c>
      <c r="C123" s="64" t="s">
        <v>1013</v>
      </c>
      <c r="D123" s="76"/>
      <c r="E123" s="5"/>
      <c r="F123" s="5"/>
      <c r="G123" s="5"/>
    </row>
    <row r="124" spans="1:7" ht="13">
      <c r="A124" s="64" t="s">
        <v>5274</v>
      </c>
      <c r="B124" s="79" t="str">
        <f>HYPERLINK("https://bulbapedia.bulbagarden.net/wiki/M_Manectric-EX_(Phantom_Forces_120)","MManectricEX")</f>
        <v>MManectricEX</v>
      </c>
      <c r="C124" s="64" t="s">
        <v>192</v>
      </c>
      <c r="D124" s="76"/>
      <c r="E124" s="5"/>
      <c r="F124" s="5"/>
      <c r="G124" s="5"/>
    </row>
    <row r="125" spans="1:7" ht="13">
      <c r="A125" s="64" t="s">
        <v>5275</v>
      </c>
      <c r="B125" s="79" t="str">
        <f>HYPERLINK("https://bulbapedia.bulbagarden.net/wiki/M_Gengar-EX_(Phantom_Forces_121)","MGengarEX")</f>
        <v>MGengarEX</v>
      </c>
      <c r="C125" s="64" t="s">
        <v>195</v>
      </c>
      <c r="D125" s="76"/>
      <c r="E125" s="5"/>
      <c r="F125" s="5"/>
      <c r="G125" s="5"/>
    </row>
    <row r="126" spans="1:7" ht="13">
      <c r="A126" s="64" t="s">
        <v>5276</v>
      </c>
      <c r="B126" s="78" t="str">
        <f>HYPERLINK("https://bulbapedia.bulbagarden.net/wiki/Dialga-EX_(Phantom_Forces_122)","DialgaEX")</f>
        <v>DialgaEX</v>
      </c>
      <c r="C126" s="64" t="s">
        <v>220</v>
      </c>
      <c r="D126" s="76"/>
      <c r="E126" s="5"/>
      <c r="F126" s="5"/>
      <c r="G126" s="5"/>
    </row>
    <row r="128" spans="1:7" ht="13">
      <c r="A128" s="64"/>
      <c r="B128" s="68"/>
      <c r="C128" s="64"/>
      <c r="D128" s="76"/>
      <c r="E128" s="5"/>
      <c r="F128" s="5"/>
      <c r="G128" s="5"/>
    </row>
    <row r="129" spans="1:7" ht="13">
      <c r="A129" s="64"/>
      <c r="B129" s="68"/>
      <c r="C129" s="64"/>
      <c r="D129" s="76"/>
      <c r="E129" s="5"/>
      <c r="F129" s="5"/>
      <c r="G129" s="5"/>
    </row>
    <row r="130" spans="1:7" ht="13">
      <c r="A130" s="64"/>
      <c r="B130" s="68"/>
      <c r="C130" s="64"/>
      <c r="D130" s="66"/>
      <c r="E130" s="5"/>
      <c r="F130" s="5"/>
      <c r="G130" s="5"/>
    </row>
    <row r="131" spans="1:7" ht="13">
      <c r="A131" s="64"/>
      <c r="B131" s="68"/>
      <c r="C131" s="64"/>
      <c r="D131" s="66"/>
      <c r="E131" s="5"/>
      <c r="F131" s="5"/>
      <c r="G131" s="5"/>
    </row>
    <row r="132" spans="1:7" ht="13">
      <c r="A132" s="64"/>
      <c r="B132" s="68"/>
      <c r="C132" s="64"/>
      <c r="D132" s="76"/>
      <c r="E132" s="5"/>
      <c r="F132" s="5"/>
      <c r="G132" s="5"/>
    </row>
    <row r="133" spans="1:7" ht="13">
      <c r="A133" s="64"/>
      <c r="B133" s="68"/>
      <c r="C133" s="64"/>
      <c r="D133" s="76"/>
      <c r="E133" s="5"/>
      <c r="F133" s="5"/>
      <c r="G133" s="5"/>
    </row>
    <row r="134" spans="1:7" ht="13">
      <c r="A134" s="64"/>
      <c r="B134" s="68"/>
      <c r="C134" s="64"/>
      <c r="D134" s="66"/>
      <c r="E134" s="5"/>
      <c r="F134" s="5"/>
      <c r="G134" s="5"/>
    </row>
    <row r="135" spans="1:7" ht="13">
      <c r="A135" s="64"/>
      <c r="B135" s="68"/>
      <c r="C135" s="64"/>
      <c r="D135" s="66"/>
      <c r="E135" s="5"/>
      <c r="F135" s="5"/>
      <c r="G135" s="5"/>
    </row>
    <row r="136" spans="1:7" ht="13">
      <c r="A136" s="64"/>
      <c r="B136" s="68"/>
      <c r="C136" s="64"/>
      <c r="D136" s="66"/>
      <c r="E136" s="5"/>
      <c r="F136" s="5"/>
      <c r="G136" s="5"/>
    </row>
    <row r="137" spans="1:7" ht="13">
      <c r="A137" s="64"/>
      <c r="B137" s="68"/>
      <c r="C137" s="64"/>
      <c r="D137" s="66"/>
      <c r="E137" s="5"/>
      <c r="F137" s="5"/>
      <c r="G137" s="5"/>
    </row>
    <row r="138" spans="1:7" ht="13">
      <c r="A138" s="64"/>
      <c r="B138" s="68"/>
      <c r="C138" s="64"/>
      <c r="D138" s="66"/>
      <c r="E138" s="5"/>
      <c r="F138" s="5"/>
      <c r="G138" s="5"/>
    </row>
    <row r="139" spans="1:7" ht="13">
      <c r="A139" s="64"/>
      <c r="B139" s="68"/>
      <c r="C139" s="64"/>
      <c r="D139" s="66"/>
      <c r="E139" s="5"/>
      <c r="F139" s="5"/>
      <c r="G139" s="5"/>
    </row>
    <row r="140" spans="1:7" ht="13">
      <c r="A140" s="64"/>
      <c r="B140" s="68"/>
      <c r="C140" s="64"/>
      <c r="D140" s="66"/>
      <c r="E140" s="5"/>
      <c r="F140" s="5"/>
      <c r="G140" s="5"/>
    </row>
    <row r="141" spans="1:7" ht="13">
      <c r="A141" s="64"/>
      <c r="B141" s="68"/>
      <c r="C141" s="64"/>
      <c r="D141" s="66"/>
      <c r="E141" s="5"/>
      <c r="F141" s="5"/>
      <c r="G141" s="5"/>
    </row>
    <row r="142" spans="1:7" ht="13">
      <c r="A142" s="64"/>
      <c r="B142" s="68"/>
      <c r="C142" s="64"/>
      <c r="D142" s="66"/>
      <c r="E142" s="5"/>
      <c r="F142" s="5"/>
      <c r="G142" s="5"/>
    </row>
    <row r="143" spans="1:7" ht="13">
      <c r="A143" s="64"/>
      <c r="B143" s="68"/>
      <c r="C143" s="64"/>
      <c r="D143" s="66"/>
      <c r="E143" s="5"/>
      <c r="F143" s="5"/>
      <c r="G143" s="5"/>
    </row>
    <row r="144" spans="1:7" ht="13">
      <c r="A144" s="64"/>
      <c r="B144" s="68"/>
      <c r="C144" s="64"/>
      <c r="D144" s="66"/>
      <c r="E144" s="5"/>
      <c r="F144" s="5"/>
      <c r="G144" s="5"/>
    </row>
    <row r="145" spans="1:7" ht="13">
      <c r="A145" s="64"/>
      <c r="B145" s="68"/>
      <c r="C145" s="64"/>
      <c r="D145" s="66"/>
      <c r="E145" s="5"/>
      <c r="F145" s="5"/>
      <c r="G145" s="5"/>
    </row>
    <row r="146" spans="1:7" ht="13">
      <c r="A146" s="64"/>
      <c r="B146" s="68"/>
      <c r="C146" s="64"/>
      <c r="D146" s="66"/>
      <c r="E146" s="5"/>
      <c r="F146" s="5"/>
      <c r="G146" s="5"/>
    </row>
    <row r="147" spans="1:7" ht="13">
      <c r="A147" s="64"/>
      <c r="B147" s="68"/>
      <c r="C147" s="64"/>
      <c r="D147" s="66"/>
      <c r="E147" s="5"/>
      <c r="F147" s="5"/>
      <c r="G147" s="5"/>
    </row>
    <row r="148" spans="1:7" ht="13">
      <c r="A148" s="64"/>
      <c r="B148" s="68"/>
      <c r="C148" s="64"/>
      <c r="D148" s="66"/>
      <c r="E148" s="5"/>
      <c r="F148" s="5"/>
      <c r="G148" s="5"/>
    </row>
    <row r="149" spans="1:7" ht="13">
      <c r="A149" s="64"/>
      <c r="B149" s="68"/>
      <c r="C149" s="64"/>
      <c r="D149" s="66"/>
      <c r="E149" s="5"/>
      <c r="F149" s="5"/>
      <c r="G149" s="5"/>
    </row>
    <row r="150" spans="1:7" ht="13">
      <c r="A150" s="64"/>
      <c r="B150" s="65"/>
      <c r="C150" s="64"/>
      <c r="D150" s="66"/>
      <c r="E150" s="5"/>
      <c r="F150" s="5"/>
      <c r="G150" s="5"/>
    </row>
    <row r="151" spans="1:7" ht="13">
      <c r="A151" s="64"/>
      <c r="B151" s="65"/>
      <c r="C151" s="64"/>
      <c r="D151" s="66"/>
      <c r="E151" s="5"/>
      <c r="F151" s="5"/>
      <c r="G151" s="5"/>
    </row>
    <row r="152" spans="1:7" ht="13">
      <c r="A152" s="64"/>
      <c r="B152" s="65"/>
      <c r="C152" s="64"/>
      <c r="D152" s="66"/>
      <c r="E152" s="5"/>
      <c r="F152" s="5"/>
      <c r="G152" s="5"/>
    </row>
    <row r="153" spans="1:7" ht="13">
      <c r="A153" s="64"/>
      <c r="B153" s="65"/>
      <c r="C153" s="64"/>
      <c r="D153" s="66"/>
      <c r="E153" s="5"/>
      <c r="F153" s="5"/>
      <c r="G153" s="5"/>
    </row>
    <row r="154" spans="1:7" ht="13">
      <c r="A154" s="64"/>
      <c r="B154" s="65"/>
      <c r="C154" s="64"/>
      <c r="D154" s="66"/>
      <c r="E154" s="5"/>
      <c r="F154" s="5"/>
      <c r="G154" s="5"/>
    </row>
    <row r="155" spans="1:7" ht="13">
      <c r="A155" s="64"/>
      <c r="B155" s="65"/>
      <c r="C155" s="64"/>
      <c r="D155" s="66"/>
      <c r="E155" s="5"/>
      <c r="F155" s="5"/>
      <c r="G155" s="5"/>
    </row>
    <row r="156" spans="1:7" ht="13">
      <c r="A156" s="64"/>
      <c r="B156" s="65"/>
      <c r="C156" s="64"/>
      <c r="D156" s="66"/>
      <c r="E156" s="5"/>
      <c r="F156" s="5"/>
      <c r="G156" s="5"/>
    </row>
    <row r="157" spans="1:7" ht="13">
      <c r="A157" s="64"/>
      <c r="B157" s="65"/>
      <c r="C157" s="64"/>
      <c r="D157" s="66"/>
      <c r="E157" s="5"/>
      <c r="F157" s="5"/>
      <c r="G157" s="5"/>
    </row>
    <row r="158" spans="1:7" ht="13">
      <c r="A158" s="64"/>
      <c r="B158" s="65"/>
      <c r="C158" s="64"/>
      <c r="D158" s="66"/>
      <c r="E158" s="5"/>
      <c r="F158" s="5"/>
      <c r="G158" s="5"/>
    </row>
    <row r="159" spans="1:7" ht="13">
      <c r="A159" s="64"/>
      <c r="B159" s="67"/>
      <c r="C159" s="64"/>
      <c r="D159" s="66"/>
      <c r="E159" s="5"/>
      <c r="F159" s="5"/>
      <c r="G159" s="5"/>
    </row>
    <row r="160" spans="1:7" ht="13">
      <c r="A160" s="64"/>
      <c r="B160" s="65"/>
      <c r="C160" s="64"/>
      <c r="D160" s="66"/>
      <c r="E160" s="5"/>
      <c r="F160" s="5"/>
      <c r="G160" s="5"/>
    </row>
    <row r="161" spans="1:7" ht="13">
      <c r="A161" s="64"/>
      <c r="B161" s="67"/>
      <c r="C161" s="64"/>
      <c r="D161" s="66"/>
      <c r="E161" s="5"/>
      <c r="F161" s="5"/>
      <c r="G161" s="5"/>
    </row>
    <row r="162" spans="1:7" ht="13">
      <c r="A162" s="64"/>
      <c r="B162" s="68"/>
      <c r="C162" s="64"/>
      <c r="D162" s="66"/>
      <c r="E162" s="5"/>
      <c r="F162" s="5"/>
      <c r="G162" s="5"/>
    </row>
    <row r="163" spans="1:7" ht="13">
      <c r="A163" s="64"/>
      <c r="B163" s="68"/>
      <c r="C163" s="64"/>
      <c r="D163" s="66"/>
      <c r="E163" s="5"/>
      <c r="F163" s="5"/>
      <c r="G163" s="5"/>
    </row>
    <row r="164" spans="1:7" ht="13">
      <c r="A164" s="64"/>
      <c r="B164" s="68"/>
      <c r="C164" s="64"/>
      <c r="D164" s="66"/>
      <c r="E164" s="5"/>
      <c r="F164" s="5"/>
      <c r="G164" s="5"/>
    </row>
    <row r="165" spans="1:7" ht="13">
      <c r="A165" s="64"/>
      <c r="B165" s="68"/>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8"/>
      <c r="C168" s="64"/>
      <c r="D168" s="66"/>
      <c r="E168" s="5"/>
      <c r="F168" s="5"/>
      <c r="G168" s="5"/>
    </row>
    <row r="169" spans="1:7" ht="13">
      <c r="A169" s="64"/>
      <c r="B169" s="68"/>
      <c r="C169" s="64"/>
      <c r="D169" s="66"/>
      <c r="E169" s="5"/>
      <c r="F169" s="5"/>
      <c r="G169"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5" r:id="rId1" xr:uid="{00000000-0004-0000-4700-000000000000}"/>
    <hyperlink ref="B6" r:id="rId2" xr:uid="{00000000-0004-0000-4700-000001000000}"/>
    <hyperlink ref="B7" r:id="rId3" xr:uid="{00000000-0004-0000-4700-000002000000}"/>
    <hyperlink ref="B8" r:id="rId4" xr:uid="{00000000-0004-0000-4700-000003000000}"/>
    <hyperlink ref="B9" r:id="rId5" xr:uid="{00000000-0004-0000-4700-000004000000}"/>
    <hyperlink ref="B10" r:id="rId6" xr:uid="{00000000-0004-0000-4700-000005000000}"/>
    <hyperlink ref="B11" r:id="rId7" xr:uid="{00000000-0004-0000-4700-000006000000}"/>
    <hyperlink ref="B12" r:id="rId8" xr:uid="{00000000-0004-0000-4700-000007000000}"/>
    <hyperlink ref="B13" r:id="rId9" xr:uid="{00000000-0004-0000-4700-000008000000}"/>
    <hyperlink ref="B14" r:id="rId10" xr:uid="{00000000-0004-0000-4700-000009000000}"/>
    <hyperlink ref="B15" r:id="rId11" xr:uid="{00000000-0004-0000-4700-00000A000000}"/>
    <hyperlink ref="B16" r:id="rId12" xr:uid="{00000000-0004-0000-4700-00000B000000}"/>
    <hyperlink ref="B17" r:id="rId13" xr:uid="{00000000-0004-0000-4700-00000C000000}"/>
    <hyperlink ref="B18" r:id="rId14" xr:uid="{00000000-0004-0000-4700-00000D000000}"/>
    <hyperlink ref="B19" r:id="rId15" xr:uid="{00000000-0004-0000-4700-00000E000000}"/>
    <hyperlink ref="B20" r:id="rId16" xr:uid="{00000000-0004-0000-4700-00000F000000}"/>
    <hyperlink ref="B21" r:id="rId17" xr:uid="{00000000-0004-0000-4700-000010000000}"/>
    <hyperlink ref="B22" r:id="rId18" xr:uid="{00000000-0004-0000-4700-000011000000}"/>
    <hyperlink ref="B23" r:id="rId19" xr:uid="{00000000-0004-0000-4700-000012000000}"/>
    <hyperlink ref="B24" r:id="rId20" xr:uid="{00000000-0004-0000-4700-000013000000}"/>
    <hyperlink ref="B25" r:id="rId21" xr:uid="{00000000-0004-0000-4700-000014000000}"/>
    <hyperlink ref="B26" r:id="rId22" xr:uid="{00000000-0004-0000-4700-000015000000}"/>
    <hyperlink ref="B29" r:id="rId23" xr:uid="{00000000-0004-0000-4700-000016000000}"/>
    <hyperlink ref="B30" r:id="rId24" xr:uid="{00000000-0004-0000-4700-000017000000}"/>
    <hyperlink ref="B31" r:id="rId25" xr:uid="{00000000-0004-0000-4700-000018000000}"/>
    <hyperlink ref="B32" r:id="rId26" xr:uid="{00000000-0004-0000-4700-000019000000}"/>
    <hyperlink ref="B33" r:id="rId27" xr:uid="{00000000-0004-0000-4700-00001A000000}"/>
    <hyperlink ref="B34" r:id="rId28" xr:uid="{00000000-0004-0000-4700-00001B000000}"/>
    <hyperlink ref="B35" r:id="rId29" xr:uid="{00000000-0004-0000-4700-00001C000000}"/>
    <hyperlink ref="B36" r:id="rId30" xr:uid="{00000000-0004-0000-4700-00001D000000}"/>
    <hyperlink ref="B37" r:id="rId31" xr:uid="{00000000-0004-0000-4700-00001E000000}"/>
    <hyperlink ref="B40" r:id="rId32" xr:uid="{00000000-0004-0000-4700-00001F000000}"/>
    <hyperlink ref="B41" r:id="rId33" xr:uid="{00000000-0004-0000-4700-000020000000}"/>
    <hyperlink ref="B42" r:id="rId34" xr:uid="{00000000-0004-0000-4700-000021000000}"/>
    <hyperlink ref="B43" r:id="rId35" xr:uid="{00000000-0004-0000-4700-000022000000}"/>
    <hyperlink ref="B44" r:id="rId36" xr:uid="{00000000-0004-0000-4700-000023000000}"/>
    <hyperlink ref="B45" r:id="rId37" xr:uid="{00000000-0004-0000-4700-000024000000}"/>
    <hyperlink ref="B46" r:id="rId38" xr:uid="{00000000-0004-0000-4700-000025000000}"/>
    <hyperlink ref="B47" r:id="rId39" xr:uid="{00000000-0004-0000-4700-000026000000}"/>
    <hyperlink ref="B48" r:id="rId40" xr:uid="{00000000-0004-0000-4700-000027000000}"/>
    <hyperlink ref="B49" r:id="rId41" xr:uid="{00000000-0004-0000-4700-000028000000}"/>
    <hyperlink ref="B50" r:id="rId42" xr:uid="{00000000-0004-0000-4700-000029000000}"/>
    <hyperlink ref="B51" r:id="rId43" xr:uid="{00000000-0004-0000-4700-00002A000000}"/>
    <hyperlink ref="B52" r:id="rId44" xr:uid="{00000000-0004-0000-4700-00002B000000}"/>
    <hyperlink ref="B53" r:id="rId45" xr:uid="{00000000-0004-0000-4700-00002C000000}"/>
    <hyperlink ref="B54" r:id="rId46" xr:uid="{00000000-0004-0000-4700-00002D000000}"/>
    <hyperlink ref="B55" r:id="rId47" xr:uid="{00000000-0004-0000-4700-00002E000000}"/>
    <hyperlink ref="B56" r:id="rId48" xr:uid="{00000000-0004-0000-4700-00002F000000}"/>
    <hyperlink ref="B57" r:id="rId49" xr:uid="{00000000-0004-0000-4700-000030000000}"/>
    <hyperlink ref="B58" r:id="rId50" xr:uid="{00000000-0004-0000-4700-000031000000}"/>
    <hyperlink ref="B59" r:id="rId51" xr:uid="{00000000-0004-0000-4700-000032000000}"/>
    <hyperlink ref="B60" r:id="rId52" xr:uid="{00000000-0004-0000-4700-000033000000}"/>
    <hyperlink ref="B61" r:id="rId53" xr:uid="{00000000-0004-0000-4700-000034000000}"/>
    <hyperlink ref="B63" r:id="rId54" xr:uid="{00000000-0004-0000-4700-000035000000}"/>
    <hyperlink ref="B64" r:id="rId55" xr:uid="{00000000-0004-0000-4700-000036000000}"/>
    <hyperlink ref="B65" r:id="rId56" xr:uid="{00000000-0004-0000-4700-000037000000}"/>
    <hyperlink ref="B67" r:id="rId57" xr:uid="{00000000-0004-0000-4700-000038000000}"/>
    <hyperlink ref="B68" r:id="rId58" xr:uid="{00000000-0004-0000-4700-000039000000}"/>
    <hyperlink ref="B70" r:id="rId59" xr:uid="{00000000-0004-0000-4700-00003A000000}"/>
    <hyperlink ref="B72" r:id="rId60" xr:uid="{00000000-0004-0000-4700-00003B000000}"/>
    <hyperlink ref="B73" r:id="rId61" xr:uid="{00000000-0004-0000-4700-00003C000000}"/>
    <hyperlink ref="B74" r:id="rId62" xr:uid="{00000000-0004-0000-4700-00003D000000}"/>
    <hyperlink ref="B75" r:id="rId63" xr:uid="{00000000-0004-0000-4700-00003E000000}"/>
    <hyperlink ref="B76" r:id="rId64" xr:uid="{00000000-0004-0000-4700-00003F000000}"/>
    <hyperlink ref="B77" r:id="rId65" xr:uid="{00000000-0004-0000-4700-000040000000}"/>
    <hyperlink ref="B78" r:id="rId66" xr:uid="{00000000-0004-0000-4700-000041000000}"/>
    <hyperlink ref="B79" r:id="rId67" xr:uid="{00000000-0004-0000-4700-000042000000}"/>
    <hyperlink ref="B80" r:id="rId68" xr:uid="{00000000-0004-0000-4700-000043000000}"/>
    <hyperlink ref="B81" r:id="rId69" xr:uid="{00000000-0004-0000-4700-000044000000}"/>
    <hyperlink ref="B82" r:id="rId70" xr:uid="{00000000-0004-0000-4700-000045000000}"/>
    <hyperlink ref="B83" r:id="rId71" xr:uid="{00000000-0004-0000-4700-000046000000}"/>
    <hyperlink ref="B84" r:id="rId72" xr:uid="{00000000-0004-0000-4700-000047000000}"/>
    <hyperlink ref="B85" r:id="rId73" xr:uid="{00000000-0004-0000-4700-000048000000}"/>
    <hyperlink ref="B86" r:id="rId74" xr:uid="{00000000-0004-0000-4700-000049000000}"/>
    <hyperlink ref="B87" r:id="rId75" xr:uid="{00000000-0004-0000-4700-00004A000000}"/>
    <hyperlink ref="B88" r:id="rId76" xr:uid="{00000000-0004-0000-4700-00004B000000}"/>
    <hyperlink ref="B89" r:id="rId77" xr:uid="{00000000-0004-0000-4700-00004C000000}"/>
    <hyperlink ref="B90" r:id="rId78" xr:uid="{00000000-0004-0000-4700-00004D000000}"/>
    <hyperlink ref="B91" r:id="rId79" xr:uid="{00000000-0004-0000-4700-00004E000000}"/>
    <hyperlink ref="B92" r:id="rId80" xr:uid="{00000000-0004-0000-4700-00004F000000}"/>
    <hyperlink ref="B93" r:id="rId81" xr:uid="{00000000-0004-0000-4700-000050000000}"/>
    <hyperlink ref="B94" r:id="rId82" xr:uid="{00000000-0004-0000-4700-000051000000}"/>
    <hyperlink ref="B95" r:id="rId83" xr:uid="{00000000-0004-0000-4700-000052000000}"/>
    <hyperlink ref="B96" r:id="rId84" xr:uid="{00000000-0004-0000-4700-000053000000}"/>
    <hyperlink ref="B97" r:id="rId85" xr:uid="{00000000-0004-0000-4700-000054000000}"/>
    <hyperlink ref="B98" r:id="rId86" xr:uid="{00000000-0004-0000-4700-000055000000}"/>
    <hyperlink ref="B99" r:id="rId87" xr:uid="{00000000-0004-0000-4700-000056000000}"/>
    <hyperlink ref="B100" r:id="rId88" xr:uid="{00000000-0004-0000-4700-000057000000}"/>
    <hyperlink ref="B101" r:id="rId89" xr:uid="{00000000-0004-0000-4700-000058000000}"/>
    <hyperlink ref="B102" r:id="rId90" xr:uid="{00000000-0004-0000-4700-000059000000}"/>
    <hyperlink ref="B103" r:id="rId91" xr:uid="{00000000-0004-0000-4700-00005A000000}"/>
    <hyperlink ref="B104" r:id="rId92" xr:uid="{00000000-0004-0000-4700-00005B000000}"/>
    <hyperlink ref="B105" r:id="rId93" xr:uid="{00000000-0004-0000-4700-00005C000000}"/>
    <hyperlink ref="B106" r:id="rId94" xr:uid="{00000000-0004-0000-4700-00005D000000}"/>
    <hyperlink ref="B107" r:id="rId95" xr:uid="{00000000-0004-0000-4700-00005E000000}"/>
    <hyperlink ref="B108" r:id="rId96" xr:uid="{00000000-0004-0000-4700-00005F000000}"/>
    <hyperlink ref="B109" r:id="rId97" xr:uid="{00000000-0004-0000-4700-000060000000}"/>
    <hyperlink ref="B110" r:id="rId98" xr:uid="{00000000-0004-0000-4700-000061000000}"/>
    <hyperlink ref="B111" r:id="rId99" xr:uid="{00000000-0004-0000-4700-000062000000}"/>
    <hyperlink ref="B112" r:id="rId100" xr:uid="{00000000-0004-0000-4700-000063000000}"/>
    <hyperlink ref="B113" r:id="rId101" xr:uid="{00000000-0004-0000-4700-000064000000}"/>
    <hyperlink ref="B114" r:id="rId102" xr:uid="{00000000-0004-0000-4700-000065000000}"/>
    <hyperlink ref="B115" r:id="rId103" xr:uid="{00000000-0004-0000-4700-000066000000}"/>
    <hyperlink ref="B116" r:id="rId104" xr:uid="{00000000-0004-0000-4700-000067000000}"/>
    <hyperlink ref="B121" r:id="rId105" xr:uid="{00000000-0004-0000-4700-000068000000}"/>
    <hyperlink ref="B122" r:id="rId106" xr:uid="{00000000-0004-0000-4700-000069000000}"/>
    <hyperlink ref="B123" r:id="rId107" xr:uid="{00000000-0004-0000-4700-00006A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3">
    <outlinePr summaryBelow="0" summaryRight="0"/>
  </sheetPr>
  <dimension ref="A1:I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3.5" customWidth="1"/>
    <col min="3" max="3" width="13.5" customWidth="1"/>
    <col min="4" max="4" width="14.83203125" customWidth="1"/>
    <col min="5" max="5" width="14.33203125" customWidth="1"/>
  </cols>
  <sheetData>
    <row r="1" spans="1:9" ht="15.75" customHeight="1">
      <c r="A1" s="1" t="s">
        <v>108</v>
      </c>
      <c r="B1" s="36"/>
      <c r="C1" s="37"/>
      <c r="D1" s="7" t="s">
        <v>181</v>
      </c>
      <c r="E1" s="5"/>
      <c r="F1" s="5"/>
      <c r="G1" s="5"/>
    </row>
    <row r="2" spans="1:9" ht="15.75" customHeight="1">
      <c r="A2" s="7" t="s">
        <v>182</v>
      </c>
      <c r="B2" s="38">
        <v>42039</v>
      </c>
      <c r="C2" s="37"/>
      <c r="D2" s="39">
        <f>SUM(D5:G168)</f>
        <v>0</v>
      </c>
      <c r="E2" s="5"/>
      <c r="F2" s="5"/>
      <c r="G2" s="5"/>
    </row>
    <row r="3" spans="1:9" ht="15.75" customHeight="1">
      <c r="B3" s="41"/>
      <c r="C3" s="37"/>
      <c r="D3" s="5"/>
      <c r="E3" s="5"/>
      <c r="F3" s="5"/>
      <c r="G3" s="5"/>
    </row>
    <row r="4" spans="1:9" ht="15.75" customHeight="1">
      <c r="A4" s="42" t="s">
        <v>183</v>
      </c>
      <c r="B4" s="43" t="s">
        <v>184</v>
      </c>
      <c r="C4" s="43" t="s">
        <v>185</v>
      </c>
      <c r="D4" s="42" t="s">
        <v>186</v>
      </c>
      <c r="E4" s="44" t="s">
        <v>187</v>
      </c>
      <c r="F4" s="44" t="s">
        <v>188</v>
      </c>
      <c r="G4" s="44" t="s">
        <v>189</v>
      </c>
      <c r="H4" s="44" t="s">
        <v>190</v>
      </c>
      <c r="I4" s="44"/>
    </row>
    <row r="5" spans="1:9" ht="15.75" customHeight="1">
      <c r="A5" s="64" t="s">
        <v>5277</v>
      </c>
      <c r="B5" s="77" t="s">
        <v>300</v>
      </c>
      <c r="C5" s="64" t="s">
        <v>205</v>
      </c>
      <c r="D5" s="51"/>
      <c r="E5" s="5"/>
      <c r="F5" s="5"/>
      <c r="G5" s="5"/>
    </row>
    <row r="6" spans="1:9" ht="15.75" customHeight="1">
      <c r="A6" s="64" t="s">
        <v>5278</v>
      </c>
      <c r="B6" s="77" t="s">
        <v>266</v>
      </c>
      <c r="C6" s="64" t="s">
        <v>205</v>
      </c>
      <c r="D6" s="76"/>
      <c r="E6" s="5"/>
      <c r="F6" s="5"/>
      <c r="G6" s="5"/>
    </row>
    <row r="7" spans="1:9" ht="15.75" customHeight="1">
      <c r="A7" s="64" t="s">
        <v>5279</v>
      </c>
      <c r="B7" s="77" t="s">
        <v>253</v>
      </c>
      <c r="C7" s="64" t="s">
        <v>205</v>
      </c>
      <c r="D7" s="76"/>
      <c r="E7" s="5"/>
      <c r="F7" s="5"/>
      <c r="G7" s="5"/>
    </row>
    <row r="8" spans="1:9" ht="15.75" customHeight="1">
      <c r="A8" s="64" t="s">
        <v>5280</v>
      </c>
      <c r="B8" s="77" t="s">
        <v>297</v>
      </c>
      <c r="C8" s="64" t="s">
        <v>205</v>
      </c>
      <c r="D8" s="72"/>
      <c r="E8" s="5"/>
      <c r="F8" s="5"/>
      <c r="G8" s="5"/>
    </row>
    <row r="9" spans="1:9" ht="15.75" customHeight="1">
      <c r="A9" s="64" t="s">
        <v>5281</v>
      </c>
      <c r="B9" s="77" t="s">
        <v>3339</v>
      </c>
      <c r="C9" s="64" t="s">
        <v>205</v>
      </c>
      <c r="D9" s="76"/>
      <c r="E9" s="5"/>
      <c r="F9" s="5"/>
      <c r="G9" s="5"/>
    </row>
    <row r="10" spans="1:9" ht="15.75" customHeight="1">
      <c r="A10" s="64" t="s">
        <v>5282</v>
      </c>
      <c r="B10" s="77" t="s">
        <v>1187</v>
      </c>
      <c r="C10" s="64" t="s">
        <v>205</v>
      </c>
      <c r="D10" s="76"/>
      <c r="E10" s="5"/>
      <c r="F10" s="5"/>
      <c r="G10" s="5"/>
    </row>
    <row r="11" spans="1:9" ht="15.75" customHeight="1">
      <c r="A11" s="64" t="s">
        <v>5283</v>
      </c>
      <c r="B11" s="77" t="s">
        <v>1188</v>
      </c>
      <c r="C11" s="64" t="s">
        <v>205</v>
      </c>
      <c r="D11" s="76"/>
      <c r="E11" s="5"/>
      <c r="F11" s="5"/>
      <c r="G11" s="5"/>
    </row>
    <row r="12" spans="1:9" ht="15.75" customHeight="1">
      <c r="A12" s="64" t="s">
        <v>5284</v>
      </c>
      <c r="B12" s="77" t="s">
        <v>1228</v>
      </c>
      <c r="C12" s="64" t="s">
        <v>205</v>
      </c>
      <c r="D12" s="76"/>
      <c r="E12" s="5"/>
      <c r="F12" s="5"/>
      <c r="G12" s="5"/>
    </row>
    <row r="13" spans="1:9" ht="15.75" customHeight="1">
      <c r="A13" s="64" t="s">
        <v>5285</v>
      </c>
      <c r="B13" s="77" t="s">
        <v>1228</v>
      </c>
      <c r="C13" s="64" t="s">
        <v>205</v>
      </c>
      <c r="D13" s="76"/>
      <c r="E13" s="5"/>
      <c r="F13" s="5"/>
      <c r="G13" s="5"/>
    </row>
    <row r="14" spans="1:9" ht="15.75" customHeight="1">
      <c r="A14" s="64" t="s">
        <v>5286</v>
      </c>
      <c r="B14" s="77" t="s">
        <v>1443</v>
      </c>
      <c r="C14" s="64" t="s">
        <v>205</v>
      </c>
      <c r="D14" s="72"/>
      <c r="E14" s="5"/>
      <c r="F14" s="5"/>
      <c r="G14" s="5"/>
    </row>
    <row r="15" spans="1:9" ht="15.75" customHeight="1">
      <c r="A15" s="64" t="s">
        <v>5287</v>
      </c>
      <c r="B15" s="77" t="s">
        <v>1416</v>
      </c>
      <c r="C15" s="64" t="s">
        <v>205</v>
      </c>
      <c r="D15" s="72"/>
      <c r="E15" s="5"/>
      <c r="F15" s="5"/>
      <c r="G15" s="5"/>
    </row>
    <row r="16" spans="1:9" ht="15.75" customHeight="1">
      <c r="A16" s="64" t="s">
        <v>5288</v>
      </c>
      <c r="B16" s="77" t="s">
        <v>1195</v>
      </c>
      <c r="C16" s="64" t="s">
        <v>205</v>
      </c>
      <c r="D16" s="76"/>
      <c r="E16" s="5"/>
      <c r="F16" s="5"/>
      <c r="G16" s="5"/>
    </row>
    <row r="17" spans="1:7" ht="15.75" customHeight="1">
      <c r="A17" s="64" t="s">
        <v>5289</v>
      </c>
      <c r="B17" s="77" t="s">
        <v>1891</v>
      </c>
      <c r="C17" s="64" t="s">
        <v>205</v>
      </c>
      <c r="D17" s="72"/>
      <c r="E17" s="5"/>
      <c r="F17" s="5"/>
      <c r="G17" s="5"/>
    </row>
    <row r="18" spans="1:7" ht="15.75" customHeight="1">
      <c r="A18" s="64" t="s">
        <v>5290</v>
      </c>
      <c r="B18" s="77" t="s">
        <v>1818</v>
      </c>
      <c r="C18" s="64" t="s">
        <v>205</v>
      </c>
      <c r="D18" s="76"/>
      <c r="E18" s="5"/>
      <c r="F18" s="5"/>
      <c r="G18" s="5"/>
    </row>
    <row r="19" spans="1:7" ht="15.75" customHeight="1">
      <c r="A19" s="64" t="s">
        <v>5291</v>
      </c>
      <c r="B19" s="77" t="s">
        <v>1311</v>
      </c>
      <c r="C19" s="64" t="s">
        <v>205</v>
      </c>
      <c r="D19" s="72"/>
      <c r="E19" s="5"/>
      <c r="F19" s="5"/>
      <c r="G19" s="5"/>
    </row>
    <row r="20" spans="1:7" ht="15.75" customHeight="1">
      <c r="A20" s="64" t="s">
        <v>5292</v>
      </c>
      <c r="B20" s="77" t="s">
        <v>1237</v>
      </c>
      <c r="C20" s="64" t="s">
        <v>205</v>
      </c>
      <c r="D20" s="76"/>
      <c r="E20" s="5"/>
      <c r="F20" s="5"/>
      <c r="G20" s="5"/>
    </row>
    <row r="21" spans="1:7" ht="15.75" customHeight="1">
      <c r="A21" s="64" t="s">
        <v>5293</v>
      </c>
      <c r="B21" s="77" t="s">
        <v>1426</v>
      </c>
      <c r="C21" s="64" t="s">
        <v>205</v>
      </c>
      <c r="D21" s="76"/>
      <c r="E21" s="5"/>
      <c r="F21" s="5"/>
      <c r="G21" s="5"/>
    </row>
    <row r="22" spans="1:7" ht="15.75" customHeight="1">
      <c r="A22" s="64" t="s">
        <v>5294</v>
      </c>
      <c r="B22" s="77" t="s">
        <v>1407</v>
      </c>
      <c r="C22" s="64" t="s">
        <v>205</v>
      </c>
      <c r="D22" s="76"/>
      <c r="E22" s="5"/>
      <c r="F22" s="5"/>
      <c r="G22" s="5"/>
    </row>
    <row r="23" spans="1:7" ht="15.75" customHeight="1">
      <c r="A23" s="64" t="s">
        <v>5295</v>
      </c>
      <c r="B23" s="78" t="str">
        <f>HYPERLINK("https://bulbapedia.bulbagarden.net/wiki/Trevenant-EX_(Primal_Clash_19)","TrevenantEX")</f>
        <v>TrevenantEX</v>
      </c>
      <c r="C23" s="64" t="s">
        <v>205</v>
      </c>
      <c r="D23" s="76"/>
      <c r="E23" s="5"/>
      <c r="F23" s="5"/>
      <c r="G23" s="5"/>
    </row>
    <row r="24" spans="1:7" ht="15.75" customHeight="1">
      <c r="A24" s="64" t="s">
        <v>5296</v>
      </c>
      <c r="B24" s="77" t="s">
        <v>299</v>
      </c>
      <c r="C24" s="64" t="s">
        <v>199</v>
      </c>
      <c r="D24" s="76"/>
      <c r="E24" s="5"/>
      <c r="F24" s="5"/>
      <c r="G24" s="5"/>
    </row>
    <row r="25" spans="1:7" ht="15.75" customHeight="1">
      <c r="A25" s="64" t="s">
        <v>5297</v>
      </c>
      <c r="B25" s="77" t="s">
        <v>249</v>
      </c>
      <c r="C25" s="64" t="s">
        <v>199</v>
      </c>
      <c r="D25" s="72"/>
      <c r="E25" s="5"/>
      <c r="F25" s="5"/>
      <c r="G25" s="5"/>
    </row>
    <row r="26" spans="1:7" ht="15.75" customHeight="1">
      <c r="A26" s="64" t="s">
        <v>5298</v>
      </c>
      <c r="B26" s="77" t="s">
        <v>980</v>
      </c>
      <c r="C26" s="64" t="s">
        <v>199</v>
      </c>
      <c r="D26" s="72"/>
      <c r="E26" s="5"/>
      <c r="F26" s="5"/>
      <c r="G26" s="5"/>
    </row>
    <row r="27" spans="1:7" ht="15.75" customHeight="1">
      <c r="A27" s="64" t="s">
        <v>5299</v>
      </c>
      <c r="B27" s="77" t="s">
        <v>974</v>
      </c>
      <c r="C27" s="64" t="s">
        <v>199</v>
      </c>
      <c r="D27" s="72"/>
      <c r="E27" s="5"/>
      <c r="F27" s="5"/>
      <c r="G27" s="5"/>
    </row>
    <row r="28" spans="1:7" ht="15.75" customHeight="1">
      <c r="A28" s="64" t="s">
        <v>5300</v>
      </c>
      <c r="B28" s="77" t="s">
        <v>974</v>
      </c>
      <c r="C28" s="64" t="s">
        <v>199</v>
      </c>
      <c r="D28" s="72"/>
      <c r="E28" s="5"/>
      <c r="F28" s="5"/>
      <c r="G28" s="5"/>
    </row>
    <row r="29" spans="1:7" ht="15.75" customHeight="1">
      <c r="A29" s="64" t="s">
        <v>5301</v>
      </c>
      <c r="B29" s="77" t="s">
        <v>1190</v>
      </c>
      <c r="C29" s="64" t="s">
        <v>199</v>
      </c>
      <c r="D29" s="72"/>
      <c r="E29" s="5"/>
      <c r="F29" s="5"/>
      <c r="G29" s="5"/>
    </row>
    <row r="30" spans="1:7" ht="15.75" customHeight="1">
      <c r="A30" s="64" t="s">
        <v>5302</v>
      </c>
      <c r="B30" s="77" t="s">
        <v>1190</v>
      </c>
      <c r="C30" s="64" t="s">
        <v>199</v>
      </c>
      <c r="D30" s="76"/>
      <c r="E30" s="5"/>
      <c r="F30" s="5"/>
      <c r="G30" s="5"/>
    </row>
    <row r="31" spans="1:7" ht="15.75" customHeight="1">
      <c r="A31" s="64" t="s">
        <v>5303</v>
      </c>
      <c r="B31" s="77" t="s">
        <v>1191</v>
      </c>
      <c r="C31" s="64" t="s">
        <v>199</v>
      </c>
      <c r="D31" s="72"/>
      <c r="E31" s="5"/>
      <c r="F31" s="5"/>
      <c r="G31" s="5"/>
    </row>
    <row r="32" spans="1:7" ht="15.75" customHeight="1">
      <c r="A32" s="64" t="s">
        <v>5304</v>
      </c>
      <c r="B32" s="77" t="s">
        <v>1212</v>
      </c>
      <c r="C32" s="64" t="s">
        <v>199</v>
      </c>
      <c r="D32" s="76"/>
      <c r="E32" s="5"/>
      <c r="F32" s="5"/>
      <c r="G32" s="5"/>
    </row>
    <row r="33" spans="1:7" ht="15.75" customHeight="1">
      <c r="A33" s="64" t="s">
        <v>5305</v>
      </c>
      <c r="B33" s="78" t="str">
        <f>HYPERLINK("https://bulbapedia.bulbagarden.net/wiki/Camerupt-EX_(Primal_Clash_29)","CameruptEX")</f>
        <v>CameruptEX</v>
      </c>
      <c r="C33" s="64" t="s">
        <v>199</v>
      </c>
      <c r="D33" s="76"/>
      <c r="E33" s="5"/>
      <c r="F33" s="5"/>
      <c r="G33" s="5"/>
    </row>
    <row r="34" spans="1:7" ht="15.75" customHeight="1">
      <c r="A34" s="64" t="s">
        <v>5306</v>
      </c>
      <c r="B34" s="77" t="s">
        <v>382</v>
      </c>
      <c r="C34" s="64" t="s">
        <v>208</v>
      </c>
      <c r="D34" s="76"/>
      <c r="E34" s="5"/>
      <c r="F34" s="5"/>
      <c r="G34" s="5"/>
    </row>
    <row r="35" spans="1:7" ht="15.75" customHeight="1">
      <c r="A35" s="64" t="s">
        <v>5307</v>
      </c>
      <c r="B35" s="77" t="s">
        <v>375</v>
      </c>
      <c r="C35" s="64" t="s">
        <v>208</v>
      </c>
      <c r="D35" s="72"/>
      <c r="E35" s="5"/>
      <c r="F35" s="5"/>
      <c r="G35" s="5"/>
    </row>
    <row r="36" spans="1:7" ht="15.75" customHeight="1">
      <c r="A36" s="64" t="s">
        <v>5308</v>
      </c>
      <c r="B36" s="77" t="s">
        <v>296</v>
      </c>
      <c r="C36" s="64" t="s">
        <v>208</v>
      </c>
      <c r="D36" s="72"/>
      <c r="E36" s="5"/>
      <c r="F36" s="5"/>
      <c r="G36" s="5"/>
    </row>
    <row r="37" spans="1:7" ht="15.75" customHeight="1">
      <c r="A37" s="64" t="s">
        <v>5309</v>
      </c>
      <c r="B37" s="77" t="s">
        <v>1189</v>
      </c>
      <c r="C37" s="64" t="s">
        <v>208</v>
      </c>
      <c r="D37" s="76"/>
      <c r="E37" s="51"/>
      <c r="F37" s="5"/>
      <c r="G37" s="5"/>
    </row>
    <row r="38" spans="1:7" ht="15.75" customHeight="1">
      <c r="A38" s="64" t="s">
        <v>5310</v>
      </c>
      <c r="B38" s="77" t="s">
        <v>1192</v>
      </c>
      <c r="C38" s="64" t="s">
        <v>208</v>
      </c>
      <c r="D38" s="76"/>
      <c r="E38" s="5"/>
      <c r="F38" s="5"/>
      <c r="G38" s="5"/>
    </row>
    <row r="39" spans="1:7" ht="15.75" customHeight="1">
      <c r="A39" s="64" t="s">
        <v>5311</v>
      </c>
      <c r="B39" s="77" t="s">
        <v>1232</v>
      </c>
      <c r="C39" s="64" t="s">
        <v>208</v>
      </c>
      <c r="D39" s="76"/>
      <c r="E39" s="5"/>
      <c r="F39" s="5"/>
      <c r="G39" s="5"/>
    </row>
    <row r="40" spans="1:7" ht="15.75" customHeight="1">
      <c r="A40" s="64" t="s">
        <v>5312</v>
      </c>
      <c r="B40" s="77" t="s">
        <v>1232</v>
      </c>
      <c r="C40" s="64" t="s">
        <v>208</v>
      </c>
      <c r="D40" s="76"/>
      <c r="E40" s="5"/>
      <c r="F40" s="5"/>
      <c r="G40" s="5"/>
    </row>
    <row r="41" spans="1:7" ht="15.75" customHeight="1">
      <c r="A41" s="64" t="s">
        <v>5313</v>
      </c>
      <c r="B41" s="77" t="s">
        <v>1195</v>
      </c>
      <c r="C41" s="64" t="s">
        <v>208</v>
      </c>
      <c r="D41" s="76"/>
      <c r="E41" s="5"/>
      <c r="F41" s="5"/>
      <c r="G41" s="5"/>
    </row>
    <row r="42" spans="1:7" ht="15.75" customHeight="1">
      <c r="A42" s="64" t="s">
        <v>5314</v>
      </c>
      <c r="B42" s="78" t="str">
        <f>HYPERLINK("https://bulbapedia.bulbagarden.net/wiki/Wailord-EX_(Primal_Clash_38)","WailordEX")</f>
        <v>WailordEX</v>
      </c>
      <c r="C42" s="64" t="s">
        <v>208</v>
      </c>
      <c r="D42" s="76"/>
      <c r="E42" s="5"/>
      <c r="F42" s="5"/>
      <c r="G42" s="5"/>
    </row>
    <row r="43" spans="1:7" ht="15.75" customHeight="1">
      <c r="A43" s="64" t="s">
        <v>5315</v>
      </c>
      <c r="B43" s="77" t="s">
        <v>1559</v>
      </c>
      <c r="C43" s="64" t="s">
        <v>208</v>
      </c>
      <c r="D43" s="72"/>
      <c r="E43" s="5"/>
      <c r="F43" s="5"/>
      <c r="G43" s="5"/>
    </row>
    <row r="44" spans="1:7" ht="15.75" customHeight="1">
      <c r="A44" s="64" t="s">
        <v>5316</v>
      </c>
      <c r="B44" s="77" t="s">
        <v>1555</v>
      </c>
      <c r="C44" s="64" t="s">
        <v>208</v>
      </c>
      <c r="D44" s="76"/>
      <c r="E44" s="5"/>
      <c r="F44" s="5"/>
      <c r="G44" s="5"/>
    </row>
    <row r="45" spans="1:7" ht="15.75" customHeight="1">
      <c r="A45" s="64" t="s">
        <v>5317</v>
      </c>
      <c r="B45" s="77" t="s">
        <v>1555</v>
      </c>
      <c r="C45" s="64" t="s">
        <v>208</v>
      </c>
      <c r="D45" s="76"/>
      <c r="E45" s="5"/>
      <c r="F45" s="5"/>
      <c r="G45" s="5"/>
    </row>
    <row r="46" spans="1:7" ht="15.75" customHeight="1">
      <c r="A46" s="64" t="s">
        <v>5318</v>
      </c>
      <c r="B46" s="77" t="s">
        <v>1561</v>
      </c>
      <c r="C46" s="64" t="s">
        <v>208</v>
      </c>
      <c r="D46" s="72"/>
      <c r="E46" s="5"/>
      <c r="F46" s="5"/>
      <c r="G46" s="5"/>
    </row>
    <row r="47" spans="1:7" ht="15.75" customHeight="1">
      <c r="A47" s="64" t="s">
        <v>5319</v>
      </c>
      <c r="B47" s="77" t="s">
        <v>1873</v>
      </c>
      <c r="C47" s="64" t="s">
        <v>208</v>
      </c>
      <c r="D47" s="76"/>
      <c r="E47" s="5"/>
      <c r="F47" s="5"/>
      <c r="G47" s="5"/>
    </row>
    <row r="48" spans="1:7" ht="15.75" customHeight="1">
      <c r="A48" s="64" t="s">
        <v>5320</v>
      </c>
      <c r="B48" s="77" t="s">
        <v>1806</v>
      </c>
      <c r="C48" s="64" t="s">
        <v>208</v>
      </c>
      <c r="D48" s="76"/>
      <c r="E48" s="5"/>
      <c r="F48" s="5"/>
      <c r="G48" s="5"/>
    </row>
    <row r="49" spans="1:7" ht="15.75" customHeight="1">
      <c r="A49" s="64" t="s">
        <v>5321</v>
      </c>
      <c r="B49" s="77" t="s">
        <v>1888</v>
      </c>
      <c r="C49" s="64" t="s">
        <v>208</v>
      </c>
      <c r="D49" s="72"/>
      <c r="E49" s="5"/>
      <c r="F49" s="5"/>
      <c r="G49" s="5"/>
    </row>
    <row r="50" spans="1:7" ht="15.75" customHeight="1">
      <c r="A50" s="64" t="s">
        <v>5322</v>
      </c>
      <c r="B50" s="77" t="s">
        <v>1888</v>
      </c>
      <c r="C50" s="64" t="s">
        <v>208</v>
      </c>
      <c r="D50" s="76"/>
      <c r="E50" s="5"/>
      <c r="F50" s="5"/>
      <c r="G50" s="5"/>
    </row>
    <row r="51" spans="1:7" ht="15.75" customHeight="1">
      <c r="A51" s="64" t="s">
        <v>5323</v>
      </c>
      <c r="B51" s="77" t="s">
        <v>1855</v>
      </c>
      <c r="C51" s="64" t="s">
        <v>208</v>
      </c>
      <c r="D51" s="76"/>
      <c r="E51" s="5"/>
      <c r="F51" s="5"/>
      <c r="G51" s="5"/>
    </row>
    <row r="52" spans="1:7" ht="15.75" customHeight="1">
      <c r="A52" s="64" t="s">
        <v>5324</v>
      </c>
      <c r="B52" s="77" t="s">
        <v>1810</v>
      </c>
      <c r="C52" s="64" t="s">
        <v>208</v>
      </c>
      <c r="D52" s="76"/>
      <c r="E52" s="5"/>
      <c r="F52" s="5"/>
      <c r="G52" s="5"/>
    </row>
    <row r="53" spans="1:7" ht="13">
      <c r="A53" s="64" t="s">
        <v>5325</v>
      </c>
      <c r="B53" s="77" t="s">
        <v>1869</v>
      </c>
      <c r="C53" s="64" t="s">
        <v>208</v>
      </c>
      <c r="D53" s="76"/>
      <c r="E53" s="5"/>
      <c r="F53" s="5"/>
      <c r="G53" s="5"/>
    </row>
    <row r="54" spans="1:7" ht="13">
      <c r="A54" s="64" t="s">
        <v>5326</v>
      </c>
      <c r="B54" s="77" t="s">
        <v>1816</v>
      </c>
      <c r="C54" s="64" t="s">
        <v>208</v>
      </c>
      <c r="D54" s="76"/>
      <c r="E54" s="5"/>
      <c r="F54" s="5"/>
      <c r="G54" s="5"/>
    </row>
    <row r="55" spans="1:7" ht="13">
      <c r="A55" s="64" t="s">
        <v>5327</v>
      </c>
      <c r="B55" s="77" t="s">
        <v>1814</v>
      </c>
      <c r="C55" s="64" t="s">
        <v>208</v>
      </c>
      <c r="D55" s="72"/>
      <c r="E55" s="5"/>
      <c r="F55" s="5"/>
      <c r="G55" s="5"/>
    </row>
    <row r="56" spans="1:7" ht="13">
      <c r="A56" s="64" t="s">
        <v>5328</v>
      </c>
      <c r="B56" s="77" t="s">
        <v>1814</v>
      </c>
      <c r="C56" s="64" t="s">
        <v>208</v>
      </c>
      <c r="D56" s="76"/>
      <c r="E56" s="5"/>
      <c r="F56" s="5"/>
      <c r="G56" s="5"/>
    </row>
    <row r="57" spans="1:7" ht="13">
      <c r="A57" s="64" t="s">
        <v>5329</v>
      </c>
      <c r="B57" s="77" t="s">
        <v>2236</v>
      </c>
      <c r="C57" s="64" t="s">
        <v>208</v>
      </c>
      <c r="D57" s="76"/>
      <c r="E57" s="5"/>
      <c r="F57" s="5"/>
      <c r="G57" s="5"/>
    </row>
    <row r="58" spans="1:7" ht="13">
      <c r="A58" s="64" t="s">
        <v>5330</v>
      </c>
      <c r="B58" s="78" t="str">
        <f>HYPERLINK("https://bulbapedia.bulbagarden.net/wiki/Kyogre-EX_(Primal_Clash_54)","KyogreEX")</f>
        <v>KyogreEX</v>
      </c>
      <c r="C58" s="64" t="s">
        <v>208</v>
      </c>
      <c r="D58" s="76"/>
      <c r="E58" s="5"/>
      <c r="F58" s="5"/>
      <c r="G58" s="5"/>
    </row>
    <row r="59" spans="1:7" ht="13">
      <c r="A59" s="64" t="s">
        <v>5331</v>
      </c>
      <c r="B59" s="78" t="str">
        <f>HYPERLINK("https://bulbapedia.bulbagarden.net/wiki/Primal_Kyogre-EX_(Primal_Clash_55)","Primal KyogreEK")</f>
        <v>Primal KyogreEK</v>
      </c>
      <c r="C59" s="64" t="s">
        <v>208</v>
      </c>
      <c r="D59" s="76"/>
      <c r="E59" s="5"/>
      <c r="F59" s="5"/>
      <c r="G59" s="5"/>
    </row>
    <row r="60" spans="1:7" ht="13">
      <c r="A60" s="64" t="s">
        <v>5332</v>
      </c>
      <c r="B60" s="77" t="s">
        <v>3115</v>
      </c>
      <c r="C60" s="64" t="s">
        <v>208</v>
      </c>
      <c r="D60" s="76"/>
      <c r="E60" s="5"/>
      <c r="F60" s="5"/>
      <c r="G60" s="5"/>
    </row>
    <row r="61" spans="1:7" ht="13">
      <c r="A61" s="64" t="s">
        <v>5333</v>
      </c>
      <c r="B61" s="77" t="s">
        <v>860</v>
      </c>
      <c r="C61" s="64" t="s">
        <v>192</v>
      </c>
      <c r="D61" s="72"/>
      <c r="E61" s="5"/>
      <c r="F61" s="5"/>
      <c r="G61" s="5"/>
    </row>
    <row r="62" spans="1:7" ht="13">
      <c r="A62" s="64" t="s">
        <v>5334</v>
      </c>
      <c r="B62" s="77" t="s">
        <v>831</v>
      </c>
      <c r="C62" s="64" t="s">
        <v>192</v>
      </c>
      <c r="D62" s="76"/>
      <c r="E62" s="5"/>
      <c r="F62" s="5"/>
      <c r="G62" s="5"/>
    </row>
    <row r="63" spans="1:7" ht="13">
      <c r="A63" s="64" t="s">
        <v>5335</v>
      </c>
      <c r="B63" s="77" t="s">
        <v>1257</v>
      </c>
      <c r="C63" s="64" t="s">
        <v>192</v>
      </c>
      <c r="D63" s="76"/>
      <c r="E63" s="5"/>
      <c r="F63" s="5"/>
      <c r="G63" s="5"/>
    </row>
    <row r="64" spans="1:7" ht="13">
      <c r="A64" s="64" t="s">
        <v>5336</v>
      </c>
      <c r="B64" s="77" t="s">
        <v>1257</v>
      </c>
      <c r="C64" s="64" t="s">
        <v>192</v>
      </c>
      <c r="D64" s="76"/>
      <c r="E64" s="5"/>
      <c r="F64" s="5"/>
      <c r="G64" s="5"/>
    </row>
    <row r="65" spans="1:7" ht="13">
      <c r="A65" s="64" t="s">
        <v>5337</v>
      </c>
      <c r="B65" s="77" t="s">
        <v>1224</v>
      </c>
      <c r="C65" s="64" t="s">
        <v>192</v>
      </c>
      <c r="D65" s="66"/>
      <c r="E65" s="5"/>
      <c r="F65" s="5"/>
      <c r="G65" s="5"/>
    </row>
    <row r="66" spans="1:7" ht="13">
      <c r="A66" s="64" t="s">
        <v>5338</v>
      </c>
      <c r="B66" s="77" t="s">
        <v>4073</v>
      </c>
      <c r="C66" s="64" t="s">
        <v>192</v>
      </c>
      <c r="D66" s="76"/>
      <c r="E66" s="5"/>
      <c r="F66" s="5"/>
      <c r="G66" s="5"/>
    </row>
    <row r="67" spans="1:7" ht="13">
      <c r="A67" s="64" t="s">
        <v>5339</v>
      </c>
      <c r="B67" s="77" t="s">
        <v>4074</v>
      </c>
      <c r="C67" s="64" t="s">
        <v>192</v>
      </c>
      <c r="D67" s="76"/>
      <c r="E67" s="5"/>
      <c r="F67" s="5"/>
      <c r="G67" s="5"/>
    </row>
    <row r="68" spans="1:7" ht="13">
      <c r="A68" s="64" t="s">
        <v>5340</v>
      </c>
      <c r="B68" s="77" t="s">
        <v>4074</v>
      </c>
      <c r="C68" s="64" t="s">
        <v>192</v>
      </c>
      <c r="D68" s="76"/>
      <c r="E68" s="5"/>
      <c r="F68" s="5"/>
      <c r="G68" s="5"/>
    </row>
    <row r="69" spans="1:7" ht="13">
      <c r="A69" s="64" t="s">
        <v>5341</v>
      </c>
      <c r="B69" s="77" t="s">
        <v>4075</v>
      </c>
      <c r="C69" s="64" t="s">
        <v>192</v>
      </c>
      <c r="D69" s="76"/>
      <c r="E69" s="5"/>
      <c r="F69" s="5"/>
      <c r="G69" s="5"/>
    </row>
    <row r="70" spans="1:7" ht="13">
      <c r="A70" s="64" t="s">
        <v>5342</v>
      </c>
      <c r="B70" s="77" t="s">
        <v>351</v>
      </c>
      <c r="C70" s="64" t="s">
        <v>195</v>
      </c>
      <c r="D70" s="72"/>
      <c r="E70" s="5"/>
      <c r="F70" s="5"/>
      <c r="G70" s="5"/>
    </row>
    <row r="71" spans="1:7" ht="13">
      <c r="A71" s="64" t="s">
        <v>5343</v>
      </c>
      <c r="B71" s="77" t="s">
        <v>338</v>
      </c>
      <c r="C71" s="64" t="s">
        <v>195</v>
      </c>
      <c r="D71" s="72"/>
      <c r="E71" s="5"/>
      <c r="F71" s="5"/>
      <c r="G71" s="5"/>
    </row>
    <row r="72" spans="1:7" ht="13">
      <c r="A72" s="64" t="s">
        <v>5344</v>
      </c>
      <c r="B72" s="77" t="s">
        <v>323</v>
      </c>
      <c r="C72" s="64" t="s">
        <v>195</v>
      </c>
      <c r="D72" s="72"/>
      <c r="E72" s="5"/>
      <c r="F72" s="5"/>
      <c r="G72" s="5"/>
    </row>
    <row r="73" spans="1:7" ht="13">
      <c r="A73" s="64" t="s">
        <v>5345</v>
      </c>
      <c r="B73" s="77" t="s">
        <v>323</v>
      </c>
      <c r="C73" s="64" t="s">
        <v>195</v>
      </c>
      <c r="D73" s="76"/>
      <c r="E73" s="5"/>
      <c r="F73" s="5"/>
      <c r="G73" s="5"/>
    </row>
    <row r="74" spans="1:7" ht="13">
      <c r="A74" s="64" t="s">
        <v>5346</v>
      </c>
      <c r="B74" s="77" t="s">
        <v>388</v>
      </c>
      <c r="C74" s="64" t="s">
        <v>195</v>
      </c>
      <c r="D74" s="76"/>
      <c r="E74" s="5"/>
      <c r="F74" s="5"/>
      <c r="G74" s="5"/>
    </row>
    <row r="75" spans="1:7" ht="13">
      <c r="A75" s="64" t="s">
        <v>5347</v>
      </c>
      <c r="B75" s="77" t="s">
        <v>388</v>
      </c>
      <c r="C75" s="64" t="s">
        <v>195</v>
      </c>
      <c r="D75" s="76"/>
      <c r="E75" s="5"/>
      <c r="F75" s="5"/>
      <c r="G75" s="5"/>
    </row>
    <row r="76" spans="1:7" ht="13">
      <c r="A76" s="64" t="s">
        <v>5348</v>
      </c>
      <c r="B76" s="77" t="s">
        <v>377</v>
      </c>
      <c r="C76" s="64" t="s">
        <v>195</v>
      </c>
      <c r="D76" s="76"/>
      <c r="E76" s="5"/>
      <c r="F76" s="5"/>
      <c r="G76" s="5"/>
    </row>
    <row r="77" spans="1:7" ht="13">
      <c r="A77" s="64" t="s">
        <v>5349</v>
      </c>
      <c r="B77" s="77" t="s">
        <v>295</v>
      </c>
      <c r="C77" s="64" t="s">
        <v>195</v>
      </c>
      <c r="D77" s="76"/>
      <c r="E77" s="5"/>
      <c r="F77" s="5"/>
      <c r="G77" s="5"/>
    </row>
    <row r="78" spans="1:7" ht="13">
      <c r="A78" s="64" t="s">
        <v>5350</v>
      </c>
      <c r="B78" s="77" t="s">
        <v>354</v>
      </c>
      <c r="C78" s="64" t="s">
        <v>225</v>
      </c>
      <c r="D78" s="76"/>
      <c r="E78" s="5"/>
      <c r="F78" s="5"/>
      <c r="G78" s="5"/>
    </row>
    <row r="79" spans="1:7" ht="13">
      <c r="A79" s="64" t="s">
        <v>5351</v>
      </c>
      <c r="B79" s="77" t="s">
        <v>342</v>
      </c>
      <c r="C79" s="64" t="s">
        <v>225</v>
      </c>
      <c r="D79" s="72"/>
      <c r="E79" s="5"/>
      <c r="F79" s="5"/>
      <c r="G79" s="5"/>
    </row>
    <row r="80" spans="1:7" ht="13">
      <c r="A80" s="64" t="s">
        <v>5352</v>
      </c>
      <c r="B80" s="77" t="s">
        <v>3117</v>
      </c>
      <c r="C80" s="64" t="s">
        <v>225</v>
      </c>
      <c r="D80" s="76"/>
      <c r="E80" s="5"/>
      <c r="F80" s="5"/>
      <c r="G80" s="5"/>
    </row>
    <row r="81" spans="1:7" ht="13">
      <c r="A81" s="64" t="s">
        <v>5353</v>
      </c>
      <c r="B81" s="77" t="s">
        <v>3117</v>
      </c>
      <c r="C81" s="64" t="s">
        <v>225</v>
      </c>
      <c r="D81" s="76"/>
      <c r="E81" s="5"/>
      <c r="F81" s="5"/>
      <c r="G81" s="5"/>
    </row>
    <row r="82" spans="1:7" ht="13">
      <c r="A82" s="64" t="s">
        <v>5354</v>
      </c>
      <c r="B82" s="77" t="s">
        <v>1240</v>
      </c>
      <c r="C82" s="64" t="s">
        <v>225</v>
      </c>
      <c r="D82" s="76"/>
      <c r="E82" s="5"/>
      <c r="F82" s="5"/>
      <c r="G82" s="5"/>
    </row>
    <row r="83" spans="1:7" ht="13">
      <c r="A83" s="64" t="s">
        <v>5355</v>
      </c>
      <c r="B83" s="77" t="s">
        <v>1541</v>
      </c>
      <c r="C83" s="64" t="s">
        <v>225</v>
      </c>
      <c r="D83" s="76"/>
      <c r="E83" s="5"/>
      <c r="F83" s="5"/>
      <c r="G83" s="5"/>
    </row>
    <row r="84" spans="1:7" ht="13">
      <c r="A84" s="64" t="s">
        <v>5356</v>
      </c>
      <c r="B84" s="77" t="s">
        <v>1802</v>
      </c>
      <c r="C84" s="64" t="s">
        <v>225</v>
      </c>
      <c r="D84" s="76"/>
      <c r="E84" s="5"/>
      <c r="F84" s="5"/>
      <c r="G84" s="5"/>
    </row>
    <row r="85" spans="1:7" ht="13">
      <c r="A85" s="64" t="s">
        <v>5357</v>
      </c>
      <c r="B85" s="77" t="s">
        <v>1802</v>
      </c>
      <c r="C85" s="64" t="s">
        <v>225</v>
      </c>
      <c r="D85" s="76"/>
      <c r="E85" s="5"/>
      <c r="F85" s="5"/>
      <c r="G85" s="5"/>
    </row>
    <row r="86" spans="1:7" ht="13">
      <c r="A86" s="64" t="s">
        <v>5358</v>
      </c>
      <c r="B86" s="77" t="s">
        <v>1461</v>
      </c>
      <c r="C86" s="64" t="s">
        <v>225</v>
      </c>
      <c r="D86" s="76"/>
      <c r="E86" s="5"/>
      <c r="F86" s="5"/>
      <c r="G86" s="5"/>
    </row>
    <row r="87" spans="1:7" ht="13">
      <c r="A87" s="64" t="s">
        <v>5359</v>
      </c>
      <c r="B87" s="77" t="s">
        <v>1376</v>
      </c>
      <c r="C87" s="64" t="s">
        <v>225</v>
      </c>
      <c r="D87" s="72"/>
      <c r="E87" s="5"/>
      <c r="F87" s="5"/>
      <c r="G87" s="5"/>
    </row>
    <row r="88" spans="1:7" ht="13">
      <c r="A88" s="64" t="s">
        <v>5360</v>
      </c>
      <c r="B88" s="77" t="s">
        <v>1935</v>
      </c>
      <c r="C88" s="64" t="s">
        <v>225</v>
      </c>
      <c r="D88" s="76"/>
      <c r="E88" s="5"/>
      <c r="F88" s="5"/>
      <c r="G88" s="5"/>
    </row>
    <row r="89" spans="1:7" ht="13">
      <c r="A89" s="64" t="s">
        <v>5361</v>
      </c>
      <c r="B89" s="78" t="str">
        <f>HYPERLINK("https://bulbapedia.bulbagarden.net/wiki/Groudon-EX_(Primal_Clash_85)","GroudonEX")</f>
        <v>GroudonEX</v>
      </c>
      <c r="C89" s="64" t="s">
        <v>225</v>
      </c>
      <c r="D89" s="76"/>
      <c r="E89" s="5"/>
      <c r="F89" s="5"/>
      <c r="G89" s="5"/>
    </row>
    <row r="90" spans="1:7" ht="13">
      <c r="A90" s="64" t="s">
        <v>5362</v>
      </c>
      <c r="B90" s="78" t="str">
        <f>HYPERLINK("https://bulbapedia.bulbagarden.net/wiki/Primal_Groudon-EX_(Primal_Clash_86)","Primal GroudonEX")</f>
        <v>Primal GroudonEX</v>
      </c>
      <c r="C90" s="64" t="s">
        <v>225</v>
      </c>
      <c r="D90" s="76"/>
      <c r="E90" s="5"/>
      <c r="F90" s="5"/>
      <c r="G90" s="5"/>
    </row>
    <row r="91" spans="1:7" ht="13">
      <c r="A91" s="64" t="s">
        <v>5363</v>
      </c>
      <c r="B91" s="77" t="s">
        <v>3136</v>
      </c>
      <c r="C91" s="64" t="s">
        <v>225</v>
      </c>
      <c r="D91" s="76"/>
      <c r="E91" s="5"/>
      <c r="F91" s="5"/>
      <c r="G91" s="5"/>
    </row>
    <row r="92" spans="1:7" ht="13">
      <c r="A92" s="64" t="s">
        <v>5364</v>
      </c>
      <c r="B92" s="77" t="s">
        <v>3126</v>
      </c>
      <c r="C92" s="64" t="s">
        <v>225</v>
      </c>
      <c r="D92" s="76"/>
      <c r="E92" s="5"/>
      <c r="F92" s="5"/>
      <c r="G92" s="5"/>
    </row>
    <row r="93" spans="1:7" ht="13">
      <c r="A93" s="64" t="s">
        <v>5365</v>
      </c>
      <c r="B93" s="77" t="s">
        <v>4154</v>
      </c>
      <c r="C93" s="64" t="s">
        <v>225</v>
      </c>
      <c r="D93" s="76"/>
      <c r="E93" s="5"/>
      <c r="F93" s="5"/>
      <c r="G93" s="5"/>
    </row>
    <row r="94" spans="1:7" ht="13">
      <c r="A94" s="64" t="s">
        <v>5366</v>
      </c>
      <c r="B94" s="77" t="s">
        <v>5049</v>
      </c>
      <c r="C94" s="64" t="s">
        <v>225</v>
      </c>
      <c r="D94" s="76"/>
      <c r="E94" s="5"/>
      <c r="F94" s="5"/>
      <c r="G94" s="5"/>
    </row>
    <row r="95" spans="1:7" ht="13">
      <c r="A95" s="64" t="s">
        <v>5367</v>
      </c>
      <c r="B95" s="78" t="str">
        <f>HYPERLINK("https://bulbapedia.bulbagarden.net/wiki/Sharpedo-EX_(Primal_Clash_91)","SharpedoEX")</f>
        <v>SharpedoEX</v>
      </c>
      <c r="C95" s="64" t="s">
        <v>808</v>
      </c>
      <c r="D95" s="76"/>
      <c r="E95" s="5"/>
      <c r="F95" s="5"/>
      <c r="G95" s="5"/>
    </row>
    <row r="96" spans="1:7" ht="13">
      <c r="A96" s="64" t="s">
        <v>5368</v>
      </c>
      <c r="B96" s="77" t="s">
        <v>1495</v>
      </c>
      <c r="C96" s="64" t="s">
        <v>808</v>
      </c>
      <c r="D96" s="66"/>
      <c r="E96" s="5"/>
      <c r="F96" s="5"/>
      <c r="G96" s="5"/>
    </row>
    <row r="97" spans="1:7" ht="13">
      <c r="A97" s="64" t="s">
        <v>5369</v>
      </c>
      <c r="B97" s="78" t="str">
        <f>HYPERLINK("https://bulbapedia.bulbagarden.net/wiki/Aggron-EX_(Primal_Clash_93)","AggronEX")</f>
        <v>AggronEX</v>
      </c>
      <c r="C97" s="64" t="s">
        <v>220</v>
      </c>
      <c r="D97" s="76"/>
      <c r="E97" s="5"/>
      <c r="F97" s="5"/>
      <c r="G97" s="5"/>
    </row>
    <row r="98" spans="1:7" ht="13">
      <c r="A98" s="64" t="s">
        <v>5370</v>
      </c>
      <c r="B98" s="79" t="str">
        <f>HYPERLINK("https://bulbapedia.bulbagarden.net/wiki/M_Aggron-EX_(Primal_Clash_94)","MAggronEX")</f>
        <v>MAggronEX</v>
      </c>
      <c r="C98" s="64" t="s">
        <v>220</v>
      </c>
      <c r="D98" s="76"/>
      <c r="E98" s="5"/>
      <c r="F98" s="5"/>
      <c r="G98" s="5"/>
    </row>
    <row r="99" spans="1:7" ht="13">
      <c r="A99" s="64" t="s">
        <v>5371</v>
      </c>
      <c r="B99" s="77" t="s">
        <v>3386</v>
      </c>
      <c r="C99" s="64" t="s">
        <v>220</v>
      </c>
      <c r="D99" s="76"/>
      <c r="E99" s="5"/>
      <c r="F99" s="5"/>
      <c r="G99" s="5"/>
    </row>
    <row r="100" spans="1:7" ht="13">
      <c r="A100" s="64" t="s">
        <v>5372</v>
      </c>
      <c r="B100" s="77" t="s">
        <v>4155</v>
      </c>
      <c r="C100" s="64" t="s">
        <v>220</v>
      </c>
      <c r="D100" s="76"/>
      <c r="E100" s="5"/>
      <c r="F100" s="5"/>
      <c r="G100" s="5"/>
    </row>
    <row r="101" spans="1:7" ht="13">
      <c r="A101" s="64" t="s">
        <v>5373</v>
      </c>
      <c r="B101" s="77" t="s">
        <v>4155</v>
      </c>
      <c r="C101" s="64" t="s">
        <v>220</v>
      </c>
      <c r="D101" s="76"/>
      <c r="E101" s="5"/>
      <c r="F101" s="5"/>
      <c r="G101" s="5"/>
    </row>
    <row r="102" spans="1:7" ht="13">
      <c r="A102" s="64" t="s">
        <v>5374</v>
      </c>
      <c r="B102" s="77" t="s">
        <v>4755</v>
      </c>
      <c r="C102" s="64" t="s">
        <v>220</v>
      </c>
      <c r="D102" s="76"/>
      <c r="E102" s="5"/>
      <c r="F102" s="5"/>
      <c r="G102" s="5"/>
    </row>
    <row r="103" spans="1:7" ht="13">
      <c r="A103" s="64" t="s">
        <v>5375</v>
      </c>
      <c r="B103" s="77" t="s">
        <v>5045</v>
      </c>
      <c r="C103" s="64" t="s">
        <v>220</v>
      </c>
      <c r="D103" s="76"/>
      <c r="E103" s="5"/>
      <c r="F103" s="5"/>
      <c r="G103" s="5"/>
    </row>
    <row r="104" spans="1:7" ht="13">
      <c r="A104" s="64" t="s">
        <v>5376</v>
      </c>
      <c r="B104" s="77" t="s">
        <v>5046</v>
      </c>
      <c r="C104" s="64" t="s">
        <v>220</v>
      </c>
      <c r="D104" s="76"/>
      <c r="E104" s="5"/>
      <c r="F104" s="5"/>
      <c r="G104" s="5"/>
    </row>
    <row r="105" spans="1:7" ht="13">
      <c r="A105" s="64" t="s">
        <v>5377</v>
      </c>
      <c r="B105" s="77" t="s">
        <v>322</v>
      </c>
      <c r="C105" s="64" t="s">
        <v>4743</v>
      </c>
      <c r="D105" s="76"/>
      <c r="E105" s="5"/>
      <c r="F105" s="5"/>
      <c r="G105" s="5"/>
    </row>
    <row r="106" spans="1:7" ht="13">
      <c r="A106" s="64" t="s">
        <v>5378</v>
      </c>
      <c r="B106" s="77" t="s">
        <v>215</v>
      </c>
      <c r="C106" s="64" t="s">
        <v>4743</v>
      </c>
      <c r="D106" s="72"/>
      <c r="E106" s="51"/>
      <c r="F106" s="5"/>
      <c r="G106" s="5"/>
    </row>
    <row r="107" spans="1:7" ht="13">
      <c r="A107" s="64" t="s">
        <v>5379</v>
      </c>
      <c r="B107" s="77" t="s">
        <v>768</v>
      </c>
      <c r="C107" s="64" t="s">
        <v>4743</v>
      </c>
      <c r="D107" s="66"/>
      <c r="E107" s="5"/>
      <c r="F107" s="5"/>
      <c r="G107" s="5"/>
    </row>
    <row r="108" spans="1:7" ht="13">
      <c r="A108" s="64" t="s">
        <v>5380</v>
      </c>
      <c r="B108" s="77" t="s">
        <v>768</v>
      </c>
      <c r="C108" s="64" t="s">
        <v>4743</v>
      </c>
      <c r="D108" s="66"/>
      <c r="E108" s="5"/>
      <c r="F108" s="5"/>
      <c r="G108" s="5"/>
    </row>
    <row r="109" spans="1:7" ht="13">
      <c r="A109" s="64" t="s">
        <v>5381</v>
      </c>
      <c r="B109" s="78" t="str">
        <f>HYPERLINK("https://bulbapedia.bulbagarden.net/wiki/Gardevoir-EX_(Primal_Clash_105)","GardevoirEX")</f>
        <v>GardevoirEX</v>
      </c>
      <c r="C109" s="64" t="s">
        <v>4743</v>
      </c>
      <c r="D109" s="76"/>
      <c r="E109" s="5"/>
      <c r="F109" s="5"/>
      <c r="G109" s="5"/>
    </row>
    <row r="110" spans="1:7" ht="13">
      <c r="A110" s="64" t="s">
        <v>5382</v>
      </c>
      <c r="B110" s="79" t="str">
        <f>HYPERLINK("https://bulbapedia.bulbagarden.net/wiki/M_Gardevoir-EX_(Primal_Clash_106)","MGardevoirEX")</f>
        <v>MGardevoirEX</v>
      </c>
      <c r="C110" s="64" t="s">
        <v>4743</v>
      </c>
      <c r="D110" s="76"/>
      <c r="E110" s="5"/>
      <c r="F110" s="5"/>
      <c r="G110" s="5"/>
    </row>
    <row r="111" spans="1:7" ht="13">
      <c r="A111" s="64" t="s">
        <v>5383</v>
      </c>
      <c r="B111" s="77" t="s">
        <v>779</v>
      </c>
      <c r="C111" s="64" t="s">
        <v>4285</v>
      </c>
      <c r="D111" s="76"/>
      <c r="E111" s="5"/>
      <c r="F111" s="5"/>
      <c r="G111" s="5"/>
    </row>
    <row r="112" spans="1:7" ht="13">
      <c r="A112" s="64" t="s">
        <v>5384</v>
      </c>
      <c r="B112" s="77" t="s">
        <v>779</v>
      </c>
      <c r="C112" s="64" t="s">
        <v>4285</v>
      </c>
      <c r="D112" s="76"/>
      <c r="E112" s="5"/>
      <c r="F112" s="5"/>
      <c r="G112" s="5"/>
    </row>
    <row r="113" spans="1:7" ht="13">
      <c r="A113" s="64" t="s">
        <v>5385</v>
      </c>
      <c r="B113" s="77" t="s">
        <v>1524</v>
      </c>
      <c r="C113" s="64" t="s">
        <v>4285</v>
      </c>
      <c r="D113" s="76"/>
      <c r="E113" s="5"/>
      <c r="F113" s="5"/>
      <c r="G113" s="5"/>
    </row>
    <row r="114" spans="1:7" ht="13">
      <c r="A114" s="64" t="s">
        <v>5386</v>
      </c>
      <c r="B114" s="77" t="s">
        <v>1200</v>
      </c>
      <c r="C114" s="64" t="s">
        <v>4285</v>
      </c>
      <c r="D114" s="76"/>
      <c r="E114" s="5"/>
      <c r="F114" s="5"/>
      <c r="G114" s="5"/>
    </row>
    <row r="115" spans="1:7" ht="13">
      <c r="A115" s="64" t="s">
        <v>5387</v>
      </c>
      <c r="B115" s="77" t="s">
        <v>1325</v>
      </c>
      <c r="C115" s="64" t="s">
        <v>197</v>
      </c>
      <c r="D115" s="76"/>
      <c r="E115" s="5"/>
      <c r="F115" s="5"/>
      <c r="G115" s="5"/>
    </row>
    <row r="116" spans="1:7" ht="13">
      <c r="A116" s="64" t="s">
        <v>5388</v>
      </c>
      <c r="B116" s="77" t="s">
        <v>1268</v>
      </c>
      <c r="C116" s="64" t="s">
        <v>197</v>
      </c>
      <c r="D116" s="76"/>
      <c r="E116" s="5"/>
      <c r="F116" s="5"/>
      <c r="G116" s="5"/>
    </row>
    <row r="117" spans="1:7" ht="13">
      <c r="A117" s="64" t="s">
        <v>5389</v>
      </c>
      <c r="B117" s="77" t="s">
        <v>1276</v>
      </c>
      <c r="C117" s="64" t="s">
        <v>197</v>
      </c>
      <c r="D117" s="76"/>
      <c r="E117" s="5"/>
      <c r="F117" s="5"/>
      <c r="G117" s="5"/>
    </row>
    <row r="118" spans="1:7" ht="13">
      <c r="A118" s="64" t="s">
        <v>5390</v>
      </c>
      <c r="B118" s="77" t="s">
        <v>1216</v>
      </c>
      <c r="C118" s="64" t="s">
        <v>197</v>
      </c>
      <c r="D118" s="76"/>
      <c r="E118" s="5"/>
      <c r="F118" s="5"/>
      <c r="G118" s="5"/>
    </row>
    <row r="119" spans="1:7" ht="13">
      <c r="A119" s="64" t="s">
        <v>5391</v>
      </c>
      <c r="B119" s="77" t="s">
        <v>1857</v>
      </c>
      <c r="C119" s="64" t="s">
        <v>197</v>
      </c>
      <c r="D119" s="76"/>
      <c r="E119" s="5"/>
      <c r="F119" s="5"/>
      <c r="G119" s="5"/>
    </row>
    <row r="120" spans="1:7" ht="13">
      <c r="A120" s="64" t="s">
        <v>5392</v>
      </c>
      <c r="B120" s="77" t="s">
        <v>3143</v>
      </c>
      <c r="C120" s="64" t="s">
        <v>197</v>
      </c>
      <c r="D120" s="72"/>
      <c r="E120" s="5"/>
      <c r="F120" s="5"/>
      <c r="G120" s="5"/>
    </row>
    <row r="121" spans="1:7" ht="13">
      <c r="A121" s="64" t="s">
        <v>5393</v>
      </c>
      <c r="B121" s="77" t="s">
        <v>3143</v>
      </c>
      <c r="C121" s="64" t="s">
        <v>197</v>
      </c>
      <c r="D121" s="72"/>
      <c r="E121" s="5"/>
      <c r="F121" s="5"/>
      <c r="G121" s="5"/>
    </row>
    <row r="122" spans="1:7" ht="13">
      <c r="A122" s="64" t="s">
        <v>5394</v>
      </c>
      <c r="B122" s="77" t="s">
        <v>3122</v>
      </c>
      <c r="C122" s="64" t="s">
        <v>197</v>
      </c>
      <c r="D122" s="72"/>
      <c r="E122" s="5"/>
      <c r="F122" s="5"/>
      <c r="G122" s="5"/>
    </row>
    <row r="123" spans="1:7" ht="13">
      <c r="A123" s="64" t="s">
        <v>5395</v>
      </c>
      <c r="B123" s="77" t="s">
        <v>4314</v>
      </c>
      <c r="C123" s="64" t="s">
        <v>197</v>
      </c>
      <c r="D123" s="76"/>
      <c r="E123" s="5"/>
      <c r="F123" s="5"/>
      <c r="G123" s="5"/>
    </row>
    <row r="124" spans="1:7" ht="13">
      <c r="A124" s="64" t="s">
        <v>5396</v>
      </c>
      <c r="B124" s="77" t="s">
        <v>5025</v>
      </c>
      <c r="C124" s="64" t="s">
        <v>197</v>
      </c>
      <c r="D124" s="76"/>
      <c r="E124" s="5"/>
      <c r="F124" s="5"/>
      <c r="G124" s="5"/>
    </row>
    <row r="125" spans="1:7" ht="13">
      <c r="A125" s="64" t="s">
        <v>5397</v>
      </c>
      <c r="B125" s="77" t="s">
        <v>5025</v>
      </c>
      <c r="C125" s="64" t="s">
        <v>197</v>
      </c>
      <c r="D125" s="76"/>
      <c r="E125" s="5"/>
      <c r="F125" s="5"/>
      <c r="G125" s="5"/>
    </row>
    <row r="126" spans="1:7" ht="13">
      <c r="A126" s="64" t="s">
        <v>5398</v>
      </c>
      <c r="B126" s="77" t="s">
        <v>5399</v>
      </c>
      <c r="C126" s="64" t="s">
        <v>4114</v>
      </c>
      <c r="D126" s="76"/>
      <c r="E126" s="5"/>
      <c r="F126" s="5"/>
      <c r="G126" s="5"/>
    </row>
    <row r="127" spans="1:7" ht="13">
      <c r="A127" s="64" t="s">
        <v>5400</v>
      </c>
      <c r="B127" s="77" t="s">
        <v>5401</v>
      </c>
      <c r="C127" s="64" t="s">
        <v>4114</v>
      </c>
      <c r="D127" s="76"/>
      <c r="E127" s="5"/>
      <c r="F127" s="5"/>
      <c r="G127" s="5"/>
    </row>
    <row r="128" spans="1:7" ht="13">
      <c r="A128" s="64" t="s">
        <v>5402</v>
      </c>
      <c r="B128" s="77" t="s">
        <v>5403</v>
      </c>
      <c r="C128" s="64" t="s">
        <v>1013</v>
      </c>
      <c r="D128" s="76"/>
      <c r="E128" s="5"/>
      <c r="F128" s="5"/>
      <c r="G128" s="5"/>
    </row>
    <row r="129" spans="1:7" ht="13">
      <c r="A129" s="64" t="s">
        <v>5404</v>
      </c>
      <c r="B129" s="77" t="s">
        <v>5405</v>
      </c>
      <c r="C129" s="64" t="s">
        <v>4114</v>
      </c>
      <c r="D129" s="66"/>
      <c r="E129" s="5"/>
      <c r="F129" s="5"/>
      <c r="G129" s="5"/>
    </row>
    <row r="130" spans="1:7" ht="13">
      <c r="A130" s="64" t="s">
        <v>5406</v>
      </c>
      <c r="B130" s="77" t="s">
        <v>307</v>
      </c>
      <c r="C130" s="64" t="s">
        <v>4114</v>
      </c>
      <c r="D130" s="66"/>
      <c r="E130" s="5"/>
      <c r="F130" s="5"/>
      <c r="G130" s="5"/>
    </row>
    <row r="131" spans="1:7" ht="13">
      <c r="A131" s="64" t="s">
        <v>5407</v>
      </c>
      <c r="B131" s="77" t="s">
        <v>4654</v>
      </c>
      <c r="C131" s="64" t="s">
        <v>4114</v>
      </c>
      <c r="D131" s="76"/>
      <c r="E131" s="5"/>
      <c r="F131" s="5"/>
      <c r="G131" s="5"/>
    </row>
    <row r="132" spans="1:7" ht="13">
      <c r="A132" s="64" t="s">
        <v>5408</v>
      </c>
      <c r="B132" s="77" t="s">
        <v>4138</v>
      </c>
      <c r="C132" s="64" t="s">
        <v>4114</v>
      </c>
      <c r="D132" s="76"/>
      <c r="E132" s="5"/>
      <c r="F132" s="5"/>
      <c r="G132" s="5"/>
    </row>
    <row r="133" spans="1:7" ht="13">
      <c r="A133" s="64" t="s">
        <v>5409</v>
      </c>
      <c r="B133" s="77" t="s">
        <v>5410</v>
      </c>
      <c r="C133" s="64" t="s">
        <v>4114</v>
      </c>
      <c r="D133" s="66"/>
      <c r="E133" s="5"/>
      <c r="F133" s="5"/>
      <c r="G133" s="5"/>
    </row>
    <row r="134" spans="1:7" ht="13">
      <c r="A134" s="64" t="s">
        <v>5411</v>
      </c>
      <c r="B134" s="77" t="s">
        <v>5412</v>
      </c>
      <c r="C134" s="64" t="s">
        <v>4114</v>
      </c>
      <c r="D134" s="66"/>
      <c r="E134" s="5"/>
      <c r="F134" s="5"/>
      <c r="G134" s="5"/>
    </row>
    <row r="135" spans="1:7" ht="13">
      <c r="A135" s="64" t="s">
        <v>5413</v>
      </c>
      <c r="B135" s="77" t="s">
        <v>5414</v>
      </c>
      <c r="C135" s="64" t="s">
        <v>4114</v>
      </c>
      <c r="D135" s="66"/>
      <c r="E135" s="5"/>
      <c r="F135" s="5"/>
      <c r="G135" s="5"/>
    </row>
    <row r="136" spans="1:7" ht="13">
      <c r="A136" s="64" t="s">
        <v>5415</v>
      </c>
      <c r="B136" s="77" t="s">
        <v>5416</v>
      </c>
      <c r="C136" s="64" t="s">
        <v>4114</v>
      </c>
      <c r="D136" s="66"/>
      <c r="E136" s="5"/>
      <c r="F136" s="5"/>
      <c r="G136" s="5"/>
    </row>
    <row r="137" spans="1:7" ht="13">
      <c r="A137" s="64" t="s">
        <v>5417</v>
      </c>
      <c r="B137" s="77" t="s">
        <v>5418</v>
      </c>
      <c r="C137" s="64" t="s">
        <v>1013</v>
      </c>
      <c r="D137" s="66"/>
      <c r="E137" s="5"/>
      <c r="F137" s="5"/>
      <c r="G137" s="5"/>
    </row>
    <row r="138" spans="1:7" ht="13">
      <c r="A138" s="64" t="s">
        <v>5419</v>
      </c>
      <c r="B138" s="77" t="s">
        <v>5420</v>
      </c>
      <c r="C138" s="64" t="s">
        <v>1013</v>
      </c>
      <c r="D138" s="66"/>
      <c r="E138" s="5"/>
      <c r="F138" s="5"/>
      <c r="G138" s="5"/>
    </row>
    <row r="139" spans="1:7" ht="13">
      <c r="A139" s="64" t="s">
        <v>5421</v>
      </c>
      <c r="B139" s="77" t="s">
        <v>1470</v>
      </c>
      <c r="C139" s="64" t="s">
        <v>4114</v>
      </c>
      <c r="D139" s="72"/>
      <c r="E139" s="5"/>
      <c r="F139" s="5"/>
      <c r="G139" s="5"/>
    </row>
    <row r="140" spans="1:7" ht="13">
      <c r="A140" s="64" t="s">
        <v>5422</v>
      </c>
      <c r="B140" s="77" t="s">
        <v>5423</v>
      </c>
      <c r="C140" s="64" t="s">
        <v>4114</v>
      </c>
      <c r="D140" s="72"/>
      <c r="E140" s="5"/>
      <c r="F140" s="5"/>
      <c r="G140" s="5"/>
    </row>
    <row r="141" spans="1:7" ht="13">
      <c r="A141" s="64" t="s">
        <v>5424</v>
      </c>
      <c r="B141" s="77" t="s">
        <v>5425</v>
      </c>
      <c r="C141" s="64" t="s">
        <v>229</v>
      </c>
      <c r="D141" s="66"/>
      <c r="E141" s="5"/>
      <c r="F141" s="5"/>
      <c r="G141" s="5"/>
    </row>
    <row r="142" spans="1:7" ht="13">
      <c r="A142" s="64" t="s">
        <v>5426</v>
      </c>
      <c r="B142" s="77" t="s">
        <v>5427</v>
      </c>
      <c r="C142" s="64" t="s">
        <v>229</v>
      </c>
      <c r="D142" s="66"/>
      <c r="E142" s="5"/>
      <c r="F142" s="5"/>
      <c r="G142" s="5"/>
    </row>
    <row r="143" spans="1:7" ht="13">
      <c r="A143" s="64" t="s">
        <v>5428</v>
      </c>
      <c r="B143" s="77" t="s">
        <v>5429</v>
      </c>
      <c r="C143" s="64" t="s">
        <v>229</v>
      </c>
      <c r="D143" s="72"/>
      <c r="E143" s="5"/>
      <c r="F143" s="5"/>
      <c r="G143" s="5"/>
    </row>
    <row r="144" spans="1:7" ht="13">
      <c r="A144" s="64" t="s">
        <v>5430</v>
      </c>
      <c r="B144" s="77" t="s">
        <v>5431</v>
      </c>
      <c r="C144" s="64" t="s">
        <v>229</v>
      </c>
      <c r="D144" s="66"/>
      <c r="E144" s="5"/>
      <c r="F144" s="5"/>
      <c r="G144" s="5"/>
    </row>
    <row r="145" spans="1:7" ht="13">
      <c r="A145" s="64" t="s">
        <v>5432</v>
      </c>
      <c r="B145" s="77" t="s">
        <v>5433</v>
      </c>
      <c r="C145" s="64" t="s">
        <v>1013</v>
      </c>
      <c r="D145" s="72"/>
      <c r="E145" s="5"/>
      <c r="F145" s="5"/>
      <c r="G145" s="5"/>
    </row>
    <row r="146" spans="1:7" ht="13">
      <c r="A146" s="64" t="s">
        <v>5434</v>
      </c>
      <c r="B146" s="77" t="s">
        <v>5435</v>
      </c>
      <c r="C146" s="64" t="s">
        <v>4114</v>
      </c>
      <c r="D146" s="66"/>
      <c r="E146" s="5"/>
      <c r="F146" s="5"/>
      <c r="G146" s="5"/>
    </row>
    <row r="147" spans="1:7" ht="13">
      <c r="A147" s="64" t="s">
        <v>5436</v>
      </c>
      <c r="B147" s="77" t="s">
        <v>5437</v>
      </c>
      <c r="C147" s="64" t="s">
        <v>317</v>
      </c>
      <c r="D147" s="66"/>
      <c r="E147" s="51"/>
      <c r="F147" s="5"/>
      <c r="G147" s="5"/>
    </row>
    <row r="148" spans="1:7" ht="13">
      <c r="A148" s="64" t="s">
        <v>5438</v>
      </c>
      <c r="B148" s="77" t="s">
        <v>5439</v>
      </c>
      <c r="C148" s="64" t="s">
        <v>317</v>
      </c>
      <c r="D148" s="66"/>
      <c r="E148" s="5"/>
      <c r="F148" s="5"/>
      <c r="G148" s="5"/>
    </row>
    <row r="149" spans="1:7" ht="13">
      <c r="A149" s="64" t="s">
        <v>5440</v>
      </c>
      <c r="B149" s="78" t="str">
        <f>HYPERLINK("https://bulbapedia.bulbagarden.net/wiki/Trevenant-EX_(Primal_Clash_145)","TrevenantEX")</f>
        <v>TrevenantEX</v>
      </c>
      <c r="C149" s="64" t="s">
        <v>205</v>
      </c>
      <c r="D149" s="66"/>
      <c r="E149" s="5"/>
      <c r="F149" s="5"/>
      <c r="G149" s="5"/>
    </row>
    <row r="150" spans="1:7" ht="13">
      <c r="A150" s="64" t="s">
        <v>5441</v>
      </c>
      <c r="B150" s="78" t="str">
        <f>HYPERLINK("https://bulbapedia.bulbagarden.net/wiki/Camerupt-EX_(Primal_Clash_146)","CameruptEX")</f>
        <v>CameruptEX</v>
      </c>
      <c r="C150" s="64" t="s">
        <v>199</v>
      </c>
      <c r="D150" s="66"/>
      <c r="E150" s="5"/>
      <c r="F150" s="5"/>
      <c r="G150" s="5"/>
    </row>
    <row r="151" spans="1:7" ht="13">
      <c r="A151" s="64" t="s">
        <v>5442</v>
      </c>
      <c r="B151" s="78" t="str">
        <f>HYPERLINK("https://bulbapedia.bulbagarden.net/wiki/Wailord-EX_(Primal_Clash_147)","WailordEX")</f>
        <v>WailordEX</v>
      </c>
      <c r="C151" s="64" t="s">
        <v>208</v>
      </c>
      <c r="D151" s="66"/>
      <c r="E151" s="5"/>
      <c r="F151" s="5"/>
      <c r="G151" s="5"/>
    </row>
    <row r="152" spans="1:7" ht="13">
      <c r="A152" s="64" t="s">
        <v>5443</v>
      </c>
      <c r="B152" s="78" t="str">
        <f>HYPERLINK("https://bulbapedia.bulbagarden.net/wiki/Kyogre-EX_(Primal_Clash_148)","KyogreEX")</f>
        <v>KyogreEX</v>
      </c>
      <c r="C152" s="64" t="s">
        <v>208</v>
      </c>
      <c r="D152" s="66"/>
      <c r="E152" s="5"/>
      <c r="F152" s="5"/>
      <c r="G152" s="5"/>
    </row>
    <row r="153" spans="1:7" ht="13">
      <c r="A153" s="64" t="s">
        <v>5444</v>
      </c>
      <c r="B153" s="78" t="str">
        <f>HYPERLINK("https://bulbapedia.bulbagarden.net/wiki/Primal_Kyogre-EX_(Primal_Clash_149)","Primal KyogreEX")</f>
        <v>Primal KyogreEX</v>
      </c>
      <c r="C153" s="64" t="s">
        <v>208</v>
      </c>
      <c r="D153" s="66"/>
      <c r="E153" s="5"/>
      <c r="F153" s="5"/>
      <c r="G153" s="5"/>
    </row>
    <row r="154" spans="1:7" ht="13">
      <c r="A154" s="64" t="s">
        <v>5445</v>
      </c>
      <c r="B154" s="78" t="str">
        <f>HYPERLINK("https://bulbapedia.bulbagarden.net/wiki/Groudon-EX_(Primal_Clash_150)","GroudonEX")</f>
        <v>GroudonEX</v>
      </c>
      <c r="C154" s="64" t="s">
        <v>225</v>
      </c>
      <c r="D154" s="66"/>
      <c r="E154" s="5"/>
      <c r="F154" s="5"/>
      <c r="G154" s="5"/>
    </row>
    <row r="155" spans="1:7" ht="13">
      <c r="A155" s="64" t="s">
        <v>5446</v>
      </c>
      <c r="B155" s="78" t="str">
        <f>HYPERLINK("https://bulbapedia.bulbagarden.net/wiki/Primal_Groudon-EX_(Primal_Clash_151)","Primal GroudonEX")</f>
        <v>Primal GroudonEX</v>
      </c>
      <c r="C155" s="64" t="s">
        <v>225</v>
      </c>
      <c r="D155" s="66"/>
      <c r="E155" s="5"/>
      <c r="F155" s="5"/>
      <c r="G155" s="5"/>
    </row>
    <row r="156" spans="1:7" ht="13">
      <c r="A156" s="64" t="s">
        <v>5447</v>
      </c>
      <c r="B156" s="78" t="str">
        <f>HYPERLINK("https://bulbapedia.bulbagarden.net/wiki/Sharpedo-EX_(Primal_Clash_152)","SharpedoEX")</f>
        <v>SharpedoEX</v>
      </c>
      <c r="C156" s="64" t="s">
        <v>808</v>
      </c>
      <c r="D156" s="66"/>
      <c r="E156" s="5"/>
      <c r="F156" s="5"/>
      <c r="G156" s="5"/>
    </row>
    <row r="157" spans="1:7" ht="13">
      <c r="A157" s="64" t="s">
        <v>5448</v>
      </c>
      <c r="B157" s="78" t="str">
        <f>HYPERLINK("https://bulbapedia.bulbagarden.net/wiki/Aggron-EX_(Primal_Clash_153)","AggronEX")</f>
        <v>AggronEX</v>
      </c>
      <c r="C157" s="64" t="s">
        <v>220</v>
      </c>
      <c r="D157" s="66"/>
      <c r="E157" s="5"/>
      <c r="F157" s="5"/>
      <c r="G157" s="5"/>
    </row>
    <row r="158" spans="1:7" ht="13">
      <c r="A158" s="64" t="s">
        <v>5449</v>
      </c>
      <c r="B158" s="79" t="str">
        <f>HYPERLINK("https://bulbapedia.bulbagarden.net/wiki/M_Aggron-EX_(Primal_Clash_154)","MAggronEX")</f>
        <v>MAggronEX</v>
      </c>
      <c r="C158" s="64" t="s">
        <v>220</v>
      </c>
      <c r="D158" s="66"/>
      <c r="E158" s="5"/>
      <c r="F158" s="5"/>
      <c r="G158" s="5"/>
    </row>
    <row r="159" spans="1:7" ht="13">
      <c r="A159" s="64" t="s">
        <v>5450</v>
      </c>
      <c r="B159" s="78" t="str">
        <f>HYPERLINK("https://bulbapedia.bulbagarden.net/wiki/Gardevoir-EX_(Primal_Clash_155)","GardevoirEX")</f>
        <v>GardevoirEX</v>
      </c>
      <c r="C159" s="64" t="s">
        <v>4743</v>
      </c>
      <c r="D159" s="66"/>
      <c r="E159" s="5"/>
      <c r="F159" s="5"/>
      <c r="G159" s="5"/>
    </row>
    <row r="160" spans="1:7" ht="13">
      <c r="A160" s="64" t="s">
        <v>5451</v>
      </c>
      <c r="B160" s="79" t="str">
        <f>HYPERLINK("https://bulbapedia.bulbagarden.net/wiki/M_Gardevoir-EX_(Primal_Clash_156)","MGardevoirEX")</f>
        <v>MGardevoirEX</v>
      </c>
      <c r="C160" s="64" t="s">
        <v>4743</v>
      </c>
      <c r="D160" s="66"/>
      <c r="E160" s="5"/>
      <c r="F160" s="5"/>
      <c r="G160" s="5"/>
    </row>
    <row r="161" spans="1:7" ht="13">
      <c r="A161" s="64" t="s">
        <v>5452</v>
      </c>
      <c r="B161" s="77" t="s">
        <v>5403</v>
      </c>
      <c r="C161" s="64" t="s">
        <v>1013</v>
      </c>
      <c r="D161" s="66"/>
      <c r="E161" s="5"/>
      <c r="F161" s="5"/>
      <c r="G161" s="5"/>
    </row>
    <row r="162" spans="1:7" ht="13">
      <c r="A162" s="64" t="s">
        <v>5453</v>
      </c>
      <c r="B162" s="77" t="s">
        <v>5418</v>
      </c>
      <c r="C162" s="64" t="s">
        <v>1013</v>
      </c>
      <c r="D162" s="66"/>
      <c r="E162" s="5"/>
      <c r="F162" s="5"/>
      <c r="G162" s="5"/>
    </row>
    <row r="163" spans="1:7" ht="13">
      <c r="A163" s="64" t="s">
        <v>5454</v>
      </c>
      <c r="B163" s="77" t="s">
        <v>5420</v>
      </c>
      <c r="C163" s="64" t="s">
        <v>1013</v>
      </c>
      <c r="D163" s="66"/>
      <c r="E163" s="5"/>
      <c r="F163" s="5"/>
      <c r="G163" s="5"/>
    </row>
    <row r="164" spans="1:7" ht="13">
      <c r="A164" s="64" t="s">
        <v>5455</v>
      </c>
      <c r="B164" s="77" t="s">
        <v>5433</v>
      </c>
      <c r="C164" s="64" t="s">
        <v>1013</v>
      </c>
      <c r="D164" s="66"/>
      <c r="E164" s="5"/>
      <c r="F164" s="5"/>
      <c r="G164" s="5"/>
    </row>
    <row r="165" spans="1:7" ht="13">
      <c r="A165" s="64" t="s">
        <v>5456</v>
      </c>
      <c r="B165" s="77" t="s">
        <v>5405</v>
      </c>
      <c r="C165" s="64" t="s">
        <v>4114</v>
      </c>
      <c r="D165" s="66"/>
      <c r="E165" s="5"/>
      <c r="F165" s="5"/>
      <c r="G165" s="5"/>
    </row>
    <row r="166" spans="1:7" ht="13">
      <c r="A166" s="64" t="s">
        <v>5457</v>
      </c>
      <c r="B166" s="77" t="s">
        <v>4167</v>
      </c>
      <c r="C166" s="64" t="s">
        <v>4114</v>
      </c>
      <c r="D166" s="66"/>
      <c r="E166" s="5"/>
      <c r="F166" s="5"/>
      <c r="G166" s="5"/>
    </row>
    <row r="167" spans="1:7" ht="13">
      <c r="A167" s="64" t="s">
        <v>5458</v>
      </c>
      <c r="B167" s="77" t="s">
        <v>315</v>
      </c>
      <c r="C167" s="64" t="s">
        <v>4114</v>
      </c>
      <c r="D167" s="66"/>
      <c r="E167" s="5"/>
      <c r="F167" s="5"/>
      <c r="G167" s="5"/>
    </row>
    <row r="168" spans="1:7" ht="13">
      <c r="A168" s="64" t="s">
        <v>5459</v>
      </c>
      <c r="B168" s="77" t="s">
        <v>5435</v>
      </c>
      <c r="C168" s="64" t="s">
        <v>4114</v>
      </c>
      <c r="D168" s="66"/>
      <c r="E168" s="5"/>
      <c r="F168" s="5"/>
      <c r="G168"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5" r:id="rId1" xr:uid="{00000000-0004-0000-4800-000000000000}"/>
    <hyperlink ref="B6" r:id="rId2" xr:uid="{00000000-0004-0000-4800-000001000000}"/>
    <hyperlink ref="B7" r:id="rId3" xr:uid="{00000000-0004-0000-4800-000002000000}"/>
    <hyperlink ref="B8" r:id="rId4" xr:uid="{00000000-0004-0000-4800-000003000000}"/>
    <hyperlink ref="B9" r:id="rId5" xr:uid="{00000000-0004-0000-4800-000004000000}"/>
    <hyperlink ref="B10" r:id="rId6" xr:uid="{00000000-0004-0000-4800-000005000000}"/>
    <hyperlink ref="B11" r:id="rId7" xr:uid="{00000000-0004-0000-4800-000006000000}"/>
    <hyperlink ref="B12" r:id="rId8" xr:uid="{00000000-0004-0000-4800-000007000000}"/>
    <hyperlink ref="B13" r:id="rId9" xr:uid="{00000000-0004-0000-4800-000008000000}"/>
    <hyperlink ref="B14" r:id="rId10" xr:uid="{00000000-0004-0000-4800-000009000000}"/>
    <hyperlink ref="B15" r:id="rId11" xr:uid="{00000000-0004-0000-4800-00000A000000}"/>
    <hyperlink ref="B16" r:id="rId12" xr:uid="{00000000-0004-0000-4800-00000B000000}"/>
    <hyperlink ref="B17" r:id="rId13" xr:uid="{00000000-0004-0000-4800-00000C000000}"/>
    <hyperlink ref="B18" r:id="rId14" xr:uid="{00000000-0004-0000-4800-00000D000000}"/>
    <hyperlink ref="B19" r:id="rId15" xr:uid="{00000000-0004-0000-4800-00000E000000}"/>
    <hyperlink ref="B20" r:id="rId16" xr:uid="{00000000-0004-0000-4800-00000F000000}"/>
    <hyperlink ref="B21" r:id="rId17" xr:uid="{00000000-0004-0000-4800-000010000000}"/>
    <hyperlink ref="B22" r:id="rId18" xr:uid="{00000000-0004-0000-4800-000011000000}"/>
    <hyperlink ref="B24" r:id="rId19" xr:uid="{00000000-0004-0000-4800-000012000000}"/>
    <hyperlink ref="B25" r:id="rId20" xr:uid="{00000000-0004-0000-4800-000013000000}"/>
    <hyperlink ref="B26" r:id="rId21" xr:uid="{00000000-0004-0000-4800-000014000000}"/>
    <hyperlink ref="B27" r:id="rId22" xr:uid="{00000000-0004-0000-4800-000015000000}"/>
    <hyperlink ref="B28" r:id="rId23" xr:uid="{00000000-0004-0000-4800-000016000000}"/>
    <hyperlink ref="B29" r:id="rId24" xr:uid="{00000000-0004-0000-4800-000017000000}"/>
    <hyperlink ref="B30" r:id="rId25" xr:uid="{00000000-0004-0000-4800-000018000000}"/>
    <hyperlink ref="B31" r:id="rId26" xr:uid="{00000000-0004-0000-4800-000019000000}"/>
    <hyperlink ref="B32" r:id="rId27" xr:uid="{00000000-0004-0000-4800-00001A000000}"/>
    <hyperlink ref="B34" r:id="rId28" xr:uid="{00000000-0004-0000-4800-00001B000000}"/>
    <hyperlink ref="B35" r:id="rId29" xr:uid="{00000000-0004-0000-4800-00001C000000}"/>
    <hyperlink ref="B36" r:id="rId30" xr:uid="{00000000-0004-0000-4800-00001D000000}"/>
    <hyperlink ref="B37" r:id="rId31" xr:uid="{00000000-0004-0000-4800-00001E000000}"/>
    <hyperlink ref="B38" r:id="rId32" xr:uid="{00000000-0004-0000-4800-00001F000000}"/>
    <hyperlink ref="B39" r:id="rId33" xr:uid="{00000000-0004-0000-4800-000020000000}"/>
    <hyperlink ref="B40" r:id="rId34" xr:uid="{00000000-0004-0000-4800-000021000000}"/>
    <hyperlink ref="B41" r:id="rId35" xr:uid="{00000000-0004-0000-4800-000022000000}"/>
    <hyperlink ref="B43" r:id="rId36" xr:uid="{00000000-0004-0000-4800-000023000000}"/>
    <hyperlink ref="B44" r:id="rId37" xr:uid="{00000000-0004-0000-4800-000024000000}"/>
    <hyperlink ref="B45" r:id="rId38" xr:uid="{00000000-0004-0000-4800-000025000000}"/>
    <hyperlink ref="B46" r:id="rId39" xr:uid="{00000000-0004-0000-4800-000026000000}"/>
    <hyperlink ref="B47" r:id="rId40" xr:uid="{00000000-0004-0000-4800-000027000000}"/>
    <hyperlink ref="B48" r:id="rId41" xr:uid="{00000000-0004-0000-4800-000028000000}"/>
    <hyperlink ref="B49" r:id="rId42" xr:uid="{00000000-0004-0000-4800-000029000000}"/>
    <hyperlink ref="B50" r:id="rId43" xr:uid="{00000000-0004-0000-4800-00002A000000}"/>
    <hyperlink ref="B51" r:id="rId44" xr:uid="{00000000-0004-0000-4800-00002B000000}"/>
    <hyperlink ref="B52" r:id="rId45" xr:uid="{00000000-0004-0000-4800-00002C000000}"/>
    <hyperlink ref="B53" r:id="rId46" xr:uid="{00000000-0004-0000-4800-00002D000000}"/>
    <hyperlink ref="B54" r:id="rId47" xr:uid="{00000000-0004-0000-4800-00002E000000}"/>
    <hyperlink ref="B55" r:id="rId48" xr:uid="{00000000-0004-0000-4800-00002F000000}"/>
    <hyperlink ref="B56" r:id="rId49" xr:uid="{00000000-0004-0000-4800-000030000000}"/>
    <hyperlink ref="B57" r:id="rId50" xr:uid="{00000000-0004-0000-4800-000031000000}"/>
    <hyperlink ref="B60" r:id="rId51" xr:uid="{00000000-0004-0000-4800-000032000000}"/>
    <hyperlink ref="B61" r:id="rId52" xr:uid="{00000000-0004-0000-4800-000033000000}"/>
    <hyperlink ref="B62" r:id="rId53" xr:uid="{00000000-0004-0000-4800-000034000000}"/>
    <hyperlink ref="B63" r:id="rId54" xr:uid="{00000000-0004-0000-4800-000035000000}"/>
    <hyperlink ref="B64" r:id="rId55" xr:uid="{00000000-0004-0000-4800-000036000000}"/>
    <hyperlink ref="B65" r:id="rId56" xr:uid="{00000000-0004-0000-4800-000037000000}"/>
    <hyperlink ref="B66" r:id="rId57" xr:uid="{00000000-0004-0000-4800-000038000000}"/>
    <hyperlink ref="B67" r:id="rId58" xr:uid="{00000000-0004-0000-4800-000039000000}"/>
    <hyperlink ref="B68" r:id="rId59" xr:uid="{00000000-0004-0000-4800-00003A000000}"/>
    <hyperlink ref="B69" r:id="rId60" xr:uid="{00000000-0004-0000-4800-00003B000000}"/>
    <hyperlink ref="B70" r:id="rId61" xr:uid="{00000000-0004-0000-4800-00003C000000}"/>
    <hyperlink ref="B71" r:id="rId62" xr:uid="{00000000-0004-0000-4800-00003D000000}"/>
    <hyperlink ref="B72" r:id="rId63" xr:uid="{00000000-0004-0000-4800-00003E000000}"/>
    <hyperlink ref="B73" r:id="rId64" xr:uid="{00000000-0004-0000-4800-00003F000000}"/>
    <hyperlink ref="B74" r:id="rId65" xr:uid="{00000000-0004-0000-4800-000040000000}"/>
    <hyperlink ref="B75" r:id="rId66" xr:uid="{00000000-0004-0000-4800-000041000000}"/>
    <hyperlink ref="B76" r:id="rId67" xr:uid="{00000000-0004-0000-4800-000042000000}"/>
    <hyperlink ref="B77" r:id="rId68" xr:uid="{00000000-0004-0000-4800-000043000000}"/>
    <hyperlink ref="B78" r:id="rId69" xr:uid="{00000000-0004-0000-4800-000044000000}"/>
    <hyperlink ref="B79" r:id="rId70" xr:uid="{00000000-0004-0000-4800-000045000000}"/>
    <hyperlink ref="B80" r:id="rId71" xr:uid="{00000000-0004-0000-4800-000046000000}"/>
    <hyperlink ref="B81" r:id="rId72" xr:uid="{00000000-0004-0000-4800-000047000000}"/>
    <hyperlink ref="B82" r:id="rId73" xr:uid="{00000000-0004-0000-4800-000048000000}"/>
    <hyperlink ref="B83" r:id="rId74" xr:uid="{00000000-0004-0000-4800-000049000000}"/>
    <hyperlink ref="B84" r:id="rId75" xr:uid="{00000000-0004-0000-4800-00004A000000}"/>
    <hyperlink ref="B85" r:id="rId76" xr:uid="{00000000-0004-0000-4800-00004B000000}"/>
    <hyperlink ref="B86" r:id="rId77" xr:uid="{00000000-0004-0000-4800-00004C000000}"/>
    <hyperlink ref="B87" r:id="rId78" xr:uid="{00000000-0004-0000-4800-00004D000000}"/>
    <hyperlink ref="B88" r:id="rId79" xr:uid="{00000000-0004-0000-4800-00004E000000}"/>
    <hyperlink ref="B91" r:id="rId80" xr:uid="{00000000-0004-0000-4800-00004F000000}"/>
    <hyperlink ref="B92" r:id="rId81" xr:uid="{00000000-0004-0000-4800-000050000000}"/>
    <hyperlink ref="B93" r:id="rId82" xr:uid="{00000000-0004-0000-4800-000051000000}"/>
    <hyperlink ref="B94" r:id="rId83" xr:uid="{00000000-0004-0000-4800-000052000000}"/>
    <hyperlink ref="B96" r:id="rId84" xr:uid="{00000000-0004-0000-4800-000053000000}"/>
    <hyperlink ref="B99" r:id="rId85" xr:uid="{00000000-0004-0000-4800-000054000000}"/>
    <hyperlink ref="B100" r:id="rId86" xr:uid="{00000000-0004-0000-4800-000055000000}"/>
    <hyperlink ref="B101" r:id="rId87" xr:uid="{00000000-0004-0000-4800-000056000000}"/>
    <hyperlink ref="B102" r:id="rId88" xr:uid="{00000000-0004-0000-4800-000057000000}"/>
    <hyperlink ref="B103" r:id="rId89" xr:uid="{00000000-0004-0000-4800-000058000000}"/>
    <hyperlink ref="B104" r:id="rId90" xr:uid="{00000000-0004-0000-4800-000059000000}"/>
    <hyperlink ref="B105" r:id="rId91" xr:uid="{00000000-0004-0000-4800-00005A000000}"/>
    <hyperlink ref="B106" r:id="rId92" xr:uid="{00000000-0004-0000-4800-00005B000000}"/>
    <hyperlink ref="B107" r:id="rId93" xr:uid="{00000000-0004-0000-4800-00005C000000}"/>
    <hyperlink ref="B108" r:id="rId94" xr:uid="{00000000-0004-0000-4800-00005D000000}"/>
    <hyperlink ref="B111" r:id="rId95" xr:uid="{00000000-0004-0000-4800-00005E000000}"/>
    <hyperlink ref="B112" r:id="rId96" xr:uid="{00000000-0004-0000-4800-00005F000000}"/>
    <hyperlink ref="B113" r:id="rId97" xr:uid="{00000000-0004-0000-4800-000060000000}"/>
    <hyperlink ref="B114" r:id="rId98" xr:uid="{00000000-0004-0000-4800-000061000000}"/>
    <hyperlink ref="B115" r:id="rId99" xr:uid="{00000000-0004-0000-4800-000062000000}"/>
    <hyperlink ref="B116" r:id="rId100" xr:uid="{00000000-0004-0000-4800-000063000000}"/>
    <hyperlink ref="B117" r:id="rId101" xr:uid="{00000000-0004-0000-4800-000064000000}"/>
    <hyperlink ref="B118" r:id="rId102" xr:uid="{00000000-0004-0000-4800-000065000000}"/>
    <hyperlink ref="B119" r:id="rId103" xr:uid="{00000000-0004-0000-4800-000066000000}"/>
    <hyperlink ref="B120" r:id="rId104" xr:uid="{00000000-0004-0000-4800-000067000000}"/>
    <hyperlink ref="B121" r:id="rId105" xr:uid="{00000000-0004-0000-4800-000068000000}"/>
    <hyperlink ref="B122" r:id="rId106" xr:uid="{00000000-0004-0000-4800-000069000000}"/>
    <hyperlink ref="B123" r:id="rId107" xr:uid="{00000000-0004-0000-4800-00006A000000}"/>
    <hyperlink ref="B124" r:id="rId108" xr:uid="{00000000-0004-0000-4800-00006B000000}"/>
    <hyperlink ref="B125" r:id="rId109" xr:uid="{00000000-0004-0000-4800-00006C000000}"/>
    <hyperlink ref="B126" r:id="rId110" xr:uid="{00000000-0004-0000-4800-00006D000000}"/>
    <hyperlink ref="B127" r:id="rId111" xr:uid="{00000000-0004-0000-4800-00006E000000}"/>
    <hyperlink ref="B128" r:id="rId112" xr:uid="{00000000-0004-0000-4800-00006F000000}"/>
    <hyperlink ref="B129" r:id="rId113" xr:uid="{00000000-0004-0000-4800-000070000000}"/>
    <hyperlink ref="B130" r:id="rId114" xr:uid="{00000000-0004-0000-4800-000071000000}"/>
    <hyperlink ref="B131" r:id="rId115" xr:uid="{00000000-0004-0000-4800-000072000000}"/>
    <hyperlink ref="B132" r:id="rId116" xr:uid="{00000000-0004-0000-4800-000073000000}"/>
    <hyperlink ref="B133" r:id="rId117" xr:uid="{00000000-0004-0000-4800-000074000000}"/>
    <hyperlink ref="B134" r:id="rId118" xr:uid="{00000000-0004-0000-4800-000075000000}"/>
    <hyperlink ref="B135" r:id="rId119" xr:uid="{00000000-0004-0000-4800-000076000000}"/>
    <hyperlink ref="B136" r:id="rId120" xr:uid="{00000000-0004-0000-4800-000077000000}"/>
    <hyperlink ref="B137" r:id="rId121" xr:uid="{00000000-0004-0000-4800-000078000000}"/>
    <hyperlink ref="B138" r:id="rId122" xr:uid="{00000000-0004-0000-4800-000079000000}"/>
    <hyperlink ref="B139" r:id="rId123" xr:uid="{00000000-0004-0000-4800-00007A000000}"/>
    <hyperlink ref="B140" r:id="rId124" xr:uid="{00000000-0004-0000-4800-00007B000000}"/>
    <hyperlink ref="B141" r:id="rId125" xr:uid="{00000000-0004-0000-4800-00007C000000}"/>
    <hyperlink ref="B142" r:id="rId126" xr:uid="{00000000-0004-0000-4800-00007D000000}"/>
    <hyperlink ref="B143" r:id="rId127" xr:uid="{00000000-0004-0000-4800-00007E000000}"/>
    <hyperlink ref="B144" r:id="rId128" xr:uid="{00000000-0004-0000-4800-00007F000000}"/>
    <hyperlink ref="B145" r:id="rId129" xr:uid="{00000000-0004-0000-4800-000080000000}"/>
    <hyperlink ref="B146" r:id="rId130" xr:uid="{00000000-0004-0000-4800-000081000000}"/>
    <hyperlink ref="B147" r:id="rId131" xr:uid="{00000000-0004-0000-4800-000082000000}"/>
    <hyperlink ref="B148" r:id="rId132" xr:uid="{00000000-0004-0000-4800-000083000000}"/>
    <hyperlink ref="B161" r:id="rId133" xr:uid="{00000000-0004-0000-4800-000084000000}"/>
    <hyperlink ref="B162" r:id="rId134" xr:uid="{00000000-0004-0000-4800-000085000000}"/>
    <hyperlink ref="B163" r:id="rId135" xr:uid="{00000000-0004-0000-4800-000086000000}"/>
    <hyperlink ref="B164" r:id="rId136" xr:uid="{00000000-0004-0000-4800-000087000000}"/>
    <hyperlink ref="B165" r:id="rId137" xr:uid="{00000000-0004-0000-4800-000088000000}"/>
    <hyperlink ref="B166" r:id="rId138" xr:uid="{00000000-0004-0000-4800-000089000000}"/>
    <hyperlink ref="B167" r:id="rId139" xr:uid="{00000000-0004-0000-4800-00008A000000}"/>
    <hyperlink ref="B168" r:id="rId140" xr:uid="{00000000-0004-0000-4800-00008B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4">
    <outlinePr summaryBelow="0" summaryRight="0"/>
  </sheetPr>
  <dimension ref="A1:I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3.5" customWidth="1"/>
    <col min="3" max="3" width="13.5" customWidth="1"/>
    <col min="4" max="4" width="14.83203125" customWidth="1"/>
    <col min="5" max="5" width="14.33203125" customWidth="1"/>
  </cols>
  <sheetData>
    <row r="1" spans="1:9" ht="15.75" customHeight="1">
      <c r="A1" s="1" t="s">
        <v>112</v>
      </c>
      <c r="B1" s="36"/>
      <c r="C1" s="37"/>
      <c r="D1" s="7" t="s">
        <v>181</v>
      </c>
      <c r="E1" s="5"/>
      <c r="F1" s="5"/>
      <c r="G1" s="5"/>
    </row>
    <row r="2" spans="1:9" ht="15.75" customHeight="1">
      <c r="A2" s="7" t="s">
        <v>182</v>
      </c>
      <c r="B2" s="38">
        <v>42123</v>
      </c>
      <c r="C2" s="37"/>
      <c r="D2" s="39">
        <f>SUM(D5:G64)</f>
        <v>0</v>
      </c>
      <c r="E2" s="5"/>
      <c r="F2" s="5"/>
      <c r="G2" s="5"/>
    </row>
    <row r="3" spans="1:9" ht="15.75" customHeight="1">
      <c r="B3" s="41"/>
      <c r="C3" s="37"/>
      <c r="D3" s="5"/>
      <c r="E3" s="5"/>
      <c r="F3" s="5"/>
      <c r="G3" s="5"/>
    </row>
    <row r="4" spans="1:9" ht="15.75" customHeight="1">
      <c r="A4" s="42" t="s">
        <v>183</v>
      </c>
      <c r="B4" s="43" t="s">
        <v>184</v>
      </c>
      <c r="C4" s="43" t="s">
        <v>185</v>
      </c>
      <c r="D4" s="42" t="s">
        <v>186</v>
      </c>
      <c r="E4" s="44" t="s">
        <v>187</v>
      </c>
      <c r="F4" s="44" t="s">
        <v>188</v>
      </c>
      <c r="G4" s="44" t="s">
        <v>189</v>
      </c>
      <c r="H4" s="44" t="s">
        <v>190</v>
      </c>
      <c r="I4" s="44"/>
    </row>
    <row r="5" spans="1:9" ht="15.75" customHeight="1">
      <c r="A5" s="59">
        <v>43860</v>
      </c>
      <c r="B5" s="60" t="s">
        <v>5062</v>
      </c>
      <c r="C5" s="51" t="s">
        <v>317</v>
      </c>
      <c r="D5" s="51"/>
      <c r="E5" s="5"/>
      <c r="F5" s="5"/>
      <c r="G5" s="5"/>
    </row>
    <row r="6" spans="1:9" ht="15.75" customHeight="1">
      <c r="A6" s="51" t="s">
        <v>5069</v>
      </c>
      <c r="B6" s="60" t="s">
        <v>5062</v>
      </c>
      <c r="C6" s="51" t="s">
        <v>317</v>
      </c>
      <c r="D6" s="51"/>
      <c r="E6" s="5"/>
      <c r="F6" s="5"/>
      <c r="G6" s="5"/>
    </row>
    <row r="7" spans="1:9" ht="15.75" customHeight="1">
      <c r="A7" s="59">
        <v>43920</v>
      </c>
      <c r="B7" s="60" t="s">
        <v>5062</v>
      </c>
      <c r="C7" s="51" t="s">
        <v>317</v>
      </c>
      <c r="D7" s="51"/>
      <c r="E7" s="5"/>
      <c r="F7" s="5"/>
      <c r="G7" s="5"/>
    </row>
    <row r="8" spans="1:9" ht="15.75" customHeight="1">
      <c r="A8" s="59">
        <v>43951</v>
      </c>
      <c r="B8" s="60" t="s">
        <v>5027</v>
      </c>
      <c r="C8" s="51" t="s">
        <v>197</v>
      </c>
      <c r="D8" s="51"/>
      <c r="E8" s="5"/>
      <c r="F8" s="5"/>
      <c r="G8" s="5"/>
    </row>
    <row r="9" spans="1:9" ht="15.75" customHeight="1">
      <c r="A9" s="59">
        <v>43981</v>
      </c>
      <c r="B9" s="60" t="s">
        <v>5062</v>
      </c>
      <c r="C9" s="51" t="s">
        <v>317</v>
      </c>
      <c r="D9" s="51"/>
      <c r="E9" s="5"/>
      <c r="F9" s="5"/>
      <c r="G9" s="5"/>
    </row>
    <row r="10" spans="1:9" ht="15.75" customHeight="1">
      <c r="A10" s="59">
        <v>44012</v>
      </c>
      <c r="B10" s="60" t="s">
        <v>1416</v>
      </c>
      <c r="C10" s="51" t="s">
        <v>205</v>
      </c>
      <c r="D10" s="51"/>
      <c r="E10" s="5"/>
      <c r="F10" s="5"/>
      <c r="G10" s="5"/>
    </row>
    <row r="11" spans="1:9" ht="15.75" customHeight="1">
      <c r="A11" s="59">
        <v>44042</v>
      </c>
      <c r="B11" s="60" t="s">
        <v>1187</v>
      </c>
      <c r="C11" s="51" t="s">
        <v>205</v>
      </c>
      <c r="D11" s="51"/>
      <c r="E11" s="5"/>
      <c r="F11" s="5"/>
      <c r="G11" s="5"/>
    </row>
    <row r="12" spans="1:9" ht="15.75" customHeight="1">
      <c r="A12" s="59">
        <v>44073</v>
      </c>
      <c r="B12" s="60" t="s">
        <v>5066</v>
      </c>
      <c r="C12" s="51" t="s">
        <v>317</v>
      </c>
      <c r="D12" s="51"/>
      <c r="E12" s="5"/>
      <c r="F12" s="5"/>
      <c r="G12" s="5"/>
    </row>
    <row r="13" spans="1:9" ht="15.75" customHeight="1">
      <c r="A13" s="59">
        <v>44104</v>
      </c>
      <c r="B13" s="60" t="s">
        <v>5066</v>
      </c>
      <c r="C13" s="51" t="s">
        <v>317</v>
      </c>
      <c r="D13" s="51"/>
      <c r="E13" s="5"/>
      <c r="F13" s="5"/>
      <c r="G13" s="5"/>
    </row>
    <row r="14" spans="1:9" ht="15.75" customHeight="1">
      <c r="A14" s="59">
        <v>44134</v>
      </c>
      <c r="B14" s="60" t="s">
        <v>5066</v>
      </c>
      <c r="C14" s="51" t="s">
        <v>317</v>
      </c>
      <c r="D14" s="51"/>
      <c r="E14" s="5"/>
      <c r="F14" s="5"/>
      <c r="G14" s="5"/>
    </row>
    <row r="15" spans="1:9" ht="15.75" customHeight="1">
      <c r="A15" s="59">
        <v>44165</v>
      </c>
      <c r="B15" s="60" t="s">
        <v>1443</v>
      </c>
      <c r="C15" s="51" t="s">
        <v>205</v>
      </c>
      <c r="D15" s="51"/>
      <c r="E15" s="5"/>
      <c r="F15" s="5"/>
      <c r="G15" s="5"/>
    </row>
    <row r="16" spans="1:9" ht="15.75" customHeight="1">
      <c r="A16" s="59">
        <v>44195</v>
      </c>
      <c r="B16" s="60" t="s">
        <v>3339</v>
      </c>
      <c r="C16" s="51" t="s">
        <v>205</v>
      </c>
      <c r="D16" s="51"/>
      <c r="E16" s="5"/>
      <c r="F16" s="5"/>
      <c r="G16" s="5"/>
    </row>
    <row r="17" spans="1:7" ht="15.75" customHeight="1">
      <c r="A17" s="51" t="s">
        <v>5070</v>
      </c>
      <c r="B17" s="60" t="s">
        <v>297</v>
      </c>
      <c r="C17" s="51" t="s">
        <v>205</v>
      </c>
      <c r="D17" s="51"/>
      <c r="E17" s="5"/>
      <c r="F17" s="5"/>
      <c r="G17" s="5"/>
    </row>
    <row r="18" spans="1:7" ht="15.75" customHeight="1">
      <c r="A18" s="51" t="s">
        <v>5071</v>
      </c>
      <c r="B18" s="60" t="s">
        <v>1193</v>
      </c>
      <c r="C18" s="51" t="s">
        <v>195</v>
      </c>
      <c r="D18" s="51"/>
      <c r="E18" s="5"/>
      <c r="F18" s="5"/>
      <c r="G18" s="5"/>
    </row>
    <row r="19" spans="1:7" ht="15.75" customHeight="1">
      <c r="A19" s="51" t="s">
        <v>5072</v>
      </c>
      <c r="B19" s="60" t="s">
        <v>314</v>
      </c>
      <c r="C19" s="51" t="s">
        <v>4114</v>
      </c>
      <c r="D19" s="51"/>
      <c r="E19" s="5"/>
      <c r="F19" s="5"/>
      <c r="G19" s="5"/>
    </row>
    <row r="20" spans="1:7" ht="15.75" customHeight="1">
      <c r="A20" s="51" t="s">
        <v>5073</v>
      </c>
      <c r="B20" s="60" t="s">
        <v>1891</v>
      </c>
      <c r="C20" s="51" t="s">
        <v>205</v>
      </c>
      <c r="D20" s="51"/>
      <c r="E20" s="5"/>
      <c r="F20" s="5"/>
      <c r="G20" s="5"/>
    </row>
    <row r="21" spans="1:7" ht="15.75" customHeight="1">
      <c r="A21" s="51" t="s">
        <v>5074</v>
      </c>
      <c r="B21" s="60" t="s">
        <v>5066</v>
      </c>
      <c r="C21" s="51" t="s">
        <v>317</v>
      </c>
      <c r="D21" s="51"/>
      <c r="E21" s="5"/>
      <c r="F21" s="5"/>
      <c r="G21" s="5"/>
    </row>
    <row r="22" spans="1:7" ht="15.75" customHeight="1">
      <c r="A22" s="51" t="s">
        <v>5075</v>
      </c>
      <c r="B22" s="60" t="s">
        <v>1188</v>
      </c>
      <c r="C22" s="51" t="s">
        <v>205</v>
      </c>
      <c r="D22" s="51"/>
      <c r="E22" s="5"/>
      <c r="F22" s="5"/>
      <c r="G22" s="5"/>
    </row>
    <row r="23" spans="1:7" ht="15.75" customHeight="1">
      <c r="A23" s="51" t="s">
        <v>5076</v>
      </c>
      <c r="B23" s="60" t="s">
        <v>5062</v>
      </c>
      <c r="C23" s="51" t="s">
        <v>317</v>
      </c>
      <c r="D23" s="51"/>
      <c r="E23" s="5"/>
      <c r="F23" s="5"/>
      <c r="G23" s="5"/>
    </row>
    <row r="24" spans="1:7" ht="15.75" customHeight="1">
      <c r="A24" s="51" t="s">
        <v>5077</v>
      </c>
      <c r="B24" s="60" t="s">
        <v>5399</v>
      </c>
      <c r="C24" s="51" t="s">
        <v>4114</v>
      </c>
      <c r="D24" s="51"/>
      <c r="E24" s="5"/>
      <c r="F24" s="5"/>
      <c r="G24" s="5"/>
    </row>
    <row r="25" spans="1:7" ht="15.75" customHeight="1">
      <c r="A25" s="51" t="s">
        <v>5078</v>
      </c>
      <c r="B25" s="60" t="s">
        <v>1416</v>
      </c>
      <c r="C25" s="51" t="s">
        <v>205</v>
      </c>
      <c r="D25" s="51"/>
      <c r="E25" s="5"/>
      <c r="F25" s="5"/>
      <c r="G25" s="5"/>
    </row>
    <row r="26" spans="1:7" ht="15.75" customHeight="1">
      <c r="A26" s="51" t="s">
        <v>5079</v>
      </c>
      <c r="B26" s="60" t="s">
        <v>5066</v>
      </c>
      <c r="C26" s="51" t="s">
        <v>317</v>
      </c>
      <c r="D26" s="51"/>
      <c r="E26" s="5"/>
      <c r="F26" s="5"/>
      <c r="G26" s="5"/>
    </row>
    <row r="27" spans="1:7" ht="15.75" customHeight="1">
      <c r="A27" s="51" t="s">
        <v>5080</v>
      </c>
      <c r="B27" s="60" t="s">
        <v>1443</v>
      </c>
      <c r="C27" s="51" t="s">
        <v>205</v>
      </c>
      <c r="D27" s="51"/>
      <c r="E27" s="5"/>
      <c r="F27" s="5"/>
      <c r="G27" s="5"/>
    </row>
    <row r="28" spans="1:7" ht="15.75" customHeight="1">
      <c r="A28" s="51" t="s">
        <v>5081</v>
      </c>
      <c r="B28" s="60" t="s">
        <v>1187</v>
      </c>
      <c r="C28" s="51" t="s">
        <v>205</v>
      </c>
      <c r="D28" s="51"/>
      <c r="E28" s="5"/>
      <c r="F28" s="5"/>
      <c r="G28" s="5"/>
    </row>
    <row r="29" spans="1:7" ht="15.75" customHeight="1">
      <c r="A29" s="51" t="s">
        <v>5082</v>
      </c>
      <c r="B29" s="60" t="s">
        <v>3339</v>
      </c>
      <c r="C29" s="51" t="s">
        <v>205</v>
      </c>
      <c r="D29" s="51"/>
      <c r="E29" s="5"/>
      <c r="F29" s="5"/>
      <c r="G29" s="5"/>
    </row>
    <row r="30" spans="1:7" ht="15.75" customHeight="1">
      <c r="A30" s="51" t="s">
        <v>5083</v>
      </c>
      <c r="B30" s="60" t="s">
        <v>297</v>
      </c>
      <c r="C30" s="51" t="s">
        <v>205</v>
      </c>
      <c r="D30" s="51"/>
      <c r="E30" s="5"/>
      <c r="F30" s="5"/>
      <c r="G30" s="5"/>
    </row>
    <row r="31" spans="1:7" ht="15.75" customHeight="1">
      <c r="A31" s="51" t="s">
        <v>5084</v>
      </c>
      <c r="B31" s="60" t="s">
        <v>1188</v>
      </c>
      <c r="C31" s="51" t="s">
        <v>205</v>
      </c>
      <c r="D31" s="51"/>
      <c r="E31" s="5"/>
      <c r="F31" s="5"/>
      <c r="G31" s="5"/>
    </row>
    <row r="32" spans="1:7" ht="15.75" customHeight="1">
      <c r="A32" s="51" t="s">
        <v>5085</v>
      </c>
      <c r="B32" s="60" t="s">
        <v>5066</v>
      </c>
      <c r="C32" s="51" t="s">
        <v>317</v>
      </c>
      <c r="D32" s="51"/>
      <c r="E32" s="5"/>
      <c r="F32" s="5"/>
      <c r="G32" s="5"/>
    </row>
    <row r="33" spans="1:7" ht="15.75" customHeight="1">
      <c r="A33" s="51" t="s">
        <v>5086</v>
      </c>
      <c r="B33" s="60" t="s">
        <v>5399</v>
      </c>
      <c r="C33" s="51" t="s">
        <v>4114</v>
      </c>
      <c r="D33" s="51"/>
      <c r="E33" s="5"/>
      <c r="F33" s="5"/>
      <c r="G33" s="5"/>
    </row>
    <row r="34" spans="1:7" ht="15.75" customHeight="1">
      <c r="A34" s="51" t="s">
        <v>5087</v>
      </c>
      <c r="B34" s="60" t="s">
        <v>1193</v>
      </c>
      <c r="C34" s="51" t="s">
        <v>195</v>
      </c>
      <c r="D34" s="76"/>
      <c r="E34" s="5"/>
      <c r="F34" s="5"/>
      <c r="G34" s="5"/>
    </row>
    <row r="35" spans="1:7" ht="15.75" customHeight="1">
      <c r="A35" s="59">
        <v>43860</v>
      </c>
      <c r="B35" s="60" t="s">
        <v>1276</v>
      </c>
      <c r="C35" s="51" t="s">
        <v>197</v>
      </c>
      <c r="D35" s="51"/>
      <c r="E35" s="5"/>
      <c r="F35" s="5"/>
      <c r="G35" s="5"/>
    </row>
    <row r="36" spans="1:7" ht="15.75" customHeight="1">
      <c r="A36" s="51" t="s">
        <v>5069</v>
      </c>
      <c r="B36" s="60" t="s">
        <v>5067</v>
      </c>
      <c r="C36" s="51" t="s">
        <v>317</v>
      </c>
      <c r="D36" s="51"/>
      <c r="E36" s="5"/>
      <c r="F36" s="5"/>
      <c r="G36" s="5"/>
    </row>
    <row r="37" spans="1:7" ht="15.75" customHeight="1">
      <c r="A37" s="59">
        <v>43920</v>
      </c>
      <c r="B37" s="60" t="s">
        <v>5067</v>
      </c>
      <c r="C37" s="51" t="s">
        <v>317</v>
      </c>
      <c r="D37" s="51"/>
      <c r="E37" s="5"/>
      <c r="F37" s="5"/>
      <c r="G37" s="5"/>
    </row>
    <row r="38" spans="1:7" ht="15.75" customHeight="1">
      <c r="A38" s="59">
        <v>43951</v>
      </c>
      <c r="B38" s="60" t="s">
        <v>342</v>
      </c>
      <c r="C38" s="51" t="s">
        <v>225</v>
      </c>
      <c r="D38" s="51"/>
      <c r="E38" s="5"/>
      <c r="F38" s="5"/>
      <c r="G38" s="5"/>
    </row>
    <row r="39" spans="1:7" ht="15.75" customHeight="1">
      <c r="A39" s="59">
        <v>43981</v>
      </c>
      <c r="B39" s="60" t="s">
        <v>5067</v>
      </c>
      <c r="C39" s="51" t="s">
        <v>317</v>
      </c>
      <c r="D39" s="51"/>
      <c r="E39" s="5"/>
      <c r="F39" s="5"/>
      <c r="G39" s="5"/>
    </row>
    <row r="40" spans="1:7" ht="15.75" customHeight="1">
      <c r="A40" s="59">
        <v>44012</v>
      </c>
      <c r="B40" s="60" t="s">
        <v>5067</v>
      </c>
      <c r="C40" s="51" t="s">
        <v>317</v>
      </c>
      <c r="D40" s="51"/>
      <c r="E40" s="5"/>
      <c r="F40" s="5"/>
      <c r="G40" s="5"/>
    </row>
    <row r="41" spans="1:7" ht="15.75" customHeight="1">
      <c r="A41" s="59">
        <v>44042</v>
      </c>
      <c r="B41" s="60" t="s">
        <v>5067</v>
      </c>
      <c r="C41" s="51" t="s">
        <v>317</v>
      </c>
      <c r="D41" s="51"/>
      <c r="E41" s="5"/>
      <c r="F41" s="5"/>
      <c r="G41" s="5"/>
    </row>
    <row r="42" spans="1:7" ht="15.75" customHeight="1">
      <c r="A42" s="59">
        <v>44073</v>
      </c>
      <c r="B42" s="60" t="s">
        <v>5067</v>
      </c>
      <c r="C42" s="51" t="s">
        <v>317</v>
      </c>
      <c r="D42" s="51"/>
      <c r="E42" s="5"/>
      <c r="F42" s="5"/>
      <c r="G42" s="5"/>
    </row>
    <row r="43" spans="1:7" ht="15.75" customHeight="1">
      <c r="A43" s="59">
        <v>44104</v>
      </c>
      <c r="B43" s="60" t="s">
        <v>5067</v>
      </c>
      <c r="C43" s="51" t="s">
        <v>317</v>
      </c>
      <c r="D43" s="51"/>
      <c r="E43" s="5"/>
      <c r="F43" s="5"/>
      <c r="G43" s="5"/>
    </row>
    <row r="44" spans="1:7" ht="15.75" customHeight="1">
      <c r="A44" s="59">
        <v>44134</v>
      </c>
      <c r="B44" s="60" t="s">
        <v>5067</v>
      </c>
      <c r="C44" s="51" t="s">
        <v>317</v>
      </c>
      <c r="D44" s="51"/>
      <c r="E44" s="5"/>
      <c r="F44" s="5"/>
      <c r="G44" s="5"/>
    </row>
    <row r="45" spans="1:7" ht="15.75" customHeight="1">
      <c r="A45" s="59">
        <v>44165</v>
      </c>
      <c r="B45" s="60" t="s">
        <v>284</v>
      </c>
      <c r="C45" s="51" t="s">
        <v>225</v>
      </c>
      <c r="D45" s="51"/>
      <c r="E45" s="5"/>
      <c r="F45" s="5"/>
      <c r="G45" s="5"/>
    </row>
    <row r="46" spans="1:7" ht="15.75" customHeight="1">
      <c r="A46" s="59">
        <v>44195</v>
      </c>
      <c r="B46" s="60" t="s">
        <v>1376</v>
      </c>
      <c r="C46" s="51" t="s">
        <v>225</v>
      </c>
      <c r="D46" s="51"/>
      <c r="E46" s="5"/>
      <c r="F46" s="5"/>
      <c r="G46" s="5"/>
    </row>
    <row r="47" spans="1:7" ht="15.75" customHeight="1">
      <c r="A47" s="51" t="s">
        <v>5070</v>
      </c>
      <c r="B47" s="60" t="s">
        <v>1194</v>
      </c>
      <c r="C47" s="51" t="s">
        <v>195</v>
      </c>
      <c r="D47" s="51"/>
      <c r="E47" s="5"/>
      <c r="F47" s="5"/>
      <c r="G47" s="5"/>
    </row>
    <row r="48" spans="1:7" ht="15.75" customHeight="1">
      <c r="A48" s="51" t="s">
        <v>5071</v>
      </c>
      <c r="B48" s="60" t="s">
        <v>267</v>
      </c>
      <c r="C48" s="51" t="s">
        <v>225</v>
      </c>
      <c r="D48" s="51"/>
      <c r="E48" s="5"/>
      <c r="F48" s="5"/>
      <c r="G48" s="5"/>
    </row>
    <row r="49" spans="1:7" ht="15.75" customHeight="1">
      <c r="A49" s="51" t="s">
        <v>5072</v>
      </c>
      <c r="B49" s="60" t="s">
        <v>354</v>
      </c>
      <c r="C49" s="51" t="s">
        <v>225</v>
      </c>
      <c r="D49" s="51"/>
      <c r="E49" s="5"/>
      <c r="F49" s="5"/>
      <c r="G49" s="5"/>
    </row>
    <row r="50" spans="1:7" ht="15.75" customHeight="1">
      <c r="A50" s="51" t="s">
        <v>5073</v>
      </c>
      <c r="B50" s="60" t="s">
        <v>5066</v>
      </c>
      <c r="C50" s="51" t="s">
        <v>317</v>
      </c>
      <c r="D50" s="51"/>
      <c r="E50" s="5"/>
      <c r="F50" s="5"/>
      <c r="G50" s="5"/>
    </row>
    <row r="51" spans="1:7" ht="15.75" customHeight="1">
      <c r="A51" s="51" t="s">
        <v>5074</v>
      </c>
      <c r="B51" s="60" t="s">
        <v>5067</v>
      </c>
      <c r="C51" s="51" t="s">
        <v>317</v>
      </c>
      <c r="D51" s="51"/>
      <c r="E51" s="5"/>
      <c r="F51" s="5"/>
      <c r="G51" s="5"/>
    </row>
    <row r="52" spans="1:7" ht="15.75" customHeight="1">
      <c r="A52" s="51" t="s">
        <v>5075</v>
      </c>
      <c r="B52" s="60" t="s">
        <v>5066</v>
      </c>
      <c r="C52" s="51" t="s">
        <v>317</v>
      </c>
      <c r="D52" s="51"/>
      <c r="E52" s="5"/>
      <c r="F52" s="5"/>
      <c r="G52" s="5"/>
    </row>
    <row r="53" spans="1:7" ht="13">
      <c r="A53" s="51" t="s">
        <v>5076</v>
      </c>
      <c r="B53" s="60" t="s">
        <v>1216</v>
      </c>
      <c r="C53" s="51" t="s">
        <v>197</v>
      </c>
      <c r="D53" s="51"/>
      <c r="E53" s="5"/>
      <c r="F53" s="5"/>
      <c r="G53" s="5"/>
    </row>
    <row r="54" spans="1:7" ht="13">
      <c r="A54" s="51" t="s">
        <v>5077</v>
      </c>
      <c r="B54" s="60" t="s">
        <v>5399</v>
      </c>
      <c r="C54" s="51" t="s">
        <v>4114</v>
      </c>
      <c r="D54" s="51"/>
      <c r="E54" s="5"/>
      <c r="F54" s="5"/>
      <c r="G54" s="5"/>
    </row>
    <row r="55" spans="1:7" ht="13">
      <c r="A55" s="51" t="s">
        <v>5078</v>
      </c>
      <c r="B55" s="60" t="s">
        <v>314</v>
      </c>
      <c r="C55" s="51" t="s">
        <v>4114</v>
      </c>
      <c r="D55" s="51"/>
      <c r="E55" s="5"/>
      <c r="F55" s="5"/>
      <c r="G55" s="5"/>
    </row>
    <row r="56" spans="1:7" ht="13">
      <c r="A56" s="51" t="s">
        <v>5079</v>
      </c>
      <c r="B56" s="60" t="s">
        <v>267</v>
      </c>
      <c r="C56" s="51" t="s">
        <v>225</v>
      </c>
      <c r="D56" s="51"/>
      <c r="E56" s="5"/>
      <c r="F56" s="5"/>
      <c r="G56" s="5"/>
    </row>
    <row r="57" spans="1:7" ht="13">
      <c r="A57" s="51" t="s">
        <v>5080</v>
      </c>
      <c r="B57" s="60" t="s">
        <v>354</v>
      </c>
      <c r="C57" s="51" t="s">
        <v>225</v>
      </c>
      <c r="D57" s="51"/>
      <c r="E57" s="5"/>
      <c r="F57" s="5"/>
      <c r="G57" s="5"/>
    </row>
    <row r="58" spans="1:7" ht="13">
      <c r="A58" s="51" t="s">
        <v>5081</v>
      </c>
      <c r="B58" s="60" t="s">
        <v>1216</v>
      </c>
      <c r="C58" s="51" t="s">
        <v>197</v>
      </c>
      <c r="D58" s="51"/>
      <c r="E58" s="5"/>
      <c r="F58" s="5"/>
      <c r="G58" s="5"/>
    </row>
    <row r="59" spans="1:7" ht="13">
      <c r="A59" s="51" t="s">
        <v>5082</v>
      </c>
      <c r="B59" s="60" t="s">
        <v>342</v>
      </c>
      <c r="C59" s="51" t="s">
        <v>225</v>
      </c>
      <c r="D59" s="51"/>
      <c r="E59" s="5"/>
      <c r="F59" s="5"/>
      <c r="G59" s="5"/>
    </row>
    <row r="60" spans="1:7" ht="13">
      <c r="A60" s="51" t="s">
        <v>5083</v>
      </c>
      <c r="B60" s="60" t="s">
        <v>1376</v>
      </c>
      <c r="C60" s="51" t="s">
        <v>225</v>
      </c>
      <c r="D60" s="51"/>
      <c r="E60" s="5"/>
      <c r="F60" s="5"/>
      <c r="G60" s="5"/>
    </row>
    <row r="61" spans="1:7" ht="13">
      <c r="A61" s="51" t="s">
        <v>5084</v>
      </c>
      <c r="B61" s="60" t="s">
        <v>1276</v>
      </c>
      <c r="C61" s="51" t="s">
        <v>197</v>
      </c>
      <c r="D61" s="51"/>
      <c r="E61" s="5"/>
      <c r="F61" s="5"/>
      <c r="G61" s="5"/>
    </row>
    <row r="62" spans="1:7" ht="13">
      <c r="A62" s="51" t="s">
        <v>5085</v>
      </c>
      <c r="B62" s="60" t="s">
        <v>284</v>
      </c>
      <c r="C62" s="51" t="s">
        <v>225</v>
      </c>
      <c r="D62" s="51"/>
      <c r="E62" s="5"/>
      <c r="F62" s="5"/>
      <c r="G62" s="5"/>
    </row>
    <row r="63" spans="1:7" ht="13">
      <c r="A63" s="51" t="s">
        <v>5086</v>
      </c>
      <c r="B63" s="60" t="s">
        <v>5066</v>
      </c>
      <c r="C63" s="51" t="s">
        <v>317</v>
      </c>
      <c r="D63" s="51"/>
      <c r="E63" s="5"/>
      <c r="F63" s="5"/>
      <c r="G63" s="5"/>
    </row>
    <row r="64" spans="1:7" ht="13">
      <c r="A64" s="51" t="s">
        <v>5087</v>
      </c>
      <c r="B64" s="60" t="s">
        <v>1194</v>
      </c>
      <c r="C64" s="51" t="s">
        <v>195</v>
      </c>
      <c r="D64" s="54"/>
      <c r="E64" s="5"/>
      <c r="F64" s="5"/>
      <c r="G64" s="5"/>
    </row>
    <row r="65" spans="1:7" ht="13">
      <c r="A65" s="64"/>
      <c r="B65" s="68"/>
      <c r="C65" s="64"/>
      <c r="D65" s="66"/>
      <c r="E65" s="5"/>
      <c r="F65" s="5"/>
      <c r="G65" s="5"/>
    </row>
    <row r="66" spans="1:7" ht="13">
      <c r="A66" s="64"/>
      <c r="B66" s="68"/>
      <c r="C66" s="64"/>
      <c r="D66" s="76"/>
      <c r="E66" s="5"/>
      <c r="F66" s="5"/>
      <c r="G66" s="5"/>
    </row>
    <row r="67" spans="1:7" ht="13">
      <c r="A67" s="64"/>
      <c r="B67" s="68"/>
      <c r="C67" s="64"/>
      <c r="D67" s="76"/>
      <c r="E67" s="5"/>
      <c r="F67" s="5"/>
      <c r="G67" s="5"/>
    </row>
    <row r="68" spans="1:7" ht="13">
      <c r="A68" s="64"/>
      <c r="B68" s="68"/>
      <c r="C68" s="64"/>
      <c r="D68" s="76"/>
      <c r="E68" s="5"/>
      <c r="F68" s="5"/>
      <c r="G68" s="5"/>
    </row>
    <row r="69" spans="1:7" ht="13">
      <c r="A69" s="64"/>
      <c r="B69" s="68"/>
      <c r="C69" s="64"/>
      <c r="D69" s="76"/>
      <c r="E69" s="5"/>
      <c r="F69" s="5"/>
      <c r="G69" s="5"/>
    </row>
    <row r="70" spans="1:7" ht="13">
      <c r="A70" s="64"/>
      <c r="B70" s="68"/>
      <c r="C70" s="64"/>
      <c r="D70" s="76"/>
      <c r="E70" s="5"/>
      <c r="F70" s="5"/>
      <c r="G70" s="5"/>
    </row>
    <row r="71" spans="1:7" ht="13">
      <c r="A71" s="64"/>
      <c r="B71" s="68"/>
      <c r="C71" s="64"/>
      <c r="D71" s="76"/>
      <c r="E71" s="5"/>
      <c r="F71" s="5"/>
      <c r="G71" s="5"/>
    </row>
    <row r="72" spans="1:7" ht="13">
      <c r="A72" s="64"/>
      <c r="B72" s="68"/>
      <c r="C72" s="64"/>
      <c r="D72" s="76"/>
      <c r="E72" s="5"/>
      <c r="F72" s="5"/>
      <c r="G72" s="5"/>
    </row>
    <row r="73" spans="1:7" ht="13">
      <c r="A73" s="64"/>
      <c r="B73" s="68"/>
      <c r="C73" s="64"/>
      <c r="D73" s="76"/>
      <c r="E73" s="5"/>
      <c r="F73" s="5"/>
      <c r="G73" s="5"/>
    </row>
    <row r="74" spans="1:7" ht="13">
      <c r="A74" s="64"/>
      <c r="B74" s="68"/>
      <c r="C74" s="64"/>
      <c r="D74" s="76"/>
      <c r="E74" s="5"/>
      <c r="F74" s="5"/>
      <c r="G74" s="5"/>
    </row>
    <row r="75" spans="1:7" ht="13">
      <c r="A75" s="64"/>
      <c r="B75" s="68"/>
      <c r="C75" s="64"/>
      <c r="D75" s="76"/>
      <c r="E75" s="5"/>
      <c r="F75" s="5"/>
      <c r="G75" s="5"/>
    </row>
    <row r="76" spans="1:7" ht="13">
      <c r="A76" s="64"/>
      <c r="B76" s="68"/>
      <c r="C76" s="64"/>
      <c r="D76" s="76"/>
      <c r="E76" s="5"/>
      <c r="F76" s="5"/>
      <c r="G76" s="5"/>
    </row>
    <row r="77" spans="1:7" ht="13">
      <c r="A77" s="64"/>
      <c r="B77" s="68"/>
      <c r="C77" s="64"/>
      <c r="D77" s="76"/>
      <c r="E77" s="5"/>
      <c r="F77" s="5"/>
      <c r="G77" s="5"/>
    </row>
    <row r="78" spans="1:7" ht="13">
      <c r="A78" s="64"/>
      <c r="B78" s="68"/>
      <c r="C78" s="64"/>
      <c r="D78" s="76"/>
      <c r="E78" s="5"/>
      <c r="F78" s="5"/>
      <c r="G78" s="5"/>
    </row>
    <row r="79" spans="1:7" ht="13">
      <c r="A79" s="64"/>
      <c r="B79" s="68"/>
      <c r="C79" s="64"/>
      <c r="D79" s="76"/>
      <c r="E79" s="5"/>
      <c r="F79" s="5"/>
      <c r="G79" s="5"/>
    </row>
    <row r="80" spans="1:7" ht="13">
      <c r="A80" s="64"/>
      <c r="B80" s="68"/>
      <c r="C80" s="64"/>
      <c r="D80" s="76"/>
      <c r="E80" s="5"/>
      <c r="F80" s="5"/>
      <c r="G80" s="5"/>
    </row>
    <row r="81" spans="1:7" ht="13">
      <c r="A81" s="64"/>
      <c r="B81" s="68"/>
      <c r="C81" s="64"/>
      <c r="D81" s="76"/>
      <c r="E81" s="5"/>
      <c r="F81" s="5"/>
      <c r="G81" s="5"/>
    </row>
    <row r="82" spans="1:7" ht="13">
      <c r="A82" s="64"/>
      <c r="B82" s="68"/>
      <c r="C82" s="64"/>
      <c r="D82" s="76"/>
      <c r="E82" s="5"/>
      <c r="F82" s="5"/>
      <c r="G82" s="5"/>
    </row>
    <row r="83" spans="1:7" ht="13">
      <c r="A83" s="64"/>
      <c r="B83" s="68"/>
      <c r="C83" s="64"/>
      <c r="D83" s="76"/>
      <c r="E83" s="5"/>
      <c r="F83" s="5"/>
      <c r="G83" s="5"/>
    </row>
    <row r="84" spans="1:7" ht="13">
      <c r="A84" s="64"/>
      <c r="B84" s="68"/>
      <c r="C84" s="64"/>
      <c r="D84" s="76"/>
      <c r="E84" s="5"/>
      <c r="F84" s="5"/>
      <c r="G84" s="5"/>
    </row>
    <row r="85" spans="1:7" ht="13">
      <c r="A85" s="64"/>
      <c r="B85" s="68"/>
      <c r="C85" s="64"/>
      <c r="D85" s="76"/>
      <c r="E85" s="5"/>
      <c r="F85" s="5"/>
      <c r="G85" s="5"/>
    </row>
    <row r="86" spans="1:7" ht="13">
      <c r="A86" s="64"/>
      <c r="B86" s="68"/>
      <c r="C86" s="64"/>
      <c r="D86" s="76"/>
      <c r="E86" s="5"/>
      <c r="F86" s="5"/>
      <c r="G86" s="5"/>
    </row>
    <row r="87" spans="1:7" ht="13">
      <c r="A87" s="64"/>
      <c r="B87" s="68"/>
      <c r="C87" s="64"/>
      <c r="D87" s="76"/>
      <c r="E87" s="5"/>
      <c r="F87" s="5"/>
      <c r="G87" s="5"/>
    </row>
    <row r="88" spans="1:7" ht="13">
      <c r="A88" s="64"/>
      <c r="B88" s="68"/>
      <c r="C88" s="64"/>
      <c r="D88" s="76"/>
      <c r="E88" s="5"/>
      <c r="F88" s="5"/>
      <c r="G88" s="5"/>
    </row>
    <row r="89" spans="1:7" ht="13">
      <c r="A89" s="64"/>
      <c r="B89" s="65"/>
      <c r="C89" s="64"/>
      <c r="D89" s="76"/>
      <c r="E89" s="5"/>
      <c r="F89" s="5"/>
      <c r="G89" s="5"/>
    </row>
    <row r="90" spans="1:7" ht="13">
      <c r="A90" s="64"/>
      <c r="B90" s="65"/>
      <c r="C90" s="64"/>
      <c r="D90" s="76"/>
      <c r="E90" s="5"/>
      <c r="F90" s="5"/>
      <c r="G90" s="5"/>
    </row>
    <row r="91" spans="1:7" ht="13">
      <c r="A91" s="64"/>
      <c r="B91" s="68"/>
      <c r="C91" s="64"/>
      <c r="D91" s="76"/>
      <c r="E91" s="5"/>
      <c r="F91" s="5"/>
      <c r="G91" s="5"/>
    </row>
    <row r="92" spans="1:7" ht="13">
      <c r="A92" s="64"/>
      <c r="B92" s="68"/>
      <c r="C92" s="64"/>
      <c r="D92" s="76"/>
      <c r="E92" s="5"/>
      <c r="F92" s="5"/>
      <c r="G92" s="5"/>
    </row>
    <row r="93" spans="1:7" ht="13">
      <c r="A93" s="64"/>
      <c r="B93" s="68"/>
      <c r="C93" s="64"/>
      <c r="D93" s="76"/>
      <c r="E93" s="5"/>
      <c r="F93" s="5"/>
      <c r="G93" s="5"/>
    </row>
    <row r="94" spans="1:7" ht="13">
      <c r="A94" s="64"/>
      <c r="B94" s="68"/>
      <c r="C94" s="64"/>
      <c r="D94" s="76"/>
      <c r="E94" s="5"/>
      <c r="F94" s="5"/>
      <c r="G94" s="5"/>
    </row>
    <row r="95" spans="1:7" ht="13">
      <c r="A95" s="64"/>
      <c r="B95" s="65"/>
      <c r="C95" s="64"/>
      <c r="D95" s="76"/>
      <c r="E95" s="5"/>
      <c r="F95" s="5"/>
      <c r="G95" s="5"/>
    </row>
    <row r="96" spans="1:7" ht="13">
      <c r="A96" s="64"/>
      <c r="B96" s="68"/>
      <c r="C96" s="64"/>
      <c r="D96" s="66"/>
      <c r="E96" s="5"/>
      <c r="F96" s="5"/>
      <c r="G96" s="5"/>
    </row>
    <row r="97" spans="1:7" ht="13">
      <c r="A97" s="64"/>
      <c r="B97" s="65"/>
      <c r="C97" s="64"/>
      <c r="D97" s="76"/>
      <c r="E97" s="5"/>
      <c r="F97" s="5"/>
      <c r="G97" s="5"/>
    </row>
    <row r="98" spans="1:7" ht="13">
      <c r="A98" s="64"/>
      <c r="B98" s="67"/>
      <c r="C98" s="64"/>
      <c r="D98" s="76"/>
      <c r="E98" s="5"/>
      <c r="F98" s="5"/>
      <c r="G98" s="5"/>
    </row>
    <row r="99" spans="1:7" ht="13">
      <c r="A99" s="64"/>
      <c r="B99" s="68"/>
      <c r="C99" s="64"/>
      <c r="D99" s="76"/>
      <c r="E99" s="5"/>
      <c r="F99" s="5"/>
      <c r="G99" s="5"/>
    </row>
    <row r="100" spans="1:7" ht="13">
      <c r="A100" s="64"/>
      <c r="B100" s="68"/>
      <c r="C100" s="64"/>
      <c r="D100" s="76"/>
      <c r="E100" s="5"/>
      <c r="F100" s="5"/>
      <c r="G100" s="5"/>
    </row>
    <row r="101" spans="1:7" ht="13">
      <c r="A101" s="64"/>
      <c r="B101" s="68"/>
      <c r="C101" s="64"/>
      <c r="D101" s="76"/>
      <c r="E101" s="5"/>
      <c r="F101" s="5"/>
      <c r="G101" s="5"/>
    </row>
    <row r="102" spans="1:7" ht="13">
      <c r="A102" s="64"/>
      <c r="B102" s="68"/>
      <c r="C102" s="64"/>
      <c r="D102" s="76"/>
      <c r="E102" s="5"/>
      <c r="F102" s="5"/>
      <c r="G102" s="5"/>
    </row>
    <row r="103" spans="1:7" ht="13">
      <c r="A103" s="64"/>
      <c r="B103" s="68"/>
      <c r="C103" s="64"/>
      <c r="D103" s="76"/>
      <c r="E103" s="5"/>
      <c r="F103" s="5"/>
      <c r="G103" s="5"/>
    </row>
    <row r="104" spans="1:7" ht="13">
      <c r="A104" s="64"/>
      <c r="B104" s="68"/>
      <c r="C104" s="64"/>
      <c r="D104" s="76"/>
      <c r="E104" s="5"/>
      <c r="F104" s="5"/>
      <c r="G104" s="5"/>
    </row>
    <row r="105" spans="1:7" ht="13">
      <c r="A105" s="64"/>
      <c r="B105" s="68"/>
      <c r="C105" s="64"/>
      <c r="D105" s="76"/>
      <c r="E105" s="5"/>
      <c r="F105" s="5"/>
      <c r="G105" s="5"/>
    </row>
    <row r="106" spans="1:7" ht="13">
      <c r="A106" s="64"/>
      <c r="B106" s="68"/>
      <c r="C106" s="64"/>
      <c r="D106" s="76"/>
      <c r="E106" s="51"/>
      <c r="F106" s="5"/>
      <c r="G106" s="5"/>
    </row>
    <row r="107" spans="1:7" ht="13">
      <c r="A107" s="64"/>
      <c r="B107" s="68"/>
      <c r="C107" s="64"/>
      <c r="D107" s="66"/>
      <c r="E107" s="5"/>
      <c r="F107" s="5"/>
      <c r="G107" s="5"/>
    </row>
    <row r="108" spans="1:7" ht="13">
      <c r="A108" s="64"/>
      <c r="B108" s="68"/>
      <c r="C108" s="64"/>
      <c r="D108" s="66"/>
      <c r="E108" s="5"/>
      <c r="F108" s="5"/>
      <c r="G108" s="5"/>
    </row>
    <row r="109" spans="1:7" ht="13">
      <c r="A109" s="64"/>
      <c r="B109" s="65"/>
      <c r="C109" s="64"/>
      <c r="D109" s="76"/>
      <c r="E109" s="5"/>
      <c r="F109" s="5"/>
      <c r="G109" s="5"/>
    </row>
    <row r="110" spans="1:7" ht="13">
      <c r="A110" s="64"/>
      <c r="B110" s="67"/>
      <c r="C110" s="64"/>
      <c r="D110" s="76"/>
      <c r="E110" s="5"/>
      <c r="F110" s="5"/>
      <c r="G110" s="5"/>
    </row>
    <row r="111" spans="1:7" ht="13">
      <c r="A111" s="64"/>
      <c r="B111" s="68"/>
      <c r="C111" s="64"/>
      <c r="D111" s="76"/>
      <c r="E111" s="5"/>
      <c r="F111" s="5"/>
      <c r="G111" s="5"/>
    </row>
    <row r="112" spans="1:7" ht="13">
      <c r="A112" s="64"/>
      <c r="B112" s="68"/>
      <c r="C112" s="64"/>
      <c r="D112" s="76"/>
      <c r="E112" s="5"/>
      <c r="F112" s="5"/>
      <c r="G112" s="5"/>
    </row>
    <row r="113" spans="1:7" ht="13">
      <c r="A113" s="64"/>
      <c r="B113" s="68"/>
      <c r="C113" s="64"/>
      <c r="D113" s="76"/>
      <c r="E113" s="5"/>
      <c r="F113" s="5"/>
      <c r="G113" s="5"/>
    </row>
    <row r="114" spans="1:7" ht="13">
      <c r="A114" s="64"/>
      <c r="B114" s="68"/>
      <c r="C114" s="64"/>
      <c r="D114" s="76"/>
      <c r="E114" s="5"/>
      <c r="F114" s="5"/>
      <c r="G114" s="5"/>
    </row>
    <row r="115" spans="1:7" ht="13">
      <c r="A115" s="64"/>
      <c r="B115" s="68"/>
      <c r="C115" s="64"/>
      <c r="D115" s="76"/>
      <c r="E115" s="5"/>
      <c r="F115" s="5"/>
      <c r="G115" s="5"/>
    </row>
    <row r="116" spans="1:7" ht="13">
      <c r="A116" s="64"/>
      <c r="B116" s="68"/>
      <c r="C116" s="64"/>
      <c r="D116" s="76"/>
      <c r="E116" s="5"/>
      <c r="F116" s="5"/>
      <c r="G116" s="5"/>
    </row>
    <row r="117" spans="1:7" ht="13">
      <c r="A117" s="64"/>
      <c r="B117" s="68"/>
      <c r="C117" s="64"/>
      <c r="D117" s="76"/>
      <c r="E117" s="5"/>
      <c r="F117" s="5"/>
      <c r="G117" s="5"/>
    </row>
    <row r="118" spans="1:7" ht="13">
      <c r="A118" s="64"/>
      <c r="B118" s="68"/>
      <c r="C118" s="64"/>
      <c r="D118" s="76"/>
      <c r="E118" s="5"/>
      <c r="F118" s="5"/>
      <c r="G118" s="5"/>
    </row>
    <row r="119" spans="1:7" ht="13">
      <c r="A119" s="64"/>
      <c r="B119" s="68"/>
      <c r="C119" s="64"/>
      <c r="D119" s="76"/>
      <c r="E119" s="5"/>
      <c r="F119" s="5"/>
      <c r="G119" s="5"/>
    </row>
    <row r="120" spans="1:7" ht="13">
      <c r="A120" s="64"/>
      <c r="B120" s="68"/>
      <c r="C120" s="64"/>
      <c r="D120" s="72"/>
      <c r="E120" s="5"/>
      <c r="F120" s="5"/>
      <c r="G120" s="5"/>
    </row>
    <row r="121" spans="1:7" ht="13">
      <c r="A121" s="64"/>
      <c r="B121" s="68"/>
      <c r="C121" s="64"/>
      <c r="D121" s="76"/>
      <c r="E121" s="5"/>
      <c r="F121" s="5"/>
      <c r="G121" s="5"/>
    </row>
    <row r="122" spans="1:7" ht="13">
      <c r="A122" s="64"/>
      <c r="B122" s="68"/>
      <c r="C122" s="64"/>
      <c r="D122" s="76"/>
      <c r="E122" s="5"/>
      <c r="F122" s="5"/>
      <c r="G122" s="5"/>
    </row>
    <row r="123" spans="1:7" ht="13">
      <c r="A123" s="64"/>
      <c r="B123" s="68"/>
      <c r="C123" s="64"/>
      <c r="D123" s="76"/>
      <c r="E123" s="5"/>
      <c r="F123" s="5"/>
      <c r="G123" s="5"/>
    </row>
    <row r="124" spans="1:7" ht="13">
      <c r="A124" s="64"/>
      <c r="B124" s="68"/>
      <c r="C124" s="64"/>
      <c r="D124" s="76"/>
      <c r="E124" s="5"/>
      <c r="F124" s="5"/>
      <c r="G124" s="5"/>
    </row>
    <row r="125" spans="1:7" ht="13">
      <c r="A125" s="64"/>
      <c r="B125" s="68"/>
      <c r="C125" s="64"/>
      <c r="D125" s="76"/>
      <c r="E125" s="5"/>
      <c r="F125" s="5"/>
      <c r="G125" s="5"/>
    </row>
    <row r="126" spans="1:7" ht="13">
      <c r="A126" s="64"/>
      <c r="B126" s="68"/>
      <c r="C126" s="64"/>
      <c r="D126" s="76"/>
      <c r="E126" s="5"/>
      <c r="F126" s="5"/>
      <c r="G126" s="5"/>
    </row>
    <row r="127" spans="1:7" ht="13">
      <c r="A127" s="64"/>
      <c r="B127" s="68"/>
      <c r="C127" s="64"/>
      <c r="D127" s="76"/>
      <c r="E127" s="5"/>
      <c r="F127" s="5"/>
      <c r="G127" s="5"/>
    </row>
    <row r="128" spans="1:7" ht="13">
      <c r="A128" s="64"/>
      <c r="B128" s="68"/>
      <c r="C128" s="64"/>
      <c r="D128" s="76"/>
      <c r="E128" s="5"/>
      <c r="F128" s="5"/>
      <c r="G128" s="5"/>
    </row>
    <row r="129" spans="1:7" ht="13">
      <c r="A129" s="64"/>
      <c r="B129" s="68"/>
      <c r="C129" s="64"/>
      <c r="D129" s="66"/>
      <c r="E129" s="5"/>
      <c r="F129" s="5"/>
      <c r="G129" s="5"/>
    </row>
    <row r="130" spans="1:7" ht="13">
      <c r="A130" s="64"/>
      <c r="B130" s="68"/>
      <c r="C130" s="64"/>
      <c r="D130" s="66"/>
      <c r="E130" s="5"/>
      <c r="F130" s="5"/>
      <c r="G130" s="5"/>
    </row>
    <row r="131" spans="1:7" ht="13">
      <c r="A131" s="64"/>
      <c r="B131" s="68"/>
      <c r="C131" s="64"/>
      <c r="D131" s="76"/>
      <c r="E131" s="5"/>
      <c r="F131" s="5"/>
      <c r="G131" s="5"/>
    </row>
    <row r="132" spans="1:7" ht="13">
      <c r="A132" s="64"/>
      <c r="B132" s="68"/>
      <c r="C132" s="64"/>
      <c r="D132" s="76"/>
      <c r="E132" s="5"/>
      <c r="F132" s="5"/>
      <c r="G132" s="5"/>
    </row>
    <row r="133" spans="1:7" ht="13">
      <c r="A133" s="64"/>
      <c r="B133" s="68"/>
      <c r="C133" s="64"/>
      <c r="D133" s="66"/>
      <c r="E133" s="5"/>
      <c r="F133" s="5"/>
      <c r="G133" s="5"/>
    </row>
    <row r="134" spans="1:7" ht="13">
      <c r="A134" s="64"/>
      <c r="B134" s="68"/>
      <c r="C134" s="64"/>
      <c r="D134" s="66"/>
      <c r="E134" s="5"/>
      <c r="F134" s="5"/>
      <c r="G134" s="5"/>
    </row>
    <row r="135" spans="1:7" ht="13">
      <c r="A135" s="64"/>
      <c r="B135" s="68"/>
      <c r="C135" s="64"/>
      <c r="D135" s="66"/>
      <c r="E135" s="5"/>
      <c r="F135" s="5"/>
      <c r="G135" s="5"/>
    </row>
    <row r="136" spans="1:7" ht="13">
      <c r="A136" s="64"/>
      <c r="B136" s="68"/>
      <c r="C136" s="64"/>
      <c r="D136" s="66"/>
      <c r="E136" s="5"/>
      <c r="F136" s="5"/>
      <c r="G136" s="5"/>
    </row>
    <row r="137" spans="1:7" ht="13">
      <c r="A137" s="64"/>
      <c r="B137" s="68"/>
      <c r="C137" s="64"/>
      <c r="D137" s="66"/>
      <c r="E137" s="5"/>
      <c r="F137" s="5"/>
      <c r="G137" s="5"/>
    </row>
    <row r="138" spans="1:7" ht="13">
      <c r="A138" s="64"/>
      <c r="B138" s="68"/>
      <c r="C138" s="64"/>
      <c r="D138" s="66"/>
      <c r="E138" s="5"/>
      <c r="F138" s="5"/>
      <c r="G138" s="5"/>
    </row>
    <row r="139" spans="1:7" ht="13">
      <c r="A139" s="64"/>
      <c r="B139" s="68"/>
      <c r="C139" s="64"/>
      <c r="D139" s="66"/>
      <c r="E139" s="5"/>
      <c r="F139" s="5"/>
      <c r="G139" s="5"/>
    </row>
    <row r="140" spans="1:7" ht="13">
      <c r="A140" s="64"/>
      <c r="B140" s="68"/>
      <c r="C140" s="64"/>
      <c r="D140" s="72"/>
      <c r="E140" s="5"/>
      <c r="F140" s="5"/>
      <c r="G140" s="5"/>
    </row>
    <row r="141" spans="1:7" ht="13">
      <c r="A141" s="64"/>
      <c r="B141" s="68"/>
      <c r="C141" s="64"/>
      <c r="D141" s="66"/>
      <c r="E141" s="5"/>
      <c r="F141" s="5"/>
      <c r="G141" s="5"/>
    </row>
    <row r="142" spans="1:7" ht="13">
      <c r="A142" s="64"/>
      <c r="B142" s="68"/>
      <c r="C142" s="64"/>
      <c r="D142" s="66"/>
      <c r="E142" s="5"/>
      <c r="F142" s="5"/>
      <c r="G142" s="5"/>
    </row>
    <row r="143" spans="1:7" ht="13">
      <c r="A143" s="64"/>
      <c r="B143" s="68"/>
      <c r="C143" s="64"/>
      <c r="D143" s="72"/>
      <c r="E143" s="5"/>
      <c r="F143" s="5"/>
      <c r="G143" s="5"/>
    </row>
    <row r="144" spans="1:7" ht="13">
      <c r="A144" s="64"/>
      <c r="B144" s="68"/>
      <c r="C144" s="64"/>
      <c r="D144" s="66"/>
      <c r="E144" s="5"/>
      <c r="F144" s="5"/>
      <c r="G144" s="5"/>
    </row>
    <row r="145" spans="1:7" ht="13">
      <c r="A145" s="64"/>
      <c r="B145" s="68"/>
      <c r="C145" s="64"/>
      <c r="D145" s="66"/>
      <c r="E145" s="5"/>
      <c r="F145" s="5"/>
      <c r="G145" s="5"/>
    </row>
    <row r="146" spans="1:7" ht="13">
      <c r="A146" s="64"/>
      <c r="B146" s="68"/>
      <c r="C146" s="64"/>
      <c r="D146" s="66"/>
      <c r="E146" s="5"/>
      <c r="F146" s="5"/>
      <c r="G146" s="5"/>
    </row>
    <row r="147" spans="1:7" ht="13">
      <c r="A147" s="64"/>
      <c r="B147" s="68"/>
      <c r="C147" s="64"/>
      <c r="D147" s="66"/>
      <c r="E147" s="5"/>
      <c r="F147" s="5"/>
      <c r="G147" s="5"/>
    </row>
    <row r="148" spans="1:7" ht="13">
      <c r="A148" s="64"/>
      <c r="B148" s="68"/>
      <c r="C148" s="64"/>
      <c r="D148" s="66"/>
      <c r="E148" s="5"/>
      <c r="F148" s="5"/>
      <c r="G148" s="5"/>
    </row>
    <row r="149" spans="1:7" ht="13">
      <c r="A149" s="64"/>
      <c r="B149" s="65"/>
      <c r="C149" s="64"/>
      <c r="D149" s="66"/>
      <c r="E149" s="5"/>
      <c r="F149" s="5"/>
      <c r="G149" s="5"/>
    </row>
    <row r="150" spans="1:7" ht="13">
      <c r="A150" s="64"/>
      <c r="B150" s="65"/>
      <c r="C150" s="64"/>
      <c r="D150" s="66"/>
      <c r="E150" s="5"/>
      <c r="F150" s="5"/>
      <c r="G150" s="5"/>
    </row>
    <row r="151" spans="1:7" ht="13">
      <c r="A151" s="64"/>
      <c r="B151" s="65"/>
      <c r="C151" s="64"/>
      <c r="D151" s="66"/>
      <c r="E151" s="5"/>
      <c r="F151" s="5"/>
      <c r="G151" s="5"/>
    </row>
    <row r="152" spans="1:7" ht="13">
      <c r="A152" s="64"/>
      <c r="B152" s="65"/>
      <c r="C152" s="64"/>
      <c r="D152" s="66"/>
      <c r="E152" s="5"/>
      <c r="F152" s="5"/>
      <c r="G152" s="5"/>
    </row>
    <row r="153" spans="1:7" ht="13">
      <c r="A153" s="64"/>
      <c r="B153" s="65"/>
      <c r="C153" s="64"/>
      <c r="D153" s="66"/>
      <c r="E153" s="5"/>
      <c r="F153" s="5"/>
      <c r="G153" s="5"/>
    </row>
    <row r="154" spans="1:7" ht="13">
      <c r="A154" s="64"/>
      <c r="B154" s="65"/>
      <c r="C154" s="64"/>
      <c r="D154" s="66"/>
      <c r="E154" s="5"/>
      <c r="F154" s="5"/>
      <c r="G154" s="5"/>
    </row>
    <row r="155" spans="1:7" ht="13">
      <c r="A155" s="64"/>
      <c r="B155" s="65"/>
      <c r="C155" s="64"/>
      <c r="D155" s="66"/>
      <c r="E155" s="5"/>
      <c r="F155" s="5"/>
      <c r="G155" s="5"/>
    </row>
    <row r="156" spans="1:7" ht="13">
      <c r="A156" s="64"/>
      <c r="B156" s="65"/>
      <c r="C156" s="64"/>
      <c r="D156" s="66"/>
      <c r="E156" s="5"/>
      <c r="F156" s="5"/>
      <c r="G156" s="5"/>
    </row>
    <row r="157" spans="1:7" ht="13">
      <c r="A157" s="64"/>
      <c r="B157" s="65"/>
      <c r="C157" s="64"/>
      <c r="D157" s="66"/>
      <c r="E157" s="5"/>
      <c r="F157" s="5"/>
      <c r="G157" s="5"/>
    </row>
    <row r="158" spans="1:7" ht="13">
      <c r="A158" s="64"/>
      <c r="B158" s="67"/>
      <c r="C158" s="64"/>
      <c r="D158" s="66"/>
      <c r="E158" s="5"/>
      <c r="F158" s="5"/>
      <c r="G158" s="5"/>
    </row>
    <row r="159" spans="1:7" ht="13">
      <c r="A159" s="64"/>
      <c r="B159" s="65"/>
      <c r="C159" s="64"/>
      <c r="D159" s="66"/>
      <c r="E159" s="5"/>
      <c r="F159" s="5"/>
      <c r="G159" s="5"/>
    </row>
    <row r="160" spans="1:7" ht="13">
      <c r="A160" s="64"/>
      <c r="B160" s="67"/>
      <c r="C160" s="64"/>
      <c r="D160" s="66"/>
      <c r="E160" s="5"/>
      <c r="F160" s="5"/>
      <c r="G160" s="5"/>
    </row>
    <row r="161" spans="1:7" ht="13">
      <c r="A161" s="64"/>
      <c r="B161" s="68"/>
      <c r="C161" s="64"/>
      <c r="D161" s="66"/>
      <c r="E161" s="5"/>
      <c r="F161" s="5"/>
      <c r="G161" s="5"/>
    </row>
    <row r="162" spans="1:7" ht="13">
      <c r="A162" s="64"/>
      <c r="B162" s="68"/>
      <c r="C162" s="64"/>
      <c r="D162" s="66"/>
      <c r="E162" s="5"/>
      <c r="F162" s="5"/>
      <c r="G162" s="5"/>
    </row>
    <row r="163" spans="1:7" ht="13">
      <c r="A163" s="64"/>
      <c r="B163" s="68"/>
      <c r="C163" s="64"/>
      <c r="D163" s="66"/>
      <c r="E163" s="5"/>
      <c r="F163" s="5"/>
      <c r="G163" s="5"/>
    </row>
    <row r="164" spans="1:7" ht="13">
      <c r="A164" s="64"/>
      <c r="B164" s="68"/>
      <c r="C164" s="64"/>
      <c r="D164" s="66"/>
      <c r="E164" s="5"/>
      <c r="F164" s="5"/>
      <c r="G164" s="5"/>
    </row>
    <row r="165" spans="1:7" ht="13">
      <c r="A165" s="64"/>
      <c r="B165" s="68"/>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8"/>
      <c r="C168" s="64"/>
      <c r="D168" s="66"/>
      <c r="E168" s="5"/>
      <c r="F168" s="5"/>
      <c r="G168"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5" r:id="rId1" xr:uid="{00000000-0004-0000-4900-000000000000}"/>
    <hyperlink ref="B6" r:id="rId2" xr:uid="{00000000-0004-0000-4900-000001000000}"/>
    <hyperlink ref="B7" r:id="rId3" xr:uid="{00000000-0004-0000-4900-000002000000}"/>
    <hyperlink ref="B8" r:id="rId4" xr:uid="{00000000-0004-0000-4900-000003000000}"/>
    <hyperlink ref="B9" r:id="rId5" xr:uid="{00000000-0004-0000-4900-000004000000}"/>
    <hyperlink ref="B10" r:id="rId6" xr:uid="{00000000-0004-0000-4900-000005000000}"/>
    <hyperlink ref="B11" r:id="rId7" xr:uid="{00000000-0004-0000-4900-000006000000}"/>
    <hyperlink ref="B12" r:id="rId8" xr:uid="{00000000-0004-0000-4900-000007000000}"/>
    <hyperlink ref="B13" r:id="rId9" xr:uid="{00000000-0004-0000-4900-000008000000}"/>
    <hyperlink ref="B14" r:id="rId10" xr:uid="{00000000-0004-0000-4900-000009000000}"/>
    <hyperlink ref="B15" r:id="rId11" xr:uid="{00000000-0004-0000-4900-00000A000000}"/>
    <hyperlink ref="B16" r:id="rId12" xr:uid="{00000000-0004-0000-4900-00000B000000}"/>
    <hyperlink ref="B17" r:id="rId13" xr:uid="{00000000-0004-0000-4900-00000C000000}"/>
    <hyperlink ref="B18" r:id="rId14" xr:uid="{00000000-0004-0000-4900-00000D000000}"/>
    <hyperlink ref="B19" r:id="rId15" xr:uid="{00000000-0004-0000-4900-00000E000000}"/>
    <hyperlink ref="B20" r:id="rId16" xr:uid="{00000000-0004-0000-4900-00000F000000}"/>
    <hyperlink ref="B21" r:id="rId17" xr:uid="{00000000-0004-0000-4900-000010000000}"/>
    <hyperlink ref="B22" r:id="rId18" xr:uid="{00000000-0004-0000-4900-000011000000}"/>
    <hyperlink ref="B23" r:id="rId19" xr:uid="{00000000-0004-0000-4900-000012000000}"/>
    <hyperlink ref="B24" r:id="rId20" xr:uid="{00000000-0004-0000-4900-000013000000}"/>
    <hyperlink ref="B25" r:id="rId21" xr:uid="{00000000-0004-0000-4900-000014000000}"/>
    <hyperlink ref="B26" r:id="rId22" xr:uid="{00000000-0004-0000-4900-000015000000}"/>
    <hyperlink ref="B27" r:id="rId23" xr:uid="{00000000-0004-0000-4900-000016000000}"/>
    <hyperlink ref="B28" r:id="rId24" xr:uid="{00000000-0004-0000-4900-000017000000}"/>
    <hyperlink ref="B29" r:id="rId25" xr:uid="{00000000-0004-0000-4900-000018000000}"/>
    <hyperlink ref="B30" r:id="rId26" xr:uid="{00000000-0004-0000-4900-000019000000}"/>
    <hyperlink ref="B31" r:id="rId27" xr:uid="{00000000-0004-0000-4900-00001A000000}"/>
    <hyperlink ref="B32" r:id="rId28" xr:uid="{00000000-0004-0000-4900-00001B000000}"/>
    <hyperlink ref="B33" r:id="rId29" xr:uid="{00000000-0004-0000-4900-00001C000000}"/>
    <hyperlink ref="B34" r:id="rId30" xr:uid="{00000000-0004-0000-4900-00001D000000}"/>
    <hyperlink ref="B35" r:id="rId31" xr:uid="{00000000-0004-0000-4900-00001E000000}"/>
    <hyperlink ref="B36" r:id="rId32" xr:uid="{00000000-0004-0000-4900-00001F000000}"/>
    <hyperlink ref="B37" r:id="rId33" xr:uid="{00000000-0004-0000-4900-000020000000}"/>
    <hyperlink ref="B38" r:id="rId34" xr:uid="{00000000-0004-0000-4900-000021000000}"/>
    <hyperlink ref="B39" r:id="rId35" xr:uid="{00000000-0004-0000-4900-000022000000}"/>
    <hyperlink ref="B40" r:id="rId36" xr:uid="{00000000-0004-0000-4900-000023000000}"/>
    <hyperlink ref="B41" r:id="rId37" xr:uid="{00000000-0004-0000-4900-000024000000}"/>
    <hyperlink ref="B42" r:id="rId38" xr:uid="{00000000-0004-0000-4900-000025000000}"/>
    <hyperlink ref="B43" r:id="rId39" xr:uid="{00000000-0004-0000-4900-000026000000}"/>
    <hyperlink ref="B44" r:id="rId40" xr:uid="{00000000-0004-0000-4900-000027000000}"/>
    <hyperlink ref="B45" r:id="rId41" xr:uid="{00000000-0004-0000-4900-000028000000}"/>
    <hyperlink ref="B46" r:id="rId42" xr:uid="{00000000-0004-0000-4900-000029000000}"/>
    <hyperlink ref="B47" r:id="rId43" xr:uid="{00000000-0004-0000-4900-00002A000000}"/>
    <hyperlink ref="B48" r:id="rId44" xr:uid="{00000000-0004-0000-4900-00002B000000}"/>
    <hyperlink ref="B49" r:id="rId45" xr:uid="{00000000-0004-0000-4900-00002C000000}"/>
    <hyperlink ref="B50" r:id="rId46" xr:uid="{00000000-0004-0000-4900-00002D000000}"/>
    <hyperlink ref="B51" r:id="rId47" xr:uid="{00000000-0004-0000-4900-00002E000000}"/>
    <hyperlink ref="B52" r:id="rId48" xr:uid="{00000000-0004-0000-4900-00002F000000}"/>
    <hyperlink ref="B53" r:id="rId49" xr:uid="{00000000-0004-0000-4900-000030000000}"/>
    <hyperlink ref="B54" r:id="rId50" xr:uid="{00000000-0004-0000-4900-000031000000}"/>
    <hyperlink ref="B55" r:id="rId51" xr:uid="{00000000-0004-0000-4900-000032000000}"/>
    <hyperlink ref="B56" r:id="rId52" xr:uid="{00000000-0004-0000-4900-000033000000}"/>
    <hyperlink ref="B57" r:id="rId53" xr:uid="{00000000-0004-0000-4900-000034000000}"/>
    <hyperlink ref="B58" r:id="rId54" xr:uid="{00000000-0004-0000-4900-000035000000}"/>
    <hyperlink ref="B59" r:id="rId55" xr:uid="{00000000-0004-0000-4900-000036000000}"/>
    <hyperlink ref="B60" r:id="rId56" xr:uid="{00000000-0004-0000-4900-000037000000}"/>
    <hyperlink ref="B61" r:id="rId57" xr:uid="{00000000-0004-0000-4900-000038000000}"/>
    <hyperlink ref="B62" r:id="rId58" xr:uid="{00000000-0004-0000-4900-000039000000}"/>
    <hyperlink ref="B63" r:id="rId59" xr:uid="{00000000-0004-0000-4900-00003A000000}"/>
    <hyperlink ref="B64" r:id="rId60" xr:uid="{00000000-0004-0000-4900-00003B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5">
    <outlinePr summaryBelow="0" summaryRight="0"/>
  </sheetPr>
  <dimension ref="A1:I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1640625" customWidth="1"/>
    <col min="3" max="3" width="13.5" customWidth="1"/>
    <col min="4" max="4" width="14.83203125" customWidth="1"/>
    <col min="5" max="5" width="14.33203125" customWidth="1"/>
  </cols>
  <sheetData>
    <row r="1" spans="1:9" ht="15.75" customHeight="1">
      <c r="A1" s="1" t="s">
        <v>115</v>
      </c>
      <c r="B1" s="36"/>
      <c r="C1" s="37"/>
      <c r="D1" s="7" t="s">
        <v>181</v>
      </c>
      <c r="E1" s="5"/>
      <c r="F1" s="5"/>
      <c r="G1" s="5"/>
    </row>
    <row r="2" spans="1:9" ht="15.75" customHeight="1">
      <c r="A2" s="7" t="s">
        <v>182</v>
      </c>
      <c r="B2" s="38">
        <v>42130</v>
      </c>
      <c r="C2" s="37"/>
      <c r="D2" s="39">
        <f>SUM(D5:G114)</f>
        <v>0</v>
      </c>
      <c r="E2" s="5"/>
      <c r="F2" s="5"/>
      <c r="G2" s="5"/>
    </row>
    <row r="3" spans="1:9" ht="15.75" customHeight="1">
      <c r="B3" s="41"/>
      <c r="C3" s="37"/>
      <c r="D3" s="5"/>
      <c r="E3" s="5"/>
      <c r="F3" s="5"/>
      <c r="G3" s="5"/>
    </row>
    <row r="4" spans="1:9" ht="15.75" customHeight="1">
      <c r="A4" s="42" t="s">
        <v>183</v>
      </c>
      <c r="B4" s="43" t="s">
        <v>184</v>
      </c>
      <c r="C4" s="43" t="s">
        <v>185</v>
      </c>
      <c r="D4" s="42" t="s">
        <v>186</v>
      </c>
      <c r="E4" s="44" t="s">
        <v>187</v>
      </c>
      <c r="F4" s="44" t="s">
        <v>188</v>
      </c>
      <c r="G4" s="44" t="s">
        <v>189</v>
      </c>
      <c r="H4" s="44" t="s">
        <v>190</v>
      </c>
      <c r="I4" s="44"/>
    </row>
    <row r="5" spans="1:9" ht="15.75" customHeight="1">
      <c r="A5" s="64" t="s">
        <v>2904</v>
      </c>
      <c r="B5" s="77" t="s">
        <v>348</v>
      </c>
      <c r="C5" s="64" t="s">
        <v>205</v>
      </c>
      <c r="D5" s="51"/>
      <c r="E5" s="5"/>
      <c r="F5" s="5"/>
      <c r="G5" s="5"/>
    </row>
    <row r="6" spans="1:9" ht="15.75" customHeight="1">
      <c r="A6" s="64" t="s">
        <v>2905</v>
      </c>
      <c r="B6" s="77" t="s">
        <v>333</v>
      </c>
      <c r="C6" s="64" t="s">
        <v>205</v>
      </c>
      <c r="D6" s="76"/>
      <c r="E6" s="5"/>
      <c r="F6" s="5"/>
      <c r="G6" s="5"/>
    </row>
    <row r="7" spans="1:9" ht="15.75" customHeight="1">
      <c r="A7" s="64" t="s">
        <v>2906</v>
      </c>
      <c r="B7" s="77" t="s">
        <v>1323</v>
      </c>
      <c r="C7" s="64" t="s">
        <v>205</v>
      </c>
      <c r="D7" s="72"/>
      <c r="E7" s="5"/>
      <c r="F7" s="5"/>
      <c r="G7" s="5"/>
    </row>
    <row r="8" spans="1:9" ht="15.75" customHeight="1">
      <c r="A8" s="64" t="s">
        <v>2907</v>
      </c>
      <c r="B8" s="77" t="s">
        <v>1274</v>
      </c>
      <c r="C8" s="64" t="s">
        <v>205</v>
      </c>
      <c r="D8" s="76"/>
      <c r="E8" s="51"/>
      <c r="F8" s="5"/>
      <c r="G8" s="5"/>
    </row>
    <row r="9" spans="1:9" ht="15.75" customHeight="1">
      <c r="A9" s="64" t="s">
        <v>2908</v>
      </c>
      <c r="B9" s="77" t="s">
        <v>1210</v>
      </c>
      <c r="C9" s="64" t="s">
        <v>205</v>
      </c>
      <c r="D9" s="76"/>
      <c r="E9" s="5"/>
      <c r="F9" s="5"/>
      <c r="G9" s="5"/>
    </row>
    <row r="10" spans="1:9" ht="15.75" customHeight="1">
      <c r="A10" s="64" t="s">
        <v>2909</v>
      </c>
      <c r="B10" s="77" t="s">
        <v>1252</v>
      </c>
      <c r="C10" s="64" t="s">
        <v>205</v>
      </c>
      <c r="D10" s="76"/>
      <c r="E10" s="5"/>
      <c r="F10" s="5"/>
      <c r="G10" s="5"/>
    </row>
    <row r="11" spans="1:9" ht="15.75" customHeight="1">
      <c r="A11" s="64" t="s">
        <v>2910</v>
      </c>
      <c r="B11" s="77" t="s">
        <v>1218</v>
      </c>
      <c r="C11" s="64" t="s">
        <v>205</v>
      </c>
      <c r="D11" s="72"/>
      <c r="E11" s="5"/>
      <c r="F11" s="5"/>
      <c r="G11" s="5"/>
    </row>
    <row r="12" spans="1:9" ht="15.75" customHeight="1">
      <c r="A12" s="64" t="s">
        <v>2911</v>
      </c>
      <c r="B12" s="77" t="s">
        <v>1218</v>
      </c>
      <c r="C12" s="64" t="s">
        <v>205</v>
      </c>
      <c r="D12" s="76"/>
      <c r="E12" s="5"/>
      <c r="F12" s="5"/>
      <c r="G12" s="5"/>
    </row>
    <row r="13" spans="1:9" ht="15.75" customHeight="1">
      <c r="A13" s="64" t="s">
        <v>2912</v>
      </c>
      <c r="B13" s="77" t="s">
        <v>1576</v>
      </c>
      <c r="C13" s="64" t="s">
        <v>205</v>
      </c>
      <c r="D13" s="72"/>
      <c r="E13" s="5"/>
      <c r="F13" s="5"/>
      <c r="G13" s="5"/>
    </row>
    <row r="14" spans="1:9" ht="15.75" customHeight="1">
      <c r="A14" s="64" t="s">
        <v>2913</v>
      </c>
      <c r="B14" s="77" t="s">
        <v>1518</v>
      </c>
      <c r="C14" s="64" t="s">
        <v>205</v>
      </c>
      <c r="D14" s="72"/>
      <c r="E14" s="5"/>
      <c r="F14" s="5"/>
      <c r="G14" s="5"/>
    </row>
    <row r="15" spans="1:9" ht="15.75" customHeight="1">
      <c r="A15" s="64" t="s">
        <v>2914</v>
      </c>
      <c r="B15" s="77" t="s">
        <v>1509</v>
      </c>
      <c r="C15" s="64" t="s">
        <v>205</v>
      </c>
      <c r="D15" s="72"/>
      <c r="E15" s="5"/>
      <c r="F15" s="5"/>
      <c r="G15" s="5"/>
    </row>
    <row r="16" spans="1:9" ht="15.75" customHeight="1">
      <c r="A16" s="64" t="s">
        <v>2915</v>
      </c>
      <c r="B16" s="77" t="s">
        <v>1830</v>
      </c>
      <c r="C16" s="64" t="s">
        <v>205</v>
      </c>
      <c r="D16" s="72"/>
      <c r="E16" s="5"/>
      <c r="F16" s="5"/>
      <c r="G16" s="5"/>
    </row>
    <row r="17" spans="1:7" ht="15.75" customHeight="1">
      <c r="A17" s="64" t="s">
        <v>2916</v>
      </c>
      <c r="B17" s="77" t="s">
        <v>4053</v>
      </c>
      <c r="C17" s="64" t="s">
        <v>199</v>
      </c>
      <c r="D17" s="72"/>
      <c r="E17" s="5"/>
      <c r="F17" s="5"/>
      <c r="G17" s="5"/>
    </row>
    <row r="18" spans="1:7" ht="15.75" customHeight="1">
      <c r="A18" s="64" t="s">
        <v>2917</v>
      </c>
      <c r="B18" s="77" t="s">
        <v>5040</v>
      </c>
      <c r="C18" s="64" t="s">
        <v>199</v>
      </c>
      <c r="D18" s="72"/>
      <c r="E18" s="5"/>
      <c r="F18" s="5"/>
      <c r="G18" s="5"/>
    </row>
    <row r="19" spans="1:7" ht="15.75" customHeight="1">
      <c r="A19" s="64" t="s">
        <v>2918</v>
      </c>
      <c r="B19" s="77" t="s">
        <v>5041</v>
      </c>
      <c r="C19" s="64" t="s">
        <v>199</v>
      </c>
      <c r="D19" s="76"/>
      <c r="E19" s="5"/>
      <c r="F19" s="5"/>
      <c r="G19" s="5"/>
    </row>
    <row r="20" spans="1:7" ht="15.75" customHeight="1">
      <c r="A20" s="64" t="s">
        <v>2919</v>
      </c>
      <c r="B20" s="77" t="s">
        <v>210</v>
      </c>
      <c r="C20" s="64" t="s">
        <v>208</v>
      </c>
      <c r="D20" s="76"/>
      <c r="E20" s="5"/>
      <c r="F20" s="5"/>
      <c r="G20" s="5"/>
    </row>
    <row r="21" spans="1:7" ht="15.75" customHeight="1">
      <c r="A21" s="64" t="s">
        <v>2920</v>
      </c>
      <c r="B21" s="77" t="s">
        <v>210</v>
      </c>
      <c r="C21" s="64" t="s">
        <v>208</v>
      </c>
      <c r="D21" s="76"/>
      <c r="E21" s="5"/>
      <c r="F21" s="5"/>
      <c r="G21" s="5"/>
    </row>
    <row r="22" spans="1:7" ht="15.75" customHeight="1">
      <c r="A22" s="64" t="s">
        <v>2921</v>
      </c>
      <c r="B22" s="77" t="s">
        <v>1321</v>
      </c>
      <c r="C22" s="64" t="s">
        <v>208</v>
      </c>
      <c r="D22" s="72"/>
      <c r="E22" s="5"/>
      <c r="F22" s="5"/>
      <c r="G22" s="5"/>
    </row>
    <row r="23" spans="1:7" ht="15.75" customHeight="1">
      <c r="A23" s="64" t="s">
        <v>2922</v>
      </c>
      <c r="B23" s="77" t="s">
        <v>1242</v>
      </c>
      <c r="C23" s="64" t="s">
        <v>208</v>
      </c>
      <c r="D23" s="72"/>
      <c r="E23" s="5"/>
      <c r="F23" s="5"/>
      <c r="G23" s="5"/>
    </row>
    <row r="24" spans="1:7" ht="15.75" customHeight="1">
      <c r="A24" s="64" t="s">
        <v>2923</v>
      </c>
      <c r="B24" s="77" t="s">
        <v>191</v>
      </c>
      <c r="C24" s="64" t="s">
        <v>192</v>
      </c>
      <c r="D24" s="72"/>
      <c r="E24" s="5"/>
      <c r="F24" s="5"/>
      <c r="G24" s="5"/>
    </row>
    <row r="25" spans="1:7" ht="15.75" customHeight="1">
      <c r="A25" s="64" t="s">
        <v>2924</v>
      </c>
      <c r="B25" s="77" t="s">
        <v>298</v>
      </c>
      <c r="C25" s="64" t="s">
        <v>192</v>
      </c>
      <c r="D25" s="72"/>
      <c r="E25" s="5"/>
      <c r="F25" s="5"/>
      <c r="G25" s="5"/>
    </row>
    <row r="26" spans="1:7" ht="15.75" customHeight="1">
      <c r="A26" s="64" t="s">
        <v>2925</v>
      </c>
      <c r="B26" s="77" t="s">
        <v>256</v>
      </c>
      <c r="C26" s="64" t="s">
        <v>192</v>
      </c>
      <c r="D26" s="76"/>
      <c r="E26" s="5"/>
      <c r="F26" s="5"/>
      <c r="G26" s="5"/>
    </row>
    <row r="27" spans="1:7" ht="15.75" customHeight="1">
      <c r="A27" s="64" t="s">
        <v>2926</v>
      </c>
      <c r="B27" s="77" t="s">
        <v>211</v>
      </c>
      <c r="C27" s="64" t="s">
        <v>192</v>
      </c>
      <c r="D27" s="76"/>
      <c r="E27" s="5"/>
      <c r="F27" s="5"/>
      <c r="G27" s="5"/>
    </row>
    <row r="28" spans="1:7" ht="15.75" customHeight="1">
      <c r="A28" s="64" t="s">
        <v>2927</v>
      </c>
      <c r="B28" s="77" t="s">
        <v>1257</v>
      </c>
      <c r="C28" s="64" t="s">
        <v>192</v>
      </c>
      <c r="D28" s="76"/>
      <c r="E28" s="5"/>
      <c r="F28" s="5"/>
      <c r="G28" s="5"/>
    </row>
    <row r="29" spans="1:7" ht="15.75" customHeight="1">
      <c r="A29" s="64" t="s">
        <v>2928</v>
      </c>
      <c r="B29" s="77" t="s">
        <v>1224</v>
      </c>
      <c r="C29" s="64" t="s">
        <v>192</v>
      </c>
      <c r="D29" s="76"/>
      <c r="E29" s="5"/>
      <c r="F29" s="5"/>
      <c r="G29" s="5"/>
    </row>
    <row r="30" spans="1:7" ht="15.75" customHeight="1">
      <c r="A30" s="64" t="s">
        <v>2929</v>
      </c>
      <c r="B30" s="78" t="str">
        <f>HYPERLINK("https://bulbapedia.bulbagarden.net/wiki/Thundurus-EX_(Roaring_Skies_26)","ThundurusEX")</f>
        <v>ThundurusEX</v>
      </c>
      <c r="C30" s="64" t="s">
        <v>192</v>
      </c>
      <c r="D30" s="76"/>
      <c r="E30" s="5"/>
      <c r="F30" s="5"/>
      <c r="G30" s="5"/>
    </row>
    <row r="31" spans="1:7" ht="15.75" customHeight="1">
      <c r="A31" s="64" t="s">
        <v>2930</v>
      </c>
      <c r="B31" s="77" t="s">
        <v>881</v>
      </c>
      <c r="C31" s="64" t="s">
        <v>195</v>
      </c>
      <c r="D31" s="72"/>
      <c r="E31" s="5"/>
      <c r="F31" s="5"/>
      <c r="G31" s="5"/>
    </row>
    <row r="32" spans="1:7" ht="15.75" customHeight="1">
      <c r="A32" s="64" t="s">
        <v>2931</v>
      </c>
      <c r="B32" s="77" t="s">
        <v>881</v>
      </c>
      <c r="C32" s="64" t="s">
        <v>195</v>
      </c>
      <c r="D32" s="76"/>
      <c r="E32" s="5"/>
      <c r="F32" s="5"/>
      <c r="G32" s="5"/>
    </row>
    <row r="33" spans="1:7" ht="15.75" customHeight="1">
      <c r="A33" s="64" t="s">
        <v>2932</v>
      </c>
      <c r="B33" s="77" t="s">
        <v>855</v>
      </c>
      <c r="C33" s="64" t="s">
        <v>195</v>
      </c>
      <c r="D33" s="76"/>
      <c r="E33" s="5"/>
      <c r="F33" s="5"/>
      <c r="G33" s="5"/>
    </row>
    <row r="34" spans="1:7" ht="15.75" customHeight="1">
      <c r="A34" s="64" t="s">
        <v>2933</v>
      </c>
      <c r="B34" s="77" t="s">
        <v>1548</v>
      </c>
      <c r="C34" s="64" t="s">
        <v>195</v>
      </c>
      <c r="D34" s="72"/>
      <c r="E34" s="5"/>
      <c r="F34" s="5"/>
      <c r="G34" s="5"/>
    </row>
    <row r="35" spans="1:7" ht="15.75" customHeight="1">
      <c r="A35" s="64" t="s">
        <v>2934</v>
      </c>
      <c r="B35" s="77" t="s">
        <v>1788</v>
      </c>
      <c r="C35" s="64" t="s">
        <v>195</v>
      </c>
      <c r="D35" s="76"/>
      <c r="E35" s="5"/>
      <c r="F35" s="5"/>
      <c r="G35" s="5"/>
    </row>
    <row r="36" spans="1:7" ht="15.75" customHeight="1">
      <c r="A36" s="64" t="s">
        <v>2935</v>
      </c>
      <c r="B36" s="77" t="s">
        <v>1788</v>
      </c>
      <c r="C36" s="64" t="s">
        <v>195</v>
      </c>
      <c r="D36" s="76"/>
      <c r="E36" s="5"/>
      <c r="F36" s="5"/>
      <c r="G36" s="5"/>
    </row>
    <row r="37" spans="1:7" ht="15.75" customHeight="1">
      <c r="A37" s="64" t="s">
        <v>2936</v>
      </c>
      <c r="B37" s="77" t="s">
        <v>5460</v>
      </c>
      <c r="C37" s="64" t="s">
        <v>195</v>
      </c>
      <c r="D37" s="76"/>
      <c r="E37" s="5"/>
      <c r="F37" s="5"/>
      <c r="G37" s="5"/>
    </row>
    <row r="38" spans="1:7" ht="15.75" customHeight="1">
      <c r="A38" s="64" t="s">
        <v>2937</v>
      </c>
      <c r="B38" s="78" t="str">
        <f>HYPERLINK("https://bulbapedia.bulbagarden.net/wiki/Gallade-EX_(Roaring_Skies_34)","GalladeEX")</f>
        <v>GalladeEX</v>
      </c>
      <c r="C38" s="64" t="s">
        <v>195</v>
      </c>
      <c r="D38" s="76"/>
      <c r="E38" s="5"/>
      <c r="F38" s="5"/>
      <c r="G38" s="5"/>
    </row>
    <row r="39" spans="1:7" ht="15.75" customHeight="1">
      <c r="A39" s="64" t="s">
        <v>2938</v>
      </c>
      <c r="B39" s="79" t="str">
        <f>HYPERLINK("https://bulbapedia.bulbagarden.net/wiki/M_Gallade-EX_(Roaring_Skies_35)","MGalladeEX")</f>
        <v>MGalladeEX</v>
      </c>
      <c r="C39" s="64" t="s">
        <v>195</v>
      </c>
      <c r="D39" s="76"/>
      <c r="E39" s="5"/>
      <c r="F39" s="5"/>
      <c r="G39" s="5"/>
    </row>
    <row r="40" spans="1:7" ht="15.75" customHeight="1">
      <c r="A40" s="64" t="s">
        <v>2939</v>
      </c>
      <c r="B40" s="77" t="s">
        <v>867</v>
      </c>
      <c r="C40" s="64" t="s">
        <v>225</v>
      </c>
      <c r="D40" s="76"/>
      <c r="E40" s="5"/>
      <c r="F40" s="5"/>
      <c r="G40" s="5"/>
    </row>
    <row r="41" spans="1:7" ht="15.75" customHeight="1">
      <c r="A41" s="64" t="s">
        <v>2940</v>
      </c>
      <c r="B41" s="77" t="s">
        <v>3082</v>
      </c>
      <c r="C41" s="64" t="s">
        <v>225</v>
      </c>
      <c r="D41" s="76"/>
      <c r="E41" s="5"/>
      <c r="F41" s="5"/>
      <c r="G41" s="5"/>
    </row>
    <row r="42" spans="1:7" ht="15.75" customHeight="1">
      <c r="A42" s="64" t="s">
        <v>2941</v>
      </c>
      <c r="B42" s="77" t="s">
        <v>5096</v>
      </c>
      <c r="C42" s="64" t="s">
        <v>225</v>
      </c>
      <c r="D42" s="72"/>
      <c r="E42" s="51"/>
      <c r="F42" s="5"/>
      <c r="G42" s="5"/>
    </row>
    <row r="43" spans="1:7" ht="15.75" customHeight="1">
      <c r="A43" s="64" t="s">
        <v>2942</v>
      </c>
      <c r="B43" s="77" t="s">
        <v>5124</v>
      </c>
      <c r="C43" s="64" t="s">
        <v>225</v>
      </c>
      <c r="D43" s="76"/>
      <c r="E43" s="5"/>
      <c r="F43" s="5"/>
      <c r="G43" s="5"/>
    </row>
    <row r="44" spans="1:7" ht="15.75" customHeight="1">
      <c r="A44" s="64" t="s">
        <v>2943</v>
      </c>
      <c r="B44" s="77" t="s">
        <v>1491</v>
      </c>
      <c r="C44" s="64" t="s">
        <v>808</v>
      </c>
      <c r="D44" s="76"/>
      <c r="E44" s="5"/>
      <c r="F44" s="5"/>
      <c r="G44" s="5"/>
    </row>
    <row r="45" spans="1:7" ht="15.75" customHeight="1">
      <c r="A45" s="64" t="s">
        <v>2944</v>
      </c>
      <c r="B45" s="77" t="s">
        <v>5011</v>
      </c>
      <c r="C45" s="64" t="s">
        <v>808</v>
      </c>
      <c r="D45" s="72"/>
      <c r="E45" s="5"/>
      <c r="F45" s="5"/>
      <c r="G45" s="5"/>
    </row>
    <row r="46" spans="1:7" ht="15.75" customHeight="1">
      <c r="A46" s="64" t="s">
        <v>2945</v>
      </c>
      <c r="B46" s="77" t="s">
        <v>1196</v>
      </c>
      <c r="C46" s="64" t="s">
        <v>220</v>
      </c>
      <c r="D46" s="76"/>
      <c r="E46" s="5"/>
      <c r="F46" s="5"/>
      <c r="G46" s="5"/>
    </row>
    <row r="47" spans="1:7" ht="15.75" customHeight="1">
      <c r="A47" s="64" t="s">
        <v>2946</v>
      </c>
      <c r="B47" s="77" t="s">
        <v>216</v>
      </c>
      <c r="C47" s="64" t="s">
        <v>4743</v>
      </c>
      <c r="D47" s="72"/>
      <c r="E47" s="5"/>
      <c r="F47" s="5"/>
      <c r="G47" s="5"/>
    </row>
    <row r="48" spans="1:7" ht="15.75" customHeight="1">
      <c r="A48" s="64" t="s">
        <v>2947</v>
      </c>
      <c r="B48" s="77" t="s">
        <v>793</v>
      </c>
      <c r="C48" s="64" t="s">
        <v>4743</v>
      </c>
      <c r="D48" s="76"/>
      <c r="E48" s="5"/>
      <c r="F48" s="5"/>
      <c r="G48" s="5"/>
    </row>
    <row r="49" spans="1:7" ht="15.75" customHeight="1">
      <c r="A49" s="64" t="s">
        <v>2948</v>
      </c>
      <c r="B49" s="77" t="s">
        <v>3340</v>
      </c>
      <c r="C49" s="64" t="s">
        <v>4743</v>
      </c>
      <c r="D49" s="72"/>
      <c r="E49" s="5"/>
      <c r="F49" s="5"/>
      <c r="G49" s="5"/>
    </row>
    <row r="50" spans="1:7" ht="15.75" customHeight="1">
      <c r="A50" s="64" t="s">
        <v>2949</v>
      </c>
      <c r="B50" s="77" t="s">
        <v>3340</v>
      </c>
      <c r="C50" s="64" t="s">
        <v>4743</v>
      </c>
      <c r="D50" s="76"/>
      <c r="E50" s="5"/>
      <c r="F50" s="5"/>
      <c r="G50" s="5"/>
    </row>
    <row r="51" spans="1:7" ht="15.75" customHeight="1">
      <c r="A51" s="64" t="s">
        <v>2950</v>
      </c>
      <c r="B51" s="77" t="s">
        <v>5100</v>
      </c>
      <c r="C51" s="64" t="s">
        <v>4743</v>
      </c>
      <c r="D51" s="76"/>
      <c r="E51" s="5"/>
      <c r="F51" s="5"/>
      <c r="G51" s="5"/>
    </row>
    <row r="52" spans="1:7" ht="15.75" customHeight="1">
      <c r="A52" s="64" t="s">
        <v>2951</v>
      </c>
      <c r="B52" s="77" t="s">
        <v>5125</v>
      </c>
      <c r="C52" s="64" t="s">
        <v>4743</v>
      </c>
      <c r="D52" s="72"/>
      <c r="E52" s="5"/>
      <c r="F52" s="5"/>
      <c r="G52" s="5"/>
    </row>
    <row r="53" spans="1:7" ht="13">
      <c r="A53" s="64" t="s">
        <v>2952</v>
      </c>
      <c r="B53" s="77" t="s">
        <v>260</v>
      </c>
      <c r="C53" s="64" t="s">
        <v>4285</v>
      </c>
      <c r="D53" s="76"/>
      <c r="E53" s="5"/>
      <c r="F53" s="5"/>
      <c r="G53" s="5"/>
    </row>
    <row r="54" spans="1:7" ht="13">
      <c r="A54" s="64" t="s">
        <v>2953</v>
      </c>
      <c r="B54" s="77" t="s">
        <v>254</v>
      </c>
      <c r="C54" s="64" t="s">
        <v>4285</v>
      </c>
      <c r="D54" s="76"/>
      <c r="E54" s="5"/>
      <c r="F54" s="5"/>
      <c r="G54" s="5"/>
    </row>
    <row r="55" spans="1:7" ht="13">
      <c r="A55" s="64" t="s">
        <v>2954</v>
      </c>
      <c r="B55" s="77" t="s">
        <v>196</v>
      </c>
      <c r="C55" s="64" t="s">
        <v>4285</v>
      </c>
      <c r="D55" s="76"/>
      <c r="E55" s="5"/>
      <c r="F55" s="5"/>
      <c r="G55" s="5"/>
    </row>
    <row r="56" spans="1:7" ht="13">
      <c r="A56" s="64" t="s">
        <v>2955</v>
      </c>
      <c r="B56" s="77" t="s">
        <v>196</v>
      </c>
      <c r="C56" s="64" t="s">
        <v>4285</v>
      </c>
      <c r="D56" s="76"/>
      <c r="E56" s="5"/>
      <c r="F56" s="5"/>
      <c r="G56" s="5"/>
    </row>
    <row r="57" spans="1:7" ht="13">
      <c r="A57" s="64" t="s">
        <v>2956</v>
      </c>
      <c r="B57" s="77" t="s">
        <v>1493</v>
      </c>
      <c r="C57" s="64" t="s">
        <v>4285</v>
      </c>
      <c r="D57" s="76"/>
      <c r="E57" s="5"/>
      <c r="F57" s="5"/>
      <c r="G57" s="5"/>
    </row>
    <row r="58" spans="1:7" ht="13">
      <c r="A58" s="64" t="s">
        <v>2957</v>
      </c>
      <c r="B58" s="77" t="s">
        <v>1526</v>
      </c>
      <c r="C58" s="64" t="s">
        <v>4285</v>
      </c>
      <c r="D58" s="76"/>
      <c r="E58" s="5"/>
      <c r="F58" s="5"/>
      <c r="G58" s="5"/>
    </row>
    <row r="59" spans="1:7" ht="13">
      <c r="A59" s="64" t="s">
        <v>2958</v>
      </c>
      <c r="B59" s="77" t="s">
        <v>1526</v>
      </c>
      <c r="C59" s="64" t="s">
        <v>4285</v>
      </c>
      <c r="D59" s="72"/>
      <c r="E59" s="51"/>
      <c r="F59" s="5"/>
      <c r="G59" s="5"/>
    </row>
    <row r="60" spans="1:7" ht="13">
      <c r="A60" s="64" t="s">
        <v>2959</v>
      </c>
      <c r="B60" s="77" t="s">
        <v>1521</v>
      </c>
      <c r="C60" s="64" t="s">
        <v>4285</v>
      </c>
      <c r="D60" s="72"/>
      <c r="E60" s="5"/>
      <c r="F60" s="5"/>
      <c r="G60" s="5"/>
    </row>
    <row r="61" spans="1:7" ht="13">
      <c r="A61" s="64" t="s">
        <v>2960</v>
      </c>
      <c r="B61" s="77" t="s">
        <v>1507</v>
      </c>
      <c r="C61" s="64" t="s">
        <v>4285</v>
      </c>
      <c r="D61" s="76"/>
      <c r="E61" s="5"/>
      <c r="F61" s="5"/>
      <c r="G61" s="5"/>
    </row>
    <row r="62" spans="1:7" ht="13">
      <c r="A62" s="64" t="s">
        <v>2961</v>
      </c>
      <c r="B62" s="78" t="str">
        <f>HYPERLINK("https://bulbapedia.bulbagarden.net/wiki/Latios-EX_(Roaring_Skies_58)","LatiosEX")</f>
        <v>LatiosEX</v>
      </c>
      <c r="C62" s="64" t="s">
        <v>4285</v>
      </c>
      <c r="D62" s="76"/>
      <c r="E62" s="5"/>
      <c r="F62" s="5"/>
      <c r="G62" s="5"/>
    </row>
    <row r="63" spans="1:7" ht="13">
      <c r="A63" s="64" t="s">
        <v>2962</v>
      </c>
      <c r="B63" s="79" t="str">
        <f>HYPERLINK("https://bulbapedia.bulbagarden.net/wiki/M_Latios-EX_(Roaring_Skies_59)","MLatiosEX")</f>
        <v>MLatiosEX</v>
      </c>
      <c r="C63" s="64" t="s">
        <v>4285</v>
      </c>
      <c r="D63" s="76"/>
      <c r="E63" s="5"/>
      <c r="F63" s="5"/>
      <c r="G63" s="5"/>
    </row>
    <row r="64" spans="1:7" ht="13">
      <c r="A64" s="64" t="s">
        <v>2963</v>
      </c>
      <c r="B64" s="78" t="str">
        <f>HYPERLINK("https://bulbapedia.bulbagarden.net/wiki/Rayquaza-EX_(Roaring_Skies_60)","RayquazaEX")</f>
        <v>RayquazaEX</v>
      </c>
      <c r="C64" s="64" t="s">
        <v>4285</v>
      </c>
      <c r="D64" s="76"/>
      <c r="E64" s="5"/>
      <c r="F64" s="5"/>
      <c r="G64" s="5"/>
    </row>
    <row r="65" spans="1:7" ht="13">
      <c r="A65" s="64" t="s">
        <v>2964</v>
      </c>
      <c r="B65" s="79" t="str">
        <f>HYPERLINK("https://bulbapedia.bulbagarden.net/wiki/M_Rayquaza-EX_(Roaring_Skies_61)","MRayquazaEX")</f>
        <v>MRayquazaEX</v>
      </c>
      <c r="C65" s="64" t="s">
        <v>4285</v>
      </c>
      <c r="D65" s="66"/>
      <c r="E65" s="5"/>
      <c r="F65" s="5"/>
      <c r="G65" s="5"/>
    </row>
    <row r="66" spans="1:7" ht="13">
      <c r="A66" s="64" t="s">
        <v>2965</v>
      </c>
      <c r="B66" s="78" t="str">
        <f>HYPERLINK("https://bulbapedia.bulbagarden.net/wiki/Hydreigon-EX_(Roaring_Skies_62)","HydreigonEX")</f>
        <v>HydreigonEX</v>
      </c>
      <c r="C66" s="64" t="s">
        <v>4285</v>
      </c>
      <c r="D66" s="76"/>
      <c r="E66" s="5"/>
      <c r="F66" s="5"/>
      <c r="G66" s="5"/>
    </row>
    <row r="67" spans="1:7" ht="13">
      <c r="A67" s="64" t="s">
        <v>2966</v>
      </c>
      <c r="B67" s="77" t="s">
        <v>4123</v>
      </c>
      <c r="C67" s="64" t="s">
        <v>4285</v>
      </c>
      <c r="D67" s="76"/>
      <c r="E67" s="5"/>
      <c r="F67" s="5"/>
      <c r="G67" s="5"/>
    </row>
    <row r="68" spans="1:7" ht="13">
      <c r="A68" s="64" t="s">
        <v>2967</v>
      </c>
      <c r="B68" s="77" t="s">
        <v>4129</v>
      </c>
      <c r="C68" s="64" t="s">
        <v>4285</v>
      </c>
      <c r="D68" s="76"/>
      <c r="E68" s="5"/>
      <c r="F68" s="5"/>
      <c r="G68" s="5"/>
    </row>
    <row r="69" spans="1:7" ht="13">
      <c r="A69" s="64" t="s">
        <v>2968</v>
      </c>
      <c r="B69" s="77" t="s">
        <v>355</v>
      </c>
      <c r="C69" s="64" t="s">
        <v>197</v>
      </c>
      <c r="D69" s="72"/>
      <c r="E69" s="5"/>
      <c r="F69" s="5"/>
      <c r="G69" s="5"/>
    </row>
    <row r="70" spans="1:7" ht="13">
      <c r="A70" s="64" t="s">
        <v>2969</v>
      </c>
      <c r="B70" s="77" t="s">
        <v>334</v>
      </c>
      <c r="C70" s="64" t="s">
        <v>197</v>
      </c>
      <c r="D70" s="72"/>
      <c r="E70" s="5"/>
      <c r="F70" s="5"/>
      <c r="G70" s="5"/>
    </row>
    <row r="71" spans="1:7" ht="13">
      <c r="A71" s="64" t="s">
        <v>2970</v>
      </c>
      <c r="B71" s="77" t="s">
        <v>202</v>
      </c>
      <c r="C71" s="64" t="s">
        <v>197</v>
      </c>
      <c r="D71" s="72"/>
      <c r="E71" s="5"/>
      <c r="F71" s="5"/>
      <c r="G71" s="5"/>
    </row>
    <row r="72" spans="1:7" ht="13">
      <c r="A72" s="64" t="s">
        <v>2971</v>
      </c>
      <c r="B72" s="77" t="s">
        <v>954</v>
      </c>
      <c r="C72" s="64" t="s">
        <v>197</v>
      </c>
      <c r="D72" s="72"/>
      <c r="E72" s="5"/>
      <c r="F72" s="5"/>
      <c r="G72" s="5"/>
    </row>
    <row r="73" spans="1:7" ht="13">
      <c r="A73" s="64" t="s">
        <v>2972</v>
      </c>
      <c r="B73" s="77" t="s">
        <v>787</v>
      </c>
      <c r="C73" s="64" t="s">
        <v>197</v>
      </c>
      <c r="D73" s="76"/>
      <c r="E73" s="5"/>
      <c r="F73" s="5"/>
      <c r="G73" s="5"/>
    </row>
    <row r="74" spans="1:7" ht="13">
      <c r="A74" s="64" t="s">
        <v>2973</v>
      </c>
      <c r="B74" s="77" t="s">
        <v>1315</v>
      </c>
      <c r="C74" s="64" t="s">
        <v>197</v>
      </c>
      <c r="D74" s="72"/>
      <c r="E74" s="51"/>
      <c r="F74" s="5"/>
      <c r="G74" s="5"/>
    </row>
    <row r="75" spans="1:7" ht="13">
      <c r="A75" s="64" t="s">
        <v>2974</v>
      </c>
      <c r="B75" s="77" t="s">
        <v>1280</v>
      </c>
      <c r="C75" s="64" t="s">
        <v>197</v>
      </c>
      <c r="D75" s="72"/>
      <c r="E75" s="5"/>
      <c r="F75" s="5"/>
      <c r="G75" s="5"/>
    </row>
    <row r="76" spans="1:7" ht="13">
      <c r="A76" s="64" t="s">
        <v>2975</v>
      </c>
      <c r="B76" s="77" t="s">
        <v>1280</v>
      </c>
      <c r="C76" s="64" t="s">
        <v>197</v>
      </c>
      <c r="D76" s="72"/>
      <c r="E76" s="5"/>
      <c r="F76" s="5"/>
      <c r="G76" s="5"/>
    </row>
    <row r="77" spans="1:7" ht="13">
      <c r="A77" s="64" t="s">
        <v>2977</v>
      </c>
      <c r="B77" s="77" t="s">
        <v>1587</v>
      </c>
      <c r="C77" s="64" t="s">
        <v>197</v>
      </c>
      <c r="D77" s="72"/>
      <c r="E77" s="5"/>
      <c r="F77" s="5"/>
      <c r="G77" s="5"/>
    </row>
    <row r="78" spans="1:7" ht="13">
      <c r="A78" s="64" t="s">
        <v>2978</v>
      </c>
      <c r="B78" s="77" t="s">
        <v>1493</v>
      </c>
      <c r="C78" s="64" t="s">
        <v>197</v>
      </c>
      <c r="D78" s="76"/>
      <c r="E78" s="5"/>
      <c r="F78" s="5"/>
      <c r="G78" s="5"/>
    </row>
    <row r="79" spans="1:7" ht="13">
      <c r="A79" s="64" t="s">
        <v>2979</v>
      </c>
      <c r="B79" s="78" t="str">
        <f>HYPERLINK("https://bulbapedia.bulbagarden.net/wiki/Rayquaza-EX_(Roaring_Skies_75)","RayquazaEX")</f>
        <v>RayquazaEX</v>
      </c>
      <c r="C79" s="64" t="s">
        <v>197</v>
      </c>
      <c r="D79" s="76"/>
      <c r="E79" s="5"/>
      <c r="F79" s="5"/>
      <c r="G79" s="5"/>
    </row>
    <row r="80" spans="1:7" ht="13">
      <c r="A80" s="64" t="s">
        <v>2980</v>
      </c>
      <c r="B80" s="79" t="str">
        <f>HYPERLINK("https://bulbapedia.bulbagarden.net/wiki/M_Rayquaza-EX_(Roaring_Skies_76)","MRayquazaEX")</f>
        <v>MRayquazaEX</v>
      </c>
      <c r="C80" s="64" t="s">
        <v>197</v>
      </c>
      <c r="D80" s="72"/>
      <c r="E80" s="5"/>
      <c r="F80" s="5"/>
      <c r="G80" s="5"/>
    </row>
    <row r="81" spans="1:7" ht="13">
      <c r="A81" s="64" t="s">
        <v>2982</v>
      </c>
      <c r="B81" s="78" t="str">
        <f>HYPERLINK("https://bulbapedia.bulbagarden.net/wiki/Shaymin-EX_(Roaring_Skies_77)","ShayminEX")</f>
        <v>ShayminEX</v>
      </c>
      <c r="C81" s="64" t="s">
        <v>197</v>
      </c>
      <c r="D81" s="76"/>
      <c r="E81" s="5"/>
      <c r="F81" s="5"/>
      <c r="G81" s="5"/>
    </row>
    <row r="82" spans="1:7" ht="13">
      <c r="A82" s="64" t="s">
        <v>2983</v>
      </c>
      <c r="B82" s="77" t="s">
        <v>4038</v>
      </c>
      <c r="C82" s="64" t="s">
        <v>197</v>
      </c>
      <c r="D82" s="72"/>
      <c r="E82" s="5"/>
      <c r="F82" s="5"/>
      <c r="G82" s="5"/>
    </row>
    <row r="83" spans="1:7" ht="13">
      <c r="A83" s="64" t="s">
        <v>2984</v>
      </c>
      <c r="B83" s="77" t="s">
        <v>4486</v>
      </c>
      <c r="C83" s="64" t="s">
        <v>197</v>
      </c>
      <c r="D83" s="72"/>
      <c r="E83" s="5"/>
      <c r="F83" s="5"/>
      <c r="G83" s="5"/>
    </row>
    <row r="84" spans="1:7" ht="13">
      <c r="A84" s="64" t="s">
        <v>2986</v>
      </c>
      <c r="B84" s="77" t="s">
        <v>4488</v>
      </c>
      <c r="C84" s="64" t="s">
        <v>197</v>
      </c>
      <c r="D84" s="72"/>
      <c r="E84" s="5"/>
      <c r="F84" s="5"/>
      <c r="G84" s="5"/>
    </row>
    <row r="85" spans="1:7" ht="13">
      <c r="A85" s="64" t="s">
        <v>2987</v>
      </c>
      <c r="B85" s="77" t="s">
        <v>4488</v>
      </c>
      <c r="C85" s="64" t="s">
        <v>197</v>
      </c>
      <c r="D85" s="76"/>
      <c r="E85" s="5"/>
      <c r="F85" s="5"/>
      <c r="G85" s="5"/>
    </row>
    <row r="86" spans="1:7" ht="13">
      <c r="A86" s="64" t="s">
        <v>2988</v>
      </c>
      <c r="B86" s="77" t="s">
        <v>5027</v>
      </c>
      <c r="C86" s="64" t="s">
        <v>197</v>
      </c>
      <c r="D86" s="72"/>
      <c r="E86" s="5"/>
      <c r="F86" s="5"/>
      <c r="G86" s="5"/>
    </row>
    <row r="87" spans="1:7" ht="13">
      <c r="A87" s="64" t="s">
        <v>2990</v>
      </c>
      <c r="B87" s="77" t="s">
        <v>5461</v>
      </c>
      <c r="C87" s="64" t="s">
        <v>4114</v>
      </c>
      <c r="D87" s="76"/>
      <c r="E87" s="5"/>
      <c r="F87" s="5"/>
      <c r="G87" s="5"/>
    </row>
    <row r="88" spans="1:7" ht="13">
      <c r="A88" s="64" t="s">
        <v>2991</v>
      </c>
      <c r="B88" s="77" t="s">
        <v>5462</v>
      </c>
      <c r="C88" s="64" t="s">
        <v>4114</v>
      </c>
      <c r="D88" s="76"/>
      <c r="E88" s="5"/>
      <c r="F88" s="5"/>
      <c r="G88" s="5"/>
    </row>
    <row r="89" spans="1:7" ht="13">
      <c r="A89" s="64" t="s">
        <v>2992</v>
      </c>
      <c r="B89" s="77" t="s">
        <v>5463</v>
      </c>
      <c r="C89" s="64" t="s">
        <v>4114</v>
      </c>
      <c r="D89" s="76"/>
      <c r="E89" s="5"/>
      <c r="F89" s="5"/>
      <c r="G89" s="5"/>
    </row>
    <row r="90" spans="1:7" ht="13">
      <c r="A90" s="64" t="s">
        <v>2993</v>
      </c>
      <c r="B90" s="77" t="s">
        <v>5464</v>
      </c>
      <c r="C90" s="64" t="s">
        <v>4114</v>
      </c>
      <c r="D90" s="76"/>
      <c r="E90" s="5"/>
      <c r="F90" s="5"/>
      <c r="G90" s="5"/>
    </row>
    <row r="91" spans="1:7" ht="13">
      <c r="A91" s="64" t="s">
        <v>2994</v>
      </c>
      <c r="B91" s="77" t="s">
        <v>5465</v>
      </c>
      <c r="C91" s="64" t="s">
        <v>4114</v>
      </c>
      <c r="D91" s="76"/>
      <c r="E91" s="5"/>
      <c r="F91" s="5"/>
      <c r="G91" s="5"/>
    </row>
    <row r="92" spans="1:7" ht="13">
      <c r="A92" s="64" t="s">
        <v>2995</v>
      </c>
      <c r="B92" s="77" t="s">
        <v>312</v>
      </c>
      <c r="C92" s="64" t="s">
        <v>4114</v>
      </c>
      <c r="D92" s="72"/>
      <c r="E92" s="51"/>
      <c r="F92" s="5"/>
      <c r="G92" s="5"/>
    </row>
    <row r="93" spans="1:7" ht="13">
      <c r="A93" s="64" t="s">
        <v>2996</v>
      </c>
      <c r="B93" s="77" t="s">
        <v>5466</v>
      </c>
      <c r="C93" s="64" t="s">
        <v>229</v>
      </c>
      <c r="D93" s="76"/>
      <c r="E93" s="5"/>
      <c r="F93" s="5"/>
      <c r="G93" s="5"/>
    </row>
    <row r="94" spans="1:7" ht="13">
      <c r="A94" s="64" t="s">
        <v>2997</v>
      </c>
      <c r="B94" s="77" t="s">
        <v>5467</v>
      </c>
      <c r="C94" s="64" t="s">
        <v>1013</v>
      </c>
      <c r="D94" s="72"/>
      <c r="E94" s="5"/>
      <c r="F94" s="5"/>
      <c r="G94" s="5"/>
    </row>
    <row r="95" spans="1:7" ht="13">
      <c r="A95" s="64" t="s">
        <v>2998</v>
      </c>
      <c r="B95" s="77" t="s">
        <v>315</v>
      </c>
      <c r="C95" s="64" t="s">
        <v>4114</v>
      </c>
      <c r="D95" s="72"/>
      <c r="E95" s="5"/>
      <c r="F95" s="5"/>
      <c r="G95" s="5"/>
    </row>
    <row r="96" spans="1:7" ht="13">
      <c r="A96" s="64" t="s">
        <v>2999</v>
      </c>
      <c r="B96" s="77" t="s">
        <v>5468</v>
      </c>
      <c r="C96" s="64" t="s">
        <v>4114</v>
      </c>
      <c r="D96" s="66"/>
      <c r="E96" s="5"/>
      <c r="F96" s="5"/>
      <c r="G96" s="5"/>
    </row>
    <row r="97" spans="1:7" ht="13">
      <c r="A97" s="64" t="s">
        <v>3001</v>
      </c>
      <c r="B97" s="77" t="s">
        <v>4173</v>
      </c>
      <c r="C97" s="64" t="s">
        <v>4114</v>
      </c>
      <c r="D97" s="72"/>
      <c r="E97" s="5"/>
      <c r="F97" s="5"/>
      <c r="G97" s="5"/>
    </row>
    <row r="98" spans="1:7" ht="13">
      <c r="A98" s="64" t="s">
        <v>3003</v>
      </c>
      <c r="B98" s="77" t="s">
        <v>5469</v>
      </c>
      <c r="C98" s="64" t="s">
        <v>1013</v>
      </c>
      <c r="D98" s="72"/>
      <c r="E98" s="5"/>
      <c r="F98" s="5"/>
      <c r="G98" s="5"/>
    </row>
    <row r="99" spans="1:7" ht="13">
      <c r="A99" s="64" t="s">
        <v>3004</v>
      </c>
      <c r="B99" s="77" t="s">
        <v>5470</v>
      </c>
      <c r="C99" s="64" t="s">
        <v>4114</v>
      </c>
      <c r="D99" s="76"/>
      <c r="E99" s="5"/>
      <c r="F99" s="5"/>
      <c r="G99" s="5"/>
    </row>
    <row r="100" spans="1:7" ht="13">
      <c r="A100" s="64" t="s">
        <v>3005</v>
      </c>
      <c r="B100" s="77" t="s">
        <v>5471</v>
      </c>
      <c r="C100" s="64" t="s">
        <v>1013</v>
      </c>
      <c r="D100" s="72"/>
      <c r="E100" s="5"/>
      <c r="F100" s="5"/>
      <c r="G100" s="5"/>
    </row>
    <row r="101" spans="1:7" ht="13">
      <c r="A101" s="64" t="s">
        <v>3006</v>
      </c>
      <c r="B101" s="77" t="s">
        <v>5472</v>
      </c>
      <c r="C101" s="64" t="s">
        <v>317</v>
      </c>
      <c r="D101" s="76"/>
      <c r="E101" s="5"/>
      <c r="F101" s="5"/>
      <c r="G101" s="5"/>
    </row>
    <row r="102" spans="1:7" ht="13">
      <c r="A102" s="64" t="s">
        <v>3007</v>
      </c>
      <c r="B102" s="78" t="str">
        <f>HYPERLINK("https://bulbapedia.bulbagarden.net/wiki/Thundurus-EX_(Roaring_Skies_98)","ThundurusEX")</f>
        <v>ThundurusEX</v>
      </c>
      <c r="C102" s="64" t="s">
        <v>192</v>
      </c>
      <c r="D102" s="76"/>
      <c r="E102" s="5"/>
      <c r="F102" s="5"/>
      <c r="G102" s="5"/>
    </row>
    <row r="103" spans="1:7" ht="13">
      <c r="A103" s="64" t="s">
        <v>3009</v>
      </c>
      <c r="B103" s="78" t="str">
        <f>HYPERLINK("https://bulbapedia.bulbagarden.net/wiki/Gallade-EX_(Roaring_Skies_99)","GalladeEX")</f>
        <v>GalladeEX</v>
      </c>
      <c r="C103" s="64" t="s">
        <v>195</v>
      </c>
      <c r="D103" s="76"/>
      <c r="E103" s="5"/>
      <c r="F103" s="5"/>
      <c r="G103" s="5"/>
    </row>
    <row r="104" spans="1:7" ht="13">
      <c r="A104" s="64" t="s">
        <v>3010</v>
      </c>
      <c r="B104" s="79" t="str">
        <f>HYPERLINK("https://bulbapedia.bulbagarden.net/wiki/M_Gallade-EX_(Roaring_Skies_100)","MGalladeEX")</f>
        <v>MGalladeEX</v>
      </c>
      <c r="C104" s="64" t="s">
        <v>195</v>
      </c>
      <c r="D104" s="76"/>
      <c r="E104" s="5"/>
      <c r="F104" s="5"/>
      <c r="G104" s="5"/>
    </row>
    <row r="105" spans="1:7" ht="13">
      <c r="A105" s="64" t="s">
        <v>3011</v>
      </c>
      <c r="B105" s="78" t="str">
        <f>HYPERLINK("https://bulbapedia.bulbagarden.net/wiki/Latios-EX_(Roaring_Skies_101)","LatiosEX")</f>
        <v>LatiosEX</v>
      </c>
      <c r="C105" s="64" t="s">
        <v>4285</v>
      </c>
      <c r="D105" s="76"/>
      <c r="E105" s="5"/>
      <c r="F105" s="5"/>
      <c r="G105" s="5"/>
    </row>
    <row r="106" spans="1:7" ht="13">
      <c r="A106" s="64" t="s">
        <v>3012</v>
      </c>
      <c r="B106" s="79" t="str">
        <f>HYPERLINK("https://bulbapedia.bulbagarden.net/wiki/M_Latios-EX_(Roaring_Skies_102)","MLatiosEX")</f>
        <v>MLatiosEX</v>
      </c>
      <c r="C106" s="64" t="s">
        <v>4285</v>
      </c>
      <c r="D106" s="76"/>
      <c r="E106" s="5"/>
      <c r="F106" s="5"/>
      <c r="G106" s="5"/>
    </row>
    <row r="107" spans="1:7" ht="13">
      <c r="A107" s="64" t="s">
        <v>4174</v>
      </c>
      <c r="B107" s="78" t="str">
        <f>HYPERLINK("https://bulbapedia.bulbagarden.net/wiki/Hydreigon-EX_(Roaring_Skies_103)","HydreigonEX")</f>
        <v>HydreigonEX</v>
      </c>
      <c r="C107" s="64" t="s">
        <v>4285</v>
      </c>
      <c r="D107" s="66"/>
      <c r="E107" s="5"/>
      <c r="F107" s="5"/>
      <c r="G107" s="5"/>
    </row>
    <row r="108" spans="1:7" ht="13">
      <c r="A108" s="64" t="s">
        <v>4175</v>
      </c>
      <c r="B108" s="78" t="str">
        <f>HYPERLINK("https://bulbapedia.bulbagarden.net/wiki/Rayquaza-EX_(Roaring_Skies_104)","RayquazaEX")</f>
        <v>RayquazaEX</v>
      </c>
      <c r="C108" s="64" t="s">
        <v>197</v>
      </c>
      <c r="D108" s="66"/>
      <c r="E108" s="5"/>
      <c r="F108" s="5"/>
      <c r="G108" s="5"/>
    </row>
    <row r="109" spans="1:7" ht="13">
      <c r="A109" s="64" t="s">
        <v>4176</v>
      </c>
      <c r="B109" s="79" t="str">
        <f>HYPERLINK("https://bulbapedia.bulbagarden.net/wiki/M_Rayquaza-EX_(Roaring_Skies_105)","MRayquazaEX")</f>
        <v>MRayquazaEX</v>
      </c>
      <c r="C109" s="64" t="s">
        <v>197</v>
      </c>
      <c r="D109" s="72"/>
      <c r="E109" s="5"/>
      <c r="F109" s="5"/>
      <c r="G109" s="5"/>
    </row>
    <row r="110" spans="1:7" ht="13">
      <c r="A110" s="64" t="s">
        <v>4177</v>
      </c>
      <c r="B110" s="78" t="str">
        <f>HYPERLINK("https://bulbapedia.bulbagarden.net/wiki/Shaymin-EX_(Roaring_Skies_106)","ShayminEX")</f>
        <v>ShayminEX</v>
      </c>
      <c r="C110" s="64" t="s">
        <v>197</v>
      </c>
      <c r="D110" s="76"/>
      <c r="E110" s="5"/>
      <c r="F110" s="5"/>
      <c r="G110" s="5"/>
    </row>
    <row r="111" spans="1:7" ht="13">
      <c r="A111" s="64" t="s">
        <v>4178</v>
      </c>
      <c r="B111" s="77" t="s">
        <v>5469</v>
      </c>
      <c r="C111" s="64" t="s">
        <v>1013</v>
      </c>
      <c r="D111" s="76"/>
      <c r="E111" s="5"/>
      <c r="F111" s="5"/>
      <c r="G111" s="5"/>
    </row>
    <row r="112" spans="1:7" ht="13">
      <c r="A112" s="64" t="s">
        <v>4179</v>
      </c>
      <c r="B112" s="77" t="s">
        <v>5471</v>
      </c>
      <c r="C112" s="64" t="s">
        <v>1013</v>
      </c>
      <c r="D112" s="76"/>
      <c r="E112" s="5"/>
      <c r="F112" s="5"/>
      <c r="G112" s="5"/>
    </row>
    <row r="113" spans="1:7" ht="13">
      <c r="A113" s="64" t="s">
        <v>4180</v>
      </c>
      <c r="B113" s="77" t="s">
        <v>1140</v>
      </c>
      <c r="C113" s="64" t="s">
        <v>4114</v>
      </c>
      <c r="D113" s="76"/>
      <c r="E113" s="5"/>
      <c r="F113" s="5"/>
      <c r="G113" s="5"/>
    </row>
    <row r="114" spans="1:7" ht="13">
      <c r="A114" s="64" t="s">
        <v>4181</v>
      </c>
      <c r="B114" s="77" t="s">
        <v>2041</v>
      </c>
      <c r="C114" s="64" t="s">
        <v>4114</v>
      </c>
      <c r="D114" s="76"/>
      <c r="E114" s="5"/>
      <c r="F114" s="5"/>
      <c r="G114" s="5"/>
    </row>
    <row r="116" spans="1:7" ht="13">
      <c r="A116" s="64"/>
      <c r="B116" s="68"/>
      <c r="C116" s="64"/>
      <c r="D116" s="76"/>
      <c r="E116" s="5"/>
      <c r="F116" s="5"/>
      <c r="G116" s="5"/>
    </row>
    <row r="117" spans="1:7" ht="13">
      <c r="A117" s="64"/>
      <c r="B117" s="68"/>
      <c r="C117" s="64"/>
      <c r="D117" s="76"/>
      <c r="E117" s="5"/>
      <c r="F117" s="5"/>
      <c r="G117" s="5"/>
    </row>
    <row r="118" spans="1:7" ht="13">
      <c r="A118" s="64"/>
      <c r="B118" s="65"/>
      <c r="C118" s="64"/>
      <c r="D118" s="76"/>
      <c r="E118" s="5"/>
      <c r="F118" s="5"/>
      <c r="G118" s="5"/>
    </row>
    <row r="119" spans="1:7" ht="13">
      <c r="A119" s="64"/>
      <c r="B119" s="68"/>
      <c r="C119" s="64"/>
      <c r="D119" s="76"/>
      <c r="E119" s="5"/>
      <c r="F119" s="5"/>
      <c r="G119" s="5"/>
    </row>
    <row r="120" spans="1:7" ht="13">
      <c r="A120" s="64"/>
      <c r="B120" s="68"/>
      <c r="C120" s="64"/>
      <c r="D120" s="76"/>
      <c r="E120" s="5"/>
      <c r="F120" s="5"/>
      <c r="G120" s="5"/>
    </row>
    <row r="121" spans="1:7" ht="13">
      <c r="A121" s="64"/>
      <c r="B121" s="68"/>
      <c r="C121" s="64"/>
      <c r="D121" s="76"/>
      <c r="E121" s="5"/>
      <c r="F121" s="5"/>
      <c r="G121" s="5"/>
    </row>
    <row r="122" spans="1:7" ht="13">
      <c r="A122" s="64"/>
      <c r="B122" s="68"/>
      <c r="C122" s="64"/>
      <c r="D122" s="76"/>
      <c r="E122" s="5"/>
      <c r="F122" s="5"/>
      <c r="G122" s="5"/>
    </row>
    <row r="123" spans="1:7" ht="13">
      <c r="A123" s="64"/>
      <c r="B123" s="68"/>
      <c r="C123" s="64"/>
      <c r="D123" s="76"/>
      <c r="E123" s="5"/>
      <c r="F123" s="5"/>
      <c r="G123" s="5"/>
    </row>
    <row r="124" spans="1:7" ht="13">
      <c r="A124" s="64"/>
      <c r="B124" s="68"/>
      <c r="C124" s="64"/>
      <c r="D124" s="76"/>
      <c r="E124" s="5"/>
      <c r="F124" s="5"/>
      <c r="G124" s="5"/>
    </row>
    <row r="125" spans="1:7" ht="13">
      <c r="A125" s="64"/>
      <c r="B125" s="68"/>
      <c r="C125" s="64"/>
      <c r="D125" s="76"/>
      <c r="E125" s="5"/>
      <c r="F125" s="5"/>
      <c r="G125" s="5"/>
    </row>
    <row r="126" spans="1:7" ht="13">
      <c r="A126" s="64"/>
      <c r="B126" s="68"/>
      <c r="C126" s="64"/>
      <c r="D126" s="76"/>
      <c r="E126" s="5"/>
      <c r="F126" s="5"/>
      <c r="G126" s="5"/>
    </row>
    <row r="127" spans="1:7" ht="13">
      <c r="A127" s="64"/>
      <c r="B127" s="68"/>
      <c r="C127" s="64"/>
      <c r="D127" s="76"/>
      <c r="E127" s="5"/>
      <c r="F127" s="5"/>
      <c r="G127" s="5"/>
    </row>
    <row r="128" spans="1:7" ht="13">
      <c r="A128" s="64"/>
      <c r="B128" s="68"/>
      <c r="C128" s="64"/>
      <c r="D128" s="76"/>
      <c r="E128" s="5"/>
      <c r="F128" s="5"/>
      <c r="G128" s="5"/>
    </row>
    <row r="129" spans="1:7" ht="13">
      <c r="A129" s="64"/>
      <c r="B129" s="68"/>
      <c r="C129" s="64"/>
      <c r="D129" s="76"/>
      <c r="E129" s="5"/>
      <c r="F129" s="5"/>
      <c r="G129" s="5"/>
    </row>
    <row r="130" spans="1:7" ht="13">
      <c r="A130" s="64"/>
      <c r="B130" s="68"/>
      <c r="C130" s="64"/>
      <c r="D130" s="66"/>
      <c r="E130" s="5"/>
      <c r="F130" s="5"/>
      <c r="G130" s="5"/>
    </row>
    <row r="131" spans="1:7" ht="13">
      <c r="A131" s="64"/>
      <c r="B131" s="68"/>
      <c r="C131" s="64"/>
      <c r="D131" s="66"/>
      <c r="E131" s="5"/>
      <c r="F131" s="5"/>
      <c r="G131" s="5"/>
    </row>
    <row r="132" spans="1:7" ht="13">
      <c r="A132" s="64"/>
      <c r="B132" s="68"/>
      <c r="C132" s="64"/>
      <c r="D132" s="76"/>
      <c r="E132" s="5"/>
      <c r="F132" s="5"/>
      <c r="G132" s="5"/>
    </row>
    <row r="133" spans="1:7" ht="13">
      <c r="A133" s="64"/>
      <c r="B133" s="68"/>
      <c r="C133" s="64"/>
      <c r="D133" s="76"/>
      <c r="E133" s="5"/>
      <c r="F133" s="5"/>
      <c r="G133" s="5"/>
    </row>
    <row r="134" spans="1:7" ht="13">
      <c r="A134" s="64"/>
      <c r="B134" s="68"/>
      <c r="C134" s="64"/>
      <c r="D134" s="66"/>
      <c r="E134" s="5"/>
      <c r="F134" s="5"/>
      <c r="G134" s="5"/>
    </row>
    <row r="135" spans="1:7" ht="13">
      <c r="A135" s="64"/>
      <c r="B135" s="68"/>
      <c r="C135" s="64"/>
      <c r="D135" s="66"/>
      <c r="E135" s="5"/>
      <c r="F135" s="5"/>
      <c r="G135" s="5"/>
    </row>
    <row r="136" spans="1:7" ht="13">
      <c r="A136" s="64"/>
      <c r="B136" s="68"/>
      <c r="C136" s="64"/>
      <c r="D136" s="66"/>
      <c r="E136" s="5"/>
      <c r="F136" s="5"/>
      <c r="G136" s="5"/>
    </row>
    <row r="137" spans="1:7" ht="13">
      <c r="A137" s="64"/>
      <c r="B137" s="68"/>
      <c r="C137" s="64"/>
      <c r="D137" s="66"/>
      <c r="E137" s="5"/>
      <c r="F137" s="5"/>
      <c r="G137" s="5"/>
    </row>
    <row r="138" spans="1:7" ht="13">
      <c r="A138" s="64"/>
      <c r="B138" s="68"/>
      <c r="C138" s="64"/>
      <c r="D138" s="66"/>
      <c r="E138" s="5"/>
      <c r="F138" s="5"/>
      <c r="G138" s="5"/>
    </row>
    <row r="139" spans="1:7" ht="13">
      <c r="A139" s="64"/>
      <c r="B139" s="68"/>
      <c r="C139" s="64"/>
      <c r="D139" s="66"/>
      <c r="E139" s="5"/>
      <c r="F139" s="5"/>
      <c r="G139" s="5"/>
    </row>
    <row r="140" spans="1:7" ht="13">
      <c r="A140" s="64"/>
      <c r="B140" s="68"/>
      <c r="C140" s="64"/>
      <c r="D140" s="66"/>
      <c r="E140" s="5"/>
      <c r="F140" s="5"/>
      <c r="G140" s="5"/>
    </row>
    <row r="141" spans="1:7" ht="13">
      <c r="A141" s="64"/>
      <c r="B141" s="68"/>
      <c r="C141" s="64"/>
      <c r="D141" s="66"/>
      <c r="E141" s="5"/>
      <c r="F141" s="5"/>
      <c r="G141" s="5"/>
    </row>
    <row r="142" spans="1:7" ht="13">
      <c r="A142" s="64"/>
      <c r="B142" s="68"/>
      <c r="C142" s="64"/>
      <c r="D142" s="66"/>
      <c r="E142" s="5"/>
      <c r="F142" s="5"/>
      <c r="G142" s="5"/>
    </row>
    <row r="143" spans="1:7" ht="13">
      <c r="A143" s="64"/>
      <c r="B143" s="68"/>
      <c r="C143" s="64"/>
      <c r="D143" s="66"/>
      <c r="E143" s="5"/>
      <c r="F143" s="5"/>
      <c r="G143" s="5"/>
    </row>
    <row r="144" spans="1:7" ht="13">
      <c r="A144" s="64"/>
      <c r="B144" s="68"/>
      <c r="C144" s="64"/>
      <c r="D144" s="66"/>
      <c r="E144" s="5"/>
      <c r="F144" s="5"/>
      <c r="G144" s="5"/>
    </row>
    <row r="145" spans="1:7" ht="13">
      <c r="A145" s="64"/>
      <c r="B145" s="68"/>
      <c r="C145" s="64"/>
      <c r="D145" s="66"/>
      <c r="E145" s="5"/>
      <c r="F145" s="5"/>
      <c r="G145" s="5"/>
    </row>
    <row r="146" spans="1:7" ht="13">
      <c r="A146" s="64"/>
      <c r="B146" s="68"/>
      <c r="C146" s="64"/>
      <c r="D146" s="66"/>
      <c r="E146" s="5"/>
      <c r="F146" s="5"/>
      <c r="G146" s="5"/>
    </row>
    <row r="147" spans="1:7" ht="13">
      <c r="A147" s="64"/>
      <c r="B147" s="68"/>
      <c r="C147" s="64"/>
      <c r="D147" s="66"/>
      <c r="E147" s="5"/>
      <c r="F147" s="5"/>
      <c r="G147" s="5"/>
    </row>
    <row r="148" spans="1:7" ht="13">
      <c r="A148" s="64"/>
      <c r="B148" s="68"/>
      <c r="C148" s="64"/>
      <c r="D148" s="66"/>
      <c r="E148" s="5"/>
      <c r="F148" s="5"/>
      <c r="G148" s="5"/>
    </row>
    <row r="149" spans="1:7" ht="13">
      <c r="A149" s="64"/>
      <c r="B149" s="68"/>
      <c r="C149" s="64"/>
      <c r="D149" s="66"/>
      <c r="E149" s="5"/>
      <c r="F149" s="5"/>
      <c r="G149" s="5"/>
    </row>
    <row r="150" spans="1:7" ht="13">
      <c r="A150" s="64"/>
      <c r="B150" s="68"/>
      <c r="C150" s="64"/>
      <c r="D150" s="66"/>
      <c r="E150" s="5"/>
      <c r="F150" s="5"/>
      <c r="G150" s="5"/>
    </row>
    <row r="151" spans="1:7" ht="13">
      <c r="A151" s="64"/>
      <c r="B151" s="68"/>
      <c r="C151" s="64"/>
      <c r="D151" s="66"/>
      <c r="E151" s="5"/>
      <c r="F151" s="5"/>
      <c r="G151" s="5"/>
    </row>
    <row r="152" spans="1:7" ht="13">
      <c r="A152" s="64"/>
      <c r="B152" s="68"/>
      <c r="C152" s="64"/>
      <c r="D152" s="66"/>
      <c r="E152" s="5"/>
      <c r="F152" s="5"/>
      <c r="G152" s="5"/>
    </row>
    <row r="153" spans="1:7" ht="13">
      <c r="A153" s="64"/>
      <c r="B153" s="68"/>
      <c r="C153" s="64"/>
      <c r="D153" s="66"/>
      <c r="E153" s="5"/>
      <c r="F153" s="5"/>
      <c r="G153" s="5"/>
    </row>
    <row r="154" spans="1:7" ht="13">
      <c r="A154" s="64"/>
      <c r="B154" s="68"/>
      <c r="C154" s="64"/>
      <c r="D154" s="66"/>
      <c r="E154" s="5"/>
      <c r="F154" s="5"/>
      <c r="G154" s="5"/>
    </row>
    <row r="155" spans="1:7" ht="13">
      <c r="A155" s="64"/>
      <c r="B155" s="68"/>
      <c r="C155" s="64"/>
      <c r="D155" s="66"/>
      <c r="E155" s="5"/>
      <c r="F155" s="5"/>
      <c r="G155" s="5"/>
    </row>
    <row r="156" spans="1:7" ht="13">
      <c r="A156" s="64"/>
      <c r="B156" s="68"/>
      <c r="C156" s="64"/>
      <c r="D156" s="66"/>
      <c r="E156" s="5"/>
      <c r="F156" s="5"/>
      <c r="G156" s="5"/>
    </row>
    <row r="157" spans="1:7" ht="13">
      <c r="A157" s="64"/>
      <c r="B157" s="68"/>
      <c r="C157" s="64"/>
      <c r="D157" s="66"/>
      <c r="E157" s="5"/>
      <c r="F157" s="5"/>
      <c r="G157" s="5"/>
    </row>
    <row r="158" spans="1:7" ht="13">
      <c r="A158" s="64"/>
      <c r="B158" s="65"/>
      <c r="C158" s="64"/>
      <c r="D158" s="66"/>
      <c r="E158" s="5"/>
      <c r="F158" s="5"/>
      <c r="G158" s="5"/>
    </row>
    <row r="159" spans="1:7" ht="13">
      <c r="A159" s="64"/>
      <c r="B159" s="67"/>
      <c r="C159" s="64"/>
      <c r="D159" s="66"/>
      <c r="E159" s="5"/>
      <c r="F159" s="5"/>
      <c r="G159" s="5"/>
    </row>
    <row r="160" spans="1:7" ht="13">
      <c r="A160" s="64"/>
      <c r="B160" s="65"/>
      <c r="C160" s="64"/>
      <c r="D160" s="66"/>
      <c r="E160" s="5"/>
      <c r="F160" s="5"/>
      <c r="G160" s="5"/>
    </row>
    <row r="161" spans="1:7" ht="13">
      <c r="A161" s="64"/>
      <c r="B161" s="67"/>
      <c r="C161" s="64"/>
      <c r="D161" s="66"/>
      <c r="E161" s="5"/>
      <c r="F161" s="5"/>
      <c r="G161" s="5"/>
    </row>
    <row r="162" spans="1:7" ht="13">
      <c r="A162" s="64"/>
      <c r="B162" s="65"/>
      <c r="C162" s="64"/>
      <c r="D162" s="66"/>
      <c r="E162" s="5"/>
      <c r="F162" s="5"/>
      <c r="G162" s="5"/>
    </row>
    <row r="163" spans="1:7" ht="13">
      <c r="A163" s="64"/>
      <c r="B163" s="65"/>
      <c r="C163" s="64"/>
      <c r="D163" s="66"/>
      <c r="E163" s="5"/>
      <c r="F163" s="5"/>
      <c r="G163" s="5"/>
    </row>
    <row r="164" spans="1:7" ht="13">
      <c r="A164" s="64"/>
      <c r="B164" s="67"/>
      <c r="C164" s="64"/>
      <c r="D164" s="66"/>
      <c r="E164" s="5"/>
      <c r="F164" s="5"/>
      <c r="G164" s="5"/>
    </row>
    <row r="165" spans="1:7" ht="13">
      <c r="A165" s="64"/>
      <c r="B165" s="67"/>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5"/>
      <c r="C168" s="64"/>
      <c r="D168" s="66"/>
      <c r="E168" s="5"/>
      <c r="F168" s="5"/>
      <c r="G168" s="5"/>
    </row>
    <row r="169" spans="1:7" ht="13">
      <c r="A169" s="64"/>
      <c r="B169" s="65"/>
      <c r="C169" s="64"/>
      <c r="D169" s="66"/>
      <c r="E169" s="5"/>
      <c r="F169" s="5"/>
      <c r="G169" s="5"/>
    </row>
    <row r="170" spans="1:7" ht="13">
      <c r="A170" s="48"/>
      <c r="B170" s="69"/>
      <c r="C170" s="70"/>
      <c r="D170" s="47"/>
      <c r="E170" s="5"/>
      <c r="F170" s="5"/>
      <c r="G170" s="5"/>
    </row>
    <row r="171" spans="1:7" ht="13">
      <c r="A171" s="48"/>
      <c r="B171" s="71"/>
      <c r="C171" s="70"/>
      <c r="D171" s="47"/>
      <c r="E171" s="5"/>
      <c r="F171" s="5"/>
      <c r="G171" s="5"/>
    </row>
    <row r="172" spans="1:7" ht="13">
      <c r="A172" s="48"/>
      <c r="B172" s="71"/>
      <c r="C172" s="70"/>
      <c r="D172" s="47"/>
      <c r="E172" s="5"/>
      <c r="F172" s="5"/>
      <c r="G172" s="5"/>
    </row>
    <row r="173" spans="1:7" ht="13">
      <c r="A173" s="48"/>
      <c r="B173" s="71"/>
      <c r="C173" s="70"/>
      <c r="D173" s="47"/>
      <c r="E173" s="5"/>
      <c r="F173" s="5"/>
      <c r="G173" s="5"/>
    </row>
    <row r="174" spans="1:7" ht="13">
      <c r="A174" s="48"/>
      <c r="B174" s="71"/>
      <c r="C174" s="70"/>
      <c r="D174" s="47"/>
      <c r="E174" s="5"/>
      <c r="F174" s="5"/>
      <c r="G174" s="5"/>
    </row>
    <row r="175" spans="1:7" ht="13">
      <c r="A175" s="48"/>
      <c r="B175" s="71"/>
      <c r="C175" s="70"/>
      <c r="D175" s="47"/>
      <c r="E175" s="5"/>
      <c r="F175" s="5"/>
      <c r="G175" s="5"/>
    </row>
    <row r="176" spans="1:7" ht="13">
      <c r="A176" s="48"/>
      <c r="B176" s="71"/>
      <c r="C176" s="70"/>
      <c r="D176" s="47"/>
      <c r="E176" s="5"/>
      <c r="F176" s="5"/>
      <c r="G176" s="5"/>
    </row>
    <row r="177" spans="1:7" ht="13">
      <c r="A177" s="48"/>
      <c r="B177" s="69"/>
      <c r="C177" s="70"/>
      <c r="D177" s="47"/>
      <c r="E177" s="5"/>
      <c r="F177" s="5"/>
      <c r="G177" s="5"/>
    </row>
    <row r="178" spans="1:7" ht="13">
      <c r="A178" s="48"/>
      <c r="B178" s="69"/>
      <c r="C178" s="70"/>
      <c r="D178" s="47"/>
      <c r="E178" s="5"/>
      <c r="F178" s="5"/>
      <c r="G178" s="5"/>
    </row>
    <row r="179" spans="1:7" ht="13">
      <c r="B179" s="36"/>
      <c r="C179" s="37"/>
      <c r="D179" s="5"/>
      <c r="E179" s="5"/>
      <c r="F179" s="5"/>
      <c r="G179" s="5"/>
    </row>
    <row r="180" spans="1:7" ht="13">
      <c r="B180" s="36"/>
      <c r="C180" s="37"/>
      <c r="D180" s="5"/>
      <c r="E180" s="5"/>
      <c r="F180" s="5"/>
      <c r="G180" s="5"/>
    </row>
    <row r="181" spans="1:7" ht="13">
      <c r="B181" s="36"/>
      <c r="C181" s="37"/>
      <c r="D181" s="5"/>
      <c r="E181" s="5"/>
      <c r="F181" s="5"/>
      <c r="G181" s="5"/>
    </row>
    <row r="182" spans="1:7" ht="13">
      <c r="B182" s="36"/>
      <c r="C182" s="37"/>
      <c r="D182" s="5"/>
      <c r="E182" s="5"/>
      <c r="F182" s="5"/>
      <c r="G182" s="5"/>
    </row>
    <row r="183" spans="1:7" ht="13">
      <c r="B183" s="36"/>
      <c r="C183" s="37"/>
      <c r="D183" s="5"/>
      <c r="E183" s="5"/>
      <c r="F183" s="5"/>
      <c r="G183" s="5"/>
    </row>
    <row r="184" spans="1:7" ht="13">
      <c r="B184" s="36"/>
      <c r="C184" s="37"/>
      <c r="D184" s="5"/>
      <c r="E184" s="5"/>
      <c r="F184" s="5"/>
      <c r="G184" s="5"/>
    </row>
    <row r="185" spans="1:7" ht="13">
      <c r="B185" s="36"/>
      <c r="C185" s="37"/>
      <c r="D185" s="5"/>
      <c r="E185" s="5"/>
      <c r="F185" s="5"/>
      <c r="G185" s="5"/>
    </row>
    <row r="186" spans="1:7" ht="13">
      <c r="B186" s="36"/>
      <c r="C186" s="37"/>
      <c r="D186" s="5"/>
      <c r="E186" s="5"/>
      <c r="F186" s="5"/>
      <c r="G186" s="5"/>
    </row>
    <row r="187" spans="1:7" ht="13">
      <c r="B187" s="36"/>
      <c r="C187" s="37"/>
      <c r="D187" s="5"/>
      <c r="E187" s="5"/>
      <c r="F187" s="5"/>
      <c r="G187" s="5"/>
    </row>
    <row r="188" spans="1:7" ht="13">
      <c r="B188" s="36"/>
      <c r="C188" s="37"/>
      <c r="D188" s="5"/>
      <c r="E188" s="5"/>
      <c r="F188" s="5"/>
      <c r="G188" s="5"/>
    </row>
    <row r="189" spans="1:7" ht="13">
      <c r="B189" s="36"/>
      <c r="C189" s="37"/>
      <c r="D189" s="5"/>
      <c r="E189" s="5"/>
      <c r="F189" s="5"/>
      <c r="G189" s="5"/>
    </row>
    <row r="190" spans="1:7" ht="13">
      <c r="B190" s="36"/>
      <c r="C190" s="37"/>
      <c r="D190" s="5"/>
      <c r="E190" s="5"/>
      <c r="F190" s="5"/>
      <c r="G190" s="5"/>
    </row>
    <row r="191" spans="1:7" ht="13">
      <c r="B191" s="36"/>
      <c r="C191" s="37"/>
      <c r="D191" s="5"/>
      <c r="E191" s="5"/>
      <c r="F191" s="5"/>
      <c r="G191" s="5"/>
    </row>
    <row r="192" spans="1:7" ht="13">
      <c r="B192" s="36"/>
      <c r="C192" s="37"/>
      <c r="D192" s="5"/>
      <c r="E192" s="5"/>
      <c r="F192" s="5"/>
      <c r="G192" s="5"/>
    </row>
    <row r="193" spans="2:7" ht="13">
      <c r="B193" s="36"/>
      <c r="C193" s="37"/>
      <c r="D193" s="5"/>
      <c r="E193" s="5"/>
      <c r="F193" s="5"/>
      <c r="G193" s="5"/>
    </row>
    <row r="194" spans="2:7" ht="13">
      <c r="B194" s="36"/>
      <c r="C194" s="37"/>
      <c r="D194" s="5"/>
      <c r="E194" s="5"/>
      <c r="F194" s="5"/>
      <c r="G194" s="5"/>
    </row>
    <row r="195" spans="2:7" ht="13">
      <c r="B195" s="36"/>
      <c r="C195" s="37"/>
      <c r="D195" s="5"/>
      <c r="E195" s="5"/>
      <c r="F195" s="5"/>
      <c r="G195" s="5"/>
    </row>
    <row r="196" spans="2:7" ht="13">
      <c r="B196" s="36"/>
      <c r="C196" s="37"/>
      <c r="D196" s="5"/>
      <c r="E196" s="5"/>
      <c r="F196" s="5"/>
      <c r="G196" s="5"/>
    </row>
    <row r="197" spans="2:7" ht="13">
      <c r="B197" s="36"/>
      <c r="C197" s="37"/>
      <c r="D197" s="5"/>
      <c r="E197" s="5"/>
      <c r="F197" s="5"/>
      <c r="G197" s="5"/>
    </row>
    <row r="198" spans="2:7" ht="13">
      <c r="B198" s="36"/>
      <c r="C198" s="37"/>
      <c r="D198" s="5"/>
      <c r="E198" s="5"/>
      <c r="F198" s="5"/>
      <c r="G198" s="5"/>
    </row>
    <row r="199" spans="2:7" ht="13">
      <c r="B199" s="36"/>
      <c r="C199" s="37"/>
      <c r="D199" s="5"/>
      <c r="E199" s="5"/>
      <c r="F199" s="5"/>
      <c r="G199" s="5"/>
    </row>
    <row r="200" spans="2:7" ht="13">
      <c r="B200" s="36"/>
      <c r="C200" s="37"/>
      <c r="D200" s="5"/>
      <c r="E200" s="5"/>
      <c r="F200" s="5"/>
      <c r="G200" s="5"/>
    </row>
    <row r="201" spans="2:7" ht="13">
      <c r="B201" s="36"/>
      <c r="C201" s="37"/>
      <c r="D201" s="5"/>
      <c r="E201" s="5"/>
      <c r="F201" s="5"/>
      <c r="G201" s="5"/>
    </row>
    <row r="202" spans="2:7" ht="13">
      <c r="B202" s="36"/>
      <c r="C202" s="37"/>
      <c r="D202" s="5"/>
      <c r="E202" s="5"/>
      <c r="F202" s="5"/>
      <c r="G202" s="5"/>
    </row>
    <row r="203" spans="2:7" ht="13">
      <c r="B203" s="36"/>
      <c r="C203" s="37"/>
      <c r="D203" s="5"/>
      <c r="E203" s="5"/>
      <c r="F203" s="5"/>
      <c r="G203" s="5"/>
    </row>
    <row r="204" spans="2:7" ht="13">
      <c r="B204" s="36"/>
      <c r="C204" s="37"/>
      <c r="D204" s="5"/>
      <c r="E204" s="5"/>
      <c r="F204" s="5"/>
      <c r="G204" s="5"/>
    </row>
    <row r="205" spans="2:7" ht="13">
      <c r="B205" s="36"/>
      <c r="C205" s="37"/>
      <c r="D205" s="5"/>
      <c r="E205" s="5"/>
      <c r="F205" s="5"/>
      <c r="G205" s="5"/>
    </row>
    <row r="206" spans="2:7" ht="13">
      <c r="B206" s="36"/>
      <c r="C206" s="37"/>
      <c r="D206" s="5"/>
      <c r="E206" s="5"/>
      <c r="F206" s="5"/>
      <c r="G206" s="5"/>
    </row>
    <row r="207" spans="2:7" ht="13">
      <c r="B207" s="36"/>
      <c r="C207" s="37"/>
      <c r="D207" s="5"/>
      <c r="E207" s="5"/>
      <c r="F207" s="5"/>
      <c r="G207" s="5"/>
    </row>
    <row r="208" spans="2:7" ht="13">
      <c r="B208" s="36"/>
      <c r="C208" s="37"/>
      <c r="D208" s="5"/>
      <c r="E208" s="5"/>
      <c r="F208" s="5"/>
      <c r="G208" s="5"/>
    </row>
    <row r="209" spans="2:7" ht="13">
      <c r="B209" s="36"/>
      <c r="C209" s="37"/>
      <c r="D209" s="5"/>
      <c r="E209" s="5"/>
      <c r="F209" s="5"/>
      <c r="G209" s="5"/>
    </row>
    <row r="210" spans="2:7" ht="13">
      <c r="B210" s="36"/>
      <c r="C210" s="37"/>
      <c r="D210" s="5"/>
      <c r="E210" s="5"/>
      <c r="F210" s="5"/>
      <c r="G210" s="5"/>
    </row>
    <row r="211" spans="2:7" ht="13">
      <c r="B211" s="36"/>
      <c r="C211" s="37"/>
      <c r="D211" s="5"/>
      <c r="E211" s="5"/>
      <c r="F211" s="5"/>
      <c r="G211" s="5"/>
    </row>
    <row r="212" spans="2:7" ht="13">
      <c r="B212" s="36"/>
      <c r="C212" s="37"/>
      <c r="D212" s="5"/>
      <c r="E212" s="5"/>
      <c r="F212" s="5"/>
      <c r="G212" s="5"/>
    </row>
    <row r="213" spans="2:7" ht="13">
      <c r="B213" s="36"/>
      <c r="C213" s="37"/>
      <c r="D213" s="5"/>
      <c r="E213" s="5"/>
      <c r="F213" s="5"/>
      <c r="G213" s="5"/>
    </row>
    <row r="214" spans="2:7" ht="13">
      <c r="B214" s="36"/>
      <c r="C214" s="37"/>
      <c r="D214" s="5"/>
      <c r="E214" s="5"/>
      <c r="F214" s="5"/>
      <c r="G214" s="5"/>
    </row>
    <row r="215" spans="2:7" ht="13">
      <c r="B215" s="36"/>
      <c r="C215" s="37"/>
      <c r="D215" s="5"/>
      <c r="E215" s="5"/>
      <c r="F215" s="5"/>
      <c r="G215" s="5"/>
    </row>
    <row r="216" spans="2:7" ht="13">
      <c r="B216" s="36"/>
      <c r="C216" s="37"/>
      <c r="D216" s="5"/>
      <c r="E216" s="5"/>
      <c r="F216" s="5"/>
      <c r="G216" s="5"/>
    </row>
    <row r="217" spans="2:7" ht="13">
      <c r="B217" s="36"/>
      <c r="C217" s="37"/>
      <c r="D217" s="5"/>
      <c r="E217" s="5"/>
      <c r="F217" s="5"/>
      <c r="G217" s="5"/>
    </row>
    <row r="218" spans="2:7" ht="13">
      <c r="B218" s="36"/>
      <c r="C218" s="37"/>
      <c r="D218" s="5"/>
      <c r="E218" s="5"/>
      <c r="F218" s="5"/>
      <c r="G218" s="5"/>
    </row>
    <row r="219" spans="2:7" ht="13">
      <c r="B219" s="36"/>
      <c r="C219" s="37"/>
      <c r="D219" s="5"/>
      <c r="E219" s="5"/>
      <c r="F219" s="5"/>
      <c r="G219" s="5"/>
    </row>
    <row r="220" spans="2:7" ht="13">
      <c r="B220" s="36"/>
      <c r="C220" s="37"/>
      <c r="D220" s="5"/>
      <c r="E220" s="5"/>
      <c r="F220" s="5"/>
      <c r="G220" s="5"/>
    </row>
    <row r="221" spans="2:7" ht="13">
      <c r="B221" s="36"/>
      <c r="C221" s="37"/>
      <c r="D221" s="5"/>
      <c r="E221" s="5"/>
      <c r="F221" s="5"/>
      <c r="G221" s="5"/>
    </row>
    <row r="222" spans="2:7" ht="13">
      <c r="B222" s="36"/>
      <c r="C222" s="37"/>
      <c r="D222" s="5"/>
      <c r="E222" s="5"/>
      <c r="F222" s="5"/>
      <c r="G222" s="5"/>
    </row>
    <row r="223" spans="2:7" ht="13">
      <c r="B223" s="36"/>
      <c r="C223" s="37"/>
      <c r="D223" s="5"/>
      <c r="E223" s="5"/>
      <c r="F223" s="5"/>
      <c r="G223" s="5"/>
    </row>
    <row r="224" spans="2:7" ht="13">
      <c r="B224" s="36"/>
      <c r="C224" s="37"/>
      <c r="D224" s="5"/>
      <c r="E224" s="5"/>
      <c r="F224" s="5"/>
      <c r="G224" s="5"/>
    </row>
    <row r="225" spans="2:7" ht="13">
      <c r="B225" s="36"/>
      <c r="C225" s="37"/>
      <c r="D225" s="5"/>
      <c r="E225" s="5"/>
      <c r="F225" s="5"/>
      <c r="G225" s="5"/>
    </row>
    <row r="226" spans="2:7" ht="13">
      <c r="B226" s="36"/>
      <c r="C226" s="37"/>
      <c r="D226" s="5"/>
      <c r="E226" s="5"/>
      <c r="F226" s="5"/>
      <c r="G226" s="5"/>
    </row>
    <row r="227" spans="2:7" ht="13">
      <c r="B227" s="36"/>
      <c r="C227" s="37"/>
      <c r="D227" s="5"/>
      <c r="E227" s="5"/>
      <c r="F227" s="5"/>
      <c r="G227" s="5"/>
    </row>
    <row r="228" spans="2:7" ht="13">
      <c r="B228" s="36"/>
      <c r="C228" s="37"/>
      <c r="D228" s="5"/>
      <c r="E228" s="5"/>
      <c r="F228" s="5"/>
      <c r="G228" s="5"/>
    </row>
    <row r="229" spans="2:7" ht="13">
      <c r="B229" s="36"/>
      <c r="C229" s="37"/>
      <c r="D229" s="5"/>
      <c r="E229" s="5"/>
      <c r="F229" s="5"/>
      <c r="G229" s="5"/>
    </row>
    <row r="230" spans="2:7" ht="13">
      <c r="B230" s="36"/>
      <c r="C230" s="37"/>
      <c r="D230" s="5"/>
      <c r="E230" s="5"/>
      <c r="F230" s="5"/>
      <c r="G230" s="5"/>
    </row>
    <row r="231" spans="2:7" ht="13">
      <c r="B231" s="36"/>
      <c r="C231" s="37"/>
      <c r="D231" s="5"/>
      <c r="E231" s="5"/>
      <c r="F231" s="5"/>
      <c r="G231" s="5"/>
    </row>
    <row r="232" spans="2:7" ht="13">
      <c r="B232" s="36"/>
      <c r="C232" s="37"/>
      <c r="D232" s="5"/>
      <c r="E232" s="5"/>
      <c r="F232" s="5"/>
      <c r="G232" s="5"/>
    </row>
    <row r="233" spans="2:7" ht="13">
      <c r="B233" s="36"/>
      <c r="C233" s="37"/>
      <c r="D233" s="5"/>
      <c r="E233" s="5"/>
      <c r="F233" s="5"/>
      <c r="G233" s="5"/>
    </row>
    <row r="234" spans="2:7" ht="13">
      <c r="B234" s="36"/>
      <c r="C234" s="37"/>
      <c r="D234" s="5"/>
      <c r="E234" s="5"/>
      <c r="F234" s="5"/>
      <c r="G234" s="5"/>
    </row>
    <row r="235" spans="2:7" ht="13">
      <c r="B235" s="36"/>
      <c r="C235" s="37"/>
      <c r="D235" s="5"/>
      <c r="E235" s="5"/>
      <c r="F235" s="5"/>
      <c r="G235" s="5"/>
    </row>
    <row r="236" spans="2:7" ht="13">
      <c r="B236" s="36"/>
      <c r="C236" s="37"/>
      <c r="D236" s="5"/>
      <c r="E236" s="5"/>
      <c r="F236" s="5"/>
      <c r="G236" s="5"/>
    </row>
    <row r="237" spans="2:7" ht="13">
      <c r="B237" s="36"/>
      <c r="C237" s="37"/>
      <c r="D237" s="5"/>
      <c r="E237" s="5"/>
      <c r="F237" s="5"/>
      <c r="G237" s="5"/>
    </row>
    <row r="238" spans="2:7" ht="13">
      <c r="B238" s="36"/>
      <c r="C238" s="37"/>
      <c r="D238" s="5"/>
      <c r="E238" s="5"/>
      <c r="F238" s="5"/>
      <c r="G238" s="5"/>
    </row>
    <row r="239" spans="2:7" ht="13">
      <c r="B239" s="36"/>
      <c r="C239" s="37"/>
      <c r="D239" s="5"/>
      <c r="E239" s="5"/>
      <c r="F239" s="5"/>
      <c r="G239" s="5"/>
    </row>
    <row r="240" spans="2:7" ht="13">
      <c r="B240" s="36"/>
      <c r="C240" s="37"/>
      <c r="D240" s="5"/>
      <c r="E240" s="5"/>
      <c r="F240" s="5"/>
      <c r="G240" s="5"/>
    </row>
    <row r="241" spans="2:7" ht="13">
      <c r="B241" s="36"/>
      <c r="C241" s="37"/>
      <c r="D241" s="5"/>
      <c r="E241" s="5"/>
      <c r="F241" s="5"/>
      <c r="G241" s="5"/>
    </row>
    <row r="242" spans="2:7" ht="13">
      <c r="B242" s="36"/>
      <c r="C242" s="37"/>
      <c r="D242" s="5"/>
      <c r="E242" s="5"/>
      <c r="F242" s="5"/>
      <c r="G242" s="5"/>
    </row>
    <row r="243" spans="2:7" ht="13">
      <c r="B243" s="36"/>
      <c r="C243" s="37"/>
      <c r="D243" s="5"/>
      <c r="E243" s="5"/>
      <c r="F243" s="5"/>
      <c r="G243" s="5"/>
    </row>
    <row r="244" spans="2:7" ht="13">
      <c r="B244" s="36"/>
      <c r="C244" s="37"/>
      <c r="D244" s="5"/>
      <c r="E244" s="5"/>
      <c r="F244" s="5"/>
      <c r="G244" s="5"/>
    </row>
    <row r="245" spans="2:7" ht="13">
      <c r="B245" s="36"/>
      <c r="C245" s="37"/>
      <c r="D245" s="5"/>
      <c r="E245" s="5"/>
      <c r="F245" s="5"/>
      <c r="G245" s="5"/>
    </row>
    <row r="246" spans="2:7" ht="13">
      <c r="B246" s="36"/>
      <c r="C246" s="37"/>
      <c r="D246" s="5"/>
      <c r="E246" s="5"/>
      <c r="F246" s="5"/>
      <c r="G246" s="5"/>
    </row>
    <row r="247" spans="2:7" ht="13">
      <c r="B247" s="36"/>
      <c r="C247" s="37"/>
      <c r="D247" s="5"/>
      <c r="E247" s="5"/>
      <c r="F247" s="5"/>
      <c r="G247" s="5"/>
    </row>
    <row r="248" spans="2:7" ht="13">
      <c r="B248" s="36"/>
      <c r="C248" s="37"/>
      <c r="D248" s="5"/>
      <c r="E248" s="5"/>
      <c r="F248" s="5"/>
      <c r="G248" s="5"/>
    </row>
    <row r="249" spans="2:7" ht="13">
      <c r="B249" s="36"/>
      <c r="C249" s="37"/>
      <c r="D249" s="5"/>
      <c r="E249" s="5"/>
      <c r="F249" s="5"/>
      <c r="G249" s="5"/>
    </row>
    <row r="250" spans="2:7" ht="13">
      <c r="B250" s="36"/>
      <c r="C250" s="37"/>
      <c r="D250" s="5"/>
      <c r="E250" s="5"/>
      <c r="F250" s="5"/>
      <c r="G250" s="5"/>
    </row>
    <row r="251" spans="2:7" ht="13">
      <c r="B251" s="36"/>
      <c r="C251" s="37"/>
      <c r="D251" s="5"/>
      <c r="E251" s="5"/>
      <c r="F251" s="5"/>
      <c r="G251" s="5"/>
    </row>
    <row r="252" spans="2:7" ht="13">
      <c r="B252" s="36"/>
      <c r="C252" s="37"/>
      <c r="D252" s="5"/>
      <c r="E252" s="5"/>
      <c r="F252" s="5"/>
      <c r="G252" s="5"/>
    </row>
    <row r="253" spans="2:7" ht="13">
      <c r="B253" s="36"/>
      <c r="C253" s="37"/>
      <c r="D253" s="5"/>
      <c r="E253" s="5"/>
      <c r="F253" s="5"/>
      <c r="G253" s="5"/>
    </row>
    <row r="254" spans="2:7" ht="13">
      <c r="B254" s="36"/>
      <c r="C254" s="37"/>
      <c r="D254" s="5"/>
      <c r="E254" s="5"/>
      <c r="F254" s="5"/>
      <c r="G254" s="5"/>
    </row>
    <row r="255" spans="2:7" ht="13">
      <c r="B255" s="36"/>
      <c r="C255" s="37"/>
      <c r="D255" s="5"/>
      <c r="E255" s="5"/>
      <c r="F255" s="5"/>
      <c r="G255" s="5"/>
    </row>
    <row r="256" spans="2:7" ht="13">
      <c r="B256" s="36"/>
      <c r="C256" s="37"/>
      <c r="D256" s="5"/>
      <c r="E256" s="5"/>
      <c r="F256" s="5"/>
      <c r="G256" s="5"/>
    </row>
    <row r="257" spans="2:7" ht="13">
      <c r="B257" s="36"/>
      <c r="C257" s="37"/>
      <c r="D257" s="5"/>
      <c r="E257" s="5"/>
      <c r="F257" s="5"/>
      <c r="G257" s="5"/>
    </row>
    <row r="258" spans="2:7" ht="13">
      <c r="B258" s="36"/>
      <c r="C258" s="37"/>
      <c r="D258" s="5"/>
      <c r="E258" s="5"/>
      <c r="F258" s="5"/>
      <c r="G258" s="5"/>
    </row>
    <row r="259" spans="2:7" ht="13">
      <c r="B259" s="36"/>
      <c r="C259" s="37"/>
      <c r="D259" s="5"/>
      <c r="E259" s="5"/>
      <c r="F259" s="5"/>
      <c r="G259" s="5"/>
    </row>
    <row r="260" spans="2:7" ht="13">
      <c r="B260" s="36"/>
      <c r="C260" s="37"/>
      <c r="D260" s="5"/>
      <c r="E260" s="5"/>
      <c r="F260" s="5"/>
      <c r="G260" s="5"/>
    </row>
    <row r="261" spans="2:7" ht="13">
      <c r="B261" s="36"/>
      <c r="C261" s="37"/>
      <c r="D261" s="5"/>
      <c r="E261" s="5"/>
      <c r="F261" s="5"/>
      <c r="G261" s="5"/>
    </row>
    <row r="262" spans="2:7" ht="13">
      <c r="B262" s="36"/>
      <c r="C262" s="37"/>
      <c r="D262" s="5"/>
      <c r="E262" s="5"/>
      <c r="F262" s="5"/>
      <c r="G262" s="5"/>
    </row>
    <row r="263" spans="2:7" ht="13">
      <c r="B263" s="36"/>
      <c r="C263" s="37"/>
      <c r="D263" s="5"/>
      <c r="E263" s="5"/>
      <c r="F263" s="5"/>
      <c r="G263" s="5"/>
    </row>
    <row r="264" spans="2:7" ht="13">
      <c r="B264" s="36"/>
      <c r="C264" s="37"/>
      <c r="D264" s="5"/>
      <c r="E264" s="5"/>
      <c r="F264" s="5"/>
      <c r="G264" s="5"/>
    </row>
    <row r="265" spans="2:7" ht="13">
      <c r="B265" s="36"/>
      <c r="C265" s="37"/>
      <c r="D265" s="5"/>
      <c r="E265" s="5"/>
      <c r="F265" s="5"/>
      <c r="G265" s="5"/>
    </row>
    <row r="266" spans="2:7" ht="13">
      <c r="B266" s="36"/>
      <c r="C266" s="37"/>
      <c r="D266" s="5"/>
      <c r="E266" s="5"/>
      <c r="F266" s="5"/>
      <c r="G266" s="5"/>
    </row>
    <row r="267" spans="2:7" ht="13">
      <c r="B267" s="36"/>
      <c r="C267" s="37"/>
      <c r="D267" s="5"/>
      <c r="E267" s="5"/>
      <c r="F267" s="5"/>
      <c r="G267" s="5"/>
    </row>
    <row r="268" spans="2:7" ht="13">
      <c r="B268" s="36"/>
      <c r="C268" s="37"/>
      <c r="D268" s="5"/>
      <c r="E268" s="5"/>
      <c r="F268" s="5"/>
      <c r="G268" s="5"/>
    </row>
    <row r="269" spans="2:7" ht="13">
      <c r="B269" s="36"/>
      <c r="C269" s="37"/>
      <c r="D269" s="5"/>
      <c r="E269" s="5"/>
      <c r="F269" s="5"/>
      <c r="G269" s="5"/>
    </row>
    <row r="270" spans="2:7" ht="13">
      <c r="B270" s="36"/>
      <c r="C270" s="37"/>
      <c r="D270" s="5"/>
      <c r="E270" s="5"/>
      <c r="F270" s="5"/>
      <c r="G270" s="5"/>
    </row>
    <row r="271" spans="2:7" ht="13">
      <c r="B271" s="36"/>
      <c r="C271" s="37"/>
      <c r="D271" s="5"/>
      <c r="E271" s="5"/>
      <c r="F271" s="5"/>
      <c r="G271" s="5"/>
    </row>
    <row r="272" spans="2:7" ht="13">
      <c r="B272" s="36"/>
      <c r="C272" s="37"/>
      <c r="D272" s="5"/>
      <c r="E272" s="5"/>
      <c r="F272" s="5"/>
      <c r="G272" s="5"/>
    </row>
    <row r="273" spans="2:7" ht="13">
      <c r="B273" s="36"/>
      <c r="C273" s="37"/>
      <c r="D273" s="5"/>
      <c r="E273" s="5"/>
      <c r="F273" s="5"/>
      <c r="G273" s="5"/>
    </row>
    <row r="274" spans="2:7" ht="13">
      <c r="B274" s="36"/>
      <c r="C274" s="37"/>
      <c r="D274" s="5"/>
      <c r="E274" s="5"/>
      <c r="F274" s="5"/>
      <c r="G274" s="5"/>
    </row>
    <row r="275" spans="2:7" ht="13">
      <c r="B275" s="36"/>
      <c r="C275" s="37"/>
      <c r="D275" s="5"/>
      <c r="E275" s="5"/>
      <c r="F275" s="5"/>
      <c r="G275" s="5"/>
    </row>
    <row r="276" spans="2:7" ht="13">
      <c r="B276" s="36"/>
      <c r="C276" s="37"/>
      <c r="D276" s="5"/>
      <c r="E276" s="5"/>
      <c r="F276" s="5"/>
      <c r="G276" s="5"/>
    </row>
    <row r="277" spans="2:7" ht="13">
      <c r="B277" s="36"/>
      <c r="C277" s="37"/>
      <c r="D277" s="5"/>
      <c r="E277" s="5"/>
      <c r="F277" s="5"/>
      <c r="G277" s="5"/>
    </row>
    <row r="278" spans="2:7" ht="13">
      <c r="B278" s="36"/>
      <c r="C278" s="37"/>
      <c r="D278" s="5"/>
      <c r="E278" s="5"/>
      <c r="F278" s="5"/>
      <c r="G278" s="5"/>
    </row>
    <row r="279" spans="2:7" ht="13">
      <c r="B279" s="36"/>
      <c r="C279" s="37"/>
      <c r="D279" s="5"/>
      <c r="E279" s="5"/>
      <c r="F279" s="5"/>
      <c r="G279" s="5"/>
    </row>
    <row r="280" spans="2:7" ht="13">
      <c r="B280" s="36"/>
      <c r="C280" s="37"/>
      <c r="D280" s="5"/>
      <c r="E280" s="5"/>
      <c r="F280" s="5"/>
      <c r="G280" s="5"/>
    </row>
    <row r="281" spans="2:7" ht="13">
      <c r="B281" s="36"/>
      <c r="C281" s="37"/>
      <c r="D281" s="5"/>
      <c r="E281" s="5"/>
      <c r="F281" s="5"/>
      <c r="G281" s="5"/>
    </row>
    <row r="282" spans="2:7" ht="13">
      <c r="B282" s="36"/>
      <c r="C282" s="37"/>
      <c r="D282" s="5"/>
      <c r="E282" s="5"/>
      <c r="F282" s="5"/>
      <c r="G282" s="5"/>
    </row>
    <row r="283" spans="2:7" ht="13">
      <c r="B283" s="36"/>
      <c r="C283" s="37"/>
      <c r="D283" s="5"/>
      <c r="E283" s="5"/>
      <c r="F283" s="5"/>
      <c r="G283" s="5"/>
    </row>
    <row r="284" spans="2:7" ht="13">
      <c r="B284" s="36"/>
      <c r="C284" s="37"/>
      <c r="D284" s="5"/>
      <c r="E284" s="5"/>
      <c r="F284" s="5"/>
      <c r="G284" s="5"/>
    </row>
    <row r="285" spans="2:7" ht="13">
      <c r="B285" s="36"/>
      <c r="C285" s="37"/>
      <c r="D285" s="5"/>
      <c r="E285" s="5"/>
      <c r="F285" s="5"/>
      <c r="G285" s="5"/>
    </row>
    <row r="286" spans="2:7" ht="13">
      <c r="B286" s="36"/>
      <c r="C286" s="37"/>
      <c r="D286" s="5"/>
      <c r="E286" s="5"/>
      <c r="F286" s="5"/>
      <c r="G286" s="5"/>
    </row>
    <row r="287" spans="2:7" ht="13">
      <c r="B287" s="36"/>
      <c r="C287" s="37"/>
      <c r="D287" s="5"/>
      <c r="E287" s="5"/>
      <c r="F287" s="5"/>
      <c r="G287" s="5"/>
    </row>
    <row r="288" spans="2:7" ht="13">
      <c r="B288" s="36"/>
      <c r="C288" s="37"/>
      <c r="D288" s="5"/>
      <c r="E288" s="5"/>
      <c r="F288" s="5"/>
      <c r="G288" s="5"/>
    </row>
    <row r="289" spans="2:7" ht="13">
      <c r="B289" s="36"/>
      <c r="C289" s="37"/>
      <c r="D289" s="5"/>
      <c r="E289" s="5"/>
      <c r="F289" s="5"/>
      <c r="G289" s="5"/>
    </row>
    <row r="290" spans="2:7" ht="13">
      <c r="B290" s="36"/>
      <c r="C290" s="37"/>
      <c r="D290" s="5"/>
      <c r="E290" s="5"/>
      <c r="F290" s="5"/>
      <c r="G290" s="5"/>
    </row>
    <row r="291" spans="2:7" ht="13">
      <c r="B291" s="36"/>
      <c r="C291" s="37"/>
      <c r="D291" s="5"/>
      <c r="E291" s="5"/>
      <c r="F291" s="5"/>
      <c r="G291" s="5"/>
    </row>
    <row r="292" spans="2:7" ht="13">
      <c r="B292" s="36"/>
      <c r="C292" s="37"/>
      <c r="D292" s="5"/>
      <c r="E292" s="5"/>
      <c r="F292" s="5"/>
      <c r="G292" s="5"/>
    </row>
    <row r="293" spans="2:7" ht="13">
      <c r="B293" s="36"/>
      <c r="C293" s="37"/>
      <c r="D293" s="5"/>
      <c r="E293" s="5"/>
      <c r="F293" s="5"/>
      <c r="G293" s="5"/>
    </row>
    <row r="294" spans="2:7" ht="13">
      <c r="B294" s="36"/>
      <c r="C294" s="37"/>
      <c r="D294" s="5"/>
      <c r="E294" s="5"/>
      <c r="F294" s="5"/>
      <c r="G294" s="5"/>
    </row>
    <row r="295" spans="2:7" ht="13">
      <c r="B295" s="36"/>
      <c r="C295" s="37"/>
      <c r="D295" s="5"/>
      <c r="E295" s="5"/>
      <c r="F295" s="5"/>
      <c r="G295" s="5"/>
    </row>
    <row r="296" spans="2:7" ht="13">
      <c r="B296" s="36"/>
      <c r="C296" s="37"/>
      <c r="D296" s="5"/>
      <c r="E296" s="5"/>
      <c r="F296" s="5"/>
      <c r="G296" s="5"/>
    </row>
    <row r="297" spans="2:7" ht="13">
      <c r="B297" s="36"/>
      <c r="C297" s="37"/>
      <c r="D297" s="5"/>
      <c r="E297" s="5"/>
      <c r="F297" s="5"/>
      <c r="G297" s="5"/>
    </row>
    <row r="298" spans="2:7" ht="13">
      <c r="B298" s="36"/>
      <c r="C298" s="37"/>
      <c r="D298" s="5"/>
      <c r="E298" s="5"/>
      <c r="F298" s="5"/>
      <c r="G298" s="5"/>
    </row>
    <row r="299" spans="2:7" ht="13">
      <c r="B299" s="36"/>
      <c r="C299" s="37"/>
      <c r="D299" s="5"/>
      <c r="E299" s="5"/>
      <c r="F299" s="5"/>
      <c r="G299" s="5"/>
    </row>
    <row r="300" spans="2:7" ht="13">
      <c r="B300" s="36"/>
      <c r="C300" s="37"/>
      <c r="D300" s="5"/>
      <c r="E300" s="5"/>
      <c r="F300" s="5"/>
      <c r="G300" s="5"/>
    </row>
    <row r="301" spans="2:7" ht="13">
      <c r="B301" s="36"/>
      <c r="C301" s="37"/>
      <c r="D301" s="5"/>
      <c r="E301" s="5"/>
      <c r="F301" s="5"/>
      <c r="G301" s="5"/>
    </row>
    <row r="302" spans="2:7" ht="13">
      <c r="B302" s="36"/>
      <c r="C302" s="37"/>
      <c r="D302" s="5"/>
      <c r="E302" s="5"/>
      <c r="F302" s="5"/>
      <c r="G302" s="5"/>
    </row>
    <row r="303" spans="2:7" ht="13">
      <c r="B303" s="36"/>
      <c r="C303" s="37"/>
      <c r="D303" s="5"/>
      <c r="E303" s="5"/>
      <c r="F303" s="5"/>
      <c r="G303" s="5"/>
    </row>
    <row r="304" spans="2:7" ht="13">
      <c r="B304" s="36"/>
      <c r="C304" s="37"/>
      <c r="D304" s="5"/>
      <c r="E304" s="5"/>
      <c r="F304" s="5"/>
      <c r="G304" s="5"/>
    </row>
    <row r="305" spans="2:7" ht="13">
      <c r="B305" s="36"/>
      <c r="C305" s="37"/>
      <c r="D305" s="5"/>
      <c r="E305" s="5"/>
      <c r="F305" s="5"/>
      <c r="G305" s="5"/>
    </row>
    <row r="306" spans="2:7" ht="13">
      <c r="B306" s="36"/>
      <c r="C306" s="37"/>
      <c r="D306" s="5"/>
      <c r="E306" s="5"/>
      <c r="F306" s="5"/>
      <c r="G306" s="5"/>
    </row>
    <row r="307" spans="2:7" ht="13">
      <c r="B307" s="36"/>
      <c r="C307" s="37"/>
      <c r="D307" s="5"/>
      <c r="E307" s="5"/>
      <c r="F307" s="5"/>
      <c r="G307" s="5"/>
    </row>
    <row r="308" spans="2:7" ht="13">
      <c r="B308" s="36"/>
      <c r="C308" s="37"/>
      <c r="D308" s="5"/>
      <c r="E308" s="5"/>
      <c r="F308" s="5"/>
      <c r="G308" s="5"/>
    </row>
    <row r="309" spans="2:7" ht="13">
      <c r="B309" s="36"/>
      <c r="C309" s="37"/>
      <c r="D309" s="5"/>
      <c r="E309" s="5"/>
      <c r="F309" s="5"/>
      <c r="G309" s="5"/>
    </row>
    <row r="310" spans="2:7" ht="13">
      <c r="B310" s="36"/>
      <c r="C310" s="37"/>
      <c r="D310" s="5"/>
      <c r="E310" s="5"/>
      <c r="F310" s="5"/>
      <c r="G310" s="5"/>
    </row>
    <row r="311" spans="2:7" ht="13">
      <c r="B311" s="36"/>
      <c r="C311" s="37"/>
      <c r="D311" s="5"/>
      <c r="E311" s="5"/>
      <c r="F311" s="5"/>
      <c r="G311" s="5"/>
    </row>
    <row r="312" spans="2:7" ht="13">
      <c r="B312" s="36"/>
      <c r="C312" s="37"/>
      <c r="D312" s="5"/>
      <c r="E312" s="5"/>
      <c r="F312" s="5"/>
      <c r="G312" s="5"/>
    </row>
    <row r="313" spans="2:7" ht="13">
      <c r="B313" s="36"/>
      <c r="C313" s="37"/>
      <c r="D313" s="5"/>
      <c r="E313" s="5"/>
      <c r="F313" s="5"/>
      <c r="G313" s="5"/>
    </row>
    <row r="314" spans="2:7" ht="13">
      <c r="B314" s="36"/>
      <c r="C314" s="37"/>
      <c r="D314" s="5"/>
      <c r="E314" s="5"/>
      <c r="F314" s="5"/>
      <c r="G314" s="5"/>
    </row>
    <row r="315" spans="2:7" ht="13">
      <c r="B315" s="36"/>
      <c r="C315" s="37"/>
      <c r="D315" s="5"/>
      <c r="E315" s="5"/>
      <c r="F315" s="5"/>
      <c r="G315" s="5"/>
    </row>
    <row r="316" spans="2:7" ht="13">
      <c r="B316" s="36"/>
      <c r="C316" s="37"/>
      <c r="D316" s="5"/>
      <c r="E316" s="5"/>
      <c r="F316" s="5"/>
      <c r="G316" s="5"/>
    </row>
    <row r="317" spans="2:7" ht="13">
      <c r="B317" s="36"/>
      <c r="C317" s="37"/>
      <c r="D317" s="5"/>
      <c r="E317" s="5"/>
      <c r="F317" s="5"/>
      <c r="G317" s="5"/>
    </row>
    <row r="318" spans="2:7" ht="13">
      <c r="B318" s="36"/>
      <c r="C318" s="37"/>
      <c r="D318" s="5"/>
      <c r="E318" s="5"/>
      <c r="F318" s="5"/>
      <c r="G318" s="5"/>
    </row>
    <row r="319" spans="2:7" ht="13">
      <c r="B319" s="36"/>
      <c r="C319" s="37"/>
      <c r="D319" s="5"/>
      <c r="E319" s="5"/>
      <c r="F319" s="5"/>
      <c r="G319" s="5"/>
    </row>
    <row r="320" spans="2:7" ht="13">
      <c r="B320" s="36"/>
      <c r="C320" s="37"/>
      <c r="D320" s="5"/>
      <c r="E320" s="5"/>
      <c r="F320" s="5"/>
      <c r="G320" s="5"/>
    </row>
    <row r="321" spans="2:7" ht="13">
      <c r="B321" s="36"/>
      <c r="C321" s="37"/>
      <c r="D321" s="5"/>
      <c r="E321" s="5"/>
      <c r="F321" s="5"/>
      <c r="G321" s="5"/>
    </row>
    <row r="322" spans="2:7" ht="13">
      <c r="B322" s="36"/>
      <c r="C322" s="37"/>
      <c r="D322" s="5"/>
      <c r="E322" s="5"/>
      <c r="F322" s="5"/>
      <c r="G322" s="5"/>
    </row>
    <row r="323" spans="2:7" ht="13">
      <c r="B323" s="36"/>
      <c r="C323" s="37"/>
      <c r="D323" s="5"/>
      <c r="E323" s="5"/>
      <c r="F323" s="5"/>
      <c r="G323" s="5"/>
    </row>
    <row r="324" spans="2:7" ht="13">
      <c r="B324" s="36"/>
      <c r="C324" s="37"/>
      <c r="D324" s="5"/>
      <c r="E324" s="5"/>
      <c r="F324" s="5"/>
      <c r="G324" s="5"/>
    </row>
    <row r="325" spans="2:7" ht="13">
      <c r="B325" s="36"/>
      <c r="C325" s="37"/>
      <c r="D325" s="5"/>
      <c r="E325" s="5"/>
      <c r="F325" s="5"/>
      <c r="G325" s="5"/>
    </row>
    <row r="326" spans="2:7" ht="13">
      <c r="B326" s="36"/>
      <c r="C326" s="37"/>
      <c r="D326" s="5"/>
      <c r="E326" s="5"/>
      <c r="F326" s="5"/>
      <c r="G326" s="5"/>
    </row>
    <row r="327" spans="2:7" ht="13">
      <c r="B327" s="36"/>
      <c r="C327" s="37"/>
      <c r="D327" s="5"/>
      <c r="E327" s="5"/>
      <c r="F327" s="5"/>
      <c r="G327" s="5"/>
    </row>
    <row r="328" spans="2:7" ht="13">
      <c r="B328" s="36"/>
      <c r="C328" s="37"/>
      <c r="D328" s="5"/>
      <c r="E328" s="5"/>
      <c r="F328" s="5"/>
      <c r="G328" s="5"/>
    </row>
    <row r="329" spans="2:7" ht="13">
      <c r="B329" s="36"/>
      <c r="C329" s="37"/>
      <c r="D329" s="5"/>
      <c r="E329" s="5"/>
      <c r="F329" s="5"/>
      <c r="G329" s="5"/>
    </row>
    <row r="330" spans="2:7" ht="13">
      <c r="B330" s="36"/>
      <c r="C330" s="37"/>
      <c r="D330" s="5"/>
      <c r="E330" s="5"/>
      <c r="F330" s="5"/>
      <c r="G330" s="5"/>
    </row>
    <row r="331" spans="2:7" ht="13">
      <c r="B331" s="36"/>
      <c r="C331" s="37"/>
      <c r="D331" s="5"/>
      <c r="E331" s="5"/>
      <c r="F331" s="5"/>
      <c r="G331" s="5"/>
    </row>
    <row r="332" spans="2:7" ht="13">
      <c r="B332" s="36"/>
      <c r="C332" s="37"/>
      <c r="D332" s="5"/>
      <c r="E332" s="5"/>
      <c r="F332" s="5"/>
      <c r="G332" s="5"/>
    </row>
    <row r="333" spans="2:7" ht="13">
      <c r="B333" s="36"/>
      <c r="C333" s="37"/>
      <c r="D333" s="5"/>
      <c r="E333" s="5"/>
      <c r="F333" s="5"/>
      <c r="G333" s="5"/>
    </row>
    <row r="334" spans="2:7" ht="13">
      <c r="B334" s="36"/>
      <c r="C334" s="37"/>
      <c r="D334" s="5"/>
      <c r="E334" s="5"/>
      <c r="F334" s="5"/>
      <c r="G334" s="5"/>
    </row>
    <row r="335" spans="2:7" ht="13">
      <c r="B335" s="36"/>
      <c r="C335" s="37"/>
      <c r="D335" s="5"/>
      <c r="E335" s="5"/>
      <c r="F335" s="5"/>
      <c r="G335" s="5"/>
    </row>
    <row r="336" spans="2:7" ht="13">
      <c r="B336" s="36"/>
      <c r="C336" s="37"/>
      <c r="D336" s="5"/>
      <c r="E336" s="5"/>
      <c r="F336" s="5"/>
      <c r="G336" s="5"/>
    </row>
    <row r="337" spans="2:7" ht="13">
      <c r="B337" s="36"/>
      <c r="C337" s="37"/>
      <c r="D337" s="5"/>
      <c r="E337" s="5"/>
      <c r="F337" s="5"/>
      <c r="G337" s="5"/>
    </row>
    <row r="338" spans="2:7" ht="13">
      <c r="B338" s="36"/>
      <c r="C338" s="37"/>
      <c r="D338" s="5"/>
      <c r="E338" s="5"/>
      <c r="F338" s="5"/>
      <c r="G338" s="5"/>
    </row>
    <row r="339" spans="2:7" ht="13">
      <c r="B339" s="36"/>
      <c r="C339" s="37"/>
      <c r="D339" s="5"/>
      <c r="E339" s="5"/>
      <c r="F339" s="5"/>
      <c r="G339" s="5"/>
    </row>
    <row r="340" spans="2:7" ht="13">
      <c r="B340" s="36"/>
      <c r="C340" s="37"/>
      <c r="D340" s="5"/>
      <c r="E340" s="5"/>
      <c r="F340" s="5"/>
      <c r="G340" s="5"/>
    </row>
    <row r="341" spans="2:7" ht="13">
      <c r="B341" s="36"/>
      <c r="C341" s="37"/>
      <c r="D341" s="5"/>
      <c r="E341" s="5"/>
      <c r="F341" s="5"/>
      <c r="G341" s="5"/>
    </row>
    <row r="342" spans="2:7" ht="13">
      <c r="B342" s="36"/>
      <c r="C342" s="37"/>
      <c r="D342" s="5"/>
      <c r="E342" s="5"/>
      <c r="F342" s="5"/>
      <c r="G342" s="5"/>
    </row>
    <row r="343" spans="2:7" ht="13">
      <c r="B343" s="36"/>
      <c r="C343" s="37"/>
      <c r="D343" s="5"/>
      <c r="E343" s="5"/>
      <c r="F343" s="5"/>
      <c r="G343" s="5"/>
    </row>
    <row r="344" spans="2:7" ht="13">
      <c r="B344" s="36"/>
      <c r="C344" s="37"/>
      <c r="D344" s="5"/>
      <c r="E344" s="5"/>
      <c r="F344" s="5"/>
      <c r="G344" s="5"/>
    </row>
    <row r="345" spans="2:7" ht="13">
      <c r="B345" s="36"/>
      <c r="C345" s="37"/>
      <c r="D345" s="5"/>
      <c r="E345" s="5"/>
      <c r="F345" s="5"/>
      <c r="G345" s="5"/>
    </row>
    <row r="346" spans="2:7" ht="13">
      <c r="B346" s="36"/>
      <c r="C346" s="37"/>
      <c r="D346" s="5"/>
      <c r="E346" s="5"/>
      <c r="F346" s="5"/>
      <c r="G346" s="5"/>
    </row>
    <row r="347" spans="2:7" ht="13">
      <c r="B347" s="36"/>
      <c r="C347" s="37"/>
      <c r="D347" s="5"/>
      <c r="E347" s="5"/>
      <c r="F347" s="5"/>
      <c r="G347" s="5"/>
    </row>
    <row r="348" spans="2:7" ht="13">
      <c r="B348" s="36"/>
      <c r="C348" s="37"/>
      <c r="D348" s="5"/>
      <c r="E348" s="5"/>
      <c r="F348" s="5"/>
      <c r="G348" s="5"/>
    </row>
    <row r="349" spans="2:7" ht="13">
      <c r="B349" s="36"/>
      <c r="C349" s="37"/>
      <c r="D349" s="5"/>
      <c r="E349" s="5"/>
      <c r="F349" s="5"/>
      <c r="G349" s="5"/>
    </row>
    <row r="350" spans="2:7" ht="13">
      <c r="B350" s="36"/>
      <c r="C350" s="37"/>
      <c r="D350" s="5"/>
      <c r="E350" s="5"/>
      <c r="F350" s="5"/>
      <c r="G350" s="5"/>
    </row>
    <row r="351" spans="2:7" ht="13">
      <c r="B351" s="36"/>
      <c r="C351" s="37"/>
      <c r="D351" s="5"/>
      <c r="E351" s="5"/>
      <c r="F351" s="5"/>
      <c r="G351" s="5"/>
    </row>
    <row r="352" spans="2:7" ht="13">
      <c r="B352" s="36"/>
      <c r="C352" s="37"/>
      <c r="D352" s="5"/>
      <c r="E352" s="5"/>
      <c r="F352" s="5"/>
      <c r="G352" s="5"/>
    </row>
    <row r="353" spans="2:7" ht="13">
      <c r="B353" s="36"/>
      <c r="C353" s="37"/>
      <c r="D353" s="5"/>
      <c r="E353" s="5"/>
      <c r="F353" s="5"/>
      <c r="G353" s="5"/>
    </row>
    <row r="354" spans="2:7" ht="13">
      <c r="B354" s="36"/>
      <c r="C354" s="37"/>
      <c r="D354" s="5"/>
      <c r="E354" s="5"/>
      <c r="F354" s="5"/>
      <c r="G354" s="5"/>
    </row>
    <row r="355" spans="2:7" ht="13">
      <c r="B355" s="36"/>
      <c r="C355" s="37"/>
      <c r="D355" s="5"/>
      <c r="E355" s="5"/>
      <c r="F355" s="5"/>
      <c r="G355" s="5"/>
    </row>
    <row r="356" spans="2:7" ht="13">
      <c r="B356" s="36"/>
      <c r="C356" s="37"/>
      <c r="D356" s="5"/>
      <c r="E356" s="5"/>
      <c r="F356" s="5"/>
      <c r="G356" s="5"/>
    </row>
    <row r="357" spans="2:7" ht="13">
      <c r="B357" s="36"/>
      <c r="C357" s="37"/>
      <c r="D357" s="5"/>
      <c r="E357" s="5"/>
      <c r="F357" s="5"/>
      <c r="G357" s="5"/>
    </row>
    <row r="358" spans="2:7" ht="13">
      <c r="B358" s="36"/>
      <c r="C358" s="37"/>
      <c r="D358" s="5"/>
      <c r="E358" s="5"/>
      <c r="F358" s="5"/>
      <c r="G358" s="5"/>
    </row>
    <row r="359" spans="2:7" ht="13">
      <c r="B359" s="36"/>
      <c r="C359" s="37"/>
      <c r="D359" s="5"/>
      <c r="E359" s="5"/>
      <c r="F359" s="5"/>
      <c r="G359" s="5"/>
    </row>
    <row r="360" spans="2:7" ht="13">
      <c r="B360" s="36"/>
      <c r="C360" s="37"/>
      <c r="D360" s="5"/>
      <c r="E360" s="5"/>
      <c r="F360" s="5"/>
      <c r="G360" s="5"/>
    </row>
    <row r="361" spans="2:7" ht="13">
      <c r="B361" s="36"/>
      <c r="C361" s="37"/>
      <c r="D361" s="5"/>
      <c r="E361" s="5"/>
      <c r="F361" s="5"/>
      <c r="G361" s="5"/>
    </row>
    <row r="362" spans="2:7" ht="13">
      <c r="B362" s="36"/>
      <c r="C362" s="37"/>
      <c r="D362" s="5"/>
      <c r="E362" s="5"/>
      <c r="F362" s="5"/>
      <c r="G362" s="5"/>
    </row>
    <row r="363" spans="2:7" ht="13">
      <c r="B363" s="36"/>
      <c r="C363" s="37"/>
      <c r="D363" s="5"/>
      <c r="E363" s="5"/>
      <c r="F363" s="5"/>
      <c r="G363" s="5"/>
    </row>
    <row r="364" spans="2:7" ht="13">
      <c r="B364" s="36"/>
      <c r="C364" s="37"/>
      <c r="D364" s="5"/>
      <c r="E364" s="5"/>
      <c r="F364" s="5"/>
      <c r="G364" s="5"/>
    </row>
    <row r="365" spans="2:7" ht="13">
      <c r="B365" s="36"/>
      <c r="C365" s="37"/>
      <c r="D365" s="5"/>
      <c r="E365" s="5"/>
      <c r="F365" s="5"/>
      <c r="G365" s="5"/>
    </row>
    <row r="366" spans="2:7" ht="13">
      <c r="B366" s="36"/>
      <c r="C366" s="37"/>
      <c r="D366" s="5"/>
      <c r="E366" s="5"/>
      <c r="F366" s="5"/>
      <c r="G366" s="5"/>
    </row>
    <row r="367" spans="2:7" ht="13">
      <c r="B367" s="36"/>
      <c r="C367" s="37"/>
      <c r="D367" s="5"/>
      <c r="E367" s="5"/>
      <c r="F367" s="5"/>
      <c r="G367" s="5"/>
    </row>
    <row r="368" spans="2:7" ht="13">
      <c r="B368" s="36"/>
      <c r="C368" s="37"/>
      <c r="D368" s="5"/>
      <c r="E368" s="5"/>
      <c r="F368" s="5"/>
      <c r="G368" s="5"/>
    </row>
    <row r="369" spans="2:7" ht="13">
      <c r="B369" s="36"/>
      <c r="C369" s="37"/>
      <c r="D369" s="5"/>
      <c r="E369" s="5"/>
      <c r="F369" s="5"/>
      <c r="G369" s="5"/>
    </row>
    <row r="370" spans="2:7" ht="13">
      <c r="B370" s="36"/>
      <c r="C370" s="37"/>
      <c r="D370" s="5"/>
      <c r="E370" s="5"/>
      <c r="F370" s="5"/>
      <c r="G370" s="5"/>
    </row>
    <row r="371" spans="2:7" ht="13">
      <c r="B371" s="36"/>
      <c r="C371" s="37"/>
      <c r="D371" s="5"/>
      <c r="E371" s="5"/>
      <c r="F371" s="5"/>
      <c r="G371" s="5"/>
    </row>
    <row r="372" spans="2:7" ht="13">
      <c r="B372" s="36"/>
      <c r="C372" s="37"/>
      <c r="D372" s="5"/>
      <c r="E372" s="5"/>
      <c r="F372" s="5"/>
      <c r="G372" s="5"/>
    </row>
    <row r="373" spans="2:7" ht="13">
      <c r="B373" s="36"/>
      <c r="C373" s="37"/>
      <c r="D373" s="5"/>
      <c r="E373" s="5"/>
      <c r="F373" s="5"/>
      <c r="G373" s="5"/>
    </row>
    <row r="374" spans="2:7" ht="13">
      <c r="B374" s="36"/>
      <c r="C374" s="37"/>
      <c r="D374" s="5"/>
      <c r="E374" s="5"/>
      <c r="F374" s="5"/>
      <c r="G374" s="5"/>
    </row>
    <row r="375" spans="2:7" ht="13">
      <c r="B375" s="36"/>
      <c r="C375" s="37"/>
      <c r="D375" s="5"/>
      <c r="E375" s="5"/>
      <c r="F375" s="5"/>
      <c r="G375" s="5"/>
    </row>
    <row r="376" spans="2:7" ht="13">
      <c r="B376" s="36"/>
      <c r="C376" s="37"/>
      <c r="D376" s="5"/>
      <c r="E376" s="5"/>
      <c r="F376" s="5"/>
      <c r="G376" s="5"/>
    </row>
    <row r="377" spans="2:7" ht="13">
      <c r="B377" s="36"/>
      <c r="C377" s="37"/>
      <c r="D377" s="5"/>
      <c r="E377" s="5"/>
      <c r="F377" s="5"/>
      <c r="G377" s="5"/>
    </row>
    <row r="378" spans="2:7" ht="13">
      <c r="B378" s="36"/>
      <c r="C378" s="37"/>
      <c r="D378" s="5"/>
      <c r="E378" s="5"/>
      <c r="F378" s="5"/>
      <c r="G378" s="5"/>
    </row>
    <row r="379" spans="2:7" ht="13">
      <c r="B379" s="36"/>
      <c r="C379" s="37"/>
      <c r="D379" s="5"/>
      <c r="E379" s="5"/>
      <c r="F379" s="5"/>
      <c r="G379" s="5"/>
    </row>
    <row r="380" spans="2:7" ht="13">
      <c r="B380" s="36"/>
      <c r="C380" s="37"/>
      <c r="D380" s="5"/>
      <c r="E380" s="5"/>
      <c r="F380" s="5"/>
      <c r="G380" s="5"/>
    </row>
    <row r="381" spans="2:7" ht="13">
      <c r="B381" s="36"/>
      <c r="C381" s="37"/>
      <c r="D381" s="5"/>
      <c r="E381" s="5"/>
      <c r="F381" s="5"/>
      <c r="G381" s="5"/>
    </row>
    <row r="382" spans="2:7" ht="13">
      <c r="B382" s="36"/>
      <c r="C382" s="37"/>
      <c r="D382" s="5"/>
      <c r="E382" s="5"/>
      <c r="F382" s="5"/>
      <c r="G382" s="5"/>
    </row>
    <row r="383" spans="2:7" ht="13">
      <c r="B383" s="36"/>
      <c r="C383" s="37"/>
      <c r="D383" s="5"/>
      <c r="E383" s="5"/>
      <c r="F383" s="5"/>
      <c r="G383" s="5"/>
    </row>
    <row r="384" spans="2:7" ht="13">
      <c r="B384" s="36"/>
      <c r="C384" s="37"/>
      <c r="D384" s="5"/>
      <c r="E384" s="5"/>
      <c r="F384" s="5"/>
      <c r="G384" s="5"/>
    </row>
    <row r="385" spans="2:7" ht="13">
      <c r="B385" s="36"/>
      <c r="C385" s="37"/>
      <c r="D385" s="5"/>
      <c r="E385" s="5"/>
      <c r="F385" s="5"/>
      <c r="G385" s="5"/>
    </row>
    <row r="386" spans="2:7" ht="13">
      <c r="B386" s="36"/>
      <c r="C386" s="37"/>
      <c r="D386" s="5"/>
      <c r="E386" s="5"/>
      <c r="F386" s="5"/>
      <c r="G386" s="5"/>
    </row>
    <row r="387" spans="2:7" ht="13">
      <c r="B387" s="36"/>
      <c r="C387" s="37"/>
      <c r="D387" s="5"/>
      <c r="E387" s="5"/>
      <c r="F387" s="5"/>
      <c r="G387" s="5"/>
    </row>
    <row r="388" spans="2:7" ht="13">
      <c r="B388" s="36"/>
      <c r="C388" s="37"/>
      <c r="D388" s="5"/>
      <c r="E388" s="5"/>
      <c r="F388" s="5"/>
      <c r="G388" s="5"/>
    </row>
    <row r="389" spans="2:7" ht="13">
      <c r="B389" s="36"/>
      <c r="C389" s="37"/>
      <c r="D389" s="5"/>
      <c r="E389" s="5"/>
      <c r="F389" s="5"/>
      <c r="G389" s="5"/>
    </row>
    <row r="390" spans="2:7" ht="13">
      <c r="B390" s="36"/>
      <c r="C390" s="37"/>
      <c r="D390" s="5"/>
      <c r="E390" s="5"/>
      <c r="F390" s="5"/>
      <c r="G390" s="5"/>
    </row>
    <row r="391" spans="2:7" ht="13">
      <c r="B391" s="36"/>
      <c r="C391" s="37"/>
      <c r="D391" s="5"/>
      <c r="E391" s="5"/>
      <c r="F391" s="5"/>
      <c r="G391" s="5"/>
    </row>
    <row r="392" spans="2:7" ht="13">
      <c r="B392" s="36"/>
      <c r="C392" s="37"/>
      <c r="D392" s="5"/>
      <c r="E392" s="5"/>
      <c r="F392" s="5"/>
      <c r="G392" s="5"/>
    </row>
    <row r="393" spans="2:7" ht="13">
      <c r="B393" s="36"/>
      <c r="C393" s="37"/>
      <c r="D393" s="5"/>
      <c r="E393" s="5"/>
      <c r="F393" s="5"/>
      <c r="G393" s="5"/>
    </row>
    <row r="394" spans="2:7" ht="13">
      <c r="B394" s="36"/>
      <c r="C394" s="37"/>
      <c r="D394" s="5"/>
      <c r="E394" s="5"/>
      <c r="F394" s="5"/>
      <c r="G394" s="5"/>
    </row>
    <row r="395" spans="2:7" ht="13">
      <c r="B395" s="36"/>
      <c r="C395" s="37"/>
      <c r="D395" s="5"/>
      <c r="E395" s="5"/>
      <c r="F395" s="5"/>
      <c r="G395" s="5"/>
    </row>
    <row r="396" spans="2:7" ht="13">
      <c r="B396" s="36"/>
      <c r="C396" s="37"/>
      <c r="D396" s="5"/>
      <c r="E396" s="5"/>
      <c r="F396" s="5"/>
      <c r="G396" s="5"/>
    </row>
    <row r="397" spans="2:7" ht="13">
      <c r="B397" s="36"/>
      <c r="C397" s="37"/>
      <c r="D397" s="5"/>
      <c r="E397" s="5"/>
      <c r="F397" s="5"/>
      <c r="G397" s="5"/>
    </row>
    <row r="398" spans="2:7" ht="13">
      <c r="B398" s="36"/>
      <c r="C398" s="37"/>
      <c r="D398" s="5"/>
      <c r="E398" s="5"/>
      <c r="F398" s="5"/>
      <c r="G398" s="5"/>
    </row>
    <row r="399" spans="2:7" ht="13">
      <c r="B399" s="36"/>
      <c r="C399" s="37"/>
      <c r="D399" s="5"/>
      <c r="E399" s="5"/>
      <c r="F399" s="5"/>
      <c r="G399" s="5"/>
    </row>
    <row r="400" spans="2:7" ht="13">
      <c r="B400" s="36"/>
      <c r="C400" s="37"/>
      <c r="D400" s="5"/>
      <c r="E400" s="5"/>
      <c r="F400" s="5"/>
      <c r="G400" s="5"/>
    </row>
    <row r="401" spans="2:7" ht="13">
      <c r="B401" s="36"/>
      <c r="C401" s="37"/>
      <c r="D401" s="5"/>
      <c r="E401" s="5"/>
      <c r="F401" s="5"/>
      <c r="G401" s="5"/>
    </row>
    <row r="402" spans="2:7" ht="13">
      <c r="B402" s="36"/>
      <c r="C402" s="37"/>
      <c r="D402" s="5"/>
      <c r="E402" s="5"/>
      <c r="F402" s="5"/>
      <c r="G402" s="5"/>
    </row>
    <row r="403" spans="2:7" ht="13">
      <c r="B403" s="36"/>
      <c r="C403" s="37"/>
      <c r="D403" s="5"/>
      <c r="E403" s="5"/>
      <c r="F403" s="5"/>
      <c r="G403" s="5"/>
    </row>
    <row r="404" spans="2:7" ht="13">
      <c r="B404" s="36"/>
      <c r="C404" s="37"/>
      <c r="D404" s="5"/>
      <c r="E404" s="5"/>
      <c r="F404" s="5"/>
      <c r="G404" s="5"/>
    </row>
    <row r="405" spans="2:7" ht="13">
      <c r="B405" s="36"/>
      <c r="C405" s="37"/>
      <c r="D405" s="5"/>
      <c r="E405" s="5"/>
      <c r="F405" s="5"/>
      <c r="G405" s="5"/>
    </row>
    <row r="406" spans="2:7" ht="13">
      <c r="B406" s="36"/>
      <c r="C406" s="37"/>
      <c r="D406" s="5"/>
      <c r="E406" s="5"/>
      <c r="F406" s="5"/>
      <c r="G406" s="5"/>
    </row>
    <row r="407" spans="2:7" ht="13">
      <c r="B407" s="36"/>
      <c r="C407" s="37"/>
      <c r="D407" s="5"/>
      <c r="E407" s="5"/>
      <c r="F407" s="5"/>
      <c r="G407" s="5"/>
    </row>
    <row r="408" spans="2:7" ht="13">
      <c r="B408" s="36"/>
      <c r="C408" s="37"/>
      <c r="D408" s="5"/>
      <c r="E408" s="5"/>
      <c r="F408" s="5"/>
      <c r="G408" s="5"/>
    </row>
    <row r="409" spans="2:7" ht="13">
      <c r="B409" s="36"/>
      <c r="C409" s="37"/>
      <c r="D409" s="5"/>
      <c r="E409" s="5"/>
      <c r="F409" s="5"/>
      <c r="G409" s="5"/>
    </row>
    <row r="410" spans="2:7" ht="13">
      <c r="B410" s="36"/>
      <c r="C410" s="37"/>
      <c r="D410" s="5"/>
      <c r="E410" s="5"/>
      <c r="F410" s="5"/>
      <c r="G410" s="5"/>
    </row>
    <row r="411" spans="2:7" ht="13">
      <c r="B411" s="36"/>
      <c r="C411" s="37"/>
      <c r="D411" s="5"/>
      <c r="E411" s="5"/>
      <c r="F411" s="5"/>
      <c r="G411" s="5"/>
    </row>
    <row r="412" spans="2:7" ht="13">
      <c r="B412" s="36"/>
      <c r="C412" s="37"/>
      <c r="D412" s="5"/>
      <c r="E412" s="5"/>
      <c r="F412" s="5"/>
      <c r="G412" s="5"/>
    </row>
    <row r="413" spans="2:7" ht="13">
      <c r="B413" s="36"/>
      <c r="C413" s="37"/>
      <c r="D413" s="5"/>
      <c r="E413" s="5"/>
      <c r="F413" s="5"/>
      <c r="G413" s="5"/>
    </row>
    <row r="414" spans="2:7" ht="13">
      <c r="B414" s="36"/>
      <c r="C414" s="37"/>
      <c r="D414" s="5"/>
      <c r="E414" s="5"/>
      <c r="F414" s="5"/>
      <c r="G414" s="5"/>
    </row>
    <row r="415" spans="2:7" ht="13">
      <c r="B415" s="36"/>
      <c r="C415" s="37"/>
      <c r="D415" s="5"/>
      <c r="E415" s="5"/>
      <c r="F415" s="5"/>
      <c r="G415" s="5"/>
    </row>
    <row r="416" spans="2:7" ht="13">
      <c r="B416" s="36"/>
      <c r="C416" s="37"/>
      <c r="D416" s="5"/>
      <c r="E416" s="5"/>
      <c r="F416" s="5"/>
      <c r="G416" s="5"/>
    </row>
    <row r="417" spans="2:7" ht="13">
      <c r="B417" s="36"/>
      <c r="C417" s="37"/>
      <c r="D417" s="5"/>
      <c r="E417" s="5"/>
      <c r="F417" s="5"/>
      <c r="G417" s="5"/>
    </row>
    <row r="418" spans="2:7" ht="13">
      <c r="B418" s="36"/>
      <c r="C418" s="37"/>
      <c r="D418" s="5"/>
      <c r="E418" s="5"/>
      <c r="F418" s="5"/>
      <c r="G418" s="5"/>
    </row>
    <row r="419" spans="2:7" ht="13">
      <c r="B419" s="36"/>
      <c r="C419" s="37"/>
      <c r="D419" s="5"/>
      <c r="E419" s="5"/>
      <c r="F419" s="5"/>
      <c r="G419" s="5"/>
    </row>
    <row r="420" spans="2:7" ht="13">
      <c r="B420" s="36"/>
      <c r="C420" s="37"/>
      <c r="D420" s="5"/>
      <c r="E420" s="5"/>
      <c r="F420" s="5"/>
      <c r="G420" s="5"/>
    </row>
    <row r="421" spans="2:7" ht="13">
      <c r="B421" s="36"/>
      <c r="C421" s="37"/>
      <c r="D421" s="5"/>
      <c r="E421" s="5"/>
      <c r="F421" s="5"/>
      <c r="G421" s="5"/>
    </row>
    <row r="422" spans="2:7" ht="13">
      <c r="B422" s="36"/>
      <c r="C422" s="37"/>
      <c r="D422" s="5"/>
      <c r="E422" s="5"/>
      <c r="F422" s="5"/>
      <c r="G422" s="5"/>
    </row>
    <row r="423" spans="2:7" ht="13">
      <c r="B423" s="36"/>
      <c r="C423" s="37"/>
      <c r="D423" s="5"/>
      <c r="E423" s="5"/>
      <c r="F423" s="5"/>
      <c r="G423" s="5"/>
    </row>
    <row r="424" spans="2:7" ht="13">
      <c r="B424" s="36"/>
      <c r="C424" s="37"/>
      <c r="D424" s="5"/>
      <c r="E424" s="5"/>
      <c r="F424" s="5"/>
      <c r="G424" s="5"/>
    </row>
    <row r="425" spans="2:7" ht="13">
      <c r="B425" s="36"/>
      <c r="C425" s="37"/>
      <c r="D425" s="5"/>
      <c r="E425" s="5"/>
      <c r="F425" s="5"/>
      <c r="G425" s="5"/>
    </row>
    <row r="426" spans="2:7" ht="13">
      <c r="B426" s="36"/>
      <c r="C426" s="37"/>
      <c r="D426" s="5"/>
      <c r="E426" s="5"/>
      <c r="F426" s="5"/>
      <c r="G426" s="5"/>
    </row>
    <row r="427" spans="2:7" ht="13">
      <c r="B427" s="36"/>
      <c r="C427" s="37"/>
      <c r="D427" s="5"/>
      <c r="E427" s="5"/>
      <c r="F427" s="5"/>
      <c r="G427" s="5"/>
    </row>
    <row r="428" spans="2:7" ht="13">
      <c r="B428" s="36"/>
      <c r="C428" s="37"/>
      <c r="D428" s="5"/>
      <c r="E428" s="5"/>
      <c r="F428" s="5"/>
      <c r="G428" s="5"/>
    </row>
    <row r="429" spans="2:7" ht="13">
      <c r="B429" s="36"/>
      <c r="C429" s="37"/>
      <c r="D429" s="5"/>
      <c r="E429" s="5"/>
      <c r="F429" s="5"/>
      <c r="G429" s="5"/>
    </row>
    <row r="430" spans="2:7" ht="13">
      <c r="B430" s="36"/>
      <c r="C430" s="37"/>
      <c r="D430" s="5"/>
      <c r="E430" s="5"/>
      <c r="F430" s="5"/>
      <c r="G430" s="5"/>
    </row>
    <row r="431" spans="2:7" ht="13">
      <c r="B431" s="36"/>
      <c r="C431" s="37"/>
      <c r="D431" s="5"/>
      <c r="E431" s="5"/>
      <c r="F431" s="5"/>
      <c r="G431" s="5"/>
    </row>
    <row r="432" spans="2:7" ht="13">
      <c r="B432" s="36"/>
      <c r="C432" s="37"/>
      <c r="D432" s="5"/>
      <c r="E432" s="5"/>
      <c r="F432" s="5"/>
      <c r="G432" s="5"/>
    </row>
    <row r="433" spans="2:7" ht="13">
      <c r="B433" s="36"/>
      <c r="C433" s="37"/>
      <c r="D433" s="5"/>
      <c r="E433" s="5"/>
      <c r="F433" s="5"/>
      <c r="G433" s="5"/>
    </row>
    <row r="434" spans="2:7" ht="13">
      <c r="B434" s="36"/>
      <c r="C434" s="37"/>
      <c r="D434" s="5"/>
      <c r="E434" s="5"/>
      <c r="F434" s="5"/>
      <c r="G434" s="5"/>
    </row>
    <row r="435" spans="2:7" ht="13">
      <c r="B435" s="36"/>
      <c r="C435" s="37"/>
      <c r="D435" s="5"/>
      <c r="E435" s="5"/>
      <c r="F435" s="5"/>
      <c r="G435" s="5"/>
    </row>
    <row r="436" spans="2:7" ht="13">
      <c r="B436" s="36"/>
      <c r="C436" s="37"/>
      <c r="D436" s="5"/>
      <c r="E436" s="5"/>
      <c r="F436" s="5"/>
      <c r="G436" s="5"/>
    </row>
    <row r="437" spans="2:7" ht="13">
      <c r="B437" s="36"/>
      <c r="C437" s="37"/>
      <c r="D437" s="5"/>
      <c r="E437" s="5"/>
      <c r="F437" s="5"/>
      <c r="G437" s="5"/>
    </row>
    <row r="438" spans="2:7" ht="13">
      <c r="B438" s="36"/>
      <c r="C438" s="37"/>
      <c r="D438" s="5"/>
      <c r="E438" s="5"/>
      <c r="F438" s="5"/>
      <c r="G438" s="5"/>
    </row>
    <row r="439" spans="2:7" ht="13">
      <c r="B439" s="36"/>
      <c r="C439" s="37"/>
      <c r="D439" s="5"/>
      <c r="E439" s="5"/>
      <c r="F439" s="5"/>
      <c r="G439" s="5"/>
    </row>
    <row r="440" spans="2:7" ht="13">
      <c r="B440" s="36"/>
      <c r="C440" s="37"/>
      <c r="D440" s="5"/>
      <c r="E440" s="5"/>
      <c r="F440" s="5"/>
      <c r="G440" s="5"/>
    </row>
    <row r="441" spans="2:7" ht="13">
      <c r="B441" s="36"/>
      <c r="C441" s="37"/>
      <c r="D441" s="5"/>
      <c r="E441" s="5"/>
      <c r="F441" s="5"/>
      <c r="G441" s="5"/>
    </row>
    <row r="442" spans="2:7" ht="13">
      <c r="B442" s="36"/>
      <c r="C442" s="37"/>
      <c r="D442" s="5"/>
      <c r="E442" s="5"/>
      <c r="F442" s="5"/>
      <c r="G442" s="5"/>
    </row>
    <row r="443" spans="2:7" ht="13">
      <c r="B443" s="36"/>
      <c r="C443" s="37"/>
      <c r="D443" s="5"/>
      <c r="E443" s="5"/>
      <c r="F443" s="5"/>
      <c r="G443" s="5"/>
    </row>
    <row r="444" spans="2:7" ht="13">
      <c r="B444" s="36"/>
      <c r="C444" s="37"/>
      <c r="D444" s="5"/>
      <c r="E444" s="5"/>
      <c r="F444" s="5"/>
      <c r="G444" s="5"/>
    </row>
    <row r="445" spans="2:7" ht="13">
      <c r="B445" s="36"/>
      <c r="C445" s="37"/>
      <c r="D445" s="5"/>
      <c r="E445" s="5"/>
      <c r="F445" s="5"/>
      <c r="G445" s="5"/>
    </row>
    <row r="446" spans="2:7" ht="13">
      <c r="B446" s="36"/>
      <c r="C446" s="37"/>
      <c r="D446" s="5"/>
      <c r="E446" s="5"/>
      <c r="F446" s="5"/>
      <c r="G446" s="5"/>
    </row>
    <row r="447" spans="2:7" ht="13">
      <c r="B447" s="36"/>
      <c r="C447" s="37"/>
      <c r="D447" s="5"/>
      <c r="E447" s="5"/>
      <c r="F447" s="5"/>
      <c r="G447" s="5"/>
    </row>
    <row r="448" spans="2:7" ht="13">
      <c r="B448" s="36"/>
      <c r="C448" s="37"/>
      <c r="D448" s="5"/>
      <c r="E448" s="5"/>
      <c r="F448" s="5"/>
      <c r="G448" s="5"/>
    </row>
    <row r="449" spans="2:7" ht="13">
      <c r="B449" s="36"/>
      <c r="C449" s="37"/>
      <c r="D449" s="5"/>
      <c r="E449" s="5"/>
      <c r="F449" s="5"/>
      <c r="G449" s="5"/>
    </row>
    <row r="450" spans="2:7" ht="13">
      <c r="B450" s="36"/>
      <c r="C450" s="37"/>
      <c r="D450" s="5"/>
      <c r="E450" s="5"/>
      <c r="F450" s="5"/>
      <c r="G450" s="5"/>
    </row>
    <row r="451" spans="2:7" ht="13">
      <c r="B451" s="36"/>
      <c r="C451" s="37"/>
      <c r="D451" s="5"/>
      <c r="E451" s="5"/>
      <c r="F451" s="5"/>
      <c r="G451" s="5"/>
    </row>
    <row r="452" spans="2:7" ht="13">
      <c r="B452" s="36"/>
      <c r="C452" s="37"/>
      <c r="D452" s="5"/>
      <c r="E452" s="5"/>
      <c r="F452" s="5"/>
      <c r="G452" s="5"/>
    </row>
    <row r="453" spans="2:7" ht="13">
      <c r="B453" s="36"/>
      <c r="C453" s="37"/>
      <c r="D453" s="5"/>
      <c r="E453" s="5"/>
      <c r="F453" s="5"/>
      <c r="G453" s="5"/>
    </row>
    <row r="454" spans="2:7" ht="13">
      <c r="B454" s="36"/>
      <c r="C454" s="37"/>
      <c r="D454" s="5"/>
      <c r="E454" s="5"/>
      <c r="F454" s="5"/>
      <c r="G454" s="5"/>
    </row>
    <row r="455" spans="2:7" ht="13">
      <c r="B455" s="36"/>
      <c r="C455" s="37"/>
      <c r="D455" s="5"/>
      <c r="E455" s="5"/>
      <c r="F455" s="5"/>
      <c r="G455" s="5"/>
    </row>
    <row r="456" spans="2:7" ht="13">
      <c r="B456" s="36"/>
      <c r="C456" s="37"/>
      <c r="D456" s="5"/>
      <c r="E456" s="5"/>
      <c r="F456" s="5"/>
      <c r="G456" s="5"/>
    </row>
    <row r="457" spans="2:7" ht="13">
      <c r="B457" s="36"/>
      <c r="C457" s="37"/>
      <c r="D457" s="5"/>
      <c r="E457" s="5"/>
      <c r="F457" s="5"/>
      <c r="G457" s="5"/>
    </row>
    <row r="458" spans="2:7" ht="13">
      <c r="B458" s="36"/>
      <c r="C458" s="37"/>
      <c r="D458" s="5"/>
      <c r="E458" s="5"/>
      <c r="F458" s="5"/>
      <c r="G458" s="5"/>
    </row>
    <row r="459" spans="2:7" ht="13">
      <c r="B459" s="36"/>
      <c r="C459" s="37"/>
      <c r="D459" s="5"/>
      <c r="E459" s="5"/>
      <c r="F459" s="5"/>
      <c r="G459" s="5"/>
    </row>
    <row r="460" spans="2:7" ht="13">
      <c r="B460" s="36"/>
      <c r="C460" s="37"/>
      <c r="D460" s="5"/>
      <c r="E460" s="5"/>
      <c r="F460" s="5"/>
      <c r="G460" s="5"/>
    </row>
    <row r="461" spans="2:7" ht="13">
      <c r="B461" s="36"/>
      <c r="C461" s="37"/>
      <c r="D461" s="5"/>
      <c r="E461" s="5"/>
      <c r="F461" s="5"/>
      <c r="G461" s="5"/>
    </row>
    <row r="462" spans="2:7" ht="13">
      <c r="B462" s="36"/>
      <c r="C462" s="37"/>
      <c r="D462" s="5"/>
      <c r="E462" s="5"/>
      <c r="F462" s="5"/>
      <c r="G462" s="5"/>
    </row>
    <row r="463" spans="2:7" ht="13">
      <c r="B463" s="36"/>
      <c r="C463" s="37"/>
      <c r="D463" s="5"/>
      <c r="E463" s="5"/>
      <c r="F463" s="5"/>
      <c r="G463" s="5"/>
    </row>
    <row r="464" spans="2:7" ht="13">
      <c r="B464" s="36"/>
      <c r="C464" s="37"/>
      <c r="D464" s="5"/>
      <c r="E464" s="5"/>
      <c r="F464" s="5"/>
      <c r="G464" s="5"/>
    </row>
    <row r="465" spans="2:7" ht="13">
      <c r="B465" s="36"/>
      <c r="C465" s="37"/>
      <c r="D465" s="5"/>
      <c r="E465" s="5"/>
      <c r="F465" s="5"/>
      <c r="G465" s="5"/>
    </row>
    <row r="466" spans="2:7" ht="13">
      <c r="B466" s="36"/>
      <c r="C466" s="37"/>
      <c r="D466" s="5"/>
      <c r="E466" s="5"/>
      <c r="F466" s="5"/>
      <c r="G466" s="5"/>
    </row>
    <row r="467" spans="2:7" ht="13">
      <c r="B467" s="36"/>
      <c r="C467" s="37"/>
      <c r="D467" s="5"/>
      <c r="E467" s="5"/>
      <c r="F467" s="5"/>
      <c r="G467" s="5"/>
    </row>
    <row r="468" spans="2:7" ht="13">
      <c r="B468" s="36"/>
      <c r="C468" s="37"/>
      <c r="D468" s="5"/>
      <c r="E468" s="5"/>
      <c r="F468" s="5"/>
      <c r="G468" s="5"/>
    </row>
    <row r="469" spans="2:7" ht="13">
      <c r="B469" s="36"/>
      <c r="C469" s="37"/>
      <c r="D469" s="5"/>
      <c r="E469" s="5"/>
      <c r="F469" s="5"/>
      <c r="G469" s="5"/>
    </row>
    <row r="470" spans="2:7" ht="13">
      <c r="B470" s="36"/>
      <c r="C470" s="37"/>
      <c r="D470" s="5"/>
      <c r="E470" s="5"/>
      <c r="F470" s="5"/>
      <c r="G470" s="5"/>
    </row>
    <row r="471" spans="2:7" ht="13">
      <c r="B471" s="36"/>
      <c r="C471" s="37"/>
      <c r="D471" s="5"/>
      <c r="E471" s="5"/>
      <c r="F471" s="5"/>
      <c r="G471" s="5"/>
    </row>
    <row r="472" spans="2:7" ht="13">
      <c r="B472" s="36"/>
      <c r="C472" s="37"/>
      <c r="D472" s="5"/>
      <c r="E472" s="5"/>
      <c r="F472" s="5"/>
      <c r="G472" s="5"/>
    </row>
    <row r="473" spans="2:7" ht="13">
      <c r="B473" s="36"/>
      <c r="C473" s="37"/>
      <c r="D473" s="5"/>
      <c r="E473" s="5"/>
      <c r="F473" s="5"/>
      <c r="G473" s="5"/>
    </row>
    <row r="474" spans="2:7" ht="13">
      <c r="B474" s="36"/>
      <c r="C474" s="37"/>
      <c r="D474" s="5"/>
      <c r="E474" s="5"/>
      <c r="F474" s="5"/>
      <c r="G474" s="5"/>
    </row>
    <row r="475" spans="2:7" ht="13">
      <c r="B475" s="36"/>
      <c r="C475" s="37"/>
      <c r="D475" s="5"/>
      <c r="E475" s="5"/>
      <c r="F475" s="5"/>
      <c r="G475" s="5"/>
    </row>
    <row r="476" spans="2:7" ht="13">
      <c r="B476" s="36"/>
      <c r="C476" s="37"/>
      <c r="D476" s="5"/>
      <c r="E476" s="5"/>
      <c r="F476" s="5"/>
      <c r="G476" s="5"/>
    </row>
    <row r="477" spans="2:7" ht="13">
      <c r="B477" s="36"/>
      <c r="C477" s="37"/>
      <c r="D477" s="5"/>
      <c r="E477" s="5"/>
      <c r="F477" s="5"/>
      <c r="G477" s="5"/>
    </row>
    <row r="478" spans="2:7" ht="13">
      <c r="B478" s="36"/>
      <c r="C478" s="37"/>
      <c r="D478" s="5"/>
      <c r="E478" s="5"/>
      <c r="F478" s="5"/>
      <c r="G478" s="5"/>
    </row>
    <row r="479" spans="2:7" ht="13">
      <c r="B479" s="36"/>
      <c r="C479" s="37"/>
      <c r="D479" s="5"/>
      <c r="E479" s="5"/>
      <c r="F479" s="5"/>
      <c r="G479" s="5"/>
    </row>
    <row r="480" spans="2:7" ht="13">
      <c r="B480" s="36"/>
      <c r="C480" s="37"/>
      <c r="D480" s="5"/>
      <c r="E480" s="5"/>
      <c r="F480" s="5"/>
      <c r="G480" s="5"/>
    </row>
    <row r="481" spans="2:7" ht="13">
      <c r="B481" s="36"/>
      <c r="C481" s="37"/>
      <c r="D481" s="5"/>
      <c r="E481" s="5"/>
      <c r="F481" s="5"/>
      <c r="G481" s="5"/>
    </row>
    <row r="482" spans="2:7" ht="13">
      <c r="B482" s="36"/>
      <c r="C482" s="37"/>
      <c r="D482" s="5"/>
      <c r="E482" s="5"/>
      <c r="F482" s="5"/>
      <c r="G482" s="5"/>
    </row>
    <row r="483" spans="2:7" ht="13">
      <c r="B483" s="36"/>
      <c r="C483" s="37"/>
      <c r="D483" s="5"/>
      <c r="E483" s="5"/>
      <c r="F483" s="5"/>
      <c r="G483" s="5"/>
    </row>
    <row r="484" spans="2:7" ht="13">
      <c r="B484" s="36"/>
      <c r="C484" s="37"/>
      <c r="D484" s="5"/>
      <c r="E484" s="5"/>
      <c r="F484" s="5"/>
      <c r="G484" s="5"/>
    </row>
    <row r="485" spans="2:7" ht="13">
      <c r="B485" s="36"/>
      <c r="C485" s="37"/>
      <c r="D485" s="5"/>
      <c r="E485" s="5"/>
      <c r="F485" s="5"/>
      <c r="G485" s="5"/>
    </row>
    <row r="486" spans="2:7" ht="13">
      <c r="B486" s="36"/>
      <c r="C486" s="37"/>
      <c r="D486" s="5"/>
      <c r="E486" s="5"/>
      <c r="F486" s="5"/>
      <c r="G486" s="5"/>
    </row>
    <row r="487" spans="2:7" ht="13">
      <c r="B487" s="36"/>
      <c r="C487" s="37"/>
      <c r="D487" s="5"/>
      <c r="E487" s="5"/>
      <c r="F487" s="5"/>
      <c r="G487" s="5"/>
    </row>
    <row r="488" spans="2:7" ht="13">
      <c r="B488" s="36"/>
      <c r="C488" s="37"/>
      <c r="D488" s="5"/>
      <c r="E488" s="5"/>
      <c r="F488" s="5"/>
      <c r="G488" s="5"/>
    </row>
    <row r="489" spans="2:7" ht="13">
      <c r="B489" s="36"/>
      <c r="C489" s="37"/>
      <c r="D489" s="5"/>
      <c r="E489" s="5"/>
      <c r="F489" s="5"/>
      <c r="G489" s="5"/>
    </row>
    <row r="490" spans="2:7" ht="13">
      <c r="B490" s="36"/>
      <c r="C490" s="37"/>
      <c r="D490" s="5"/>
      <c r="E490" s="5"/>
      <c r="F490" s="5"/>
      <c r="G490" s="5"/>
    </row>
    <row r="491" spans="2:7" ht="13">
      <c r="B491" s="36"/>
      <c r="C491" s="37"/>
      <c r="D491" s="5"/>
      <c r="E491" s="5"/>
      <c r="F491" s="5"/>
      <c r="G491" s="5"/>
    </row>
    <row r="492" spans="2:7" ht="13">
      <c r="B492" s="36"/>
      <c r="C492" s="37"/>
      <c r="D492" s="5"/>
      <c r="E492" s="5"/>
      <c r="F492" s="5"/>
      <c r="G492" s="5"/>
    </row>
    <row r="493" spans="2:7" ht="13">
      <c r="B493" s="36"/>
      <c r="C493" s="37"/>
      <c r="D493" s="5"/>
      <c r="E493" s="5"/>
      <c r="F493" s="5"/>
      <c r="G493" s="5"/>
    </row>
    <row r="494" spans="2:7" ht="13">
      <c r="B494" s="36"/>
      <c r="C494" s="37"/>
      <c r="D494" s="5"/>
      <c r="E494" s="5"/>
      <c r="F494" s="5"/>
      <c r="G494" s="5"/>
    </row>
    <row r="495" spans="2:7" ht="13">
      <c r="B495" s="36"/>
      <c r="C495" s="37"/>
      <c r="D495" s="5"/>
      <c r="E495" s="5"/>
      <c r="F495" s="5"/>
      <c r="G495" s="5"/>
    </row>
    <row r="496" spans="2:7" ht="13">
      <c r="B496" s="36"/>
      <c r="C496" s="37"/>
      <c r="D496" s="5"/>
      <c r="E496" s="5"/>
      <c r="F496" s="5"/>
      <c r="G496" s="5"/>
    </row>
    <row r="497" spans="2:7" ht="13">
      <c r="B497" s="36"/>
      <c r="C497" s="37"/>
      <c r="D497" s="5"/>
      <c r="E497" s="5"/>
      <c r="F497" s="5"/>
      <c r="G497" s="5"/>
    </row>
    <row r="498" spans="2:7" ht="13">
      <c r="B498" s="36"/>
      <c r="C498" s="37"/>
      <c r="D498" s="5"/>
      <c r="E498" s="5"/>
      <c r="F498" s="5"/>
      <c r="G498" s="5"/>
    </row>
    <row r="499" spans="2:7" ht="13">
      <c r="B499" s="36"/>
      <c r="C499" s="37"/>
      <c r="D499" s="5"/>
      <c r="E499" s="5"/>
      <c r="F499" s="5"/>
      <c r="G499" s="5"/>
    </row>
    <row r="500" spans="2:7" ht="13">
      <c r="B500" s="36"/>
      <c r="C500" s="37"/>
      <c r="D500" s="5"/>
      <c r="E500" s="5"/>
      <c r="F500" s="5"/>
      <c r="G500" s="5"/>
    </row>
    <row r="501" spans="2:7" ht="13">
      <c r="B501" s="36"/>
      <c r="C501" s="37"/>
      <c r="D501" s="5"/>
      <c r="E501" s="5"/>
      <c r="F501" s="5"/>
      <c r="G501" s="5"/>
    </row>
    <row r="502" spans="2:7" ht="13">
      <c r="B502" s="36"/>
      <c r="C502" s="37"/>
      <c r="D502" s="5"/>
      <c r="E502" s="5"/>
      <c r="F502" s="5"/>
      <c r="G502" s="5"/>
    </row>
    <row r="503" spans="2:7" ht="13">
      <c r="B503" s="36"/>
      <c r="C503" s="37"/>
      <c r="D503" s="5"/>
      <c r="E503" s="5"/>
      <c r="F503" s="5"/>
      <c r="G503" s="5"/>
    </row>
    <row r="504" spans="2:7" ht="13">
      <c r="B504" s="36"/>
      <c r="C504" s="37"/>
      <c r="D504" s="5"/>
      <c r="E504" s="5"/>
      <c r="F504" s="5"/>
      <c r="G504" s="5"/>
    </row>
    <row r="505" spans="2:7" ht="13">
      <c r="B505" s="36"/>
      <c r="C505" s="37"/>
      <c r="D505" s="5"/>
      <c r="E505" s="5"/>
      <c r="F505" s="5"/>
      <c r="G505" s="5"/>
    </row>
    <row r="506" spans="2:7" ht="13">
      <c r="B506" s="36"/>
      <c r="C506" s="37"/>
      <c r="D506" s="5"/>
      <c r="E506" s="5"/>
      <c r="F506" s="5"/>
      <c r="G506" s="5"/>
    </row>
    <row r="507" spans="2:7" ht="13">
      <c r="B507" s="36"/>
      <c r="C507" s="37"/>
      <c r="D507" s="5"/>
      <c r="E507" s="5"/>
      <c r="F507" s="5"/>
      <c r="G507" s="5"/>
    </row>
    <row r="508" spans="2:7" ht="13">
      <c r="B508" s="36"/>
      <c r="C508" s="37"/>
      <c r="D508" s="5"/>
      <c r="E508" s="5"/>
      <c r="F508" s="5"/>
      <c r="G508" s="5"/>
    </row>
    <row r="509" spans="2:7" ht="13">
      <c r="B509" s="36"/>
      <c r="C509" s="37"/>
      <c r="D509" s="5"/>
      <c r="E509" s="5"/>
      <c r="F509" s="5"/>
      <c r="G509" s="5"/>
    </row>
    <row r="510" spans="2:7" ht="13">
      <c r="B510" s="36"/>
      <c r="C510" s="37"/>
      <c r="D510" s="5"/>
      <c r="E510" s="5"/>
      <c r="F510" s="5"/>
      <c r="G510" s="5"/>
    </row>
    <row r="511" spans="2:7" ht="13">
      <c r="B511" s="36"/>
      <c r="C511" s="37"/>
      <c r="D511" s="5"/>
      <c r="E511" s="5"/>
      <c r="F511" s="5"/>
      <c r="G511" s="5"/>
    </row>
    <row r="512" spans="2:7" ht="13">
      <c r="B512" s="36"/>
      <c r="C512" s="37"/>
      <c r="D512" s="5"/>
      <c r="E512" s="5"/>
      <c r="F512" s="5"/>
      <c r="G512" s="5"/>
    </row>
    <row r="513" spans="2:7" ht="13">
      <c r="B513" s="36"/>
      <c r="C513" s="37"/>
      <c r="D513" s="5"/>
      <c r="E513" s="5"/>
      <c r="F513" s="5"/>
      <c r="G513" s="5"/>
    </row>
    <row r="514" spans="2:7" ht="13">
      <c r="B514" s="36"/>
      <c r="C514" s="37"/>
      <c r="D514" s="5"/>
      <c r="E514" s="5"/>
      <c r="F514" s="5"/>
      <c r="G514" s="5"/>
    </row>
    <row r="515" spans="2:7" ht="13">
      <c r="B515" s="36"/>
      <c r="C515" s="37"/>
      <c r="D515" s="5"/>
      <c r="E515" s="5"/>
      <c r="F515" s="5"/>
      <c r="G515" s="5"/>
    </row>
    <row r="516" spans="2:7" ht="13">
      <c r="B516" s="36"/>
      <c r="C516" s="37"/>
      <c r="D516" s="5"/>
      <c r="E516" s="5"/>
      <c r="F516" s="5"/>
      <c r="G516" s="5"/>
    </row>
    <row r="517" spans="2:7" ht="13">
      <c r="B517" s="36"/>
      <c r="C517" s="37"/>
      <c r="D517" s="5"/>
      <c r="E517" s="5"/>
      <c r="F517" s="5"/>
      <c r="G517" s="5"/>
    </row>
    <row r="518" spans="2:7" ht="13">
      <c r="B518" s="36"/>
      <c r="C518" s="37"/>
      <c r="D518" s="5"/>
      <c r="E518" s="5"/>
      <c r="F518" s="5"/>
      <c r="G518" s="5"/>
    </row>
    <row r="519" spans="2:7" ht="13">
      <c r="B519" s="36"/>
      <c r="C519" s="37"/>
      <c r="D519" s="5"/>
      <c r="E519" s="5"/>
      <c r="F519" s="5"/>
      <c r="G519" s="5"/>
    </row>
    <row r="520" spans="2:7" ht="13">
      <c r="B520" s="36"/>
      <c r="C520" s="37"/>
      <c r="D520" s="5"/>
      <c r="E520" s="5"/>
      <c r="F520" s="5"/>
      <c r="G520" s="5"/>
    </row>
    <row r="521" spans="2:7" ht="13">
      <c r="B521" s="36"/>
      <c r="C521" s="37"/>
      <c r="D521" s="5"/>
      <c r="E521" s="5"/>
      <c r="F521" s="5"/>
      <c r="G521" s="5"/>
    </row>
    <row r="522" spans="2:7" ht="13">
      <c r="B522" s="36"/>
      <c r="C522" s="37"/>
      <c r="D522" s="5"/>
      <c r="E522" s="5"/>
      <c r="F522" s="5"/>
      <c r="G522" s="5"/>
    </row>
    <row r="523" spans="2:7" ht="13">
      <c r="B523" s="36"/>
      <c r="C523" s="37"/>
      <c r="D523" s="5"/>
      <c r="E523" s="5"/>
      <c r="F523" s="5"/>
      <c r="G523" s="5"/>
    </row>
    <row r="524" spans="2:7" ht="13">
      <c r="B524" s="36"/>
      <c r="C524" s="37"/>
      <c r="D524" s="5"/>
      <c r="E524" s="5"/>
      <c r="F524" s="5"/>
      <c r="G524" s="5"/>
    </row>
    <row r="525" spans="2:7" ht="13">
      <c r="B525" s="36"/>
      <c r="C525" s="37"/>
      <c r="D525" s="5"/>
      <c r="E525" s="5"/>
      <c r="F525" s="5"/>
      <c r="G525" s="5"/>
    </row>
    <row r="526" spans="2:7" ht="13">
      <c r="B526" s="36"/>
      <c r="C526" s="37"/>
      <c r="D526" s="5"/>
      <c r="E526" s="5"/>
      <c r="F526" s="5"/>
      <c r="G526" s="5"/>
    </row>
    <row r="527" spans="2:7" ht="13">
      <c r="B527" s="36"/>
      <c r="C527" s="37"/>
      <c r="D527" s="5"/>
      <c r="E527" s="5"/>
      <c r="F527" s="5"/>
      <c r="G527" s="5"/>
    </row>
    <row r="528" spans="2:7" ht="13">
      <c r="B528" s="36"/>
      <c r="C528" s="37"/>
      <c r="D528" s="5"/>
      <c r="E528" s="5"/>
      <c r="F528" s="5"/>
      <c r="G528" s="5"/>
    </row>
    <row r="529" spans="2:7" ht="13">
      <c r="B529" s="36"/>
      <c r="C529" s="37"/>
      <c r="D529" s="5"/>
      <c r="E529" s="5"/>
      <c r="F529" s="5"/>
      <c r="G529" s="5"/>
    </row>
    <row r="530" spans="2:7" ht="13">
      <c r="B530" s="36"/>
      <c r="C530" s="37"/>
      <c r="D530" s="5"/>
      <c r="E530" s="5"/>
      <c r="F530" s="5"/>
      <c r="G530" s="5"/>
    </row>
    <row r="531" spans="2:7" ht="13">
      <c r="B531" s="36"/>
      <c r="C531" s="37"/>
      <c r="D531" s="5"/>
      <c r="E531" s="5"/>
      <c r="F531" s="5"/>
      <c r="G531" s="5"/>
    </row>
    <row r="532" spans="2:7" ht="13">
      <c r="B532" s="36"/>
      <c r="C532" s="37"/>
      <c r="D532" s="5"/>
      <c r="E532" s="5"/>
      <c r="F532" s="5"/>
      <c r="G532" s="5"/>
    </row>
    <row r="533" spans="2:7" ht="13">
      <c r="B533" s="36"/>
      <c r="C533" s="37"/>
      <c r="D533" s="5"/>
      <c r="E533" s="5"/>
      <c r="F533" s="5"/>
      <c r="G533" s="5"/>
    </row>
    <row r="534" spans="2:7" ht="13">
      <c r="B534" s="36"/>
      <c r="C534" s="37"/>
      <c r="D534" s="5"/>
      <c r="E534" s="5"/>
      <c r="F534" s="5"/>
      <c r="G534" s="5"/>
    </row>
    <row r="535" spans="2:7" ht="13">
      <c r="B535" s="36"/>
      <c r="C535" s="37"/>
      <c r="D535" s="5"/>
      <c r="E535" s="5"/>
      <c r="F535" s="5"/>
      <c r="G535" s="5"/>
    </row>
    <row r="536" spans="2:7" ht="13">
      <c r="B536" s="36"/>
      <c r="C536" s="37"/>
      <c r="D536" s="5"/>
      <c r="E536" s="5"/>
      <c r="F536" s="5"/>
      <c r="G536" s="5"/>
    </row>
    <row r="537" spans="2:7" ht="13">
      <c r="B537" s="36"/>
      <c r="C537" s="37"/>
      <c r="D537" s="5"/>
      <c r="E537" s="5"/>
      <c r="F537" s="5"/>
      <c r="G537" s="5"/>
    </row>
    <row r="538" spans="2:7" ht="13">
      <c r="B538" s="36"/>
      <c r="C538" s="37"/>
      <c r="D538" s="5"/>
      <c r="E538" s="5"/>
      <c r="F538" s="5"/>
      <c r="G538" s="5"/>
    </row>
    <row r="539" spans="2:7" ht="13">
      <c r="B539" s="36"/>
      <c r="C539" s="37"/>
      <c r="D539" s="5"/>
      <c r="E539" s="5"/>
      <c r="F539" s="5"/>
      <c r="G539" s="5"/>
    </row>
    <row r="540" spans="2:7" ht="13">
      <c r="B540" s="36"/>
      <c r="C540" s="37"/>
      <c r="D540" s="5"/>
      <c r="E540" s="5"/>
      <c r="F540" s="5"/>
      <c r="G540" s="5"/>
    </row>
    <row r="541" spans="2:7" ht="13">
      <c r="B541" s="36"/>
      <c r="C541" s="37"/>
      <c r="D541" s="5"/>
      <c r="E541" s="5"/>
      <c r="F541" s="5"/>
      <c r="G541" s="5"/>
    </row>
    <row r="542" spans="2:7" ht="13">
      <c r="B542" s="36"/>
      <c r="C542" s="37"/>
      <c r="D542" s="5"/>
      <c r="E542" s="5"/>
      <c r="F542" s="5"/>
      <c r="G542" s="5"/>
    </row>
    <row r="543" spans="2:7" ht="13">
      <c r="B543" s="36"/>
      <c r="C543" s="37"/>
      <c r="D543" s="5"/>
      <c r="E543" s="5"/>
      <c r="F543" s="5"/>
      <c r="G543" s="5"/>
    </row>
    <row r="544" spans="2:7" ht="13">
      <c r="B544" s="36"/>
      <c r="C544" s="37"/>
      <c r="D544" s="5"/>
      <c r="E544" s="5"/>
      <c r="F544" s="5"/>
      <c r="G544" s="5"/>
    </row>
    <row r="545" spans="2:7" ht="13">
      <c r="B545" s="36"/>
      <c r="C545" s="37"/>
      <c r="D545" s="5"/>
      <c r="E545" s="5"/>
      <c r="F545" s="5"/>
      <c r="G545" s="5"/>
    </row>
    <row r="546" spans="2:7" ht="13">
      <c r="B546" s="36"/>
      <c r="C546" s="37"/>
      <c r="D546" s="5"/>
      <c r="E546" s="5"/>
      <c r="F546" s="5"/>
      <c r="G546" s="5"/>
    </row>
    <row r="547" spans="2:7" ht="13">
      <c r="B547" s="36"/>
      <c r="C547" s="37"/>
      <c r="D547" s="5"/>
      <c r="E547" s="5"/>
      <c r="F547" s="5"/>
      <c r="G547" s="5"/>
    </row>
    <row r="548" spans="2:7" ht="13">
      <c r="B548" s="36"/>
      <c r="C548" s="37"/>
      <c r="D548" s="5"/>
      <c r="E548" s="5"/>
      <c r="F548" s="5"/>
      <c r="G548" s="5"/>
    </row>
    <row r="549" spans="2:7" ht="13">
      <c r="B549" s="36"/>
      <c r="C549" s="37"/>
      <c r="D549" s="5"/>
      <c r="E549" s="5"/>
      <c r="F549" s="5"/>
      <c r="G549" s="5"/>
    </row>
    <row r="550" spans="2:7" ht="13">
      <c r="B550" s="36"/>
      <c r="C550" s="37"/>
      <c r="D550" s="5"/>
      <c r="E550" s="5"/>
      <c r="F550" s="5"/>
      <c r="G550" s="5"/>
    </row>
    <row r="551" spans="2:7" ht="13">
      <c r="B551" s="36"/>
      <c r="C551" s="37"/>
      <c r="D551" s="5"/>
      <c r="E551" s="5"/>
      <c r="F551" s="5"/>
      <c r="G551" s="5"/>
    </row>
    <row r="552" spans="2:7" ht="13">
      <c r="B552" s="36"/>
      <c r="C552" s="37"/>
      <c r="D552" s="5"/>
      <c r="E552" s="5"/>
      <c r="F552" s="5"/>
      <c r="G552" s="5"/>
    </row>
    <row r="553" spans="2:7" ht="13">
      <c r="B553" s="36"/>
      <c r="C553" s="37"/>
      <c r="D553" s="5"/>
      <c r="E553" s="5"/>
      <c r="F553" s="5"/>
      <c r="G553" s="5"/>
    </row>
    <row r="554" spans="2:7" ht="13">
      <c r="B554" s="36"/>
      <c r="C554" s="37"/>
      <c r="D554" s="5"/>
      <c r="E554" s="5"/>
      <c r="F554" s="5"/>
      <c r="G554" s="5"/>
    </row>
    <row r="555" spans="2:7" ht="13">
      <c r="B555" s="36"/>
      <c r="C555" s="37"/>
      <c r="D555" s="5"/>
      <c r="E555" s="5"/>
      <c r="F555" s="5"/>
      <c r="G555" s="5"/>
    </row>
    <row r="556" spans="2:7" ht="13">
      <c r="B556" s="36"/>
      <c r="C556" s="37"/>
      <c r="D556" s="5"/>
      <c r="E556" s="5"/>
      <c r="F556" s="5"/>
      <c r="G556" s="5"/>
    </row>
    <row r="557" spans="2:7" ht="13">
      <c r="B557" s="36"/>
      <c r="C557" s="37"/>
      <c r="D557" s="5"/>
      <c r="E557" s="5"/>
      <c r="F557" s="5"/>
      <c r="G557" s="5"/>
    </row>
    <row r="558" spans="2:7" ht="13">
      <c r="B558" s="36"/>
      <c r="C558" s="37"/>
      <c r="D558" s="5"/>
      <c r="E558" s="5"/>
      <c r="F558" s="5"/>
      <c r="G558" s="5"/>
    </row>
    <row r="559" spans="2:7" ht="13">
      <c r="B559" s="36"/>
      <c r="C559" s="37"/>
      <c r="D559" s="5"/>
      <c r="E559" s="5"/>
      <c r="F559" s="5"/>
      <c r="G559" s="5"/>
    </row>
    <row r="560" spans="2:7" ht="13">
      <c r="B560" s="36"/>
      <c r="C560" s="37"/>
      <c r="D560" s="5"/>
      <c r="E560" s="5"/>
      <c r="F560" s="5"/>
      <c r="G560" s="5"/>
    </row>
    <row r="561" spans="2:7" ht="13">
      <c r="B561" s="36"/>
      <c r="C561" s="37"/>
      <c r="D561" s="5"/>
      <c r="E561" s="5"/>
      <c r="F561" s="5"/>
      <c r="G561" s="5"/>
    </row>
    <row r="562" spans="2:7" ht="13">
      <c r="B562" s="36"/>
      <c r="C562" s="37"/>
      <c r="D562" s="5"/>
      <c r="E562" s="5"/>
      <c r="F562" s="5"/>
      <c r="G562" s="5"/>
    </row>
    <row r="563" spans="2:7" ht="13">
      <c r="B563" s="36"/>
      <c r="C563" s="37"/>
      <c r="D563" s="5"/>
      <c r="E563" s="5"/>
      <c r="F563" s="5"/>
      <c r="G563" s="5"/>
    </row>
    <row r="564" spans="2:7" ht="13">
      <c r="B564" s="36"/>
      <c r="C564" s="37"/>
      <c r="D564" s="5"/>
      <c r="E564" s="5"/>
      <c r="F564" s="5"/>
      <c r="G564" s="5"/>
    </row>
    <row r="565" spans="2:7" ht="13">
      <c r="B565" s="36"/>
      <c r="C565" s="37"/>
      <c r="D565" s="5"/>
      <c r="E565" s="5"/>
      <c r="F565" s="5"/>
      <c r="G565" s="5"/>
    </row>
    <row r="566" spans="2:7" ht="13">
      <c r="B566" s="36"/>
      <c r="C566" s="37"/>
      <c r="D566" s="5"/>
      <c r="E566" s="5"/>
      <c r="F566" s="5"/>
      <c r="G566" s="5"/>
    </row>
    <row r="567" spans="2:7" ht="13">
      <c r="B567" s="36"/>
      <c r="C567" s="37"/>
      <c r="D567" s="5"/>
      <c r="E567" s="5"/>
      <c r="F567" s="5"/>
      <c r="G567" s="5"/>
    </row>
    <row r="568" spans="2:7" ht="13">
      <c r="B568" s="36"/>
      <c r="C568" s="37"/>
      <c r="D568" s="5"/>
      <c r="E568" s="5"/>
      <c r="F568" s="5"/>
      <c r="G568" s="5"/>
    </row>
    <row r="569" spans="2:7" ht="13">
      <c r="B569" s="36"/>
      <c r="C569" s="37"/>
      <c r="D569" s="5"/>
      <c r="E569" s="5"/>
      <c r="F569" s="5"/>
      <c r="G569" s="5"/>
    </row>
    <row r="570" spans="2:7" ht="13">
      <c r="B570" s="36"/>
      <c r="C570" s="37"/>
      <c r="D570" s="5"/>
      <c r="E570" s="5"/>
      <c r="F570" s="5"/>
      <c r="G570" s="5"/>
    </row>
    <row r="571" spans="2:7" ht="13">
      <c r="B571" s="36"/>
      <c r="C571" s="37"/>
      <c r="D571" s="5"/>
      <c r="E571" s="5"/>
      <c r="F571" s="5"/>
      <c r="G571" s="5"/>
    </row>
    <row r="572" spans="2:7" ht="13">
      <c r="B572" s="36"/>
      <c r="C572" s="37"/>
      <c r="D572" s="5"/>
      <c r="E572" s="5"/>
      <c r="F572" s="5"/>
      <c r="G572" s="5"/>
    </row>
    <row r="573" spans="2:7" ht="13">
      <c r="B573" s="36"/>
      <c r="C573" s="37"/>
      <c r="D573" s="5"/>
      <c r="E573" s="5"/>
      <c r="F573" s="5"/>
      <c r="G573" s="5"/>
    </row>
    <row r="574" spans="2:7" ht="13">
      <c r="B574" s="36"/>
      <c r="C574" s="37"/>
      <c r="D574" s="5"/>
      <c r="E574" s="5"/>
      <c r="F574" s="5"/>
      <c r="G574" s="5"/>
    </row>
    <row r="575" spans="2:7" ht="13">
      <c r="B575" s="36"/>
      <c r="C575" s="37"/>
      <c r="D575" s="5"/>
      <c r="E575" s="5"/>
      <c r="F575" s="5"/>
      <c r="G575" s="5"/>
    </row>
    <row r="576" spans="2:7" ht="13">
      <c r="B576" s="36"/>
      <c r="C576" s="37"/>
      <c r="D576" s="5"/>
      <c r="E576" s="5"/>
      <c r="F576" s="5"/>
      <c r="G576" s="5"/>
    </row>
    <row r="577" spans="2:7" ht="13">
      <c r="B577" s="36"/>
      <c r="C577" s="37"/>
      <c r="D577" s="5"/>
      <c r="E577" s="5"/>
      <c r="F577" s="5"/>
      <c r="G577" s="5"/>
    </row>
    <row r="578" spans="2:7" ht="13">
      <c r="B578" s="36"/>
      <c r="C578" s="37"/>
      <c r="D578" s="5"/>
      <c r="E578" s="5"/>
      <c r="F578" s="5"/>
      <c r="G578" s="5"/>
    </row>
    <row r="579" spans="2:7" ht="13">
      <c r="B579" s="36"/>
      <c r="C579" s="37"/>
      <c r="D579" s="5"/>
      <c r="E579" s="5"/>
      <c r="F579" s="5"/>
      <c r="G579" s="5"/>
    </row>
    <row r="580" spans="2:7" ht="13">
      <c r="B580" s="36"/>
      <c r="C580" s="37"/>
      <c r="D580" s="5"/>
      <c r="E580" s="5"/>
      <c r="F580" s="5"/>
      <c r="G580" s="5"/>
    </row>
    <row r="581" spans="2:7" ht="13">
      <c r="B581" s="36"/>
      <c r="C581" s="37"/>
      <c r="D581" s="5"/>
      <c r="E581" s="5"/>
      <c r="F581" s="5"/>
      <c r="G581" s="5"/>
    </row>
    <row r="582" spans="2:7" ht="13">
      <c r="B582" s="36"/>
      <c r="C582" s="37"/>
      <c r="D582" s="5"/>
      <c r="E582" s="5"/>
      <c r="F582" s="5"/>
      <c r="G582" s="5"/>
    </row>
    <row r="583" spans="2:7" ht="13">
      <c r="B583" s="36"/>
      <c r="C583" s="37"/>
      <c r="D583" s="5"/>
      <c r="E583" s="5"/>
      <c r="F583" s="5"/>
      <c r="G583" s="5"/>
    </row>
    <row r="584" spans="2:7" ht="13">
      <c r="B584" s="36"/>
      <c r="C584" s="37"/>
      <c r="D584" s="5"/>
      <c r="E584" s="5"/>
      <c r="F584" s="5"/>
      <c r="G584" s="5"/>
    </row>
    <row r="585" spans="2:7" ht="13">
      <c r="B585" s="36"/>
      <c r="C585" s="37"/>
      <c r="D585" s="5"/>
      <c r="E585" s="5"/>
      <c r="F585" s="5"/>
      <c r="G585" s="5"/>
    </row>
    <row r="586" spans="2:7" ht="13">
      <c r="B586" s="36"/>
      <c r="C586" s="37"/>
      <c r="D586" s="5"/>
      <c r="E586" s="5"/>
      <c r="F586" s="5"/>
      <c r="G586" s="5"/>
    </row>
    <row r="587" spans="2:7" ht="13">
      <c r="B587" s="36"/>
      <c r="C587" s="37"/>
      <c r="D587" s="5"/>
      <c r="E587" s="5"/>
      <c r="F587" s="5"/>
      <c r="G587" s="5"/>
    </row>
    <row r="588" spans="2:7" ht="13">
      <c r="B588" s="36"/>
      <c r="C588" s="37"/>
      <c r="D588" s="5"/>
      <c r="E588" s="5"/>
      <c r="F588" s="5"/>
      <c r="G588" s="5"/>
    </row>
    <row r="589" spans="2:7" ht="13">
      <c r="B589" s="36"/>
      <c r="C589" s="37"/>
      <c r="D589" s="5"/>
      <c r="E589" s="5"/>
      <c r="F589" s="5"/>
      <c r="G589" s="5"/>
    </row>
    <row r="590" spans="2:7" ht="13">
      <c r="B590" s="36"/>
      <c r="C590" s="37"/>
      <c r="D590" s="5"/>
      <c r="E590" s="5"/>
      <c r="F590" s="5"/>
      <c r="G590" s="5"/>
    </row>
    <row r="591" spans="2:7" ht="13">
      <c r="B591" s="36"/>
      <c r="C591" s="37"/>
      <c r="D591" s="5"/>
      <c r="E591" s="5"/>
      <c r="F591" s="5"/>
      <c r="G591" s="5"/>
    </row>
    <row r="592" spans="2:7" ht="13">
      <c r="B592" s="36"/>
      <c r="C592" s="37"/>
      <c r="D592" s="5"/>
      <c r="E592" s="5"/>
      <c r="F592" s="5"/>
      <c r="G592" s="5"/>
    </row>
    <row r="593" spans="2:7" ht="13">
      <c r="B593" s="36"/>
      <c r="C593" s="37"/>
      <c r="D593" s="5"/>
      <c r="E593" s="5"/>
      <c r="F593" s="5"/>
      <c r="G593" s="5"/>
    </row>
    <row r="594" spans="2:7" ht="13">
      <c r="B594" s="36"/>
      <c r="C594" s="37"/>
      <c r="D594" s="5"/>
      <c r="E594" s="5"/>
      <c r="F594" s="5"/>
      <c r="G594" s="5"/>
    </row>
    <row r="595" spans="2:7" ht="13">
      <c r="B595" s="36"/>
      <c r="C595" s="37"/>
      <c r="D595" s="5"/>
      <c r="E595" s="5"/>
      <c r="F595" s="5"/>
      <c r="G595" s="5"/>
    </row>
    <row r="596" spans="2:7" ht="13">
      <c r="B596" s="36"/>
      <c r="C596" s="37"/>
      <c r="D596" s="5"/>
      <c r="E596" s="5"/>
      <c r="F596" s="5"/>
      <c r="G596" s="5"/>
    </row>
    <row r="597" spans="2:7" ht="13">
      <c r="B597" s="36"/>
      <c r="C597" s="37"/>
      <c r="D597" s="5"/>
      <c r="E597" s="5"/>
      <c r="F597" s="5"/>
      <c r="G597" s="5"/>
    </row>
    <row r="598" spans="2:7" ht="13">
      <c r="B598" s="36"/>
      <c r="C598" s="37"/>
      <c r="D598" s="5"/>
      <c r="E598" s="5"/>
      <c r="F598" s="5"/>
      <c r="G598" s="5"/>
    </row>
    <row r="599" spans="2:7" ht="13">
      <c r="B599" s="36"/>
      <c r="C599" s="37"/>
      <c r="D599" s="5"/>
      <c r="E599" s="5"/>
      <c r="F599" s="5"/>
      <c r="G599" s="5"/>
    </row>
    <row r="600" spans="2:7" ht="13">
      <c r="B600" s="36"/>
      <c r="C600" s="37"/>
      <c r="D600" s="5"/>
      <c r="E600" s="5"/>
      <c r="F600" s="5"/>
      <c r="G600" s="5"/>
    </row>
    <row r="601" spans="2:7" ht="13">
      <c r="B601" s="36"/>
      <c r="C601" s="37"/>
      <c r="D601" s="5"/>
      <c r="E601" s="5"/>
      <c r="F601" s="5"/>
      <c r="G601" s="5"/>
    </row>
    <row r="602" spans="2:7" ht="13">
      <c r="B602" s="36"/>
      <c r="C602" s="37"/>
      <c r="D602" s="5"/>
      <c r="E602" s="5"/>
      <c r="F602" s="5"/>
      <c r="G602" s="5"/>
    </row>
    <row r="603" spans="2:7" ht="13">
      <c r="B603" s="36"/>
      <c r="C603" s="37"/>
      <c r="D603" s="5"/>
      <c r="E603" s="5"/>
      <c r="F603" s="5"/>
      <c r="G603" s="5"/>
    </row>
    <row r="604" spans="2:7" ht="13">
      <c r="B604" s="36"/>
      <c r="C604" s="37"/>
      <c r="D604" s="5"/>
      <c r="E604" s="5"/>
      <c r="F604" s="5"/>
      <c r="G604" s="5"/>
    </row>
    <row r="605" spans="2:7" ht="13">
      <c r="B605" s="36"/>
      <c r="C605" s="37"/>
      <c r="D605" s="5"/>
      <c r="E605" s="5"/>
      <c r="F605" s="5"/>
      <c r="G605" s="5"/>
    </row>
    <row r="606" spans="2:7" ht="13">
      <c r="B606" s="36"/>
      <c r="C606" s="37"/>
      <c r="D606" s="5"/>
      <c r="E606" s="5"/>
      <c r="F606" s="5"/>
      <c r="G606" s="5"/>
    </row>
    <row r="607" spans="2:7" ht="13">
      <c r="B607" s="36"/>
      <c r="C607" s="37"/>
      <c r="D607" s="5"/>
      <c r="E607" s="5"/>
      <c r="F607" s="5"/>
      <c r="G607" s="5"/>
    </row>
    <row r="608" spans="2:7" ht="13">
      <c r="B608" s="36"/>
      <c r="C608" s="37"/>
      <c r="D608" s="5"/>
      <c r="E608" s="5"/>
      <c r="F608" s="5"/>
      <c r="G608" s="5"/>
    </row>
    <row r="609" spans="2:7" ht="13">
      <c r="B609" s="36"/>
      <c r="C609" s="37"/>
      <c r="D609" s="5"/>
      <c r="E609" s="5"/>
      <c r="F609" s="5"/>
      <c r="G609" s="5"/>
    </row>
    <row r="610" spans="2:7" ht="13">
      <c r="B610" s="36"/>
      <c r="C610" s="37"/>
      <c r="D610" s="5"/>
      <c r="E610" s="5"/>
      <c r="F610" s="5"/>
      <c r="G610" s="5"/>
    </row>
    <row r="611" spans="2:7" ht="13">
      <c r="B611" s="36"/>
      <c r="C611" s="37"/>
      <c r="D611" s="5"/>
      <c r="E611" s="5"/>
      <c r="F611" s="5"/>
      <c r="G611" s="5"/>
    </row>
    <row r="612" spans="2:7" ht="13">
      <c r="B612" s="36"/>
      <c r="C612" s="37"/>
      <c r="D612" s="5"/>
      <c r="E612" s="5"/>
      <c r="F612" s="5"/>
      <c r="G612" s="5"/>
    </row>
    <row r="613" spans="2:7" ht="13">
      <c r="B613" s="36"/>
      <c r="C613" s="37"/>
      <c r="D613" s="5"/>
      <c r="E613" s="5"/>
      <c r="F613" s="5"/>
      <c r="G613" s="5"/>
    </row>
    <row r="614" spans="2:7" ht="13">
      <c r="B614" s="36"/>
      <c r="C614" s="37"/>
      <c r="D614" s="5"/>
      <c r="E614" s="5"/>
      <c r="F614" s="5"/>
      <c r="G614" s="5"/>
    </row>
    <row r="615" spans="2:7" ht="13">
      <c r="B615" s="36"/>
      <c r="C615" s="37"/>
      <c r="D615" s="5"/>
      <c r="E615" s="5"/>
      <c r="F615" s="5"/>
      <c r="G615" s="5"/>
    </row>
    <row r="616" spans="2:7" ht="13">
      <c r="B616" s="36"/>
      <c r="C616" s="37"/>
      <c r="D616" s="5"/>
      <c r="E616" s="5"/>
      <c r="F616" s="5"/>
      <c r="G616" s="5"/>
    </row>
    <row r="617" spans="2:7" ht="13">
      <c r="B617" s="36"/>
      <c r="C617" s="37"/>
      <c r="D617" s="5"/>
      <c r="E617" s="5"/>
      <c r="F617" s="5"/>
      <c r="G617" s="5"/>
    </row>
    <row r="618" spans="2:7" ht="13">
      <c r="B618" s="36"/>
      <c r="C618" s="37"/>
      <c r="D618" s="5"/>
      <c r="E618" s="5"/>
      <c r="F618" s="5"/>
      <c r="G618" s="5"/>
    </row>
    <row r="619" spans="2:7" ht="13">
      <c r="B619" s="36"/>
      <c r="C619" s="37"/>
      <c r="D619" s="5"/>
      <c r="E619" s="5"/>
      <c r="F619" s="5"/>
      <c r="G619" s="5"/>
    </row>
    <row r="620" spans="2:7" ht="13">
      <c r="B620" s="36"/>
      <c r="C620" s="37"/>
      <c r="D620" s="5"/>
      <c r="E620" s="5"/>
      <c r="F620" s="5"/>
      <c r="G620" s="5"/>
    </row>
    <row r="621" spans="2:7" ht="13">
      <c r="B621" s="36"/>
      <c r="C621" s="37"/>
      <c r="D621" s="5"/>
      <c r="E621" s="5"/>
      <c r="F621" s="5"/>
      <c r="G621" s="5"/>
    </row>
    <row r="622" spans="2:7" ht="13">
      <c r="B622" s="36"/>
      <c r="C622" s="37"/>
      <c r="D622" s="5"/>
      <c r="E622" s="5"/>
      <c r="F622" s="5"/>
      <c r="G622" s="5"/>
    </row>
    <row r="623" spans="2:7" ht="13">
      <c r="B623" s="36"/>
      <c r="C623" s="37"/>
      <c r="D623" s="5"/>
      <c r="E623" s="5"/>
      <c r="F623" s="5"/>
      <c r="G623" s="5"/>
    </row>
    <row r="624" spans="2:7" ht="13">
      <c r="B624" s="36"/>
      <c r="C624" s="37"/>
      <c r="D624" s="5"/>
      <c r="E624" s="5"/>
      <c r="F624" s="5"/>
      <c r="G624" s="5"/>
    </row>
    <row r="625" spans="2:7" ht="13">
      <c r="B625" s="36"/>
      <c r="C625" s="37"/>
      <c r="D625" s="5"/>
      <c r="E625" s="5"/>
      <c r="F625" s="5"/>
      <c r="G625" s="5"/>
    </row>
    <row r="626" spans="2:7" ht="13">
      <c r="B626" s="36"/>
      <c r="C626" s="37"/>
      <c r="D626" s="5"/>
      <c r="E626" s="5"/>
      <c r="F626" s="5"/>
      <c r="G626" s="5"/>
    </row>
    <row r="627" spans="2:7" ht="13">
      <c r="B627" s="36"/>
      <c r="C627" s="37"/>
      <c r="D627" s="5"/>
      <c r="E627" s="5"/>
      <c r="F627" s="5"/>
      <c r="G627" s="5"/>
    </row>
    <row r="628" spans="2:7" ht="13">
      <c r="B628" s="36"/>
      <c r="C628" s="37"/>
      <c r="D628" s="5"/>
      <c r="E628" s="5"/>
      <c r="F628" s="5"/>
      <c r="G628" s="5"/>
    </row>
    <row r="629" spans="2:7" ht="13">
      <c r="B629" s="36"/>
      <c r="C629" s="37"/>
      <c r="D629" s="5"/>
      <c r="E629" s="5"/>
      <c r="F629" s="5"/>
      <c r="G629" s="5"/>
    </row>
    <row r="630" spans="2:7" ht="13">
      <c r="B630" s="36"/>
      <c r="C630" s="37"/>
      <c r="D630" s="5"/>
      <c r="E630" s="5"/>
      <c r="F630" s="5"/>
      <c r="G630" s="5"/>
    </row>
    <row r="631" spans="2:7" ht="13">
      <c r="B631" s="36"/>
      <c r="C631" s="37"/>
      <c r="D631" s="5"/>
      <c r="E631" s="5"/>
      <c r="F631" s="5"/>
      <c r="G631" s="5"/>
    </row>
    <row r="632" spans="2:7" ht="13">
      <c r="B632" s="36"/>
      <c r="C632" s="37"/>
      <c r="D632" s="5"/>
      <c r="E632" s="5"/>
      <c r="F632" s="5"/>
      <c r="G632" s="5"/>
    </row>
    <row r="633" spans="2:7" ht="13">
      <c r="B633" s="36"/>
      <c r="C633" s="37"/>
      <c r="D633" s="5"/>
      <c r="E633" s="5"/>
      <c r="F633" s="5"/>
      <c r="G633" s="5"/>
    </row>
    <row r="634" spans="2:7" ht="13">
      <c r="B634" s="36"/>
      <c r="C634" s="37"/>
      <c r="D634" s="5"/>
      <c r="E634" s="5"/>
      <c r="F634" s="5"/>
      <c r="G634" s="5"/>
    </row>
    <row r="635" spans="2:7" ht="13">
      <c r="B635" s="36"/>
      <c r="C635" s="37"/>
      <c r="D635" s="5"/>
      <c r="E635" s="5"/>
      <c r="F635" s="5"/>
      <c r="G635" s="5"/>
    </row>
    <row r="636" spans="2:7" ht="13">
      <c r="B636" s="36"/>
      <c r="C636" s="37"/>
      <c r="D636" s="5"/>
      <c r="E636" s="5"/>
      <c r="F636" s="5"/>
      <c r="G636" s="5"/>
    </row>
    <row r="637" spans="2:7" ht="13">
      <c r="B637" s="36"/>
      <c r="C637" s="37"/>
      <c r="D637" s="5"/>
      <c r="E637" s="5"/>
      <c r="F637" s="5"/>
      <c r="G637" s="5"/>
    </row>
    <row r="638" spans="2:7" ht="13">
      <c r="B638" s="36"/>
      <c r="C638" s="37"/>
      <c r="D638" s="5"/>
      <c r="E638" s="5"/>
      <c r="F638" s="5"/>
      <c r="G638" s="5"/>
    </row>
    <row r="639" spans="2:7" ht="13">
      <c r="B639" s="36"/>
      <c r="C639" s="37"/>
      <c r="D639" s="5"/>
      <c r="E639" s="5"/>
      <c r="F639" s="5"/>
      <c r="G639" s="5"/>
    </row>
    <row r="640" spans="2:7" ht="13">
      <c r="B640" s="36"/>
      <c r="C640" s="37"/>
      <c r="D640" s="5"/>
      <c r="E640" s="5"/>
      <c r="F640" s="5"/>
      <c r="G640" s="5"/>
    </row>
    <row r="641" spans="2:7" ht="13">
      <c r="B641" s="36"/>
      <c r="C641" s="37"/>
      <c r="D641" s="5"/>
      <c r="E641" s="5"/>
      <c r="F641" s="5"/>
      <c r="G641" s="5"/>
    </row>
    <row r="642" spans="2:7" ht="13">
      <c r="B642" s="36"/>
      <c r="C642" s="37"/>
      <c r="D642" s="5"/>
      <c r="E642" s="5"/>
      <c r="F642" s="5"/>
      <c r="G642" s="5"/>
    </row>
    <row r="643" spans="2:7" ht="13">
      <c r="B643" s="36"/>
      <c r="C643" s="37"/>
      <c r="D643" s="5"/>
      <c r="E643" s="5"/>
      <c r="F643" s="5"/>
      <c r="G643" s="5"/>
    </row>
    <row r="644" spans="2:7" ht="13">
      <c r="B644" s="36"/>
      <c r="C644" s="37"/>
      <c r="D644" s="5"/>
      <c r="E644" s="5"/>
      <c r="F644" s="5"/>
      <c r="G644" s="5"/>
    </row>
    <row r="645" spans="2:7" ht="13">
      <c r="B645" s="36"/>
      <c r="C645" s="37"/>
      <c r="D645" s="5"/>
      <c r="E645" s="5"/>
      <c r="F645" s="5"/>
      <c r="G645" s="5"/>
    </row>
    <row r="646" spans="2:7" ht="13">
      <c r="B646" s="36"/>
      <c r="C646" s="37"/>
      <c r="D646" s="5"/>
      <c r="E646" s="5"/>
      <c r="F646" s="5"/>
      <c r="G646" s="5"/>
    </row>
    <row r="647" spans="2:7" ht="13">
      <c r="B647" s="36"/>
      <c r="C647" s="37"/>
      <c r="D647" s="5"/>
      <c r="E647" s="5"/>
      <c r="F647" s="5"/>
      <c r="G647" s="5"/>
    </row>
    <row r="648" spans="2:7" ht="13">
      <c r="B648" s="36"/>
      <c r="C648" s="37"/>
      <c r="D648" s="5"/>
      <c r="E648" s="5"/>
      <c r="F648" s="5"/>
      <c r="G648" s="5"/>
    </row>
    <row r="649" spans="2:7" ht="13">
      <c r="B649" s="36"/>
      <c r="C649" s="37"/>
      <c r="D649" s="5"/>
      <c r="E649" s="5"/>
      <c r="F649" s="5"/>
      <c r="G649" s="5"/>
    </row>
    <row r="650" spans="2:7" ht="13">
      <c r="B650" s="36"/>
      <c r="C650" s="37"/>
      <c r="D650" s="5"/>
      <c r="E650" s="5"/>
      <c r="F650" s="5"/>
      <c r="G650" s="5"/>
    </row>
    <row r="651" spans="2:7" ht="13">
      <c r="B651" s="36"/>
      <c r="C651" s="37"/>
      <c r="D651" s="5"/>
      <c r="E651" s="5"/>
      <c r="F651" s="5"/>
      <c r="G651" s="5"/>
    </row>
    <row r="652" spans="2:7" ht="13">
      <c r="B652" s="36"/>
      <c r="C652" s="37"/>
      <c r="D652" s="5"/>
      <c r="E652" s="5"/>
      <c r="F652" s="5"/>
      <c r="G652" s="5"/>
    </row>
    <row r="653" spans="2:7" ht="13">
      <c r="B653" s="36"/>
      <c r="C653" s="37"/>
      <c r="D653" s="5"/>
      <c r="E653" s="5"/>
      <c r="F653" s="5"/>
      <c r="G653" s="5"/>
    </row>
    <row r="654" spans="2:7" ht="13">
      <c r="B654" s="36"/>
      <c r="C654" s="37"/>
      <c r="D654" s="5"/>
      <c r="E654" s="5"/>
      <c r="F654" s="5"/>
      <c r="G654" s="5"/>
    </row>
    <row r="655" spans="2:7" ht="13">
      <c r="B655" s="36"/>
      <c r="C655" s="37"/>
      <c r="D655" s="5"/>
      <c r="E655" s="5"/>
      <c r="F655" s="5"/>
      <c r="G655" s="5"/>
    </row>
    <row r="656" spans="2:7" ht="13">
      <c r="B656" s="36"/>
      <c r="C656" s="37"/>
      <c r="D656" s="5"/>
      <c r="E656" s="5"/>
      <c r="F656" s="5"/>
      <c r="G656" s="5"/>
    </row>
    <row r="657" spans="2:7" ht="13">
      <c r="B657" s="36"/>
      <c r="C657" s="37"/>
      <c r="D657" s="5"/>
      <c r="E657" s="5"/>
      <c r="F657" s="5"/>
      <c r="G657" s="5"/>
    </row>
    <row r="658" spans="2:7" ht="13">
      <c r="B658" s="36"/>
      <c r="C658" s="37"/>
      <c r="D658" s="5"/>
      <c r="E658" s="5"/>
      <c r="F658" s="5"/>
      <c r="G658" s="5"/>
    </row>
    <row r="659" spans="2:7" ht="13">
      <c r="B659" s="36"/>
      <c r="C659" s="37"/>
      <c r="D659" s="5"/>
      <c r="E659" s="5"/>
      <c r="F659" s="5"/>
      <c r="G659" s="5"/>
    </row>
    <row r="660" spans="2:7" ht="13">
      <c r="B660" s="36"/>
      <c r="C660" s="37"/>
      <c r="D660" s="5"/>
      <c r="E660" s="5"/>
      <c r="F660" s="5"/>
      <c r="G660" s="5"/>
    </row>
    <row r="661" spans="2:7" ht="13">
      <c r="B661" s="36"/>
      <c r="C661" s="37"/>
      <c r="D661" s="5"/>
      <c r="E661" s="5"/>
      <c r="F661" s="5"/>
      <c r="G661" s="5"/>
    </row>
    <row r="662" spans="2:7" ht="13">
      <c r="B662" s="36"/>
      <c r="C662" s="37"/>
      <c r="D662" s="5"/>
      <c r="E662" s="5"/>
      <c r="F662" s="5"/>
      <c r="G662" s="5"/>
    </row>
    <row r="663" spans="2:7" ht="13">
      <c r="B663" s="36"/>
      <c r="C663" s="37"/>
      <c r="D663" s="5"/>
      <c r="E663" s="5"/>
      <c r="F663" s="5"/>
      <c r="G663" s="5"/>
    </row>
    <row r="664" spans="2:7" ht="13">
      <c r="B664" s="36"/>
      <c r="C664" s="37"/>
      <c r="D664" s="5"/>
      <c r="E664" s="5"/>
      <c r="F664" s="5"/>
      <c r="G664" s="5"/>
    </row>
    <row r="665" spans="2:7" ht="13">
      <c r="B665" s="36"/>
      <c r="C665" s="37"/>
      <c r="D665" s="5"/>
      <c r="E665" s="5"/>
      <c r="F665" s="5"/>
      <c r="G665" s="5"/>
    </row>
    <row r="666" spans="2:7" ht="13">
      <c r="B666" s="36"/>
      <c r="C666" s="37"/>
      <c r="D666" s="5"/>
      <c r="E666" s="5"/>
      <c r="F666" s="5"/>
      <c r="G666" s="5"/>
    </row>
    <row r="667" spans="2:7" ht="13">
      <c r="B667" s="36"/>
      <c r="C667" s="37"/>
      <c r="D667" s="5"/>
      <c r="E667" s="5"/>
      <c r="F667" s="5"/>
      <c r="G667" s="5"/>
    </row>
    <row r="668" spans="2:7" ht="13">
      <c r="B668" s="36"/>
      <c r="C668" s="37"/>
      <c r="D668" s="5"/>
      <c r="E668" s="5"/>
      <c r="F668" s="5"/>
      <c r="G668" s="5"/>
    </row>
    <row r="669" spans="2:7" ht="13">
      <c r="B669" s="36"/>
      <c r="C669" s="37"/>
      <c r="D669" s="5"/>
      <c r="E669" s="5"/>
      <c r="F669" s="5"/>
      <c r="G669" s="5"/>
    </row>
    <row r="670" spans="2:7" ht="13">
      <c r="B670" s="36"/>
      <c r="C670" s="37"/>
      <c r="D670" s="5"/>
      <c r="E670" s="5"/>
      <c r="F670" s="5"/>
      <c r="G670" s="5"/>
    </row>
    <row r="671" spans="2:7" ht="13">
      <c r="B671" s="36"/>
      <c r="C671" s="37"/>
      <c r="D671" s="5"/>
      <c r="E671" s="5"/>
      <c r="F671" s="5"/>
      <c r="G671" s="5"/>
    </row>
    <row r="672" spans="2:7" ht="13">
      <c r="B672" s="36"/>
      <c r="C672" s="37"/>
      <c r="D672" s="5"/>
      <c r="E672" s="5"/>
      <c r="F672" s="5"/>
      <c r="G672" s="5"/>
    </row>
    <row r="673" spans="2:7" ht="13">
      <c r="B673" s="36"/>
      <c r="C673" s="37"/>
      <c r="D673" s="5"/>
      <c r="E673" s="5"/>
      <c r="F673" s="5"/>
      <c r="G673" s="5"/>
    </row>
    <row r="674" spans="2:7" ht="13">
      <c r="B674" s="36"/>
      <c r="C674" s="37"/>
      <c r="D674" s="5"/>
      <c r="E674" s="5"/>
      <c r="F674" s="5"/>
      <c r="G674" s="5"/>
    </row>
    <row r="675" spans="2:7" ht="13">
      <c r="B675" s="36"/>
      <c r="C675" s="37"/>
      <c r="D675" s="5"/>
      <c r="E675" s="5"/>
      <c r="F675" s="5"/>
      <c r="G675" s="5"/>
    </row>
    <row r="676" spans="2:7" ht="13">
      <c r="B676" s="36"/>
      <c r="C676" s="37"/>
      <c r="D676" s="5"/>
      <c r="E676" s="5"/>
      <c r="F676" s="5"/>
      <c r="G676" s="5"/>
    </row>
    <row r="677" spans="2:7" ht="13">
      <c r="B677" s="36"/>
      <c r="C677" s="37"/>
      <c r="D677" s="5"/>
      <c r="E677" s="5"/>
      <c r="F677" s="5"/>
      <c r="G677" s="5"/>
    </row>
    <row r="678" spans="2:7" ht="13">
      <c r="B678" s="36"/>
      <c r="C678" s="37"/>
      <c r="D678" s="5"/>
      <c r="E678" s="5"/>
      <c r="F678" s="5"/>
      <c r="G678" s="5"/>
    </row>
    <row r="679" spans="2:7" ht="13">
      <c r="B679" s="36"/>
      <c r="C679" s="37"/>
      <c r="D679" s="5"/>
      <c r="E679" s="5"/>
      <c r="F679" s="5"/>
      <c r="G679" s="5"/>
    </row>
    <row r="680" spans="2:7" ht="13">
      <c r="B680" s="36"/>
      <c r="C680" s="37"/>
      <c r="D680" s="5"/>
      <c r="E680" s="5"/>
      <c r="F680" s="5"/>
      <c r="G680" s="5"/>
    </row>
    <row r="681" spans="2:7" ht="13">
      <c r="B681" s="36"/>
      <c r="C681" s="37"/>
      <c r="D681" s="5"/>
      <c r="E681" s="5"/>
      <c r="F681" s="5"/>
      <c r="G681" s="5"/>
    </row>
    <row r="682" spans="2:7" ht="13">
      <c r="B682" s="36"/>
      <c r="C682" s="37"/>
      <c r="D682" s="5"/>
      <c r="E682" s="5"/>
      <c r="F682" s="5"/>
      <c r="G682" s="5"/>
    </row>
    <row r="683" spans="2:7" ht="13">
      <c r="B683" s="36"/>
      <c r="C683" s="37"/>
      <c r="D683" s="5"/>
      <c r="E683" s="5"/>
      <c r="F683" s="5"/>
      <c r="G683" s="5"/>
    </row>
    <row r="684" spans="2:7" ht="13">
      <c r="B684" s="36"/>
      <c r="C684" s="37"/>
      <c r="D684" s="5"/>
      <c r="E684" s="5"/>
      <c r="F684" s="5"/>
      <c r="G684" s="5"/>
    </row>
    <row r="685" spans="2:7" ht="13">
      <c r="B685" s="36"/>
      <c r="C685" s="37"/>
      <c r="D685" s="5"/>
      <c r="E685" s="5"/>
      <c r="F685" s="5"/>
      <c r="G685" s="5"/>
    </row>
    <row r="686" spans="2:7" ht="13">
      <c r="B686" s="36"/>
      <c r="C686" s="37"/>
      <c r="D686" s="5"/>
      <c r="E686" s="5"/>
      <c r="F686" s="5"/>
      <c r="G686" s="5"/>
    </row>
    <row r="687" spans="2:7" ht="13">
      <c r="B687" s="36"/>
      <c r="C687" s="37"/>
      <c r="D687" s="5"/>
      <c r="E687" s="5"/>
      <c r="F687" s="5"/>
      <c r="G687" s="5"/>
    </row>
    <row r="688" spans="2:7" ht="13">
      <c r="B688" s="36"/>
      <c r="C688" s="37"/>
      <c r="D688" s="5"/>
      <c r="E688" s="5"/>
      <c r="F688" s="5"/>
      <c r="G688" s="5"/>
    </row>
    <row r="689" spans="2:7" ht="13">
      <c r="B689" s="36"/>
      <c r="C689" s="37"/>
      <c r="D689" s="5"/>
      <c r="E689" s="5"/>
      <c r="F689" s="5"/>
      <c r="G689" s="5"/>
    </row>
    <row r="690" spans="2:7" ht="13">
      <c r="B690" s="36"/>
      <c r="C690" s="37"/>
      <c r="D690" s="5"/>
      <c r="E690" s="5"/>
      <c r="F690" s="5"/>
      <c r="G690" s="5"/>
    </row>
    <row r="691" spans="2:7" ht="13">
      <c r="B691" s="36"/>
      <c r="C691" s="37"/>
      <c r="D691" s="5"/>
      <c r="E691" s="5"/>
      <c r="F691" s="5"/>
      <c r="G691" s="5"/>
    </row>
    <row r="692" spans="2:7" ht="13">
      <c r="B692" s="36"/>
      <c r="C692" s="37"/>
      <c r="D692" s="5"/>
      <c r="E692" s="5"/>
      <c r="F692" s="5"/>
      <c r="G692" s="5"/>
    </row>
    <row r="693" spans="2:7" ht="13">
      <c r="B693" s="36"/>
      <c r="C693" s="37"/>
      <c r="D693" s="5"/>
      <c r="E693" s="5"/>
      <c r="F693" s="5"/>
      <c r="G693" s="5"/>
    </row>
    <row r="694" spans="2:7" ht="13">
      <c r="B694" s="36"/>
      <c r="C694" s="37"/>
      <c r="D694" s="5"/>
      <c r="E694" s="5"/>
      <c r="F694" s="5"/>
      <c r="G694" s="5"/>
    </row>
    <row r="695" spans="2:7" ht="13">
      <c r="B695" s="36"/>
      <c r="C695" s="37"/>
      <c r="D695" s="5"/>
      <c r="E695" s="5"/>
      <c r="F695" s="5"/>
      <c r="G695" s="5"/>
    </row>
    <row r="696" spans="2:7" ht="13">
      <c r="B696" s="36"/>
      <c r="C696" s="37"/>
      <c r="D696" s="5"/>
      <c r="E696" s="5"/>
      <c r="F696" s="5"/>
      <c r="G696" s="5"/>
    </row>
    <row r="697" spans="2:7" ht="13">
      <c r="B697" s="36"/>
      <c r="C697" s="37"/>
      <c r="D697" s="5"/>
      <c r="E697" s="5"/>
      <c r="F697" s="5"/>
      <c r="G697" s="5"/>
    </row>
    <row r="698" spans="2:7" ht="13">
      <c r="B698" s="36"/>
      <c r="C698" s="37"/>
      <c r="D698" s="5"/>
      <c r="E698" s="5"/>
      <c r="F698" s="5"/>
      <c r="G698" s="5"/>
    </row>
    <row r="699" spans="2:7" ht="13">
      <c r="B699" s="36"/>
      <c r="C699" s="37"/>
      <c r="D699" s="5"/>
      <c r="E699" s="5"/>
      <c r="F699" s="5"/>
      <c r="G699" s="5"/>
    </row>
    <row r="700" spans="2:7" ht="13">
      <c r="B700" s="36"/>
      <c r="C700" s="37"/>
      <c r="D700" s="5"/>
      <c r="E700" s="5"/>
      <c r="F700" s="5"/>
      <c r="G700" s="5"/>
    </row>
    <row r="701" spans="2:7" ht="13">
      <c r="B701" s="36"/>
      <c r="C701" s="37"/>
      <c r="D701" s="5"/>
      <c r="E701" s="5"/>
      <c r="F701" s="5"/>
      <c r="G701" s="5"/>
    </row>
    <row r="702" spans="2:7" ht="13">
      <c r="B702" s="36"/>
      <c r="C702" s="37"/>
      <c r="D702" s="5"/>
      <c r="E702" s="5"/>
      <c r="F702" s="5"/>
      <c r="G702" s="5"/>
    </row>
    <row r="703" spans="2:7" ht="13">
      <c r="B703" s="36"/>
      <c r="C703" s="37"/>
      <c r="D703" s="5"/>
      <c r="E703" s="5"/>
      <c r="F703" s="5"/>
      <c r="G703" s="5"/>
    </row>
    <row r="704" spans="2:7" ht="13">
      <c r="B704" s="36"/>
      <c r="C704" s="37"/>
      <c r="D704" s="5"/>
      <c r="E704" s="5"/>
      <c r="F704" s="5"/>
      <c r="G704" s="5"/>
    </row>
    <row r="705" spans="2:7" ht="13">
      <c r="B705" s="36"/>
      <c r="C705" s="37"/>
      <c r="D705" s="5"/>
      <c r="E705" s="5"/>
      <c r="F705" s="5"/>
      <c r="G705" s="5"/>
    </row>
    <row r="706" spans="2:7" ht="13">
      <c r="B706" s="36"/>
      <c r="C706" s="37"/>
      <c r="D706" s="5"/>
      <c r="E706" s="5"/>
      <c r="F706" s="5"/>
      <c r="G706" s="5"/>
    </row>
    <row r="707" spans="2:7" ht="13">
      <c r="B707" s="36"/>
      <c r="C707" s="37"/>
      <c r="D707" s="5"/>
      <c r="E707" s="5"/>
      <c r="F707" s="5"/>
      <c r="G707" s="5"/>
    </row>
    <row r="708" spans="2:7" ht="13">
      <c r="B708" s="36"/>
      <c r="C708" s="37"/>
      <c r="D708" s="5"/>
      <c r="E708" s="5"/>
      <c r="F708" s="5"/>
      <c r="G708" s="5"/>
    </row>
    <row r="709" spans="2:7" ht="13">
      <c r="B709" s="36"/>
      <c r="C709" s="37"/>
      <c r="D709" s="5"/>
      <c r="E709" s="5"/>
      <c r="F709" s="5"/>
      <c r="G709" s="5"/>
    </row>
    <row r="710" spans="2:7" ht="13">
      <c r="B710" s="36"/>
      <c r="C710" s="37"/>
      <c r="D710" s="5"/>
      <c r="E710" s="5"/>
      <c r="F710" s="5"/>
      <c r="G710" s="5"/>
    </row>
    <row r="711" spans="2:7" ht="13">
      <c r="B711" s="36"/>
      <c r="C711" s="37"/>
      <c r="D711" s="5"/>
      <c r="E711" s="5"/>
      <c r="F711" s="5"/>
      <c r="G711" s="5"/>
    </row>
    <row r="712" spans="2:7" ht="13">
      <c r="B712" s="36"/>
      <c r="C712" s="37"/>
      <c r="D712" s="5"/>
      <c r="E712" s="5"/>
      <c r="F712" s="5"/>
      <c r="G712" s="5"/>
    </row>
    <row r="713" spans="2:7" ht="13">
      <c r="B713" s="36"/>
      <c r="C713" s="37"/>
      <c r="D713" s="5"/>
      <c r="E713" s="5"/>
      <c r="F713" s="5"/>
      <c r="G713" s="5"/>
    </row>
    <row r="714" spans="2:7" ht="13">
      <c r="B714" s="36"/>
      <c r="C714" s="37"/>
      <c r="D714" s="5"/>
      <c r="E714" s="5"/>
      <c r="F714" s="5"/>
      <c r="G714" s="5"/>
    </row>
    <row r="715" spans="2:7" ht="13">
      <c r="B715" s="36"/>
      <c r="C715" s="37"/>
      <c r="D715" s="5"/>
      <c r="E715" s="5"/>
      <c r="F715" s="5"/>
      <c r="G715" s="5"/>
    </row>
    <row r="716" spans="2:7" ht="13">
      <c r="B716" s="36"/>
      <c r="C716" s="37"/>
      <c r="D716" s="5"/>
      <c r="E716" s="5"/>
      <c r="F716" s="5"/>
      <c r="G716" s="5"/>
    </row>
    <row r="717" spans="2:7" ht="13">
      <c r="B717" s="36"/>
      <c r="C717" s="37"/>
      <c r="D717" s="5"/>
      <c r="E717" s="5"/>
      <c r="F717" s="5"/>
      <c r="G717" s="5"/>
    </row>
    <row r="718" spans="2:7" ht="13">
      <c r="B718" s="36"/>
      <c r="C718" s="37"/>
      <c r="D718" s="5"/>
      <c r="E718" s="5"/>
      <c r="F718" s="5"/>
      <c r="G718" s="5"/>
    </row>
    <row r="719" spans="2:7" ht="13">
      <c r="B719" s="36"/>
      <c r="C719" s="37"/>
      <c r="D719" s="5"/>
      <c r="E719" s="5"/>
      <c r="F719" s="5"/>
      <c r="G719" s="5"/>
    </row>
    <row r="720" spans="2:7" ht="13">
      <c r="B720" s="36"/>
      <c r="C720" s="37"/>
      <c r="D720" s="5"/>
      <c r="E720" s="5"/>
      <c r="F720" s="5"/>
      <c r="G720" s="5"/>
    </row>
    <row r="721" spans="2:7" ht="13">
      <c r="B721" s="36"/>
      <c r="C721" s="37"/>
      <c r="D721" s="5"/>
      <c r="E721" s="5"/>
      <c r="F721" s="5"/>
      <c r="G721" s="5"/>
    </row>
    <row r="722" spans="2:7" ht="13">
      <c r="B722" s="36"/>
      <c r="C722" s="37"/>
      <c r="D722" s="5"/>
      <c r="E722" s="5"/>
      <c r="F722" s="5"/>
      <c r="G722" s="5"/>
    </row>
    <row r="723" spans="2:7" ht="13">
      <c r="B723" s="36"/>
      <c r="C723" s="37"/>
      <c r="D723" s="5"/>
      <c r="E723" s="5"/>
      <c r="F723" s="5"/>
      <c r="G723" s="5"/>
    </row>
    <row r="724" spans="2:7" ht="13">
      <c r="B724" s="36"/>
      <c r="C724" s="37"/>
      <c r="D724" s="5"/>
      <c r="E724" s="5"/>
      <c r="F724" s="5"/>
      <c r="G724" s="5"/>
    </row>
    <row r="725" spans="2:7" ht="13">
      <c r="B725" s="36"/>
      <c r="C725" s="37"/>
      <c r="D725" s="5"/>
      <c r="E725" s="5"/>
      <c r="F725" s="5"/>
      <c r="G725" s="5"/>
    </row>
    <row r="726" spans="2:7" ht="13">
      <c r="B726" s="36"/>
      <c r="C726" s="37"/>
      <c r="D726" s="5"/>
      <c r="E726" s="5"/>
      <c r="F726" s="5"/>
      <c r="G726" s="5"/>
    </row>
    <row r="727" spans="2:7" ht="13">
      <c r="B727" s="36"/>
      <c r="C727" s="37"/>
      <c r="D727" s="5"/>
      <c r="E727" s="5"/>
      <c r="F727" s="5"/>
      <c r="G727" s="5"/>
    </row>
    <row r="728" spans="2:7" ht="13">
      <c r="B728" s="36"/>
      <c r="C728" s="37"/>
      <c r="D728" s="5"/>
      <c r="E728" s="5"/>
      <c r="F728" s="5"/>
      <c r="G728" s="5"/>
    </row>
    <row r="729" spans="2:7" ht="13">
      <c r="B729" s="36"/>
      <c r="C729" s="37"/>
      <c r="D729" s="5"/>
      <c r="E729" s="5"/>
      <c r="F729" s="5"/>
      <c r="G729" s="5"/>
    </row>
    <row r="730" spans="2:7" ht="13">
      <c r="B730" s="36"/>
      <c r="C730" s="37"/>
      <c r="D730" s="5"/>
      <c r="E730" s="5"/>
      <c r="F730" s="5"/>
      <c r="G730" s="5"/>
    </row>
    <row r="731" spans="2:7" ht="13">
      <c r="B731" s="36"/>
      <c r="C731" s="37"/>
      <c r="D731" s="5"/>
      <c r="E731" s="5"/>
      <c r="F731" s="5"/>
      <c r="G731" s="5"/>
    </row>
    <row r="732" spans="2:7" ht="13">
      <c r="B732" s="36"/>
      <c r="C732" s="37"/>
      <c r="D732" s="5"/>
      <c r="E732" s="5"/>
      <c r="F732" s="5"/>
      <c r="G732" s="5"/>
    </row>
    <row r="733" spans="2:7" ht="13">
      <c r="B733" s="36"/>
      <c r="C733" s="37"/>
      <c r="D733" s="5"/>
      <c r="E733" s="5"/>
      <c r="F733" s="5"/>
      <c r="G733" s="5"/>
    </row>
    <row r="734" spans="2:7" ht="13">
      <c r="B734" s="36"/>
      <c r="C734" s="37"/>
      <c r="D734" s="5"/>
      <c r="E734" s="5"/>
      <c r="F734" s="5"/>
      <c r="G734" s="5"/>
    </row>
    <row r="735" spans="2:7" ht="13">
      <c r="B735" s="36"/>
      <c r="C735" s="37"/>
      <c r="D735" s="5"/>
      <c r="E735" s="5"/>
      <c r="F735" s="5"/>
      <c r="G735" s="5"/>
    </row>
    <row r="736" spans="2:7" ht="13">
      <c r="B736" s="36"/>
      <c r="C736" s="37"/>
      <c r="D736" s="5"/>
      <c r="E736" s="5"/>
      <c r="F736" s="5"/>
      <c r="G736" s="5"/>
    </row>
    <row r="737" spans="2:7" ht="13">
      <c r="B737" s="36"/>
      <c r="C737" s="37"/>
      <c r="D737" s="5"/>
      <c r="E737" s="5"/>
      <c r="F737" s="5"/>
      <c r="G737" s="5"/>
    </row>
    <row r="738" spans="2:7" ht="13">
      <c r="B738" s="36"/>
      <c r="C738" s="37"/>
      <c r="D738" s="5"/>
      <c r="E738" s="5"/>
      <c r="F738" s="5"/>
      <c r="G738" s="5"/>
    </row>
    <row r="739" spans="2:7" ht="13">
      <c r="B739" s="36"/>
      <c r="C739" s="37"/>
      <c r="D739" s="5"/>
      <c r="E739" s="5"/>
      <c r="F739" s="5"/>
      <c r="G739" s="5"/>
    </row>
    <row r="740" spans="2:7" ht="13">
      <c r="B740" s="36"/>
      <c r="C740" s="37"/>
      <c r="D740" s="5"/>
      <c r="E740" s="5"/>
      <c r="F740" s="5"/>
      <c r="G740" s="5"/>
    </row>
    <row r="741" spans="2:7" ht="13">
      <c r="B741" s="36"/>
      <c r="C741" s="37"/>
      <c r="D741" s="5"/>
      <c r="E741" s="5"/>
      <c r="F741" s="5"/>
      <c r="G741" s="5"/>
    </row>
    <row r="742" spans="2:7" ht="13">
      <c r="B742" s="36"/>
      <c r="C742" s="37"/>
      <c r="D742" s="5"/>
      <c r="E742" s="5"/>
      <c r="F742" s="5"/>
      <c r="G742" s="5"/>
    </row>
    <row r="743" spans="2:7" ht="13">
      <c r="B743" s="36"/>
      <c r="C743" s="37"/>
      <c r="D743" s="5"/>
      <c r="E743" s="5"/>
      <c r="F743" s="5"/>
      <c r="G743" s="5"/>
    </row>
    <row r="744" spans="2:7" ht="13">
      <c r="B744" s="36"/>
      <c r="C744" s="37"/>
      <c r="D744" s="5"/>
      <c r="E744" s="5"/>
      <c r="F744" s="5"/>
      <c r="G744" s="5"/>
    </row>
    <row r="745" spans="2:7" ht="13">
      <c r="B745" s="36"/>
      <c r="C745" s="37"/>
      <c r="D745" s="5"/>
      <c r="E745" s="5"/>
      <c r="F745" s="5"/>
      <c r="G745" s="5"/>
    </row>
    <row r="746" spans="2:7" ht="13">
      <c r="B746" s="36"/>
      <c r="C746" s="37"/>
      <c r="D746" s="5"/>
      <c r="E746" s="5"/>
      <c r="F746" s="5"/>
      <c r="G746" s="5"/>
    </row>
    <row r="747" spans="2:7" ht="13">
      <c r="B747" s="36"/>
      <c r="C747" s="37"/>
      <c r="D747" s="5"/>
      <c r="E747" s="5"/>
      <c r="F747" s="5"/>
      <c r="G747" s="5"/>
    </row>
    <row r="748" spans="2:7" ht="13">
      <c r="B748" s="36"/>
      <c r="C748" s="37"/>
      <c r="D748" s="5"/>
      <c r="E748" s="5"/>
      <c r="F748" s="5"/>
      <c r="G748" s="5"/>
    </row>
    <row r="749" spans="2:7" ht="13">
      <c r="B749" s="36"/>
      <c r="C749" s="37"/>
      <c r="D749" s="5"/>
      <c r="E749" s="5"/>
      <c r="F749" s="5"/>
      <c r="G749" s="5"/>
    </row>
    <row r="750" spans="2:7" ht="13">
      <c r="B750" s="36"/>
      <c r="C750" s="37"/>
      <c r="D750" s="5"/>
      <c r="E750" s="5"/>
      <c r="F750" s="5"/>
      <c r="G750" s="5"/>
    </row>
    <row r="751" spans="2:7" ht="13">
      <c r="B751" s="36"/>
      <c r="C751" s="37"/>
      <c r="D751" s="5"/>
      <c r="E751" s="5"/>
      <c r="F751" s="5"/>
      <c r="G751" s="5"/>
    </row>
    <row r="752" spans="2:7" ht="13">
      <c r="B752" s="36"/>
      <c r="C752" s="37"/>
      <c r="D752" s="5"/>
      <c r="E752" s="5"/>
      <c r="F752" s="5"/>
      <c r="G752" s="5"/>
    </row>
    <row r="753" spans="2:7" ht="13">
      <c r="B753" s="36"/>
      <c r="C753" s="37"/>
      <c r="D753" s="5"/>
      <c r="E753" s="5"/>
      <c r="F753" s="5"/>
      <c r="G753" s="5"/>
    </row>
    <row r="754" spans="2:7" ht="13">
      <c r="B754" s="36"/>
      <c r="C754" s="37"/>
      <c r="D754" s="5"/>
      <c r="E754" s="5"/>
      <c r="F754" s="5"/>
      <c r="G754" s="5"/>
    </row>
    <row r="755" spans="2:7" ht="13">
      <c r="B755" s="36"/>
      <c r="C755" s="37"/>
      <c r="D755" s="5"/>
      <c r="E755" s="5"/>
      <c r="F755" s="5"/>
      <c r="G755" s="5"/>
    </row>
    <row r="756" spans="2:7" ht="13">
      <c r="B756" s="36"/>
      <c r="C756" s="37"/>
      <c r="D756" s="5"/>
      <c r="E756" s="5"/>
      <c r="F756" s="5"/>
      <c r="G756" s="5"/>
    </row>
    <row r="757" spans="2:7" ht="13">
      <c r="B757" s="36"/>
      <c r="C757" s="37"/>
      <c r="D757" s="5"/>
      <c r="E757" s="5"/>
      <c r="F757" s="5"/>
      <c r="G757" s="5"/>
    </row>
    <row r="758" spans="2:7" ht="13">
      <c r="B758" s="36"/>
      <c r="C758" s="37"/>
      <c r="D758" s="5"/>
      <c r="E758" s="5"/>
      <c r="F758" s="5"/>
      <c r="G758" s="5"/>
    </row>
    <row r="759" spans="2:7" ht="13">
      <c r="B759" s="36"/>
      <c r="C759" s="37"/>
      <c r="D759" s="5"/>
      <c r="E759" s="5"/>
      <c r="F759" s="5"/>
      <c r="G759" s="5"/>
    </row>
    <row r="760" spans="2:7" ht="13">
      <c r="B760" s="36"/>
      <c r="C760" s="37"/>
      <c r="D760" s="5"/>
      <c r="E760" s="5"/>
      <c r="F760" s="5"/>
      <c r="G760" s="5"/>
    </row>
    <row r="761" spans="2:7" ht="13">
      <c r="B761" s="36"/>
      <c r="C761" s="37"/>
      <c r="D761" s="5"/>
      <c r="E761" s="5"/>
      <c r="F761" s="5"/>
      <c r="G761" s="5"/>
    </row>
    <row r="762" spans="2:7" ht="13">
      <c r="B762" s="36"/>
      <c r="C762" s="37"/>
      <c r="D762" s="5"/>
      <c r="E762" s="5"/>
      <c r="F762" s="5"/>
      <c r="G762" s="5"/>
    </row>
    <row r="763" spans="2:7" ht="13">
      <c r="B763" s="36"/>
      <c r="C763" s="37"/>
      <c r="D763" s="5"/>
      <c r="E763" s="5"/>
      <c r="F763" s="5"/>
      <c r="G763" s="5"/>
    </row>
    <row r="764" spans="2:7" ht="13">
      <c r="B764" s="36"/>
      <c r="C764" s="37"/>
      <c r="D764" s="5"/>
      <c r="E764" s="5"/>
      <c r="F764" s="5"/>
      <c r="G764" s="5"/>
    </row>
    <row r="765" spans="2:7" ht="13">
      <c r="B765" s="36"/>
      <c r="C765" s="37"/>
      <c r="D765" s="5"/>
      <c r="E765" s="5"/>
      <c r="F765" s="5"/>
      <c r="G765" s="5"/>
    </row>
    <row r="766" spans="2:7" ht="13">
      <c r="B766" s="36"/>
      <c r="C766" s="37"/>
      <c r="D766" s="5"/>
      <c r="E766" s="5"/>
      <c r="F766" s="5"/>
      <c r="G766" s="5"/>
    </row>
    <row r="767" spans="2:7" ht="13">
      <c r="B767" s="36"/>
      <c r="C767" s="37"/>
      <c r="D767" s="5"/>
      <c r="E767" s="5"/>
      <c r="F767" s="5"/>
      <c r="G767" s="5"/>
    </row>
    <row r="768" spans="2:7" ht="13">
      <c r="B768" s="36"/>
      <c r="C768" s="37"/>
      <c r="D768" s="5"/>
      <c r="E768" s="5"/>
      <c r="F768" s="5"/>
      <c r="G768" s="5"/>
    </row>
    <row r="769" spans="2:7" ht="13">
      <c r="B769" s="36"/>
      <c r="C769" s="37"/>
      <c r="D769" s="5"/>
      <c r="E769" s="5"/>
      <c r="F769" s="5"/>
      <c r="G769" s="5"/>
    </row>
    <row r="770" spans="2:7" ht="13">
      <c r="B770" s="36"/>
      <c r="C770" s="37"/>
      <c r="D770" s="5"/>
      <c r="E770" s="5"/>
      <c r="F770" s="5"/>
      <c r="G770" s="5"/>
    </row>
    <row r="771" spans="2:7" ht="13">
      <c r="B771" s="36"/>
      <c r="C771" s="37"/>
      <c r="D771" s="5"/>
      <c r="E771" s="5"/>
      <c r="F771" s="5"/>
      <c r="G771" s="5"/>
    </row>
    <row r="772" spans="2:7" ht="13">
      <c r="B772" s="36"/>
      <c r="C772" s="37"/>
      <c r="D772" s="5"/>
      <c r="E772" s="5"/>
      <c r="F772" s="5"/>
      <c r="G772" s="5"/>
    </row>
    <row r="773" spans="2:7" ht="13">
      <c r="B773" s="36"/>
      <c r="C773" s="37"/>
      <c r="D773" s="5"/>
      <c r="E773" s="5"/>
      <c r="F773" s="5"/>
      <c r="G773" s="5"/>
    </row>
    <row r="774" spans="2:7" ht="13">
      <c r="B774" s="36"/>
      <c r="C774" s="37"/>
      <c r="D774" s="5"/>
      <c r="E774" s="5"/>
      <c r="F774" s="5"/>
      <c r="G774" s="5"/>
    </row>
    <row r="775" spans="2:7" ht="13">
      <c r="B775" s="36"/>
      <c r="C775" s="37"/>
      <c r="D775" s="5"/>
      <c r="E775" s="5"/>
      <c r="F775" s="5"/>
      <c r="G775" s="5"/>
    </row>
    <row r="776" spans="2:7" ht="13">
      <c r="B776" s="36"/>
      <c r="C776" s="37"/>
      <c r="D776" s="5"/>
      <c r="E776" s="5"/>
      <c r="F776" s="5"/>
      <c r="G776" s="5"/>
    </row>
    <row r="777" spans="2:7" ht="13">
      <c r="B777" s="36"/>
      <c r="C777" s="37"/>
      <c r="D777" s="5"/>
      <c r="E777" s="5"/>
      <c r="F777" s="5"/>
      <c r="G777" s="5"/>
    </row>
    <row r="778" spans="2:7" ht="13">
      <c r="B778" s="36"/>
      <c r="C778" s="37"/>
      <c r="D778" s="5"/>
      <c r="E778" s="5"/>
      <c r="F778" s="5"/>
      <c r="G778" s="5"/>
    </row>
    <row r="779" spans="2:7" ht="13">
      <c r="B779" s="36"/>
      <c r="C779" s="37"/>
      <c r="D779" s="5"/>
      <c r="E779" s="5"/>
      <c r="F779" s="5"/>
      <c r="G779" s="5"/>
    </row>
    <row r="780" spans="2:7" ht="13">
      <c r="B780" s="36"/>
      <c r="C780" s="37"/>
      <c r="D780" s="5"/>
      <c r="E780" s="5"/>
      <c r="F780" s="5"/>
      <c r="G780" s="5"/>
    </row>
    <row r="781" spans="2:7" ht="13">
      <c r="B781" s="36"/>
      <c r="C781" s="37"/>
      <c r="D781" s="5"/>
      <c r="E781" s="5"/>
      <c r="F781" s="5"/>
      <c r="G781" s="5"/>
    </row>
    <row r="782" spans="2:7" ht="13">
      <c r="B782" s="36"/>
      <c r="C782" s="37"/>
      <c r="D782" s="5"/>
      <c r="E782" s="5"/>
      <c r="F782" s="5"/>
      <c r="G782" s="5"/>
    </row>
    <row r="783" spans="2:7" ht="13">
      <c r="B783" s="36"/>
      <c r="C783" s="37"/>
      <c r="D783" s="5"/>
      <c r="E783" s="5"/>
      <c r="F783" s="5"/>
      <c r="G783" s="5"/>
    </row>
    <row r="784" spans="2:7" ht="13">
      <c r="B784" s="36"/>
      <c r="C784" s="37"/>
      <c r="D784" s="5"/>
      <c r="E784" s="5"/>
      <c r="F784" s="5"/>
      <c r="G784" s="5"/>
    </row>
    <row r="785" spans="2:7" ht="13">
      <c r="B785" s="36"/>
      <c r="C785" s="37"/>
      <c r="D785" s="5"/>
      <c r="E785" s="5"/>
      <c r="F785" s="5"/>
      <c r="G785" s="5"/>
    </row>
    <row r="786" spans="2:7" ht="13">
      <c r="B786" s="36"/>
      <c r="C786" s="37"/>
      <c r="D786" s="5"/>
      <c r="E786" s="5"/>
      <c r="F786" s="5"/>
      <c r="G786" s="5"/>
    </row>
    <row r="787" spans="2:7" ht="13">
      <c r="B787" s="36"/>
      <c r="C787" s="37"/>
      <c r="D787" s="5"/>
      <c r="E787" s="5"/>
      <c r="F787" s="5"/>
      <c r="G787" s="5"/>
    </row>
    <row r="788" spans="2:7" ht="13">
      <c r="B788" s="36"/>
      <c r="C788" s="37"/>
      <c r="D788" s="5"/>
      <c r="E788" s="5"/>
      <c r="F788" s="5"/>
      <c r="G788" s="5"/>
    </row>
    <row r="789" spans="2:7" ht="13">
      <c r="B789" s="36"/>
      <c r="C789" s="37"/>
      <c r="D789" s="5"/>
      <c r="E789" s="5"/>
      <c r="F789" s="5"/>
      <c r="G789" s="5"/>
    </row>
    <row r="790" spans="2:7" ht="13">
      <c r="B790" s="36"/>
      <c r="C790" s="37"/>
      <c r="D790" s="5"/>
      <c r="E790" s="5"/>
      <c r="F790" s="5"/>
      <c r="G790" s="5"/>
    </row>
    <row r="791" spans="2:7" ht="13">
      <c r="B791" s="36"/>
      <c r="C791" s="37"/>
      <c r="D791" s="5"/>
      <c r="E791" s="5"/>
      <c r="F791" s="5"/>
      <c r="G791" s="5"/>
    </row>
    <row r="792" spans="2:7" ht="13">
      <c r="B792" s="36"/>
      <c r="C792" s="37"/>
      <c r="D792" s="5"/>
      <c r="E792" s="5"/>
      <c r="F792" s="5"/>
      <c r="G792" s="5"/>
    </row>
    <row r="793" spans="2:7" ht="13">
      <c r="B793" s="36"/>
      <c r="C793" s="37"/>
      <c r="D793" s="5"/>
      <c r="E793" s="5"/>
      <c r="F793" s="5"/>
      <c r="G793" s="5"/>
    </row>
    <row r="794" spans="2:7" ht="13">
      <c r="B794" s="36"/>
      <c r="C794" s="37"/>
      <c r="D794" s="5"/>
      <c r="E794" s="5"/>
      <c r="F794" s="5"/>
      <c r="G794" s="5"/>
    </row>
    <row r="795" spans="2:7" ht="13">
      <c r="B795" s="36"/>
      <c r="C795" s="37"/>
      <c r="D795" s="5"/>
      <c r="E795" s="5"/>
      <c r="F795" s="5"/>
      <c r="G795" s="5"/>
    </row>
    <row r="796" spans="2:7" ht="13">
      <c r="B796" s="36"/>
      <c r="C796" s="37"/>
      <c r="D796" s="5"/>
      <c r="E796" s="5"/>
      <c r="F796" s="5"/>
      <c r="G796" s="5"/>
    </row>
    <row r="797" spans="2:7" ht="13">
      <c r="B797" s="36"/>
      <c r="C797" s="37"/>
      <c r="D797" s="5"/>
      <c r="E797" s="5"/>
      <c r="F797" s="5"/>
      <c r="G797" s="5"/>
    </row>
    <row r="798" spans="2:7" ht="13">
      <c r="B798" s="36"/>
      <c r="C798" s="37"/>
      <c r="D798" s="5"/>
      <c r="E798" s="5"/>
      <c r="F798" s="5"/>
      <c r="G798" s="5"/>
    </row>
    <row r="799" spans="2:7" ht="13">
      <c r="B799" s="36"/>
      <c r="C799" s="37"/>
      <c r="D799" s="5"/>
      <c r="E799" s="5"/>
      <c r="F799" s="5"/>
      <c r="G799" s="5"/>
    </row>
    <row r="800" spans="2:7" ht="13">
      <c r="B800" s="36"/>
      <c r="C800" s="37"/>
      <c r="D800" s="5"/>
      <c r="E800" s="5"/>
      <c r="F800" s="5"/>
      <c r="G800" s="5"/>
    </row>
    <row r="801" spans="2:7" ht="13">
      <c r="B801" s="36"/>
      <c r="C801" s="37"/>
      <c r="D801" s="5"/>
      <c r="E801" s="5"/>
      <c r="F801" s="5"/>
      <c r="G801" s="5"/>
    </row>
    <row r="802" spans="2:7" ht="13">
      <c r="B802" s="36"/>
      <c r="C802" s="37"/>
      <c r="D802" s="5"/>
      <c r="E802" s="5"/>
      <c r="F802" s="5"/>
      <c r="G802" s="5"/>
    </row>
    <row r="803" spans="2:7" ht="13">
      <c r="B803" s="36"/>
      <c r="C803" s="37"/>
      <c r="D803" s="5"/>
      <c r="E803" s="5"/>
      <c r="F803" s="5"/>
      <c r="G803" s="5"/>
    </row>
    <row r="804" spans="2:7" ht="13">
      <c r="B804" s="36"/>
      <c r="C804" s="37"/>
      <c r="D804" s="5"/>
      <c r="E804" s="5"/>
      <c r="F804" s="5"/>
      <c r="G804" s="5"/>
    </row>
    <row r="805" spans="2:7" ht="13">
      <c r="B805" s="36"/>
      <c r="C805" s="37"/>
      <c r="D805" s="5"/>
      <c r="E805" s="5"/>
      <c r="F805" s="5"/>
      <c r="G805" s="5"/>
    </row>
    <row r="806" spans="2:7" ht="13">
      <c r="B806" s="36"/>
      <c r="C806" s="37"/>
      <c r="D806" s="5"/>
      <c r="E806" s="5"/>
      <c r="F806" s="5"/>
      <c r="G806" s="5"/>
    </row>
    <row r="807" spans="2:7" ht="13">
      <c r="B807" s="36"/>
      <c r="C807" s="37"/>
      <c r="D807" s="5"/>
      <c r="E807" s="5"/>
      <c r="F807" s="5"/>
      <c r="G807" s="5"/>
    </row>
    <row r="808" spans="2:7" ht="13">
      <c r="B808" s="36"/>
      <c r="C808" s="37"/>
      <c r="D808" s="5"/>
      <c r="E808" s="5"/>
      <c r="F808" s="5"/>
      <c r="G808" s="5"/>
    </row>
    <row r="809" spans="2:7" ht="13">
      <c r="B809" s="36"/>
      <c r="C809" s="37"/>
      <c r="D809" s="5"/>
      <c r="E809" s="5"/>
      <c r="F809" s="5"/>
      <c r="G809" s="5"/>
    </row>
    <row r="810" spans="2:7" ht="13">
      <c r="B810" s="36"/>
      <c r="C810" s="37"/>
      <c r="D810" s="5"/>
      <c r="E810" s="5"/>
      <c r="F810" s="5"/>
      <c r="G810" s="5"/>
    </row>
    <row r="811" spans="2:7" ht="13">
      <c r="B811" s="36"/>
      <c r="C811" s="37"/>
      <c r="D811" s="5"/>
      <c r="E811" s="5"/>
      <c r="F811" s="5"/>
      <c r="G811" s="5"/>
    </row>
    <row r="812" spans="2:7" ht="13">
      <c r="B812" s="36"/>
      <c r="C812" s="37"/>
      <c r="D812" s="5"/>
      <c r="E812" s="5"/>
      <c r="F812" s="5"/>
      <c r="G812" s="5"/>
    </row>
    <row r="813" spans="2:7" ht="13">
      <c r="B813" s="36"/>
      <c r="C813" s="37"/>
      <c r="D813" s="5"/>
      <c r="E813" s="5"/>
      <c r="F813" s="5"/>
      <c r="G813" s="5"/>
    </row>
    <row r="814" spans="2:7" ht="13">
      <c r="B814" s="36"/>
      <c r="C814" s="37"/>
      <c r="D814" s="5"/>
      <c r="E814" s="5"/>
      <c r="F814" s="5"/>
      <c r="G814" s="5"/>
    </row>
    <row r="815" spans="2:7" ht="13">
      <c r="B815" s="36"/>
      <c r="C815" s="37"/>
      <c r="D815" s="5"/>
      <c r="E815" s="5"/>
      <c r="F815" s="5"/>
      <c r="G815" s="5"/>
    </row>
    <row r="816" spans="2:7" ht="13">
      <c r="B816" s="36"/>
      <c r="C816" s="37"/>
      <c r="D816" s="5"/>
      <c r="E816" s="5"/>
      <c r="F816" s="5"/>
      <c r="G816" s="5"/>
    </row>
    <row r="817" spans="2:7" ht="13">
      <c r="B817" s="36"/>
      <c r="C817" s="37"/>
      <c r="D817" s="5"/>
      <c r="E817" s="5"/>
      <c r="F817" s="5"/>
      <c r="G817" s="5"/>
    </row>
    <row r="818" spans="2:7" ht="13">
      <c r="B818" s="36"/>
      <c r="C818" s="37"/>
      <c r="D818" s="5"/>
      <c r="E818" s="5"/>
      <c r="F818" s="5"/>
      <c r="G818" s="5"/>
    </row>
    <row r="819" spans="2:7" ht="13">
      <c r="B819" s="36"/>
      <c r="C819" s="37"/>
      <c r="D819" s="5"/>
      <c r="E819" s="5"/>
      <c r="F819" s="5"/>
      <c r="G819" s="5"/>
    </row>
    <row r="820" spans="2:7" ht="13">
      <c r="B820" s="36"/>
      <c r="C820" s="37"/>
      <c r="D820" s="5"/>
      <c r="E820" s="5"/>
      <c r="F820" s="5"/>
      <c r="G820" s="5"/>
    </row>
    <row r="821" spans="2:7" ht="13">
      <c r="B821" s="36"/>
      <c r="C821" s="37"/>
      <c r="D821" s="5"/>
      <c r="E821" s="5"/>
      <c r="F821" s="5"/>
      <c r="G821" s="5"/>
    </row>
    <row r="822" spans="2:7" ht="13">
      <c r="B822" s="36"/>
      <c r="C822" s="37"/>
      <c r="D822" s="5"/>
      <c r="E822" s="5"/>
      <c r="F822" s="5"/>
      <c r="G822" s="5"/>
    </row>
    <row r="823" spans="2:7" ht="13">
      <c r="B823" s="36"/>
      <c r="C823" s="37"/>
      <c r="D823" s="5"/>
      <c r="E823" s="5"/>
      <c r="F823" s="5"/>
      <c r="G823" s="5"/>
    </row>
    <row r="824" spans="2:7" ht="13">
      <c r="B824" s="36"/>
      <c r="C824" s="37"/>
      <c r="D824" s="5"/>
      <c r="E824" s="5"/>
      <c r="F824" s="5"/>
      <c r="G824" s="5"/>
    </row>
    <row r="825" spans="2:7" ht="13">
      <c r="B825" s="36"/>
      <c r="C825" s="37"/>
      <c r="D825" s="5"/>
      <c r="E825" s="5"/>
      <c r="F825" s="5"/>
      <c r="G825" s="5"/>
    </row>
    <row r="826" spans="2:7" ht="13">
      <c r="B826" s="36"/>
      <c r="C826" s="37"/>
      <c r="D826" s="5"/>
      <c r="E826" s="5"/>
      <c r="F826" s="5"/>
      <c r="G826" s="5"/>
    </row>
    <row r="827" spans="2:7" ht="13">
      <c r="B827" s="36"/>
      <c r="C827" s="37"/>
      <c r="D827" s="5"/>
      <c r="E827" s="5"/>
      <c r="F827" s="5"/>
      <c r="G827" s="5"/>
    </row>
    <row r="828" spans="2:7" ht="13">
      <c r="B828" s="36"/>
      <c r="C828" s="37"/>
      <c r="D828" s="5"/>
      <c r="E828" s="5"/>
      <c r="F828" s="5"/>
      <c r="G828" s="5"/>
    </row>
    <row r="829" spans="2:7" ht="13">
      <c r="B829" s="36"/>
      <c r="C829" s="37"/>
      <c r="D829" s="5"/>
      <c r="E829" s="5"/>
      <c r="F829" s="5"/>
      <c r="G829" s="5"/>
    </row>
    <row r="830" spans="2:7" ht="13">
      <c r="B830" s="36"/>
      <c r="C830" s="37"/>
      <c r="D830" s="5"/>
      <c r="E830" s="5"/>
      <c r="F830" s="5"/>
      <c r="G830" s="5"/>
    </row>
    <row r="831" spans="2:7" ht="13">
      <c r="B831" s="36"/>
      <c r="C831" s="37"/>
      <c r="D831" s="5"/>
      <c r="E831" s="5"/>
      <c r="F831" s="5"/>
      <c r="G831" s="5"/>
    </row>
    <row r="832" spans="2:7" ht="13">
      <c r="B832" s="36"/>
      <c r="C832" s="37"/>
      <c r="D832" s="5"/>
      <c r="E832" s="5"/>
      <c r="F832" s="5"/>
      <c r="G832" s="5"/>
    </row>
    <row r="833" spans="2:7" ht="13">
      <c r="B833" s="36"/>
      <c r="C833" s="37"/>
      <c r="D833" s="5"/>
      <c r="E833" s="5"/>
      <c r="F833" s="5"/>
      <c r="G833" s="5"/>
    </row>
    <row r="834" spans="2:7" ht="13">
      <c r="B834" s="36"/>
      <c r="C834" s="37"/>
      <c r="D834" s="5"/>
      <c r="E834" s="5"/>
      <c r="F834" s="5"/>
      <c r="G834" s="5"/>
    </row>
    <row r="835" spans="2:7" ht="13">
      <c r="B835" s="36"/>
      <c r="C835" s="37"/>
      <c r="D835" s="5"/>
      <c r="E835" s="5"/>
      <c r="F835" s="5"/>
      <c r="G835" s="5"/>
    </row>
    <row r="836" spans="2:7" ht="13">
      <c r="B836" s="36"/>
      <c r="C836" s="37"/>
      <c r="D836" s="5"/>
      <c r="E836" s="5"/>
      <c r="F836" s="5"/>
      <c r="G836" s="5"/>
    </row>
    <row r="837" spans="2:7" ht="13">
      <c r="B837" s="36"/>
      <c r="C837" s="37"/>
      <c r="D837" s="5"/>
      <c r="E837" s="5"/>
      <c r="F837" s="5"/>
      <c r="G837" s="5"/>
    </row>
    <row r="838" spans="2:7" ht="13">
      <c r="B838" s="36"/>
      <c r="C838" s="37"/>
      <c r="D838" s="5"/>
      <c r="E838" s="5"/>
      <c r="F838" s="5"/>
      <c r="G838" s="5"/>
    </row>
    <row r="839" spans="2:7" ht="13">
      <c r="B839" s="36"/>
      <c r="C839" s="37"/>
      <c r="D839" s="5"/>
      <c r="E839" s="5"/>
      <c r="F839" s="5"/>
      <c r="G839" s="5"/>
    </row>
    <row r="840" spans="2:7" ht="13">
      <c r="B840" s="36"/>
      <c r="C840" s="37"/>
      <c r="D840" s="5"/>
      <c r="E840" s="5"/>
      <c r="F840" s="5"/>
      <c r="G840" s="5"/>
    </row>
    <row r="841" spans="2:7" ht="13">
      <c r="B841" s="36"/>
      <c r="C841" s="37"/>
      <c r="D841" s="5"/>
      <c r="E841" s="5"/>
      <c r="F841" s="5"/>
      <c r="G841" s="5"/>
    </row>
    <row r="842" spans="2:7" ht="13">
      <c r="B842" s="36"/>
      <c r="C842" s="37"/>
      <c r="D842" s="5"/>
      <c r="E842" s="5"/>
      <c r="F842" s="5"/>
      <c r="G842" s="5"/>
    </row>
    <row r="843" spans="2:7" ht="13">
      <c r="B843" s="36"/>
      <c r="C843" s="37"/>
      <c r="D843" s="5"/>
      <c r="E843" s="5"/>
      <c r="F843" s="5"/>
      <c r="G843" s="5"/>
    </row>
    <row r="844" spans="2:7" ht="13">
      <c r="B844" s="36"/>
      <c r="C844" s="37"/>
      <c r="D844" s="5"/>
      <c r="E844" s="5"/>
      <c r="F844" s="5"/>
      <c r="G844" s="5"/>
    </row>
    <row r="845" spans="2:7" ht="13">
      <c r="B845" s="36"/>
      <c r="C845" s="37"/>
      <c r="D845" s="5"/>
      <c r="E845" s="5"/>
      <c r="F845" s="5"/>
      <c r="G845" s="5"/>
    </row>
    <row r="846" spans="2:7" ht="13">
      <c r="B846" s="36"/>
      <c r="C846" s="37"/>
      <c r="D846" s="5"/>
      <c r="E846" s="5"/>
      <c r="F846" s="5"/>
      <c r="G846" s="5"/>
    </row>
    <row r="847" spans="2:7" ht="13">
      <c r="B847" s="36"/>
      <c r="C847" s="37"/>
      <c r="D847" s="5"/>
      <c r="E847" s="5"/>
      <c r="F847" s="5"/>
      <c r="G847" s="5"/>
    </row>
    <row r="848" spans="2:7" ht="13">
      <c r="B848" s="36"/>
      <c r="C848" s="37"/>
      <c r="D848" s="5"/>
      <c r="E848" s="5"/>
      <c r="F848" s="5"/>
      <c r="G848" s="5"/>
    </row>
    <row r="849" spans="2:7" ht="13">
      <c r="B849" s="36"/>
      <c r="C849" s="37"/>
      <c r="D849" s="5"/>
      <c r="E849" s="5"/>
      <c r="F849" s="5"/>
      <c r="G849" s="5"/>
    </row>
    <row r="850" spans="2:7" ht="13">
      <c r="B850" s="36"/>
      <c r="C850" s="37"/>
      <c r="D850" s="5"/>
      <c r="E850" s="5"/>
      <c r="F850" s="5"/>
      <c r="G850" s="5"/>
    </row>
    <row r="851" spans="2:7" ht="13">
      <c r="B851" s="36"/>
      <c r="C851" s="37"/>
      <c r="D851" s="5"/>
      <c r="E851" s="5"/>
      <c r="F851" s="5"/>
      <c r="G851" s="5"/>
    </row>
    <row r="852" spans="2:7" ht="13">
      <c r="B852" s="36"/>
      <c r="C852" s="37"/>
      <c r="D852" s="5"/>
      <c r="E852" s="5"/>
      <c r="F852" s="5"/>
      <c r="G852" s="5"/>
    </row>
    <row r="853" spans="2:7" ht="13">
      <c r="B853" s="36"/>
      <c r="C853" s="37"/>
      <c r="D853" s="5"/>
      <c r="E853" s="5"/>
      <c r="F853" s="5"/>
      <c r="G853" s="5"/>
    </row>
    <row r="854" spans="2:7" ht="13">
      <c r="B854" s="36"/>
      <c r="C854" s="37"/>
      <c r="D854" s="5"/>
      <c r="E854" s="5"/>
      <c r="F854" s="5"/>
      <c r="G854" s="5"/>
    </row>
    <row r="855" spans="2:7" ht="13">
      <c r="B855" s="36"/>
      <c r="C855" s="37"/>
      <c r="D855" s="5"/>
      <c r="E855" s="5"/>
      <c r="F855" s="5"/>
      <c r="G855" s="5"/>
    </row>
    <row r="856" spans="2:7" ht="13">
      <c r="B856" s="36"/>
      <c r="C856" s="37"/>
      <c r="D856" s="5"/>
      <c r="E856" s="5"/>
      <c r="F856" s="5"/>
      <c r="G856" s="5"/>
    </row>
    <row r="857" spans="2:7" ht="13">
      <c r="B857" s="36"/>
      <c r="C857" s="37"/>
      <c r="D857" s="5"/>
      <c r="E857" s="5"/>
      <c r="F857" s="5"/>
      <c r="G857" s="5"/>
    </row>
    <row r="858" spans="2:7" ht="13">
      <c r="B858" s="36"/>
      <c r="C858" s="37"/>
      <c r="D858" s="5"/>
      <c r="E858" s="5"/>
      <c r="F858" s="5"/>
      <c r="G858" s="5"/>
    </row>
    <row r="859" spans="2:7" ht="13">
      <c r="B859" s="36"/>
      <c r="C859" s="37"/>
      <c r="D859" s="5"/>
      <c r="E859" s="5"/>
      <c r="F859" s="5"/>
      <c r="G859" s="5"/>
    </row>
    <row r="860" spans="2:7" ht="13">
      <c r="B860" s="36"/>
      <c r="C860" s="37"/>
      <c r="D860" s="5"/>
      <c r="E860" s="5"/>
      <c r="F860" s="5"/>
      <c r="G860" s="5"/>
    </row>
    <row r="861" spans="2:7" ht="13">
      <c r="B861" s="36"/>
      <c r="C861" s="37"/>
      <c r="D861" s="5"/>
      <c r="E861" s="5"/>
      <c r="F861" s="5"/>
      <c r="G861" s="5"/>
    </row>
    <row r="862" spans="2:7" ht="13">
      <c r="B862" s="36"/>
      <c r="C862" s="37"/>
      <c r="D862" s="5"/>
      <c r="E862" s="5"/>
      <c r="F862" s="5"/>
      <c r="G862" s="5"/>
    </row>
    <row r="863" spans="2:7" ht="13">
      <c r="B863" s="36"/>
      <c r="C863" s="37"/>
      <c r="D863" s="5"/>
      <c r="E863" s="5"/>
      <c r="F863" s="5"/>
      <c r="G863" s="5"/>
    </row>
    <row r="864" spans="2:7" ht="13">
      <c r="B864" s="36"/>
      <c r="C864" s="37"/>
      <c r="D864" s="5"/>
      <c r="E864" s="5"/>
      <c r="F864" s="5"/>
      <c r="G864" s="5"/>
    </row>
    <row r="865" spans="2:7" ht="13">
      <c r="B865" s="36"/>
      <c r="C865" s="37"/>
      <c r="D865" s="5"/>
      <c r="E865" s="5"/>
      <c r="F865" s="5"/>
      <c r="G865" s="5"/>
    </row>
    <row r="866" spans="2:7" ht="13">
      <c r="B866" s="36"/>
      <c r="C866" s="37"/>
      <c r="D866" s="5"/>
      <c r="E866" s="5"/>
      <c r="F866" s="5"/>
      <c r="G866" s="5"/>
    </row>
    <row r="867" spans="2:7" ht="13">
      <c r="B867" s="36"/>
      <c r="C867" s="37"/>
      <c r="D867" s="5"/>
      <c r="E867" s="5"/>
      <c r="F867" s="5"/>
      <c r="G867" s="5"/>
    </row>
    <row r="868" spans="2:7" ht="13">
      <c r="B868" s="36"/>
      <c r="C868" s="37"/>
      <c r="D868" s="5"/>
      <c r="E868" s="5"/>
      <c r="F868" s="5"/>
      <c r="G868" s="5"/>
    </row>
    <row r="869" spans="2:7" ht="13">
      <c r="B869" s="36"/>
      <c r="C869" s="37"/>
      <c r="D869" s="5"/>
      <c r="E869" s="5"/>
      <c r="F869" s="5"/>
      <c r="G869" s="5"/>
    </row>
    <row r="870" spans="2:7" ht="13">
      <c r="B870" s="36"/>
      <c r="C870" s="37"/>
      <c r="D870" s="5"/>
      <c r="E870" s="5"/>
      <c r="F870" s="5"/>
      <c r="G870" s="5"/>
    </row>
    <row r="871" spans="2:7" ht="13">
      <c r="B871" s="36"/>
      <c r="C871" s="37"/>
      <c r="D871" s="5"/>
      <c r="E871" s="5"/>
      <c r="F871" s="5"/>
      <c r="G871" s="5"/>
    </row>
    <row r="872" spans="2:7" ht="13">
      <c r="B872" s="36"/>
      <c r="C872" s="37"/>
      <c r="D872" s="5"/>
      <c r="E872" s="5"/>
      <c r="F872" s="5"/>
      <c r="G872" s="5"/>
    </row>
    <row r="873" spans="2:7" ht="13">
      <c r="B873" s="36"/>
      <c r="C873" s="37"/>
      <c r="D873" s="5"/>
      <c r="E873" s="5"/>
      <c r="F873" s="5"/>
      <c r="G873" s="5"/>
    </row>
    <row r="874" spans="2:7" ht="13">
      <c r="B874" s="36"/>
      <c r="C874" s="37"/>
      <c r="D874" s="5"/>
      <c r="E874" s="5"/>
      <c r="F874" s="5"/>
      <c r="G874" s="5"/>
    </row>
    <row r="875" spans="2:7" ht="13">
      <c r="B875" s="36"/>
      <c r="C875" s="37"/>
      <c r="D875" s="5"/>
      <c r="E875" s="5"/>
      <c r="F875" s="5"/>
      <c r="G875" s="5"/>
    </row>
    <row r="876" spans="2:7" ht="13">
      <c r="B876" s="36"/>
      <c r="C876" s="37"/>
      <c r="D876" s="5"/>
      <c r="E876" s="5"/>
      <c r="F876" s="5"/>
      <c r="G876" s="5"/>
    </row>
    <row r="877" spans="2:7" ht="13">
      <c r="B877" s="36"/>
      <c r="C877" s="37"/>
      <c r="D877" s="5"/>
      <c r="E877" s="5"/>
      <c r="F877" s="5"/>
      <c r="G877" s="5"/>
    </row>
    <row r="878" spans="2:7" ht="13">
      <c r="B878" s="36"/>
      <c r="C878" s="37"/>
      <c r="D878" s="5"/>
      <c r="E878" s="5"/>
      <c r="F878" s="5"/>
      <c r="G878" s="5"/>
    </row>
    <row r="879" spans="2:7" ht="13">
      <c r="B879" s="36"/>
      <c r="C879" s="37"/>
      <c r="D879" s="5"/>
      <c r="E879" s="5"/>
      <c r="F879" s="5"/>
      <c r="G879" s="5"/>
    </row>
    <row r="880" spans="2:7" ht="13">
      <c r="B880" s="36"/>
      <c r="C880" s="37"/>
      <c r="D880" s="5"/>
      <c r="E880" s="5"/>
      <c r="F880" s="5"/>
      <c r="G880" s="5"/>
    </row>
    <row r="881" spans="2:7" ht="13">
      <c r="B881" s="36"/>
      <c r="C881" s="37"/>
      <c r="D881" s="5"/>
      <c r="E881" s="5"/>
      <c r="F881" s="5"/>
      <c r="G881" s="5"/>
    </row>
    <row r="882" spans="2:7" ht="13">
      <c r="B882" s="36"/>
      <c r="C882" s="37"/>
      <c r="D882" s="5"/>
      <c r="E882" s="5"/>
      <c r="F882" s="5"/>
      <c r="G882" s="5"/>
    </row>
    <row r="883" spans="2:7" ht="13">
      <c r="B883" s="36"/>
      <c r="C883" s="37"/>
      <c r="D883" s="5"/>
      <c r="E883" s="5"/>
      <c r="F883" s="5"/>
      <c r="G883" s="5"/>
    </row>
    <row r="884" spans="2:7" ht="13">
      <c r="B884" s="36"/>
      <c r="C884" s="37"/>
      <c r="D884" s="5"/>
      <c r="E884" s="5"/>
      <c r="F884" s="5"/>
      <c r="G884" s="5"/>
    </row>
    <row r="885" spans="2:7" ht="13">
      <c r="B885" s="36"/>
      <c r="C885" s="37"/>
      <c r="D885" s="5"/>
      <c r="E885" s="5"/>
      <c r="F885" s="5"/>
      <c r="G885" s="5"/>
    </row>
    <row r="886" spans="2:7" ht="13">
      <c r="B886" s="36"/>
      <c r="C886" s="37"/>
      <c r="D886" s="5"/>
      <c r="E886" s="5"/>
      <c r="F886" s="5"/>
      <c r="G886" s="5"/>
    </row>
    <row r="887" spans="2:7" ht="13">
      <c r="B887" s="36"/>
      <c r="C887" s="37"/>
      <c r="D887" s="5"/>
      <c r="E887" s="5"/>
      <c r="F887" s="5"/>
      <c r="G887" s="5"/>
    </row>
    <row r="888" spans="2:7" ht="13">
      <c r="B888" s="36"/>
      <c r="C888" s="37"/>
      <c r="D888" s="5"/>
      <c r="E888" s="5"/>
      <c r="F888" s="5"/>
      <c r="G888" s="5"/>
    </row>
    <row r="889" spans="2:7" ht="13">
      <c r="B889" s="36"/>
      <c r="C889" s="37"/>
      <c r="D889" s="5"/>
      <c r="E889" s="5"/>
      <c r="F889" s="5"/>
      <c r="G889" s="5"/>
    </row>
    <row r="890" spans="2:7" ht="13">
      <c r="B890" s="36"/>
      <c r="C890" s="37"/>
      <c r="D890" s="5"/>
      <c r="E890" s="5"/>
      <c r="F890" s="5"/>
      <c r="G890" s="5"/>
    </row>
    <row r="891" spans="2:7" ht="13">
      <c r="B891" s="36"/>
      <c r="C891" s="37"/>
      <c r="D891" s="5"/>
      <c r="E891" s="5"/>
      <c r="F891" s="5"/>
      <c r="G891" s="5"/>
    </row>
    <row r="892" spans="2:7" ht="13">
      <c r="B892" s="36"/>
      <c r="C892" s="37"/>
      <c r="D892" s="5"/>
      <c r="E892" s="5"/>
      <c r="F892" s="5"/>
      <c r="G892" s="5"/>
    </row>
    <row r="893" spans="2:7" ht="13">
      <c r="B893" s="36"/>
      <c r="C893" s="37"/>
      <c r="D893" s="5"/>
      <c r="E893" s="5"/>
      <c r="F893" s="5"/>
      <c r="G893" s="5"/>
    </row>
    <row r="894" spans="2:7" ht="13">
      <c r="B894" s="36"/>
      <c r="C894" s="37"/>
      <c r="D894" s="5"/>
      <c r="E894" s="5"/>
      <c r="F894" s="5"/>
      <c r="G894" s="5"/>
    </row>
    <row r="895" spans="2:7" ht="13">
      <c r="B895" s="36"/>
      <c r="C895" s="37"/>
      <c r="D895" s="5"/>
      <c r="E895" s="5"/>
      <c r="F895" s="5"/>
      <c r="G895" s="5"/>
    </row>
    <row r="896" spans="2:7" ht="13">
      <c r="B896" s="36"/>
      <c r="C896" s="37"/>
      <c r="D896" s="5"/>
      <c r="E896" s="5"/>
      <c r="F896" s="5"/>
      <c r="G896" s="5"/>
    </row>
    <row r="897" spans="2:7" ht="13">
      <c r="B897" s="36"/>
      <c r="C897" s="37"/>
      <c r="D897" s="5"/>
      <c r="E897" s="5"/>
      <c r="F897" s="5"/>
      <c r="G897" s="5"/>
    </row>
    <row r="898" spans="2:7" ht="13">
      <c r="B898" s="36"/>
      <c r="C898" s="37"/>
      <c r="D898" s="5"/>
      <c r="E898" s="5"/>
      <c r="F898" s="5"/>
      <c r="G898" s="5"/>
    </row>
    <row r="899" spans="2:7" ht="13">
      <c r="B899" s="36"/>
      <c r="C899" s="37"/>
      <c r="D899" s="5"/>
      <c r="E899" s="5"/>
      <c r="F899" s="5"/>
      <c r="G899" s="5"/>
    </row>
    <row r="900" spans="2:7" ht="13">
      <c r="B900" s="36"/>
      <c r="C900" s="37"/>
      <c r="D900" s="5"/>
      <c r="E900" s="5"/>
      <c r="F900" s="5"/>
      <c r="G900" s="5"/>
    </row>
    <row r="901" spans="2:7" ht="13">
      <c r="B901" s="36"/>
      <c r="C901" s="37"/>
      <c r="D901" s="5"/>
      <c r="E901" s="5"/>
      <c r="F901" s="5"/>
      <c r="G901" s="5"/>
    </row>
    <row r="902" spans="2:7" ht="13">
      <c r="B902" s="36"/>
      <c r="C902" s="37"/>
      <c r="D902" s="5"/>
      <c r="E902" s="5"/>
      <c r="F902" s="5"/>
      <c r="G902" s="5"/>
    </row>
    <row r="903" spans="2:7" ht="13">
      <c r="B903" s="36"/>
      <c r="C903" s="37"/>
      <c r="D903" s="5"/>
      <c r="E903" s="5"/>
      <c r="F903" s="5"/>
      <c r="G903" s="5"/>
    </row>
    <row r="904" spans="2:7" ht="13">
      <c r="B904" s="36"/>
      <c r="C904" s="37"/>
      <c r="D904" s="5"/>
      <c r="E904" s="5"/>
      <c r="F904" s="5"/>
      <c r="G904" s="5"/>
    </row>
    <row r="905" spans="2:7" ht="13">
      <c r="B905" s="36"/>
      <c r="C905" s="37"/>
      <c r="D905" s="5"/>
      <c r="E905" s="5"/>
      <c r="F905" s="5"/>
      <c r="G905" s="5"/>
    </row>
    <row r="906" spans="2:7" ht="13">
      <c r="B906" s="36"/>
      <c r="C906" s="37"/>
      <c r="D906" s="5"/>
      <c r="E906" s="5"/>
      <c r="F906" s="5"/>
      <c r="G906" s="5"/>
    </row>
    <row r="907" spans="2:7" ht="13">
      <c r="B907" s="36"/>
      <c r="C907" s="37"/>
      <c r="D907" s="5"/>
      <c r="E907" s="5"/>
      <c r="F907" s="5"/>
      <c r="G907" s="5"/>
    </row>
    <row r="908" spans="2:7" ht="13">
      <c r="B908" s="36"/>
      <c r="C908" s="37"/>
      <c r="D908" s="5"/>
      <c r="E908" s="5"/>
      <c r="F908" s="5"/>
      <c r="G908" s="5"/>
    </row>
    <row r="909" spans="2:7" ht="13">
      <c r="B909" s="36"/>
      <c r="C909" s="37"/>
      <c r="D909" s="5"/>
      <c r="E909" s="5"/>
      <c r="F909" s="5"/>
      <c r="G909" s="5"/>
    </row>
    <row r="910" spans="2:7" ht="13">
      <c r="B910" s="36"/>
      <c r="C910" s="37"/>
      <c r="D910" s="5"/>
      <c r="E910" s="5"/>
      <c r="F910" s="5"/>
      <c r="G910" s="5"/>
    </row>
    <row r="911" spans="2:7" ht="13">
      <c r="B911" s="36"/>
      <c r="C911" s="37"/>
      <c r="D911" s="5"/>
      <c r="E911" s="5"/>
      <c r="F911" s="5"/>
      <c r="G911" s="5"/>
    </row>
    <row r="912" spans="2:7" ht="13">
      <c r="B912" s="36"/>
      <c r="C912" s="37"/>
      <c r="D912" s="5"/>
      <c r="E912" s="5"/>
      <c r="F912" s="5"/>
      <c r="G912" s="5"/>
    </row>
    <row r="913" spans="2:7" ht="13">
      <c r="B913" s="36"/>
      <c r="C913" s="37"/>
      <c r="D913" s="5"/>
      <c r="E913" s="5"/>
      <c r="F913" s="5"/>
      <c r="G913" s="5"/>
    </row>
    <row r="914" spans="2:7" ht="13">
      <c r="B914" s="36"/>
      <c r="C914" s="37"/>
      <c r="D914" s="5"/>
      <c r="E914" s="5"/>
      <c r="F914" s="5"/>
      <c r="G914" s="5"/>
    </row>
    <row r="915" spans="2:7" ht="13">
      <c r="B915" s="36"/>
      <c r="C915" s="37"/>
      <c r="D915" s="5"/>
      <c r="E915" s="5"/>
      <c r="F915" s="5"/>
      <c r="G915" s="5"/>
    </row>
    <row r="916" spans="2:7" ht="13">
      <c r="B916" s="36"/>
      <c r="C916" s="37"/>
      <c r="D916" s="5"/>
      <c r="E916" s="5"/>
      <c r="F916" s="5"/>
      <c r="G916" s="5"/>
    </row>
    <row r="917" spans="2:7" ht="13">
      <c r="B917" s="36"/>
      <c r="C917" s="37"/>
      <c r="D917" s="5"/>
      <c r="E917" s="5"/>
      <c r="F917" s="5"/>
      <c r="G917" s="5"/>
    </row>
    <row r="918" spans="2:7" ht="13">
      <c r="B918" s="36"/>
      <c r="C918" s="37"/>
      <c r="D918" s="5"/>
      <c r="E918" s="5"/>
      <c r="F918" s="5"/>
      <c r="G918" s="5"/>
    </row>
    <row r="919" spans="2:7" ht="13">
      <c r="B919" s="36"/>
      <c r="C919" s="37"/>
      <c r="D919" s="5"/>
      <c r="E919" s="5"/>
      <c r="F919" s="5"/>
      <c r="G919" s="5"/>
    </row>
    <row r="920" spans="2:7" ht="13">
      <c r="B920" s="36"/>
      <c r="C920" s="37"/>
      <c r="D920" s="5"/>
      <c r="E920" s="5"/>
      <c r="F920" s="5"/>
      <c r="G920" s="5"/>
    </row>
    <row r="921" spans="2:7" ht="13">
      <c r="B921" s="36"/>
      <c r="C921" s="37"/>
      <c r="D921" s="5"/>
      <c r="E921" s="5"/>
      <c r="F921" s="5"/>
      <c r="G921" s="5"/>
    </row>
    <row r="922" spans="2:7" ht="13">
      <c r="B922" s="36"/>
      <c r="C922" s="37"/>
      <c r="D922" s="5"/>
      <c r="E922" s="5"/>
      <c r="F922" s="5"/>
      <c r="G922" s="5"/>
    </row>
    <row r="923" spans="2:7" ht="13">
      <c r="B923" s="36"/>
      <c r="C923" s="37"/>
      <c r="D923" s="5"/>
      <c r="E923" s="5"/>
      <c r="F923" s="5"/>
      <c r="G923" s="5"/>
    </row>
    <row r="924" spans="2:7" ht="13">
      <c r="B924" s="36"/>
      <c r="C924" s="37"/>
      <c r="D924" s="5"/>
      <c r="E924" s="5"/>
      <c r="F924" s="5"/>
      <c r="G924" s="5"/>
    </row>
    <row r="925" spans="2:7" ht="13">
      <c r="B925" s="36"/>
      <c r="C925" s="37"/>
      <c r="D925" s="5"/>
      <c r="E925" s="5"/>
      <c r="F925" s="5"/>
      <c r="G925" s="5"/>
    </row>
    <row r="926" spans="2:7" ht="13">
      <c r="B926" s="36"/>
      <c r="C926" s="37"/>
      <c r="D926" s="5"/>
      <c r="E926" s="5"/>
      <c r="F926" s="5"/>
      <c r="G926" s="5"/>
    </row>
    <row r="927" spans="2:7" ht="13">
      <c r="B927" s="36"/>
      <c r="C927" s="37"/>
      <c r="D927" s="5"/>
      <c r="E927" s="5"/>
      <c r="F927" s="5"/>
      <c r="G927" s="5"/>
    </row>
    <row r="928" spans="2:7" ht="13">
      <c r="B928" s="36"/>
      <c r="C928" s="37"/>
      <c r="D928" s="5"/>
      <c r="E928" s="5"/>
      <c r="F928" s="5"/>
      <c r="G928" s="5"/>
    </row>
    <row r="929" spans="2:7" ht="13">
      <c r="B929" s="36"/>
      <c r="C929" s="37"/>
      <c r="D929" s="5"/>
      <c r="E929" s="5"/>
      <c r="F929" s="5"/>
      <c r="G929" s="5"/>
    </row>
    <row r="930" spans="2:7" ht="13">
      <c r="B930" s="36"/>
      <c r="C930" s="37"/>
      <c r="D930" s="5"/>
      <c r="E930" s="5"/>
      <c r="F930" s="5"/>
      <c r="G930" s="5"/>
    </row>
    <row r="931" spans="2:7" ht="13">
      <c r="B931" s="36"/>
      <c r="C931" s="37"/>
      <c r="D931" s="5"/>
      <c r="E931" s="5"/>
      <c r="F931" s="5"/>
      <c r="G931" s="5"/>
    </row>
    <row r="932" spans="2:7" ht="13">
      <c r="B932" s="36"/>
      <c r="C932" s="37"/>
      <c r="D932" s="5"/>
      <c r="E932" s="5"/>
      <c r="F932" s="5"/>
      <c r="G932" s="5"/>
    </row>
    <row r="933" spans="2:7" ht="13">
      <c r="B933" s="36"/>
      <c r="C933" s="37"/>
      <c r="D933" s="5"/>
      <c r="E933" s="5"/>
      <c r="F933" s="5"/>
      <c r="G933" s="5"/>
    </row>
    <row r="934" spans="2:7" ht="13">
      <c r="B934" s="36"/>
      <c r="C934" s="37"/>
      <c r="D934" s="5"/>
      <c r="E934" s="5"/>
      <c r="F934" s="5"/>
      <c r="G934" s="5"/>
    </row>
    <row r="935" spans="2:7" ht="13">
      <c r="B935" s="36"/>
      <c r="C935" s="37"/>
      <c r="D935" s="5"/>
      <c r="E935" s="5"/>
      <c r="F935" s="5"/>
      <c r="G935" s="5"/>
    </row>
    <row r="936" spans="2:7" ht="13">
      <c r="B936" s="36"/>
      <c r="C936" s="37"/>
      <c r="D936" s="5"/>
      <c r="E936" s="5"/>
      <c r="F936" s="5"/>
      <c r="G936" s="5"/>
    </row>
    <row r="937" spans="2:7" ht="13">
      <c r="B937" s="36"/>
      <c r="C937" s="37"/>
      <c r="D937" s="5"/>
      <c r="E937" s="5"/>
      <c r="F937" s="5"/>
      <c r="G937" s="5"/>
    </row>
    <row r="938" spans="2:7" ht="13">
      <c r="B938" s="36"/>
      <c r="C938" s="37"/>
      <c r="D938" s="5"/>
      <c r="E938" s="5"/>
      <c r="F938" s="5"/>
      <c r="G938" s="5"/>
    </row>
    <row r="939" spans="2:7" ht="13">
      <c r="B939" s="36"/>
      <c r="C939" s="37"/>
      <c r="D939" s="5"/>
      <c r="E939" s="5"/>
      <c r="F939" s="5"/>
      <c r="G939" s="5"/>
    </row>
    <row r="940" spans="2:7" ht="13">
      <c r="B940" s="36"/>
      <c r="C940" s="37"/>
      <c r="D940" s="5"/>
      <c r="E940" s="5"/>
      <c r="F940" s="5"/>
      <c r="G940" s="5"/>
    </row>
    <row r="941" spans="2:7" ht="13">
      <c r="B941" s="36"/>
      <c r="C941" s="37"/>
      <c r="D941" s="5"/>
      <c r="E941" s="5"/>
      <c r="F941" s="5"/>
      <c r="G941" s="5"/>
    </row>
    <row r="942" spans="2:7" ht="13">
      <c r="B942" s="36"/>
      <c r="C942" s="37"/>
      <c r="D942" s="5"/>
      <c r="E942" s="5"/>
      <c r="F942" s="5"/>
      <c r="G942" s="5"/>
    </row>
    <row r="943" spans="2:7" ht="13">
      <c r="B943" s="36"/>
      <c r="C943" s="37"/>
      <c r="D943" s="5"/>
      <c r="E943" s="5"/>
      <c r="F943" s="5"/>
      <c r="G943" s="5"/>
    </row>
    <row r="944" spans="2:7" ht="13">
      <c r="B944" s="36"/>
      <c r="C944" s="37"/>
      <c r="D944" s="5"/>
      <c r="E944" s="5"/>
      <c r="F944" s="5"/>
      <c r="G944" s="5"/>
    </row>
    <row r="945" spans="2:7" ht="13">
      <c r="B945" s="36"/>
      <c r="C945" s="37"/>
      <c r="D945" s="5"/>
      <c r="E945" s="5"/>
      <c r="F945" s="5"/>
      <c r="G945" s="5"/>
    </row>
    <row r="946" spans="2:7" ht="13">
      <c r="B946" s="36"/>
      <c r="C946" s="37"/>
      <c r="D946" s="5"/>
      <c r="E946" s="5"/>
      <c r="F946" s="5"/>
      <c r="G946" s="5"/>
    </row>
    <row r="947" spans="2:7" ht="13">
      <c r="B947" s="36"/>
      <c r="C947" s="37"/>
      <c r="D947" s="5"/>
      <c r="E947" s="5"/>
      <c r="F947" s="5"/>
      <c r="G947" s="5"/>
    </row>
    <row r="948" spans="2:7" ht="13">
      <c r="B948" s="36"/>
      <c r="C948" s="37"/>
      <c r="D948" s="5"/>
      <c r="E948" s="5"/>
      <c r="F948" s="5"/>
      <c r="G948" s="5"/>
    </row>
    <row r="949" spans="2:7" ht="13">
      <c r="B949" s="36"/>
      <c r="C949" s="37"/>
      <c r="D949" s="5"/>
      <c r="E949" s="5"/>
      <c r="F949" s="5"/>
      <c r="G949" s="5"/>
    </row>
    <row r="950" spans="2:7" ht="13">
      <c r="B950" s="36"/>
      <c r="C950" s="37"/>
      <c r="D950" s="5"/>
      <c r="E950" s="5"/>
      <c r="F950" s="5"/>
      <c r="G950" s="5"/>
    </row>
    <row r="951" spans="2:7" ht="13">
      <c r="B951" s="36"/>
      <c r="C951" s="37"/>
      <c r="D951" s="5"/>
      <c r="E951" s="5"/>
      <c r="F951" s="5"/>
      <c r="G951" s="5"/>
    </row>
    <row r="952" spans="2:7" ht="13">
      <c r="B952" s="36"/>
      <c r="C952" s="37"/>
      <c r="D952" s="5"/>
      <c r="E952" s="5"/>
      <c r="F952" s="5"/>
      <c r="G952" s="5"/>
    </row>
    <row r="953" spans="2:7" ht="13">
      <c r="B953" s="36"/>
      <c r="C953" s="37"/>
      <c r="D953" s="5"/>
      <c r="E953" s="5"/>
      <c r="F953" s="5"/>
      <c r="G953" s="5"/>
    </row>
    <row r="954" spans="2:7" ht="13">
      <c r="B954" s="36"/>
      <c r="C954" s="37"/>
      <c r="D954" s="5"/>
      <c r="E954" s="5"/>
      <c r="F954" s="5"/>
      <c r="G954" s="5"/>
    </row>
    <row r="955" spans="2:7" ht="13">
      <c r="B955" s="36"/>
      <c r="C955" s="37"/>
      <c r="D955" s="5"/>
      <c r="E955" s="5"/>
      <c r="F955" s="5"/>
      <c r="G955" s="5"/>
    </row>
    <row r="956" spans="2:7" ht="13">
      <c r="B956" s="36"/>
      <c r="C956" s="37"/>
      <c r="D956" s="5"/>
      <c r="E956" s="5"/>
      <c r="F956" s="5"/>
      <c r="G956" s="5"/>
    </row>
    <row r="957" spans="2:7" ht="13">
      <c r="B957" s="36"/>
      <c r="C957" s="37"/>
      <c r="D957" s="5"/>
      <c r="E957" s="5"/>
      <c r="F957" s="5"/>
      <c r="G957" s="5"/>
    </row>
    <row r="958" spans="2:7" ht="13">
      <c r="B958" s="36"/>
      <c r="C958" s="37"/>
      <c r="D958" s="5"/>
      <c r="E958" s="5"/>
      <c r="F958" s="5"/>
      <c r="G958" s="5"/>
    </row>
    <row r="959" spans="2:7" ht="13">
      <c r="B959" s="36"/>
      <c r="C959" s="37"/>
      <c r="D959" s="5"/>
      <c r="E959" s="5"/>
      <c r="F959" s="5"/>
      <c r="G959" s="5"/>
    </row>
    <row r="960" spans="2:7" ht="13">
      <c r="B960" s="36"/>
      <c r="C960" s="37"/>
      <c r="D960" s="5"/>
      <c r="E960" s="5"/>
      <c r="F960" s="5"/>
      <c r="G960" s="5"/>
    </row>
    <row r="961" spans="2:7" ht="13">
      <c r="B961" s="36"/>
      <c r="C961" s="37"/>
      <c r="D961" s="5"/>
      <c r="E961" s="5"/>
      <c r="F961" s="5"/>
      <c r="G961" s="5"/>
    </row>
    <row r="962" spans="2:7" ht="13">
      <c r="B962" s="36"/>
      <c r="C962" s="37"/>
      <c r="D962" s="5"/>
      <c r="E962" s="5"/>
      <c r="F962" s="5"/>
      <c r="G962" s="5"/>
    </row>
    <row r="963" spans="2:7" ht="13">
      <c r="B963" s="36"/>
      <c r="C963" s="37"/>
      <c r="D963" s="5"/>
      <c r="E963" s="5"/>
      <c r="F963" s="5"/>
      <c r="G963" s="5"/>
    </row>
    <row r="964" spans="2:7" ht="13">
      <c r="B964" s="36"/>
      <c r="C964" s="37"/>
      <c r="D964" s="5"/>
      <c r="E964" s="5"/>
      <c r="F964" s="5"/>
      <c r="G964" s="5"/>
    </row>
    <row r="965" spans="2:7" ht="13">
      <c r="B965" s="36"/>
      <c r="C965" s="37"/>
      <c r="D965" s="5"/>
      <c r="E965" s="5"/>
      <c r="F965" s="5"/>
      <c r="G965" s="5"/>
    </row>
    <row r="966" spans="2:7" ht="13">
      <c r="B966" s="36"/>
      <c r="C966" s="37"/>
      <c r="D966" s="5"/>
      <c r="E966" s="5"/>
      <c r="F966" s="5"/>
      <c r="G966" s="5"/>
    </row>
    <row r="967" spans="2:7" ht="13">
      <c r="B967" s="36"/>
      <c r="C967" s="37"/>
      <c r="D967" s="5"/>
      <c r="E967" s="5"/>
      <c r="F967" s="5"/>
      <c r="G967" s="5"/>
    </row>
    <row r="968" spans="2:7" ht="13">
      <c r="B968" s="36"/>
      <c r="C968" s="37"/>
      <c r="D968" s="5"/>
      <c r="E968" s="5"/>
      <c r="F968" s="5"/>
      <c r="G968" s="5"/>
    </row>
    <row r="969" spans="2:7" ht="13">
      <c r="B969" s="36"/>
      <c r="C969" s="37"/>
      <c r="D969" s="5"/>
      <c r="E969" s="5"/>
      <c r="F969" s="5"/>
      <c r="G969" s="5"/>
    </row>
    <row r="970" spans="2:7" ht="13">
      <c r="B970" s="36"/>
      <c r="C970" s="37"/>
      <c r="D970" s="5"/>
      <c r="E970" s="5"/>
      <c r="F970" s="5"/>
      <c r="G970" s="5"/>
    </row>
    <row r="971" spans="2:7" ht="13">
      <c r="B971" s="36"/>
      <c r="C971" s="37"/>
      <c r="D971" s="5"/>
      <c r="E971" s="5"/>
      <c r="F971" s="5"/>
      <c r="G971" s="5"/>
    </row>
    <row r="972" spans="2:7" ht="13">
      <c r="B972" s="36"/>
      <c r="C972" s="37"/>
      <c r="D972" s="5"/>
      <c r="E972" s="5"/>
      <c r="F972" s="5"/>
      <c r="G972" s="5"/>
    </row>
    <row r="973" spans="2:7" ht="13">
      <c r="B973" s="36"/>
      <c r="C973" s="37"/>
      <c r="D973" s="5"/>
      <c r="E973" s="5"/>
      <c r="F973" s="5"/>
      <c r="G973" s="5"/>
    </row>
    <row r="974" spans="2:7" ht="13">
      <c r="B974" s="36"/>
      <c r="C974" s="37"/>
      <c r="D974" s="5"/>
      <c r="E974" s="5"/>
      <c r="F974" s="5"/>
      <c r="G974" s="5"/>
    </row>
    <row r="975" spans="2:7" ht="13">
      <c r="B975" s="36"/>
      <c r="C975" s="37"/>
      <c r="D975" s="5"/>
      <c r="E975" s="5"/>
      <c r="F975" s="5"/>
      <c r="G975" s="5"/>
    </row>
    <row r="976" spans="2:7" ht="13">
      <c r="B976" s="36"/>
      <c r="C976" s="37"/>
      <c r="D976" s="5"/>
      <c r="E976" s="5"/>
      <c r="F976" s="5"/>
      <c r="G976" s="5"/>
    </row>
    <row r="977" spans="2:7" ht="13">
      <c r="B977" s="36"/>
      <c r="C977" s="37"/>
      <c r="D977" s="5"/>
      <c r="E977" s="5"/>
      <c r="F977" s="5"/>
      <c r="G977" s="5"/>
    </row>
    <row r="978" spans="2:7" ht="13">
      <c r="B978" s="36"/>
      <c r="C978" s="37"/>
      <c r="D978" s="5"/>
      <c r="E978" s="5"/>
      <c r="F978" s="5"/>
      <c r="G978" s="5"/>
    </row>
    <row r="979" spans="2:7" ht="13">
      <c r="B979" s="36"/>
      <c r="C979" s="37"/>
      <c r="D979" s="5"/>
      <c r="E979" s="5"/>
      <c r="F979" s="5"/>
      <c r="G979" s="5"/>
    </row>
    <row r="980" spans="2:7" ht="13">
      <c r="B980" s="36"/>
      <c r="C980" s="37"/>
      <c r="D980" s="5"/>
      <c r="E980" s="5"/>
      <c r="F980" s="5"/>
      <c r="G980" s="5"/>
    </row>
    <row r="981" spans="2:7" ht="13">
      <c r="B981" s="36"/>
      <c r="C981" s="37"/>
      <c r="D981" s="5"/>
      <c r="E981" s="5"/>
      <c r="F981" s="5"/>
      <c r="G981" s="5"/>
    </row>
    <row r="982" spans="2:7" ht="13">
      <c r="B982" s="36"/>
      <c r="C982" s="37"/>
      <c r="D982" s="5"/>
      <c r="E982" s="5"/>
      <c r="F982" s="5"/>
      <c r="G982" s="5"/>
    </row>
    <row r="983" spans="2:7" ht="13">
      <c r="B983" s="36"/>
      <c r="C983" s="37"/>
      <c r="D983" s="5"/>
      <c r="E983" s="5"/>
      <c r="F983" s="5"/>
      <c r="G983" s="5"/>
    </row>
    <row r="984" spans="2:7" ht="13">
      <c r="B984" s="36"/>
      <c r="C984" s="37"/>
      <c r="D984" s="5"/>
      <c r="E984" s="5"/>
      <c r="F984" s="5"/>
      <c r="G984" s="5"/>
    </row>
    <row r="985" spans="2:7" ht="13">
      <c r="B985" s="36"/>
      <c r="C985" s="37"/>
      <c r="D985" s="5"/>
      <c r="E985" s="5"/>
      <c r="F985" s="5"/>
      <c r="G985" s="5"/>
    </row>
    <row r="986" spans="2:7" ht="13">
      <c r="B986" s="36"/>
      <c r="C986" s="37"/>
      <c r="D986" s="5"/>
      <c r="E986" s="5"/>
      <c r="F986" s="5"/>
      <c r="G986" s="5"/>
    </row>
    <row r="987" spans="2:7" ht="13">
      <c r="B987" s="36"/>
      <c r="C987" s="37"/>
      <c r="D987" s="5"/>
      <c r="E987" s="5"/>
      <c r="F987" s="5"/>
      <c r="G987" s="5"/>
    </row>
    <row r="988" spans="2:7" ht="13">
      <c r="B988" s="36"/>
      <c r="C988" s="37"/>
      <c r="D988" s="5"/>
      <c r="E988" s="5"/>
      <c r="F988" s="5"/>
      <c r="G988" s="5"/>
    </row>
    <row r="989" spans="2:7" ht="13">
      <c r="B989" s="36"/>
      <c r="C989" s="37"/>
      <c r="D989" s="5"/>
      <c r="E989" s="5"/>
      <c r="F989" s="5"/>
      <c r="G989" s="5"/>
    </row>
    <row r="990" spans="2:7" ht="13">
      <c r="B990" s="36"/>
      <c r="C990" s="37"/>
      <c r="D990" s="5"/>
      <c r="E990" s="5"/>
      <c r="F990" s="5"/>
      <c r="G990" s="5"/>
    </row>
    <row r="991" spans="2:7" ht="13">
      <c r="B991" s="36"/>
      <c r="C991" s="37"/>
      <c r="D991" s="5"/>
      <c r="E991" s="5"/>
      <c r="F991" s="5"/>
      <c r="G991" s="5"/>
    </row>
    <row r="992" spans="2:7" ht="13">
      <c r="B992" s="36"/>
      <c r="C992" s="37"/>
      <c r="D992" s="5"/>
      <c r="E992" s="5"/>
      <c r="F992" s="5"/>
      <c r="G992" s="5"/>
    </row>
    <row r="993" spans="2:7" ht="13">
      <c r="B993" s="36"/>
      <c r="C993" s="37"/>
      <c r="D993" s="5"/>
      <c r="E993" s="5"/>
      <c r="F993" s="5"/>
      <c r="G993" s="5"/>
    </row>
    <row r="994" spans="2:7" ht="13">
      <c r="B994" s="36"/>
      <c r="C994" s="37"/>
      <c r="D994" s="5"/>
      <c r="E994" s="5"/>
      <c r="F994" s="5"/>
      <c r="G994" s="5"/>
    </row>
    <row r="995" spans="2:7" ht="13">
      <c r="B995" s="36"/>
      <c r="C995" s="37"/>
      <c r="D995" s="5"/>
      <c r="E995" s="5"/>
      <c r="F995" s="5"/>
      <c r="G995" s="5"/>
    </row>
    <row r="996" spans="2:7" ht="13">
      <c r="B996" s="36"/>
      <c r="C996" s="37"/>
      <c r="D996" s="5"/>
      <c r="E996" s="5"/>
      <c r="F996" s="5"/>
      <c r="G996" s="5"/>
    </row>
    <row r="997" spans="2:7" ht="13">
      <c r="B997" s="36"/>
      <c r="C997" s="37"/>
      <c r="D997" s="5"/>
      <c r="E997" s="5"/>
      <c r="F997" s="5"/>
      <c r="G997" s="5"/>
    </row>
    <row r="998" spans="2:7" ht="13">
      <c r="B998" s="36"/>
      <c r="C998" s="37"/>
      <c r="D998" s="5"/>
      <c r="E998" s="5"/>
      <c r="F998" s="5"/>
      <c r="G998" s="5"/>
    </row>
    <row r="999" spans="2:7" ht="13">
      <c r="B999" s="36"/>
      <c r="C999" s="37"/>
      <c r="D999" s="5"/>
      <c r="E999" s="5"/>
      <c r="F999" s="5"/>
      <c r="G999" s="5"/>
    </row>
    <row r="1000" spans="2:7" ht="13">
      <c r="B1000" s="36"/>
      <c r="C1000" s="37"/>
      <c r="D1000" s="5"/>
      <c r="E1000" s="5"/>
      <c r="F1000" s="5"/>
      <c r="G1000" s="5"/>
    </row>
    <row r="1001" spans="2:7" ht="13">
      <c r="B1001" s="36"/>
      <c r="C1001" s="37"/>
      <c r="D1001" s="5"/>
      <c r="E1001" s="5"/>
      <c r="F1001" s="5"/>
      <c r="G1001" s="5"/>
    </row>
    <row r="1002" spans="2:7" ht="13">
      <c r="B1002" s="36"/>
      <c r="C1002" s="37"/>
      <c r="D1002" s="5"/>
      <c r="E1002" s="5"/>
      <c r="F1002" s="5"/>
      <c r="G1002" s="5"/>
    </row>
  </sheetData>
  <hyperlinks>
    <hyperlink ref="B5" r:id="rId1" xr:uid="{00000000-0004-0000-4A00-000000000000}"/>
    <hyperlink ref="B6" r:id="rId2" xr:uid="{00000000-0004-0000-4A00-000001000000}"/>
    <hyperlink ref="B7" r:id="rId3" xr:uid="{00000000-0004-0000-4A00-000002000000}"/>
    <hyperlink ref="B8" r:id="rId4" xr:uid="{00000000-0004-0000-4A00-000003000000}"/>
    <hyperlink ref="B9" r:id="rId5" xr:uid="{00000000-0004-0000-4A00-000004000000}"/>
    <hyperlink ref="B10" r:id="rId6" xr:uid="{00000000-0004-0000-4A00-000005000000}"/>
    <hyperlink ref="B11" r:id="rId7" xr:uid="{00000000-0004-0000-4A00-000006000000}"/>
    <hyperlink ref="B12" r:id="rId8" xr:uid="{00000000-0004-0000-4A00-000007000000}"/>
    <hyperlink ref="B13" r:id="rId9" xr:uid="{00000000-0004-0000-4A00-000008000000}"/>
    <hyperlink ref="B14" r:id="rId10" xr:uid="{00000000-0004-0000-4A00-000009000000}"/>
    <hyperlink ref="B15" r:id="rId11" xr:uid="{00000000-0004-0000-4A00-00000A000000}"/>
    <hyperlink ref="B16" r:id="rId12" xr:uid="{00000000-0004-0000-4A00-00000B000000}"/>
    <hyperlink ref="B17" r:id="rId13" xr:uid="{00000000-0004-0000-4A00-00000C000000}"/>
    <hyperlink ref="B18" r:id="rId14" xr:uid="{00000000-0004-0000-4A00-00000D000000}"/>
    <hyperlink ref="B19" r:id="rId15" xr:uid="{00000000-0004-0000-4A00-00000E000000}"/>
    <hyperlink ref="B20" r:id="rId16" xr:uid="{00000000-0004-0000-4A00-00000F000000}"/>
    <hyperlink ref="B21" r:id="rId17" xr:uid="{00000000-0004-0000-4A00-000010000000}"/>
    <hyperlink ref="B22" r:id="rId18" xr:uid="{00000000-0004-0000-4A00-000011000000}"/>
    <hyperlink ref="B23" r:id="rId19" xr:uid="{00000000-0004-0000-4A00-000012000000}"/>
    <hyperlink ref="B24" r:id="rId20" xr:uid="{00000000-0004-0000-4A00-000013000000}"/>
    <hyperlink ref="B25" r:id="rId21" xr:uid="{00000000-0004-0000-4A00-000014000000}"/>
    <hyperlink ref="B26" r:id="rId22" xr:uid="{00000000-0004-0000-4A00-000015000000}"/>
    <hyperlink ref="B27" r:id="rId23" xr:uid="{00000000-0004-0000-4A00-000016000000}"/>
    <hyperlink ref="B28" r:id="rId24" xr:uid="{00000000-0004-0000-4A00-000017000000}"/>
    <hyperlink ref="B29" r:id="rId25" xr:uid="{00000000-0004-0000-4A00-000018000000}"/>
    <hyperlink ref="B31" r:id="rId26" xr:uid="{00000000-0004-0000-4A00-000019000000}"/>
    <hyperlink ref="B32" r:id="rId27" xr:uid="{00000000-0004-0000-4A00-00001A000000}"/>
    <hyperlink ref="B33" r:id="rId28" xr:uid="{00000000-0004-0000-4A00-00001B000000}"/>
    <hyperlink ref="B34" r:id="rId29" xr:uid="{00000000-0004-0000-4A00-00001C000000}"/>
    <hyperlink ref="B35" r:id="rId30" xr:uid="{00000000-0004-0000-4A00-00001D000000}"/>
    <hyperlink ref="B36" r:id="rId31" xr:uid="{00000000-0004-0000-4A00-00001E000000}"/>
    <hyperlink ref="B37" r:id="rId32" xr:uid="{00000000-0004-0000-4A00-00001F000000}"/>
    <hyperlink ref="B40" r:id="rId33" xr:uid="{00000000-0004-0000-4A00-000020000000}"/>
    <hyperlink ref="B41" r:id="rId34" xr:uid="{00000000-0004-0000-4A00-000021000000}"/>
    <hyperlink ref="B42" r:id="rId35" xr:uid="{00000000-0004-0000-4A00-000022000000}"/>
    <hyperlink ref="B43" r:id="rId36" xr:uid="{00000000-0004-0000-4A00-000023000000}"/>
    <hyperlink ref="B44" r:id="rId37" xr:uid="{00000000-0004-0000-4A00-000024000000}"/>
    <hyperlink ref="B45" r:id="rId38" xr:uid="{00000000-0004-0000-4A00-000025000000}"/>
    <hyperlink ref="B46" r:id="rId39" xr:uid="{00000000-0004-0000-4A00-000026000000}"/>
    <hyperlink ref="B47" r:id="rId40" xr:uid="{00000000-0004-0000-4A00-000027000000}"/>
    <hyperlink ref="B48" r:id="rId41" xr:uid="{00000000-0004-0000-4A00-000028000000}"/>
    <hyperlink ref="B49" r:id="rId42" xr:uid="{00000000-0004-0000-4A00-000029000000}"/>
    <hyperlink ref="B50" r:id="rId43" xr:uid="{00000000-0004-0000-4A00-00002A000000}"/>
    <hyperlink ref="B51" r:id="rId44" xr:uid="{00000000-0004-0000-4A00-00002B000000}"/>
    <hyperlink ref="B52" r:id="rId45" xr:uid="{00000000-0004-0000-4A00-00002C000000}"/>
    <hyperlink ref="B53" r:id="rId46" xr:uid="{00000000-0004-0000-4A00-00002D000000}"/>
    <hyperlink ref="B54" r:id="rId47" xr:uid="{00000000-0004-0000-4A00-00002E000000}"/>
    <hyperlink ref="B55" r:id="rId48" xr:uid="{00000000-0004-0000-4A00-00002F000000}"/>
    <hyperlink ref="B56" r:id="rId49" xr:uid="{00000000-0004-0000-4A00-000030000000}"/>
    <hyperlink ref="B57" r:id="rId50" xr:uid="{00000000-0004-0000-4A00-000031000000}"/>
    <hyperlink ref="B58" r:id="rId51" xr:uid="{00000000-0004-0000-4A00-000032000000}"/>
    <hyperlink ref="B59" r:id="rId52" xr:uid="{00000000-0004-0000-4A00-000033000000}"/>
    <hyperlink ref="B60" r:id="rId53" xr:uid="{00000000-0004-0000-4A00-000034000000}"/>
    <hyperlink ref="B61" r:id="rId54" xr:uid="{00000000-0004-0000-4A00-000035000000}"/>
    <hyperlink ref="B67" r:id="rId55" xr:uid="{00000000-0004-0000-4A00-000036000000}"/>
    <hyperlink ref="B68" r:id="rId56" xr:uid="{00000000-0004-0000-4A00-000037000000}"/>
    <hyperlink ref="B69" r:id="rId57" xr:uid="{00000000-0004-0000-4A00-000038000000}"/>
    <hyperlink ref="B70" r:id="rId58" xr:uid="{00000000-0004-0000-4A00-000039000000}"/>
    <hyperlink ref="B71" r:id="rId59" xr:uid="{00000000-0004-0000-4A00-00003A000000}"/>
    <hyperlink ref="B72" r:id="rId60" xr:uid="{00000000-0004-0000-4A00-00003B000000}"/>
    <hyperlink ref="B73" r:id="rId61" xr:uid="{00000000-0004-0000-4A00-00003C000000}"/>
    <hyperlink ref="B74" r:id="rId62" xr:uid="{00000000-0004-0000-4A00-00003D000000}"/>
    <hyperlink ref="B75" r:id="rId63" xr:uid="{00000000-0004-0000-4A00-00003E000000}"/>
    <hyperlink ref="B76" r:id="rId64" xr:uid="{00000000-0004-0000-4A00-00003F000000}"/>
    <hyperlink ref="B77" r:id="rId65" xr:uid="{00000000-0004-0000-4A00-000040000000}"/>
    <hyperlink ref="B78" r:id="rId66" xr:uid="{00000000-0004-0000-4A00-000041000000}"/>
    <hyperlink ref="B82" r:id="rId67" xr:uid="{00000000-0004-0000-4A00-000042000000}"/>
    <hyperlink ref="B83" r:id="rId68" xr:uid="{00000000-0004-0000-4A00-000043000000}"/>
    <hyperlink ref="B84" r:id="rId69" xr:uid="{00000000-0004-0000-4A00-000044000000}"/>
    <hyperlink ref="B85" r:id="rId70" xr:uid="{00000000-0004-0000-4A00-000045000000}"/>
    <hyperlink ref="B86" r:id="rId71" xr:uid="{00000000-0004-0000-4A00-000046000000}"/>
    <hyperlink ref="B87" r:id="rId72" xr:uid="{00000000-0004-0000-4A00-000047000000}"/>
    <hyperlink ref="B88" r:id="rId73" xr:uid="{00000000-0004-0000-4A00-000048000000}"/>
    <hyperlink ref="B89" r:id="rId74" xr:uid="{00000000-0004-0000-4A00-000049000000}"/>
    <hyperlink ref="B90" r:id="rId75" xr:uid="{00000000-0004-0000-4A00-00004A000000}"/>
    <hyperlink ref="B91" r:id="rId76" xr:uid="{00000000-0004-0000-4A00-00004B000000}"/>
    <hyperlink ref="B92" r:id="rId77" xr:uid="{00000000-0004-0000-4A00-00004C000000}"/>
    <hyperlink ref="B93" r:id="rId78" xr:uid="{00000000-0004-0000-4A00-00004D000000}"/>
    <hyperlink ref="B94" r:id="rId79" xr:uid="{00000000-0004-0000-4A00-00004E000000}"/>
    <hyperlink ref="B95" r:id="rId80" xr:uid="{00000000-0004-0000-4A00-00004F000000}"/>
    <hyperlink ref="B96" r:id="rId81" xr:uid="{00000000-0004-0000-4A00-000050000000}"/>
    <hyperlink ref="B97" r:id="rId82" xr:uid="{00000000-0004-0000-4A00-000051000000}"/>
    <hyperlink ref="B98" r:id="rId83" xr:uid="{00000000-0004-0000-4A00-000052000000}"/>
    <hyperlink ref="B99" r:id="rId84" xr:uid="{00000000-0004-0000-4A00-000053000000}"/>
    <hyperlink ref="B100" r:id="rId85" xr:uid="{00000000-0004-0000-4A00-000054000000}"/>
    <hyperlink ref="B101" r:id="rId86" xr:uid="{00000000-0004-0000-4A00-000055000000}"/>
    <hyperlink ref="B111" r:id="rId87" xr:uid="{00000000-0004-0000-4A00-000056000000}"/>
    <hyperlink ref="B112" r:id="rId88" xr:uid="{00000000-0004-0000-4A00-000057000000}"/>
    <hyperlink ref="B113" r:id="rId89" xr:uid="{00000000-0004-0000-4A00-000058000000}"/>
    <hyperlink ref="B114" r:id="rId90" xr:uid="{00000000-0004-0000-4A00-000059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6">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6.5" customWidth="1"/>
    <col min="3" max="3" width="13.5" customWidth="1"/>
    <col min="4" max="4" width="14.83203125" customWidth="1"/>
    <col min="5" max="5" width="14.33203125" customWidth="1"/>
    <col min="7" max="7" width="13.83203125" customWidth="1"/>
  </cols>
  <sheetData>
    <row r="1" spans="1:10" ht="15.75" customHeight="1">
      <c r="A1" s="1" t="s">
        <v>118</v>
      </c>
      <c r="B1" s="36"/>
      <c r="C1" s="80"/>
      <c r="D1" s="81" t="s">
        <v>181</v>
      </c>
      <c r="E1" s="5"/>
      <c r="F1" s="5"/>
      <c r="G1" s="5"/>
    </row>
    <row r="2" spans="1:10" ht="15.75" customHeight="1">
      <c r="A2" s="7" t="s">
        <v>182</v>
      </c>
      <c r="B2" s="38">
        <v>42228</v>
      </c>
      <c r="C2" s="80"/>
      <c r="D2" s="82">
        <f>SUM(D5:G104)</f>
        <v>0</v>
      </c>
      <c r="E2" s="5"/>
      <c r="F2" s="5"/>
      <c r="G2" s="5"/>
    </row>
    <row r="3" spans="1:10" ht="15.75" customHeight="1">
      <c r="B3" s="36"/>
      <c r="C3" s="80"/>
      <c r="D3" s="5"/>
      <c r="E3" s="5"/>
      <c r="F3" s="5"/>
      <c r="G3" s="5"/>
    </row>
    <row r="4" spans="1:10" ht="15.75" customHeight="1">
      <c r="A4" s="42" t="s">
        <v>183</v>
      </c>
      <c r="B4" s="43" t="s">
        <v>184</v>
      </c>
      <c r="C4" s="42" t="s">
        <v>185</v>
      </c>
      <c r="D4" s="83" t="s">
        <v>186</v>
      </c>
      <c r="E4" s="84" t="s">
        <v>187</v>
      </c>
      <c r="F4" s="84" t="s">
        <v>188</v>
      </c>
      <c r="G4" s="85" t="s">
        <v>189</v>
      </c>
      <c r="H4" s="84" t="s">
        <v>190</v>
      </c>
      <c r="I4" s="85"/>
    </row>
    <row r="5" spans="1:10" ht="15.75" customHeight="1">
      <c r="A5" s="64" t="s">
        <v>5473</v>
      </c>
      <c r="B5" s="77" t="s">
        <v>352</v>
      </c>
      <c r="C5" s="64" t="s">
        <v>205</v>
      </c>
      <c r="D5" s="86"/>
      <c r="E5" s="87"/>
      <c r="F5" s="87"/>
      <c r="G5" s="87"/>
      <c r="H5" s="88"/>
      <c r="I5" s="88"/>
      <c r="J5" s="88"/>
    </row>
    <row r="6" spans="1:10" ht="15.75" customHeight="1">
      <c r="A6" s="64" t="s">
        <v>5474</v>
      </c>
      <c r="B6" s="77" t="s">
        <v>335</v>
      </c>
      <c r="C6" s="64" t="s">
        <v>205</v>
      </c>
      <c r="D6" s="72"/>
      <c r="E6" s="5"/>
      <c r="F6" s="5"/>
      <c r="G6" s="5"/>
      <c r="J6" s="88"/>
    </row>
    <row r="7" spans="1:10" ht="15.75" customHeight="1">
      <c r="A7" s="64" t="s">
        <v>5475</v>
      </c>
      <c r="B7" s="77" t="s">
        <v>329</v>
      </c>
      <c r="C7" s="64" t="s">
        <v>205</v>
      </c>
      <c r="D7" s="76"/>
      <c r="E7" s="5"/>
      <c r="F7" s="5"/>
      <c r="G7" s="5"/>
    </row>
    <row r="8" spans="1:10" ht="15.75" customHeight="1">
      <c r="A8" s="64" t="s">
        <v>5476</v>
      </c>
      <c r="B8" s="77" t="s">
        <v>770</v>
      </c>
      <c r="C8" s="64" t="s">
        <v>205</v>
      </c>
      <c r="D8" s="76"/>
      <c r="E8" s="51"/>
      <c r="F8" s="5"/>
      <c r="G8" s="5"/>
    </row>
    <row r="9" spans="1:10" ht="15.75" customHeight="1">
      <c r="A9" s="64" t="s">
        <v>5477</v>
      </c>
      <c r="B9" s="77" t="s">
        <v>893</v>
      </c>
      <c r="C9" s="64" t="s">
        <v>205</v>
      </c>
      <c r="D9" s="72"/>
      <c r="E9" s="5"/>
      <c r="F9" s="5"/>
      <c r="G9" s="5"/>
    </row>
    <row r="10" spans="1:10" ht="15.75" customHeight="1">
      <c r="A10" s="64" t="s">
        <v>5478</v>
      </c>
      <c r="B10" s="77" t="s">
        <v>814</v>
      </c>
      <c r="C10" s="64" t="s">
        <v>205</v>
      </c>
      <c r="D10" s="72"/>
      <c r="E10" s="5"/>
      <c r="F10" s="5"/>
      <c r="G10" s="5"/>
    </row>
    <row r="11" spans="1:10" ht="15.75" customHeight="1">
      <c r="A11" s="64" t="s">
        <v>5479</v>
      </c>
      <c r="B11" s="78" t="str">
        <f>HYPERLINK("https://bulbapedia.bulbagarden.net/wiki/Sceptile-EX_(Ancient_Origins_7)","SceptileEX")</f>
        <v>SceptileEX</v>
      </c>
      <c r="C11" s="64" t="s">
        <v>205</v>
      </c>
      <c r="D11" s="76"/>
      <c r="E11" s="5"/>
      <c r="F11" s="5"/>
      <c r="G11" s="5"/>
    </row>
    <row r="12" spans="1:10" ht="15.75" customHeight="1">
      <c r="A12" s="64" t="s">
        <v>5480</v>
      </c>
      <c r="B12" s="79" t="str">
        <f>HYPERLINK("https://bulbapedia.bulbagarden.net/wiki/M_Sceptile-EX_(Ancient_Origins_8)","MSceptileEX")</f>
        <v>MSceptileEX</v>
      </c>
      <c r="C12" s="64" t="s">
        <v>205</v>
      </c>
      <c r="D12" s="76"/>
      <c r="E12" s="5"/>
      <c r="F12" s="5"/>
      <c r="G12" s="5"/>
    </row>
    <row r="13" spans="1:10" ht="15.75" customHeight="1">
      <c r="A13" s="64" t="s">
        <v>5481</v>
      </c>
      <c r="B13" s="77" t="s">
        <v>3146</v>
      </c>
      <c r="C13" s="64" t="s">
        <v>205</v>
      </c>
      <c r="D13" s="72"/>
      <c r="E13" s="5"/>
      <c r="F13" s="5"/>
      <c r="G13" s="5"/>
    </row>
    <row r="14" spans="1:10" ht="15.75" customHeight="1">
      <c r="A14" s="64" t="s">
        <v>5482</v>
      </c>
      <c r="B14" s="77" t="s">
        <v>3130</v>
      </c>
      <c r="C14" s="64" t="s">
        <v>205</v>
      </c>
      <c r="D14" s="72"/>
      <c r="E14" s="5"/>
      <c r="F14" s="5"/>
      <c r="G14" s="5"/>
    </row>
    <row r="15" spans="1:10" ht="15.75" customHeight="1">
      <c r="A15" s="64" t="s">
        <v>5483</v>
      </c>
      <c r="B15" s="77" t="s">
        <v>3130</v>
      </c>
      <c r="C15" s="64" t="s">
        <v>205</v>
      </c>
      <c r="D15" s="72"/>
      <c r="E15" s="5"/>
      <c r="F15" s="5"/>
      <c r="G15" s="5"/>
    </row>
    <row r="16" spans="1:10" ht="15.75" customHeight="1">
      <c r="A16" s="64" t="s">
        <v>5484</v>
      </c>
      <c r="B16" s="77" t="s">
        <v>4052</v>
      </c>
      <c r="C16" s="64" t="s">
        <v>205</v>
      </c>
      <c r="D16" s="76"/>
      <c r="E16" s="5"/>
      <c r="F16" s="5"/>
      <c r="G16" s="5"/>
    </row>
    <row r="17" spans="1:7" ht="15.75" customHeight="1">
      <c r="A17" s="64" t="s">
        <v>5485</v>
      </c>
      <c r="B17" s="77" t="s">
        <v>319</v>
      </c>
      <c r="C17" s="64" t="s">
        <v>199</v>
      </c>
      <c r="D17" s="72"/>
      <c r="E17" s="5"/>
      <c r="F17" s="5"/>
      <c r="G17" s="5"/>
    </row>
    <row r="18" spans="1:7" ht="15.75" customHeight="1">
      <c r="A18" s="64" t="s">
        <v>5486</v>
      </c>
      <c r="B18" s="77" t="s">
        <v>221</v>
      </c>
      <c r="C18" s="64" t="s">
        <v>199</v>
      </c>
      <c r="D18" s="72"/>
      <c r="E18" s="5"/>
      <c r="F18" s="5"/>
      <c r="G18" s="5"/>
    </row>
    <row r="19" spans="1:7" ht="15.75" customHeight="1">
      <c r="A19" s="64" t="s">
        <v>5487</v>
      </c>
      <c r="B19" s="77" t="s">
        <v>221</v>
      </c>
      <c r="C19" s="64" t="s">
        <v>199</v>
      </c>
      <c r="D19" s="76"/>
      <c r="E19" s="5"/>
      <c r="F19" s="5"/>
      <c r="G19" s="5"/>
    </row>
    <row r="20" spans="1:7" ht="15.75" customHeight="1">
      <c r="A20" s="64" t="s">
        <v>5488</v>
      </c>
      <c r="B20" s="77" t="s">
        <v>4057</v>
      </c>
      <c r="C20" s="64" t="s">
        <v>199</v>
      </c>
      <c r="D20" s="72"/>
      <c r="E20" s="5"/>
      <c r="F20" s="5"/>
      <c r="G20" s="5"/>
    </row>
    <row r="21" spans="1:7" ht="15.75" customHeight="1">
      <c r="A21" s="64" t="s">
        <v>5489</v>
      </c>
      <c r="B21" s="77" t="s">
        <v>4058</v>
      </c>
      <c r="C21" s="64" t="s">
        <v>199</v>
      </c>
      <c r="D21" s="76"/>
      <c r="E21" s="5"/>
      <c r="F21" s="5"/>
      <c r="G21" s="5"/>
    </row>
    <row r="22" spans="1:7" ht="15.75" customHeight="1">
      <c r="A22" s="64" t="s">
        <v>5490</v>
      </c>
      <c r="B22" s="77" t="s">
        <v>4058</v>
      </c>
      <c r="C22" s="64" t="s">
        <v>199</v>
      </c>
      <c r="D22" s="72"/>
      <c r="E22" s="5"/>
      <c r="F22" s="5"/>
      <c r="G22" s="5"/>
    </row>
    <row r="23" spans="1:7" ht="15.75" customHeight="1">
      <c r="A23" s="64" t="s">
        <v>5491</v>
      </c>
      <c r="B23" s="77" t="s">
        <v>268</v>
      </c>
      <c r="C23" s="64" t="s">
        <v>208</v>
      </c>
      <c r="D23" s="72"/>
      <c r="E23" s="51"/>
      <c r="F23" s="5"/>
      <c r="G23" s="5"/>
    </row>
    <row r="24" spans="1:7" ht="15.75" customHeight="1">
      <c r="A24" s="64" t="s">
        <v>5492</v>
      </c>
      <c r="B24" s="77" t="s">
        <v>245</v>
      </c>
      <c r="C24" s="64" t="s">
        <v>208</v>
      </c>
      <c r="D24" s="76"/>
      <c r="E24" s="5"/>
      <c r="F24" s="5"/>
      <c r="G24" s="5"/>
    </row>
    <row r="25" spans="1:7" ht="15.75" customHeight="1">
      <c r="A25" s="64" t="s">
        <v>5493</v>
      </c>
      <c r="B25" s="77" t="s">
        <v>245</v>
      </c>
      <c r="C25" s="64" t="s">
        <v>208</v>
      </c>
      <c r="D25" s="76"/>
      <c r="E25" s="5"/>
      <c r="F25" s="5"/>
      <c r="G25" s="5"/>
    </row>
    <row r="26" spans="1:7" ht="15.75" customHeight="1">
      <c r="A26" s="64" t="s">
        <v>5494</v>
      </c>
      <c r="B26" s="77" t="s">
        <v>326</v>
      </c>
      <c r="C26" s="64" t="s">
        <v>208</v>
      </c>
      <c r="D26" s="72"/>
      <c r="E26" s="5"/>
      <c r="F26" s="5"/>
      <c r="G26" s="5"/>
    </row>
    <row r="27" spans="1:7" ht="15.75" customHeight="1">
      <c r="A27" s="64" t="s">
        <v>5495</v>
      </c>
      <c r="B27" s="77" t="s">
        <v>1824</v>
      </c>
      <c r="C27" s="64" t="s">
        <v>208</v>
      </c>
      <c r="D27" s="72"/>
      <c r="E27" s="5"/>
      <c r="F27" s="5"/>
      <c r="G27" s="5"/>
    </row>
    <row r="28" spans="1:7" ht="15.75" customHeight="1">
      <c r="A28" s="64" t="s">
        <v>5496</v>
      </c>
      <c r="B28" s="77" t="s">
        <v>2779</v>
      </c>
      <c r="C28" s="64" t="s">
        <v>208</v>
      </c>
      <c r="D28" s="72"/>
      <c r="E28" s="5"/>
      <c r="F28" s="5"/>
      <c r="G28" s="5"/>
    </row>
    <row r="29" spans="1:7" ht="15.75" customHeight="1">
      <c r="A29" s="64" t="s">
        <v>5497</v>
      </c>
      <c r="B29" s="78" t="str">
        <f>HYPERLINK("https://bulbapedia.bulbagarden.net/wiki/Kyurem-EX_(Ancient_Origins_25)","KyuremEX")</f>
        <v>KyuremEX</v>
      </c>
      <c r="C29" s="64" t="s">
        <v>208</v>
      </c>
      <c r="D29" s="76"/>
      <c r="E29" s="5"/>
      <c r="F29" s="5"/>
      <c r="G29" s="5"/>
    </row>
    <row r="30" spans="1:7" ht="15.75" customHeight="1">
      <c r="A30" s="64" t="s">
        <v>5498</v>
      </c>
      <c r="B30" s="77" t="s">
        <v>320</v>
      </c>
      <c r="C30" s="64" t="s">
        <v>192</v>
      </c>
      <c r="D30" s="76"/>
      <c r="E30" s="5"/>
      <c r="F30" s="5"/>
      <c r="G30" s="5"/>
    </row>
    <row r="31" spans="1:7" ht="15.75" customHeight="1">
      <c r="A31" s="64" t="s">
        <v>5499</v>
      </c>
      <c r="B31" s="78" t="str">
        <f>HYPERLINK("https://bulbapedia.bulbagarden.net/wiki/Ampharos-EX_(Ancient_Origins_27)","AmpharosEX")</f>
        <v>AmpharosEX</v>
      </c>
      <c r="C31" s="64" t="s">
        <v>192</v>
      </c>
      <c r="D31" s="72"/>
      <c r="E31" s="5"/>
      <c r="F31" s="5"/>
      <c r="G31" s="5"/>
    </row>
    <row r="32" spans="1:7" ht="15.75" customHeight="1">
      <c r="A32" s="64" t="s">
        <v>5500</v>
      </c>
      <c r="B32" s="79" t="str">
        <f>HYPERLINK("https://bulbapedia.bulbagarden.net/wiki/M_Ampharos-EX_(Ancient_Origins_28)","MAmpharosEX")</f>
        <v>MAmpharosEX</v>
      </c>
      <c r="C32" s="64" t="s">
        <v>192</v>
      </c>
      <c r="D32" s="76"/>
      <c r="E32" s="5"/>
      <c r="F32" s="5"/>
      <c r="G32" s="5"/>
    </row>
    <row r="33" spans="1:7" ht="15.75" customHeight="1">
      <c r="A33" s="64" t="s">
        <v>5501</v>
      </c>
      <c r="B33" s="77" t="s">
        <v>3338</v>
      </c>
      <c r="C33" s="64" t="s">
        <v>192</v>
      </c>
      <c r="D33" s="72"/>
      <c r="E33" s="51"/>
      <c r="F33" s="5"/>
      <c r="G33" s="5"/>
    </row>
    <row r="34" spans="1:7" ht="15.75" customHeight="1">
      <c r="A34" s="64" t="s">
        <v>5502</v>
      </c>
      <c r="B34" s="77" t="s">
        <v>3964</v>
      </c>
      <c r="C34" s="64" t="s">
        <v>195</v>
      </c>
      <c r="D34" s="72"/>
      <c r="E34" s="51"/>
      <c r="F34" s="5"/>
      <c r="G34" s="5"/>
    </row>
    <row r="35" spans="1:7" ht="15.75" customHeight="1">
      <c r="A35" s="64" t="s">
        <v>5503</v>
      </c>
      <c r="B35" s="77" t="s">
        <v>1400</v>
      </c>
      <c r="C35" s="64" t="s">
        <v>195</v>
      </c>
      <c r="D35" s="72"/>
      <c r="E35" s="5"/>
      <c r="F35" s="5"/>
      <c r="G35" s="5"/>
    </row>
    <row r="36" spans="1:7" ht="15.75" customHeight="1">
      <c r="A36" s="64" t="s">
        <v>5504</v>
      </c>
      <c r="B36" s="77" t="s">
        <v>1400</v>
      </c>
      <c r="C36" s="64" t="s">
        <v>195</v>
      </c>
      <c r="D36" s="72"/>
      <c r="E36" s="5"/>
      <c r="F36" s="5"/>
      <c r="G36" s="5"/>
    </row>
    <row r="37" spans="1:7" ht="15.75" customHeight="1">
      <c r="A37" s="64" t="s">
        <v>5505</v>
      </c>
      <c r="B37" s="77" t="s">
        <v>1790</v>
      </c>
      <c r="C37" s="64" t="s">
        <v>195</v>
      </c>
      <c r="D37" s="76"/>
      <c r="E37" s="51"/>
      <c r="F37" s="5"/>
      <c r="G37" s="5"/>
    </row>
    <row r="38" spans="1:7" ht="15.75" customHeight="1">
      <c r="A38" s="64" t="s">
        <v>5506</v>
      </c>
      <c r="B38" s="77" t="s">
        <v>4097</v>
      </c>
      <c r="C38" s="64" t="s">
        <v>195</v>
      </c>
      <c r="D38" s="72"/>
      <c r="E38" s="51"/>
      <c r="F38" s="5"/>
      <c r="G38" s="5"/>
    </row>
    <row r="39" spans="1:7" ht="15.75" customHeight="1">
      <c r="A39" s="64" t="s">
        <v>5507</v>
      </c>
      <c r="B39" s="77" t="s">
        <v>4098</v>
      </c>
      <c r="C39" s="64" t="s">
        <v>195</v>
      </c>
      <c r="D39" s="76"/>
      <c r="E39" s="5"/>
      <c r="F39" s="5"/>
      <c r="G39" s="5"/>
    </row>
    <row r="40" spans="1:7" ht="15.75" customHeight="1">
      <c r="A40" s="64" t="s">
        <v>5508</v>
      </c>
      <c r="B40" s="78" t="str">
        <f>HYPERLINK("https://bulbapedia.bulbagarden.net/wiki/Hoopa-EX_(Ancient_Origins_36)","HoopaEX")</f>
        <v>HoopaEX</v>
      </c>
      <c r="C40" s="64" t="s">
        <v>195</v>
      </c>
      <c r="D40" s="76"/>
      <c r="E40" s="5"/>
      <c r="F40" s="5"/>
      <c r="G40" s="5"/>
    </row>
    <row r="41" spans="1:7" ht="15.75" customHeight="1">
      <c r="A41" s="64" t="s">
        <v>5509</v>
      </c>
      <c r="B41" s="78" t="str">
        <f>HYPERLINK("https://bulbapedia.bulbagarden.net/wiki/Machamp-EX_(Ancient_Origins_37)","MachampEX")</f>
        <v>MachampEX</v>
      </c>
      <c r="C41" s="64" t="s">
        <v>225</v>
      </c>
      <c r="D41" s="76"/>
      <c r="E41" s="5"/>
      <c r="F41" s="5"/>
      <c r="G41" s="5"/>
    </row>
    <row r="42" spans="1:7" ht="15.75" customHeight="1">
      <c r="A42" s="64" t="s">
        <v>5510</v>
      </c>
      <c r="B42" s="77" t="s">
        <v>906</v>
      </c>
      <c r="C42" s="64" t="s">
        <v>225</v>
      </c>
      <c r="D42" s="72"/>
      <c r="E42" s="5"/>
      <c r="F42" s="5"/>
      <c r="G42" s="5"/>
    </row>
    <row r="43" spans="1:7" ht="15.75" customHeight="1">
      <c r="A43" s="64" t="s">
        <v>5511</v>
      </c>
      <c r="B43" s="77" t="s">
        <v>844</v>
      </c>
      <c r="C43" s="64" t="s">
        <v>225</v>
      </c>
      <c r="D43" s="72"/>
      <c r="E43" s="5"/>
      <c r="F43" s="5"/>
      <c r="G43" s="5"/>
    </row>
    <row r="44" spans="1:7" ht="15.75" customHeight="1">
      <c r="A44" s="64" t="s">
        <v>5512</v>
      </c>
      <c r="B44" s="77" t="s">
        <v>2780</v>
      </c>
      <c r="C44" s="64" t="s">
        <v>225</v>
      </c>
      <c r="D44" s="76"/>
      <c r="E44" s="5"/>
      <c r="F44" s="5"/>
      <c r="G44" s="5"/>
    </row>
    <row r="45" spans="1:7" ht="15.75" customHeight="1">
      <c r="A45" s="64" t="s">
        <v>5513</v>
      </c>
      <c r="B45" s="77" t="s">
        <v>4098</v>
      </c>
      <c r="C45" s="64" t="s">
        <v>225</v>
      </c>
      <c r="D45" s="72"/>
      <c r="E45" s="5"/>
      <c r="F45" s="5"/>
      <c r="G45" s="5"/>
    </row>
    <row r="46" spans="1:7" ht="15.75" customHeight="1">
      <c r="A46" s="64" t="s">
        <v>5514</v>
      </c>
      <c r="B46" s="78" t="str">
        <f>HYPERLINK("https://bulbapedia.bulbagarden.net/wiki/Tyranitar-EX_(Ancient_Origins_42)","TyranitarEX")</f>
        <v>TyranitarEX</v>
      </c>
      <c r="C46" s="64" t="s">
        <v>808</v>
      </c>
      <c r="D46" s="76"/>
      <c r="E46" s="5"/>
      <c r="F46" s="5"/>
      <c r="G46" s="5"/>
    </row>
    <row r="47" spans="1:7" ht="15.75" customHeight="1">
      <c r="A47" s="64" t="s">
        <v>5515</v>
      </c>
      <c r="B47" s="79" t="str">
        <f>HYPERLINK("https://bulbapedia.bulbagarden.net/wiki/M_Tyranitar-EX_(Ancient_Origins_43)","MTyranitarEX")</f>
        <v>MTyranitarEX</v>
      </c>
      <c r="C47" s="64" t="s">
        <v>808</v>
      </c>
      <c r="D47" s="76"/>
      <c r="E47" s="5"/>
      <c r="F47" s="5"/>
      <c r="G47" s="5"/>
    </row>
    <row r="48" spans="1:7" ht="15.75" customHeight="1">
      <c r="A48" s="64" t="s">
        <v>5516</v>
      </c>
      <c r="B48" s="77" t="s">
        <v>1370</v>
      </c>
      <c r="C48" s="64" t="s">
        <v>808</v>
      </c>
      <c r="D48" s="72"/>
      <c r="E48" s="5"/>
      <c r="F48" s="5"/>
      <c r="G48" s="5"/>
    </row>
    <row r="49" spans="1:7" ht="15.75" customHeight="1">
      <c r="A49" s="64" t="s">
        <v>5517</v>
      </c>
      <c r="B49" s="77" t="s">
        <v>5011</v>
      </c>
      <c r="C49" s="64" t="s">
        <v>808</v>
      </c>
      <c r="D49" s="72"/>
      <c r="E49" s="5"/>
      <c r="F49" s="5"/>
      <c r="G49" s="5"/>
    </row>
    <row r="50" spans="1:7" ht="15.75" customHeight="1">
      <c r="A50" s="64" t="s">
        <v>5518</v>
      </c>
      <c r="B50" s="77" t="s">
        <v>4811</v>
      </c>
      <c r="C50" s="64" t="s">
        <v>808</v>
      </c>
      <c r="D50" s="72"/>
      <c r="E50" s="5"/>
      <c r="F50" s="5"/>
      <c r="G50" s="5"/>
    </row>
    <row r="51" spans="1:7" ht="15.75" customHeight="1">
      <c r="A51" s="64" t="s">
        <v>5519</v>
      </c>
      <c r="B51" s="77" t="s">
        <v>1197</v>
      </c>
      <c r="C51" s="64" t="s">
        <v>220</v>
      </c>
      <c r="D51" s="72"/>
      <c r="E51" s="51"/>
      <c r="F51" s="5"/>
      <c r="G51" s="5"/>
    </row>
    <row r="52" spans="1:7" ht="15.75" customHeight="1">
      <c r="A52" s="64" t="s">
        <v>5520</v>
      </c>
      <c r="B52" s="77" t="s">
        <v>1198</v>
      </c>
      <c r="C52" s="64" t="s">
        <v>220</v>
      </c>
      <c r="D52" s="72"/>
      <c r="E52" s="5"/>
      <c r="F52" s="5"/>
      <c r="G52" s="5"/>
    </row>
    <row r="53" spans="1:7" ht="13">
      <c r="A53" s="64" t="s">
        <v>5521</v>
      </c>
      <c r="B53" s="77" t="s">
        <v>1804</v>
      </c>
      <c r="C53" s="64" t="s">
        <v>220</v>
      </c>
      <c r="D53" s="72"/>
      <c r="E53" s="5"/>
      <c r="F53" s="5"/>
      <c r="G53" s="5"/>
    </row>
    <row r="54" spans="1:7" ht="13">
      <c r="A54" s="64" t="s">
        <v>5522</v>
      </c>
      <c r="B54" s="77" t="s">
        <v>1804</v>
      </c>
      <c r="C54" s="64" t="s">
        <v>220</v>
      </c>
      <c r="D54" s="76"/>
      <c r="E54" s="5"/>
      <c r="F54" s="5"/>
      <c r="G54" s="5"/>
    </row>
    <row r="55" spans="1:7" ht="13">
      <c r="A55" s="64" t="s">
        <v>5523</v>
      </c>
      <c r="B55" s="77" t="s">
        <v>2781</v>
      </c>
      <c r="C55" s="64" t="s">
        <v>220</v>
      </c>
      <c r="D55" s="72"/>
      <c r="E55" s="5"/>
      <c r="F55" s="5"/>
      <c r="G55" s="5"/>
    </row>
    <row r="56" spans="1:7" ht="13">
      <c r="A56" s="64" t="s">
        <v>5524</v>
      </c>
      <c r="B56" s="77" t="s">
        <v>1307</v>
      </c>
      <c r="C56" s="64" t="s">
        <v>4743</v>
      </c>
      <c r="D56" s="72"/>
      <c r="E56" s="5"/>
      <c r="F56" s="5"/>
      <c r="G56" s="5"/>
    </row>
    <row r="57" spans="1:7" ht="13">
      <c r="A57" s="64" t="s">
        <v>5525</v>
      </c>
      <c r="B57" s="77" t="s">
        <v>1262</v>
      </c>
      <c r="C57" s="64" t="s">
        <v>4743</v>
      </c>
      <c r="D57" s="76"/>
      <c r="E57" s="5"/>
      <c r="F57" s="5"/>
      <c r="G57" s="5"/>
    </row>
    <row r="58" spans="1:7" ht="13">
      <c r="A58" s="64" t="s">
        <v>5526</v>
      </c>
      <c r="B58" s="77" t="s">
        <v>1220</v>
      </c>
      <c r="C58" s="64" t="s">
        <v>4743</v>
      </c>
      <c r="D58" s="76"/>
      <c r="E58" s="5"/>
      <c r="F58" s="5"/>
      <c r="G58" s="5"/>
    </row>
    <row r="59" spans="1:7" ht="13">
      <c r="A59" s="64" t="s">
        <v>5527</v>
      </c>
      <c r="B59" s="77" t="s">
        <v>4356</v>
      </c>
      <c r="C59" s="64" t="s">
        <v>4743</v>
      </c>
      <c r="D59" s="72"/>
      <c r="E59" s="5"/>
      <c r="F59" s="5"/>
      <c r="G59" s="5"/>
    </row>
    <row r="60" spans="1:7" ht="13">
      <c r="A60" s="64" t="s">
        <v>5528</v>
      </c>
      <c r="B60" s="77" t="s">
        <v>4358</v>
      </c>
      <c r="C60" s="64" t="s">
        <v>4743</v>
      </c>
      <c r="D60" s="76"/>
      <c r="E60" s="5"/>
      <c r="F60" s="5"/>
      <c r="G60" s="5"/>
    </row>
    <row r="61" spans="1:7" ht="13">
      <c r="A61" s="64" t="s">
        <v>5529</v>
      </c>
      <c r="B61" s="78" t="str">
        <f>HYPERLINK("https://bulbapedia.bulbagarden.net/wiki/Giratina-EX_(Ancient_Origins_57)","GiratinaEX")</f>
        <v>GiratinaEX</v>
      </c>
      <c r="C61" s="64" t="s">
        <v>4285</v>
      </c>
      <c r="D61" s="76"/>
      <c r="E61" s="5"/>
      <c r="F61" s="5"/>
      <c r="G61" s="5"/>
    </row>
    <row r="62" spans="1:7" ht="13">
      <c r="A62" s="64" t="s">
        <v>5530</v>
      </c>
      <c r="B62" s="77" t="s">
        <v>5102</v>
      </c>
      <c r="C62" s="64" t="s">
        <v>4285</v>
      </c>
      <c r="D62" s="72"/>
      <c r="E62" s="5"/>
      <c r="F62" s="5"/>
      <c r="G62" s="5"/>
    </row>
    <row r="63" spans="1:7" ht="13">
      <c r="A63" s="64" t="s">
        <v>5531</v>
      </c>
      <c r="B63" s="77" t="s">
        <v>5103</v>
      </c>
      <c r="C63" s="64" t="s">
        <v>4285</v>
      </c>
      <c r="D63" s="72"/>
      <c r="E63" s="5"/>
      <c r="F63" s="5"/>
      <c r="G63" s="5"/>
    </row>
    <row r="64" spans="1:7" ht="13">
      <c r="A64" s="64" t="s">
        <v>5532</v>
      </c>
      <c r="B64" s="77" t="s">
        <v>5104</v>
      </c>
      <c r="C64" s="64" t="s">
        <v>4285</v>
      </c>
      <c r="D64" s="76"/>
      <c r="E64" s="5"/>
      <c r="F64" s="5"/>
      <c r="G64" s="5"/>
    </row>
    <row r="65" spans="1:7" ht="13">
      <c r="A65" s="64" t="s">
        <v>5533</v>
      </c>
      <c r="B65" s="77" t="s">
        <v>202</v>
      </c>
      <c r="C65" s="64" t="s">
        <v>197</v>
      </c>
      <c r="D65" s="72"/>
      <c r="E65" s="5"/>
      <c r="F65" s="5"/>
      <c r="G65" s="5"/>
    </row>
    <row r="66" spans="1:7" ht="13">
      <c r="A66" s="64" t="s">
        <v>5534</v>
      </c>
      <c r="B66" s="77" t="s">
        <v>340</v>
      </c>
      <c r="C66" s="64" t="s">
        <v>197</v>
      </c>
      <c r="D66" s="72"/>
      <c r="E66" s="5"/>
      <c r="F66" s="5"/>
      <c r="G66" s="5"/>
    </row>
    <row r="67" spans="1:7" ht="13">
      <c r="A67" s="64" t="s">
        <v>5535</v>
      </c>
      <c r="B67" s="77" t="s">
        <v>203</v>
      </c>
      <c r="C67" s="64" t="s">
        <v>197</v>
      </c>
      <c r="D67" s="72"/>
      <c r="E67" s="5"/>
      <c r="F67" s="5"/>
      <c r="G67" s="5"/>
    </row>
    <row r="68" spans="1:7" ht="13">
      <c r="A68" s="64" t="s">
        <v>5536</v>
      </c>
      <c r="B68" s="77" t="s">
        <v>271</v>
      </c>
      <c r="C68" s="64" t="s">
        <v>197</v>
      </c>
      <c r="D68" s="72"/>
      <c r="E68" s="5"/>
      <c r="F68" s="5"/>
      <c r="G68" s="5"/>
    </row>
    <row r="69" spans="1:7" ht="13">
      <c r="A69" s="64" t="s">
        <v>5537</v>
      </c>
      <c r="B69" s="77" t="s">
        <v>971</v>
      </c>
      <c r="C69" s="64" t="s">
        <v>197</v>
      </c>
      <c r="D69" s="72"/>
      <c r="E69" s="51"/>
      <c r="F69" s="5"/>
      <c r="G69" s="5"/>
    </row>
    <row r="70" spans="1:7" ht="13">
      <c r="A70" s="64" t="s">
        <v>5538</v>
      </c>
      <c r="B70" s="77" t="s">
        <v>3080</v>
      </c>
      <c r="C70" s="64" t="s">
        <v>197</v>
      </c>
      <c r="D70" s="72"/>
      <c r="E70" s="51"/>
      <c r="F70" s="5"/>
      <c r="G70" s="5"/>
    </row>
    <row r="71" spans="1:7" ht="13">
      <c r="A71" s="64" t="s">
        <v>5539</v>
      </c>
      <c r="B71" s="77" t="s">
        <v>3080</v>
      </c>
      <c r="C71" s="64" t="s">
        <v>197</v>
      </c>
      <c r="D71" s="76"/>
      <c r="E71" s="5"/>
      <c r="F71" s="5"/>
      <c r="G71" s="5"/>
    </row>
    <row r="72" spans="1:7" ht="13">
      <c r="A72" s="64" t="s">
        <v>5540</v>
      </c>
      <c r="B72" s="78" t="str">
        <f>HYPERLINK("https://bulbapedia.bulbagarden.net/wiki/Lugia-EX_(Ancient_Origins_68)","LugiaEX")</f>
        <v>LugiaEX</v>
      </c>
      <c r="C72" s="64" t="s">
        <v>197</v>
      </c>
      <c r="D72" s="76"/>
      <c r="E72" s="5"/>
      <c r="F72" s="5"/>
      <c r="G72" s="5"/>
    </row>
    <row r="73" spans="1:7" ht="13">
      <c r="A73" s="64" t="s">
        <v>5541</v>
      </c>
      <c r="B73" s="77" t="s">
        <v>5542</v>
      </c>
      <c r="C73" s="64" t="s">
        <v>1013</v>
      </c>
      <c r="D73" s="72"/>
      <c r="E73" s="5"/>
      <c r="F73" s="5"/>
      <c r="G73" s="5"/>
    </row>
    <row r="74" spans="1:7" ht="13">
      <c r="A74" s="64" t="s">
        <v>5543</v>
      </c>
      <c r="B74" s="77" t="s">
        <v>5544</v>
      </c>
      <c r="C74" s="64" t="s">
        <v>4114</v>
      </c>
      <c r="D74" s="72"/>
      <c r="E74" s="5"/>
      <c r="F74" s="5"/>
      <c r="G74" s="5"/>
    </row>
    <row r="75" spans="1:7" ht="13">
      <c r="A75" s="64" t="s">
        <v>5545</v>
      </c>
      <c r="B75" s="77" t="s">
        <v>5546</v>
      </c>
      <c r="C75" s="64" t="s">
        <v>4114</v>
      </c>
      <c r="D75" s="72"/>
      <c r="E75" s="5"/>
      <c r="F75" s="5"/>
      <c r="G75" s="5"/>
    </row>
    <row r="76" spans="1:7" ht="13">
      <c r="A76" s="64" t="s">
        <v>5547</v>
      </c>
      <c r="B76" s="77" t="s">
        <v>5548</v>
      </c>
      <c r="C76" s="64" t="s">
        <v>4114</v>
      </c>
      <c r="D76" s="72"/>
      <c r="E76" s="5"/>
      <c r="F76" s="5"/>
      <c r="G76" s="5"/>
    </row>
    <row r="77" spans="1:7" ht="13">
      <c r="A77" s="64" t="s">
        <v>5549</v>
      </c>
      <c r="B77" s="77" t="s">
        <v>5550</v>
      </c>
      <c r="C77" s="64" t="s">
        <v>229</v>
      </c>
      <c r="D77" s="72"/>
      <c r="E77" s="51"/>
      <c r="F77" s="5"/>
      <c r="G77" s="5"/>
    </row>
    <row r="78" spans="1:7" ht="13">
      <c r="A78" s="64" t="s">
        <v>5551</v>
      </c>
      <c r="B78" s="77" t="s">
        <v>5552</v>
      </c>
      <c r="C78" s="64" t="s">
        <v>229</v>
      </c>
      <c r="D78" s="72"/>
      <c r="E78" s="5"/>
      <c r="F78" s="5"/>
      <c r="G78" s="5"/>
    </row>
    <row r="79" spans="1:7" ht="13">
      <c r="A79" s="64" t="s">
        <v>5553</v>
      </c>
      <c r="B79" s="77" t="s">
        <v>5554</v>
      </c>
      <c r="C79" s="64" t="s">
        <v>1013</v>
      </c>
      <c r="D79" s="72"/>
      <c r="E79" s="5"/>
      <c r="F79" s="5"/>
      <c r="G79" s="5"/>
    </row>
    <row r="80" spans="1:7" ht="13">
      <c r="A80" s="64" t="s">
        <v>5555</v>
      </c>
      <c r="B80" s="77" t="s">
        <v>4140</v>
      </c>
      <c r="C80" s="64" t="s">
        <v>4114</v>
      </c>
      <c r="D80" s="76"/>
      <c r="E80" s="5"/>
      <c r="F80" s="5"/>
      <c r="G80" s="5"/>
    </row>
    <row r="81" spans="1:7" ht="13">
      <c r="A81" s="64" t="s">
        <v>5556</v>
      </c>
      <c r="B81" s="77" t="s">
        <v>5557</v>
      </c>
      <c r="C81" s="64" t="s">
        <v>4114</v>
      </c>
      <c r="D81" s="72"/>
      <c r="E81" s="5"/>
      <c r="F81" s="5"/>
      <c r="G81" s="5"/>
    </row>
    <row r="82" spans="1:7" ht="13">
      <c r="A82" s="64" t="s">
        <v>5558</v>
      </c>
      <c r="B82" s="77" t="s">
        <v>5107</v>
      </c>
      <c r="C82" s="64" t="s">
        <v>1013</v>
      </c>
      <c r="D82" s="76"/>
      <c r="E82" s="5"/>
      <c r="F82" s="5"/>
      <c r="G82" s="5"/>
    </row>
    <row r="83" spans="1:7" ht="13">
      <c r="A83" s="64" t="s">
        <v>5559</v>
      </c>
      <c r="B83" s="77" t="s">
        <v>5560</v>
      </c>
      <c r="C83" s="64" t="s">
        <v>4114</v>
      </c>
      <c r="D83" s="72"/>
      <c r="E83" s="5"/>
      <c r="F83" s="5"/>
      <c r="G83" s="5"/>
    </row>
    <row r="84" spans="1:7" ht="13">
      <c r="A84" s="64" t="s">
        <v>5561</v>
      </c>
      <c r="B84" s="77" t="s">
        <v>5562</v>
      </c>
      <c r="C84" s="64" t="s">
        <v>4114</v>
      </c>
      <c r="D84" s="76"/>
      <c r="E84" s="5"/>
      <c r="F84" s="5"/>
      <c r="G84" s="5"/>
    </row>
    <row r="85" spans="1:7" ht="13">
      <c r="A85" s="64" t="s">
        <v>5563</v>
      </c>
      <c r="B85" s="77" t="s">
        <v>5564</v>
      </c>
      <c r="C85" s="64" t="s">
        <v>4114</v>
      </c>
      <c r="D85" s="72"/>
      <c r="E85" s="5"/>
      <c r="F85" s="5"/>
      <c r="G85" s="5"/>
    </row>
    <row r="86" spans="1:7" ht="13">
      <c r="A86" s="64" t="s">
        <v>5565</v>
      </c>
      <c r="B86" s="77" t="s">
        <v>5566</v>
      </c>
      <c r="C86" s="64" t="s">
        <v>317</v>
      </c>
      <c r="D86" s="76"/>
      <c r="E86" s="5"/>
      <c r="F86" s="5"/>
      <c r="G86" s="5"/>
    </row>
    <row r="87" spans="1:7" ht="13">
      <c r="A87" s="64" t="s">
        <v>5567</v>
      </c>
      <c r="B87" s="77" t="s">
        <v>5568</v>
      </c>
      <c r="C87" s="64" t="s">
        <v>317</v>
      </c>
      <c r="D87" s="72"/>
      <c r="E87" s="5"/>
      <c r="F87" s="5"/>
      <c r="G87" s="5"/>
    </row>
    <row r="88" spans="1:7" ht="13">
      <c r="A88" s="64" t="s">
        <v>5569</v>
      </c>
      <c r="B88" s="78" t="str">
        <f>HYPERLINK("https://bulbapedia.bulbagarden.net/wiki/Sceptile-EX_(Ancient_Origins_84)","SceptileEX")</f>
        <v>SceptileEX</v>
      </c>
      <c r="C88" s="64" t="s">
        <v>205</v>
      </c>
      <c r="D88" s="76"/>
      <c r="E88" s="5"/>
      <c r="F88" s="5"/>
      <c r="G88" s="5"/>
    </row>
    <row r="89" spans="1:7" ht="13">
      <c r="A89" s="64" t="s">
        <v>5570</v>
      </c>
      <c r="B89" s="79" t="str">
        <f>HYPERLINK("https://bulbapedia.bulbagarden.net/wiki/M_Sceptile-EX_(Ancient_Origins_85)","MSceptileEX")</f>
        <v>MSceptileEX</v>
      </c>
      <c r="C89" s="64" t="s">
        <v>205</v>
      </c>
      <c r="D89" s="76"/>
      <c r="E89" s="5"/>
      <c r="F89" s="5"/>
      <c r="G89" s="5"/>
    </row>
    <row r="90" spans="1:7" ht="13">
      <c r="A90" s="64" t="s">
        <v>5571</v>
      </c>
      <c r="B90" s="78" t="str">
        <f>HYPERLINK("https://bulbapedia.bulbagarden.net/wiki/Kyurem-EX_(Ancient_Origins_86)","KyuremEX")</f>
        <v>KyuremEX</v>
      </c>
      <c r="C90" s="64" t="s">
        <v>208</v>
      </c>
      <c r="D90" s="76"/>
      <c r="E90" s="5"/>
      <c r="F90" s="5"/>
      <c r="G90" s="5"/>
    </row>
    <row r="91" spans="1:7" ht="13">
      <c r="A91" s="64" t="s">
        <v>5572</v>
      </c>
      <c r="B91" s="78" t="str">
        <f>HYPERLINK("https://bulbapedia.bulbagarden.net/wiki/Ampharos-EX_(Ancient_Origins_87)","AmpharosEX")</f>
        <v>AmpharosEX</v>
      </c>
      <c r="C91" s="64" t="s">
        <v>192</v>
      </c>
      <c r="D91" s="76"/>
      <c r="E91" s="5"/>
      <c r="F91" s="5"/>
      <c r="G91" s="5"/>
    </row>
    <row r="92" spans="1:7" ht="13">
      <c r="A92" s="64" t="s">
        <v>5573</v>
      </c>
      <c r="B92" s="79" t="str">
        <f>HYPERLINK("https://bulbapedia.bulbagarden.net/wiki/M_Ampharos-EX_(Ancient_Origins_88)","MAmpharosEX")</f>
        <v>MAmpharosEX</v>
      </c>
      <c r="C92" s="64" t="s">
        <v>192</v>
      </c>
      <c r="D92" s="76"/>
      <c r="E92" s="5"/>
      <c r="F92" s="5"/>
      <c r="G92" s="5"/>
    </row>
    <row r="93" spans="1:7" ht="13">
      <c r="A93" s="64" t="s">
        <v>5574</v>
      </c>
      <c r="B93" s="78" t="str">
        <f>HYPERLINK("https://bulbapedia.bulbagarden.net/wiki/Hoopa-EX_(Ancient_Origins_89)","HoopaEX")</f>
        <v>HoopaEX</v>
      </c>
      <c r="C93" s="64" t="s">
        <v>195</v>
      </c>
      <c r="D93" s="76"/>
      <c r="E93" s="5"/>
      <c r="F93" s="5"/>
      <c r="G93" s="5"/>
    </row>
    <row r="94" spans="1:7" ht="13">
      <c r="A94" s="64" t="s">
        <v>5575</v>
      </c>
      <c r="B94" s="78" t="str">
        <f>HYPERLINK("https://bulbapedia.bulbagarden.net/wiki/Machamp-EX_(Ancient_Origins_90)","MachampEX")</f>
        <v>MachampEX</v>
      </c>
      <c r="C94" s="64" t="s">
        <v>225</v>
      </c>
      <c r="D94" s="76"/>
      <c r="E94" s="5"/>
      <c r="F94" s="5"/>
      <c r="G94" s="5"/>
    </row>
    <row r="95" spans="1:7" ht="13">
      <c r="A95" s="64" t="s">
        <v>5576</v>
      </c>
      <c r="B95" s="78" t="str">
        <f>HYPERLINK("https://bulbapedia.bulbagarden.net/wiki/Tyranitar-EX_(Ancient_Origins_91)","TyranitarEX")</f>
        <v>TyranitarEX</v>
      </c>
      <c r="C95" s="64" t="s">
        <v>808</v>
      </c>
      <c r="D95" s="76"/>
      <c r="E95" s="5"/>
      <c r="F95" s="5"/>
      <c r="G95" s="5"/>
    </row>
    <row r="96" spans="1:7" ht="13">
      <c r="A96" s="64" t="s">
        <v>5577</v>
      </c>
      <c r="B96" s="79" t="str">
        <f>HYPERLINK("https://bulbapedia.bulbagarden.net/wiki/M_Tyranitar-EX_(Ancient_Origins_92)","MTyranitarEX")</f>
        <v>MTyranitarEX</v>
      </c>
      <c r="C96" s="64" t="s">
        <v>808</v>
      </c>
      <c r="D96" s="66"/>
      <c r="E96" s="5"/>
      <c r="F96" s="5"/>
      <c r="G96" s="5"/>
    </row>
    <row r="97" spans="1:7" ht="13">
      <c r="A97" s="64" t="s">
        <v>5578</v>
      </c>
      <c r="B97" s="78" t="str">
        <f>HYPERLINK("https://bulbapedia.bulbagarden.net/wiki/Giratina-EX_(Ancient_Origins_93)","GiratinaEX")</f>
        <v>GiratinaEX</v>
      </c>
      <c r="C97" s="64" t="s">
        <v>4285</v>
      </c>
      <c r="D97" s="76"/>
      <c r="E97" s="5"/>
      <c r="F97" s="5"/>
      <c r="G97" s="5"/>
    </row>
    <row r="98" spans="1:7" ht="13">
      <c r="A98" s="64" t="s">
        <v>5579</v>
      </c>
      <c r="B98" s="78" t="str">
        <f>HYPERLINK("https://bulbapedia.bulbagarden.net/wiki/Lugia-EX_(Ancient_Origins_94)","LugiaEX")</f>
        <v>LugiaEX</v>
      </c>
      <c r="C98" s="64" t="s">
        <v>197</v>
      </c>
      <c r="D98" s="76"/>
      <c r="E98" s="5"/>
      <c r="F98" s="5"/>
      <c r="G98" s="5"/>
    </row>
    <row r="99" spans="1:7" ht="13">
      <c r="A99" s="64" t="s">
        <v>5580</v>
      </c>
      <c r="B99" s="77" t="s">
        <v>5467</v>
      </c>
      <c r="C99" s="64" t="s">
        <v>1013</v>
      </c>
      <c r="D99" s="76"/>
      <c r="E99" s="5"/>
      <c r="F99" s="5"/>
      <c r="G99" s="5"/>
    </row>
    <row r="100" spans="1:7" ht="13">
      <c r="A100" s="64" t="s">
        <v>5581</v>
      </c>
      <c r="B100" s="78" t="str">
        <f>HYPERLINK("https://bulbapedia.bulbagarden.net/wiki/Primal_Kyogre-EX_(Ancient_Origins_96)","Primal KyogreEX")</f>
        <v>Primal KyogreEX</v>
      </c>
      <c r="C100" s="64" t="s">
        <v>208</v>
      </c>
      <c r="D100" s="76"/>
      <c r="E100" s="5"/>
      <c r="F100" s="5"/>
      <c r="G100" s="5"/>
    </row>
    <row r="101" spans="1:7" ht="13">
      <c r="A101" s="64" t="s">
        <v>5582</v>
      </c>
      <c r="B101" s="78" t="str">
        <f>HYPERLINK("https://bulbapedia.bulbagarden.net/wiki/Primal_Groudon-EX_(Ancient_Origins_97)","Primal GroudonEX")</f>
        <v>Primal GroudonEX</v>
      </c>
      <c r="C101" s="64" t="s">
        <v>225</v>
      </c>
      <c r="D101" s="76"/>
      <c r="E101" s="5"/>
      <c r="F101" s="5"/>
      <c r="G101" s="5"/>
    </row>
    <row r="102" spans="1:7" ht="13">
      <c r="A102" s="64" t="s">
        <v>5583</v>
      </c>
      <c r="B102" s="79" t="str">
        <f>HYPERLINK("https://bulbapedia.bulbagarden.net/wiki/M_Rayquaza-EX_(Ancient_Origins_98)","MRayquazaEX")</f>
        <v>MRayquazaEX</v>
      </c>
      <c r="C102" s="64" t="s">
        <v>197</v>
      </c>
      <c r="D102" s="76"/>
      <c r="E102" s="5"/>
      <c r="F102" s="5"/>
      <c r="G102" s="5"/>
    </row>
    <row r="103" spans="1:7" ht="13">
      <c r="A103" s="64" t="s">
        <v>5584</v>
      </c>
      <c r="B103" s="77" t="s">
        <v>307</v>
      </c>
      <c r="C103" s="64" t="s">
        <v>4114</v>
      </c>
      <c r="D103" s="76"/>
      <c r="E103" s="5"/>
      <c r="F103" s="5"/>
      <c r="G103" s="5"/>
    </row>
    <row r="104" spans="1:7" ht="13">
      <c r="A104" s="64" t="s">
        <v>5585</v>
      </c>
      <c r="B104" s="77" t="s">
        <v>5468</v>
      </c>
      <c r="C104" s="64" t="s">
        <v>4114</v>
      </c>
      <c r="D104" s="76"/>
      <c r="E104" s="5"/>
      <c r="F104" s="5"/>
      <c r="G104" s="5"/>
    </row>
    <row r="106" spans="1:7" ht="13">
      <c r="A106" s="64"/>
      <c r="B106" s="68"/>
      <c r="C106" s="64"/>
      <c r="D106" s="76"/>
      <c r="E106" s="5"/>
      <c r="F106" s="5"/>
      <c r="G106" s="5"/>
    </row>
    <row r="107" spans="1:7" ht="13">
      <c r="A107" s="64"/>
      <c r="B107" s="68"/>
      <c r="C107" s="64"/>
      <c r="D107" s="76"/>
      <c r="E107" s="5"/>
      <c r="F107" s="5"/>
      <c r="G107" s="5"/>
    </row>
    <row r="108" spans="1:7" ht="13">
      <c r="A108" s="64"/>
      <c r="B108" s="68"/>
      <c r="C108" s="64"/>
      <c r="D108" s="66"/>
      <c r="E108" s="5"/>
      <c r="F108" s="5"/>
      <c r="G108" s="5"/>
    </row>
    <row r="109" spans="1:7" ht="13">
      <c r="A109" s="64"/>
      <c r="B109" s="65"/>
      <c r="C109" s="64"/>
      <c r="D109" s="66"/>
      <c r="E109" s="5"/>
      <c r="F109" s="5"/>
      <c r="G109" s="5"/>
    </row>
    <row r="110" spans="1:7" ht="13">
      <c r="A110" s="64"/>
      <c r="B110" s="68"/>
      <c r="C110" s="64"/>
      <c r="D110" s="76"/>
      <c r="E110" s="5"/>
      <c r="F110" s="5"/>
      <c r="G110" s="5"/>
    </row>
    <row r="111" spans="1:7" ht="13">
      <c r="A111" s="64"/>
      <c r="B111" s="68"/>
      <c r="C111" s="64"/>
      <c r="D111" s="76"/>
      <c r="E111" s="5"/>
      <c r="F111" s="5"/>
      <c r="G111" s="5"/>
    </row>
    <row r="112" spans="1:7" ht="13">
      <c r="A112" s="64"/>
      <c r="B112" s="68"/>
      <c r="C112" s="64"/>
      <c r="D112" s="76"/>
      <c r="E112" s="5"/>
      <c r="F112" s="5"/>
      <c r="G112" s="5"/>
    </row>
    <row r="113" spans="1:7" ht="13">
      <c r="A113" s="64"/>
      <c r="B113" s="68"/>
      <c r="C113" s="64"/>
      <c r="D113" s="76"/>
      <c r="E113" s="5"/>
      <c r="F113" s="5"/>
      <c r="G113" s="5"/>
    </row>
    <row r="114" spans="1:7" ht="13">
      <c r="A114" s="64"/>
      <c r="B114" s="68"/>
      <c r="C114" s="64"/>
      <c r="D114" s="76"/>
      <c r="E114" s="5"/>
      <c r="F114" s="5"/>
      <c r="G114" s="5"/>
    </row>
    <row r="115" spans="1:7" ht="13">
      <c r="A115" s="64"/>
      <c r="B115" s="68"/>
      <c r="C115" s="64"/>
      <c r="D115" s="76"/>
      <c r="E115" s="5"/>
      <c r="F115" s="5"/>
      <c r="G115" s="5"/>
    </row>
    <row r="116" spans="1:7" ht="13">
      <c r="A116" s="64"/>
      <c r="B116" s="68"/>
      <c r="C116" s="64"/>
      <c r="D116" s="76"/>
      <c r="E116" s="5"/>
      <c r="F116" s="5"/>
      <c r="G116" s="5"/>
    </row>
    <row r="117" spans="1:7" ht="13">
      <c r="A117" s="64"/>
      <c r="B117" s="68"/>
      <c r="C117" s="64"/>
      <c r="D117" s="76"/>
      <c r="E117" s="5"/>
      <c r="F117" s="5"/>
      <c r="G117" s="5"/>
    </row>
    <row r="118" spans="1:7" ht="13">
      <c r="A118" s="64"/>
      <c r="B118" s="65"/>
      <c r="C118" s="64"/>
      <c r="D118" s="76"/>
      <c r="E118" s="5"/>
      <c r="F118" s="5"/>
      <c r="G118" s="5"/>
    </row>
    <row r="119" spans="1:7" ht="13">
      <c r="A119" s="64"/>
      <c r="B119" s="68"/>
      <c r="C119" s="64"/>
      <c r="D119" s="76"/>
      <c r="E119" s="5"/>
      <c r="F119" s="5"/>
      <c r="G119" s="5"/>
    </row>
    <row r="120" spans="1:7" ht="13">
      <c r="A120" s="64"/>
      <c r="B120" s="68"/>
      <c r="C120" s="64"/>
      <c r="D120" s="76"/>
      <c r="E120" s="5"/>
      <c r="F120" s="5"/>
      <c r="G120" s="5"/>
    </row>
    <row r="121" spans="1:7" ht="13">
      <c r="A121" s="64"/>
      <c r="B121" s="68"/>
      <c r="C121" s="64"/>
      <c r="D121" s="76"/>
      <c r="E121" s="5"/>
      <c r="F121" s="5"/>
      <c r="G121" s="5"/>
    </row>
    <row r="122" spans="1:7" ht="13">
      <c r="A122" s="64"/>
      <c r="B122" s="68"/>
      <c r="C122" s="64"/>
      <c r="D122" s="76"/>
      <c r="E122" s="5"/>
      <c r="F122" s="5"/>
      <c r="G122" s="5"/>
    </row>
    <row r="123" spans="1:7" ht="13">
      <c r="A123" s="64"/>
      <c r="B123" s="68"/>
      <c r="C123" s="64"/>
      <c r="D123" s="76"/>
      <c r="E123" s="5"/>
      <c r="F123" s="5"/>
      <c r="G123" s="5"/>
    </row>
    <row r="124" spans="1:7" ht="13">
      <c r="A124" s="64"/>
      <c r="B124" s="68"/>
      <c r="C124" s="64"/>
      <c r="D124" s="76"/>
      <c r="E124" s="5"/>
      <c r="F124" s="5"/>
      <c r="G124" s="5"/>
    </row>
    <row r="125" spans="1:7" ht="13">
      <c r="A125" s="64"/>
      <c r="B125" s="68"/>
      <c r="C125" s="64"/>
      <c r="D125" s="76"/>
      <c r="E125" s="5"/>
      <c r="F125" s="5"/>
      <c r="G125" s="5"/>
    </row>
    <row r="126" spans="1:7" ht="13">
      <c r="A126" s="64"/>
      <c r="B126" s="68"/>
      <c r="C126" s="64"/>
      <c r="D126" s="76"/>
      <c r="E126" s="5"/>
      <c r="F126" s="5"/>
      <c r="G126" s="5"/>
    </row>
    <row r="127" spans="1:7" ht="13">
      <c r="A127" s="64"/>
      <c r="B127" s="68"/>
      <c r="C127" s="64"/>
      <c r="D127" s="76"/>
      <c r="E127" s="5"/>
      <c r="F127" s="5"/>
      <c r="G127" s="5"/>
    </row>
    <row r="128" spans="1:7" ht="13">
      <c r="A128" s="64"/>
      <c r="B128" s="68"/>
      <c r="C128" s="64"/>
      <c r="D128" s="76"/>
      <c r="E128" s="5"/>
      <c r="F128" s="5"/>
      <c r="G128" s="5"/>
    </row>
    <row r="129" spans="1:7" ht="13">
      <c r="A129" s="64"/>
      <c r="B129" s="68"/>
      <c r="C129" s="64"/>
      <c r="D129" s="76"/>
      <c r="E129" s="5"/>
      <c r="F129" s="5"/>
      <c r="G129" s="5"/>
    </row>
    <row r="130" spans="1:7" ht="13">
      <c r="A130" s="64"/>
      <c r="B130" s="68"/>
      <c r="C130" s="64"/>
      <c r="D130" s="66"/>
      <c r="E130" s="5"/>
      <c r="F130" s="5"/>
      <c r="G130" s="5"/>
    </row>
    <row r="131" spans="1:7" ht="13">
      <c r="A131" s="64"/>
      <c r="B131" s="68"/>
      <c r="C131" s="64"/>
      <c r="D131" s="66"/>
      <c r="E131" s="5"/>
      <c r="F131" s="5"/>
      <c r="G131" s="5"/>
    </row>
    <row r="132" spans="1:7" ht="13">
      <c r="A132" s="64"/>
      <c r="B132" s="68"/>
      <c r="C132" s="64"/>
      <c r="D132" s="76"/>
      <c r="E132" s="5"/>
      <c r="F132" s="5"/>
      <c r="G132" s="5"/>
    </row>
    <row r="133" spans="1:7" ht="13">
      <c r="A133" s="64"/>
      <c r="B133" s="68"/>
      <c r="C133" s="64"/>
      <c r="D133" s="76"/>
      <c r="E133" s="5"/>
      <c r="F133" s="5"/>
      <c r="G133" s="5"/>
    </row>
    <row r="134" spans="1:7" ht="13">
      <c r="A134" s="64"/>
      <c r="B134" s="68"/>
      <c r="C134" s="64"/>
      <c r="D134" s="66"/>
      <c r="E134" s="5"/>
      <c r="F134" s="5"/>
      <c r="G134" s="5"/>
    </row>
    <row r="135" spans="1:7" ht="13">
      <c r="A135" s="64"/>
      <c r="B135" s="68"/>
      <c r="C135" s="64"/>
      <c r="D135" s="66"/>
      <c r="E135" s="5"/>
      <c r="F135" s="5"/>
      <c r="G135" s="5"/>
    </row>
    <row r="136" spans="1:7" ht="13">
      <c r="A136" s="64"/>
      <c r="B136" s="68"/>
      <c r="C136" s="64"/>
      <c r="D136" s="66"/>
      <c r="E136" s="5"/>
      <c r="F136" s="5"/>
      <c r="G136" s="5"/>
    </row>
    <row r="137" spans="1:7" ht="13">
      <c r="A137" s="64"/>
      <c r="B137" s="68"/>
      <c r="C137" s="64"/>
      <c r="D137" s="66"/>
      <c r="E137" s="5"/>
      <c r="F137" s="5"/>
      <c r="G137" s="5"/>
    </row>
    <row r="138" spans="1:7" ht="13">
      <c r="A138" s="64"/>
      <c r="B138" s="68"/>
      <c r="C138" s="64"/>
      <c r="D138" s="66"/>
      <c r="E138" s="5"/>
      <c r="F138" s="5"/>
      <c r="G138" s="5"/>
    </row>
    <row r="139" spans="1:7" ht="13">
      <c r="A139" s="64"/>
      <c r="B139" s="68"/>
      <c r="C139" s="64"/>
      <c r="D139" s="66"/>
      <c r="E139" s="5"/>
      <c r="F139" s="5"/>
      <c r="G139" s="5"/>
    </row>
    <row r="140" spans="1:7" ht="13">
      <c r="A140" s="64"/>
      <c r="B140" s="68"/>
      <c r="C140" s="64"/>
      <c r="D140" s="66"/>
      <c r="E140" s="5"/>
      <c r="F140" s="5"/>
      <c r="G140" s="5"/>
    </row>
    <row r="141" spans="1:7" ht="13">
      <c r="A141" s="64"/>
      <c r="B141" s="68"/>
      <c r="C141" s="64"/>
      <c r="D141" s="66"/>
      <c r="E141" s="5"/>
      <c r="F141" s="5"/>
      <c r="G141" s="5"/>
    </row>
    <row r="142" spans="1:7" ht="13">
      <c r="A142" s="64"/>
      <c r="B142" s="68"/>
      <c r="C142" s="64"/>
      <c r="D142" s="66"/>
      <c r="E142" s="5"/>
      <c r="F142" s="5"/>
      <c r="G142" s="5"/>
    </row>
    <row r="143" spans="1:7" ht="13">
      <c r="A143" s="64"/>
      <c r="B143" s="68"/>
      <c r="C143" s="64"/>
      <c r="D143" s="66"/>
      <c r="E143" s="5"/>
      <c r="F143" s="5"/>
      <c r="G143" s="5"/>
    </row>
    <row r="144" spans="1:7" ht="13">
      <c r="A144" s="64"/>
      <c r="B144" s="68"/>
      <c r="C144" s="64"/>
      <c r="D144" s="66"/>
      <c r="E144" s="5"/>
      <c r="F144" s="5"/>
      <c r="G144" s="5"/>
    </row>
    <row r="145" spans="1:7" ht="13">
      <c r="A145" s="64"/>
      <c r="B145" s="68"/>
      <c r="C145" s="64"/>
      <c r="D145" s="66"/>
      <c r="E145" s="5"/>
      <c r="F145" s="5"/>
      <c r="G145" s="5"/>
    </row>
    <row r="146" spans="1:7" ht="13">
      <c r="A146" s="64"/>
      <c r="B146" s="68"/>
      <c r="C146" s="64"/>
      <c r="D146" s="66"/>
      <c r="E146" s="5"/>
      <c r="F146" s="5"/>
      <c r="G146" s="5"/>
    </row>
    <row r="147" spans="1:7" ht="13">
      <c r="A147" s="64"/>
      <c r="B147" s="68"/>
      <c r="C147" s="64"/>
      <c r="D147" s="66"/>
      <c r="E147" s="5"/>
      <c r="F147" s="5"/>
      <c r="G147" s="5"/>
    </row>
    <row r="148" spans="1:7" ht="13">
      <c r="A148" s="64"/>
      <c r="B148" s="68"/>
      <c r="C148" s="64"/>
      <c r="D148" s="66"/>
      <c r="E148" s="5"/>
      <c r="F148" s="5"/>
      <c r="G148" s="5"/>
    </row>
    <row r="149" spans="1:7" ht="13">
      <c r="A149" s="64"/>
      <c r="B149" s="68"/>
      <c r="C149" s="64"/>
      <c r="D149" s="66"/>
      <c r="E149" s="5"/>
      <c r="F149" s="5"/>
      <c r="G149" s="5"/>
    </row>
    <row r="150" spans="1:7" ht="13">
      <c r="A150" s="64"/>
      <c r="B150" s="68"/>
      <c r="C150" s="64"/>
      <c r="D150" s="66"/>
      <c r="E150" s="5"/>
      <c r="F150" s="5"/>
      <c r="G150" s="5"/>
    </row>
    <row r="151" spans="1:7" ht="13">
      <c r="A151" s="64"/>
      <c r="B151" s="68"/>
      <c r="C151" s="64"/>
      <c r="D151" s="66"/>
      <c r="E151" s="5"/>
      <c r="F151" s="5"/>
      <c r="G151" s="5"/>
    </row>
    <row r="152" spans="1:7" ht="13">
      <c r="A152" s="64"/>
      <c r="B152" s="68"/>
      <c r="C152" s="64"/>
      <c r="D152" s="66"/>
      <c r="E152" s="5"/>
      <c r="F152" s="5"/>
      <c r="G152" s="5"/>
    </row>
    <row r="153" spans="1:7" ht="13">
      <c r="A153" s="64"/>
      <c r="B153" s="68"/>
      <c r="C153" s="64"/>
      <c r="D153" s="66"/>
      <c r="E153" s="5"/>
      <c r="F153" s="5"/>
      <c r="G153" s="5"/>
    </row>
    <row r="154" spans="1:7" ht="13">
      <c r="A154" s="64"/>
      <c r="B154" s="68"/>
      <c r="C154" s="64"/>
      <c r="D154" s="66"/>
      <c r="E154" s="5"/>
      <c r="F154" s="5"/>
      <c r="G154" s="5"/>
    </row>
    <row r="155" spans="1:7" ht="13">
      <c r="A155" s="64"/>
      <c r="B155" s="68"/>
      <c r="C155" s="64"/>
      <c r="D155" s="66"/>
      <c r="E155" s="5"/>
      <c r="F155" s="5"/>
      <c r="G155" s="5"/>
    </row>
    <row r="156" spans="1:7" ht="13">
      <c r="A156" s="64"/>
      <c r="B156" s="68"/>
      <c r="C156" s="64"/>
      <c r="D156" s="66"/>
      <c r="E156" s="5"/>
      <c r="F156" s="5"/>
      <c r="G156" s="5"/>
    </row>
    <row r="157" spans="1:7" ht="13">
      <c r="A157" s="64"/>
      <c r="B157" s="68"/>
      <c r="C157" s="64"/>
      <c r="D157" s="66"/>
      <c r="E157" s="5"/>
      <c r="F157" s="5"/>
      <c r="G157" s="5"/>
    </row>
    <row r="158" spans="1:7" ht="13">
      <c r="A158" s="64"/>
      <c r="B158" s="65"/>
      <c r="C158" s="64"/>
      <c r="D158" s="66"/>
      <c r="E158" s="5"/>
      <c r="F158" s="5"/>
      <c r="G158" s="5"/>
    </row>
    <row r="159" spans="1:7" ht="13">
      <c r="A159" s="64"/>
      <c r="B159" s="67"/>
      <c r="C159" s="64"/>
      <c r="D159" s="66"/>
      <c r="E159" s="5"/>
      <c r="F159" s="5"/>
      <c r="G159" s="5"/>
    </row>
    <row r="160" spans="1:7" ht="13">
      <c r="A160" s="64"/>
      <c r="B160" s="65"/>
      <c r="C160" s="64"/>
      <c r="D160" s="66"/>
      <c r="E160" s="5"/>
      <c r="F160" s="5"/>
      <c r="G160" s="5"/>
    </row>
    <row r="161" spans="1:7" ht="13">
      <c r="A161" s="64"/>
      <c r="B161" s="67"/>
      <c r="C161" s="64"/>
      <c r="D161" s="66"/>
      <c r="E161" s="5"/>
      <c r="F161" s="5"/>
      <c r="G161" s="5"/>
    </row>
    <row r="162" spans="1:7" ht="13">
      <c r="A162" s="64"/>
      <c r="B162" s="65"/>
      <c r="C162" s="64"/>
      <c r="D162" s="66"/>
      <c r="E162" s="5"/>
      <c r="F162" s="5"/>
      <c r="G162" s="5"/>
    </row>
    <row r="163" spans="1:7" ht="13">
      <c r="A163" s="64"/>
      <c r="B163" s="65"/>
      <c r="C163" s="64"/>
      <c r="D163" s="66"/>
      <c r="E163" s="5"/>
      <c r="F163" s="5"/>
      <c r="G163" s="5"/>
    </row>
    <row r="164" spans="1:7" ht="13">
      <c r="A164" s="64"/>
      <c r="B164" s="67"/>
      <c r="C164" s="64"/>
      <c r="D164" s="66"/>
      <c r="E164" s="5"/>
      <c r="F164" s="5"/>
      <c r="G164" s="5"/>
    </row>
    <row r="165" spans="1:7" ht="13">
      <c r="A165" s="64"/>
      <c r="B165" s="67"/>
      <c r="C165" s="64"/>
      <c r="D165" s="66"/>
      <c r="E165" s="5"/>
      <c r="F165" s="5"/>
      <c r="G165" s="5"/>
    </row>
    <row r="166" spans="1:7" ht="13">
      <c r="A166" s="64"/>
      <c r="B166" s="68"/>
      <c r="C166" s="64"/>
      <c r="D166" s="66"/>
      <c r="E166" s="5"/>
      <c r="F166" s="5"/>
      <c r="G166" s="5"/>
    </row>
    <row r="167" spans="1:7" ht="13">
      <c r="A167" s="64"/>
      <c r="B167" s="68"/>
      <c r="C167" s="64"/>
      <c r="D167" s="66"/>
      <c r="E167" s="5"/>
      <c r="F167" s="5"/>
      <c r="G167" s="5"/>
    </row>
    <row r="168" spans="1:7" ht="13">
      <c r="A168" s="64"/>
      <c r="B168" s="65"/>
      <c r="C168" s="64"/>
      <c r="D168" s="66"/>
      <c r="E168" s="5"/>
      <c r="F168" s="5"/>
      <c r="G168" s="5"/>
    </row>
    <row r="169" spans="1:7" ht="13">
      <c r="A169" s="64"/>
      <c r="B169" s="65"/>
      <c r="C169" s="64"/>
      <c r="D169" s="66"/>
      <c r="E169" s="5"/>
      <c r="F169" s="5"/>
      <c r="G169" s="5"/>
    </row>
    <row r="170" spans="1:7" ht="13">
      <c r="A170" s="48"/>
      <c r="B170" s="69"/>
      <c r="C170" s="48"/>
      <c r="D170" s="47"/>
      <c r="E170" s="5"/>
      <c r="F170" s="5"/>
      <c r="G170" s="5"/>
    </row>
    <row r="171" spans="1:7" ht="13">
      <c r="A171" s="48"/>
      <c r="B171" s="71"/>
      <c r="C171" s="48"/>
      <c r="D171" s="47"/>
      <c r="E171" s="5"/>
      <c r="F171" s="5"/>
      <c r="G171" s="5"/>
    </row>
    <row r="172" spans="1:7" ht="13">
      <c r="A172" s="48"/>
      <c r="B172" s="71"/>
      <c r="C172" s="48"/>
      <c r="D172" s="47"/>
      <c r="E172" s="5"/>
      <c r="F172" s="5"/>
      <c r="G172" s="5"/>
    </row>
    <row r="173" spans="1:7" ht="13">
      <c r="A173" s="48"/>
      <c r="B173" s="71"/>
      <c r="C173" s="48"/>
      <c r="D173" s="47"/>
      <c r="E173" s="5"/>
      <c r="F173" s="5"/>
      <c r="G173" s="5"/>
    </row>
    <row r="174" spans="1:7" ht="13">
      <c r="A174" s="48"/>
      <c r="B174" s="71"/>
      <c r="C174" s="48"/>
      <c r="D174" s="47"/>
      <c r="E174" s="5"/>
      <c r="F174" s="5"/>
      <c r="G174" s="5"/>
    </row>
    <row r="175" spans="1:7" ht="13">
      <c r="A175" s="48"/>
      <c r="B175" s="71"/>
      <c r="C175" s="48"/>
      <c r="D175" s="47"/>
      <c r="E175" s="5"/>
      <c r="F175" s="5"/>
      <c r="G175" s="5"/>
    </row>
    <row r="176" spans="1:7" ht="13">
      <c r="A176" s="48"/>
      <c r="B176" s="71"/>
      <c r="C176" s="48"/>
      <c r="D176" s="47"/>
      <c r="E176" s="5"/>
      <c r="F176" s="5"/>
      <c r="G176" s="5"/>
    </row>
    <row r="177" spans="1:7" ht="13">
      <c r="A177" s="48"/>
      <c r="B177" s="69"/>
      <c r="C177" s="48"/>
      <c r="D177" s="47"/>
      <c r="E177" s="5"/>
      <c r="F177" s="5"/>
      <c r="G177" s="5"/>
    </row>
    <row r="178" spans="1:7" ht="13">
      <c r="A178" s="48"/>
      <c r="B178" s="69"/>
      <c r="C178" s="48"/>
      <c r="D178" s="47"/>
      <c r="E178" s="5"/>
      <c r="F178" s="5"/>
      <c r="G178" s="5"/>
    </row>
    <row r="179" spans="1:7" ht="13">
      <c r="B179" s="36"/>
      <c r="C179" s="80"/>
      <c r="D179" s="5"/>
      <c r="E179" s="5"/>
      <c r="F179" s="5"/>
      <c r="G179" s="5"/>
    </row>
    <row r="180" spans="1:7" ht="13">
      <c r="B180" s="36"/>
      <c r="C180" s="80"/>
      <c r="D180" s="5"/>
      <c r="E180" s="5"/>
      <c r="F180" s="5"/>
      <c r="G180" s="5"/>
    </row>
    <row r="181" spans="1:7" ht="13">
      <c r="B181" s="36"/>
      <c r="C181" s="80"/>
      <c r="D181" s="5"/>
      <c r="E181" s="5"/>
      <c r="F181" s="5"/>
      <c r="G181" s="5"/>
    </row>
    <row r="182" spans="1:7" ht="13">
      <c r="B182" s="36"/>
      <c r="C182" s="80"/>
      <c r="D182" s="5"/>
      <c r="E182" s="5"/>
      <c r="F182" s="5"/>
      <c r="G182" s="5"/>
    </row>
    <row r="183" spans="1:7" ht="13">
      <c r="B183" s="36"/>
      <c r="C183" s="80"/>
      <c r="D183" s="5"/>
      <c r="E183" s="5"/>
      <c r="F183" s="5"/>
      <c r="G183" s="5"/>
    </row>
    <row r="184" spans="1:7" ht="13">
      <c r="B184" s="36"/>
      <c r="C184" s="80"/>
      <c r="D184" s="5"/>
      <c r="E184" s="5"/>
      <c r="F184" s="5"/>
      <c r="G184" s="5"/>
    </row>
    <row r="185" spans="1:7" ht="13">
      <c r="B185" s="36"/>
      <c r="C185" s="80"/>
      <c r="D185" s="5"/>
      <c r="E185" s="5"/>
      <c r="F185" s="5"/>
      <c r="G185" s="5"/>
    </row>
    <row r="186" spans="1:7" ht="13">
      <c r="B186" s="36"/>
      <c r="C186" s="80"/>
      <c r="D186" s="5"/>
      <c r="E186" s="5"/>
      <c r="F186" s="5"/>
      <c r="G186" s="5"/>
    </row>
    <row r="187" spans="1:7" ht="13">
      <c r="B187" s="36"/>
      <c r="C187" s="80"/>
      <c r="D187" s="5"/>
      <c r="E187" s="5"/>
      <c r="F187" s="5"/>
      <c r="G187" s="5"/>
    </row>
    <row r="188" spans="1:7" ht="13">
      <c r="B188" s="36"/>
      <c r="C188" s="80"/>
      <c r="D188" s="5"/>
      <c r="E188" s="5"/>
      <c r="F188" s="5"/>
      <c r="G188" s="5"/>
    </row>
    <row r="189" spans="1:7" ht="13">
      <c r="B189" s="36"/>
      <c r="C189" s="80"/>
      <c r="D189" s="5"/>
      <c r="E189" s="5"/>
      <c r="F189" s="5"/>
      <c r="G189" s="5"/>
    </row>
    <row r="190" spans="1:7" ht="13">
      <c r="B190" s="36"/>
      <c r="C190" s="80"/>
      <c r="D190" s="5"/>
      <c r="E190" s="5"/>
      <c r="F190" s="5"/>
      <c r="G190" s="5"/>
    </row>
    <row r="191" spans="1:7" ht="13">
      <c r="B191" s="36"/>
      <c r="C191" s="80"/>
      <c r="D191" s="5"/>
      <c r="E191" s="5"/>
      <c r="F191" s="5"/>
      <c r="G191" s="5"/>
    </row>
    <row r="192" spans="1:7" ht="13">
      <c r="B192" s="36"/>
      <c r="C192" s="80"/>
      <c r="D192" s="5"/>
      <c r="E192" s="5"/>
      <c r="F192" s="5"/>
      <c r="G192" s="5"/>
    </row>
    <row r="193" spans="2:7" ht="13">
      <c r="B193" s="36"/>
      <c r="C193" s="80"/>
      <c r="D193" s="5"/>
      <c r="E193" s="5"/>
      <c r="F193" s="5"/>
      <c r="G193" s="5"/>
    </row>
    <row r="194" spans="2:7" ht="13">
      <c r="B194" s="36"/>
      <c r="C194" s="80"/>
      <c r="D194" s="5"/>
      <c r="E194" s="5"/>
      <c r="F194" s="5"/>
      <c r="G194" s="5"/>
    </row>
    <row r="195" spans="2:7" ht="13">
      <c r="B195" s="36"/>
      <c r="C195" s="80"/>
      <c r="D195" s="5"/>
      <c r="E195" s="5"/>
      <c r="F195" s="5"/>
      <c r="G195" s="5"/>
    </row>
    <row r="196" spans="2:7" ht="13">
      <c r="B196" s="36"/>
      <c r="C196" s="80"/>
      <c r="D196" s="5"/>
      <c r="E196" s="5"/>
      <c r="F196" s="5"/>
      <c r="G196" s="5"/>
    </row>
    <row r="197" spans="2:7" ht="13">
      <c r="B197" s="36"/>
      <c r="C197" s="80"/>
      <c r="D197" s="5"/>
      <c r="E197" s="5"/>
      <c r="F197" s="5"/>
      <c r="G197" s="5"/>
    </row>
    <row r="198" spans="2:7" ht="13">
      <c r="B198" s="36"/>
      <c r="C198" s="80"/>
      <c r="D198" s="5"/>
      <c r="E198" s="5"/>
      <c r="F198" s="5"/>
      <c r="G198" s="5"/>
    </row>
    <row r="199" spans="2:7" ht="13">
      <c r="B199" s="36"/>
      <c r="C199" s="80"/>
      <c r="D199" s="5"/>
      <c r="E199" s="5"/>
      <c r="F199" s="5"/>
      <c r="G199" s="5"/>
    </row>
    <row r="200" spans="2:7" ht="13">
      <c r="B200" s="36"/>
      <c r="C200" s="80"/>
      <c r="D200" s="5"/>
      <c r="E200" s="5"/>
      <c r="F200" s="5"/>
      <c r="G200" s="5"/>
    </row>
    <row r="201" spans="2:7" ht="13">
      <c r="B201" s="36"/>
      <c r="C201" s="80"/>
      <c r="D201" s="5"/>
      <c r="E201" s="5"/>
      <c r="F201" s="5"/>
      <c r="G201" s="5"/>
    </row>
    <row r="202" spans="2:7" ht="13">
      <c r="B202" s="36"/>
      <c r="C202" s="80"/>
      <c r="D202" s="5"/>
      <c r="E202" s="5"/>
      <c r="F202" s="5"/>
      <c r="G202" s="5"/>
    </row>
    <row r="203" spans="2:7" ht="13">
      <c r="B203" s="36"/>
      <c r="C203" s="80"/>
      <c r="D203" s="5"/>
      <c r="E203" s="5"/>
      <c r="F203" s="5"/>
      <c r="G203" s="5"/>
    </row>
    <row r="204" spans="2:7" ht="13">
      <c r="B204" s="36"/>
      <c r="C204" s="80"/>
      <c r="D204" s="5"/>
      <c r="E204" s="5"/>
      <c r="F204" s="5"/>
      <c r="G204" s="5"/>
    </row>
    <row r="205" spans="2:7" ht="13">
      <c r="B205" s="36"/>
      <c r="C205" s="80"/>
      <c r="D205" s="5"/>
      <c r="E205" s="5"/>
      <c r="F205" s="5"/>
      <c r="G205" s="5"/>
    </row>
    <row r="206" spans="2:7" ht="13">
      <c r="B206" s="36"/>
      <c r="C206" s="80"/>
      <c r="D206" s="5"/>
      <c r="E206" s="5"/>
      <c r="F206" s="5"/>
      <c r="G206" s="5"/>
    </row>
    <row r="207" spans="2:7" ht="13">
      <c r="B207" s="36"/>
      <c r="C207" s="80"/>
      <c r="D207" s="5"/>
      <c r="E207" s="5"/>
      <c r="F207" s="5"/>
      <c r="G207" s="5"/>
    </row>
    <row r="208" spans="2:7" ht="13">
      <c r="B208" s="36"/>
      <c r="C208" s="80"/>
      <c r="D208" s="5"/>
      <c r="E208" s="5"/>
      <c r="F208" s="5"/>
      <c r="G208" s="5"/>
    </row>
    <row r="209" spans="2:7" ht="13">
      <c r="B209" s="36"/>
      <c r="C209" s="80"/>
      <c r="D209" s="5"/>
      <c r="E209" s="5"/>
      <c r="F209" s="5"/>
      <c r="G209" s="5"/>
    </row>
    <row r="210" spans="2:7" ht="13">
      <c r="B210" s="36"/>
      <c r="C210" s="80"/>
      <c r="D210" s="5"/>
      <c r="E210" s="5"/>
      <c r="F210" s="5"/>
      <c r="G210" s="5"/>
    </row>
    <row r="211" spans="2:7" ht="13">
      <c r="B211" s="36"/>
      <c r="C211" s="80"/>
      <c r="D211" s="5"/>
      <c r="E211" s="5"/>
      <c r="F211" s="5"/>
      <c r="G211" s="5"/>
    </row>
    <row r="212" spans="2:7" ht="13">
      <c r="B212" s="36"/>
      <c r="C212" s="80"/>
      <c r="D212" s="5"/>
      <c r="E212" s="5"/>
      <c r="F212" s="5"/>
      <c r="G212" s="5"/>
    </row>
    <row r="213" spans="2:7" ht="13">
      <c r="B213" s="36"/>
      <c r="C213" s="80"/>
      <c r="D213" s="5"/>
      <c r="E213" s="5"/>
      <c r="F213" s="5"/>
      <c r="G213" s="5"/>
    </row>
    <row r="214" spans="2:7" ht="13">
      <c r="B214" s="36"/>
      <c r="C214" s="80"/>
      <c r="D214" s="5"/>
      <c r="E214" s="5"/>
      <c r="F214" s="5"/>
      <c r="G214" s="5"/>
    </row>
    <row r="215" spans="2:7" ht="13">
      <c r="B215" s="36"/>
      <c r="C215" s="80"/>
      <c r="D215" s="5"/>
      <c r="E215" s="5"/>
      <c r="F215" s="5"/>
      <c r="G215" s="5"/>
    </row>
    <row r="216" spans="2:7" ht="13">
      <c r="B216" s="36"/>
      <c r="C216" s="80"/>
      <c r="D216" s="5"/>
      <c r="E216" s="5"/>
      <c r="F216" s="5"/>
      <c r="G216" s="5"/>
    </row>
    <row r="217" spans="2:7" ht="13">
      <c r="B217" s="36"/>
      <c r="C217" s="80"/>
      <c r="D217" s="5"/>
      <c r="E217" s="5"/>
      <c r="F217" s="5"/>
      <c r="G217" s="5"/>
    </row>
    <row r="218" spans="2:7" ht="13">
      <c r="B218" s="36"/>
      <c r="C218" s="80"/>
      <c r="D218" s="5"/>
      <c r="E218" s="5"/>
      <c r="F218" s="5"/>
      <c r="G218" s="5"/>
    </row>
    <row r="219" spans="2:7" ht="13">
      <c r="B219" s="36"/>
      <c r="C219" s="80"/>
      <c r="D219" s="5"/>
      <c r="E219" s="5"/>
      <c r="F219" s="5"/>
      <c r="G219" s="5"/>
    </row>
    <row r="220" spans="2:7" ht="13">
      <c r="B220" s="36"/>
      <c r="C220" s="80"/>
      <c r="D220" s="5"/>
      <c r="E220" s="5"/>
      <c r="F220" s="5"/>
      <c r="G220" s="5"/>
    </row>
    <row r="221" spans="2:7" ht="13">
      <c r="B221" s="36"/>
      <c r="C221" s="80"/>
      <c r="D221" s="5"/>
      <c r="E221" s="5"/>
      <c r="F221" s="5"/>
      <c r="G221" s="5"/>
    </row>
    <row r="222" spans="2:7" ht="13">
      <c r="B222" s="36"/>
      <c r="C222" s="80"/>
      <c r="D222" s="5"/>
      <c r="E222" s="5"/>
      <c r="F222" s="5"/>
      <c r="G222" s="5"/>
    </row>
    <row r="223" spans="2:7" ht="13">
      <c r="B223" s="36"/>
      <c r="C223" s="80"/>
      <c r="D223" s="5"/>
      <c r="E223" s="5"/>
      <c r="F223" s="5"/>
      <c r="G223" s="5"/>
    </row>
    <row r="224" spans="2:7" ht="13">
      <c r="B224" s="36"/>
      <c r="C224" s="80"/>
      <c r="D224" s="5"/>
      <c r="E224" s="5"/>
      <c r="F224" s="5"/>
      <c r="G224" s="5"/>
    </row>
    <row r="225" spans="2:7" ht="13">
      <c r="B225" s="36"/>
      <c r="C225" s="80"/>
      <c r="D225" s="5"/>
      <c r="E225" s="5"/>
      <c r="F225" s="5"/>
      <c r="G225" s="5"/>
    </row>
    <row r="226" spans="2:7" ht="13">
      <c r="B226" s="36"/>
      <c r="C226" s="80"/>
      <c r="D226" s="5"/>
      <c r="E226" s="5"/>
      <c r="F226" s="5"/>
      <c r="G226" s="5"/>
    </row>
    <row r="227" spans="2:7" ht="13">
      <c r="B227" s="36"/>
      <c r="C227" s="80"/>
      <c r="D227" s="5"/>
      <c r="E227" s="5"/>
      <c r="F227" s="5"/>
      <c r="G227" s="5"/>
    </row>
    <row r="228" spans="2:7" ht="13">
      <c r="B228" s="36"/>
      <c r="C228" s="80"/>
      <c r="D228" s="5"/>
      <c r="E228" s="5"/>
      <c r="F228" s="5"/>
      <c r="G228" s="5"/>
    </row>
    <row r="229" spans="2:7" ht="13">
      <c r="B229" s="36"/>
      <c r="C229" s="80"/>
      <c r="D229" s="5"/>
      <c r="E229" s="5"/>
      <c r="F229" s="5"/>
      <c r="G229" s="5"/>
    </row>
    <row r="230" spans="2:7" ht="13">
      <c r="B230" s="36"/>
      <c r="C230" s="80"/>
      <c r="D230" s="5"/>
      <c r="E230" s="5"/>
      <c r="F230" s="5"/>
      <c r="G230" s="5"/>
    </row>
    <row r="231" spans="2:7" ht="13">
      <c r="B231" s="36"/>
      <c r="C231" s="80"/>
      <c r="D231" s="5"/>
      <c r="E231" s="5"/>
      <c r="F231" s="5"/>
      <c r="G231" s="5"/>
    </row>
    <row r="232" spans="2:7" ht="13">
      <c r="B232" s="36"/>
      <c r="C232" s="80"/>
      <c r="D232" s="5"/>
      <c r="E232" s="5"/>
      <c r="F232" s="5"/>
      <c r="G232" s="5"/>
    </row>
    <row r="233" spans="2:7" ht="13">
      <c r="B233" s="36"/>
      <c r="C233" s="80"/>
      <c r="D233" s="5"/>
      <c r="E233" s="5"/>
      <c r="F233" s="5"/>
      <c r="G233" s="5"/>
    </row>
    <row r="234" spans="2:7" ht="13">
      <c r="B234" s="36"/>
      <c r="C234" s="80"/>
      <c r="D234" s="5"/>
      <c r="E234" s="5"/>
      <c r="F234" s="5"/>
      <c r="G234" s="5"/>
    </row>
    <row r="235" spans="2:7" ht="13">
      <c r="B235" s="36"/>
      <c r="C235" s="80"/>
      <c r="D235" s="5"/>
      <c r="E235" s="5"/>
      <c r="F235" s="5"/>
      <c r="G235" s="5"/>
    </row>
    <row r="236" spans="2:7" ht="13">
      <c r="B236" s="36"/>
      <c r="C236" s="80"/>
      <c r="D236" s="5"/>
      <c r="E236" s="5"/>
      <c r="F236" s="5"/>
      <c r="G236" s="5"/>
    </row>
    <row r="237" spans="2:7" ht="13">
      <c r="B237" s="36"/>
      <c r="C237" s="80"/>
      <c r="D237" s="5"/>
      <c r="E237" s="5"/>
      <c r="F237" s="5"/>
      <c r="G237" s="5"/>
    </row>
    <row r="238" spans="2:7" ht="13">
      <c r="B238" s="36"/>
      <c r="C238" s="80"/>
      <c r="D238" s="5"/>
      <c r="E238" s="5"/>
      <c r="F238" s="5"/>
      <c r="G238" s="5"/>
    </row>
    <row r="239" spans="2:7" ht="13">
      <c r="B239" s="36"/>
      <c r="C239" s="80"/>
      <c r="D239" s="5"/>
      <c r="E239" s="5"/>
      <c r="F239" s="5"/>
      <c r="G239" s="5"/>
    </row>
    <row r="240" spans="2:7" ht="13">
      <c r="B240" s="36"/>
      <c r="C240" s="80"/>
      <c r="D240" s="5"/>
      <c r="E240" s="5"/>
      <c r="F240" s="5"/>
      <c r="G240" s="5"/>
    </row>
    <row r="241" spans="2:7" ht="13">
      <c r="B241" s="36"/>
      <c r="C241" s="80"/>
      <c r="D241" s="5"/>
      <c r="E241" s="5"/>
      <c r="F241" s="5"/>
      <c r="G241" s="5"/>
    </row>
    <row r="242" spans="2:7" ht="13">
      <c r="B242" s="36"/>
      <c r="C242" s="80"/>
      <c r="D242" s="5"/>
      <c r="E242" s="5"/>
      <c r="F242" s="5"/>
      <c r="G242" s="5"/>
    </row>
    <row r="243" spans="2:7" ht="13">
      <c r="B243" s="36"/>
      <c r="C243" s="80"/>
      <c r="D243" s="5"/>
      <c r="E243" s="5"/>
      <c r="F243" s="5"/>
      <c r="G243" s="5"/>
    </row>
    <row r="244" spans="2:7" ht="13">
      <c r="B244" s="36"/>
      <c r="C244" s="80"/>
      <c r="D244" s="5"/>
      <c r="E244" s="5"/>
      <c r="F244" s="5"/>
      <c r="G244" s="5"/>
    </row>
    <row r="245" spans="2:7" ht="13">
      <c r="B245" s="36"/>
      <c r="C245" s="80"/>
      <c r="D245" s="5"/>
      <c r="E245" s="5"/>
      <c r="F245" s="5"/>
      <c r="G245" s="5"/>
    </row>
    <row r="246" spans="2:7" ht="13">
      <c r="B246" s="36"/>
      <c r="C246" s="80"/>
      <c r="D246" s="5"/>
      <c r="E246" s="5"/>
      <c r="F246" s="5"/>
      <c r="G246" s="5"/>
    </row>
    <row r="247" spans="2:7" ht="13">
      <c r="B247" s="36"/>
      <c r="C247" s="80"/>
      <c r="D247" s="5"/>
      <c r="E247" s="5"/>
      <c r="F247" s="5"/>
      <c r="G247" s="5"/>
    </row>
    <row r="248" spans="2:7" ht="13">
      <c r="B248" s="36"/>
      <c r="C248" s="80"/>
      <c r="D248" s="5"/>
      <c r="E248" s="5"/>
      <c r="F248" s="5"/>
      <c r="G248" s="5"/>
    </row>
    <row r="249" spans="2:7" ht="13">
      <c r="B249" s="36"/>
      <c r="C249" s="80"/>
      <c r="D249" s="5"/>
      <c r="E249" s="5"/>
      <c r="F249" s="5"/>
      <c r="G249" s="5"/>
    </row>
    <row r="250" spans="2:7" ht="13">
      <c r="B250" s="36"/>
      <c r="C250" s="80"/>
      <c r="D250" s="5"/>
      <c r="E250" s="5"/>
      <c r="F250" s="5"/>
      <c r="G250" s="5"/>
    </row>
    <row r="251" spans="2:7" ht="13">
      <c r="B251" s="36"/>
      <c r="C251" s="80"/>
      <c r="D251" s="5"/>
      <c r="E251" s="5"/>
      <c r="F251" s="5"/>
      <c r="G251" s="5"/>
    </row>
    <row r="252" spans="2:7" ht="13">
      <c r="B252" s="36"/>
      <c r="C252" s="80"/>
      <c r="D252" s="5"/>
      <c r="E252" s="5"/>
      <c r="F252" s="5"/>
      <c r="G252" s="5"/>
    </row>
    <row r="253" spans="2:7" ht="13">
      <c r="B253" s="36"/>
      <c r="C253" s="80"/>
      <c r="D253" s="5"/>
      <c r="E253" s="5"/>
      <c r="F253" s="5"/>
      <c r="G253" s="5"/>
    </row>
    <row r="254" spans="2:7" ht="13">
      <c r="B254" s="36"/>
      <c r="C254" s="80"/>
      <c r="D254" s="5"/>
      <c r="E254" s="5"/>
      <c r="F254" s="5"/>
      <c r="G254" s="5"/>
    </row>
    <row r="255" spans="2:7" ht="13">
      <c r="B255" s="36"/>
      <c r="C255" s="80"/>
      <c r="D255" s="5"/>
      <c r="E255" s="5"/>
      <c r="F255" s="5"/>
      <c r="G255" s="5"/>
    </row>
    <row r="256" spans="2:7" ht="13">
      <c r="B256" s="36"/>
      <c r="C256" s="80"/>
      <c r="D256" s="5"/>
      <c r="E256" s="5"/>
      <c r="F256" s="5"/>
      <c r="G256" s="5"/>
    </row>
    <row r="257" spans="2:7" ht="13">
      <c r="B257" s="36"/>
      <c r="C257" s="80"/>
      <c r="D257" s="5"/>
      <c r="E257" s="5"/>
      <c r="F257" s="5"/>
      <c r="G257" s="5"/>
    </row>
    <row r="258" spans="2:7" ht="13">
      <c r="B258" s="36"/>
      <c r="C258" s="80"/>
      <c r="D258" s="5"/>
      <c r="E258" s="5"/>
      <c r="F258" s="5"/>
      <c r="G258" s="5"/>
    </row>
    <row r="259" spans="2:7" ht="13">
      <c r="B259" s="36"/>
      <c r="C259" s="80"/>
      <c r="D259" s="5"/>
      <c r="E259" s="5"/>
      <c r="F259" s="5"/>
      <c r="G259" s="5"/>
    </row>
    <row r="260" spans="2:7" ht="13">
      <c r="B260" s="36"/>
      <c r="C260" s="80"/>
      <c r="D260" s="5"/>
      <c r="E260" s="5"/>
      <c r="F260" s="5"/>
      <c r="G260" s="5"/>
    </row>
    <row r="261" spans="2:7" ht="13">
      <c r="B261" s="36"/>
      <c r="C261" s="80"/>
      <c r="D261" s="5"/>
      <c r="E261" s="5"/>
      <c r="F261" s="5"/>
      <c r="G261" s="5"/>
    </row>
    <row r="262" spans="2:7" ht="13">
      <c r="B262" s="36"/>
      <c r="C262" s="80"/>
      <c r="D262" s="5"/>
      <c r="E262" s="5"/>
      <c r="F262" s="5"/>
      <c r="G262" s="5"/>
    </row>
    <row r="263" spans="2:7" ht="13">
      <c r="B263" s="36"/>
      <c r="C263" s="80"/>
      <c r="D263" s="5"/>
      <c r="E263" s="5"/>
      <c r="F263" s="5"/>
      <c r="G263" s="5"/>
    </row>
    <row r="264" spans="2:7" ht="13">
      <c r="B264" s="36"/>
      <c r="C264" s="80"/>
      <c r="D264" s="5"/>
      <c r="E264" s="5"/>
      <c r="F264" s="5"/>
      <c r="G264" s="5"/>
    </row>
    <row r="265" spans="2:7" ht="13">
      <c r="B265" s="36"/>
      <c r="C265" s="80"/>
      <c r="D265" s="5"/>
      <c r="E265" s="5"/>
      <c r="F265" s="5"/>
      <c r="G265" s="5"/>
    </row>
    <row r="266" spans="2:7" ht="13">
      <c r="B266" s="36"/>
      <c r="C266" s="80"/>
      <c r="D266" s="5"/>
      <c r="E266" s="5"/>
      <c r="F266" s="5"/>
      <c r="G266" s="5"/>
    </row>
    <row r="267" spans="2:7" ht="13">
      <c r="B267" s="36"/>
      <c r="C267" s="80"/>
      <c r="D267" s="5"/>
      <c r="E267" s="5"/>
      <c r="F267" s="5"/>
      <c r="G267" s="5"/>
    </row>
    <row r="268" spans="2:7" ht="13">
      <c r="B268" s="36"/>
      <c r="C268" s="80"/>
      <c r="D268" s="5"/>
      <c r="E268" s="5"/>
      <c r="F268" s="5"/>
      <c r="G268" s="5"/>
    </row>
    <row r="269" spans="2:7" ht="13">
      <c r="B269" s="36"/>
      <c r="C269" s="80"/>
      <c r="D269" s="5"/>
      <c r="E269" s="5"/>
      <c r="F269" s="5"/>
      <c r="G269" s="5"/>
    </row>
    <row r="270" spans="2:7" ht="13">
      <c r="B270" s="36"/>
      <c r="C270" s="80"/>
      <c r="D270" s="5"/>
      <c r="E270" s="5"/>
      <c r="F270" s="5"/>
      <c r="G270" s="5"/>
    </row>
    <row r="271" spans="2:7" ht="13">
      <c r="B271" s="36"/>
      <c r="C271" s="80"/>
      <c r="D271" s="5"/>
      <c r="E271" s="5"/>
      <c r="F271" s="5"/>
      <c r="G271" s="5"/>
    </row>
    <row r="272" spans="2:7" ht="13">
      <c r="B272" s="36"/>
      <c r="C272" s="80"/>
      <c r="D272" s="5"/>
      <c r="E272" s="5"/>
      <c r="F272" s="5"/>
      <c r="G272" s="5"/>
    </row>
    <row r="273" spans="2:7" ht="13">
      <c r="B273" s="36"/>
      <c r="C273" s="80"/>
      <c r="D273" s="5"/>
      <c r="E273" s="5"/>
      <c r="F273" s="5"/>
      <c r="G273" s="5"/>
    </row>
    <row r="274" spans="2:7" ht="13">
      <c r="B274" s="36"/>
      <c r="C274" s="80"/>
      <c r="D274" s="5"/>
      <c r="E274" s="5"/>
      <c r="F274" s="5"/>
      <c r="G274" s="5"/>
    </row>
    <row r="275" spans="2:7" ht="13">
      <c r="B275" s="36"/>
      <c r="C275" s="80"/>
      <c r="D275" s="5"/>
      <c r="E275" s="5"/>
      <c r="F275" s="5"/>
      <c r="G275" s="5"/>
    </row>
    <row r="276" spans="2:7" ht="13">
      <c r="B276" s="36"/>
      <c r="C276" s="80"/>
      <c r="D276" s="5"/>
      <c r="E276" s="5"/>
      <c r="F276" s="5"/>
      <c r="G276" s="5"/>
    </row>
    <row r="277" spans="2:7" ht="13">
      <c r="B277" s="36"/>
      <c r="C277" s="80"/>
      <c r="D277" s="5"/>
      <c r="E277" s="5"/>
      <c r="F277" s="5"/>
      <c r="G277" s="5"/>
    </row>
    <row r="278" spans="2:7" ht="13">
      <c r="B278" s="36"/>
      <c r="C278" s="80"/>
      <c r="D278" s="5"/>
      <c r="E278" s="5"/>
      <c r="F278" s="5"/>
      <c r="G278" s="5"/>
    </row>
    <row r="279" spans="2:7" ht="13">
      <c r="B279" s="36"/>
      <c r="C279" s="80"/>
      <c r="D279" s="5"/>
      <c r="E279" s="5"/>
      <c r="F279" s="5"/>
      <c r="G279" s="5"/>
    </row>
    <row r="280" spans="2:7" ht="13">
      <c r="B280" s="36"/>
      <c r="C280" s="80"/>
      <c r="D280" s="5"/>
      <c r="E280" s="5"/>
      <c r="F280" s="5"/>
      <c r="G280" s="5"/>
    </row>
    <row r="281" spans="2:7" ht="13">
      <c r="B281" s="36"/>
      <c r="C281" s="80"/>
      <c r="D281" s="5"/>
      <c r="E281" s="5"/>
      <c r="F281" s="5"/>
      <c r="G281" s="5"/>
    </row>
    <row r="282" spans="2:7" ht="13">
      <c r="B282" s="36"/>
      <c r="C282" s="80"/>
      <c r="D282" s="5"/>
      <c r="E282" s="5"/>
      <c r="F282" s="5"/>
      <c r="G282" s="5"/>
    </row>
    <row r="283" spans="2:7" ht="13">
      <c r="B283" s="36"/>
      <c r="C283" s="80"/>
      <c r="D283" s="5"/>
      <c r="E283" s="5"/>
      <c r="F283" s="5"/>
      <c r="G283" s="5"/>
    </row>
    <row r="284" spans="2:7" ht="13">
      <c r="B284" s="36"/>
      <c r="C284" s="80"/>
      <c r="D284" s="5"/>
      <c r="E284" s="5"/>
      <c r="F284" s="5"/>
      <c r="G284" s="5"/>
    </row>
    <row r="285" spans="2:7" ht="13">
      <c r="B285" s="36"/>
      <c r="C285" s="80"/>
      <c r="D285" s="5"/>
      <c r="E285" s="5"/>
      <c r="F285" s="5"/>
      <c r="G285" s="5"/>
    </row>
    <row r="286" spans="2:7" ht="13">
      <c r="B286" s="36"/>
      <c r="C286" s="80"/>
      <c r="D286" s="5"/>
      <c r="E286" s="5"/>
      <c r="F286" s="5"/>
      <c r="G286" s="5"/>
    </row>
    <row r="287" spans="2:7" ht="13">
      <c r="B287" s="36"/>
      <c r="C287" s="80"/>
      <c r="D287" s="5"/>
      <c r="E287" s="5"/>
      <c r="F287" s="5"/>
      <c r="G287" s="5"/>
    </row>
    <row r="288" spans="2:7" ht="13">
      <c r="B288" s="36"/>
      <c r="C288" s="80"/>
      <c r="D288" s="5"/>
      <c r="E288" s="5"/>
      <c r="F288" s="5"/>
      <c r="G288" s="5"/>
    </row>
    <row r="289" spans="2:7" ht="13">
      <c r="B289" s="36"/>
      <c r="C289" s="80"/>
      <c r="D289" s="5"/>
      <c r="E289" s="5"/>
      <c r="F289" s="5"/>
      <c r="G289" s="5"/>
    </row>
    <row r="290" spans="2:7" ht="13">
      <c r="B290" s="36"/>
      <c r="C290" s="80"/>
      <c r="D290" s="5"/>
      <c r="E290" s="5"/>
      <c r="F290" s="5"/>
      <c r="G290" s="5"/>
    </row>
    <row r="291" spans="2:7" ht="13">
      <c r="B291" s="36"/>
      <c r="C291" s="80"/>
      <c r="D291" s="5"/>
      <c r="E291" s="5"/>
      <c r="F291" s="5"/>
      <c r="G291" s="5"/>
    </row>
    <row r="292" spans="2:7" ht="13">
      <c r="B292" s="36"/>
      <c r="C292" s="80"/>
      <c r="D292" s="5"/>
      <c r="E292" s="5"/>
      <c r="F292" s="5"/>
      <c r="G292" s="5"/>
    </row>
    <row r="293" spans="2:7" ht="13">
      <c r="B293" s="36"/>
      <c r="C293" s="80"/>
      <c r="D293" s="5"/>
      <c r="E293" s="5"/>
      <c r="F293" s="5"/>
      <c r="G293" s="5"/>
    </row>
    <row r="294" spans="2:7" ht="13">
      <c r="B294" s="36"/>
      <c r="C294" s="80"/>
      <c r="D294" s="5"/>
      <c r="E294" s="5"/>
      <c r="F294" s="5"/>
      <c r="G294" s="5"/>
    </row>
    <row r="295" spans="2:7" ht="13">
      <c r="B295" s="36"/>
      <c r="C295" s="80"/>
      <c r="D295" s="5"/>
      <c r="E295" s="5"/>
      <c r="F295" s="5"/>
      <c r="G295" s="5"/>
    </row>
    <row r="296" spans="2:7" ht="13">
      <c r="B296" s="36"/>
      <c r="C296" s="80"/>
      <c r="D296" s="5"/>
      <c r="E296" s="5"/>
      <c r="F296" s="5"/>
      <c r="G296" s="5"/>
    </row>
    <row r="297" spans="2:7" ht="13">
      <c r="B297" s="36"/>
      <c r="C297" s="80"/>
      <c r="D297" s="5"/>
      <c r="E297" s="5"/>
      <c r="F297" s="5"/>
      <c r="G297" s="5"/>
    </row>
    <row r="298" spans="2:7" ht="13">
      <c r="B298" s="36"/>
      <c r="C298" s="80"/>
      <c r="D298" s="5"/>
      <c r="E298" s="5"/>
      <c r="F298" s="5"/>
      <c r="G298" s="5"/>
    </row>
    <row r="299" spans="2:7" ht="13">
      <c r="B299" s="36"/>
      <c r="C299" s="80"/>
      <c r="D299" s="5"/>
      <c r="E299" s="5"/>
      <c r="F299" s="5"/>
      <c r="G299" s="5"/>
    </row>
    <row r="300" spans="2:7" ht="13">
      <c r="B300" s="36"/>
      <c r="C300" s="80"/>
      <c r="D300" s="5"/>
      <c r="E300" s="5"/>
      <c r="F300" s="5"/>
      <c r="G300" s="5"/>
    </row>
    <row r="301" spans="2:7" ht="13">
      <c r="B301" s="36"/>
      <c r="C301" s="80"/>
      <c r="D301" s="5"/>
      <c r="E301" s="5"/>
      <c r="F301" s="5"/>
      <c r="G301" s="5"/>
    </row>
    <row r="302" spans="2:7" ht="13">
      <c r="B302" s="36"/>
      <c r="C302" s="80"/>
      <c r="D302" s="5"/>
      <c r="E302" s="5"/>
      <c r="F302" s="5"/>
      <c r="G302" s="5"/>
    </row>
    <row r="303" spans="2:7" ht="13">
      <c r="B303" s="36"/>
      <c r="C303" s="80"/>
      <c r="D303" s="5"/>
      <c r="E303" s="5"/>
      <c r="F303" s="5"/>
      <c r="G303" s="5"/>
    </row>
    <row r="304" spans="2:7" ht="13">
      <c r="B304" s="36"/>
      <c r="C304" s="80"/>
      <c r="D304" s="5"/>
      <c r="E304" s="5"/>
      <c r="F304" s="5"/>
      <c r="G304" s="5"/>
    </row>
    <row r="305" spans="2:7" ht="13">
      <c r="B305" s="36"/>
      <c r="C305" s="80"/>
      <c r="D305" s="5"/>
      <c r="E305" s="5"/>
      <c r="F305" s="5"/>
      <c r="G305" s="5"/>
    </row>
    <row r="306" spans="2:7" ht="13">
      <c r="B306" s="36"/>
      <c r="C306" s="80"/>
      <c r="D306" s="5"/>
      <c r="E306" s="5"/>
      <c r="F306" s="5"/>
      <c r="G306" s="5"/>
    </row>
    <row r="307" spans="2:7" ht="13">
      <c r="B307" s="36"/>
      <c r="C307" s="80"/>
      <c r="D307" s="5"/>
      <c r="E307" s="5"/>
      <c r="F307" s="5"/>
      <c r="G307" s="5"/>
    </row>
    <row r="308" spans="2:7" ht="13">
      <c r="B308" s="36"/>
      <c r="C308" s="80"/>
      <c r="D308" s="5"/>
      <c r="E308" s="5"/>
      <c r="F308" s="5"/>
      <c r="G308" s="5"/>
    </row>
    <row r="309" spans="2:7" ht="13">
      <c r="B309" s="36"/>
      <c r="C309" s="80"/>
      <c r="D309" s="5"/>
      <c r="E309" s="5"/>
      <c r="F309" s="5"/>
      <c r="G309" s="5"/>
    </row>
    <row r="310" spans="2:7" ht="13">
      <c r="B310" s="36"/>
      <c r="C310" s="80"/>
      <c r="D310" s="5"/>
      <c r="E310" s="5"/>
      <c r="F310" s="5"/>
      <c r="G310" s="5"/>
    </row>
    <row r="311" spans="2:7" ht="13">
      <c r="B311" s="36"/>
      <c r="C311" s="80"/>
      <c r="D311" s="5"/>
      <c r="E311" s="5"/>
      <c r="F311" s="5"/>
      <c r="G311" s="5"/>
    </row>
    <row r="312" spans="2:7" ht="13">
      <c r="B312" s="36"/>
      <c r="C312" s="80"/>
      <c r="D312" s="5"/>
      <c r="E312" s="5"/>
      <c r="F312" s="5"/>
      <c r="G312" s="5"/>
    </row>
    <row r="313" spans="2:7" ht="13">
      <c r="B313" s="36"/>
      <c r="C313" s="80"/>
      <c r="D313" s="5"/>
      <c r="E313" s="5"/>
      <c r="F313" s="5"/>
      <c r="G313" s="5"/>
    </row>
    <row r="314" spans="2:7" ht="13">
      <c r="B314" s="36"/>
      <c r="C314" s="80"/>
      <c r="D314" s="5"/>
      <c r="E314" s="5"/>
      <c r="F314" s="5"/>
      <c r="G314" s="5"/>
    </row>
    <row r="315" spans="2:7" ht="13">
      <c r="B315" s="36"/>
      <c r="C315" s="80"/>
      <c r="D315" s="5"/>
      <c r="E315" s="5"/>
      <c r="F315" s="5"/>
      <c r="G315" s="5"/>
    </row>
    <row r="316" spans="2:7" ht="13">
      <c r="B316" s="36"/>
      <c r="C316" s="80"/>
      <c r="D316" s="5"/>
      <c r="E316" s="5"/>
      <c r="F316" s="5"/>
      <c r="G316" s="5"/>
    </row>
    <row r="317" spans="2:7" ht="13">
      <c r="B317" s="36"/>
      <c r="C317" s="80"/>
      <c r="D317" s="5"/>
      <c r="E317" s="5"/>
      <c r="F317" s="5"/>
      <c r="G317" s="5"/>
    </row>
    <row r="318" spans="2:7" ht="13">
      <c r="B318" s="36"/>
      <c r="C318" s="80"/>
      <c r="D318" s="5"/>
      <c r="E318" s="5"/>
      <c r="F318" s="5"/>
      <c r="G318" s="5"/>
    </row>
    <row r="319" spans="2:7" ht="13">
      <c r="B319" s="36"/>
      <c r="C319" s="80"/>
      <c r="D319" s="5"/>
      <c r="E319" s="5"/>
      <c r="F319" s="5"/>
      <c r="G319" s="5"/>
    </row>
    <row r="320" spans="2:7" ht="13">
      <c r="B320" s="36"/>
      <c r="C320" s="80"/>
      <c r="D320" s="5"/>
      <c r="E320" s="5"/>
      <c r="F320" s="5"/>
      <c r="G320" s="5"/>
    </row>
    <row r="321" spans="2:7" ht="13">
      <c r="B321" s="36"/>
      <c r="C321" s="80"/>
      <c r="D321" s="5"/>
      <c r="E321" s="5"/>
      <c r="F321" s="5"/>
      <c r="G321" s="5"/>
    </row>
    <row r="322" spans="2:7" ht="13">
      <c r="B322" s="36"/>
      <c r="C322" s="80"/>
      <c r="D322" s="5"/>
      <c r="E322" s="5"/>
      <c r="F322" s="5"/>
      <c r="G322" s="5"/>
    </row>
    <row r="323" spans="2:7" ht="13">
      <c r="B323" s="36"/>
      <c r="C323" s="80"/>
      <c r="D323" s="5"/>
      <c r="E323" s="5"/>
      <c r="F323" s="5"/>
      <c r="G323" s="5"/>
    </row>
    <row r="324" spans="2:7" ht="13">
      <c r="B324" s="36"/>
      <c r="C324" s="80"/>
      <c r="D324" s="5"/>
      <c r="E324" s="5"/>
      <c r="F324" s="5"/>
      <c r="G324" s="5"/>
    </row>
    <row r="325" spans="2:7" ht="13">
      <c r="B325" s="36"/>
      <c r="C325" s="80"/>
      <c r="D325" s="5"/>
      <c r="E325" s="5"/>
      <c r="F325" s="5"/>
      <c r="G325" s="5"/>
    </row>
    <row r="326" spans="2:7" ht="13">
      <c r="B326" s="36"/>
      <c r="C326" s="80"/>
      <c r="D326" s="5"/>
      <c r="E326" s="5"/>
      <c r="F326" s="5"/>
      <c r="G326" s="5"/>
    </row>
    <row r="327" spans="2:7" ht="13">
      <c r="B327" s="36"/>
      <c r="C327" s="80"/>
      <c r="D327" s="5"/>
      <c r="E327" s="5"/>
      <c r="F327" s="5"/>
      <c r="G327" s="5"/>
    </row>
    <row r="328" spans="2:7" ht="13">
      <c r="B328" s="36"/>
      <c r="C328" s="80"/>
      <c r="D328" s="5"/>
      <c r="E328" s="5"/>
      <c r="F328" s="5"/>
      <c r="G328" s="5"/>
    </row>
    <row r="329" spans="2:7" ht="13">
      <c r="B329" s="36"/>
      <c r="C329" s="80"/>
      <c r="D329" s="5"/>
      <c r="E329" s="5"/>
      <c r="F329" s="5"/>
      <c r="G329" s="5"/>
    </row>
    <row r="330" spans="2:7" ht="13">
      <c r="B330" s="36"/>
      <c r="C330" s="80"/>
      <c r="D330" s="5"/>
      <c r="E330" s="5"/>
      <c r="F330" s="5"/>
      <c r="G330" s="5"/>
    </row>
    <row r="331" spans="2:7" ht="13">
      <c r="B331" s="36"/>
      <c r="C331" s="80"/>
      <c r="D331" s="5"/>
      <c r="E331" s="5"/>
      <c r="F331" s="5"/>
      <c r="G331" s="5"/>
    </row>
    <row r="332" spans="2:7" ht="13">
      <c r="B332" s="36"/>
      <c r="C332" s="80"/>
      <c r="D332" s="5"/>
      <c r="E332" s="5"/>
      <c r="F332" s="5"/>
      <c r="G332" s="5"/>
    </row>
    <row r="333" spans="2:7" ht="13">
      <c r="B333" s="36"/>
      <c r="C333" s="80"/>
      <c r="D333" s="5"/>
      <c r="E333" s="5"/>
      <c r="F333" s="5"/>
      <c r="G333" s="5"/>
    </row>
    <row r="334" spans="2:7" ht="13">
      <c r="B334" s="36"/>
      <c r="C334" s="80"/>
      <c r="D334" s="5"/>
      <c r="E334" s="5"/>
      <c r="F334" s="5"/>
      <c r="G334" s="5"/>
    </row>
    <row r="335" spans="2:7" ht="13">
      <c r="B335" s="36"/>
      <c r="C335" s="80"/>
      <c r="D335" s="5"/>
      <c r="E335" s="5"/>
      <c r="F335" s="5"/>
      <c r="G335" s="5"/>
    </row>
    <row r="336" spans="2:7" ht="13">
      <c r="B336" s="36"/>
      <c r="C336" s="80"/>
      <c r="D336" s="5"/>
      <c r="E336" s="5"/>
      <c r="F336" s="5"/>
      <c r="G336" s="5"/>
    </row>
    <row r="337" spans="2:7" ht="13">
      <c r="B337" s="36"/>
      <c r="C337" s="80"/>
      <c r="D337" s="5"/>
      <c r="E337" s="5"/>
      <c r="F337" s="5"/>
      <c r="G337" s="5"/>
    </row>
    <row r="338" spans="2:7" ht="13">
      <c r="B338" s="36"/>
      <c r="C338" s="80"/>
      <c r="D338" s="5"/>
      <c r="E338" s="5"/>
      <c r="F338" s="5"/>
      <c r="G338" s="5"/>
    </row>
    <row r="339" spans="2:7" ht="13">
      <c r="B339" s="36"/>
      <c r="C339" s="80"/>
      <c r="D339" s="5"/>
      <c r="E339" s="5"/>
      <c r="F339" s="5"/>
      <c r="G339" s="5"/>
    </row>
    <row r="340" spans="2:7" ht="13">
      <c r="B340" s="36"/>
      <c r="C340" s="80"/>
      <c r="D340" s="5"/>
      <c r="E340" s="5"/>
      <c r="F340" s="5"/>
      <c r="G340" s="5"/>
    </row>
    <row r="341" spans="2:7" ht="13">
      <c r="B341" s="36"/>
      <c r="C341" s="80"/>
      <c r="D341" s="5"/>
      <c r="E341" s="5"/>
      <c r="F341" s="5"/>
      <c r="G341" s="5"/>
    </row>
    <row r="342" spans="2:7" ht="13">
      <c r="B342" s="36"/>
      <c r="C342" s="80"/>
      <c r="D342" s="5"/>
      <c r="E342" s="5"/>
      <c r="F342" s="5"/>
      <c r="G342" s="5"/>
    </row>
    <row r="343" spans="2:7" ht="13">
      <c r="B343" s="36"/>
      <c r="C343" s="80"/>
      <c r="D343" s="5"/>
      <c r="E343" s="5"/>
      <c r="F343" s="5"/>
      <c r="G343" s="5"/>
    </row>
    <row r="344" spans="2:7" ht="13">
      <c r="B344" s="36"/>
      <c r="C344" s="80"/>
      <c r="D344" s="5"/>
      <c r="E344" s="5"/>
      <c r="F344" s="5"/>
      <c r="G344" s="5"/>
    </row>
    <row r="345" spans="2:7" ht="13">
      <c r="B345" s="36"/>
      <c r="C345" s="80"/>
      <c r="D345" s="5"/>
      <c r="E345" s="5"/>
      <c r="F345" s="5"/>
      <c r="G345" s="5"/>
    </row>
    <row r="346" spans="2:7" ht="13">
      <c r="B346" s="36"/>
      <c r="C346" s="80"/>
      <c r="D346" s="5"/>
      <c r="E346" s="5"/>
      <c r="F346" s="5"/>
      <c r="G346" s="5"/>
    </row>
    <row r="347" spans="2:7" ht="13">
      <c r="B347" s="36"/>
      <c r="C347" s="80"/>
      <c r="D347" s="5"/>
      <c r="E347" s="5"/>
      <c r="F347" s="5"/>
      <c r="G347" s="5"/>
    </row>
    <row r="348" spans="2:7" ht="13">
      <c r="B348" s="36"/>
      <c r="C348" s="80"/>
      <c r="D348" s="5"/>
      <c r="E348" s="5"/>
      <c r="F348" s="5"/>
      <c r="G348" s="5"/>
    </row>
    <row r="349" spans="2:7" ht="13">
      <c r="B349" s="36"/>
      <c r="C349" s="80"/>
      <c r="D349" s="5"/>
      <c r="E349" s="5"/>
      <c r="F349" s="5"/>
      <c r="G349" s="5"/>
    </row>
    <row r="350" spans="2:7" ht="13">
      <c r="B350" s="36"/>
      <c r="C350" s="80"/>
      <c r="D350" s="5"/>
      <c r="E350" s="5"/>
      <c r="F350" s="5"/>
      <c r="G350" s="5"/>
    </row>
    <row r="351" spans="2:7" ht="13">
      <c r="B351" s="36"/>
      <c r="C351" s="80"/>
      <c r="D351" s="5"/>
      <c r="E351" s="5"/>
      <c r="F351" s="5"/>
      <c r="G351" s="5"/>
    </row>
    <row r="352" spans="2:7" ht="13">
      <c r="B352" s="36"/>
      <c r="C352" s="80"/>
      <c r="D352" s="5"/>
      <c r="E352" s="5"/>
      <c r="F352" s="5"/>
      <c r="G352" s="5"/>
    </row>
    <row r="353" spans="2:7" ht="13">
      <c r="B353" s="36"/>
      <c r="C353" s="80"/>
      <c r="D353" s="5"/>
      <c r="E353" s="5"/>
      <c r="F353" s="5"/>
      <c r="G353" s="5"/>
    </row>
    <row r="354" spans="2:7" ht="13">
      <c r="B354" s="36"/>
      <c r="C354" s="80"/>
      <c r="D354" s="5"/>
      <c r="E354" s="5"/>
      <c r="F354" s="5"/>
      <c r="G354" s="5"/>
    </row>
    <row r="355" spans="2:7" ht="13">
      <c r="B355" s="36"/>
      <c r="C355" s="80"/>
      <c r="D355" s="5"/>
      <c r="E355" s="5"/>
      <c r="F355" s="5"/>
      <c r="G355" s="5"/>
    </row>
    <row r="356" spans="2:7" ht="13">
      <c r="B356" s="36"/>
      <c r="C356" s="80"/>
      <c r="D356" s="5"/>
      <c r="E356" s="5"/>
      <c r="F356" s="5"/>
      <c r="G356" s="5"/>
    </row>
    <row r="357" spans="2:7" ht="13">
      <c r="B357" s="36"/>
      <c r="C357" s="80"/>
      <c r="D357" s="5"/>
      <c r="E357" s="5"/>
      <c r="F357" s="5"/>
      <c r="G357" s="5"/>
    </row>
    <row r="358" spans="2:7" ht="13">
      <c r="B358" s="36"/>
      <c r="C358" s="80"/>
      <c r="D358" s="5"/>
      <c r="E358" s="5"/>
      <c r="F358" s="5"/>
      <c r="G358" s="5"/>
    </row>
    <row r="359" spans="2:7" ht="13">
      <c r="B359" s="36"/>
      <c r="C359" s="80"/>
      <c r="D359" s="5"/>
      <c r="E359" s="5"/>
      <c r="F359" s="5"/>
      <c r="G359" s="5"/>
    </row>
    <row r="360" spans="2:7" ht="13">
      <c r="B360" s="36"/>
      <c r="C360" s="80"/>
      <c r="D360" s="5"/>
      <c r="E360" s="5"/>
      <c r="F360" s="5"/>
      <c r="G360" s="5"/>
    </row>
    <row r="361" spans="2:7" ht="13">
      <c r="B361" s="36"/>
      <c r="C361" s="80"/>
      <c r="D361" s="5"/>
      <c r="E361" s="5"/>
      <c r="F361" s="5"/>
      <c r="G361" s="5"/>
    </row>
    <row r="362" spans="2:7" ht="13">
      <c r="B362" s="36"/>
      <c r="C362" s="80"/>
      <c r="D362" s="5"/>
      <c r="E362" s="5"/>
      <c r="F362" s="5"/>
      <c r="G362" s="5"/>
    </row>
    <row r="363" spans="2:7" ht="13">
      <c r="B363" s="36"/>
      <c r="C363" s="80"/>
      <c r="D363" s="5"/>
      <c r="E363" s="5"/>
      <c r="F363" s="5"/>
      <c r="G363" s="5"/>
    </row>
    <row r="364" spans="2:7" ht="13">
      <c r="B364" s="36"/>
      <c r="C364" s="80"/>
      <c r="D364" s="5"/>
      <c r="E364" s="5"/>
      <c r="F364" s="5"/>
      <c r="G364" s="5"/>
    </row>
    <row r="365" spans="2:7" ht="13">
      <c r="B365" s="36"/>
      <c r="C365" s="80"/>
      <c r="D365" s="5"/>
      <c r="E365" s="5"/>
      <c r="F365" s="5"/>
      <c r="G365" s="5"/>
    </row>
    <row r="366" spans="2:7" ht="13">
      <c r="B366" s="36"/>
      <c r="C366" s="80"/>
      <c r="D366" s="5"/>
      <c r="E366" s="5"/>
      <c r="F366" s="5"/>
      <c r="G366" s="5"/>
    </row>
    <row r="367" spans="2:7" ht="13">
      <c r="B367" s="36"/>
      <c r="C367" s="80"/>
      <c r="D367" s="5"/>
      <c r="E367" s="5"/>
      <c r="F367" s="5"/>
      <c r="G367" s="5"/>
    </row>
    <row r="368" spans="2:7" ht="13">
      <c r="B368" s="36"/>
      <c r="C368" s="80"/>
      <c r="D368" s="5"/>
      <c r="E368" s="5"/>
      <c r="F368" s="5"/>
      <c r="G368" s="5"/>
    </row>
    <row r="369" spans="2:7" ht="13">
      <c r="B369" s="36"/>
      <c r="C369" s="80"/>
      <c r="D369" s="5"/>
      <c r="E369" s="5"/>
      <c r="F369" s="5"/>
      <c r="G369" s="5"/>
    </row>
    <row r="370" spans="2:7" ht="13">
      <c r="B370" s="36"/>
      <c r="C370" s="80"/>
      <c r="D370" s="5"/>
      <c r="E370" s="5"/>
      <c r="F370" s="5"/>
      <c r="G370" s="5"/>
    </row>
    <row r="371" spans="2:7" ht="13">
      <c r="B371" s="36"/>
      <c r="C371" s="80"/>
      <c r="D371" s="5"/>
      <c r="E371" s="5"/>
      <c r="F371" s="5"/>
      <c r="G371" s="5"/>
    </row>
    <row r="372" spans="2:7" ht="13">
      <c r="B372" s="36"/>
      <c r="C372" s="80"/>
      <c r="D372" s="5"/>
      <c r="E372" s="5"/>
      <c r="F372" s="5"/>
      <c r="G372" s="5"/>
    </row>
    <row r="373" spans="2:7" ht="13">
      <c r="B373" s="36"/>
      <c r="C373" s="80"/>
      <c r="D373" s="5"/>
      <c r="E373" s="5"/>
      <c r="F373" s="5"/>
      <c r="G373" s="5"/>
    </row>
    <row r="374" spans="2:7" ht="13">
      <c r="B374" s="36"/>
      <c r="C374" s="80"/>
      <c r="D374" s="5"/>
      <c r="E374" s="5"/>
      <c r="F374" s="5"/>
      <c r="G374" s="5"/>
    </row>
    <row r="375" spans="2:7" ht="13">
      <c r="B375" s="36"/>
      <c r="C375" s="80"/>
      <c r="D375" s="5"/>
      <c r="E375" s="5"/>
      <c r="F375" s="5"/>
      <c r="G375" s="5"/>
    </row>
    <row r="376" spans="2:7" ht="13">
      <c r="B376" s="36"/>
      <c r="C376" s="80"/>
      <c r="D376" s="5"/>
      <c r="E376" s="5"/>
      <c r="F376" s="5"/>
      <c r="G376" s="5"/>
    </row>
    <row r="377" spans="2:7" ht="13">
      <c r="B377" s="36"/>
      <c r="C377" s="80"/>
      <c r="D377" s="5"/>
      <c r="E377" s="5"/>
      <c r="F377" s="5"/>
      <c r="G377" s="5"/>
    </row>
    <row r="378" spans="2:7" ht="13">
      <c r="B378" s="36"/>
      <c r="C378" s="80"/>
      <c r="D378" s="5"/>
      <c r="E378" s="5"/>
      <c r="F378" s="5"/>
      <c r="G378" s="5"/>
    </row>
    <row r="379" spans="2:7" ht="13">
      <c r="B379" s="36"/>
      <c r="C379" s="80"/>
      <c r="D379" s="5"/>
      <c r="E379" s="5"/>
      <c r="F379" s="5"/>
      <c r="G379" s="5"/>
    </row>
    <row r="380" spans="2:7" ht="13">
      <c r="B380" s="36"/>
      <c r="C380" s="80"/>
      <c r="D380" s="5"/>
      <c r="E380" s="5"/>
      <c r="F380" s="5"/>
      <c r="G380" s="5"/>
    </row>
    <row r="381" spans="2:7" ht="13">
      <c r="B381" s="36"/>
      <c r="C381" s="80"/>
      <c r="D381" s="5"/>
      <c r="E381" s="5"/>
      <c r="F381" s="5"/>
      <c r="G381" s="5"/>
    </row>
    <row r="382" spans="2:7" ht="13">
      <c r="B382" s="36"/>
      <c r="C382" s="80"/>
      <c r="D382" s="5"/>
      <c r="E382" s="5"/>
      <c r="F382" s="5"/>
      <c r="G382" s="5"/>
    </row>
    <row r="383" spans="2:7" ht="13">
      <c r="B383" s="36"/>
      <c r="C383" s="80"/>
      <c r="D383" s="5"/>
      <c r="E383" s="5"/>
      <c r="F383" s="5"/>
      <c r="G383" s="5"/>
    </row>
    <row r="384" spans="2:7" ht="13">
      <c r="B384" s="36"/>
      <c r="C384" s="80"/>
      <c r="D384" s="5"/>
      <c r="E384" s="5"/>
      <c r="F384" s="5"/>
      <c r="G384" s="5"/>
    </row>
    <row r="385" spans="2:7" ht="13">
      <c r="B385" s="36"/>
      <c r="C385" s="80"/>
      <c r="D385" s="5"/>
      <c r="E385" s="5"/>
      <c r="F385" s="5"/>
      <c r="G385" s="5"/>
    </row>
    <row r="386" spans="2:7" ht="13">
      <c r="B386" s="36"/>
      <c r="C386" s="80"/>
      <c r="D386" s="5"/>
      <c r="E386" s="5"/>
      <c r="F386" s="5"/>
      <c r="G386" s="5"/>
    </row>
    <row r="387" spans="2:7" ht="13">
      <c r="B387" s="36"/>
      <c r="C387" s="80"/>
      <c r="D387" s="5"/>
      <c r="E387" s="5"/>
      <c r="F387" s="5"/>
      <c r="G387" s="5"/>
    </row>
    <row r="388" spans="2:7" ht="13">
      <c r="B388" s="36"/>
      <c r="C388" s="80"/>
      <c r="D388" s="5"/>
      <c r="E388" s="5"/>
      <c r="F388" s="5"/>
      <c r="G388" s="5"/>
    </row>
    <row r="389" spans="2:7" ht="13">
      <c r="B389" s="36"/>
      <c r="C389" s="80"/>
      <c r="D389" s="5"/>
      <c r="E389" s="5"/>
      <c r="F389" s="5"/>
      <c r="G389" s="5"/>
    </row>
    <row r="390" spans="2:7" ht="13">
      <c r="B390" s="36"/>
      <c r="C390" s="80"/>
      <c r="D390" s="5"/>
      <c r="E390" s="5"/>
      <c r="F390" s="5"/>
      <c r="G390" s="5"/>
    </row>
    <row r="391" spans="2:7" ht="13">
      <c r="B391" s="36"/>
      <c r="C391" s="80"/>
      <c r="D391" s="5"/>
      <c r="E391" s="5"/>
      <c r="F391" s="5"/>
      <c r="G391" s="5"/>
    </row>
    <row r="392" spans="2:7" ht="13">
      <c r="B392" s="36"/>
      <c r="C392" s="80"/>
      <c r="D392" s="5"/>
      <c r="E392" s="5"/>
      <c r="F392" s="5"/>
      <c r="G392" s="5"/>
    </row>
    <row r="393" spans="2:7" ht="13">
      <c r="B393" s="36"/>
      <c r="C393" s="80"/>
      <c r="D393" s="5"/>
      <c r="E393" s="5"/>
      <c r="F393" s="5"/>
      <c r="G393" s="5"/>
    </row>
    <row r="394" spans="2:7" ht="13">
      <c r="B394" s="36"/>
      <c r="C394" s="80"/>
      <c r="D394" s="5"/>
      <c r="E394" s="5"/>
      <c r="F394" s="5"/>
      <c r="G394" s="5"/>
    </row>
    <row r="395" spans="2:7" ht="13">
      <c r="B395" s="36"/>
      <c r="C395" s="80"/>
      <c r="D395" s="5"/>
      <c r="E395" s="5"/>
      <c r="F395" s="5"/>
      <c r="G395" s="5"/>
    </row>
    <row r="396" spans="2:7" ht="13">
      <c r="B396" s="36"/>
      <c r="C396" s="80"/>
      <c r="D396" s="5"/>
      <c r="E396" s="5"/>
      <c r="F396" s="5"/>
      <c r="G396" s="5"/>
    </row>
    <row r="397" spans="2:7" ht="13">
      <c r="B397" s="36"/>
      <c r="C397" s="80"/>
      <c r="D397" s="5"/>
      <c r="E397" s="5"/>
      <c r="F397" s="5"/>
      <c r="G397" s="5"/>
    </row>
    <row r="398" spans="2:7" ht="13">
      <c r="B398" s="36"/>
      <c r="C398" s="80"/>
      <c r="D398" s="5"/>
      <c r="E398" s="5"/>
      <c r="F398" s="5"/>
      <c r="G398" s="5"/>
    </row>
    <row r="399" spans="2:7" ht="13">
      <c r="B399" s="36"/>
      <c r="C399" s="80"/>
      <c r="D399" s="5"/>
      <c r="E399" s="5"/>
      <c r="F399" s="5"/>
      <c r="G399" s="5"/>
    </row>
    <row r="400" spans="2:7" ht="13">
      <c r="B400" s="36"/>
      <c r="C400" s="80"/>
      <c r="D400" s="5"/>
      <c r="E400" s="5"/>
      <c r="F400" s="5"/>
      <c r="G400" s="5"/>
    </row>
    <row r="401" spans="2:7" ht="13">
      <c r="B401" s="36"/>
      <c r="C401" s="80"/>
      <c r="D401" s="5"/>
      <c r="E401" s="5"/>
      <c r="F401" s="5"/>
      <c r="G401" s="5"/>
    </row>
    <row r="402" spans="2:7" ht="13">
      <c r="B402" s="36"/>
      <c r="C402" s="80"/>
      <c r="D402" s="5"/>
      <c r="E402" s="5"/>
      <c r="F402" s="5"/>
      <c r="G402" s="5"/>
    </row>
    <row r="403" spans="2:7" ht="13">
      <c r="B403" s="36"/>
      <c r="C403" s="80"/>
      <c r="D403" s="5"/>
      <c r="E403" s="5"/>
      <c r="F403" s="5"/>
      <c r="G403" s="5"/>
    </row>
    <row r="404" spans="2:7" ht="13">
      <c r="B404" s="36"/>
      <c r="C404" s="80"/>
      <c r="D404" s="5"/>
      <c r="E404" s="5"/>
      <c r="F404" s="5"/>
      <c r="G404" s="5"/>
    </row>
    <row r="405" spans="2:7" ht="13">
      <c r="B405" s="36"/>
      <c r="C405" s="80"/>
      <c r="D405" s="5"/>
      <c r="E405" s="5"/>
      <c r="F405" s="5"/>
      <c r="G405" s="5"/>
    </row>
    <row r="406" spans="2:7" ht="13">
      <c r="B406" s="36"/>
      <c r="C406" s="80"/>
      <c r="D406" s="5"/>
      <c r="E406" s="5"/>
      <c r="F406" s="5"/>
      <c r="G406" s="5"/>
    </row>
    <row r="407" spans="2:7" ht="13">
      <c r="B407" s="36"/>
      <c r="C407" s="80"/>
      <c r="D407" s="5"/>
      <c r="E407" s="5"/>
      <c r="F407" s="5"/>
      <c r="G407" s="5"/>
    </row>
    <row r="408" spans="2:7" ht="13">
      <c r="B408" s="36"/>
      <c r="C408" s="80"/>
      <c r="D408" s="5"/>
      <c r="E408" s="5"/>
      <c r="F408" s="5"/>
      <c r="G408" s="5"/>
    </row>
    <row r="409" spans="2:7" ht="13">
      <c r="B409" s="36"/>
      <c r="C409" s="80"/>
      <c r="D409" s="5"/>
      <c r="E409" s="5"/>
      <c r="F409" s="5"/>
      <c r="G409" s="5"/>
    </row>
    <row r="410" spans="2:7" ht="13">
      <c r="B410" s="36"/>
      <c r="C410" s="80"/>
      <c r="D410" s="5"/>
      <c r="E410" s="5"/>
      <c r="F410" s="5"/>
      <c r="G410" s="5"/>
    </row>
    <row r="411" spans="2:7" ht="13">
      <c r="B411" s="36"/>
      <c r="C411" s="80"/>
      <c r="D411" s="5"/>
      <c r="E411" s="5"/>
      <c r="F411" s="5"/>
      <c r="G411" s="5"/>
    </row>
    <row r="412" spans="2:7" ht="13">
      <c r="B412" s="36"/>
      <c r="C412" s="80"/>
      <c r="D412" s="5"/>
      <c r="E412" s="5"/>
      <c r="F412" s="5"/>
      <c r="G412" s="5"/>
    </row>
    <row r="413" spans="2:7" ht="13">
      <c r="B413" s="36"/>
      <c r="C413" s="80"/>
      <c r="D413" s="5"/>
      <c r="E413" s="5"/>
      <c r="F413" s="5"/>
      <c r="G413" s="5"/>
    </row>
    <row r="414" spans="2:7" ht="13">
      <c r="B414" s="36"/>
      <c r="C414" s="80"/>
      <c r="D414" s="5"/>
      <c r="E414" s="5"/>
      <c r="F414" s="5"/>
      <c r="G414" s="5"/>
    </row>
    <row r="415" spans="2:7" ht="13">
      <c r="B415" s="36"/>
      <c r="C415" s="80"/>
      <c r="D415" s="5"/>
      <c r="E415" s="5"/>
      <c r="F415" s="5"/>
      <c r="G415" s="5"/>
    </row>
    <row r="416" spans="2:7" ht="13">
      <c r="B416" s="36"/>
      <c r="C416" s="80"/>
      <c r="D416" s="5"/>
      <c r="E416" s="5"/>
      <c r="F416" s="5"/>
      <c r="G416" s="5"/>
    </row>
    <row r="417" spans="2:7" ht="13">
      <c r="B417" s="36"/>
      <c r="C417" s="80"/>
      <c r="D417" s="5"/>
      <c r="E417" s="5"/>
      <c r="F417" s="5"/>
      <c r="G417" s="5"/>
    </row>
    <row r="418" spans="2:7" ht="13">
      <c r="B418" s="36"/>
      <c r="C418" s="80"/>
      <c r="D418" s="5"/>
      <c r="E418" s="5"/>
      <c r="F418" s="5"/>
      <c r="G418" s="5"/>
    </row>
    <row r="419" spans="2:7" ht="13">
      <c r="B419" s="36"/>
      <c r="C419" s="80"/>
      <c r="D419" s="5"/>
      <c r="E419" s="5"/>
      <c r="F419" s="5"/>
      <c r="G419" s="5"/>
    </row>
    <row r="420" spans="2:7" ht="13">
      <c r="B420" s="36"/>
      <c r="C420" s="80"/>
      <c r="D420" s="5"/>
      <c r="E420" s="5"/>
      <c r="F420" s="5"/>
      <c r="G420" s="5"/>
    </row>
    <row r="421" spans="2:7" ht="13">
      <c r="B421" s="36"/>
      <c r="C421" s="80"/>
      <c r="D421" s="5"/>
      <c r="E421" s="5"/>
      <c r="F421" s="5"/>
      <c r="G421" s="5"/>
    </row>
    <row r="422" spans="2:7" ht="13">
      <c r="B422" s="36"/>
      <c r="C422" s="80"/>
      <c r="D422" s="5"/>
      <c r="E422" s="5"/>
      <c r="F422" s="5"/>
      <c r="G422" s="5"/>
    </row>
    <row r="423" spans="2:7" ht="13">
      <c r="B423" s="36"/>
      <c r="C423" s="80"/>
      <c r="D423" s="5"/>
      <c r="E423" s="5"/>
      <c r="F423" s="5"/>
      <c r="G423" s="5"/>
    </row>
    <row r="424" spans="2:7" ht="13">
      <c r="B424" s="36"/>
      <c r="C424" s="80"/>
      <c r="D424" s="5"/>
      <c r="E424" s="5"/>
      <c r="F424" s="5"/>
      <c r="G424" s="5"/>
    </row>
    <row r="425" spans="2:7" ht="13">
      <c r="B425" s="36"/>
      <c r="C425" s="80"/>
      <c r="D425" s="5"/>
      <c r="E425" s="5"/>
      <c r="F425" s="5"/>
      <c r="G425" s="5"/>
    </row>
    <row r="426" spans="2:7" ht="13">
      <c r="B426" s="36"/>
      <c r="C426" s="80"/>
      <c r="D426" s="5"/>
      <c r="E426" s="5"/>
      <c r="F426" s="5"/>
      <c r="G426" s="5"/>
    </row>
    <row r="427" spans="2:7" ht="13">
      <c r="B427" s="36"/>
      <c r="C427" s="80"/>
      <c r="D427" s="5"/>
      <c r="E427" s="5"/>
      <c r="F427" s="5"/>
      <c r="G427" s="5"/>
    </row>
    <row r="428" spans="2:7" ht="13">
      <c r="B428" s="36"/>
      <c r="C428" s="80"/>
      <c r="D428" s="5"/>
      <c r="E428" s="5"/>
      <c r="F428" s="5"/>
      <c r="G428" s="5"/>
    </row>
    <row r="429" spans="2:7" ht="13">
      <c r="B429" s="36"/>
      <c r="C429" s="80"/>
      <c r="D429" s="5"/>
      <c r="E429" s="5"/>
      <c r="F429" s="5"/>
      <c r="G429" s="5"/>
    </row>
    <row r="430" spans="2:7" ht="13">
      <c r="B430" s="36"/>
      <c r="C430" s="80"/>
      <c r="D430" s="5"/>
      <c r="E430" s="5"/>
      <c r="F430" s="5"/>
      <c r="G430" s="5"/>
    </row>
    <row r="431" spans="2:7" ht="13">
      <c r="B431" s="36"/>
      <c r="C431" s="80"/>
      <c r="D431" s="5"/>
      <c r="E431" s="5"/>
      <c r="F431" s="5"/>
      <c r="G431" s="5"/>
    </row>
    <row r="432" spans="2:7" ht="13">
      <c r="B432" s="36"/>
      <c r="C432" s="80"/>
      <c r="D432" s="5"/>
      <c r="E432" s="5"/>
      <c r="F432" s="5"/>
      <c r="G432" s="5"/>
    </row>
    <row r="433" spans="2:7" ht="13">
      <c r="B433" s="36"/>
      <c r="C433" s="80"/>
      <c r="D433" s="5"/>
      <c r="E433" s="5"/>
      <c r="F433" s="5"/>
      <c r="G433" s="5"/>
    </row>
    <row r="434" spans="2:7" ht="13">
      <c r="B434" s="36"/>
      <c r="C434" s="80"/>
      <c r="D434" s="5"/>
      <c r="E434" s="5"/>
      <c r="F434" s="5"/>
      <c r="G434" s="5"/>
    </row>
    <row r="435" spans="2:7" ht="13">
      <c r="B435" s="36"/>
      <c r="C435" s="80"/>
      <c r="D435" s="5"/>
      <c r="E435" s="5"/>
      <c r="F435" s="5"/>
      <c r="G435" s="5"/>
    </row>
    <row r="436" spans="2:7" ht="13">
      <c r="B436" s="36"/>
      <c r="C436" s="80"/>
      <c r="D436" s="5"/>
      <c r="E436" s="5"/>
      <c r="F436" s="5"/>
      <c r="G436" s="5"/>
    </row>
    <row r="437" spans="2:7" ht="13">
      <c r="B437" s="36"/>
      <c r="C437" s="80"/>
      <c r="D437" s="5"/>
      <c r="E437" s="5"/>
      <c r="F437" s="5"/>
      <c r="G437" s="5"/>
    </row>
    <row r="438" spans="2:7" ht="13">
      <c r="B438" s="36"/>
      <c r="C438" s="80"/>
      <c r="D438" s="5"/>
      <c r="E438" s="5"/>
      <c r="F438" s="5"/>
      <c r="G438" s="5"/>
    </row>
    <row r="439" spans="2:7" ht="13">
      <c r="B439" s="36"/>
      <c r="C439" s="80"/>
      <c r="D439" s="5"/>
      <c r="E439" s="5"/>
      <c r="F439" s="5"/>
      <c r="G439" s="5"/>
    </row>
    <row r="440" spans="2:7" ht="13">
      <c r="B440" s="36"/>
      <c r="C440" s="80"/>
      <c r="D440" s="5"/>
      <c r="E440" s="5"/>
      <c r="F440" s="5"/>
      <c r="G440" s="5"/>
    </row>
    <row r="441" spans="2:7" ht="13">
      <c r="B441" s="36"/>
      <c r="C441" s="80"/>
      <c r="D441" s="5"/>
      <c r="E441" s="5"/>
      <c r="F441" s="5"/>
      <c r="G441" s="5"/>
    </row>
    <row r="442" spans="2:7" ht="13">
      <c r="B442" s="36"/>
      <c r="C442" s="80"/>
      <c r="D442" s="5"/>
      <c r="E442" s="5"/>
      <c r="F442" s="5"/>
      <c r="G442" s="5"/>
    </row>
    <row r="443" spans="2:7" ht="13">
      <c r="B443" s="36"/>
      <c r="C443" s="80"/>
      <c r="D443" s="5"/>
      <c r="E443" s="5"/>
      <c r="F443" s="5"/>
      <c r="G443" s="5"/>
    </row>
    <row r="444" spans="2:7" ht="13">
      <c r="B444" s="36"/>
      <c r="C444" s="80"/>
      <c r="D444" s="5"/>
      <c r="E444" s="5"/>
      <c r="F444" s="5"/>
      <c r="G444" s="5"/>
    </row>
    <row r="445" spans="2:7" ht="13">
      <c r="B445" s="36"/>
      <c r="C445" s="80"/>
      <c r="D445" s="5"/>
      <c r="E445" s="5"/>
      <c r="F445" s="5"/>
      <c r="G445" s="5"/>
    </row>
    <row r="446" spans="2:7" ht="13">
      <c r="B446" s="36"/>
      <c r="C446" s="80"/>
      <c r="D446" s="5"/>
      <c r="E446" s="5"/>
      <c r="F446" s="5"/>
      <c r="G446" s="5"/>
    </row>
    <row r="447" spans="2:7" ht="13">
      <c r="B447" s="36"/>
      <c r="C447" s="80"/>
      <c r="D447" s="5"/>
      <c r="E447" s="5"/>
      <c r="F447" s="5"/>
      <c r="G447" s="5"/>
    </row>
    <row r="448" spans="2:7" ht="13">
      <c r="B448" s="36"/>
      <c r="C448" s="80"/>
      <c r="D448" s="5"/>
      <c r="E448" s="5"/>
      <c r="F448" s="5"/>
      <c r="G448" s="5"/>
    </row>
    <row r="449" spans="2:7" ht="13">
      <c r="B449" s="36"/>
      <c r="C449" s="80"/>
      <c r="D449" s="5"/>
      <c r="E449" s="5"/>
      <c r="F449" s="5"/>
      <c r="G449" s="5"/>
    </row>
    <row r="450" spans="2:7" ht="13">
      <c r="B450" s="36"/>
      <c r="C450" s="80"/>
      <c r="D450" s="5"/>
      <c r="E450" s="5"/>
      <c r="F450" s="5"/>
      <c r="G450" s="5"/>
    </row>
    <row r="451" spans="2:7" ht="13">
      <c r="B451" s="36"/>
      <c r="C451" s="80"/>
      <c r="D451" s="5"/>
      <c r="E451" s="5"/>
      <c r="F451" s="5"/>
      <c r="G451" s="5"/>
    </row>
    <row r="452" spans="2:7" ht="13">
      <c r="B452" s="36"/>
      <c r="C452" s="80"/>
      <c r="D452" s="5"/>
      <c r="E452" s="5"/>
      <c r="F452" s="5"/>
      <c r="G452" s="5"/>
    </row>
    <row r="453" spans="2:7" ht="13">
      <c r="B453" s="36"/>
      <c r="C453" s="80"/>
      <c r="D453" s="5"/>
      <c r="E453" s="5"/>
      <c r="F453" s="5"/>
      <c r="G453" s="5"/>
    </row>
    <row r="454" spans="2:7" ht="13">
      <c r="B454" s="36"/>
      <c r="C454" s="80"/>
      <c r="D454" s="5"/>
      <c r="E454" s="5"/>
      <c r="F454" s="5"/>
      <c r="G454" s="5"/>
    </row>
    <row r="455" spans="2:7" ht="13">
      <c r="B455" s="36"/>
      <c r="C455" s="80"/>
      <c r="D455" s="5"/>
      <c r="E455" s="5"/>
      <c r="F455" s="5"/>
      <c r="G455" s="5"/>
    </row>
    <row r="456" spans="2:7" ht="13">
      <c r="B456" s="36"/>
      <c r="C456" s="80"/>
      <c r="D456" s="5"/>
      <c r="E456" s="5"/>
      <c r="F456" s="5"/>
      <c r="G456" s="5"/>
    </row>
    <row r="457" spans="2:7" ht="13">
      <c r="B457" s="36"/>
      <c r="C457" s="80"/>
      <c r="D457" s="5"/>
      <c r="E457" s="5"/>
      <c r="F457" s="5"/>
      <c r="G457" s="5"/>
    </row>
    <row r="458" spans="2:7" ht="13">
      <c r="B458" s="36"/>
      <c r="C458" s="80"/>
      <c r="D458" s="5"/>
      <c r="E458" s="5"/>
      <c r="F458" s="5"/>
      <c r="G458" s="5"/>
    </row>
    <row r="459" spans="2:7" ht="13">
      <c r="B459" s="36"/>
      <c r="C459" s="80"/>
      <c r="D459" s="5"/>
      <c r="E459" s="5"/>
      <c r="F459" s="5"/>
      <c r="G459" s="5"/>
    </row>
    <row r="460" spans="2:7" ht="13">
      <c r="B460" s="36"/>
      <c r="C460" s="80"/>
      <c r="D460" s="5"/>
      <c r="E460" s="5"/>
      <c r="F460" s="5"/>
      <c r="G460" s="5"/>
    </row>
    <row r="461" spans="2:7" ht="13">
      <c r="B461" s="36"/>
      <c r="C461" s="80"/>
      <c r="D461" s="5"/>
      <c r="E461" s="5"/>
      <c r="F461" s="5"/>
      <c r="G461" s="5"/>
    </row>
    <row r="462" spans="2:7" ht="13">
      <c r="B462" s="36"/>
      <c r="C462" s="80"/>
      <c r="D462" s="5"/>
      <c r="E462" s="5"/>
      <c r="F462" s="5"/>
      <c r="G462" s="5"/>
    </row>
    <row r="463" spans="2:7" ht="13">
      <c r="B463" s="36"/>
      <c r="C463" s="80"/>
      <c r="D463" s="5"/>
      <c r="E463" s="5"/>
      <c r="F463" s="5"/>
      <c r="G463" s="5"/>
    </row>
    <row r="464" spans="2:7" ht="13">
      <c r="B464" s="36"/>
      <c r="C464" s="80"/>
      <c r="D464" s="5"/>
      <c r="E464" s="5"/>
      <c r="F464" s="5"/>
      <c r="G464" s="5"/>
    </row>
    <row r="465" spans="2:7" ht="13">
      <c r="B465" s="36"/>
      <c r="C465" s="80"/>
      <c r="D465" s="5"/>
      <c r="E465" s="5"/>
      <c r="F465" s="5"/>
      <c r="G465" s="5"/>
    </row>
    <row r="466" spans="2:7" ht="13">
      <c r="B466" s="36"/>
      <c r="C466" s="80"/>
      <c r="D466" s="5"/>
      <c r="E466" s="5"/>
      <c r="F466" s="5"/>
      <c r="G466" s="5"/>
    </row>
    <row r="467" spans="2:7" ht="13">
      <c r="B467" s="36"/>
      <c r="C467" s="80"/>
      <c r="D467" s="5"/>
      <c r="E467" s="5"/>
      <c r="F467" s="5"/>
      <c r="G467" s="5"/>
    </row>
    <row r="468" spans="2:7" ht="13">
      <c r="B468" s="36"/>
      <c r="C468" s="80"/>
      <c r="D468" s="5"/>
      <c r="E468" s="5"/>
      <c r="F468" s="5"/>
      <c r="G468" s="5"/>
    </row>
    <row r="469" spans="2:7" ht="13">
      <c r="B469" s="36"/>
      <c r="C469" s="80"/>
      <c r="D469" s="5"/>
      <c r="E469" s="5"/>
      <c r="F469" s="5"/>
      <c r="G469" s="5"/>
    </row>
    <row r="470" spans="2:7" ht="13">
      <c r="B470" s="36"/>
      <c r="C470" s="80"/>
      <c r="D470" s="5"/>
      <c r="E470" s="5"/>
      <c r="F470" s="5"/>
      <c r="G470" s="5"/>
    </row>
    <row r="471" spans="2:7" ht="13">
      <c r="B471" s="36"/>
      <c r="C471" s="80"/>
      <c r="D471" s="5"/>
      <c r="E471" s="5"/>
      <c r="F471" s="5"/>
      <c r="G471" s="5"/>
    </row>
    <row r="472" spans="2:7" ht="13">
      <c r="B472" s="36"/>
      <c r="C472" s="80"/>
      <c r="D472" s="5"/>
      <c r="E472" s="5"/>
      <c r="F472" s="5"/>
      <c r="G472" s="5"/>
    </row>
    <row r="473" spans="2:7" ht="13">
      <c r="B473" s="36"/>
      <c r="C473" s="80"/>
      <c r="D473" s="5"/>
      <c r="E473" s="5"/>
      <c r="F473" s="5"/>
      <c r="G473" s="5"/>
    </row>
    <row r="474" spans="2:7" ht="13">
      <c r="B474" s="36"/>
      <c r="C474" s="80"/>
      <c r="D474" s="5"/>
      <c r="E474" s="5"/>
      <c r="F474" s="5"/>
      <c r="G474" s="5"/>
    </row>
    <row r="475" spans="2:7" ht="13">
      <c r="B475" s="36"/>
      <c r="C475" s="80"/>
      <c r="D475" s="5"/>
      <c r="E475" s="5"/>
      <c r="F475" s="5"/>
      <c r="G475" s="5"/>
    </row>
    <row r="476" spans="2:7" ht="13">
      <c r="B476" s="36"/>
      <c r="C476" s="80"/>
      <c r="D476" s="5"/>
      <c r="E476" s="5"/>
      <c r="F476" s="5"/>
      <c r="G476" s="5"/>
    </row>
    <row r="477" spans="2:7" ht="13">
      <c r="B477" s="36"/>
      <c r="C477" s="80"/>
      <c r="D477" s="5"/>
      <c r="E477" s="5"/>
      <c r="F477" s="5"/>
      <c r="G477" s="5"/>
    </row>
    <row r="478" spans="2:7" ht="13">
      <c r="B478" s="36"/>
      <c r="C478" s="80"/>
      <c r="D478" s="5"/>
      <c r="E478" s="5"/>
      <c r="F478" s="5"/>
      <c r="G478" s="5"/>
    </row>
    <row r="479" spans="2:7" ht="13">
      <c r="B479" s="36"/>
      <c r="C479" s="80"/>
      <c r="D479" s="5"/>
      <c r="E479" s="5"/>
      <c r="F479" s="5"/>
      <c r="G479" s="5"/>
    </row>
    <row r="480" spans="2:7" ht="13">
      <c r="B480" s="36"/>
      <c r="C480" s="80"/>
      <c r="D480" s="5"/>
      <c r="E480" s="5"/>
      <c r="F480" s="5"/>
      <c r="G480" s="5"/>
    </row>
    <row r="481" spans="2:7" ht="13">
      <c r="B481" s="36"/>
      <c r="C481" s="80"/>
      <c r="D481" s="5"/>
      <c r="E481" s="5"/>
      <c r="F481" s="5"/>
      <c r="G481" s="5"/>
    </row>
    <row r="482" spans="2:7" ht="13">
      <c r="B482" s="36"/>
      <c r="C482" s="80"/>
      <c r="D482" s="5"/>
      <c r="E482" s="5"/>
      <c r="F482" s="5"/>
      <c r="G482" s="5"/>
    </row>
    <row r="483" spans="2:7" ht="13">
      <c r="B483" s="36"/>
      <c r="C483" s="80"/>
      <c r="D483" s="5"/>
      <c r="E483" s="5"/>
      <c r="F483" s="5"/>
      <c r="G483" s="5"/>
    </row>
    <row r="484" spans="2:7" ht="13">
      <c r="B484" s="36"/>
      <c r="C484" s="80"/>
      <c r="D484" s="5"/>
      <c r="E484" s="5"/>
      <c r="F484" s="5"/>
      <c r="G484" s="5"/>
    </row>
    <row r="485" spans="2:7" ht="13">
      <c r="B485" s="36"/>
      <c r="C485" s="80"/>
      <c r="D485" s="5"/>
      <c r="E485" s="5"/>
      <c r="F485" s="5"/>
      <c r="G485" s="5"/>
    </row>
    <row r="486" spans="2:7" ht="13">
      <c r="B486" s="36"/>
      <c r="C486" s="80"/>
      <c r="D486" s="5"/>
      <c r="E486" s="5"/>
      <c r="F486" s="5"/>
      <c r="G486" s="5"/>
    </row>
    <row r="487" spans="2:7" ht="13">
      <c r="B487" s="36"/>
      <c r="C487" s="80"/>
      <c r="D487" s="5"/>
      <c r="E487" s="5"/>
      <c r="F487" s="5"/>
      <c r="G487" s="5"/>
    </row>
    <row r="488" spans="2:7" ht="13">
      <c r="B488" s="36"/>
      <c r="C488" s="80"/>
      <c r="D488" s="5"/>
      <c r="E488" s="5"/>
      <c r="F488" s="5"/>
      <c r="G488" s="5"/>
    </row>
    <row r="489" spans="2:7" ht="13">
      <c r="B489" s="36"/>
      <c r="C489" s="80"/>
      <c r="D489" s="5"/>
      <c r="E489" s="5"/>
      <c r="F489" s="5"/>
      <c r="G489" s="5"/>
    </row>
    <row r="490" spans="2:7" ht="13">
      <c r="B490" s="36"/>
      <c r="C490" s="80"/>
      <c r="D490" s="5"/>
      <c r="E490" s="5"/>
      <c r="F490" s="5"/>
      <c r="G490" s="5"/>
    </row>
    <row r="491" spans="2:7" ht="13">
      <c r="B491" s="36"/>
      <c r="C491" s="80"/>
      <c r="D491" s="5"/>
      <c r="E491" s="5"/>
      <c r="F491" s="5"/>
      <c r="G491" s="5"/>
    </row>
    <row r="492" spans="2:7" ht="13">
      <c r="B492" s="36"/>
      <c r="C492" s="80"/>
      <c r="D492" s="5"/>
      <c r="E492" s="5"/>
      <c r="F492" s="5"/>
      <c r="G492" s="5"/>
    </row>
    <row r="493" spans="2:7" ht="13">
      <c r="B493" s="36"/>
      <c r="C493" s="80"/>
      <c r="D493" s="5"/>
      <c r="E493" s="5"/>
      <c r="F493" s="5"/>
      <c r="G493" s="5"/>
    </row>
    <row r="494" spans="2:7" ht="13">
      <c r="B494" s="36"/>
      <c r="C494" s="80"/>
      <c r="D494" s="5"/>
      <c r="E494" s="5"/>
      <c r="F494" s="5"/>
      <c r="G494" s="5"/>
    </row>
    <row r="495" spans="2:7" ht="13">
      <c r="B495" s="36"/>
      <c r="C495" s="80"/>
      <c r="D495" s="5"/>
      <c r="E495" s="5"/>
      <c r="F495" s="5"/>
      <c r="G495" s="5"/>
    </row>
    <row r="496" spans="2:7" ht="13">
      <c r="B496" s="36"/>
      <c r="C496" s="80"/>
      <c r="D496" s="5"/>
      <c r="E496" s="5"/>
      <c r="F496" s="5"/>
      <c r="G496" s="5"/>
    </row>
    <row r="497" spans="2:7" ht="13">
      <c r="B497" s="36"/>
      <c r="C497" s="80"/>
      <c r="D497" s="5"/>
      <c r="E497" s="5"/>
      <c r="F497" s="5"/>
      <c r="G497" s="5"/>
    </row>
    <row r="498" spans="2:7" ht="13">
      <c r="B498" s="36"/>
      <c r="C498" s="80"/>
      <c r="D498" s="5"/>
      <c r="E498" s="5"/>
      <c r="F498" s="5"/>
      <c r="G498" s="5"/>
    </row>
    <row r="499" spans="2:7" ht="13">
      <c r="B499" s="36"/>
      <c r="C499" s="80"/>
      <c r="D499" s="5"/>
      <c r="E499" s="5"/>
      <c r="F499" s="5"/>
      <c r="G499" s="5"/>
    </row>
    <row r="500" spans="2:7" ht="13">
      <c r="B500" s="36"/>
      <c r="C500" s="80"/>
      <c r="D500" s="5"/>
      <c r="E500" s="5"/>
      <c r="F500" s="5"/>
      <c r="G500" s="5"/>
    </row>
    <row r="501" spans="2:7" ht="13">
      <c r="B501" s="36"/>
      <c r="C501" s="80"/>
      <c r="D501" s="5"/>
      <c r="E501" s="5"/>
      <c r="F501" s="5"/>
      <c r="G501" s="5"/>
    </row>
    <row r="502" spans="2:7" ht="13">
      <c r="B502" s="36"/>
      <c r="C502" s="80"/>
      <c r="D502" s="5"/>
      <c r="E502" s="5"/>
      <c r="F502" s="5"/>
      <c r="G502" s="5"/>
    </row>
    <row r="503" spans="2:7" ht="13">
      <c r="B503" s="36"/>
      <c r="C503" s="80"/>
      <c r="D503" s="5"/>
      <c r="E503" s="5"/>
      <c r="F503" s="5"/>
      <c r="G503" s="5"/>
    </row>
    <row r="504" spans="2:7" ht="13">
      <c r="B504" s="36"/>
      <c r="C504" s="80"/>
      <c r="D504" s="5"/>
      <c r="E504" s="5"/>
      <c r="F504" s="5"/>
      <c r="G504" s="5"/>
    </row>
    <row r="505" spans="2:7" ht="13">
      <c r="B505" s="36"/>
      <c r="C505" s="80"/>
      <c r="D505" s="5"/>
      <c r="E505" s="5"/>
      <c r="F505" s="5"/>
      <c r="G505" s="5"/>
    </row>
    <row r="506" spans="2:7" ht="13">
      <c r="B506" s="36"/>
      <c r="C506" s="80"/>
      <c r="D506" s="5"/>
      <c r="E506" s="5"/>
      <c r="F506" s="5"/>
      <c r="G506" s="5"/>
    </row>
    <row r="507" spans="2:7" ht="13">
      <c r="B507" s="36"/>
      <c r="C507" s="80"/>
      <c r="D507" s="5"/>
      <c r="E507" s="5"/>
      <c r="F507" s="5"/>
      <c r="G507" s="5"/>
    </row>
    <row r="508" spans="2:7" ht="13">
      <c r="B508" s="36"/>
      <c r="C508" s="80"/>
      <c r="D508" s="5"/>
      <c r="E508" s="5"/>
      <c r="F508" s="5"/>
      <c r="G508" s="5"/>
    </row>
    <row r="509" spans="2:7" ht="13">
      <c r="B509" s="36"/>
      <c r="C509" s="80"/>
      <c r="D509" s="5"/>
      <c r="E509" s="5"/>
      <c r="F509" s="5"/>
      <c r="G509" s="5"/>
    </row>
    <row r="510" spans="2:7" ht="13">
      <c r="B510" s="36"/>
      <c r="C510" s="80"/>
      <c r="D510" s="5"/>
      <c r="E510" s="5"/>
      <c r="F510" s="5"/>
      <c r="G510" s="5"/>
    </row>
    <row r="511" spans="2:7" ht="13">
      <c r="B511" s="36"/>
      <c r="C511" s="80"/>
      <c r="D511" s="5"/>
      <c r="E511" s="5"/>
      <c r="F511" s="5"/>
      <c r="G511" s="5"/>
    </row>
    <row r="512" spans="2:7" ht="13">
      <c r="B512" s="36"/>
      <c r="C512" s="80"/>
      <c r="D512" s="5"/>
      <c r="E512" s="5"/>
      <c r="F512" s="5"/>
      <c r="G512" s="5"/>
    </row>
    <row r="513" spans="2:7" ht="13">
      <c r="B513" s="36"/>
      <c r="C513" s="80"/>
      <c r="D513" s="5"/>
      <c r="E513" s="5"/>
      <c r="F513" s="5"/>
      <c r="G513" s="5"/>
    </row>
    <row r="514" spans="2:7" ht="13">
      <c r="B514" s="36"/>
      <c r="C514" s="80"/>
      <c r="D514" s="5"/>
      <c r="E514" s="5"/>
      <c r="F514" s="5"/>
      <c r="G514" s="5"/>
    </row>
    <row r="515" spans="2:7" ht="13">
      <c r="B515" s="36"/>
      <c r="C515" s="80"/>
      <c r="D515" s="5"/>
      <c r="E515" s="5"/>
      <c r="F515" s="5"/>
      <c r="G515" s="5"/>
    </row>
    <row r="516" spans="2:7" ht="13">
      <c r="B516" s="36"/>
      <c r="C516" s="80"/>
      <c r="D516" s="5"/>
      <c r="E516" s="5"/>
      <c r="F516" s="5"/>
      <c r="G516" s="5"/>
    </row>
    <row r="517" spans="2:7" ht="13">
      <c r="B517" s="36"/>
      <c r="C517" s="80"/>
      <c r="D517" s="5"/>
      <c r="E517" s="5"/>
      <c r="F517" s="5"/>
      <c r="G517" s="5"/>
    </row>
    <row r="518" spans="2:7" ht="13">
      <c r="B518" s="36"/>
      <c r="C518" s="80"/>
      <c r="D518" s="5"/>
      <c r="E518" s="5"/>
      <c r="F518" s="5"/>
      <c r="G518" s="5"/>
    </row>
    <row r="519" spans="2:7" ht="13">
      <c r="B519" s="36"/>
      <c r="C519" s="80"/>
      <c r="D519" s="5"/>
      <c r="E519" s="5"/>
      <c r="F519" s="5"/>
      <c r="G519" s="5"/>
    </row>
    <row r="520" spans="2:7" ht="13">
      <c r="B520" s="36"/>
      <c r="C520" s="80"/>
      <c r="D520" s="5"/>
      <c r="E520" s="5"/>
      <c r="F520" s="5"/>
      <c r="G520" s="5"/>
    </row>
    <row r="521" spans="2:7" ht="13">
      <c r="B521" s="36"/>
      <c r="C521" s="80"/>
      <c r="D521" s="5"/>
      <c r="E521" s="5"/>
      <c r="F521" s="5"/>
      <c r="G521" s="5"/>
    </row>
    <row r="522" spans="2:7" ht="13">
      <c r="B522" s="36"/>
      <c r="C522" s="80"/>
      <c r="D522" s="5"/>
      <c r="E522" s="5"/>
      <c r="F522" s="5"/>
      <c r="G522" s="5"/>
    </row>
    <row r="523" spans="2:7" ht="13">
      <c r="B523" s="36"/>
      <c r="C523" s="80"/>
      <c r="D523" s="5"/>
      <c r="E523" s="5"/>
      <c r="F523" s="5"/>
      <c r="G523" s="5"/>
    </row>
    <row r="524" spans="2:7" ht="13">
      <c r="B524" s="36"/>
      <c r="C524" s="80"/>
      <c r="D524" s="5"/>
      <c r="E524" s="5"/>
      <c r="F524" s="5"/>
      <c r="G524" s="5"/>
    </row>
    <row r="525" spans="2:7" ht="13">
      <c r="B525" s="36"/>
      <c r="C525" s="80"/>
      <c r="D525" s="5"/>
      <c r="E525" s="5"/>
      <c r="F525" s="5"/>
      <c r="G525" s="5"/>
    </row>
    <row r="526" spans="2:7" ht="13">
      <c r="B526" s="36"/>
      <c r="C526" s="80"/>
      <c r="D526" s="5"/>
      <c r="E526" s="5"/>
      <c r="F526" s="5"/>
      <c r="G526" s="5"/>
    </row>
    <row r="527" spans="2:7" ht="13">
      <c r="B527" s="36"/>
      <c r="C527" s="80"/>
      <c r="D527" s="5"/>
      <c r="E527" s="5"/>
      <c r="F527" s="5"/>
      <c r="G527" s="5"/>
    </row>
    <row r="528" spans="2:7" ht="13">
      <c r="B528" s="36"/>
      <c r="C528" s="80"/>
      <c r="D528" s="5"/>
      <c r="E528" s="5"/>
      <c r="F528" s="5"/>
      <c r="G528" s="5"/>
    </row>
    <row r="529" spans="2:7" ht="13">
      <c r="B529" s="36"/>
      <c r="C529" s="80"/>
      <c r="D529" s="5"/>
      <c r="E529" s="5"/>
      <c r="F529" s="5"/>
      <c r="G529" s="5"/>
    </row>
    <row r="530" spans="2:7" ht="13">
      <c r="B530" s="36"/>
      <c r="C530" s="80"/>
      <c r="D530" s="5"/>
      <c r="E530" s="5"/>
      <c r="F530" s="5"/>
      <c r="G530" s="5"/>
    </row>
    <row r="531" spans="2:7" ht="13">
      <c r="B531" s="36"/>
      <c r="C531" s="80"/>
      <c r="D531" s="5"/>
      <c r="E531" s="5"/>
      <c r="F531" s="5"/>
      <c r="G531" s="5"/>
    </row>
    <row r="532" spans="2:7" ht="13">
      <c r="B532" s="36"/>
      <c r="C532" s="80"/>
      <c r="D532" s="5"/>
      <c r="E532" s="5"/>
      <c r="F532" s="5"/>
      <c r="G532" s="5"/>
    </row>
    <row r="533" spans="2:7" ht="13">
      <c r="B533" s="36"/>
      <c r="C533" s="80"/>
      <c r="D533" s="5"/>
      <c r="E533" s="5"/>
      <c r="F533" s="5"/>
      <c r="G533" s="5"/>
    </row>
    <row r="534" spans="2:7" ht="13">
      <c r="B534" s="36"/>
      <c r="C534" s="80"/>
      <c r="D534" s="5"/>
      <c r="E534" s="5"/>
      <c r="F534" s="5"/>
      <c r="G534" s="5"/>
    </row>
    <row r="535" spans="2:7" ht="13">
      <c r="B535" s="36"/>
      <c r="C535" s="80"/>
      <c r="D535" s="5"/>
      <c r="E535" s="5"/>
      <c r="F535" s="5"/>
      <c r="G535" s="5"/>
    </row>
    <row r="536" spans="2:7" ht="13">
      <c r="B536" s="36"/>
      <c r="C536" s="80"/>
      <c r="D536" s="5"/>
      <c r="E536" s="5"/>
      <c r="F536" s="5"/>
      <c r="G536" s="5"/>
    </row>
    <row r="537" spans="2:7" ht="13">
      <c r="B537" s="36"/>
      <c r="C537" s="80"/>
      <c r="D537" s="5"/>
      <c r="E537" s="5"/>
      <c r="F537" s="5"/>
      <c r="G537" s="5"/>
    </row>
    <row r="538" spans="2:7" ht="13">
      <c r="B538" s="36"/>
      <c r="C538" s="80"/>
      <c r="D538" s="5"/>
      <c r="E538" s="5"/>
      <c r="F538" s="5"/>
      <c r="G538" s="5"/>
    </row>
    <row r="539" spans="2:7" ht="13">
      <c r="B539" s="36"/>
      <c r="C539" s="80"/>
      <c r="D539" s="5"/>
      <c r="E539" s="5"/>
      <c r="F539" s="5"/>
      <c r="G539" s="5"/>
    </row>
    <row r="540" spans="2:7" ht="13">
      <c r="B540" s="36"/>
      <c r="C540" s="80"/>
      <c r="D540" s="5"/>
      <c r="E540" s="5"/>
      <c r="F540" s="5"/>
      <c r="G540" s="5"/>
    </row>
    <row r="541" spans="2:7" ht="13">
      <c r="B541" s="36"/>
      <c r="C541" s="80"/>
      <c r="D541" s="5"/>
      <c r="E541" s="5"/>
      <c r="F541" s="5"/>
      <c r="G541" s="5"/>
    </row>
    <row r="542" spans="2:7" ht="13">
      <c r="B542" s="36"/>
      <c r="C542" s="80"/>
      <c r="D542" s="5"/>
      <c r="E542" s="5"/>
      <c r="F542" s="5"/>
      <c r="G542" s="5"/>
    </row>
    <row r="543" spans="2:7" ht="13">
      <c r="B543" s="36"/>
      <c r="C543" s="80"/>
      <c r="D543" s="5"/>
      <c r="E543" s="5"/>
      <c r="F543" s="5"/>
      <c r="G543" s="5"/>
    </row>
    <row r="544" spans="2:7" ht="13">
      <c r="B544" s="36"/>
      <c r="C544" s="80"/>
      <c r="D544" s="5"/>
      <c r="E544" s="5"/>
      <c r="F544" s="5"/>
      <c r="G544" s="5"/>
    </row>
    <row r="545" spans="2:7" ht="13">
      <c r="B545" s="36"/>
      <c r="C545" s="80"/>
      <c r="D545" s="5"/>
      <c r="E545" s="5"/>
      <c r="F545" s="5"/>
      <c r="G545" s="5"/>
    </row>
    <row r="546" spans="2:7" ht="13">
      <c r="B546" s="36"/>
      <c r="C546" s="80"/>
      <c r="D546" s="5"/>
      <c r="E546" s="5"/>
      <c r="F546" s="5"/>
      <c r="G546" s="5"/>
    </row>
    <row r="547" spans="2:7" ht="13">
      <c r="B547" s="36"/>
      <c r="C547" s="80"/>
      <c r="D547" s="5"/>
      <c r="E547" s="5"/>
      <c r="F547" s="5"/>
      <c r="G547" s="5"/>
    </row>
    <row r="548" spans="2:7" ht="13">
      <c r="B548" s="36"/>
      <c r="C548" s="80"/>
      <c r="D548" s="5"/>
      <c r="E548" s="5"/>
      <c r="F548" s="5"/>
      <c r="G548" s="5"/>
    </row>
    <row r="549" spans="2:7" ht="13">
      <c r="B549" s="36"/>
      <c r="C549" s="80"/>
      <c r="D549" s="5"/>
      <c r="E549" s="5"/>
      <c r="F549" s="5"/>
      <c r="G549" s="5"/>
    </row>
    <row r="550" spans="2:7" ht="13">
      <c r="B550" s="36"/>
      <c r="C550" s="80"/>
      <c r="D550" s="5"/>
      <c r="E550" s="5"/>
      <c r="F550" s="5"/>
      <c r="G550" s="5"/>
    </row>
    <row r="551" spans="2:7" ht="13">
      <c r="B551" s="36"/>
      <c r="C551" s="80"/>
      <c r="D551" s="5"/>
      <c r="E551" s="5"/>
      <c r="F551" s="5"/>
      <c r="G551" s="5"/>
    </row>
    <row r="552" spans="2:7" ht="13">
      <c r="B552" s="36"/>
      <c r="C552" s="80"/>
      <c r="D552" s="5"/>
      <c r="E552" s="5"/>
      <c r="F552" s="5"/>
      <c r="G552" s="5"/>
    </row>
    <row r="553" spans="2:7" ht="13">
      <c r="B553" s="36"/>
      <c r="C553" s="80"/>
      <c r="D553" s="5"/>
      <c r="E553" s="5"/>
      <c r="F553" s="5"/>
      <c r="G553" s="5"/>
    </row>
    <row r="554" spans="2:7" ht="13">
      <c r="B554" s="36"/>
      <c r="C554" s="80"/>
      <c r="D554" s="5"/>
      <c r="E554" s="5"/>
      <c r="F554" s="5"/>
      <c r="G554" s="5"/>
    </row>
    <row r="555" spans="2:7" ht="13">
      <c r="B555" s="36"/>
      <c r="C555" s="80"/>
      <c r="D555" s="5"/>
      <c r="E555" s="5"/>
      <c r="F555" s="5"/>
      <c r="G555" s="5"/>
    </row>
    <row r="556" spans="2:7" ht="13">
      <c r="B556" s="36"/>
      <c r="C556" s="80"/>
      <c r="D556" s="5"/>
      <c r="E556" s="5"/>
      <c r="F556" s="5"/>
      <c r="G556" s="5"/>
    </row>
    <row r="557" spans="2:7" ht="13">
      <c r="B557" s="36"/>
      <c r="C557" s="80"/>
      <c r="D557" s="5"/>
      <c r="E557" s="5"/>
      <c r="F557" s="5"/>
      <c r="G557" s="5"/>
    </row>
    <row r="558" spans="2:7" ht="13">
      <c r="B558" s="36"/>
      <c r="C558" s="80"/>
      <c r="D558" s="5"/>
      <c r="E558" s="5"/>
      <c r="F558" s="5"/>
      <c r="G558" s="5"/>
    </row>
    <row r="559" spans="2:7" ht="13">
      <c r="B559" s="36"/>
      <c r="C559" s="80"/>
      <c r="D559" s="5"/>
      <c r="E559" s="5"/>
      <c r="F559" s="5"/>
      <c r="G559" s="5"/>
    </row>
    <row r="560" spans="2:7" ht="13">
      <c r="B560" s="36"/>
      <c r="C560" s="80"/>
      <c r="D560" s="5"/>
      <c r="E560" s="5"/>
      <c r="F560" s="5"/>
      <c r="G560" s="5"/>
    </row>
    <row r="561" spans="2:7" ht="13">
      <c r="B561" s="36"/>
      <c r="C561" s="80"/>
      <c r="D561" s="5"/>
      <c r="E561" s="5"/>
      <c r="F561" s="5"/>
      <c r="G561" s="5"/>
    </row>
    <row r="562" spans="2:7" ht="13">
      <c r="B562" s="36"/>
      <c r="C562" s="80"/>
      <c r="D562" s="5"/>
      <c r="E562" s="5"/>
      <c r="F562" s="5"/>
      <c r="G562" s="5"/>
    </row>
    <row r="563" spans="2:7" ht="13">
      <c r="B563" s="36"/>
      <c r="C563" s="80"/>
      <c r="D563" s="5"/>
      <c r="E563" s="5"/>
      <c r="F563" s="5"/>
      <c r="G563" s="5"/>
    </row>
    <row r="564" spans="2:7" ht="13">
      <c r="B564" s="36"/>
      <c r="C564" s="80"/>
      <c r="D564" s="5"/>
      <c r="E564" s="5"/>
      <c r="F564" s="5"/>
      <c r="G564" s="5"/>
    </row>
    <row r="565" spans="2:7" ht="13">
      <c r="B565" s="36"/>
      <c r="C565" s="80"/>
      <c r="D565" s="5"/>
      <c r="E565" s="5"/>
      <c r="F565" s="5"/>
      <c r="G565" s="5"/>
    </row>
    <row r="566" spans="2:7" ht="13">
      <c r="B566" s="36"/>
      <c r="C566" s="80"/>
      <c r="D566" s="5"/>
      <c r="E566" s="5"/>
      <c r="F566" s="5"/>
      <c r="G566" s="5"/>
    </row>
    <row r="567" spans="2:7" ht="13">
      <c r="B567" s="36"/>
      <c r="C567" s="80"/>
      <c r="D567" s="5"/>
      <c r="E567" s="5"/>
      <c r="F567" s="5"/>
      <c r="G567" s="5"/>
    </row>
    <row r="568" spans="2:7" ht="13">
      <c r="B568" s="36"/>
      <c r="C568" s="80"/>
      <c r="D568" s="5"/>
      <c r="E568" s="5"/>
      <c r="F568" s="5"/>
      <c r="G568" s="5"/>
    </row>
    <row r="569" spans="2:7" ht="13">
      <c r="B569" s="36"/>
      <c r="C569" s="80"/>
      <c r="D569" s="5"/>
      <c r="E569" s="5"/>
      <c r="F569" s="5"/>
      <c r="G569" s="5"/>
    </row>
    <row r="570" spans="2:7" ht="13">
      <c r="B570" s="36"/>
      <c r="C570" s="80"/>
      <c r="D570" s="5"/>
      <c r="E570" s="5"/>
      <c r="F570" s="5"/>
      <c r="G570" s="5"/>
    </row>
    <row r="571" spans="2:7" ht="13">
      <c r="B571" s="36"/>
      <c r="C571" s="80"/>
      <c r="D571" s="5"/>
      <c r="E571" s="5"/>
      <c r="F571" s="5"/>
      <c r="G571" s="5"/>
    </row>
    <row r="572" spans="2:7" ht="13">
      <c r="B572" s="36"/>
      <c r="C572" s="80"/>
      <c r="D572" s="5"/>
      <c r="E572" s="5"/>
      <c r="F572" s="5"/>
      <c r="G572" s="5"/>
    </row>
    <row r="573" spans="2:7" ht="13">
      <c r="B573" s="36"/>
      <c r="C573" s="80"/>
      <c r="D573" s="5"/>
      <c r="E573" s="5"/>
      <c r="F573" s="5"/>
      <c r="G573" s="5"/>
    </row>
    <row r="574" spans="2:7" ht="13">
      <c r="B574" s="36"/>
      <c r="C574" s="80"/>
      <c r="D574" s="5"/>
      <c r="E574" s="5"/>
      <c r="F574" s="5"/>
      <c r="G574" s="5"/>
    </row>
    <row r="575" spans="2:7" ht="13">
      <c r="B575" s="36"/>
      <c r="C575" s="80"/>
      <c r="D575" s="5"/>
      <c r="E575" s="5"/>
      <c r="F575" s="5"/>
      <c r="G575" s="5"/>
    </row>
    <row r="576" spans="2:7" ht="13">
      <c r="B576" s="36"/>
      <c r="C576" s="80"/>
      <c r="D576" s="5"/>
      <c r="E576" s="5"/>
      <c r="F576" s="5"/>
      <c r="G576" s="5"/>
    </row>
    <row r="577" spans="2:7" ht="13">
      <c r="B577" s="36"/>
      <c r="C577" s="80"/>
      <c r="D577" s="5"/>
      <c r="E577" s="5"/>
      <c r="F577" s="5"/>
      <c r="G577" s="5"/>
    </row>
    <row r="578" spans="2:7" ht="13">
      <c r="B578" s="36"/>
      <c r="C578" s="80"/>
      <c r="D578" s="5"/>
      <c r="E578" s="5"/>
      <c r="F578" s="5"/>
      <c r="G578" s="5"/>
    </row>
    <row r="579" spans="2:7" ht="13">
      <c r="B579" s="36"/>
      <c r="C579" s="80"/>
      <c r="D579" s="5"/>
      <c r="E579" s="5"/>
      <c r="F579" s="5"/>
      <c r="G579" s="5"/>
    </row>
    <row r="580" spans="2:7" ht="13">
      <c r="B580" s="36"/>
      <c r="C580" s="80"/>
      <c r="D580" s="5"/>
      <c r="E580" s="5"/>
      <c r="F580" s="5"/>
      <c r="G580" s="5"/>
    </row>
    <row r="581" spans="2:7" ht="13">
      <c r="B581" s="36"/>
      <c r="C581" s="80"/>
      <c r="D581" s="5"/>
      <c r="E581" s="5"/>
      <c r="F581" s="5"/>
      <c r="G581" s="5"/>
    </row>
    <row r="582" spans="2:7" ht="13">
      <c r="B582" s="36"/>
      <c r="C582" s="80"/>
      <c r="D582" s="5"/>
      <c r="E582" s="5"/>
      <c r="F582" s="5"/>
      <c r="G582" s="5"/>
    </row>
    <row r="583" spans="2:7" ht="13">
      <c r="B583" s="36"/>
      <c r="C583" s="80"/>
      <c r="D583" s="5"/>
      <c r="E583" s="5"/>
      <c r="F583" s="5"/>
      <c r="G583" s="5"/>
    </row>
    <row r="584" spans="2:7" ht="13">
      <c r="B584" s="36"/>
      <c r="C584" s="80"/>
      <c r="D584" s="5"/>
      <c r="E584" s="5"/>
      <c r="F584" s="5"/>
      <c r="G584" s="5"/>
    </row>
    <row r="585" spans="2:7" ht="13">
      <c r="B585" s="36"/>
      <c r="C585" s="80"/>
      <c r="D585" s="5"/>
      <c r="E585" s="5"/>
      <c r="F585" s="5"/>
      <c r="G585" s="5"/>
    </row>
    <row r="586" spans="2:7" ht="13">
      <c r="B586" s="36"/>
      <c r="C586" s="80"/>
      <c r="D586" s="5"/>
      <c r="E586" s="5"/>
      <c r="F586" s="5"/>
      <c r="G586" s="5"/>
    </row>
    <row r="587" spans="2:7" ht="13">
      <c r="B587" s="36"/>
      <c r="C587" s="80"/>
      <c r="D587" s="5"/>
      <c r="E587" s="5"/>
      <c r="F587" s="5"/>
      <c r="G587" s="5"/>
    </row>
    <row r="588" spans="2:7" ht="13">
      <c r="B588" s="36"/>
      <c r="C588" s="80"/>
      <c r="D588" s="5"/>
      <c r="E588" s="5"/>
      <c r="F588" s="5"/>
      <c r="G588" s="5"/>
    </row>
    <row r="589" spans="2:7" ht="13">
      <c r="B589" s="36"/>
      <c r="C589" s="80"/>
      <c r="D589" s="5"/>
      <c r="E589" s="5"/>
      <c r="F589" s="5"/>
      <c r="G589" s="5"/>
    </row>
    <row r="590" spans="2:7" ht="13">
      <c r="B590" s="36"/>
      <c r="C590" s="80"/>
      <c r="D590" s="5"/>
      <c r="E590" s="5"/>
      <c r="F590" s="5"/>
      <c r="G590" s="5"/>
    </row>
    <row r="591" spans="2:7" ht="13">
      <c r="B591" s="36"/>
      <c r="C591" s="80"/>
      <c r="D591" s="5"/>
      <c r="E591" s="5"/>
      <c r="F591" s="5"/>
      <c r="G591" s="5"/>
    </row>
    <row r="592" spans="2:7" ht="13">
      <c r="B592" s="36"/>
      <c r="C592" s="80"/>
      <c r="D592" s="5"/>
      <c r="E592" s="5"/>
      <c r="F592" s="5"/>
      <c r="G592" s="5"/>
    </row>
    <row r="593" spans="2:7" ht="13">
      <c r="B593" s="36"/>
      <c r="C593" s="80"/>
      <c r="D593" s="5"/>
      <c r="E593" s="5"/>
      <c r="F593" s="5"/>
      <c r="G593" s="5"/>
    </row>
    <row r="594" spans="2:7" ht="13">
      <c r="B594" s="36"/>
      <c r="C594" s="80"/>
      <c r="D594" s="5"/>
      <c r="E594" s="5"/>
      <c r="F594" s="5"/>
      <c r="G594" s="5"/>
    </row>
    <row r="595" spans="2:7" ht="13">
      <c r="B595" s="36"/>
      <c r="C595" s="80"/>
      <c r="D595" s="5"/>
      <c r="E595" s="5"/>
      <c r="F595" s="5"/>
      <c r="G595" s="5"/>
    </row>
    <row r="596" spans="2:7" ht="13">
      <c r="B596" s="36"/>
      <c r="C596" s="80"/>
      <c r="D596" s="5"/>
      <c r="E596" s="5"/>
      <c r="F596" s="5"/>
      <c r="G596" s="5"/>
    </row>
    <row r="597" spans="2:7" ht="13">
      <c r="B597" s="36"/>
      <c r="C597" s="80"/>
      <c r="D597" s="5"/>
      <c r="E597" s="5"/>
      <c r="F597" s="5"/>
      <c r="G597" s="5"/>
    </row>
    <row r="598" spans="2:7" ht="13">
      <c r="B598" s="36"/>
      <c r="C598" s="80"/>
      <c r="D598" s="5"/>
      <c r="E598" s="5"/>
      <c r="F598" s="5"/>
      <c r="G598" s="5"/>
    </row>
    <row r="599" spans="2:7" ht="13">
      <c r="B599" s="36"/>
      <c r="C599" s="80"/>
      <c r="D599" s="5"/>
      <c r="E599" s="5"/>
      <c r="F599" s="5"/>
      <c r="G599" s="5"/>
    </row>
    <row r="600" spans="2:7" ht="13">
      <c r="B600" s="36"/>
      <c r="C600" s="80"/>
      <c r="D600" s="5"/>
      <c r="E600" s="5"/>
      <c r="F600" s="5"/>
      <c r="G600" s="5"/>
    </row>
    <row r="601" spans="2:7" ht="13">
      <c r="B601" s="36"/>
      <c r="C601" s="80"/>
      <c r="D601" s="5"/>
      <c r="E601" s="5"/>
      <c r="F601" s="5"/>
      <c r="G601" s="5"/>
    </row>
    <row r="602" spans="2:7" ht="13">
      <c r="B602" s="36"/>
      <c r="C602" s="80"/>
      <c r="D602" s="5"/>
      <c r="E602" s="5"/>
      <c r="F602" s="5"/>
      <c r="G602" s="5"/>
    </row>
    <row r="603" spans="2:7" ht="13">
      <c r="B603" s="36"/>
      <c r="C603" s="80"/>
      <c r="D603" s="5"/>
      <c r="E603" s="5"/>
      <c r="F603" s="5"/>
      <c r="G603" s="5"/>
    </row>
    <row r="604" spans="2:7" ht="13">
      <c r="B604" s="36"/>
      <c r="C604" s="80"/>
      <c r="D604" s="5"/>
      <c r="E604" s="5"/>
      <c r="F604" s="5"/>
      <c r="G604" s="5"/>
    </row>
    <row r="605" spans="2:7" ht="13">
      <c r="B605" s="36"/>
      <c r="C605" s="80"/>
      <c r="D605" s="5"/>
      <c r="E605" s="5"/>
      <c r="F605" s="5"/>
      <c r="G605" s="5"/>
    </row>
    <row r="606" spans="2:7" ht="13">
      <c r="B606" s="36"/>
      <c r="C606" s="80"/>
      <c r="D606" s="5"/>
      <c r="E606" s="5"/>
      <c r="F606" s="5"/>
      <c r="G606" s="5"/>
    </row>
    <row r="607" spans="2:7" ht="13">
      <c r="B607" s="36"/>
      <c r="C607" s="80"/>
      <c r="D607" s="5"/>
      <c r="E607" s="5"/>
      <c r="F607" s="5"/>
      <c r="G607" s="5"/>
    </row>
    <row r="608" spans="2:7" ht="13">
      <c r="B608" s="36"/>
      <c r="C608" s="80"/>
      <c r="D608" s="5"/>
      <c r="E608" s="5"/>
      <c r="F608" s="5"/>
      <c r="G608" s="5"/>
    </row>
    <row r="609" spans="2:7" ht="13">
      <c r="B609" s="36"/>
      <c r="C609" s="80"/>
      <c r="D609" s="5"/>
      <c r="E609" s="5"/>
      <c r="F609" s="5"/>
      <c r="G609" s="5"/>
    </row>
    <row r="610" spans="2:7" ht="13">
      <c r="B610" s="36"/>
      <c r="C610" s="80"/>
      <c r="D610" s="5"/>
      <c r="E610" s="5"/>
      <c r="F610" s="5"/>
      <c r="G610" s="5"/>
    </row>
    <row r="611" spans="2:7" ht="13">
      <c r="B611" s="36"/>
      <c r="C611" s="80"/>
      <c r="D611" s="5"/>
      <c r="E611" s="5"/>
      <c r="F611" s="5"/>
      <c r="G611" s="5"/>
    </row>
    <row r="612" spans="2:7" ht="13">
      <c r="B612" s="36"/>
      <c r="C612" s="80"/>
      <c r="D612" s="5"/>
      <c r="E612" s="5"/>
      <c r="F612" s="5"/>
      <c r="G612" s="5"/>
    </row>
    <row r="613" spans="2:7" ht="13">
      <c r="B613" s="36"/>
      <c r="C613" s="80"/>
      <c r="D613" s="5"/>
      <c r="E613" s="5"/>
      <c r="F613" s="5"/>
      <c r="G613" s="5"/>
    </row>
    <row r="614" spans="2:7" ht="13">
      <c r="B614" s="36"/>
      <c r="C614" s="80"/>
      <c r="D614" s="5"/>
      <c r="E614" s="5"/>
      <c r="F614" s="5"/>
      <c r="G614" s="5"/>
    </row>
    <row r="615" spans="2:7" ht="13">
      <c r="B615" s="36"/>
      <c r="C615" s="80"/>
      <c r="D615" s="5"/>
      <c r="E615" s="5"/>
      <c r="F615" s="5"/>
      <c r="G615" s="5"/>
    </row>
    <row r="616" spans="2:7" ht="13">
      <c r="B616" s="36"/>
      <c r="C616" s="80"/>
      <c r="D616" s="5"/>
      <c r="E616" s="5"/>
      <c r="F616" s="5"/>
      <c r="G616" s="5"/>
    </row>
    <row r="617" spans="2:7" ht="13">
      <c r="B617" s="36"/>
      <c r="C617" s="80"/>
      <c r="D617" s="5"/>
      <c r="E617" s="5"/>
      <c r="F617" s="5"/>
      <c r="G617" s="5"/>
    </row>
    <row r="618" spans="2:7" ht="13">
      <c r="B618" s="36"/>
      <c r="C618" s="80"/>
      <c r="D618" s="5"/>
      <c r="E618" s="5"/>
      <c r="F618" s="5"/>
      <c r="G618" s="5"/>
    </row>
    <row r="619" spans="2:7" ht="13">
      <c r="B619" s="36"/>
      <c r="C619" s="80"/>
      <c r="D619" s="5"/>
      <c r="E619" s="5"/>
      <c r="F619" s="5"/>
      <c r="G619" s="5"/>
    </row>
    <row r="620" spans="2:7" ht="13">
      <c r="B620" s="36"/>
      <c r="C620" s="80"/>
      <c r="D620" s="5"/>
      <c r="E620" s="5"/>
      <c r="F620" s="5"/>
      <c r="G620" s="5"/>
    </row>
    <row r="621" spans="2:7" ht="13">
      <c r="B621" s="36"/>
      <c r="C621" s="80"/>
      <c r="D621" s="5"/>
      <c r="E621" s="5"/>
      <c r="F621" s="5"/>
      <c r="G621" s="5"/>
    </row>
    <row r="622" spans="2:7" ht="13">
      <c r="B622" s="36"/>
      <c r="C622" s="80"/>
      <c r="D622" s="5"/>
      <c r="E622" s="5"/>
      <c r="F622" s="5"/>
      <c r="G622" s="5"/>
    </row>
    <row r="623" spans="2:7" ht="13">
      <c r="B623" s="36"/>
      <c r="C623" s="80"/>
      <c r="D623" s="5"/>
      <c r="E623" s="5"/>
      <c r="F623" s="5"/>
      <c r="G623" s="5"/>
    </row>
    <row r="624" spans="2:7" ht="13">
      <c r="B624" s="36"/>
      <c r="C624" s="80"/>
      <c r="D624" s="5"/>
      <c r="E624" s="5"/>
      <c r="F624" s="5"/>
      <c r="G624" s="5"/>
    </row>
    <row r="625" spans="2:7" ht="13">
      <c r="B625" s="36"/>
      <c r="C625" s="80"/>
      <c r="D625" s="5"/>
      <c r="E625" s="5"/>
      <c r="F625" s="5"/>
      <c r="G625" s="5"/>
    </row>
    <row r="626" spans="2:7" ht="13">
      <c r="B626" s="36"/>
      <c r="C626" s="80"/>
      <c r="D626" s="5"/>
      <c r="E626" s="5"/>
      <c r="F626" s="5"/>
      <c r="G626" s="5"/>
    </row>
    <row r="627" spans="2:7" ht="13">
      <c r="B627" s="36"/>
      <c r="C627" s="80"/>
      <c r="D627" s="5"/>
      <c r="E627" s="5"/>
      <c r="F627" s="5"/>
      <c r="G627" s="5"/>
    </row>
    <row r="628" spans="2:7" ht="13">
      <c r="B628" s="36"/>
      <c r="C628" s="80"/>
      <c r="D628" s="5"/>
      <c r="E628" s="5"/>
      <c r="F628" s="5"/>
      <c r="G628" s="5"/>
    </row>
    <row r="629" spans="2:7" ht="13">
      <c r="B629" s="36"/>
      <c r="C629" s="80"/>
      <c r="D629" s="5"/>
      <c r="E629" s="5"/>
      <c r="F629" s="5"/>
      <c r="G629" s="5"/>
    </row>
    <row r="630" spans="2:7" ht="13">
      <c r="B630" s="36"/>
      <c r="C630" s="80"/>
      <c r="D630" s="5"/>
      <c r="E630" s="5"/>
      <c r="F630" s="5"/>
      <c r="G630" s="5"/>
    </row>
    <row r="631" spans="2:7" ht="13">
      <c r="B631" s="36"/>
      <c r="C631" s="80"/>
      <c r="D631" s="5"/>
      <c r="E631" s="5"/>
      <c r="F631" s="5"/>
      <c r="G631" s="5"/>
    </row>
    <row r="632" spans="2:7" ht="13">
      <c r="B632" s="36"/>
      <c r="C632" s="80"/>
      <c r="D632" s="5"/>
      <c r="E632" s="5"/>
      <c r="F632" s="5"/>
      <c r="G632" s="5"/>
    </row>
    <row r="633" spans="2:7" ht="13">
      <c r="B633" s="36"/>
      <c r="C633" s="80"/>
      <c r="D633" s="5"/>
      <c r="E633" s="5"/>
      <c r="F633" s="5"/>
      <c r="G633" s="5"/>
    </row>
    <row r="634" spans="2:7" ht="13">
      <c r="B634" s="36"/>
      <c r="C634" s="80"/>
      <c r="D634" s="5"/>
      <c r="E634" s="5"/>
      <c r="F634" s="5"/>
      <c r="G634" s="5"/>
    </row>
    <row r="635" spans="2:7" ht="13">
      <c r="B635" s="36"/>
      <c r="C635" s="80"/>
      <c r="D635" s="5"/>
      <c r="E635" s="5"/>
      <c r="F635" s="5"/>
      <c r="G635" s="5"/>
    </row>
    <row r="636" spans="2:7" ht="13">
      <c r="B636" s="36"/>
      <c r="C636" s="80"/>
      <c r="D636" s="5"/>
      <c r="E636" s="5"/>
      <c r="F636" s="5"/>
      <c r="G636" s="5"/>
    </row>
    <row r="637" spans="2:7" ht="13">
      <c r="B637" s="36"/>
      <c r="C637" s="80"/>
      <c r="D637" s="5"/>
      <c r="E637" s="5"/>
      <c r="F637" s="5"/>
      <c r="G637" s="5"/>
    </row>
    <row r="638" spans="2:7" ht="13">
      <c r="B638" s="36"/>
      <c r="C638" s="80"/>
      <c r="D638" s="5"/>
      <c r="E638" s="5"/>
      <c r="F638" s="5"/>
      <c r="G638" s="5"/>
    </row>
    <row r="639" spans="2:7" ht="13">
      <c r="B639" s="36"/>
      <c r="C639" s="80"/>
      <c r="D639" s="5"/>
      <c r="E639" s="5"/>
      <c r="F639" s="5"/>
      <c r="G639" s="5"/>
    </row>
    <row r="640" spans="2:7" ht="13">
      <c r="B640" s="36"/>
      <c r="C640" s="80"/>
      <c r="D640" s="5"/>
      <c r="E640" s="5"/>
      <c r="F640" s="5"/>
      <c r="G640" s="5"/>
    </row>
    <row r="641" spans="2:7" ht="13">
      <c r="B641" s="36"/>
      <c r="C641" s="80"/>
      <c r="D641" s="5"/>
      <c r="E641" s="5"/>
      <c r="F641" s="5"/>
      <c r="G641" s="5"/>
    </row>
    <row r="642" spans="2:7" ht="13">
      <c r="B642" s="36"/>
      <c r="C642" s="80"/>
      <c r="D642" s="5"/>
      <c r="E642" s="5"/>
      <c r="F642" s="5"/>
      <c r="G642" s="5"/>
    </row>
    <row r="643" spans="2:7" ht="13">
      <c r="B643" s="36"/>
      <c r="C643" s="80"/>
      <c r="D643" s="5"/>
      <c r="E643" s="5"/>
      <c r="F643" s="5"/>
      <c r="G643" s="5"/>
    </row>
    <row r="644" spans="2:7" ht="13">
      <c r="B644" s="36"/>
      <c r="C644" s="80"/>
      <c r="D644" s="5"/>
      <c r="E644" s="5"/>
      <c r="F644" s="5"/>
      <c r="G644" s="5"/>
    </row>
    <row r="645" spans="2:7" ht="13">
      <c r="B645" s="36"/>
      <c r="C645" s="80"/>
      <c r="D645" s="5"/>
      <c r="E645" s="5"/>
      <c r="F645" s="5"/>
      <c r="G645" s="5"/>
    </row>
    <row r="646" spans="2:7" ht="13">
      <c r="B646" s="36"/>
      <c r="C646" s="80"/>
      <c r="D646" s="5"/>
      <c r="E646" s="5"/>
      <c r="F646" s="5"/>
      <c r="G646" s="5"/>
    </row>
    <row r="647" spans="2:7" ht="13">
      <c r="B647" s="36"/>
      <c r="C647" s="80"/>
      <c r="D647" s="5"/>
      <c r="E647" s="5"/>
      <c r="F647" s="5"/>
      <c r="G647" s="5"/>
    </row>
    <row r="648" spans="2:7" ht="13">
      <c r="B648" s="36"/>
      <c r="C648" s="80"/>
      <c r="D648" s="5"/>
      <c r="E648" s="5"/>
      <c r="F648" s="5"/>
      <c r="G648" s="5"/>
    </row>
    <row r="649" spans="2:7" ht="13">
      <c r="B649" s="36"/>
      <c r="C649" s="80"/>
      <c r="D649" s="5"/>
      <c r="E649" s="5"/>
      <c r="F649" s="5"/>
      <c r="G649" s="5"/>
    </row>
    <row r="650" spans="2:7" ht="13">
      <c r="B650" s="36"/>
      <c r="C650" s="80"/>
      <c r="D650" s="5"/>
      <c r="E650" s="5"/>
      <c r="F650" s="5"/>
      <c r="G650" s="5"/>
    </row>
    <row r="651" spans="2:7" ht="13">
      <c r="B651" s="36"/>
      <c r="C651" s="80"/>
      <c r="D651" s="5"/>
      <c r="E651" s="5"/>
      <c r="F651" s="5"/>
      <c r="G651" s="5"/>
    </row>
    <row r="652" spans="2:7" ht="13">
      <c r="B652" s="36"/>
      <c r="C652" s="80"/>
      <c r="D652" s="5"/>
      <c r="E652" s="5"/>
      <c r="F652" s="5"/>
      <c r="G652" s="5"/>
    </row>
    <row r="653" spans="2:7" ht="13">
      <c r="B653" s="36"/>
      <c r="C653" s="80"/>
      <c r="D653" s="5"/>
      <c r="E653" s="5"/>
      <c r="F653" s="5"/>
      <c r="G653" s="5"/>
    </row>
    <row r="654" spans="2:7" ht="13">
      <c r="B654" s="36"/>
      <c r="C654" s="80"/>
      <c r="D654" s="5"/>
      <c r="E654" s="5"/>
      <c r="F654" s="5"/>
      <c r="G654" s="5"/>
    </row>
    <row r="655" spans="2:7" ht="13">
      <c r="B655" s="36"/>
      <c r="C655" s="80"/>
      <c r="D655" s="5"/>
      <c r="E655" s="5"/>
      <c r="F655" s="5"/>
      <c r="G655" s="5"/>
    </row>
    <row r="656" spans="2:7" ht="13">
      <c r="B656" s="36"/>
      <c r="C656" s="80"/>
      <c r="D656" s="5"/>
      <c r="E656" s="5"/>
      <c r="F656" s="5"/>
      <c r="G656" s="5"/>
    </row>
    <row r="657" spans="2:7" ht="13">
      <c r="B657" s="36"/>
      <c r="C657" s="80"/>
      <c r="D657" s="5"/>
      <c r="E657" s="5"/>
      <c r="F657" s="5"/>
      <c r="G657" s="5"/>
    </row>
    <row r="658" spans="2:7" ht="13">
      <c r="B658" s="36"/>
      <c r="C658" s="80"/>
      <c r="D658" s="5"/>
      <c r="E658" s="5"/>
      <c r="F658" s="5"/>
      <c r="G658" s="5"/>
    </row>
    <row r="659" spans="2:7" ht="13">
      <c r="B659" s="36"/>
      <c r="C659" s="80"/>
      <c r="D659" s="5"/>
      <c r="E659" s="5"/>
      <c r="F659" s="5"/>
      <c r="G659" s="5"/>
    </row>
    <row r="660" spans="2:7" ht="13">
      <c r="B660" s="36"/>
      <c r="C660" s="80"/>
      <c r="D660" s="5"/>
      <c r="E660" s="5"/>
      <c r="F660" s="5"/>
      <c r="G660" s="5"/>
    </row>
    <row r="661" spans="2:7" ht="13">
      <c r="B661" s="36"/>
      <c r="C661" s="80"/>
      <c r="D661" s="5"/>
      <c r="E661" s="5"/>
      <c r="F661" s="5"/>
      <c r="G661" s="5"/>
    </row>
    <row r="662" spans="2:7" ht="13">
      <c r="B662" s="36"/>
      <c r="C662" s="80"/>
      <c r="D662" s="5"/>
      <c r="E662" s="5"/>
      <c r="F662" s="5"/>
      <c r="G662" s="5"/>
    </row>
    <row r="663" spans="2:7" ht="13">
      <c r="B663" s="36"/>
      <c r="C663" s="80"/>
      <c r="D663" s="5"/>
      <c r="E663" s="5"/>
      <c r="F663" s="5"/>
      <c r="G663" s="5"/>
    </row>
    <row r="664" spans="2:7" ht="13">
      <c r="B664" s="36"/>
      <c r="C664" s="80"/>
      <c r="D664" s="5"/>
      <c r="E664" s="5"/>
      <c r="F664" s="5"/>
      <c r="G664" s="5"/>
    </row>
    <row r="665" spans="2:7" ht="13">
      <c r="B665" s="36"/>
      <c r="C665" s="80"/>
      <c r="D665" s="5"/>
      <c r="E665" s="5"/>
      <c r="F665" s="5"/>
      <c r="G665" s="5"/>
    </row>
    <row r="666" spans="2:7" ht="13">
      <c r="B666" s="36"/>
      <c r="C666" s="80"/>
      <c r="D666" s="5"/>
      <c r="E666" s="5"/>
      <c r="F666" s="5"/>
      <c r="G666" s="5"/>
    </row>
    <row r="667" spans="2:7" ht="13">
      <c r="B667" s="36"/>
      <c r="C667" s="80"/>
      <c r="D667" s="5"/>
      <c r="E667" s="5"/>
      <c r="F667" s="5"/>
      <c r="G667" s="5"/>
    </row>
    <row r="668" spans="2:7" ht="13">
      <c r="B668" s="36"/>
      <c r="C668" s="80"/>
      <c r="D668" s="5"/>
      <c r="E668" s="5"/>
      <c r="F668" s="5"/>
      <c r="G668" s="5"/>
    </row>
    <row r="669" spans="2:7" ht="13">
      <c r="B669" s="36"/>
      <c r="C669" s="80"/>
      <c r="D669" s="5"/>
      <c r="E669" s="5"/>
      <c r="F669" s="5"/>
      <c r="G669" s="5"/>
    </row>
    <row r="670" spans="2:7" ht="13">
      <c r="B670" s="36"/>
      <c r="C670" s="80"/>
      <c r="D670" s="5"/>
      <c r="E670" s="5"/>
      <c r="F670" s="5"/>
      <c r="G670" s="5"/>
    </row>
    <row r="671" spans="2:7" ht="13">
      <c r="B671" s="36"/>
      <c r="C671" s="80"/>
      <c r="D671" s="5"/>
      <c r="E671" s="5"/>
      <c r="F671" s="5"/>
      <c r="G671" s="5"/>
    </row>
    <row r="672" spans="2:7" ht="13">
      <c r="B672" s="36"/>
      <c r="C672" s="80"/>
      <c r="D672" s="5"/>
      <c r="E672" s="5"/>
      <c r="F672" s="5"/>
      <c r="G672" s="5"/>
    </row>
    <row r="673" spans="2:7" ht="13">
      <c r="B673" s="36"/>
      <c r="C673" s="80"/>
      <c r="D673" s="5"/>
      <c r="E673" s="5"/>
      <c r="F673" s="5"/>
      <c r="G673" s="5"/>
    </row>
    <row r="674" spans="2:7" ht="13">
      <c r="B674" s="36"/>
      <c r="C674" s="80"/>
      <c r="D674" s="5"/>
      <c r="E674" s="5"/>
      <c r="F674" s="5"/>
      <c r="G674" s="5"/>
    </row>
    <row r="675" spans="2:7" ht="13">
      <c r="B675" s="36"/>
      <c r="C675" s="80"/>
      <c r="D675" s="5"/>
      <c r="E675" s="5"/>
      <c r="F675" s="5"/>
      <c r="G675" s="5"/>
    </row>
    <row r="676" spans="2:7" ht="13">
      <c r="B676" s="36"/>
      <c r="C676" s="80"/>
      <c r="D676" s="5"/>
      <c r="E676" s="5"/>
      <c r="F676" s="5"/>
      <c r="G676" s="5"/>
    </row>
    <row r="677" spans="2:7" ht="13">
      <c r="B677" s="36"/>
      <c r="C677" s="80"/>
      <c r="D677" s="5"/>
      <c r="E677" s="5"/>
      <c r="F677" s="5"/>
      <c r="G677" s="5"/>
    </row>
    <row r="678" spans="2:7" ht="13">
      <c r="B678" s="36"/>
      <c r="C678" s="80"/>
      <c r="D678" s="5"/>
      <c r="E678" s="5"/>
      <c r="F678" s="5"/>
      <c r="G678" s="5"/>
    </row>
    <row r="679" spans="2:7" ht="13">
      <c r="B679" s="36"/>
      <c r="C679" s="80"/>
      <c r="D679" s="5"/>
      <c r="E679" s="5"/>
      <c r="F679" s="5"/>
      <c r="G679" s="5"/>
    </row>
    <row r="680" spans="2:7" ht="13">
      <c r="B680" s="36"/>
      <c r="C680" s="80"/>
      <c r="D680" s="5"/>
      <c r="E680" s="5"/>
      <c r="F680" s="5"/>
      <c r="G680" s="5"/>
    </row>
    <row r="681" spans="2:7" ht="13">
      <c r="B681" s="36"/>
      <c r="C681" s="80"/>
      <c r="D681" s="5"/>
      <c r="E681" s="5"/>
      <c r="F681" s="5"/>
      <c r="G681" s="5"/>
    </row>
    <row r="682" spans="2:7" ht="13">
      <c r="B682" s="36"/>
      <c r="C682" s="80"/>
      <c r="D682" s="5"/>
      <c r="E682" s="5"/>
      <c r="F682" s="5"/>
      <c r="G682" s="5"/>
    </row>
    <row r="683" spans="2:7" ht="13">
      <c r="B683" s="36"/>
      <c r="C683" s="80"/>
      <c r="D683" s="5"/>
      <c r="E683" s="5"/>
      <c r="F683" s="5"/>
      <c r="G683" s="5"/>
    </row>
    <row r="684" spans="2:7" ht="13">
      <c r="B684" s="36"/>
      <c r="C684" s="80"/>
      <c r="D684" s="5"/>
      <c r="E684" s="5"/>
      <c r="F684" s="5"/>
      <c r="G684" s="5"/>
    </row>
    <row r="685" spans="2:7" ht="13">
      <c r="B685" s="36"/>
      <c r="C685" s="80"/>
      <c r="D685" s="5"/>
      <c r="E685" s="5"/>
      <c r="F685" s="5"/>
      <c r="G685" s="5"/>
    </row>
    <row r="686" spans="2:7" ht="13">
      <c r="B686" s="36"/>
      <c r="C686" s="80"/>
      <c r="D686" s="5"/>
      <c r="E686" s="5"/>
      <c r="F686" s="5"/>
      <c r="G686" s="5"/>
    </row>
    <row r="687" spans="2:7" ht="13">
      <c r="B687" s="36"/>
      <c r="C687" s="80"/>
      <c r="D687" s="5"/>
      <c r="E687" s="5"/>
      <c r="F687" s="5"/>
      <c r="G687" s="5"/>
    </row>
    <row r="688" spans="2:7" ht="13">
      <c r="B688" s="36"/>
      <c r="C688" s="80"/>
      <c r="D688" s="5"/>
      <c r="E688" s="5"/>
      <c r="F688" s="5"/>
      <c r="G688" s="5"/>
    </row>
    <row r="689" spans="2:7" ht="13">
      <c r="B689" s="36"/>
      <c r="C689" s="80"/>
      <c r="D689" s="5"/>
      <c r="E689" s="5"/>
      <c r="F689" s="5"/>
      <c r="G689" s="5"/>
    </row>
    <row r="690" spans="2:7" ht="13">
      <c r="B690" s="36"/>
      <c r="C690" s="80"/>
      <c r="D690" s="5"/>
      <c r="E690" s="5"/>
      <c r="F690" s="5"/>
      <c r="G690" s="5"/>
    </row>
    <row r="691" spans="2:7" ht="13">
      <c r="B691" s="36"/>
      <c r="C691" s="80"/>
      <c r="D691" s="5"/>
      <c r="E691" s="5"/>
      <c r="F691" s="5"/>
      <c r="G691" s="5"/>
    </row>
    <row r="692" spans="2:7" ht="13">
      <c r="B692" s="36"/>
      <c r="C692" s="80"/>
      <c r="D692" s="5"/>
      <c r="E692" s="5"/>
      <c r="F692" s="5"/>
      <c r="G692" s="5"/>
    </row>
    <row r="693" spans="2:7" ht="13">
      <c r="B693" s="36"/>
      <c r="C693" s="80"/>
      <c r="D693" s="5"/>
      <c r="E693" s="5"/>
      <c r="F693" s="5"/>
      <c r="G693" s="5"/>
    </row>
    <row r="694" spans="2:7" ht="13">
      <c r="B694" s="36"/>
      <c r="C694" s="80"/>
      <c r="D694" s="5"/>
      <c r="E694" s="5"/>
      <c r="F694" s="5"/>
      <c r="G694" s="5"/>
    </row>
    <row r="695" spans="2:7" ht="13">
      <c r="B695" s="36"/>
      <c r="C695" s="80"/>
      <c r="D695" s="5"/>
      <c r="E695" s="5"/>
      <c r="F695" s="5"/>
      <c r="G695" s="5"/>
    </row>
    <row r="696" spans="2:7" ht="13">
      <c r="B696" s="36"/>
      <c r="C696" s="80"/>
      <c r="D696" s="5"/>
      <c r="E696" s="5"/>
      <c r="F696" s="5"/>
      <c r="G696" s="5"/>
    </row>
    <row r="697" spans="2:7" ht="13">
      <c r="B697" s="36"/>
      <c r="C697" s="80"/>
      <c r="D697" s="5"/>
      <c r="E697" s="5"/>
      <c r="F697" s="5"/>
      <c r="G697" s="5"/>
    </row>
    <row r="698" spans="2:7" ht="13">
      <c r="B698" s="36"/>
      <c r="C698" s="80"/>
      <c r="D698" s="5"/>
      <c r="E698" s="5"/>
      <c r="F698" s="5"/>
      <c r="G698" s="5"/>
    </row>
    <row r="699" spans="2:7" ht="13">
      <c r="B699" s="36"/>
      <c r="C699" s="80"/>
      <c r="D699" s="5"/>
      <c r="E699" s="5"/>
      <c r="F699" s="5"/>
      <c r="G699" s="5"/>
    </row>
    <row r="700" spans="2:7" ht="13">
      <c r="B700" s="36"/>
      <c r="C700" s="80"/>
      <c r="D700" s="5"/>
      <c r="E700" s="5"/>
      <c r="F700" s="5"/>
      <c r="G700" s="5"/>
    </row>
    <row r="701" spans="2:7" ht="13">
      <c r="B701" s="36"/>
      <c r="C701" s="80"/>
      <c r="D701" s="5"/>
      <c r="E701" s="5"/>
      <c r="F701" s="5"/>
      <c r="G701" s="5"/>
    </row>
    <row r="702" spans="2:7" ht="13">
      <c r="B702" s="36"/>
      <c r="C702" s="80"/>
      <c r="D702" s="5"/>
      <c r="E702" s="5"/>
      <c r="F702" s="5"/>
      <c r="G702" s="5"/>
    </row>
    <row r="703" spans="2:7" ht="13">
      <c r="B703" s="36"/>
      <c r="C703" s="80"/>
      <c r="D703" s="5"/>
      <c r="E703" s="5"/>
      <c r="F703" s="5"/>
      <c r="G703" s="5"/>
    </row>
    <row r="704" spans="2:7" ht="13">
      <c r="B704" s="36"/>
      <c r="C704" s="80"/>
      <c r="D704" s="5"/>
      <c r="E704" s="5"/>
      <c r="F704" s="5"/>
      <c r="G704" s="5"/>
    </row>
    <row r="705" spans="2:7" ht="13">
      <c r="B705" s="36"/>
      <c r="C705" s="80"/>
      <c r="D705" s="5"/>
      <c r="E705" s="5"/>
      <c r="F705" s="5"/>
      <c r="G705" s="5"/>
    </row>
    <row r="706" spans="2:7" ht="13">
      <c r="B706" s="36"/>
      <c r="C706" s="80"/>
      <c r="D706" s="5"/>
      <c r="E706" s="5"/>
      <c r="F706" s="5"/>
      <c r="G706" s="5"/>
    </row>
    <row r="707" spans="2:7" ht="13">
      <c r="B707" s="36"/>
      <c r="C707" s="80"/>
      <c r="D707" s="5"/>
      <c r="E707" s="5"/>
      <c r="F707" s="5"/>
      <c r="G707" s="5"/>
    </row>
    <row r="708" spans="2:7" ht="13">
      <c r="B708" s="36"/>
      <c r="C708" s="80"/>
      <c r="D708" s="5"/>
      <c r="E708" s="5"/>
      <c r="F708" s="5"/>
      <c r="G708" s="5"/>
    </row>
    <row r="709" spans="2:7" ht="13">
      <c r="B709" s="36"/>
      <c r="C709" s="80"/>
      <c r="D709" s="5"/>
      <c r="E709" s="5"/>
      <c r="F709" s="5"/>
      <c r="G709" s="5"/>
    </row>
    <row r="710" spans="2:7" ht="13">
      <c r="B710" s="36"/>
      <c r="C710" s="80"/>
      <c r="D710" s="5"/>
      <c r="E710" s="5"/>
      <c r="F710" s="5"/>
      <c r="G710" s="5"/>
    </row>
    <row r="711" spans="2:7" ht="13">
      <c r="B711" s="36"/>
      <c r="C711" s="80"/>
      <c r="D711" s="5"/>
      <c r="E711" s="5"/>
      <c r="F711" s="5"/>
      <c r="G711" s="5"/>
    </row>
    <row r="712" spans="2:7" ht="13">
      <c r="B712" s="36"/>
      <c r="C712" s="80"/>
      <c r="D712" s="5"/>
      <c r="E712" s="5"/>
      <c r="F712" s="5"/>
      <c r="G712" s="5"/>
    </row>
    <row r="713" spans="2:7" ht="13">
      <c r="B713" s="36"/>
      <c r="C713" s="80"/>
      <c r="D713" s="5"/>
      <c r="E713" s="5"/>
      <c r="F713" s="5"/>
      <c r="G713" s="5"/>
    </row>
    <row r="714" spans="2:7" ht="13">
      <c r="B714" s="36"/>
      <c r="C714" s="80"/>
      <c r="D714" s="5"/>
      <c r="E714" s="5"/>
      <c r="F714" s="5"/>
      <c r="G714" s="5"/>
    </row>
    <row r="715" spans="2:7" ht="13">
      <c r="B715" s="36"/>
      <c r="C715" s="80"/>
      <c r="D715" s="5"/>
      <c r="E715" s="5"/>
      <c r="F715" s="5"/>
      <c r="G715" s="5"/>
    </row>
    <row r="716" spans="2:7" ht="13">
      <c r="B716" s="36"/>
      <c r="C716" s="80"/>
      <c r="D716" s="5"/>
      <c r="E716" s="5"/>
      <c r="F716" s="5"/>
      <c r="G716" s="5"/>
    </row>
    <row r="717" spans="2:7" ht="13">
      <c r="B717" s="36"/>
      <c r="C717" s="80"/>
      <c r="D717" s="5"/>
      <c r="E717" s="5"/>
      <c r="F717" s="5"/>
      <c r="G717" s="5"/>
    </row>
    <row r="718" spans="2:7" ht="13">
      <c r="B718" s="36"/>
      <c r="C718" s="80"/>
      <c r="D718" s="5"/>
      <c r="E718" s="5"/>
      <c r="F718" s="5"/>
      <c r="G718" s="5"/>
    </row>
    <row r="719" spans="2:7" ht="13">
      <c r="B719" s="36"/>
      <c r="C719" s="80"/>
      <c r="D719" s="5"/>
      <c r="E719" s="5"/>
      <c r="F719" s="5"/>
      <c r="G719" s="5"/>
    </row>
    <row r="720" spans="2:7" ht="13">
      <c r="B720" s="36"/>
      <c r="C720" s="80"/>
      <c r="D720" s="5"/>
      <c r="E720" s="5"/>
      <c r="F720" s="5"/>
      <c r="G720" s="5"/>
    </row>
    <row r="721" spans="2:7" ht="13">
      <c r="B721" s="36"/>
      <c r="C721" s="80"/>
      <c r="D721" s="5"/>
      <c r="E721" s="5"/>
      <c r="F721" s="5"/>
      <c r="G721" s="5"/>
    </row>
    <row r="722" spans="2:7" ht="13">
      <c r="B722" s="36"/>
      <c r="C722" s="80"/>
      <c r="D722" s="5"/>
      <c r="E722" s="5"/>
      <c r="F722" s="5"/>
      <c r="G722" s="5"/>
    </row>
    <row r="723" spans="2:7" ht="13">
      <c r="B723" s="36"/>
      <c r="C723" s="80"/>
      <c r="D723" s="5"/>
      <c r="E723" s="5"/>
      <c r="F723" s="5"/>
      <c r="G723" s="5"/>
    </row>
    <row r="724" spans="2:7" ht="13">
      <c r="B724" s="36"/>
      <c r="C724" s="80"/>
      <c r="D724" s="5"/>
      <c r="E724" s="5"/>
      <c r="F724" s="5"/>
      <c r="G724" s="5"/>
    </row>
    <row r="725" spans="2:7" ht="13">
      <c r="B725" s="36"/>
      <c r="C725" s="80"/>
      <c r="D725" s="5"/>
      <c r="E725" s="5"/>
      <c r="F725" s="5"/>
      <c r="G725" s="5"/>
    </row>
    <row r="726" spans="2:7" ht="13">
      <c r="B726" s="36"/>
      <c r="C726" s="80"/>
      <c r="D726" s="5"/>
      <c r="E726" s="5"/>
      <c r="F726" s="5"/>
      <c r="G726" s="5"/>
    </row>
    <row r="727" spans="2:7" ht="13">
      <c r="B727" s="36"/>
      <c r="C727" s="80"/>
      <c r="D727" s="5"/>
      <c r="E727" s="5"/>
      <c r="F727" s="5"/>
      <c r="G727" s="5"/>
    </row>
    <row r="728" spans="2:7" ht="13">
      <c r="B728" s="36"/>
      <c r="C728" s="80"/>
      <c r="D728" s="5"/>
      <c r="E728" s="5"/>
      <c r="F728" s="5"/>
      <c r="G728" s="5"/>
    </row>
    <row r="729" spans="2:7" ht="13">
      <c r="B729" s="36"/>
      <c r="C729" s="80"/>
      <c r="D729" s="5"/>
      <c r="E729" s="5"/>
      <c r="F729" s="5"/>
      <c r="G729" s="5"/>
    </row>
    <row r="730" spans="2:7" ht="13">
      <c r="B730" s="36"/>
      <c r="C730" s="80"/>
      <c r="D730" s="5"/>
      <c r="E730" s="5"/>
      <c r="F730" s="5"/>
      <c r="G730" s="5"/>
    </row>
    <row r="731" spans="2:7" ht="13">
      <c r="B731" s="36"/>
      <c r="C731" s="80"/>
      <c r="D731" s="5"/>
      <c r="E731" s="5"/>
      <c r="F731" s="5"/>
      <c r="G731" s="5"/>
    </row>
    <row r="732" spans="2:7" ht="13">
      <c r="B732" s="36"/>
      <c r="C732" s="80"/>
      <c r="D732" s="5"/>
      <c r="E732" s="5"/>
      <c r="F732" s="5"/>
      <c r="G732" s="5"/>
    </row>
    <row r="733" spans="2:7" ht="13">
      <c r="B733" s="36"/>
      <c r="C733" s="80"/>
      <c r="D733" s="5"/>
      <c r="E733" s="5"/>
      <c r="F733" s="5"/>
      <c r="G733" s="5"/>
    </row>
    <row r="734" spans="2:7" ht="13">
      <c r="B734" s="36"/>
      <c r="C734" s="80"/>
      <c r="D734" s="5"/>
      <c r="E734" s="5"/>
      <c r="F734" s="5"/>
      <c r="G734" s="5"/>
    </row>
    <row r="735" spans="2:7" ht="13">
      <c r="B735" s="36"/>
      <c r="C735" s="80"/>
      <c r="D735" s="5"/>
      <c r="E735" s="5"/>
      <c r="F735" s="5"/>
      <c r="G735" s="5"/>
    </row>
    <row r="736" spans="2:7" ht="13">
      <c r="B736" s="36"/>
      <c r="C736" s="80"/>
      <c r="D736" s="5"/>
      <c r="E736" s="5"/>
      <c r="F736" s="5"/>
      <c r="G736" s="5"/>
    </row>
    <row r="737" spans="2:7" ht="13">
      <c r="B737" s="36"/>
      <c r="C737" s="80"/>
      <c r="D737" s="5"/>
      <c r="E737" s="5"/>
      <c r="F737" s="5"/>
      <c r="G737" s="5"/>
    </row>
    <row r="738" spans="2:7" ht="13">
      <c r="B738" s="36"/>
      <c r="C738" s="80"/>
      <c r="D738" s="5"/>
      <c r="E738" s="5"/>
      <c r="F738" s="5"/>
      <c r="G738" s="5"/>
    </row>
    <row r="739" spans="2:7" ht="13">
      <c r="B739" s="36"/>
      <c r="C739" s="80"/>
      <c r="D739" s="5"/>
      <c r="E739" s="5"/>
      <c r="F739" s="5"/>
      <c r="G739" s="5"/>
    </row>
    <row r="740" spans="2:7" ht="13">
      <c r="B740" s="36"/>
      <c r="C740" s="80"/>
      <c r="D740" s="5"/>
      <c r="E740" s="5"/>
      <c r="F740" s="5"/>
      <c r="G740" s="5"/>
    </row>
    <row r="741" spans="2:7" ht="13">
      <c r="B741" s="36"/>
      <c r="C741" s="80"/>
      <c r="D741" s="5"/>
      <c r="E741" s="5"/>
      <c r="F741" s="5"/>
      <c r="G741" s="5"/>
    </row>
    <row r="742" spans="2:7" ht="13">
      <c r="B742" s="36"/>
      <c r="C742" s="80"/>
      <c r="D742" s="5"/>
      <c r="E742" s="5"/>
      <c r="F742" s="5"/>
      <c r="G742" s="5"/>
    </row>
    <row r="743" spans="2:7" ht="13">
      <c r="B743" s="36"/>
      <c r="C743" s="80"/>
      <c r="D743" s="5"/>
      <c r="E743" s="5"/>
      <c r="F743" s="5"/>
      <c r="G743" s="5"/>
    </row>
    <row r="744" spans="2:7" ht="13">
      <c r="B744" s="36"/>
      <c r="C744" s="80"/>
      <c r="D744" s="5"/>
      <c r="E744" s="5"/>
      <c r="F744" s="5"/>
      <c r="G744" s="5"/>
    </row>
    <row r="745" spans="2:7" ht="13">
      <c r="B745" s="36"/>
      <c r="C745" s="80"/>
      <c r="D745" s="5"/>
      <c r="E745" s="5"/>
      <c r="F745" s="5"/>
      <c r="G745" s="5"/>
    </row>
    <row r="746" spans="2:7" ht="13">
      <c r="B746" s="36"/>
      <c r="C746" s="80"/>
      <c r="D746" s="5"/>
      <c r="E746" s="5"/>
      <c r="F746" s="5"/>
      <c r="G746" s="5"/>
    </row>
    <row r="747" spans="2:7" ht="13">
      <c r="B747" s="36"/>
      <c r="C747" s="80"/>
      <c r="D747" s="5"/>
      <c r="E747" s="5"/>
      <c r="F747" s="5"/>
      <c r="G747" s="5"/>
    </row>
    <row r="748" spans="2:7" ht="13">
      <c r="B748" s="36"/>
      <c r="C748" s="80"/>
      <c r="D748" s="5"/>
      <c r="E748" s="5"/>
      <c r="F748" s="5"/>
      <c r="G748" s="5"/>
    </row>
    <row r="749" spans="2:7" ht="13">
      <c r="B749" s="36"/>
      <c r="C749" s="80"/>
      <c r="D749" s="5"/>
      <c r="E749" s="5"/>
      <c r="F749" s="5"/>
      <c r="G749" s="5"/>
    </row>
    <row r="750" spans="2:7" ht="13">
      <c r="B750" s="36"/>
      <c r="C750" s="80"/>
      <c r="D750" s="5"/>
      <c r="E750" s="5"/>
      <c r="F750" s="5"/>
      <c r="G750" s="5"/>
    </row>
    <row r="751" spans="2:7" ht="13">
      <c r="B751" s="36"/>
      <c r="C751" s="80"/>
      <c r="D751" s="5"/>
      <c r="E751" s="5"/>
      <c r="F751" s="5"/>
      <c r="G751" s="5"/>
    </row>
    <row r="752" spans="2:7" ht="13">
      <c r="B752" s="36"/>
      <c r="C752" s="80"/>
      <c r="D752" s="5"/>
      <c r="E752" s="5"/>
      <c r="F752" s="5"/>
      <c r="G752" s="5"/>
    </row>
    <row r="753" spans="2:7" ht="13">
      <c r="B753" s="36"/>
      <c r="C753" s="80"/>
      <c r="D753" s="5"/>
      <c r="E753" s="5"/>
      <c r="F753" s="5"/>
      <c r="G753" s="5"/>
    </row>
    <row r="754" spans="2:7" ht="13">
      <c r="B754" s="36"/>
      <c r="C754" s="80"/>
      <c r="D754" s="5"/>
      <c r="E754" s="5"/>
      <c r="F754" s="5"/>
      <c r="G754" s="5"/>
    </row>
    <row r="755" spans="2:7" ht="13">
      <c r="B755" s="36"/>
      <c r="C755" s="80"/>
      <c r="D755" s="5"/>
      <c r="E755" s="5"/>
      <c r="F755" s="5"/>
      <c r="G755" s="5"/>
    </row>
    <row r="756" spans="2:7" ht="13">
      <c r="B756" s="36"/>
      <c r="C756" s="80"/>
      <c r="D756" s="5"/>
      <c r="E756" s="5"/>
      <c r="F756" s="5"/>
      <c r="G756" s="5"/>
    </row>
    <row r="757" spans="2:7" ht="13">
      <c r="B757" s="36"/>
      <c r="C757" s="80"/>
      <c r="D757" s="5"/>
      <c r="E757" s="5"/>
      <c r="F757" s="5"/>
      <c r="G757" s="5"/>
    </row>
    <row r="758" spans="2:7" ht="13">
      <c r="B758" s="36"/>
      <c r="C758" s="80"/>
      <c r="D758" s="5"/>
      <c r="E758" s="5"/>
      <c r="F758" s="5"/>
      <c r="G758" s="5"/>
    </row>
    <row r="759" spans="2:7" ht="13">
      <c r="B759" s="36"/>
      <c r="C759" s="80"/>
      <c r="D759" s="5"/>
      <c r="E759" s="5"/>
      <c r="F759" s="5"/>
      <c r="G759" s="5"/>
    </row>
    <row r="760" spans="2:7" ht="13">
      <c r="B760" s="36"/>
      <c r="C760" s="80"/>
      <c r="D760" s="5"/>
      <c r="E760" s="5"/>
      <c r="F760" s="5"/>
      <c r="G760" s="5"/>
    </row>
    <row r="761" spans="2:7" ht="13">
      <c r="B761" s="36"/>
      <c r="C761" s="80"/>
      <c r="D761" s="5"/>
      <c r="E761" s="5"/>
      <c r="F761" s="5"/>
      <c r="G761" s="5"/>
    </row>
    <row r="762" spans="2:7" ht="13">
      <c r="B762" s="36"/>
      <c r="C762" s="80"/>
      <c r="D762" s="5"/>
      <c r="E762" s="5"/>
      <c r="F762" s="5"/>
      <c r="G762" s="5"/>
    </row>
    <row r="763" spans="2:7" ht="13">
      <c r="B763" s="36"/>
      <c r="C763" s="80"/>
      <c r="D763" s="5"/>
      <c r="E763" s="5"/>
      <c r="F763" s="5"/>
      <c r="G763" s="5"/>
    </row>
    <row r="764" spans="2:7" ht="13">
      <c r="B764" s="36"/>
      <c r="C764" s="80"/>
      <c r="D764" s="5"/>
      <c r="E764" s="5"/>
      <c r="F764" s="5"/>
      <c r="G764" s="5"/>
    </row>
    <row r="765" spans="2:7" ht="13">
      <c r="B765" s="36"/>
      <c r="C765" s="80"/>
      <c r="D765" s="5"/>
      <c r="E765" s="5"/>
      <c r="F765" s="5"/>
      <c r="G765" s="5"/>
    </row>
    <row r="766" spans="2:7" ht="13">
      <c r="B766" s="36"/>
      <c r="C766" s="80"/>
      <c r="D766" s="5"/>
      <c r="E766" s="5"/>
      <c r="F766" s="5"/>
      <c r="G766" s="5"/>
    </row>
    <row r="767" spans="2:7" ht="13">
      <c r="B767" s="36"/>
      <c r="C767" s="80"/>
      <c r="D767" s="5"/>
      <c r="E767" s="5"/>
      <c r="F767" s="5"/>
      <c r="G767" s="5"/>
    </row>
    <row r="768" spans="2:7" ht="13">
      <c r="B768" s="36"/>
      <c r="C768" s="80"/>
      <c r="D768" s="5"/>
      <c r="E768" s="5"/>
      <c r="F768" s="5"/>
      <c r="G768" s="5"/>
    </row>
    <row r="769" spans="2:7" ht="13">
      <c r="B769" s="36"/>
      <c r="C769" s="80"/>
      <c r="D769" s="5"/>
      <c r="E769" s="5"/>
      <c r="F769" s="5"/>
      <c r="G769" s="5"/>
    </row>
    <row r="770" spans="2:7" ht="13">
      <c r="B770" s="36"/>
      <c r="C770" s="80"/>
      <c r="D770" s="5"/>
      <c r="E770" s="5"/>
      <c r="F770" s="5"/>
      <c r="G770" s="5"/>
    </row>
    <row r="771" spans="2:7" ht="13">
      <c r="B771" s="36"/>
      <c r="C771" s="80"/>
      <c r="D771" s="5"/>
      <c r="E771" s="5"/>
      <c r="F771" s="5"/>
      <c r="G771" s="5"/>
    </row>
    <row r="772" spans="2:7" ht="13">
      <c r="B772" s="36"/>
      <c r="C772" s="80"/>
      <c r="D772" s="5"/>
      <c r="E772" s="5"/>
      <c r="F772" s="5"/>
      <c r="G772" s="5"/>
    </row>
    <row r="773" spans="2:7" ht="13">
      <c r="B773" s="36"/>
      <c r="C773" s="80"/>
      <c r="D773" s="5"/>
      <c r="E773" s="5"/>
      <c r="F773" s="5"/>
      <c r="G773" s="5"/>
    </row>
    <row r="774" spans="2:7" ht="13">
      <c r="B774" s="36"/>
      <c r="C774" s="80"/>
      <c r="D774" s="5"/>
      <c r="E774" s="5"/>
      <c r="F774" s="5"/>
      <c r="G774" s="5"/>
    </row>
    <row r="775" spans="2:7" ht="13">
      <c r="B775" s="36"/>
      <c r="C775" s="80"/>
      <c r="D775" s="5"/>
      <c r="E775" s="5"/>
      <c r="F775" s="5"/>
      <c r="G775" s="5"/>
    </row>
    <row r="776" spans="2:7" ht="13">
      <c r="B776" s="36"/>
      <c r="C776" s="80"/>
      <c r="D776" s="5"/>
      <c r="E776" s="5"/>
      <c r="F776" s="5"/>
      <c r="G776" s="5"/>
    </row>
    <row r="777" spans="2:7" ht="13">
      <c r="B777" s="36"/>
      <c r="C777" s="80"/>
      <c r="D777" s="5"/>
      <c r="E777" s="5"/>
      <c r="F777" s="5"/>
      <c r="G777" s="5"/>
    </row>
    <row r="778" spans="2:7" ht="13">
      <c r="B778" s="36"/>
      <c r="C778" s="80"/>
      <c r="D778" s="5"/>
      <c r="E778" s="5"/>
      <c r="F778" s="5"/>
      <c r="G778" s="5"/>
    </row>
    <row r="779" spans="2:7" ht="13">
      <c r="B779" s="36"/>
      <c r="C779" s="80"/>
      <c r="D779" s="5"/>
      <c r="E779" s="5"/>
      <c r="F779" s="5"/>
      <c r="G779" s="5"/>
    </row>
    <row r="780" spans="2:7" ht="13">
      <c r="B780" s="36"/>
      <c r="C780" s="80"/>
      <c r="D780" s="5"/>
      <c r="E780" s="5"/>
      <c r="F780" s="5"/>
      <c r="G780" s="5"/>
    </row>
    <row r="781" spans="2:7" ht="13">
      <c r="B781" s="36"/>
      <c r="C781" s="80"/>
      <c r="D781" s="5"/>
      <c r="E781" s="5"/>
      <c r="F781" s="5"/>
      <c r="G781" s="5"/>
    </row>
    <row r="782" spans="2:7" ht="13">
      <c r="B782" s="36"/>
      <c r="C782" s="80"/>
      <c r="D782" s="5"/>
      <c r="E782" s="5"/>
      <c r="F782" s="5"/>
      <c r="G782" s="5"/>
    </row>
    <row r="783" spans="2:7" ht="13">
      <c r="B783" s="36"/>
      <c r="C783" s="80"/>
      <c r="D783" s="5"/>
      <c r="E783" s="5"/>
      <c r="F783" s="5"/>
      <c r="G783" s="5"/>
    </row>
    <row r="784" spans="2:7" ht="13">
      <c r="B784" s="36"/>
      <c r="C784" s="80"/>
      <c r="D784" s="5"/>
      <c r="E784" s="5"/>
      <c r="F784" s="5"/>
      <c r="G784" s="5"/>
    </row>
    <row r="785" spans="2:7" ht="13">
      <c r="B785" s="36"/>
      <c r="C785" s="80"/>
      <c r="D785" s="5"/>
      <c r="E785" s="5"/>
      <c r="F785" s="5"/>
      <c r="G785" s="5"/>
    </row>
    <row r="786" spans="2:7" ht="13">
      <c r="B786" s="36"/>
      <c r="C786" s="80"/>
      <c r="D786" s="5"/>
      <c r="E786" s="5"/>
      <c r="F786" s="5"/>
      <c r="G786" s="5"/>
    </row>
    <row r="787" spans="2:7" ht="13">
      <c r="B787" s="36"/>
      <c r="C787" s="80"/>
      <c r="D787" s="5"/>
      <c r="E787" s="5"/>
      <c r="F787" s="5"/>
      <c r="G787" s="5"/>
    </row>
    <row r="788" spans="2:7" ht="13">
      <c r="B788" s="36"/>
      <c r="C788" s="80"/>
      <c r="D788" s="5"/>
      <c r="E788" s="5"/>
      <c r="F788" s="5"/>
      <c r="G788" s="5"/>
    </row>
    <row r="789" spans="2:7" ht="13">
      <c r="B789" s="36"/>
      <c r="C789" s="80"/>
      <c r="D789" s="5"/>
      <c r="E789" s="5"/>
      <c r="F789" s="5"/>
      <c r="G789" s="5"/>
    </row>
    <row r="790" spans="2:7" ht="13">
      <c r="B790" s="36"/>
      <c r="C790" s="80"/>
      <c r="D790" s="5"/>
      <c r="E790" s="5"/>
      <c r="F790" s="5"/>
      <c r="G790" s="5"/>
    </row>
    <row r="791" spans="2:7" ht="13">
      <c r="B791" s="36"/>
      <c r="C791" s="80"/>
      <c r="D791" s="5"/>
      <c r="E791" s="5"/>
      <c r="F791" s="5"/>
      <c r="G791" s="5"/>
    </row>
    <row r="792" spans="2:7" ht="13">
      <c r="B792" s="36"/>
      <c r="C792" s="80"/>
      <c r="D792" s="5"/>
      <c r="E792" s="5"/>
      <c r="F792" s="5"/>
      <c r="G792" s="5"/>
    </row>
    <row r="793" spans="2:7" ht="13">
      <c r="B793" s="36"/>
      <c r="C793" s="80"/>
      <c r="D793" s="5"/>
      <c r="E793" s="5"/>
      <c r="F793" s="5"/>
      <c r="G793" s="5"/>
    </row>
    <row r="794" spans="2:7" ht="13">
      <c r="B794" s="36"/>
      <c r="C794" s="80"/>
      <c r="D794" s="5"/>
      <c r="E794" s="5"/>
      <c r="F794" s="5"/>
      <c r="G794" s="5"/>
    </row>
    <row r="795" spans="2:7" ht="13">
      <c r="B795" s="36"/>
      <c r="C795" s="80"/>
      <c r="D795" s="5"/>
      <c r="E795" s="5"/>
      <c r="F795" s="5"/>
      <c r="G795" s="5"/>
    </row>
    <row r="796" spans="2:7" ht="13">
      <c r="B796" s="36"/>
      <c r="C796" s="80"/>
      <c r="D796" s="5"/>
      <c r="E796" s="5"/>
      <c r="F796" s="5"/>
      <c r="G796" s="5"/>
    </row>
    <row r="797" spans="2:7" ht="13">
      <c r="B797" s="36"/>
      <c r="C797" s="80"/>
      <c r="D797" s="5"/>
      <c r="E797" s="5"/>
      <c r="F797" s="5"/>
      <c r="G797" s="5"/>
    </row>
    <row r="798" spans="2:7" ht="13">
      <c r="B798" s="36"/>
      <c r="C798" s="80"/>
      <c r="D798" s="5"/>
      <c r="E798" s="5"/>
      <c r="F798" s="5"/>
      <c r="G798" s="5"/>
    </row>
    <row r="799" spans="2:7" ht="13">
      <c r="B799" s="36"/>
      <c r="C799" s="80"/>
      <c r="D799" s="5"/>
      <c r="E799" s="5"/>
      <c r="F799" s="5"/>
      <c r="G799" s="5"/>
    </row>
    <row r="800" spans="2:7" ht="13">
      <c r="B800" s="36"/>
      <c r="C800" s="80"/>
      <c r="D800" s="5"/>
      <c r="E800" s="5"/>
      <c r="F800" s="5"/>
      <c r="G800" s="5"/>
    </row>
    <row r="801" spans="2:7" ht="13">
      <c r="B801" s="36"/>
      <c r="C801" s="80"/>
      <c r="D801" s="5"/>
      <c r="E801" s="5"/>
      <c r="F801" s="5"/>
      <c r="G801" s="5"/>
    </row>
    <row r="802" spans="2:7" ht="13">
      <c r="B802" s="36"/>
      <c r="C802" s="80"/>
      <c r="D802" s="5"/>
      <c r="E802" s="5"/>
      <c r="F802" s="5"/>
      <c r="G802" s="5"/>
    </row>
    <row r="803" spans="2:7" ht="13">
      <c r="B803" s="36"/>
      <c r="C803" s="80"/>
      <c r="D803" s="5"/>
      <c r="E803" s="5"/>
      <c r="F803" s="5"/>
      <c r="G803" s="5"/>
    </row>
    <row r="804" spans="2:7" ht="13">
      <c r="B804" s="36"/>
      <c r="C804" s="80"/>
      <c r="D804" s="5"/>
      <c r="E804" s="5"/>
      <c r="F804" s="5"/>
      <c r="G804" s="5"/>
    </row>
    <row r="805" spans="2:7" ht="13">
      <c r="B805" s="36"/>
      <c r="C805" s="80"/>
      <c r="D805" s="5"/>
      <c r="E805" s="5"/>
      <c r="F805" s="5"/>
      <c r="G805" s="5"/>
    </row>
    <row r="806" spans="2:7" ht="13">
      <c r="B806" s="36"/>
      <c r="C806" s="80"/>
      <c r="D806" s="5"/>
      <c r="E806" s="5"/>
      <c r="F806" s="5"/>
      <c r="G806" s="5"/>
    </row>
    <row r="807" spans="2:7" ht="13">
      <c r="B807" s="36"/>
      <c r="C807" s="80"/>
      <c r="D807" s="5"/>
      <c r="E807" s="5"/>
      <c r="F807" s="5"/>
      <c r="G807" s="5"/>
    </row>
    <row r="808" spans="2:7" ht="13">
      <c r="B808" s="36"/>
      <c r="C808" s="80"/>
      <c r="D808" s="5"/>
      <c r="E808" s="5"/>
      <c r="F808" s="5"/>
      <c r="G808" s="5"/>
    </row>
    <row r="809" spans="2:7" ht="13">
      <c r="B809" s="36"/>
      <c r="C809" s="80"/>
      <c r="D809" s="5"/>
      <c r="E809" s="5"/>
      <c r="F809" s="5"/>
      <c r="G809" s="5"/>
    </row>
    <row r="810" spans="2:7" ht="13">
      <c r="B810" s="36"/>
      <c r="C810" s="80"/>
      <c r="D810" s="5"/>
      <c r="E810" s="5"/>
      <c r="F810" s="5"/>
      <c r="G810" s="5"/>
    </row>
    <row r="811" spans="2:7" ht="13">
      <c r="B811" s="36"/>
      <c r="C811" s="80"/>
      <c r="D811" s="5"/>
      <c r="E811" s="5"/>
      <c r="F811" s="5"/>
      <c r="G811" s="5"/>
    </row>
    <row r="812" spans="2:7" ht="13">
      <c r="B812" s="36"/>
      <c r="C812" s="80"/>
      <c r="D812" s="5"/>
      <c r="E812" s="5"/>
      <c r="F812" s="5"/>
      <c r="G812" s="5"/>
    </row>
    <row r="813" spans="2:7" ht="13">
      <c r="B813" s="36"/>
      <c r="C813" s="80"/>
      <c r="D813" s="5"/>
      <c r="E813" s="5"/>
      <c r="F813" s="5"/>
      <c r="G813" s="5"/>
    </row>
    <row r="814" spans="2:7" ht="13">
      <c r="B814" s="36"/>
      <c r="C814" s="80"/>
      <c r="D814" s="5"/>
      <c r="E814" s="5"/>
      <c r="F814" s="5"/>
      <c r="G814" s="5"/>
    </row>
    <row r="815" spans="2:7" ht="13">
      <c r="B815" s="36"/>
      <c r="C815" s="80"/>
      <c r="D815" s="5"/>
      <c r="E815" s="5"/>
      <c r="F815" s="5"/>
      <c r="G815" s="5"/>
    </row>
    <row r="816" spans="2:7" ht="13">
      <c r="B816" s="36"/>
      <c r="C816" s="80"/>
      <c r="D816" s="5"/>
      <c r="E816" s="5"/>
      <c r="F816" s="5"/>
      <c r="G816" s="5"/>
    </row>
    <row r="817" spans="2:7" ht="13">
      <c r="B817" s="36"/>
      <c r="C817" s="80"/>
      <c r="D817" s="5"/>
      <c r="E817" s="5"/>
      <c r="F817" s="5"/>
      <c r="G817" s="5"/>
    </row>
    <row r="818" spans="2:7" ht="13">
      <c r="B818" s="36"/>
      <c r="C818" s="80"/>
      <c r="D818" s="5"/>
      <c r="E818" s="5"/>
      <c r="F818" s="5"/>
      <c r="G818" s="5"/>
    </row>
    <row r="819" spans="2:7" ht="13">
      <c r="B819" s="36"/>
      <c r="C819" s="80"/>
      <c r="D819" s="5"/>
      <c r="E819" s="5"/>
      <c r="F819" s="5"/>
      <c r="G819" s="5"/>
    </row>
    <row r="820" spans="2:7" ht="13">
      <c r="B820" s="36"/>
      <c r="C820" s="80"/>
      <c r="D820" s="5"/>
      <c r="E820" s="5"/>
      <c r="F820" s="5"/>
      <c r="G820" s="5"/>
    </row>
    <row r="821" spans="2:7" ht="13">
      <c r="B821" s="36"/>
      <c r="C821" s="80"/>
      <c r="D821" s="5"/>
      <c r="E821" s="5"/>
      <c r="F821" s="5"/>
      <c r="G821" s="5"/>
    </row>
    <row r="822" spans="2:7" ht="13">
      <c r="B822" s="36"/>
      <c r="C822" s="80"/>
      <c r="D822" s="5"/>
      <c r="E822" s="5"/>
      <c r="F822" s="5"/>
      <c r="G822" s="5"/>
    </row>
    <row r="823" spans="2:7" ht="13">
      <c r="B823" s="36"/>
      <c r="C823" s="80"/>
      <c r="D823" s="5"/>
      <c r="E823" s="5"/>
      <c r="F823" s="5"/>
      <c r="G823" s="5"/>
    </row>
    <row r="824" spans="2:7" ht="13">
      <c r="B824" s="36"/>
      <c r="C824" s="80"/>
      <c r="D824" s="5"/>
      <c r="E824" s="5"/>
      <c r="F824" s="5"/>
      <c r="G824" s="5"/>
    </row>
    <row r="825" spans="2:7" ht="13">
      <c r="B825" s="36"/>
      <c r="C825" s="80"/>
      <c r="D825" s="5"/>
      <c r="E825" s="5"/>
      <c r="F825" s="5"/>
      <c r="G825" s="5"/>
    </row>
    <row r="826" spans="2:7" ht="13">
      <c r="B826" s="36"/>
      <c r="C826" s="80"/>
      <c r="D826" s="5"/>
      <c r="E826" s="5"/>
      <c r="F826" s="5"/>
      <c r="G826" s="5"/>
    </row>
    <row r="827" spans="2:7" ht="13">
      <c r="B827" s="36"/>
      <c r="C827" s="80"/>
      <c r="D827" s="5"/>
      <c r="E827" s="5"/>
      <c r="F827" s="5"/>
      <c r="G827" s="5"/>
    </row>
    <row r="828" spans="2:7" ht="13">
      <c r="B828" s="36"/>
      <c r="C828" s="80"/>
      <c r="D828" s="5"/>
      <c r="E828" s="5"/>
      <c r="F828" s="5"/>
      <c r="G828" s="5"/>
    </row>
    <row r="829" spans="2:7" ht="13">
      <c r="B829" s="36"/>
      <c r="C829" s="80"/>
      <c r="D829" s="5"/>
      <c r="E829" s="5"/>
      <c r="F829" s="5"/>
      <c r="G829" s="5"/>
    </row>
    <row r="830" spans="2:7" ht="13">
      <c r="B830" s="36"/>
      <c r="C830" s="80"/>
      <c r="D830" s="5"/>
      <c r="E830" s="5"/>
      <c r="F830" s="5"/>
      <c r="G830" s="5"/>
    </row>
    <row r="831" spans="2:7" ht="13">
      <c r="B831" s="36"/>
      <c r="C831" s="80"/>
      <c r="D831" s="5"/>
      <c r="E831" s="5"/>
      <c r="F831" s="5"/>
      <c r="G831" s="5"/>
    </row>
    <row r="832" spans="2:7" ht="13">
      <c r="B832" s="36"/>
      <c r="C832" s="80"/>
      <c r="D832" s="5"/>
      <c r="E832" s="5"/>
      <c r="F832" s="5"/>
      <c r="G832" s="5"/>
    </row>
    <row r="833" spans="2:7" ht="13">
      <c r="B833" s="36"/>
      <c r="C833" s="80"/>
      <c r="D833" s="5"/>
      <c r="E833" s="5"/>
      <c r="F833" s="5"/>
      <c r="G833" s="5"/>
    </row>
    <row r="834" spans="2:7" ht="13">
      <c r="B834" s="36"/>
      <c r="C834" s="80"/>
      <c r="D834" s="5"/>
      <c r="E834" s="5"/>
      <c r="F834" s="5"/>
      <c r="G834" s="5"/>
    </row>
    <row r="835" spans="2:7" ht="13">
      <c r="B835" s="36"/>
      <c r="C835" s="80"/>
      <c r="D835" s="5"/>
      <c r="E835" s="5"/>
      <c r="F835" s="5"/>
      <c r="G835" s="5"/>
    </row>
    <row r="836" spans="2:7" ht="13">
      <c r="B836" s="36"/>
      <c r="C836" s="80"/>
      <c r="D836" s="5"/>
      <c r="E836" s="5"/>
      <c r="F836" s="5"/>
      <c r="G836" s="5"/>
    </row>
    <row r="837" spans="2:7" ht="13">
      <c r="B837" s="36"/>
      <c r="C837" s="80"/>
      <c r="D837" s="5"/>
      <c r="E837" s="5"/>
      <c r="F837" s="5"/>
      <c r="G837" s="5"/>
    </row>
    <row r="838" spans="2:7" ht="13">
      <c r="B838" s="36"/>
      <c r="C838" s="80"/>
      <c r="D838" s="5"/>
      <c r="E838" s="5"/>
      <c r="F838" s="5"/>
      <c r="G838" s="5"/>
    </row>
    <row r="839" spans="2:7" ht="13">
      <c r="B839" s="36"/>
      <c r="C839" s="80"/>
      <c r="D839" s="5"/>
      <c r="E839" s="5"/>
      <c r="F839" s="5"/>
      <c r="G839" s="5"/>
    </row>
    <row r="840" spans="2:7" ht="13">
      <c r="B840" s="36"/>
      <c r="C840" s="80"/>
      <c r="D840" s="5"/>
      <c r="E840" s="5"/>
      <c r="F840" s="5"/>
      <c r="G840" s="5"/>
    </row>
    <row r="841" spans="2:7" ht="13">
      <c r="B841" s="36"/>
      <c r="C841" s="80"/>
      <c r="D841" s="5"/>
      <c r="E841" s="5"/>
      <c r="F841" s="5"/>
      <c r="G841" s="5"/>
    </row>
    <row r="842" spans="2:7" ht="13">
      <c r="B842" s="36"/>
      <c r="C842" s="80"/>
      <c r="D842" s="5"/>
      <c r="E842" s="5"/>
      <c r="F842" s="5"/>
      <c r="G842" s="5"/>
    </row>
    <row r="843" spans="2:7" ht="13">
      <c r="B843" s="36"/>
      <c r="C843" s="80"/>
      <c r="D843" s="5"/>
      <c r="E843" s="5"/>
      <c r="F843" s="5"/>
      <c r="G843" s="5"/>
    </row>
    <row r="844" spans="2:7" ht="13">
      <c r="B844" s="36"/>
      <c r="C844" s="80"/>
      <c r="D844" s="5"/>
      <c r="E844" s="5"/>
      <c r="F844" s="5"/>
      <c r="G844" s="5"/>
    </row>
    <row r="845" spans="2:7" ht="13">
      <c r="B845" s="36"/>
      <c r="C845" s="80"/>
      <c r="D845" s="5"/>
      <c r="E845" s="5"/>
      <c r="F845" s="5"/>
      <c r="G845" s="5"/>
    </row>
    <row r="846" spans="2:7" ht="13">
      <c r="B846" s="36"/>
      <c r="C846" s="80"/>
      <c r="D846" s="5"/>
      <c r="E846" s="5"/>
      <c r="F846" s="5"/>
      <c r="G846" s="5"/>
    </row>
    <row r="847" spans="2:7" ht="13">
      <c r="B847" s="36"/>
      <c r="C847" s="80"/>
      <c r="D847" s="5"/>
      <c r="E847" s="5"/>
      <c r="F847" s="5"/>
      <c r="G847" s="5"/>
    </row>
    <row r="848" spans="2:7" ht="13">
      <c r="B848" s="36"/>
      <c r="C848" s="80"/>
      <c r="D848" s="5"/>
      <c r="E848" s="5"/>
      <c r="F848" s="5"/>
      <c r="G848" s="5"/>
    </row>
    <row r="849" spans="2:7" ht="13">
      <c r="B849" s="36"/>
      <c r="C849" s="80"/>
      <c r="D849" s="5"/>
      <c r="E849" s="5"/>
      <c r="F849" s="5"/>
      <c r="G849" s="5"/>
    </row>
    <row r="850" spans="2:7" ht="13">
      <c r="B850" s="36"/>
      <c r="C850" s="80"/>
      <c r="D850" s="5"/>
      <c r="E850" s="5"/>
      <c r="F850" s="5"/>
      <c r="G850" s="5"/>
    </row>
    <row r="851" spans="2:7" ht="13">
      <c r="B851" s="36"/>
      <c r="C851" s="80"/>
      <c r="D851" s="5"/>
      <c r="E851" s="5"/>
      <c r="F851" s="5"/>
      <c r="G851" s="5"/>
    </row>
    <row r="852" spans="2:7" ht="13">
      <c r="B852" s="36"/>
      <c r="C852" s="80"/>
      <c r="D852" s="5"/>
      <c r="E852" s="5"/>
      <c r="F852" s="5"/>
      <c r="G852" s="5"/>
    </row>
    <row r="853" spans="2:7" ht="13">
      <c r="B853" s="36"/>
      <c r="C853" s="80"/>
      <c r="D853" s="5"/>
      <c r="E853" s="5"/>
      <c r="F853" s="5"/>
      <c r="G853" s="5"/>
    </row>
    <row r="854" spans="2:7" ht="13">
      <c r="B854" s="36"/>
      <c r="C854" s="80"/>
      <c r="D854" s="5"/>
      <c r="E854" s="5"/>
      <c r="F854" s="5"/>
      <c r="G854" s="5"/>
    </row>
    <row r="855" spans="2:7" ht="13">
      <c r="B855" s="36"/>
      <c r="C855" s="80"/>
      <c r="D855" s="5"/>
      <c r="E855" s="5"/>
      <c r="F855" s="5"/>
      <c r="G855" s="5"/>
    </row>
    <row r="856" spans="2:7" ht="13">
      <c r="B856" s="36"/>
      <c r="C856" s="80"/>
      <c r="D856" s="5"/>
      <c r="E856" s="5"/>
      <c r="F856" s="5"/>
      <c r="G856" s="5"/>
    </row>
    <row r="857" spans="2:7" ht="13">
      <c r="B857" s="36"/>
      <c r="C857" s="80"/>
      <c r="D857" s="5"/>
      <c r="E857" s="5"/>
      <c r="F857" s="5"/>
      <c r="G857" s="5"/>
    </row>
    <row r="858" spans="2:7" ht="13">
      <c r="B858" s="36"/>
      <c r="C858" s="80"/>
      <c r="D858" s="5"/>
      <c r="E858" s="5"/>
      <c r="F858" s="5"/>
      <c r="G858" s="5"/>
    </row>
    <row r="859" spans="2:7" ht="13">
      <c r="B859" s="36"/>
      <c r="C859" s="80"/>
      <c r="D859" s="5"/>
      <c r="E859" s="5"/>
      <c r="F859" s="5"/>
      <c r="G859" s="5"/>
    </row>
    <row r="860" spans="2:7" ht="13">
      <c r="B860" s="36"/>
      <c r="C860" s="80"/>
      <c r="D860" s="5"/>
      <c r="E860" s="5"/>
      <c r="F860" s="5"/>
      <c r="G860" s="5"/>
    </row>
    <row r="861" spans="2:7" ht="13">
      <c r="B861" s="36"/>
      <c r="C861" s="80"/>
      <c r="D861" s="5"/>
      <c r="E861" s="5"/>
      <c r="F861" s="5"/>
      <c r="G861" s="5"/>
    </row>
    <row r="862" spans="2:7" ht="13">
      <c r="B862" s="36"/>
      <c r="C862" s="80"/>
      <c r="D862" s="5"/>
      <c r="E862" s="5"/>
      <c r="F862" s="5"/>
      <c r="G862" s="5"/>
    </row>
    <row r="863" spans="2:7" ht="13">
      <c r="B863" s="36"/>
      <c r="C863" s="80"/>
      <c r="D863" s="5"/>
      <c r="E863" s="5"/>
      <c r="F863" s="5"/>
      <c r="G863" s="5"/>
    </row>
    <row r="864" spans="2:7" ht="13">
      <c r="B864" s="36"/>
      <c r="C864" s="80"/>
      <c r="D864" s="5"/>
      <c r="E864" s="5"/>
      <c r="F864" s="5"/>
      <c r="G864" s="5"/>
    </row>
    <row r="865" spans="2:7" ht="13">
      <c r="B865" s="36"/>
      <c r="C865" s="80"/>
      <c r="D865" s="5"/>
      <c r="E865" s="5"/>
      <c r="F865" s="5"/>
      <c r="G865" s="5"/>
    </row>
    <row r="866" spans="2:7" ht="13">
      <c r="B866" s="36"/>
      <c r="C866" s="80"/>
      <c r="D866" s="5"/>
      <c r="E866" s="5"/>
      <c r="F866" s="5"/>
      <c r="G866" s="5"/>
    </row>
    <row r="867" spans="2:7" ht="13">
      <c r="B867" s="36"/>
      <c r="C867" s="80"/>
      <c r="D867" s="5"/>
      <c r="E867" s="5"/>
      <c r="F867" s="5"/>
      <c r="G867" s="5"/>
    </row>
    <row r="868" spans="2:7" ht="13">
      <c r="B868" s="36"/>
      <c r="C868" s="80"/>
      <c r="D868" s="5"/>
      <c r="E868" s="5"/>
      <c r="F868" s="5"/>
      <c r="G868" s="5"/>
    </row>
    <row r="869" spans="2:7" ht="13">
      <c r="B869" s="36"/>
      <c r="C869" s="80"/>
      <c r="D869" s="5"/>
      <c r="E869" s="5"/>
      <c r="F869" s="5"/>
      <c r="G869" s="5"/>
    </row>
    <row r="870" spans="2:7" ht="13">
      <c r="B870" s="36"/>
      <c r="C870" s="80"/>
      <c r="D870" s="5"/>
      <c r="E870" s="5"/>
      <c r="F870" s="5"/>
      <c r="G870" s="5"/>
    </row>
    <row r="871" spans="2:7" ht="13">
      <c r="B871" s="36"/>
      <c r="C871" s="80"/>
      <c r="D871" s="5"/>
      <c r="E871" s="5"/>
      <c r="F871" s="5"/>
      <c r="G871" s="5"/>
    </row>
    <row r="872" spans="2:7" ht="13">
      <c r="B872" s="36"/>
      <c r="C872" s="80"/>
      <c r="D872" s="5"/>
      <c r="E872" s="5"/>
      <c r="F872" s="5"/>
      <c r="G872" s="5"/>
    </row>
    <row r="873" spans="2:7" ht="13">
      <c r="B873" s="36"/>
      <c r="C873" s="80"/>
      <c r="D873" s="5"/>
      <c r="E873" s="5"/>
      <c r="F873" s="5"/>
      <c r="G873" s="5"/>
    </row>
    <row r="874" spans="2:7" ht="13">
      <c r="B874" s="36"/>
      <c r="C874" s="80"/>
      <c r="D874" s="5"/>
      <c r="E874" s="5"/>
      <c r="F874" s="5"/>
      <c r="G874" s="5"/>
    </row>
    <row r="875" spans="2:7" ht="13">
      <c r="B875" s="36"/>
      <c r="C875" s="80"/>
      <c r="D875" s="5"/>
      <c r="E875" s="5"/>
      <c r="F875" s="5"/>
      <c r="G875" s="5"/>
    </row>
    <row r="876" spans="2:7" ht="13">
      <c r="B876" s="36"/>
      <c r="C876" s="80"/>
      <c r="D876" s="5"/>
      <c r="E876" s="5"/>
      <c r="F876" s="5"/>
      <c r="G876" s="5"/>
    </row>
    <row r="877" spans="2:7" ht="13">
      <c r="B877" s="36"/>
      <c r="C877" s="80"/>
      <c r="D877" s="5"/>
      <c r="E877" s="5"/>
      <c r="F877" s="5"/>
      <c r="G877" s="5"/>
    </row>
    <row r="878" spans="2:7" ht="13">
      <c r="B878" s="36"/>
      <c r="C878" s="80"/>
      <c r="D878" s="5"/>
      <c r="E878" s="5"/>
      <c r="F878" s="5"/>
      <c r="G878" s="5"/>
    </row>
    <row r="879" spans="2:7" ht="13">
      <c r="B879" s="36"/>
      <c r="C879" s="80"/>
      <c r="D879" s="5"/>
      <c r="E879" s="5"/>
      <c r="F879" s="5"/>
      <c r="G879" s="5"/>
    </row>
    <row r="880" spans="2:7" ht="13">
      <c r="B880" s="36"/>
      <c r="C880" s="80"/>
      <c r="D880" s="5"/>
      <c r="E880" s="5"/>
      <c r="F880" s="5"/>
      <c r="G880" s="5"/>
    </row>
    <row r="881" spans="2:7" ht="13">
      <c r="B881" s="36"/>
      <c r="C881" s="80"/>
      <c r="D881" s="5"/>
      <c r="E881" s="5"/>
      <c r="F881" s="5"/>
      <c r="G881" s="5"/>
    </row>
    <row r="882" spans="2:7" ht="13">
      <c r="B882" s="36"/>
      <c r="C882" s="80"/>
      <c r="D882" s="5"/>
      <c r="E882" s="5"/>
      <c r="F882" s="5"/>
      <c r="G882" s="5"/>
    </row>
    <row r="883" spans="2:7" ht="13">
      <c r="B883" s="36"/>
      <c r="C883" s="80"/>
      <c r="D883" s="5"/>
      <c r="E883" s="5"/>
      <c r="F883" s="5"/>
      <c r="G883" s="5"/>
    </row>
    <row r="884" spans="2:7" ht="13">
      <c r="B884" s="36"/>
      <c r="C884" s="80"/>
      <c r="D884" s="5"/>
      <c r="E884" s="5"/>
      <c r="F884" s="5"/>
      <c r="G884" s="5"/>
    </row>
    <row r="885" spans="2:7" ht="13">
      <c r="B885" s="36"/>
      <c r="C885" s="80"/>
      <c r="D885" s="5"/>
      <c r="E885" s="5"/>
      <c r="F885" s="5"/>
      <c r="G885" s="5"/>
    </row>
    <row r="886" spans="2:7" ht="13">
      <c r="B886" s="36"/>
      <c r="C886" s="80"/>
      <c r="D886" s="5"/>
      <c r="E886" s="5"/>
      <c r="F886" s="5"/>
      <c r="G886" s="5"/>
    </row>
    <row r="887" spans="2:7" ht="13">
      <c r="B887" s="36"/>
      <c r="C887" s="80"/>
      <c r="D887" s="5"/>
      <c r="E887" s="5"/>
      <c r="F887" s="5"/>
      <c r="G887" s="5"/>
    </row>
    <row r="888" spans="2:7" ht="13">
      <c r="B888" s="36"/>
      <c r="C888" s="80"/>
      <c r="D888" s="5"/>
      <c r="E888" s="5"/>
      <c r="F888" s="5"/>
      <c r="G888" s="5"/>
    </row>
    <row r="889" spans="2:7" ht="13">
      <c r="B889" s="36"/>
      <c r="C889" s="80"/>
      <c r="D889" s="5"/>
      <c r="E889" s="5"/>
      <c r="F889" s="5"/>
      <c r="G889" s="5"/>
    </row>
    <row r="890" spans="2:7" ht="13">
      <c r="B890" s="36"/>
      <c r="C890" s="80"/>
      <c r="D890" s="5"/>
      <c r="E890" s="5"/>
      <c r="F890" s="5"/>
      <c r="G890" s="5"/>
    </row>
    <row r="891" spans="2:7" ht="13">
      <c r="B891" s="36"/>
      <c r="C891" s="80"/>
      <c r="D891" s="5"/>
      <c r="E891" s="5"/>
      <c r="F891" s="5"/>
      <c r="G891" s="5"/>
    </row>
    <row r="892" spans="2:7" ht="13">
      <c r="B892" s="36"/>
      <c r="C892" s="80"/>
      <c r="D892" s="5"/>
      <c r="E892" s="5"/>
      <c r="F892" s="5"/>
      <c r="G892" s="5"/>
    </row>
    <row r="893" spans="2:7" ht="13">
      <c r="B893" s="36"/>
      <c r="C893" s="80"/>
      <c r="D893" s="5"/>
      <c r="E893" s="5"/>
      <c r="F893" s="5"/>
      <c r="G893" s="5"/>
    </row>
    <row r="894" spans="2:7" ht="13">
      <c r="B894" s="36"/>
      <c r="C894" s="80"/>
      <c r="D894" s="5"/>
      <c r="E894" s="5"/>
      <c r="F894" s="5"/>
      <c r="G894" s="5"/>
    </row>
    <row r="895" spans="2:7" ht="13">
      <c r="B895" s="36"/>
      <c r="C895" s="80"/>
      <c r="D895" s="5"/>
      <c r="E895" s="5"/>
      <c r="F895" s="5"/>
      <c r="G895" s="5"/>
    </row>
    <row r="896" spans="2:7" ht="13">
      <c r="B896" s="36"/>
      <c r="C896" s="80"/>
      <c r="D896" s="5"/>
      <c r="E896" s="5"/>
      <c r="F896" s="5"/>
      <c r="G896" s="5"/>
    </row>
    <row r="897" spans="2:7" ht="13">
      <c r="B897" s="36"/>
      <c r="C897" s="80"/>
      <c r="D897" s="5"/>
      <c r="E897" s="5"/>
      <c r="F897" s="5"/>
      <c r="G897" s="5"/>
    </row>
    <row r="898" spans="2:7" ht="13">
      <c r="B898" s="36"/>
      <c r="C898" s="80"/>
      <c r="D898" s="5"/>
      <c r="E898" s="5"/>
      <c r="F898" s="5"/>
      <c r="G898" s="5"/>
    </row>
    <row r="899" spans="2:7" ht="13">
      <c r="B899" s="36"/>
      <c r="C899" s="80"/>
      <c r="D899" s="5"/>
      <c r="E899" s="5"/>
      <c r="F899" s="5"/>
      <c r="G899" s="5"/>
    </row>
    <row r="900" spans="2:7" ht="13">
      <c r="B900" s="36"/>
      <c r="C900" s="80"/>
      <c r="D900" s="5"/>
      <c r="E900" s="5"/>
      <c r="F900" s="5"/>
      <c r="G900" s="5"/>
    </row>
    <row r="901" spans="2:7" ht="13">
      <c r="B901" s="36"/>
      <c r="C901" s="80"/>
      <c r="D901" s="5"/>
      <c r="E901" s="5"/>
      <c r="F901" s="5"/>
      <c r="G901" s="5"/>
    </row>
    <row r="902" spans="2:7" ht="13">
      <c r="B902" s="36"/>
      <c r="C902" s="80"/>
      <c r="D902" s="5"/>
      <c r="E902" s="5"/>
      <c r="F902" s="5"/>
      <c r="G902" s="5"/>
    </row>
    <row r="903" spans="2:7" ht="13">
      <c r="B903" s="36"/>
      <c r="C903" s="80"/>
      <c r="D903" s="5"/>
      <c r="E903" s="5"/>
      <c r="F903" s="5"/>
      <c r="G903" s="5"/>
    </row>
    <row r="904" spans="2:7" ht="13">
      <c r="B904" s="36"/>
      <c r="C904" s="80"/>
      <c r="D904" s="5"/>
      <c r="E904" s="5"/>
      <c r="F904" s="5"/>
      <c r="G904" s="5"/>
    </row>
    <row r="905" spans="2:7" ht="13">
      <c r="B905" s="36"/>
      <c r="C905" s="80"/>
      <c r="D905" s="5"/>
      <c r="E905" s="5"/>
      <c r="F905" s="5"/>
      <c r="G905" s="5"/>
    </row>
    <row r="906" spans="2:7" ht="13">
      <c r="B906" s="36"/>
      <c r="C906" s="80"/>
      <c r="D906" s="5"/>
      <c r="E906" s="5"/>
      <c r="F906" s="5"/>
      <c r="G906" s="5"/>
    </row>
    <row r="907" spans="2:7" ht="13">
      <c r="B907" s="36"/>
      <c r="C907" s="80"/>
      <c r="D907" s="5"/>
      <c r="E907" s="5"/>
      <c r="F907" s="5"/>
      <c r="G907" s="5"/>
    </row>
    <row r="908" spans="2:7" ht="13">
      <c r="B908" s="36"/>
      <c r="C908" s="80"/>
      <c r="D908" s="5"/>
      <c r="E908" s="5"/>
      <c r="F908" s="5"/>
      <c r="G908" s="5"/>
    </row>
    <row r="909" spans="2:7" ht="13">
      <c r="B909" s="36"/>
      <c r="C909" s="80"/>
      <c r="D909" s="5"/>
      <c r="E909" s="5"/>
      <c r="F909" s="5"/>
      <c r="G909" s="5"/>
    </row>
    <row r="910" spans="2:7" ht="13">
      <c r="B910" s="36"/>
      <c r="C910" s="80"/>
      <c r="D910" s="5"/>
      <c r="E910" s="5"/>
      <c r="F910" s="5"/>
      <c r="G910" s="5"/>
    </row>
    <row r="911" spans="2:7" ht="13">
      <c r="B911" s="36"/>
      <c r="C911" s="80"/>
      <c r="D911" s="5"/>
      <c r="E911" s="5"/>
      <c r="F911" s="5"/>
      <c r="G911" s="5"/>
    </row>
    <row r="912" spans="2:7" ht="13">
      <c r="B912" s="36"/>
      <c r="C912" s="80"/>
      <c r="D912" s="5"/>
      <c r="E912" s="5"/>
      <c r="F912" s="5"/>
      <c r="G912" s="5"/>
    </row>
    <row r="913" spans="2:7" ht="13">
      <c r="B913" s="36"/>
      <c r="C913" s="80"/>
      <c r="D913" s="5"/>
      <c r="E913" s="5"/>
      <c r="F913" s="5"/>
      <c r="G913" s="5"/>
    </row>
    <row r="914" spans="2:7" ht="13">
      <c r="B914" s="36"/>
      <c r="C914" s="80"/>
      <c r="D914" s="5"/>
      <c r="E914" s="5"/>
      <c r="F914" s="5"/>
      <c r="G914" s="5"/>
    </row>
    <row r="915" spans="2:7" ht="13">
      <c r="B915" s="36"/>
      <c r="C915" s="80"/>
      <c r="D915" s="5"/>
      <c r="E915" s="5"/>
      <c r="F915" s="5"/>
      <c r="G915" s="5"/>
    </row>
    <row r="916" spans="2:7" ht="13">
      <c r="B916" s="36"/>
      <c r="C916" s="80"/>
      <c r="D916" s="5"/>
      <c r="E916" s="5"/>
      <c r="F916" s="5"/>
      <c r="G916" s="5"/>
    </row>
    <row r="917" spans="2:7" ht="13">
      <c r="B917" s="36"/>
      <c r="C917" s="80"/>
      <c r="D917" s="5"/>
      <c r="E917" s="5"/>
      <c r="F917" s="5"/>
      <c r="G917" s="5"/>
    </row>
    <row r="918" spans="2:7" ht="13">
      <c r="B918" s="36"/>
      <c r="C918" s="80"/>
      <c r="D918" s="5"/>
      <c r="E918" s="5"/>
      <c r="F918" s="5"/>
      <c r="G918" s="5"/>
    </row>
    <row r="919" spans="2:7" ht="13">
      <c r="B919" s="36"/>
      <c r="C919" s="80"/>
      <c r="D919" s="5"/>
      <c r="E919" s="5"/>
      <c r="F919" s="5"/>
      <c r="G919" s="5"/>
    </row>
    <row r="920" spans="2:7" ht="13">
      <c r="B920" s="36"/>
      <c r="C920" s="80"/>
      <c r="D920" s="5"/>
      <c r="E920" s="5"/>
      <c r="F920" s="5"/>
      <c r="G920" s="5"/>
    </row>
    <row r="921" spans="2:7" ht="13">
      <c r="B921" s="36"/>
      <c r="C921" s="80"/>
      <c r="D921" s="5"/>
      <c r="E921" s="5"/>
      <c r="F921" s="5"/>
      <c r="G921" s="5"/>
    </row>
    <row r="922" spans="2:7" ht="13">
      <c r="B922" s="36"/>
      <c r="C922" s="80"/>
      <c r="D922" s="5"/>
      <c r="E922" s="5"/>
      <c r="F922" s="5"/>
      <c r="G922" s="5"/>
    </row>
    <row r="923" spans="2:7" ht="13">
      <c r="B923" s="36"/>
      <c r="C923" s="80"/>
      <c r="D923" s="5"/>
      <c r="E923" s="5"/>
      <c r="F923" s="5"/>
      <c r="G923" s="5"/>
    </row>
    <row r="924" spans="2:7" ht="13">
      <c r="B924" s="36"/>
      <c r="C924" s="80"/>
      <c r="D924" s="5"/>
      <c r="E924" s="5"/>
      <c r="F924" s="5"/>
      <c r="G924" s="5"/>
    </row>
    <row r="925" spans="2:7" ht="13">
      <c r="B925" s="36"/>
      <c r="C925" s="80"/>
      <c r="D925" s="5"/>
      <c r="E925" s="5"/>
      <c r="F925" s="5"/>
      <c r="G925" s="5"/>
    </row>
    <row r="926" spans="2:7" ht="13">
      <c r="B926" s="36"/>
      <c r="C926" s="80"/>
      <c r="D926" s="5"/>
      <c r="E926" s="5"/>
      <c r="F926" s="5"/>
      <c r="G926" s="5"/>
    </row>
    <row r="927" spans="2:7" ht="13">
      <c r="B927" s="36"/>
      <c r="C927" s="80"/>
      <c r="D927" s="5"/>
      <c r="E927" s="5"/>
      <c r="F927" s="5"/>
      <c r="G927" s="5"/>
    </row>
    <row r="928" spans="2:7" ht="13">
      <c r="B928" s="36"/>
      <c r="C928" s="80"/>
      <c r="D928" s="5"/>
      <c r="E928" s="5"/>
      <c r="F928" s="5"/>
      <c r="G928" s="5"/>
    </row>
    <row r="929" spans="2:7" ht="13">
      <c r="B929" s="36"/>
      <c r="C929" s="80"/>
      <c r="D929" s="5"/>
      <c r="E929" s="5"/>
      <c r="F929" s="5"/>
      <c r="G929" s="5"/>
    </row>
    <row r="930" spans="2:7" ht="13">
      <c r="B930" s="36"/>
      <c r="C930" s="80"/>
      <c r="D930" s="5"/>
      <c r="E930" s="5"/>
      <c r="F930" s="5"/>
      <c r="G930" s="5"/>
    </row>
    <row r="931" spans="2:7" ht="13">
      <c r="B931" s="36"/>
      <c r="C931" s="80"/>
      <c r="D931" s="5"/>
      <c r="E931" s="5"/>
      <c r="F931" s="5"/>
      <c r="G931" s="5"/>
    </row>
    <row r="932" spans="2:7" ht="13">
      <c r="B932" s="36"/>
      <c r="C932" s="80"/>
      <c r="D932" s="5"/>
      <c r="E932" s="5"/>
      <c r="F932" s="5"/>
      <c r="G932" s="5"/>
    </row>
    <row r="933" spans="2:7" ht="13">
      <c r="B933" s="36"/>
      <c r="C933" s="80"/>
      <c r="D933" s="5"/>
      <c r="E933" s="5"/>
      <c r="F933" s="5"/>
      <c r="G933" s="5"/>
    </row>
    <row r="934" spans="2:7" ht="13">
      <c r="B934" s="36"/>
      <c r="C934" s="80"/>
      <c r="D934" s="5"/>
      <c r="E934" s="5"/>
      <c r="F934" s="5"/>
      <c r="G934" s="5"/>
    </row>
    <row r="935" spans="2:7" ht="13">
      <c r="B935" s="36"/>
      <c r="C935" s="80"/>
      <c r="D935" s="5"/>
      <c r="E935" s="5"/>
      <c r="F935" s="5"/>
      <c r="G935" s="5"/>
    </row>
    <row r="936" spans="2:7" ht="13">
      <c r="B936" s="36"/>
      <c r="C936" s="80"/>
      <c r="D936" s="5"/>
      <c r="E936" s="5"/>
      <c r="F936" s="5"/>
      <c r="G936" s="5"/>
    </row>
    <row r="937" spans="2:7" ht="13">
      <c r="B937" s="36"/>
      <c r="C937" s="80"/>
      <c r="D937" s="5"/>
      <c r="E937" s="5"/>
      <c r="F937" s="5"/>
      <c r="G937" s="5"/>
    </row>
    <row r="938" spans="2:7" ht="13">
      <c r="B938" s="36"/>
      <c r="C938" s="80"/>
      <c r="D938" s="5"/>
      <c r="E938" s="5"/>
      <c r="F938" s="5"/>
      <c r="G938" s="5"/>
    </row>
    <row r="939" spans="2:7" ht="13">
      <c r="B939" s="36"/>
      <c r="C939" s="80"/>
      <c r="D939" s="5"/>
      <c r="E939" s="5"/>
      <c r="F939" s="5"/>
      <c r="G939" s="5"/>
    </row>
    <row r="940" spans="2:7" ht="13">
      <c r="B940" s="36"/>
      <c r="C940" s="80"/>
      <c r="D940" s="5"/>
      <c r="E940" s="5"/>
      <c r="F940" s="5"/>
      <c r="G940" s="5"/>
    </row>
    <row r="941" spans="2:7" ht="13">
      <c r="B941" s="36"/>
      <c r="C941" s="80"/>
      <c r="D941" s="5"/>
      <c r="E941" s="5"/>
      <c r="F941" s="5"/>
      <c r="G941" s="5"/>
    </row>
    <row r="942" spans="2:7" ht="13">
      <c r="B942" s="36"/>
      <c r="C942" s="80"/>
      <c r="D942" s="5"/>
      <c r="E942" s="5"/>
      <c r="F942" s="5"/>
      <c r="G942" s="5"/>
    </row>
    <row r="943" spans="2:7" ht="13">
      <c r="B943" s="36"/>
      <c r="C943" s="80"/>
      <c r="D943" s="5"/>
      <c r="E943" s="5"/>
      <c r="F943" s="5"/>
      <c r="G943" s="5"/>
    </row>
    <row r="944" spans="2:7" ht="13">
      <c r="B944" s="36"/>
      <c r="C944" s="80"/>
      <c r="D944" s="5"/>
      <c r="E944" s="5"/>
      <c r="F944" s="5"/>
      <c r="G944" s="5"/>
    </row>
    <row r="945" spans="2:7" ht="13">
      <c r="B945" s="36"/>
      <c r="C945" s="80"/>
      <c r="D945" s="5"/>
      <c r="E945" s="5"/>
      <c r="F945" s="5"/>
      <c r="G945" s="5"/>
    </row>
    <row r="946" spans="2:7" ht="13">
      <c r="B946" s="36"/>
      <c r="C946" s="80"/>
      <c r="D946" s="5"/>
      <c r="E946" s="5"/>
      <c r="F946" s="5"/>
      <c r="G946" s="5"/>
    </row>
    <row r="947" spans="2:7" ht="13">
      <c r="B947" s="36"/>
      <c r="C947" s="80"/>
      <c r="D947" s="5"/>
      <c r="E947" s="5"/>
      <c r="F947" s="5"/>
      <c r="G947" s="5"/>
    </row>
    <row r="948" spans="2:7" ht="13">
      <c r="B948" s="36"/>
      <c r="C948" s="80"/>
      <c r="D948" s="5"/>
      <c r="E948" s="5"/>
      <c r="F948" s="5"/>
      <c r="G948" s="5"/>
    </row>
    <row r="949" spans="2:7" ht="13">
      <c r="B949" s="36"/>
      <c r="C949" s="80"/>
      <c r="D949" s="5"/>
      <c r="E949" s="5"/>
      <c r="F949" s="5"/>
      <c r="G949" s="5"/>
    </row>
    <row r="950" spans="2:7" ht="13">
      <c r="B950" s="36"/>
      <c r="C950" s="80"/>
      <c r="D950" s="5"/>
      <c r="E950" s="5"/>
      <c r="F950" s="5"/>
      <c r="G950" s="5"/>
    </row>
    <row r="951" spans="2:7" ht="13">
      <c r="B951" s="36"/>
      <c r="C951" s="80"/>
      <c r="D951" s="5"/>
      <c r="E951" s="5"/>
      <c r="F951" s="5"/>
      <c r="G951" s="5"/>
    </row>
    <row r="952" spans="2:7" ht="13">
      <c r="B952" s="36"/>
      <c r="C952" s="80"/>
      <c r="D952" s="5"/>
      <c r="E952" s="5"/>
      <c r="F952" s="5"/>
      <c r="G952" s="5"/>
    </row>
    <row r="953" spans="2:7" ht="13">
      <c r="B953" s="36"/>
      <c r="C953" s="80"/>
      <c r="D953" s="5"/>
      <c r="E953" s="5"/>
      <c r="F953" s="5"/>
      <c r="G953" s="5"/>
    </row>
    <row r="954" spans="2:7" ht="13">
      <c r="B954" s="36"/>
      <c r="C954" s="80"/>
      <c r="D954" s="5"/>
      <c r="E954" s="5"/>
      <c r="F954" s="5"/>
      <c r="G954" s="5"/>
    </row>
    <row r="955" spans="2:7" ht="13">
      <c r="B955" s="36"/>
      <c r="C955" s="80"/>
      <c r="D955" s="5"/>
      <c r="E955" s="5"/>
      <c r="F955" s="5"/>
      <c r="G955" s="5"/>
    </row>
    <row r="956" spans="2:7" ht="13">
      <c r="B956" s="36"/>
      <c r="C956" s="80"/>
      <c r="D956" s="5"/>
      <c r="E956" s="5"/>
      <c r="F956" s="5"/>
      <c r="G956" s="5"/>
    </row>
    <row r="957" spans="2:7" ht="13">
      <c r="B957" s="36"/>
      <c r="C957" s="80"/>
      <c r="D957" s="5"/>
      <c r="E957" s="5"/>
      <c r="F957" s="5"/>
      <c r="G957" s="5"/>
    </row>
    <row r="958" spans="2:7" ht="13">
      <c r="B958" s="36"/>
      <c r="C958" s="80"/>
      <c r="D958" s="5"/>
      <c r="E958" s="5"/>
      <c r="F958" s="5"/>
      <c r="G958" s="5"/>
    </row>
    <row r="959" spans="2:7" ht="13">
      <c r="B959" s="36"/>
      <c r="C959" s="80"/>
      <c r="D959" s="5"/>
      <c r="E959" s="5"/>
      <c r="F959" s="5"/>
      <c r="G959" s="5"/>
    </row>
    <row r="960" spans="2:7" ht="13">
      <c r="B960" s="36"/>
      <c r="C960" s="80"/>
      <c r="D960" s="5"/>
      <c r="E960" s="5"/>
      <c r="F960" s="5"/>
      <c r="G960" s="5"/>
    </row>
    <row r="961" spans="2:7" ht="13">
      <c r="B961" s="36"/>
      <c r="C961" s="80"/>
      <c r="D961" s="5"/>
      <c r="E961" s="5"/>
      <c r="F961" s="5"/>
      <c r="G961" s="5"/>
    </row>
    <row r="962" spans="2:7" ht="13">
      <c r="B962" s="36"/>
      <c r="C962" s="80"/>
      <c r="D962" s="5"/>
      <c r="E962" s="5"/>
      <c r="F962" s="5"/>
      <c r="G962" s="5"/>
    </row>
    <row r="963" spans="2:7" ht="13">
      <c r="B963" s="36"/>
      <c r="C963" s="80"/>
      <c r="D963" s="5"/>
      <c r="E963" s="5"/>
      <c r="F963" s="5"/>
      <c r="G963" s="5"/>
    </row>
    <row r="964" spans="2:7" ht="13">
      <c r="B964" s="36"/>
      <c r="C964" s="80"/>
      <c r="D964" s="5"/>
      <c r="E964" s="5"/>
      <c r="F964" s="5"/>
      <c r="G964" s="5"/>
    </row>
    <row r="965" spans="2:7" ht="13">
      <c r="B965" s="36"/>
      <c r="C965" s="80"/>
      <c r="D965" s="5"/>
      <c r="E965" s="5"/>
      <c r="F965" s="5"/>
      <c r="G965" s="5"/>
    </row>
    <row r="966" spans="2:7" ht="13">
      <c r="B966" s="36"/>
      <c r="C966" s="80"/>
      <c r="D966" s="5"/>
      <c r="E966" s="5"/>
      <c r="F966" s="5"/>
      <c r="G966" s="5"/>
    </row>
    <row r="967" spans="2:7" ht="13">
      <c r="B967" s="36"/>
      <c r="C967" s="80"/>
      <c r="D967" s="5"/>
      <c r="E967" s="5"/>
      <c r="F967" s="5"/>
      <c r="G967" s="5"/>
    </row>
    <row r="968" spans="2:7" ht="13">
      <c r="B968" s="36"/>
      <c r="C968" s="80"/>
      <c r="D968" s="5"/>
      <c r="E968" s="5"/>
      <c r="F968" s="5"/>
      <c r="G968" s="5"/>
    </row>
    <row r="969" spans="2:7" ht="13">
      <c r="B969" s="36"/>
      <c r="C969" s="80"/>
      <c r="D969" s="5"/>
      <c r="E969" s="5"/>
      <c r="F969" s="5"/>
      <c r="G969" s="5"/>
    </row>
    <row r="970" spans="2:7" ht="13">
      <c r="B970" s="36"/>
      <c r="C970" s="80"/>
      <c r="D970" s="5"/>
      <c r="E970" s="5"/>
      <c r="F970" s="5"/>
      <c r="G970" s="5"/>
    </row>
    <row r="971" spans="2:7" ht="13">
      <c r="B971" s="36"/>
      <c r="C971" s="80"/>
      <c r="D971" s="5"/>
      <c r="E971" s="5"/>
      <c r="F971" s="5"/>
      <c r="G971" s="5"/>
    </row>
    <row r="972" spans="2:7" ht="13">
      <c r="B972" s="36"/>
      <c r="C972" s="80"/>
      <c r="D972" s="5"/>
      <c r="E972" s="5"/>
      <c r="F972" s="5"/>
      <c r="G972" s="5"/>
    </row>
    <row r="973" spans="2:7" ht="13">
      <c r="B973" s="36"/>
      <c r="C973" s="80"/>
      <c r="D973" s="5"/>
      <c r="E973" s="5"/>
      <c r="F973" s="5"/>
      <c r="G973" s="5"/>
    </row>
    <row r="974" spans="2:7" ht="13">
      <c r="B974" s="36"/>
      <c r="C974" s="80"/>
      <c r="D974" s="5"/>
      <c r="E974" s="5"/>
      <c r="F974" s="5"/>
      <c r="G974" s="5"/>
    </row>
    <row r="975" spans="2:7" ht="13">
      <c r="B975" s="36"/>
      <c r="C975" s="80"/>
      <c r="D975" s="5"/>
      <c r="E975" s="5"/>
      <c r="F975" s="5"/>
      <c r="G975" s="5"/>
    </row>
    <row r="976" spans="2:7" ht="13">
      <c r="B976" s="36"/>
      <c r="C976" s="80"/>
      <c r="D976" s="5"/>
      <c r="E976" s="5"/>
      <c r="F976" s="5"/>
      <c r="G976" s="5"/>
    </row>
    <row r="977" spans="2:7" ht="13">
      <c r="B977" s="36"/>
      <c r="C977" s="80"/>
      <c r="D977" s="5"/>
      <c r="E977" s="5"/>
      <c r="F977" s="5"/>
      <c r="G977" s="5"/>
    </row>
    <row r="978" spans="2:7" ht="13">
      <c r="B978" s="36"/>
      <c r="C978" s="80"/>
      <c r="D978" s="5"/>
      <c r="E978" s="5"/>
      <c r="F978" s="5"/>
      <c r="G978" s="5"/>
    </row>
    <row r="979" spans="2:7" ht="13">
      <c r="B979" s="36"/>
      <c r="C979" s="80"/>
      <c r="D979" s="5"/>
      <c r="E979" s="5"/>
      <c r="F979" s="5"/>
      <c r="G979" s="5"/>
    </row>
    <row r="980" spans="2:7" ht="13">
      <c r="B980" s="36"/>
      <c r="C980" s="80"/>
      <c r="D980" s="5"/>
      <c r="E980" s="5"/>
      <c r="F980" s="5"/>
      <c r="G980" s="5"/>
    </row>
    <row r="981" spans="2:7" ht="13">
      <c r="B981" s="36"/>
      <c r="C981" s="80"/>
      <c r="D981" s="5"/>
      <c r="E981" s="5"/>
      <c r="F981" s="5"/>
      <c r="G981" s="5"/>
    </row>
    <row r="982" spans="2:7" ht="13">
      <c r="B982" s="36"/>
      <c r="C982" s="80"/>
      <c r="D982" s="5"/>
      <c r="E982" s="5"/>
      <c r="F982" s="5"/>
      <c r="G982" s="5"/>
    </row>
    <row r="983" spans="2:7" ht="13">
      <c r="B983" s="36"/>
      <c r="C983" s="80"/>
      <c r="D983" s="5"/>
      <c r="E983" s="5"/>
      <c r="F983" s="5"/>
      <c r="G983" s="5"/>
    </row>
    <row r="984" spans="2:7" ht="13">
      <c r="B984" s="36"/>
      <c r="C984" s="80"/>
      <c r="D984" s="5"/>
      <c r="E984" s="5"/>
      <c r="F984" s="5"/>
      <c r="G984" s="5"/>
    </row>
    <row r="985" spans="2:7" ht="13">
      <c r="B985" s="36"/>
      <c r="C985" s="80"/>
      <c r="D985" s="5"/>
      <c r="E985" s="5"/>
      <c r="F985" s="5"/>
      <c r="G985" s="5"/>
    </row>
    <row r="986" spans="2:7" ht="13">
      <c r="B986" s="36"/>
      <c r="C986" s="80"/>
      <c r="D986" s="5"/>
      <c r="E986" s="5"/>
      <c r="F986" s="5"/>
      <c r="G986" s="5"/>
    </row>
    <row r="987" spans="2:7" ht="13">
      <c r="B987" s="36"/>
      <c r="C987" s="80"/>
      <c r="D987" s="5"/>
      <c r="E987" s="5"/>
      <c r="F987" s="5"/>
      <c r="G987" s="5"/>
    </row>
    <row r="988" spans="2:7" ht="13">
      <c r="B988" s="36"/>
      <c r="C988" s="80"/>
      <c r="D988" s="5"/>
      <c r="E988" s="5"/>
      <c r="F988" s="5"/>
      <c r="G988" s="5"/>
    </row>
    <row r="989" spans="2:7" ht="13">
      <c r="B989" s="36"/>
      <c r="C989" s="80"/>
      <c r="D989" s="5"/>
      <c r="E989" s="5"/>
      <c r="F989" s="5"/>
      <c r="G989" s="5"/>
    </row>
    <row r="990" spans="2:7" ht="13">
      <c r="B990" s="36"/>
      <c r="C990" s="80"/>
      <c r="D990" s="5"/>
      <c r="E990" s="5"/>
      <c r="F990" s="5"/>
      <c r="G990" s="5"/>
    </row>
    <row r="991" spans="2:7" ht="13">
      <c r="B991" s="36"/>
      <c r="C991" s="80"/>
      <c r="D991" s="5"/>
      <c r="E991" s="5"/>
      <c r="F991" s="5"/>
      <c r="G991" s="5"/>
    </row>
    <row r="992" spans="2:7" ht="13">
      <c r="B992" s="36"/>
      <c r="C992" s="80"/>
      <c r="D992" s="5"/>
      <c r="E992" s="5"/>
      <c r="F992" s="5"/>
      <c r="G992" s="5"/>
    </row>
    <row r="993" spans="2:7" ht="13">
      <c r="B993" s="36"/>
      <c r="C993" s="80"/>
      <c r="D993" s="5"/>
      <c r="E993" s="5"/>
      <c r="F993" s="5"/>
      <c r="G993" s="5"/>
    </row>
    <row r="994" spans="2:7" ht="13">
      <c r="B994" s="36"/>
      <c r="C994" s="80"/>
      <c r="D994" s="5"/>
      <c r="E994" s="5"/>
      <c r="F994" s="5"/>
      <c r="G994" s="5"/>
    </row>
    <row r="995" spans="2:7" ht="13">
      <c r="B995" s="36"/>
      <c r="C995" s="80"/>
      <c r="D995" s="5"/>
      <c r="E995" s="5"/>
      <c r="F995" s="5"/>
      <c r="G995" s="5"/>
    </row>
    <row r="996" spans="2:7" ht="13">
      <c r="B996" s="36"/>
      <c r="C996" s="80"/>
      <c r="D996" s="5"/>
      <c r="E996" s="5"/>
      <c r="F996" s="5"/>
      <c r="G996" s="5"/>
    </row>
    <row r="997" spans="2:7" ht="13">
      <c r="B997" s="36"/>
      <c r="C997" s="80"/>
      <c r="D997" s="5"/>
      <c r="E997" s="5"/>
      <c r="F997" s="5"/>
      <c r="G997" s="5"/>
    </row>
    <row r="998" spans="2:7" ht="13">
      <c r="B998" s="36"/>
      <c r="C998" s="80"/>
      <c r="D998" s="5"/>
      <c r="E998" s="5"/>
      <c r="F998" s="5"/>
      <c r="G998" s="5"/>
    </row>
    <row r="999" spans="2:7" ht="13">
      <c r="B999" s="36"/>
      <c r="C999" s="80"/>
      <c r="D999" s="5"/>
      <c r="E999" s="5"/>
      <c r="F999" s="5"/>
      <c r="G999" s="5"/>
    </row>
    <row r="1000" spans="2:7" ht="13">
      <c r="B1000" s="36"/>
      <c r="C1000" s="80"/>
      <c r="D1000" s="5"/>
      <c r="E1000" s="5"/>
      <c r="F1000" s="5"/>
      <c r="G1000" s="5"/>
    </row>
    <row r="1001" spans="2:7" ht="13">
      <c r="B1001" s="36"/>
      <c r="C1001" s="80"/>
      <c r="D1001" s="5"/>
      <c r="E1001" s="5"/>
      <c r="F1001" s="5"/>
      <c r="G1001" s="5"/>
    </row>
    <row r="1002" spans="2:7" ht="13">
      <c r="B1002" s="36"/>
      <c r="C1002" s="80"/>
      <c r="D1002" s="5"/>
      <c r="E1002" s="5"/>
      <c r="F1002" s="5"/>
      <c r="G1002" s="5"/>
    </row>
  </sheetData>
  <hyperlinks>
    <hyperlink ref="B5" r:id="rId1" xr:uid="{00000000-0004-0000-4B00-000000000000}"/>
    <hyperlink ref="B6" r:id="rId2" xr:uid="{00000000-0004-0000-4B00-000001000000}"/>
    <hyperlink ref="B7" r:id="rId3" xr:uid="{00000000-0004-0000-4B00-000002000000}"/>
    <hyperlink ref="B8" r:id="rId4" xr:uid="{00000000-0004-0000-4B00-000003000000}"/>
    <hyperlink ref="B9" r:id="rId5" xr:uid="{00000000-0004-0000-4B00-000004000000}"/>
    <hyperlink ref="B10" r:id="rId6" xr:uid="{00000000-0004-0000-4B00-000005000000}"/>
    <hyperlink ref="B13" r:id="rId7" xr:uid="{00000000-0004-0000-4B00-000006000000}"/>
    <hyperlink ref="B14" r:id="rId8" xr:uid="{00000000-0004-0000-4B00-000007000000}"/>
    <hyperlink ref="B15" r:id="rId9" xr:uid="{00000000-0004-0000-4B00-000008000000}"/>
    <hyperlink ref="B16" r:id="rId10" xr:uid="{00000000-0004-0000-4B00-000009000000}"/>
    <hyperlink ref="B17" r:id="rId11" xr:uid="{00000000-0004-0000-4B00-00000A000000}"/>
    <hyperlink ref="B18" r:id="rId12" xr:uid="{00000000-0004-0000-4B00-00000B000000}"/>
    <hyperlink ref="B19" r:id="rId13" xr:uid="{00000000-0004-0000-4B00-00000C000000}"/>
    <hyperlink ref="B20" r:id="rId14" xr:uid="{00000000-0004-0000-4B00-00000D000000}"/>
    <hyperlink ref="B21" r:id="rId15" xr:uid="{00000000-0004-0000-4B00-00000E000000}"/>
    <hyperlink ref="B22" r:id="rId16" xr:uid="{00000000-0004-0000-4B00-00000F000000}"/>
    <hyperlink ref="B23" r:id="rId17" xr:uid="{00000000-0004-0000-4B00-000010000000}"/>
    <hyperlink ref="B24" r:id="rId18" xr:uid="{00000000-0004-0000-4B00-000011000000}"/>
    <hyperlink ref="B25" r:id="rId19" xr:uid="{00000000-0004-0000-4B00-000012000000}"/>
    <hyperlink ref="B26" r:id="rId20" xr:uid="{00000000-0004-0000-4B00-000013000000}"/>
    <hyperlink ref="B27" r:id="rId21" xr:uid="{00000000-0004-0000-4B00-000014000000}"/>
    <hyperlink ref="B28" r:id="rId22" xr:uid="{00000000-0004-0000-4B00-000015000000}"/>
    <hyperlink ref="B30" r:id="rId23" xr:uid="{00000000-0004-0000-4B00-000016000000}"/>
    <hyperlink ref="B33" r:id="rId24" xr:uid="{00000000-0004-0000-4B00-000017000000}"/>
    <hyperlink ref="B34" r:id="rId25" xr:uid="{00000000-0004-0000-4B00-000018000000}"/>
    <hyperlink ref="B35" r:id="rId26" xr:uid="{00000000-0004-0000-4B00-000019000000}"/>
    <hyperlink ref="B36" r:id="rId27" xr:uid="{00000000-0004-0000-4B00-00001A000000}"/>
    <hyperlink ref="B37" r:id="rId28" xr:uid="{00000000-0004-0000-4B00-00001B000000}"/>
    <hyperlink ref="B38" r:id="rId29" xr:uid="{00000000-0004-0000-4B00-00001C000000}"/>
    <hyperlink ref="B39" r:id="rId30" xr:uid="{00000000-0004-0000-4B00-00001D000000}"/>
    <hyperlink ref="B42" r:id="rId31" xr:uid="{00000000-0004-0000-4B00-00001E000000}"/>
    <hyperlink ref="B43" r:id="rId32" xr:uid="{00000000-0004-0000-4B00-00001F000000}"/>
    <hyperlink ref="B44" r:id="rId33" xr:uid="{00000000-0004-0000-4B00-000020000000}"/>
    <hyperlink ref="B45" r:id="rId34" xr:uid="{00000000-0004-0000-4B00-000021000000}"/>
    <hyperlink ref="B48" r:id="rId35" xr:uid="{00000000-0004-0000-4B00-000022000000}"/>
    <hyperlink ref="B49" r:id="rId36" xr:uid="{00000000-0004-0000-4B00-000023000000}"/>
    <hyperlink ref="B50" r:id="rId37" xr:uid="{00000000-0004-0000-4B00-000024000000}"/>
    <hyperlink ref="B51" r:id="rId38" xr:uid="{00000000-0004-0000-4B00-000025000000}"/>
    <hyperlink ref="B52" r:id="rId39" xr:uid="{00000000-0004-0000-4B00-000026000000}"/>
    <hyperlink ref="B53" r:id="rId40" xr:uid="{00000000-0004-0000-4B00-000027000000}"/>
    <hyperlink ref="B54" r:id="rId41" xr:uid="{00000000-0004-0000-4B00-000028000000}"/>
    <hyperlink ref="B55" r:id="rId42" xr:uid="{00000000-0004-0000-4B00-000029000000}"/>
    <hyperlink ref="B56" r:id="rId43" xr:uid="{00000000-0004-0000-4B00-00002A000000}"/>
    <hyperlink ref="B57" r:id="rId44" xr:uid="{00000000-0004-0000-4B00-00002B000000}"/>
    <hyperlink ref="B58" r:id="rId45" xr:uid="{00000000-0004-0000-4B00-00002C000000}"/>
    <hyperlink ref="B59" r:id="rId46" xr:uid="{00000000-0004-0000-4B00-00002D000000}"/>
    <hyperlink ref="B60" r:id="rId47" xr:uid="{00000000-0004-0000-4B00-00002E000000}"/>
    <hyperlink ref="B62" r:id="rId48" xr:uid="{00000000-0004-0000-4B00-00002F000000}"/>
    <hyperlink ref="B63" r:id="rId49" xr:uid="{00000000-0004-0000-4B00-000030000000}"/>
    <hyperlink ref="B64" r:id="rId50" xr:uid="{00000000-0004-0000-4B00-000031000000}"/>
    <hyperlink ref="B65" r:id="rId51" xr:uid="{00000000-0004-0000-4B00-000032000000}"/>
    <hyperlink ref="B66" r:id="rId52" xr:uid="{00000000-0004-0000-4B00-000033000000}"/>
    <hyperlink ref="B67" r:id="rId53" xr:uid="{00000000-0004-0000-4B00-000034000000}"/>
    <hyperlink ref="B68" r:id="rId54" xr:uid="{00000000-0004-0000-4B00-000035000000}"/>
    <hyperlink ref="B69" r:id="rId55" xr:uid="{00000000-0004-0000-4B00-000036000000}"/>
    <hyperlink ref="B70" r:id="rId56" xr:uid="{00000000-0004-0000-4B00-000037000000}"/>
    <hyperlink ref="B71" r:id="rId57" xr:uid="{00000000-0004-0000-4B00-000038000000}"/>
    <hyperlink ref="B73" r:id="rId58" xr:uid="{00000000-0004-0000-4B00-000039000000}"/>
    <hyperlink ref="B74" r:id="rId59" xr:uid="{00000000-0004-0000-4B00-00003A000000}"/>
    <hyperlink ref="B75" r:id="rId60" xr:uid="{00000000-0004-0000-4B00-00003B000000}"/>
    <hyperlink ref="B76" r:id="rId61" xr:uid="{00000000-0004-0000-4B00-00003C000000}"/>
    <hyperlink ref="B77" r:id="rId62" xr:uid="{00000000-0004-0000-4B00-00003D000000}"/>
    <hyperlink ref="B78" r:id="rId63" xr:uid="{00000000-0004-0000-4B00-00003E000000}"/>
    <hyperlink ref="B79" r:id="rId64" xr:uid="{00000000-0004-0000-4B00-00003F000000}"/>
    <hyperlink ref="B80" r:id="rId65" xr:uid="{00000000-0004-0000-4B00-000040000000}"/>
    <hyperlink ref="B81" r:id="rId66" xr:uid="{00000000-0004-0000-4B00-000041000000}"/>
    <hyperlink ref="B82" r:id="rId67" xr:uid="{00000000-0004-0000-4B00-000042000000}"/>
    <hyperlink ref="B83" r:id="rId68" xr:uid="{00000000-0004-0000-4B00-000043000000}"/>
    <hyperlink ref="B84" r:id="rId69" xr:uid="{00000000-0004-0000-4B00-000044000000}"/>
    <hyperlink ref="B85" r:id="rId70" xr:uid="{00000000-0004-0000-4B00-000045000000}"/>
    <hyperlink ref="B86" r:id="rId71" xr:uid="{00000000-0004-0000-4B00-000046000000}"/>
    <hyperlink ref="B87" r:id="rId72" xr:uid="{00000000-0004-0000-4B00-000047000000}"/>
    <hyperlink ref="B99" r:id="rId73" xr:uid="{00000000-0004-0000-4B00-000048000000}"/>
    <hyperlink ref="B103" r:id="rId74" xr:uid="{00000000-0004-0000-4B00-000049000000}"/>
    <hyperlink ref="B104" r:id="rId75" xr:uid="{00000000-0004-0000-4B00-00004A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7">
    <outlinePr summaryBelow="0" summaryRight="0"/>
  </sheetPr>
  <dimension ref="A1:AA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9.1640625" customWidth="1"/>
    <col min="3" max="3" width="13.5" customWidth="1"/>
    <col min="4" max="4" width="14.83203125" customWidth="1"/>
    <col min="5" max="5" width="14.33203125" customWidth="1"/>
    <col min="7" max="7" width="14.83203125" customWidth="1"/>
    <col min="11" max="11" width="13.83203125" customWidth="1"/>
  </cols>
  <sheetData>
    <row r="1" spans="1:23" ht="15.75" customHeight="1">
      <c r="A1" s="1" t="s">
        <v>121</v>
      </c>
      <c r="B1" s="36"/>
      <c r="C1" s="37"/>
      <c r="D1" s="7" t="s">
        <v>181</v>
      </c>
      <c r="E1" s="5"/>
      <c r="F1" s="5"/>
      <c r="G1" s="5"/>
      <c r="K1" s="1"/>
      <c r="M1" s="5"/>
      <c r="N1" s="5"/>
      <c r="S1" s="1"/>
      <c r="U1" s="5"/>
    </row>
    <row r="2" spans="1:23" ht="15.75" customHeight="1">
      <c r="A2" s="7" t="s">
        <v>182</v>
      </c>
      <c r="B2" s="38">
        <v>42291</v>
      </c>
      <c r="C2" s="37"/>
      <c r="D2" s="39">
        <f>SUM(D5:G16)</f>
        <v>0</v>
      </c>
      <c r="E2" s="5"/>
      <c r="F2" s="5"/>
      <c r="G2" s="5"/>
      <c r="L2" s="40"/>
      <c r="M2" s="5"/>
      <c r="N2" s="5"/>
      <c r="T2" s="40"/>
      <c r="U2" s="5"/>
    </row>
    <row r="3" spans="1:23" ht="15.75" customHeight="1">
      <c r="B3" s="41"/>
      <c r="C3" s="37"/>
      <c r="D3" s="5"/>
      <c r="E3" s="5"/>
      <c r="F3" s="5"/>
      <c r="G3" s="5"/>
      <c r="M3" s="5"/>
      <c r="N3" s="5"/>
      <c r="U3" s="5"/>
    </row>
    <row r="4" spans="1:23" ht="15.75" customHeight="1">
      <c r="A4" s="42" t="s">
        <v>183</v>
      </c>
      <c r="B4" s="43" t="s">
        <v>184</v>
      </c>
      <c r="C4" s="43" t="s">
        <v>185</v>
      </c>
      <c r="D4" s="42" t="s">
        <v>186</v>
      </c>
      <c r="E4" s="44" t="s">
        <v>187</v>
      </c>
      <c r="F4" s="44" t="s">
        <v>188</v>
      </c>
      <c r="G4" s="44" t="s">
        <v>189</v>
      </c>
      <c r="H4" s="44" t="s">
        <v>190</v>
      </c>
      <c r="I4" s="44"/>
      <c r="K4" s="42"/>
      <c r="L4" s="45"/>
      <c r="M4" s="46"/>
      <c r="N4" s="47"/>
      <c r="S4" s="42"/>
      <c r="T4" s="45"/>
      <c r="U4" s="46"/>
      <c r="V4" s="47"/>
    </row>
    <row r="5" spans="1:23" ht="15.75" customHeight="1">
      <c r="A5" s="52">
        <v>43112</v>
      </c>
      <c r="B5" s="49" t="s">
        <v>1187</v>
      </c>
      <c r="C5" s="51" t="s">
        <v>205</v>
      </c>
      <c r="D5" s="5"/>
      <c r="E5" s="5"/>
      <c r="F5" s="51"/>
      <c r="G5" s="5"/>
      <c r="L5" s="43"/>
      <c r="M5" s="43"/>
      <c r="N5" s="42"/>
      <c r="O5" s="44"/>
      <c r="S5" s="42"/>
      <c r="T5" s="43"/>
      <c r="U5" s="43"/>
      <c r="V5" s="42"/>
      <c r="W5" s="44"/>
    </row>
    <row r="6" spans="1:23" ht="15.75" customHeight="1">
      <c r="A6" s="52">
        <v>43143</v>
      </c>
      <c r="B6" s="49" t="s">
        <v>1443</v>
      </c>
      <c r="C6" s="51" t="s">
        <v>205</v>
      </c>
      <c r="D6" s="5"/>
      <c r="E6" s="5"/>
      <c r="F6" s="51"/>
      <c r="G6" s="5"/>
      <c r="S6" s="52"/>
      <c r="T6" s="50"/>
      <c r="U6" s="51"/>
    </row>
    <row r="7" spans="1:23" ht="15.75" customHeight="1">
      <c r="A7" s="52">
        <v>43171</v>
      </c>
      <c r="B7" s="49" t="s">
        <v>1190</v>
      </c>
      <c r="C7" s="51" t="s">
        <v>199</v>
      </c>
      <c r="D7" s="51"/>
      <c r="E7" s="5"/>
      <c r="F7" s="51"/>
      <c r="G7" s="5"/>
      <c r="S7" s="52"/>
      <c r="T7" s="50"/>
      <c r="U7" s="51"/>
    </row>
    <row r="8" spans="1:23" ht="15.75" customHeight="1">
      <c r="A8" s="52">
        <v>43202</v>
      </c>
      <c r="B8" s="49" t="s">
        <v>296</v>
      </c>
      <c r="C8" s="51" t="s">
        <v>208</v>
      </c>
      <c r="D8" s="51"/>
      <c r="E8" s="5"/>
      <c r="F8" s="51"/>
      <c r="G8" s="5"/>
      <c r="S8" s="52"/>
      <c r="T8" s="50"/>
      <c r="U8" s="51"/>
    </row>
    <row r="9" spans="1:23" ht="15.75" customHeight="1">
      <c r="A9" s="52">
        <v>43232</v>
      </c>
      <c r="B9" s="49" t="s">
        <v>1189</v>
      </c>
      <c r="C9" s="51" t="s">
        <v>208</v>
      </c>
      <c r="D9" s="5"/>
      <c r="E9" s="5"/>
      <c r="F9" s="5"/>
      <c r="G9" s="5"/>
      <c r="S9" s="52"/>
      <c r="T9" s="50"/>
      <c r="U9" s="51"/>
    </row>
    <row r="10" spans="1:23" ht="15.75" customHeight="1">
      <c r="A10" s="52">
        <v>43263</v>
      </c>
      <c r="B10" s="49" t="s">
        <v>191</v>
      </c>
      <c r="C10" s="51" t="s">
        <v>192</v>
      </c>
      <c r="D10" s="51"/>
      <c r="E10" s="5"/>
      <c r="F10" s="51"/>
      <c r="G10" s="5"/>
      <c r="S10" s="52"/>
      <c r="T10" s="50"/>
      <c r="U10" s="51"/>
    </row>
    <row r="11" spans="1:23" ht="15.75" customHeight="1">
      <c r="A11" s="52">
        <v>43293</v>
      </c>
      <c r="B11" s="49" t="s">
        <v>1257</v>
      </c>
      <c r="C11" s="51" t="s">
        <v>192</v>
      </c>
      <c r="D11" s="51"/>
      <c r="E11" s="5"/>
      <c r="F11" s="5"/>
      <c r="G11" s="5"/>
      <c r="S11" s="52"/>
      <c r="T11" s="50"/>
      <c r="U11" s="51"/>
    </row>
    <row r="12" spans="1:23" ht="15.75" customHeight="1">
      <c r="A12" s="52">
        <v>43324</v>
      </c>
      <c r="B12" s="49" t="s">
        <v>354</v>
      </c>
      <c r="C12" s="51" t="s">
        <v>225</v>
      </c>
      <c r="D12" s="5"/>
      <c r="E12" s="5"/>
      <c r="F12" s="51"/>
      <c r="G12" s="5"/>
      <c r="S12" s="52"/>
      <c r="T12" s="50"/>
      <c r="U12" s="51"/>
    </row>
    <row r="13" spans="1:23" ht="15.75" customHeight="1">
      <c r="A13" s="52">
        <v>43355</v>
      </c>
      <c r="B13" s="49" t="s">
        <v>1541</v>
      </c>
      <c r="C13" s="51" t="s">
        <v>225</v>
      </c>
      <c r="D13" s="51"/>
      <c r="E13" s="5"/>
      <c r="F13" s="5"/>
      <c r="G13" s="5"/>
      <c r="S13" s="52"/>
      <c r="T13" s="50"/>
      <c r="U13" s="51"/>
    </row>
    <row r="14" spans="1:23" ht="15.75" customHeight="1">
      <c r="A14" s="52">
        <v>43385</v>
      </c>
      <c r="B14" s="49" t="s">
        <v>215</v>
      </c>
      <c r="C14" s="51" t="s">
        <v>4743</v>
      </c>
      <c r="D14" s="51"/>
      <c r="E14" s="5"/>
      <c r="F14" s="5"/>
      <c r="G14" s="5"/>
      <c r="S14" s="52"/>
      <c r="T14" s="50"/>
      <c r="U14" s="51"/>
    </row>
    <row r="15" spans="1:23" ht="15.75" customHeight="1">
      <c r="A15" s="52">
        <v>43416</v>
      </c>
      <c r="B15" s="49" t="s">
        <v>1325</v>
      </c>
      <c r="C15" s="51" t="s">
        <v>5116</v>
      </c>
      <c r="D15" s="51"/>
      <c r="E15" s="5"/>
      <c r="F15" s="51"/>
      <c r="G15" s="5"/>
      <c r="S15" s="52"/>
      <c r="T15" s="50"/>
      <c r="U15" s="51"/>
    </row>
    <row r="16" spans="1:23" ht="15.75" customHeight="1">
      <c r="A16" s="52">
        <v>43446</v>
      </c>
      <c r="B16" s="49" t="s">
        <v>1276</v>
      </c>
      <c r="C16" s="51" t="s">
        <v>5116</v>
      </c>
      <c r="D16" s="51"/>
      <c r="E16" s="5"/>
      <c r="F16" s="51"/>
      <c r="G16" s="5"/>
      <c r="S16" s="52"/>
      <c r="T16" s="50"/>
      <c r="U16" s="51"/>
    </row>
    <row r="17" spans="1:27" ht="15.75" customHeight="1">
      <c r="S17" s="52"/>
      <c r="T17" s="50"/>
      <c r="U17" s="51"/>
    </row>
    <row r="18" spans="1:27" ht="15.75" customHeight="1">
      <c r="A18" s="52"/>
      <c r="B18" s="50"/>
      <c r="C18" s="51"/>
      <c r="D18" s="48"/>
      <c r="E18" s="5"/>
      <c r="F18" s="5"/>
      <c r="G18" s="5"/>
      <c r="M18" s="5"/>
      <c r="N18" s="5"/>
      <c r="U18" s="5"/>
      <c r="AA18" s="5"/>
    </row>
    <row r="19" spans="1:27" ht="15.75" customHeight="1">
      <c r="A19" s="48"/>
      <c r="B19" s="50"/>
      <c r="C19" s="48"/>
      <c r="D19" s="48"/>
      <c r="E19" s="5"/>
      <c r="F19" s="5"/>
      <c r="G19" s="5"/>
      <c r="K19" s="1"/>
      <c r="M19" s="5"/>
      <c r="N19" s="5"/>
      <c r="U19" s="5"/>
      <c r="AA19" s="5"/>
    </row>
    <row r="20" spans="1:27" ht="15.75" customHeight="1">
      <c r="A20" s="48"/>
      <c r="B20" s="50"/>
      <c r="C20" s="48"/>
      <c r="D20" s="48"/>
      <c r="E20" s="5"/>
      <c r="F20" s="5"/>
      <c r="G20" s="5"/>
      <c r="L20" s="40"/>
      <c r="M20" s="5"/>
      <c r="N20" s="5"/>
      <c r="AA20" s="5"/>
    </row>
    <row r="21" spans="1:27" ht="15.75" customHeight="1">
      <c r="A21" s="48"/>
      <c r="B21" s="50"/>
      <c r="C21" s="48"/>
      <c r="D21" s="48"/>
      <c r="E21" s="5"/>
      <c r="F21" s="5"/>
      <c r="G21" s="5"/>
      <c r="M21" s="5"/>
      <c r="N21" s="5"/>
      <c r="AA21" s="5"/>
    </row>
    <row r="22" spans="1:27" ht="15.75" customHeight="1">
      <c r="A22" s="48"/>
      <c r="B22" s="53"/>
      <c r="C22" s="48"/>
      <c r="D22" s="48"/>
      <c r="E22" s="5"/>
      <c r="F22" s="5"/>
      <c r="G22" s="5"/>
      <c r="K22" s="42"/>
      <c r="L22" s="45"/>
      <c r="M22" s="46"/>
      <c r="N22" s="47"/>
      <c r="AA22" s="5"/>
    </row>
    <row r="23" spans="1:27" ht="15.75" customHeight="1">
      <c r="A23" s="48"/>
      <c r="B23" s="53"/>
      <c r="C23" s="48"/>
      <c r="D23" s="48"/>
      <c r="E23" s="5"/>
      <c r="F23" s="5"/>
      <c r="G23" s="5"/>
      <c r="K23" s="42"/>
      <c r="L23" s="43"/>
      <c r="M23" s="43"/>
      <c r="N23" s="42"/>
      <c r="O23" s="44"/>
      <c r="AA23" s="5"/>
    </row>
    <row r="24" spans="1:27" ht="15.75" customHeight="1">
      <c r="A24" s="48"/>
      <c r="B24" s="53"/>
      <c r="C24" s="48"/>
      <c r="D24" s="48"/>
      <c r="E24" s="5"/>
      <c r="F24" s="5"/>
      <c r="G24" s="5"/>
      <c r="K24" s="52"/>
      <c r="L24" s="50"/>
      <c r="M24" s="51"/>
      <c r="N24" s="5"/>
      <c r="AA24" s="5"/>
    </row>
    <row r="25" spans="1:27" ht="15.75" customHeight="1">
      <c r="A25" s="48"/>
      <c r="B25" s="53"/>
      <c r="C25" s="48"/>
      <c r="D25" s="48"/>
      <c r="E25" s="5"/>
      <c r="F25" s="5"/>
      <c r="G25" s="5"/>
      <c r="K25" s="52"/>
      <c r="L25" s="50"/>
      <c r="M25" s="51"/>
      <c r="N25" s="5"/>
      <c r="AA25" s="5"/>
    </row>
    <row r="26" spans="1:27" ht="15.75" customHeight="1">
      <c r="A26" s="48"/>
      <c r="B26" s="53"/>
      <c r="C26" s="48"/>
      <c r="D26" s="48"/>
      <c r="E26" s="5"/>
      <c r="F26" s="5"/>
      <c r="G26" s="5"/>
      <c r="K26" s="52"/>
      <c r="L26" s="50"/>
      <c r="M26" s="51"/>
      <c r="N26" s="51"/>
      <c r="AA26" s="5"/>
    </row>
    <row r="27" spans="1:27" ht="15.75" customHeight="1">
      <c r="A27" s="48"/>
      <c r="B27" s="50"/>
      <c r="C27" s="48"/>
      <c r="D27" s="48"/>
      <c r="E27" s="5"/>
      <c r="F27" s="5"/>
      <c r="G27" s="5"/>
      <c r="K27" s="52"/>
      <c r="L27" s="50"/>
      <c r="M27" s="51"/>
      <c r="N27" s="51"/>
      <c r="AA27" s="5"/>
    </row>
    <row r="28" spans="1:27" ht="15.75" customHeight="1">
      <c r="A28" s="48"/>
      <c r="B28" s="50"/>
      <c r="C28" s="48"/>
      <c r="D28" s="48"/>
      <c r="E28" s="5"/>
      <c r="F28" s="5"/>
      <c r="G28" s="5"/>
      <c r="J28" s="5"/>
      <c r="K28" s="52"/>
      <c r="L28" s="50"/>
      <c r="M28" s="51"/>
      <c r="N28" s="5"/>
      <c r="P28" s="5"/>
    </row>
    <row r="29" spans="1:27" ht="15.75" customHeight="1">
      <c r="A29" s="48"/>
      <c r="B29" s="50"/>
      <c r="C29" s="48"/>
      <c r="D29" s="48"/>
      <c r="E29" s="5"/>
      <c r="F29" s="5"/>
      <c r="G29" s="5"/>
      <c r="J29" s="5"/>
      <c r="K29" s="52"/>
      <c r="L29" s="50"/>
      <c r="M29" s="51"/>
      <c r="N29" s="51"/>
      <c r="P29" s="5"/>
    </row>
    <row r="30" spans="1:27" ht="15.75" customHeight="1">
      <c r="A30" s="48"/>
      <c r="B30" s="53"/>
      <c r="C30" s="48"/>
      <c r="D30" s="48"/>
      <c r="E30" s="5"/>
      <c r="F30" s="5"/>
      <c r="G30" s="5"/>
      <c r="J30" s="5"/>
      <c r="K30" s="52"/>
      <c r="L30" s="50"/>
      <c r="M30" s="51"/>
      <c r="N30" s="5"/>
      <c r="P30" s="5"/>
    </row>
    <row r="31" spans="1:27" ht="15.75" customHeight="1">
      <c r="A31" s="48"/>
      <c r="B31" s="50"/>
      <c r="C31" s="48"/>
      <c r="D31" s="48"/>
      <c r="E31" s="5"/>
      <c r="F31" s="5"/>
      <c r="G31" s="5"/>
      <c r="J31" s="5"/>
      <c r="K31" s="52"/>
      <c r="L31" s="50"/>
      <c r="M31" s="51"/>
      <c r="N31" s="51"/>
      <c r="P31" s="5"/>
    </row>
    <row r="32" spans="1:27" ht="15.75" customHeight="1">
      <c r="A32" s="48"/>
      <c r="B32" s="53"/>
      <c r="C32" s="48"/>
      <c r="D32" s="48"/>
      <c r="E32" s="5"/>
      <c r="F32" s="5"/>
      <c r="G32" s="5"/>
      <c r="J32" s="5"/>
      <c r="K32" s="52"/>
      <c r="L32" s="50"/>
      <c r="M32" s="51"/>
      <c r="N32" s="5"/>
      <c r="P32" s="5"/>
    </row>
    <row r="33" spans="1:16" ht="15.75" customHeight="1">
      <c r="A33" s="48"/>
      <c r="B33" s="53"/>
      <c r="C33" s="48"/>
      <c r="D33" s="48"/>
      <c r="E33" s="5"/>
      <c r="F33" s="5"/>
      <c r="G33" s="5"/>
      <c r="J33" s="5"/>
      <c r="K33" s="52"/>
      <c r="L33" s="50"/>
      <c r="M33" s="51"/>
      <c r="N33" s="5"/>
      <c r="P33" s="5"/>
    </row>
    <row r="34" spans="1:16" ht="15.75" customHeight="1">
      <c r="A34" s="48"/>
      <c r="B34" s="53"/>
      <c r="C34" s="48"/>
      <c r="D34" s="48"/>
      <c r="E34" s="5"/>
      <c r="F34" s="5"/>
      <c r="G34" s="5"/>
      <c r="J34" s="5"/>
      <c r="K34" s="52"/>
      <c r="L34" s="50"/>
      <c r="M34" s="51"/>
      <c r="N34" s="5"/>
      <c r="P34" s="5"/>
    </row>
    <row r="35" spans="1:16" ht="15.75" customHeight="1">
      <c r="A35" s="48"/>
      <c r="B35" s="53"/>
      <c r="C35" s="48"/>
      <c r="D35" s="48"/>
      <c r="E35" s="5"/>
      <c r="F35" s="5"/>
      <c r="G35" s="5"/>
      <c r="J35" s="5"/>
      <c r="K35" s="52"/>
      <c r="L35" s="50"/>
      <c r="M35" s="51"/>
      <c r="N35" s="51"/>
      <c r="P35" s="5"/>
    </row>
    <row r="36" spans="1:16" ht="15.75" customHeight="1">
      <c r="A36" s="48"/>
      <c r="B36" s="50"/>
      <c r="C36" s="48"/>
      <c r="D36" s="48"/>
      <c r="E36" s="5"/>
      <c r="F36" s="5"/>
      <c r="G36" s="5"/>
      <c r="J36" s="5"/>
      <c r="M36" s="5"/>
      <c r="N36" s="5"/>
      <c r="P36" s="5"/>
    </row>
    <row r="37" spans="1:16" ht="15.75" customHeight="1">
      <c r="A37" s="48"/>
      <c r="B37" s="50"/>
      <c r="C37" s="48"/>
      <c r="D37" s="48"/>
      <c r="E37" s="5"/>
      <c r="F37" s="5"/>
      <c r="G37" s="5"/>
      <c r="J37" s="5"/>
      <c r="M37" s="5"/>
      <c r="N37" s="5"/>
    </row>
    <row r="38" spans="1:16" ht="15.75" customHeight="1">
      <c r="A38" s="48"/>
      <c r="B38" s="50"/>
      <c r="C38" s="48"/>
      <c r="D38" s="48"/>
      <c r="E38" s="5"/>
      <c r="F38" s="5"/>
      <c r="G38" s="5"/>
      <c r="J38" s="5"/>
      <c r="M38" s="51"/>
      <c r="N38" s="51"/>
    </row>
    <row r="39" spans="1:16" ht="15.75" customHeight="1">
      <c r="A39" s="48"/>
      <c r="B39" s="53"/>
      <c r="C39" s="48"/>
      <c r="D39" s="48"/>
      <c r="E39" s="5"/>
      <c r="F39" s="5"/>
      <c r="G39" s="5"/>
      <c r="J39" s="5"/>
      <c r="M39" s="51"/>
      <c r="N39" s="51"/>
    </row>
    <row r="40" spans="1:16" ht="15.75" customHeight="1">
      <c r="A40" s="48"/>
      <c r="B40" s="53"/>
      <c r="C40" s="48"/>
      <c r="D40" s="48"/>
      <c r="E40" s="5"/>
      <c r="F40" s="5"/>
      <c r="G40" s="5"/>
      <c r="J40" s="5"/>
      <c r="M40" s="51"/>
      <c r="N40" s="51"/>
    </row>
    <row r="41" spans="1:16" ht="15.75" customHeight="1">
      <c r="A41" s="48"/>
      <c r="B41" s="50"/>
      <c r="C41" s="48"/>
      <c r="D41" s="48"/>
      <c r="E41" s="5"/>
      <c r="F41" s="5"/>
      <c r="G41" s="5"/>
      <c r="J41" s="5"/>
      <c r="M41" s="51"/>
      <c r="N41" s="51"/>
    </row>
    <row r="42" spans="1:16" ht="15.75" customHeight="1">
      <c r="A42" s="48"/>
      <c r="B42" s="50"/>
      <c r="C42" s="48"/>
      <c r="D42" s="48"/>
      <c r="E42" s="5"/>
      <c r="F42" s="5"/>
      <c r="G42" s="5"/>
      <c r="J42" s="5"/>
      <c r="M42" s="51"/>
      <c r="N42" s="51"/>
    </row>
    <row r="43" spans="1:16" ht="15.75" customHeight="1">
      <c r="A43" s="48"/>
      <c r="B43" s="50"/>
      <c r="C43" s="48"/>
      <c r="D43" s="48"/>
      <c r="E43" s="5"/>
      <c r="F43" s="5"/>
      <c r="G43" s="5"/>
      <c r="J43" s="5"/>
      <c r="M43" s="51"/>
      <c r="N43" s="51"/>
    </row>
    <row r="44" spans="1:16" ht="15.75" customHeight="1">
      <c r="A44" s="48"/>
      <c r="B44" s="53"/>
      <c r="C44" s="48"/>
      <c r="D44" s="48"/>
      <c r="E44" s="5"/>
      <c r="F44" s="5"/>
      <c r="G44" s="5"/>
      <c r="J44" s="5"/>
      <c r="M44" s="51"/>
      <c r="N44" s="51"/>
    </row>
    <row r="45" spans="1:16" ht="15.75" customHeight="1">
      <c r="A45" s="48"/>
      <c r="B45" s="50"/>
      <c r="C45" s="48"/>
      <c r="D45" s="48"/>
      <c r="E45" s="5"/>
      <c r="F45" s="5"/>
      <c r="G45" s="5"/>
      <c r="J45" s="5"/>
      <c r="M45" s="51"/>
      <c r="N45" s="51"/>
      <c r="P45" s="5"/>
    </row>
    <row r="46" spans="1:16" ht="15.75" customHeight="1">
      <c r="A46" s="48"/>
      <c r="B46" s="53"/>
      <c r="C46" s="48"/>
      <c r="D46" s="48"/>
      <c r="E46" s="5"/>
      <c r="F46" s="5"/>
      <c r="G46" s="5"/>
      <c r="J46" s="5"/>
      <c r="M46" s="51"/>
      <c r="N46" s="51"/>
      <c r="P46" s="5"/>
    </row>
    <row r="47" spans="1:16" ht="15.75" customHeight="1">
      <c r="A47" s="48"/>
      <c r="B47" s="53"/>
      <c r="C47" s="48"/>
      <c r="D47" s="48"/>
      <c r="E47" s="5"/>
      <c r="F47" s="5"/>
      <c r="G47" s="5"/>
      <c r="J47" s="5"/>
      <c r="M47" s="5"/>
      <c r="N47" s="5"/>
      <c r="P47" s="5"/>
    </row>
    <row r="48" spans="1:16" ht="15.75" customHeight="1">
      <c r="A48" s="48"/>
      <c r="B48" s="53"/>
      <c r="C48" s="48"/>
      <c r="D48" s="48"/>
      <c r="E48" s="5"/>
      <c r="F48" s="5"/>
      <c r="G48" s="5"/>
      <c r="J48" s="5"/>
      <c r="M48" s="5"/>
      <c r="N48" s="5"/>
      <c r="P48" s="5"/>
    </row>
    <row r="49" spans="1:16" ht="15.75" customHeight="1">
      <c r="A49" s="48"/>
      <c r="B49" s="53"/>
      <c r="C49" s="48"/>
      <c r="D49" s="48"/>
      <c r="E49" s="5"/>
      <c r="F49" s="5"/>
      <c r="G49" s="5"/>
      <c r="J49" s="5"/>
      <c r="M49" s="5"/>
      <c r="N49" s="5"/>
      <c r="P49" s="5"/>
    </row>
    <row r="50" spans="1:16" ht="15.75" customHeight="1">
      <c r="A50" s="48"/>
      <c r="B50" s="53"/>
      <c r="C50" s="48"/>
      <c r="D50" s="48"/>
      <c r="E50" s="5"/>
      <c r="F50" s="5"/>
      <c r="G50" s="5"/>
      <c r="J50" s="5"/>
      <c r="M50" s="5"/>
      <c r="N50" s="5"/>
      <c r="P50" s="5"/>
    </row>
    <row r="51" spans="1:16" ht="15.75" customHeight="1">
      <c r="A51" s="48"/>
      <c r="B51" s="53"/>
      <c r="C51" s="48"/>
      <c r="D51" s="48"/>
      <c r="E51" s="5"/>
      <c r="F51" s="5"/>
      <c r="G51" s="5"/>
      <c r="J51" s="5"/>
      <c r="M51" s="5"/>
      <c r="N51" s="5"/>
      <c r="P51" s="5"/>
    </row>
    <row r="52" spans="1:16" ht="15.75" customHeight="1">
      <c r="A52" s="48"/>
      <c r="B52" s="50"/>
      <c r="C52" s="48"/>
      <c r="D52" s="48"/>
      <c r="E52" s="5"/>
      <c r="F52" s="5"/>
      <c r="G52" s="5"/>
      <c r="J52" s="5"/>
      <c r="M52" s="5"/>
      <c r="N52" s="5"/>
      <c r="P52" s="5"/>
    </row>
    <row r="53" spans="1:16" ht="13">
      <c r="A53" s="48"/>
      <c r="B53" s="50"/>
      <c r="C53" s="48"/>
      <c r="D53" s="48"/>
      <c r="E53" s="5"/>
      <c r="F53" s="5"/>
      <c r="G53" s="5"/>
      <c r="J53" s="5"/>
      <c r="M53" s="5"/>
      <c r="N53" s="5"/>
      <c r="P53" s="5"/>
    </row>
    <row r="54" spans="1:16" ht="13">
      <c r="A54" s="48"/>
      <c r="B54" s="50"/>
      <c r="C54" s="48"/>
      <c r="D54" s="48"/>
      <c r="E54" s="5"/>
      <c r="F54" s="5"/>
      <c r="G54" s="5"/>
      <c r="J54" s="5"/>
      <c r="M54" s="5"/>
      <c r="N54" s="5"/>
      <c r="P54" s="5"/>
    </row>
    <row r="55" spans="1:16" ht="13">
      <c r="A55" s="48"/>
      <c r="B55" s="50"/>
      <c r="C55" s="48"/>
      <c r="D55" s="48"/>
      <c r="E55" s="5"/>
      <c r="F55" s="5"/>
      <c r="G55" s="5"/>
      <c r="J55" s="5"/>
      <c r="M55" s="5"/>
      <c r="N55" s="5"/>
      <c r="P55" s="5"/>
    </row>
    <row r="56" spans="1:16" ht="13">
      <c r="A56" s="48"/>
      <c r="B56" s="50"/>
      <c r="C56" s="48"/>
      <c r="D56" s="48"/>
      <c r="E56" s="5"/>
      <c r="F56" s="5"/>
      <c r="G56" s="5"/>
      <c r="J56" s="5"/>
      <c r="M56" s="5"/>
      <c r="N56" s="5"/>
      <c r="P56" s="5"/>
    </row>
    <row r="57" spans="1:16" ht="13">
      <c r="A57" s="48"/>
      <c r="B57" s="50"/>
      <c r="C57" s="48"/>
      <c r="D57" s="48"/>
      <c r="E57" s="5"/>
      <c r="F57" s="5"/>
      <c r="G57" s="5"/>
      <c r="J57" s="5"/>
      <c r="M57" s="5"/>
      <c r="N57" s="5"/>
      <c r="P57" s="5"/>
    </row>
    <row r="58" spans="1:16" ht="13">
      <c r="A58" s="48"/>
      <c r="B58" s="53"/>
      <c r="C58" s="48"/>
      <c r="D58" s="48"/>
      <c r="E58" s="5"/>
      <c r="F58" s="5"/>
      <c r="G58" s="5"/>
      <c r="J58" s="5"/>
      <c r="M58" s="5"/>
      <c r="N58" s="5"/>
      <c r="P58" s="5"/>
    </row>
    <row r="59" spans="1:16" ht="13">
      <c r="A59" s="48"/>
      <c r="B59" s="53"/>
      <c r="C59" s="48"/>
      <c r="D59" s="48"/>
      <c r="E59" s="5"/>
      <c r="F59" s="5"/>
      <c r="G59" s="5"/>
      <c r="J59" s="5"/>
      <c r="M59" s="5"/>
      <c r="N59" s="5"/>
      <c r="P59" s="5"/>
    </row>
    <row r="60" spans="1:16" ht="13">
      <c r="A60" s="48"/>
      <c r="B60" s="53"/>
      <c r="C60" s="48"/>
      <c r="D60" s="48"/>
      <c r="E60" s="5"/>
      <c r="F60" s="5"/>
      <c r="G60" s="5"/>
      <c r="J60" s="5"/>
      <c r="M60" s="5"/>
      <c r="N60" s="5"/>
      <c r="P60" s="5"/>
    </row>
    <row r="61" spans="1:16" ht="13">
      <c r="A61" s="48"/>
      <c r="B61" s="50"/>
      <c r="C61" s="48"/>
      <c r="D61" s="48"/>
      <c r="E61" s="5"/>
      <c r="F61" s="5"/>
      <c r="G61" s="5"/>
      <c r="J61" s="5"/>
      <c r="M61" s="5"/>
      <c r="N61" s="5"/>
      <c r="P61" s="5"/>
    </row>
    <row r="62" spans="1:16" ht="13">
      <c r="A62" s="48"/>
      <c r="B62" s="50"/>
      <c r="C62" s="48"/>
      <c r="D62" s="48"/>
      <c r="E62" s="5"/>
      <c r="F62" s="5"/>
      <c r="G62" s="5"/>
      <c r="J62" s="5"/>
      <c r="M62" s="5"/>
      <c r="N62" s="5"/>
      <c r="P62" s="5"/>
    </row>
    <row r="63" spans="1:16" ht="13">
      <c r="A63" s="48"/>
      <c r="B63" s="50"/>
      <c r="C63" s="48"/>
      <c r="D63" s="48"/>
      <c r="E63" s="5"/>
      <c r="F63" s="5"/>
      <c r="G63" s="5"/>
      <c r="J63" s="5"/>
      <c r="M63" s="5"/>
      <c r="N63" s="5"/>
      <c r="P63" s="5"/>
    </row>
    <row r="64" spans="1:16" ht="13">
      <c r="A64" s="48"/>
      <c r="B64" s="50"/>
      <c r="C64" s="48"/>
      <c r="D64" s="48"/>
      <c r="E64" s="5"/>
      <c r="F64" s="5"/>
      <c r="G64" s="5"/>
      <c r="J64" s="5"/>
      <c r="M64" s="5"/>
      <c r="N64" s="5"/>
      <c r="P64" s="5"/>
    </row>
    <row r="65" spans="1:16" ht="13">
      <c r="A65" s="48"/>
      <c r="B65" s="53"/>
      <c r="C65" s="48"/>
      <c r="D65" s="48"/>
      <c r="E65" s="5"/>
      <c r="F65" s="5"/>
      <c r="G65" s="5"/>
      <c r="J65" s="5"/>
      <c r="M65" s="5"/>
      <c r="N65" s="5"/>
      <c r="P65" s="5"/>
    </row>
    <row r="66" spans="1:16" ht="13">
      <c r="A66" s="48"/>
      <c r="B66" s="53"/>
      <c r="C66" s="48"/>
      <c r="D66" s="48"/>
      <c r="E66" s="5"/>
      <c r="F66" s="5"/>
      <c r="G66" s="5"/>
      <c r="J66" s="5"/>
      <c r="M66" s="5"/>
      <c r="N66" s="5"/>
      <c r="P66" s="5"/>
    </row>
    <row r="67" spans="1:16" ht="13">
      <c r="A67" s="48"/>
      <c r="B67" s="53"/>
      <c r="C67" s="48"/>
      <c r="D67" s="48"/>
      <c r="E67" s="5"/>
      <c r="F67" s="5"/>
      <c r="G67" s="5"/>
      <c r="J67" s="5"/>
      <c r="M67" s="5"/>
      <c r="N67" s="5"/>
      <c r="P67" s="5"/>
    </row>
    <row r="68" spans="1:16" ht="13">
      <c r="A68" s="48"/>
      <c r="B68" s="53"/>
      <c r="C68" s="48"/>
      <c r="D68" s="48"/>
      <c r="E68" s="5"/>
      <c r="F68" s="5"/>
      <c r="G68" s="5"/>
      <c r="J68" s="5"/>
      <c r="M68" s="5"/>
      <c r="N68" s="5"/>
      <c r="P68" s="5"/>
    </row>
    <row r="69" spans="1:16" ht="13">
      <c r="A69" s="48"/>
      <c r="B69" s="50"/>
      <c r="C69" s="48"/>
      <c r="D69" s="48"/>
      <c r="E69" s="5"/>
      <c r="F69" s="5"/>
      <c r="G69" s="5"/>
      <c r="J69" s="5"/>
      <c r="M69" s="5"/>
      <c r="N69" s="5"/>
      <c r="P69" s="5"/>
    </row>
    <row r="70" spans="1:16" ht="13">
      <c r="A70" s="48"/>
      <c r="B70" s="50"/>
      <c r="C70" s="48"/>
      <c r="D70" s="48"/>
      <c r="E70" s="5"/>
      <c r="F70" s="5"/>
      <c r="G70" s="5"/>
      <c r="J70" s="5"/>
      <c r="M70" s="5"/>
      <c r="N70" s="5"/>
      <c r="P70" s="5"/>
    </row>
    <row r="71" spans="1:16" ht="13">
      <c r="A71" s="48"/>
      <c r="B71" s="53"/>
      <c r="C71" s="48"/>
      <c r="D71" s="48"/>
      <c r="E71" s="5"/>
      <c r="F71" s="5"/>
      <c r="G71" s="5"/>
      <c r="J71" s="5"/>
      <c r="M71" s="5"/>
      <c r="N71" s="5"/>
      <c r="P71" s="5"/>
    </row>
    <row r="72" spans="1:16" ht="13">
      <c r="A72" s="48"/>
      <c r="B72" s="50"/>
      <c r="C72" s="48"/>
      <c r="D72" s="48"/>
      <c r="E72" s="5"/>
      <c r="F72" s="5"/>
      <c r="G72" s="5"/>
      <c r="J72" s="5"/>
      <c r="M72" s="5"/>
      <c r="N72" s="5"/>
      <c r="P72" s="5"/>
    </row>
    <row r="73" spans="1:16" ht="13">
      <c r="A73" s="48"/>
      <c r="B73" s="50"/>
      <c r="C73" s="48"/>
      <c r="D73" s="48"/>
      <c r="E73" s="5"/>
      <c r="F73" s="5"/>
      <c r="G73" s="5"/>
      <c r="J73" s="5"/>
      <c r="M73" s="5"/>
      <c r="N73" s="5"/>
      <c r="P73" s="5"/>
    </row>
    <row r="74" spans="1:16" ht="13">
      <c r="A74" s="48"/>
      <c r="B74" s="53"/>
      <c r="C74" s="48"/>
      <c r="D74" s="48"/>
      <c r="E74" s="5"/>
      <c r="F74" s="5"/>
      <c r="G74" s="5"/>
      <c r="J74" s="5"/>
      <c r="M74" s="5"/>
      <c r="N74" s="5"/>
      <c r="P74" s="5"/>
    </row>
    <row r="75" spans="1:16" ht="13">
      <c r="A75" s="48"/>
      <c r="B75" s="53"/>
      <c r="C75" s="48"/>
      <c r="D75" s="48"/>
      <c r="E75" s="5"/>
      <c r="F75" s="5"/>
      <c r="G75" s="5"/>
      <c r="J75" s="5"/>
      <c r="M75" s="5"/>
      <c r="N75" s="5"/>
      <c r="P75" s="5"/>
    </row>
    <row r="76" spans="1:16" ht="13">
      <c r="A76" s="48"/>
      <c r="B76" s="53"/>
      <c r="C76" s="48"/>
      <c r="D76" s="48"/>
      <c r="E76" s="5"/>
      <c r="F76" s="5"/>
      <c r="G76" s="5"/>
      <c r="J76" s="5"/>
      <c r="M76" s="5"/>
      <c r="N76" s="5"/>
      <c r="P76" s="5"/>
    </row>
    <row r="77" spans="1:16" ht="13">
      <c r="A77" s="48"/>
      <c r="B77" s="53"/>
      <c r="C77" s="48"/>
      <c r="D77" s="48"/>
      <c r="E77" s="5"/>
      <c r="F77" s="5"/>
      <c r="G77" s="5"/>
      <c r="J77" s="5"/>
      <c r="M77" s="5"/>
      <c r="N77" s="5"/>
      <c r="P77" s="5"/>
    </row>
    <row r="78" spans="1:16" ht="13">
      <c r="A78" s="48"/>
      <c r="B78" s="53"/>
      <c r="C78" s="48"/>
      <c r="D78" s="48"/>
      <c r="E78" s="5"/>
      <c r="F78" s="5"/>
      <c r="G78" s="5"/>
      <c r="J78" s="5"/>
      <c r="M78" s="5"/>
      <c r="N78" s="5"/>
      <c r="P78" s="5"/>
    </row>
    <row r="79" spans="1:16" ht="13">
      <c r="A79" s="48"/>
      <c r="B79" s="53"/>
      <c r="C79" s="48"/>
      <c r="D79" s="48"/>
      <c r="E79" s="5"/>
      <c r="F79" s="5"/>
      <c r="G79" s="5"/>
      <c r="J79" s="5"/>
      <c r="M79" s="5"/>
      <c r="N79" s="5"/>
      <c r="P79" s="5"/>
    </row>
    <row r="80" spans="1:16" ht="13">
      <c r="A80" s="48"/>
      <c r="B80" s="50"/>
      <c r="C80" s="48"/>
      <c r="D80" s="48"/>
      <c r="E80" s="5"/>
      <c r="F80" s="5"/>
      <c r="G80" s="5"/>
      <c r="J80" s="5"/>
      <c r="M80" s="5"/>
      <c r="N80" s="5"/>
      <c r="P80" s="5"/>
    </row>
    <row r="81" spans="1:16" ht="13">
      <c r="A81" s="48"/>
      <c r="B81" s="50"/>
      <c r="C81" s="48"/>
      <c r="D81" s="48"/>
      <c r="E81" s="5"/>
      <c r="F81" s="5"/>
      <c r="G81" s="5"/>
      <c r="J81" s="5"/>
      <c r="M81" s="5"/>
      <c r="N81" s="5"/>
      <c r="P81" s="5"/>
    </row>
    <row r="82" spans="1:16" ht="13">
      <c r="A82" s="48"/>
      <c r="B82" s="50"/>
      <c r="C82" s="48"/>
      <c r="D82" s="48"/>
      <c r="E82" s="5"/>
      <c r="F82" s="5"/>
      <c r="G82" s="5"/>
      <c r="J82" s="5"/>
      <c r="M82" s="5"/>
      <c r="N82" s="5"/>
      <c r="P82" s="5"/>
    </row>
    <row r="83" spans="1:16" ht="13">
      <c r="A83" s="48"/>
      <c r="B83" s="50"/>
      <c r="C83" s="48"/>
      <c r="D83" s="48"/>
      <c r="E83" s="5"/>
      <c r="F83" s="5"/>
      <c r="G83" s="5"/>
      <c r="J83" s="5"/>
      <c r="M83" s="5"/>
      <c r="N83" s="5"/>
      <c r="P83" s="5"/>
    </row>
    <row r="84" spans="1:16" ht="13">
      <c r="A84" s="48"/>
      <c r="B84" s="50"/>
      <c r="C84" s="48"/>
      <c r="D84" s="48"/>
      <c r="E84" s="5"/>
      <c r="F84" s="5"/>
      <c r="G84" s="5"/>
      <c r="J84" s="5"/>
      <c r="M84" s="5"/>
      <c r="N84" s="5"/>
      <c r="P84" s="5"/>
    </row>
    <row r="85" spans="1:16" ht="13">
      <c r="A85" s="48"/>
      <c r="B85" s="50"/>
      <c r="C85" s="48"/>
      <c r="D85" s="48"/>
      <c r="E85" s="5"/>
      <c r="F85" s="5"/>
      <c r="G85" s="5"/>
      <c r="J85" s="5"/>
      <c r="M85" s="5"/>
      <c r="N85" s="5"/>
      <c r="P85" s="5"/>
    </row>
    <row r="86" spans="1:16" ht="13">
      <c r="A86" s="48"/>
      <c r="B86" s="50"/>
      <c r="C86" s="48"/>
      <c r="D86" s="48"/>
      <c r="E86" s="5"/>
      <c r="F86" s="5"/>
      <c r="G86" s="5"/>
      <c r="J86" s="5"/>
      <c r="M86" s="5"/>
      <c r="N86" s="5"/>
      <c r="P86" s="5"/>
    </row>
    <row r="87" spans="1:16" ht="13">
      <c r="A87" s="48"/>
      <c r="B87" s="50"/>
      <c r="C87" s="48"/>
      <c r="D87" s="48"/>
      <c r="E87" s="5"/>
      <c r="F87" s="5"/>
      <c r="G87" s="5"/>
      <c r="J87" s="5"/>
      <c r="M87" s="5"/>
      <c r="N87" s="5"/>
      <c r="P87" s="5"/>
    </row>
    <row r="88" spans="1:16" ht="13">
      <c r="A88" s="48"/>
      <c r="B88" s="50"/>
      <c r="C88" s="48"/>
      <c r="D88" s="48"/>
      <c r="E88" s="5"/>
      <c r="F88" s="5"/>
      <c r="G88" s="5"/>
      <c r="J88" s="5"/>
      <c r="M88" s="5"/>
      <c r="N88" s="5"/>
      <c r="P88" s="5"/>
    </row>
    <row r="89" spans="1:16" ht="13">
      <c r="A89" s="48"/>
      <c r="B89" s="50"/>
      <c r="C89" s="48"/>
      <c r="D89" s="48"/>
      <c r="E89" s="5"/>
      <c r="F89" s="5"/>
      <c r="G89" s="5"/>
      <c r="J89" s="5"/>
      <c r="M89" s="5"/>
      <c r="N89" s="5"/>
      <c r="P89" s="5"/>
    </row>
    <row r="90" spans="1:16" ht="13">
      <c r="A90" s="48"/>
      <c r="B90" s="53"/>
      <c r="C90" s="48"/>
      <c r="D90" s="48"/>
      <c r="E90" s="5"/>
      <c r="F90" s="5"/>
      <c r="G90" s="5"/>
      <c r="J90" s="5"/>
      <c r="M90" s="5"/>
      <c r="N90" s="5"/>
      <c r="P90" s="5"/>
    </row>
    <row r="91" spans="1:16" ht="13">
      <c r="A91" s="48"/>
      <c r="B91" s="53"/>
      <c r="C91" s="48"/>
      <c r="D91" s="48"/>
      <c r="E91" s="5"/>
      <c r="F91" s="5"/>
      <c r="G91" s="5"/>
      <c r="J91" s="5"/>
      <c r="M91" s="5"/>
      <c r="N91" s="5"/>
      <c r="P91" s="5"/>
    </row>
    <row r="92" spans="1:16" ht="13">
      <c r="A92" s="48"/>
      <c r="B92" s="53"/>
      <c r="C92" s="48"/>
      <c r="D92" s="48"/>
      <c r="E92" s="5"/>
      <c r="F92" s="5"/>
      <c r="G92" s="5"/>
      <c r="J92" s="5"/>
      <c r="M92" s="5"/>
      <c r="N92" s="5"/>
      <c r="P92" s="5"/>
    </row>
    <row r="93" spans="1:16" ht="13">
      <c r="A93" s="48"/>
      <c r="B93" s="53"/>
      <c r="C93" s="48"/>
      <c r="D93" s="48"/>
      <c r="E93" s="5"/>
      <c r="F93" s="5"/>
      <c r="G93" s="5"/>
      <c r="J93" s="5"/>
      <c r="M93" s="5"/>
      <c r="N93" s="5"/>
      <c r="P93" s="5"/>
    </row>
    <row r="94" spans="1:16" ht="13">
      <c r="A94" s="48"/>
      <c r="B94" s="50"/>
      <c r="C94" s="48"/>
      <c r="D94" s="48"/>
      <c r="E94" s="5"/>
      <c r="F94" s="5"/>
      <c r="G94" s="5"/>
      <c r="J94" s="5"/>
      <c r="M94" s="5"/>
      <c r="N94" s="5"/>
      <c r="P94" s="5"/>
    </row>
    <row r="95" spans="1:16" ht="13">
      <c r="A95" s="48"/>
      <c r="B95" s="50"/>
      <c r="C95" s="48"/>
      <c r="D95" s="48"/>
      <c r="E95" s="5"/>
      <c r="F95" s="5"/>
      <c r="G95" s="5"/>
      <c r="J95" s="5"/>
      <c r="M95" s="5"/>
      <c r="N95" s="5"/>
      <c r="P95" s="5"/>
    </row>
    <row r="96" spans="1:16" ht="13">
      <c r="A96" s="48"/>
      <c r="B96" s="50"/>
      <c r="C96" s="48"/>
      <c r="D96" s="48"/>
      <c r="E96" s="5"/>
      <c r="F96" s="5"/>
      <c r="G96" s="5"/>
      <c r="J96" s="5"/>
      <c r="M96" s="5"/>
      <c r="N96" s="5"/>
      <c r="P96" s="5"/>
    </row>
    <row r="97" spans="1:16" ht="13">
      <c r="A97" s="48"/>
      <c r="B97" s="53"/>
      <c r="C97" s="48"/>
      <c r="D97" s="48"/>
      <c r="E97" s="5"/>
      <c r="F97" s="5"/>
      <c r="G97" s="5"/>
      <c r="J97" s="5"/>
      <c r="M97" s="5"/>
      <c r="N97" s="5"/>
      <c r="P97" s="5"/>
    </row>
    <row r="98" spans="1:16" ht="13">
      <c r="A98" s="48"/>
      <c r="B98" s="50"/>
      <c r="C98" s="48"/>
      <c r="D98" s="48"/>
      <c r="E98" s="5"/>
      <c r="F98" s="5"/>
      <c r="G98" s="5"/>
      <c r="J98" s="5"/>
      <c r="M98" s="5"/>
      <c r="N98" s="5"/>
      <c r="P98" s="5"/>
    </row>
    <row r="99" spans="1:16" ht="13">
      <c r="A99" s="48"/>
      <c r="B99" s="50"/>
      <c r="C99" s="48"/>
      <c r="D99" s="48"/>
      <c r="E99" s="5"/>
      <c r="F99" s="5"/>
      <c r="G99" s="5"/>
      <c r="J99" s="5"/>
      <c r="M99" s="5"/>
      <c r="N99" s="5"/>
      <c r="P99" s="5"/>
    </row>
    <row r="100" spans="1:16" ht="13">
      <c r="A100" s="48"/>
      <c r="B100" s="53"/>
      <c r="C100" s="48"/>
      <c r="D100" s="48"/>
      <c r="E100" s="5"/>
      <c r="F100" s="5"/>
      <c r="G100" s="5"/>
      <c r="J100" s="5"/>
      <c r="M100" s="5"/>
      <c r="N100" s="5"/>
      <c r="P100" s="5"/>
    </row>
    <row r="101" spans="1:16" ht="13">
      <c r="A101" s="48"/>
      <c r="B101" s="50"/>
      <c r="C101" s="48"/>
      <c r="D101" s="48"/>
      <c r="E101" s="5"/>
      <c r="F101" s="5"/>
      <c r="G101" s="5"/>
      <c r="J101" s="5"/>
      <c r="M101" s="5"/>
      <c r="N101" s="5"/>
      <c r="P101" s="5"/>
    </row>
    <row r="102" spans="1:16" ht="13">
      <c r="A102" s="48"/>
      <c r="B102" s="50"/>
      <c r="C102" s="48"/>
      <c r="D102" s="48"/>
      <c r="E102" s="5"/>
      <c r="F102" s="5"/>
      <c r="G102" s="5"/>
      <c r="J102" s="5"/>
      <c r="M102" s="5"/>
      <c r="N102" s="5"/>
      <c r="P102" s="5"/>
    </row>
    <row r="103" spans="1:16" ht="13">
      <c r="A103" s="48"/>
      <c r="B103" s="53"/>
      <c r="C103" s="48"/>
      <c r="D103" s="48"/>
      <c r="E103" s="5"/>
      <c r="F103" s="5"/>
      <c r="G103" s="5"/>
      <c r="J103" s="5"/>
      <c r="M103" s="5"/>
      <c r="N103" s="5"/>
      <c r="P103" s="5"/>
    </row>
    <row r="104" spans="1:16" ht="13">
      <c r="A104" s="48"/>
      <c r="B104" s="53"/>
      <c r="C104" s="48"/>
      <c r="D104" s="48"/>
      <c r="E104" s="5"/>
      <c r="F104" s="5"/>
      <c r="G104" s="5"/>
      <c r="J104" s="5"/>
      <c r="M104" s="5"/>
      <c r="N104" s="5"/>
      <c r="P104" s="5"/>
    </row>
    <row r="105" spans="1:16" ht="13">
      <c r="A105" s="48"/>
      <c r="B105" s="50"/>
      <c r="C105" s="48"/>
      <c r="D105" s="48"/>
      <c r="E105" s="5"/>
      <c r="F105" s="5"/>
      <c r="G105" s="5"/>
      <c r="J105" s="5"/>
      <c r="M105" s="5"/>
      <c r="N105" s="5"/>
      <c r="P105" s="5"/>
    </row>
    <row r="106" spans="1:16" ht="13">
      <c r="A106" s="48"/>
      <c r="B106" s="50"/>
      <c r="C106" s="48"/>
      <c r="D106" s="48"/>
      <c r="E106" s="5"/>
      <c r="F106" s="5"/>
      <c r="G106" s="5"/>
      <c r="J106" s="5"/>
      <c r="M106" s="5"/>
      <c r="N106" s="5"/>
      <c r="P106" s="5"/>
    </row>
    <row r="107" spans="1:16" ht="13">
      <c r="A107" s="48"/>
      <c r="B107" s="50"/>
      <c r="C107" s="48"/>
      <c r="D107" s="48"/>
      <c r="E107" s="5"/>
      <c r="F107" s="5"/>
      <c r="G107" s="5"/>
      <c r="J107" s="5"/>
      <c r="M107" s="5"/>
      <c r="N107" s="5"/>
      <c r="P107" s="5"/>
    </row>
    <row r="108" spans="1:16" ht="13">
      <c r="A108" s="48"/>
      <c r="B108" s="53"/>
      <c r="C108" s="48"/>
      <c r="D108" s="48"/>
      <c r="E108" s="5"/>
      <c r="F108" s="5"/>
      <c r="G108" s="5"/>
      <c r="J108" s="5"/>
      <c r="M108" s="5"/>
      <c r="N108" s="5"/>
      <c r="P108" s="5"/>
    </row>
    <row r="109" spans="1:16" ht="13">
      <c r="A109" s="48"/>
      <c r="B109" s="53"/>
      <c r="C109" s="48"/>
      <c r="D109" s="48"/>
      <c r="E109" s="5"/>
      <c r="F109" s="5"/>
      <c r="G109" s="5"/>
      <c r="J109" s="5"/>
      <c r="M109" s="5"/>
      <c r="N109" s="5"/>
      <c r="P109" s="5"/>
    </row>
    <row r="110" spans="1:16" ht="13">
      <c r="A110" s="48"/>
      <c r="B110" s="53"/>
      <c r="C110" s="48"/>
      <c r="D110" s="48"/>
      <c r="E110" s="5"/>
      <c r="F110" s="5"/>
      <c r="G110" s="5"/>
      <c r="J110" s="5"/>
      <c r="M110" s="5"/>
      <c r="N110" s="5"/>
      <c r="P110" s="5"/>
    </row>
    <row r="111" spans="1:16" ht="13">
      <c r="A111" s="48"/>
      <c r="B111" s="50"/>
      <c r="C111" s="48"/>
      <c r="D111" s="48"/>
      <c r="E111" s="5"/>
      <c r="F111" s="5"/>
      <c r="G111" s="5"/>
      <c r="J111" s="5"/>
      <c r="M111" s="5"/>
      <c r="N111" s="5"/>
      <c r="P111" s="5"/>
    </row>
    <row r="112" spans="1:16" ht="13">
      <c r="A112" s="48"/>
      <c r="B112" s="53"/>
      <c r="C112" s="48"/>
      <c r="D112" s="48"/>
      <c r="E112" s="5"/>
      <c r="F112" s="5"/>
      <c r="G112" s="5"/>
      <c r="J112" s="5"/>
      <c r="M112" s="5"/>
      <c r="N112" s="5"/>
      <c r="P112" s="5"/>
    </row>
    <row r="113" spans="1:16" ht="13">
      <c r="A113" s="48"/>
      <c r="B113" s="53"/>
      <c r="C113" s="48"/>
      <c r="D113" s="48"/>
      <c r="E113" s="5"/>
      <c r="F113" s="5"/>
      <c r="G113" s="5"/>
      <c r="J113" s="5"/>
      <c r="M113" s="5"/>
      <c r="N113" s="5"/>
      <c r="P113" s="5"/>
    </row>
    <row r="114" spans="1:16" ht="13">
      <c r="A114" s="48"/>
      <c r="B114" s="53"/>
      <c r="C114" s="48"/>
      <c r="D114" s="48"/>
      <c r="E114" s="5"/>
      <c r="F114" s="5"/>
      <c r="G114" s="5"/>
      <c r="J114" s="5"/>
      <c r="M114" s="5"/>
      <c r="N114" s="5"/>
      <c r="P114" s="5"/>
    </row>
    <row r="115" spans="1:16" ht="13">
      <c r="A115" s="48"/>
      <c r="B115" s="50"/>
      <c r="C115" s="48"/>
      <c r="D115" s="48"/>
      <c r="E115" s="5"/>
      <c r="F115" s="5"/>
      <c r="G115" s="5"/>
      <c r="J115" s="5"/>
      <c r="M115" s="5"/>
      <c r="N115" s="5"/>
      <c r="P115" s="5"/>
    </row>
    <row r="116" spans="1:16" ht="13">
      <c r="A116" s="48"/>
      <c r="B116" s="50"/>
      <c r="C116" s="48"/>
      <c r="D116" s="48"/>
      <c r="E116" s="5"/>
      <c r="F116" s="5"/>
      <c r="G116" s="5"/>
      <c r="J116" s="5"/>
      <c r="M116" s="5"/>
      <c r="N116" s="5"/>
      <c r="P116" s="5"/>
    </row>
    <row r="117" spans="1:16" ht="13">
      <c r="A117" s="48"/>
      <c r="B117" s="50"/>
      <c r="C117" s="48"/>
      <c r="D117" s="48"/>
      <c r="E117" s="5"/>
      <c r="F117" s="5"/>
      <c r="G117" s="5"/>
      <c r="J117" s="5"/>
      <c r="M117" s="5"/>
      <c r="N117" s="5"/>
      <c r="P117" s="5"/>
    </row>
    <row r="118" spans="1:16" ht="13">
      <c r="A118" s="48"/>
      <c r="B118" s="50"/>
      <c r="C118" s="48"/>
      <c r="D118" s="48"/>
      <c r="E118" s="5"/>
      <c r="F118" s="5"/>
      <c r="G118" s="5"/>
      <c r="J118" s="5"/>
      <c r="M118" s="5"/>
      <c r="N118" s="5"/>
      <c r="P118" s="5"/>
    </row>
    <row r="119" spans="1:16" ht="13">
      <c r="A119" s="48"/>
      <c r="B119" s="50"/>
      <c r="C119" s="48"/>
      <c r="D119" s="48"/>
      <c r="E119" s="5"/>
      <c r="F119" s="5"/>
      <c r="G119" s="5"/>
      <c r="J119" s="5"/>
      <c r="M119" s="5"/>
      <c r="N119" s="5"/>
      <c r="P119" s="5"/>
    </row>
    <row r="120" spans="1:16" ht="13">
      <c r="A120" s="48"/>
      <c r="B120" s="50"/>
      <c r="C120" s="48"/>
      <c r="D120" s="48"/>
      <c r="E120" s="5"/>
      <c r="F120" s="5"/>
      <c r="G120" s="5"/>
      <c r="J120" s="5"/>
      <c r="M120" s="5"/>
      <c r="N120" s="5"/>
      <c r="P120" s="5"/>
    </row>
    <row r="121" spans="1:16" ht="13">
      <c r="A121" s="48"/>
      <c r="B121" s="50"/>
      <c r="C121" s="48"/>
      <c r="D121" s="48"/>
      <c r="E121" s="5"/>
      <c r="F121" s="5"/>
      <c r="G121" s="5"/>
      <c r="J121" s="5"/>
      <c r="M121" s="5"/>
      <c r="N121" s="5"/>
      <c r="P121" s="5"/>
    </row>
    <row r="122" spans="1:16" ht="13">
      <c r="A122" s="48"/>
      <c r="B122" s="50"/>
      <c r="C122" s="48"/>
      <c r="D122" s="48"/>
      <c r="E122" s="5"/>
      <c r="F122" s="5"/>
      <c r="G122" s="5"/>
      <c r="J122" s="5"/>
      <c r="M122" s="5"/>
      <c r="N122" s="5"/>
      <c r="P122" s="5"/>
    </row>
    <row r="123" spans="1:16" ht="13">
      <c r="A123" s="48"/>
      <c r="B123" s="50"/>
      <c r="C123" s="48"/>
      <c r="D123" s="48"/>
      <c r="E123" s="5"/>
      <c r="F123" s="5"/>
      <c r="G123" s="5"/>
      <c r="J123" s="5"/>
      <c r="M123" s="5"/>
      <c r="N123" s="5"/>
      <c r="P123" s="5"/>
    </row>
    <row r="124" spans="1:16" ht="13">
      <c r="A124" s="48"/>
      <c r="B124" s="50"/>
      <c r="C124" s="48"/>
      <c r="D124" s="48"/>
      <c r="E124" s="5"/>
      <c r="F124" s="5"/>
      <c r="G124" s="5"/>
      <c r="J124" s="5"/>
      <c r="M124" s="5"/>
      <c r="N124" s="5"/>
      <c r="P124" s="5"/>
    </row>
    <row r="125" spans="1:16" ht="13">
      <c r="A125" s="48"/>
      <c r="B125" s="50"/>
      <c r="C125" s="48"/>
      <c r="D125" s="48"/>
      <c r="E125" s="5"/>
      <c r="F125" s="5"/>
      <c r="G125" s="5"/>
      <c r="J125" s="5"/>
      <c r="M125" s="5"/>
      <c r="N125" s="5"/>
      <c r="P125" s="5"/>
    </row>
    <row r="126" spans="1:16" ht="13">
      <c r="A126" s="48"/>
      <c r="B126" s="50"/>
      <c r="C126" s="48"/>
      <c r="D126" s="48"/>
      <c r="E126" s="5"/>
      <c r="F126" s="5"/>
      <c r="G126" s="5"/>
      <c r="J126" s="5"/>
      <c r="M126" s="5"/>
      <c r="N126" s="5"/>
      <c r="P126" s="5"/>
    </row>
    <row r="127" spans="1:16" ht="13">
      <c r="A127" s="48"/>
      <c r="B127" s="53"/>
      <c r="C127" s="48"/>
      <c r="D127" s="48"/>
      <c r="E127" s="5"/>
      <c r="F127" s="5"/>
      <c r="G127" s="5"/>
      <c r="J127" s="5"/>
      <c r="M127" s="5"/>
      <c r="N127" s="5"/>
      <c r="P127" s="5"/>
    </row>
    <row r="128" spans="1:16" ht="13">
      <c r="A128" s="48"/>
      <c r="B128" s="53"/>
      <c r="C128" s="48"/>
      <c r="D128" s="48"/>
      <c r="E128" s="5"/>
      <c r="F128" s="5"/>
      <c r="G128" s="5"/>
      <c r="J128" s="5"/>
      <c r="M128" s="5"/>
      <c r="N128" s="5"/>
      <c r="P128" s="5"/>
    </row>
    <row r="129" spans="1:16" ht="13">
      <c r="A129" s="48"/>
      <c r="B129" s="53"/>
      <c r="C129" s="48"/>
      <c r="D129" s="48"/>
      <c r="E129" s="5"/>
      <c r="F129" s="5"/>
      <c r="G129" s="5"/>
      <c r="J129" s="5"/>
      <c r="M129" s="5"/>
      <c r="N129" s="5"/>
      <c r="P129" s="5"/>
    </row>
    <row r="130" spans="1:16" ht="13">
      <c r="A130" s="48"/>
      <c r="B130" s="53"/>
      <c r="C130" s="48"/>
      <c r="D130" s="48"/>
      <c r="E130" s="5"/>
      <c r="F130" s="5"/>
      <c r="G130" s="5"/>
      <c r="J130" s="5"/>
      <c r="M130" s="5"/>
      <c r="N130" s="5"/>
      <c r="P130" s="5"/>
    </row>
    <row r="131" spans="1:16" ht="13">
      <c r="A131" s="48"/>
      <c r="B131" s="53"/>
      <c r="C131" s="48"/>
      <c r="D131" s="48"/>
      <c r="E131" s="5"/>
      <c r="F131" s="5"/>
      <c r="G131" s="5"/>
      <c r="J131" s="5"/>
      <c r="M131" s="5"/>
      <c r="N131" s="5"/>
      <c r="P131" s="5"/>
    </row>
    <row r="132" spans="1:16" ht="13">
      <c r="A132" s="48"/>
      <c r="B132" s="53"/>
      <c r="C132" s="48"/>
      <c r="D132" s="48"/>
      <c r="E132" s="5"/>
      <c r="F132" s="5"/>
      <c r="G132" s="5"/>
      <c r="J132" s="5"/>
      <c r="M132" s="5"/>
      <c r="N132" s="5"/>
      <c r="P132" s="5"/>
    </row>
    <row r="133" spans="1:16" ht="13">
      <c r="A133" s="48"/>
      <c r="B133" s="53"/>
      <c r="C133" s="48"/>
      <c r="D133" s="48"/>
      <c r="E133" s="5"/>
      <c r="F133" s="5"/>
      <c r="G133" s="5"/>
      <c r="J133" s="5"/>
      <c r="M133" s="5"/>
      <c r="N133" s="5"/>
      <c r="P133" s="5"/>
    </row>
    <row r="134" spans="1:16" ht="13">
      <c r="A134" s="48"/>
      <c r="B134" s="53"/>
      <c r="C134" s="48"/>
      <c r="D134" s="48"/>
      <c r="E134" s="5"/>
      <c r="F134" s="5"/>
      <c r="G134" s="5"/>
      <c r="J134" s="5"/>
      <c r="M134" s="5"/>
      <c r="N134" s="5"/>
      <c r="P134" s="5"/>
    </row>
    <row r="135" spans="1:16" ht="13">
      <c r="A135" s="48"/>
      <c r="B135" s="53"/>
      <c r="C135" s="48"/>
      <c r="D135" s="48"/>
      <c r="E135" s="5"/>
      <c r="F135" s="5"/>
      <c r="G135" s="5"/>
      <c r="J135" s="5"/>
      <c r="M135" s="5"/>
      <c r="N135" s="5"/>
      <c r="P135" s="5"/>
    </row>
    <row r="136" spans="1:16" ht="13">
      <c r="A136" s="48"/>
      <c r="B136" s="53"/>
      <c r="C136" s="48"/>
      <c r="D136" s="48"/>
      <c r="E136" s="5"/>
      <c r="F136" s="5"/>
      <c r="G136" s="5"/>
      <c r="J136" s="5"/>
      <c r="M136" s="5"/>
      <c r="N136" s="5"/>
      <c r="P136" s="5"/>
    </row>
    <row r="137" spans="1:16" ht="13">
      <c r="A137" s="48"/>
      <c r="B137" s="50"/>
      <c r="C137" s="48"/>
      <c r="D137" s="48"/>
      <c r="E137" s="5"/>
      <c r="F137" s="5"/>
      <c r="G137" s="5"/>
      <c r="J137" s="5"/>
      <c r="M137" s="5"/>
      <c r="N137" s="5"/>
      <c r="P137" s="5"/>
    </row>
    <row r="138" spans="1:16" ht="13">
      <c r="A138" s="48"/>
      <c r="B138" s="50"/>
      <c r="C138" s="48"/>
      <c r="D138" s="48"/>
      <c r="E138" s="5"/>
      <c r="F138" s="5"/>
      <c r="G138" s="5"/>
      <c r="J138" s="5"/>
      <c r="M138" s="5"/>
      <c r="N138" s="5"/>
      <c r="P138" s="5"/>
    </row>
    <row r="139" spans="1:16" ht="13">
      <c r="A139" s="48"/>
      <c r="B139" s="53"/>
      <c r="C139" s="48"/>
      <c r="D139" s="48"/>
      <c r="E139" s="5"/>
      <c r="F139" s="5"/>
      <c r="G139" s="5"/>
      <c r="J139" s="5"/>
      <c r="M139" s="5"/>
      <c r="N139" s="5"/>
      <c r="P139" s="5"/>
    </row>
    <row r="140" spans="1:16" ht="13">
      <c r="A140" s="48"/>
      <c r="B140" s="53"/>
      <c r="C140" s="48"/>
      <c r="D140" s="48"/>
      <c r="E140" s="5"/>
      <c r="F140" s="5"/>
      <c r="G140" s="5"/>
      <c r="J140" s="5"/>
      <c r="M140" s="5"/>
      <c r="N140" s="5"/>
      <c r="P140" s="5"/>
    </row>
    <row r="141" spans="1:16" ht="13">
      <c r="A141" s="48"/>
      <c r="B141" s="53"/>
      <c r="C141" s="48"/>
      <c r="D141" s="48"/>
      <c r="E141" s="5"/>
      <c r="F141" s="5"/>
      <c r="G141" s="5"/>
      <c r="J141" s="5"/>
      <c r="M141" s="5"/>
      <c r="N141" s="5"/>
      <c r="P141" s="5"/>
    </row>
    <row r="142" spans="1:16" ht="13">
      <c r="A142" s="48"/>
      <c r="B142" s="53"/>
      <c r="C142" s="48"/>
      <c r="D142" s="48"/>
      <c r="E142" s="5"/>
      <c r="F142" s="5"/>
      <c r="G142" s="5"/>
      <c r="J142" s="5"/>
      <c r="M142" s="5"/>
      <c r="N142" s="5"/>
      <c r="P142" s="5"/>
    </row>
    <row r="143" spans="1:16" ht="13">
      <c r="A143" s="48"/>
      <c r="B143" s="50"/>
      <c r="C143" s="48"/>
      <c r="D143" s="48"/>
      <c r="E143" s="5"/>
      <c r="F143" s="5"/>
      <c r="G143" s="5"/>
      <c r="J143" s="5"/>
      <c r="M143" s="5"/>
      <c r="N143" s="5"/>
      <c r="P143" s="5"/>
    </row>
    <row r="144" spans="1:16" ht="13">
      <c r="A144" s="48"/>
      <c r="B144" s="50"/>
      <c r="C144" s="48"/>
      <c r="D144" s="48"/>
      <c r="E144" s="5"/>
      <c r="F144" s="5"/>
      <c r="G144" s="5"/>
      <c r="J144" s="5"/>
      <c r="M144" s="5"/>
      <c r="N144" s="5"/>
      <c r="P144" s="5"/>
    </row>
    <row r="145" spans="1:16" ht="13">
      <c r="A145" s="48"/>
      <c r="B145" s="50"/>
      <c r="C145" s="48"/>
      <c r="D145" s="48"/>
      <c r="E145" s="5"/>
      <c r="F145" s="5"/>
      <c r="G145" s="5"/>
      <c r="J145" s="5"/>
      <c r="M145" s="5"/>
      <c r="N145" s="5"/>
      <c r="P145" s="5"/>
    </row>
    <row r="146" spans="1:16" ht="13">
      <c r="A146" s="48"/>
      <c r="B146" s="50"/>
      <c r="C146" s="48"/>
      <c r="D146" s="48"/>
      <c r="E146" s="5"/>
      <c r="F146" s="5"/>
      <c r="G146" s="5"/>
      <c r="J146" s="5"/>
      <c r="M146" s="5"/>
      <c r="N146" s="5"/>
      <c r="P146" s="5"/>
    </row>
    <row r="147" spans="1:16" ht="13">
      <c r="A147" s="48"/>
      <c r="B147" s="50"/>
      <c r="C147" s="48"/>
      <c r="D147" s="48"/>
      <c r="E147" s="5"/>
      <c r="F147" s="5"/>
      <c r="G147" s="5"/>
      <c r="J147" s="5"/>
      <c r="M147" s="5"/>
      <c r="N147" s="5"/>
      <c r="P147" s="5"/>
    </row>
    <row r="148" spans="1:16" ht="13">
      <c r="A148" s="48"/>
      <c r="B148" s="50"/>
      <c r="C148" s="48"/>
      <c r="D148" s="48"/>
      <c r="E148" s="5"/>
      <c r="F148" s="5"/>
      <c r="G148" s="5"/>
      <c r="J148" s="5"/>
      <c r="M148" s="5"/>
      <c r="N148" s="5"/>
      <c r="P148" s="5"/>
    </row>
    <row r="149" spans="1:16" ht="13">
      <c r="A149" s="48"/>
      <c r="B149" s="50"/>
      <c r="C149" s="48"/>
      <c r="D149" s="48"/>
      <c r="E149" s="5"/>
      <c r="F149" s="5"/>
      <c r="G149" s="5"/>
      <c r="J149" s="5"/>
      <c r="M149" s="5"/>
      <c r="N149" s="5"/>
      <c r="P149" s="5"/>
    </row>
    <row r="150" spans="1:16" ht="13">
      <c r="A150" s="48"/>
      <c r="B150" s="53"/>
      <c r="C150" s="48"/>
      <c r="D150" s="48"/>
      <c r="E150" s="5"/>
      <c r="F150" s="5"/>
      <c r="G150" s="5"/>
      <c r="J150" s="5"/>
      <c r="M150" s="5"/>
      <c r="N150" s="5"/>
      <c r="P150" s="5"/>
    </row>
    <row r="151" spans="1:16" ht="13">
      <c r="A151" s="48"/>
      <c r="B151" s="53"/>
      <c r="C151" s="48"/>
      <c r="D151" s="48"/>
      <c r="E151" s="5"/>
      <c r="F151" s="5"/>
      <c r="G151" s="5"/>
      <c r="J151" s="5"/>
      <c r="M151" s="5"/>
      <c r="N151" s="5"/>
      <c r="P151" s="5"/>
    </row>
    <row r="152" spans="1:16" ht="13">
      <c r="A152" s="48"/>
      <c r="B152" s="53"/>
      <c r="C152" s="48"/>
      <c r="D152" s="48"/>
      <c r="E152" s="5"/>
      <c r="F152" s="5"/>
      <c r="G152" s="5"/>
      <c r="J152" s="5"/>
      <c r="M152" s="5"/>
      <c r="N152" s="5"/>
      <c r="P152" s="5"/>
    </row>
    <row r="153" spans="1:16" ht="13">
      <c r="A153" s="48"/>
      <c r="B153" s="53"/>
      <c r="C153" s="48"/>
      <c r="D153" s="48"/>
      <c r="E153" s="5"/>
      <c r="F153" s="5"/>
      <c r="G153" s="5"/>
      <c r="J153" s="5"/>
      <c r="M153" s="5"/>
      <c r="N153" s="5"/>
      <c r="P153" s="5"/>
    </row>
    <row r="154" spans="1:16" ht="13">
      <c r="A154" s="48"/>
      <c r="B154" s="53"/>
      <c r="C154" s="48"/>
      <c r="D154" s="48"/>
      <c r="E154" s="5"/>
      <c r="F154" s="5"/>
      <c r="G154" s="5"/>
      <c r="J154" s="5"/>
      <c r="M154" s="5"/>
      <c r="N154" s="5"/>
      <c r="P154" s="5"/>
    </row>
    <row r="155" spans="1:16" ht="13">
      <c r="A155" s="48"/>
      <c r="B155" s="53"/>
      <c r="C155" s="48"/>
      <c r="D155" s="48"/>
      <c r="E155" s="5"/>
      <c r="F155" s="5"/>
      <c r="G155" s="5"/>
      <c r="J155" s="5"/>
      <c r="M155" s="5"/>
      <c r="N155" s="5"/>
      <c r="P155" s="5"/>
    </row>
    <row r="156" spans="1:16" ht="13">
      <c r="A156" s="48"/>
      <c r="B156" s="53"/>
      <c r="C156" s="48"/>
      <c r="D156" s="48"/>
      <c r="E156" s="5"/>
      <c r="F156" s="5"/>
      <c r="G156" s="5"/>
      <c r="J156" s="5"/>
      <c r="M156" s="5"/>
      <c r="N156" s="5"/>
      <c r="P156" s="5"/>
    </row>
    <row r="157" spans="1:16" ht="13">
      <c r="A157" s="48"/>
      <c r="B157" s="53"/>
      <c r="C157" s="48"/>
      <c r="D157" s="48"/>
      <c r="E157" s="5"/>
      <c r="F157" s="5"/>
      <c r="G157" s="5"/>
      <c r="J157" s="5"/>
      <c r="M157" s="5"/>
      <c r="N157" s="5"/>
      <c r="P157" s="5"/>
    </row>
    <row r="158" spans="1:16" ht="13">
      <c r="A158" s="48"/>
      <c r="B158" s="53"/>
      <c r="C158" s="48"/>
      <c r="D158" s="48"/>
      <c r="E158" s="5"/>
      <c r="F158" s="5"/>
      <c r="G158" s="5"/>
      <c r="J158" s="5"/>
      <c r="M158" s="5"/>
      <c r="N158" s="5"/>
      <c r="P158" s="5"/>
    </row>
    <row r="159" spans="1:16" ht="13">
      <c r="A159" s="48"/>
      <c r="B159" s="50"/>
      <c r="C159" s="48"/>
      <c r="D159" s="48"/>
      <c r="E159" s="5"/>
      <c r="F159" s="5"/>
      <c r="G159" s="5"/>
      <c r="J159" s="5"/>
      <c r="M159" s="5"/>
      <c r="N159" s="5"/>
      <c r="P159" s="5"/>
    </row>
    <row r="160" spans="1:16" ht="13">
      <c r="A160" s="48"/>
      <c r="B160" s="50"/>
      <c r="C160" s="48"/>
      <c r="D160" s="48"/>
      <c r="E160" s="5"/>
      <c r="F160" s="5"/>
      <c r="G160" s="5"/>
      <c r="J160" s="5"/>
      <c r="M160" s="5"/>
      <c r="N160" s="5"/>
      <c r="P160" s="5"/>
    </row>
    <row r="161" spans="1:16" ht="13">
      <c r="A161" s="48"/>
      <c r="B161" s="53"/>
      <c r="C161" s="48"/>
      <c r="D161" s="48"/>
      <c r="E161" s="5"/>
      <c r="F161" s="5"/>
      <c r="G161" s="5"/>
      <c r="J161" s="5"/>
      <c r="M161" s="5"/>
      <c r="N161" s="5"/>
      <c r="P161" s="5"/>
    </row>
    <row r="162" spans="1:16" ht="13">
      <c r="A162" s="48"/>
      <c r="B162" s="53"/>
      <c r="C162" s="48"/>
      <c r="D162" s="48"/>
      <c r="E162" s="5"/>
      <c r="F162" s="5"/>
      <c r="G162" s="5"/>
      <c r="J162" s="5"/>
      <c r="M162" s="5"/>
      <c r="N162" s="5"/>
      <c r="P162" s="5"/>
    </row>
    <row r="163" spans="1:16" ht="13">
      <c r="A163" s="48"/>
      <c r="B163" s="50"/>
      <c r="C163" s="48"/>
      <c r="D163" s="48"/>
      <c r="E163" s="5"/>
      <c r="F163" s="5"/>
      <c r="G163" s="5"/>
      <c r="J163" s="5"/>
      <c r="M163" s="5"/>
      <c r="N163" s="5"/>
      <c r="P163" s="5"/>
    </row>
    <row r="164" spans="1:16" ht="13">
      <c r="A164" s="48"/>
      <c r="B164" s="53"/>
      <c r="C164" s="48"/>
      <c r="D164" s="48"/>
      <c r="E164" s="5"/>
      <c r="F164" s="5"/>
      <c r="G164" s="5"/>
      <c r="J164" s="5"/>
      <c r="M164" s="5"/>
      <c r="N164" s="5"/>
      <c r="P164" s="5"/>
    </row>
    <row r="165" spans="1:16" ht="13">
      <c r="A165" s="48"/>
      <c r="B165" s="53"/>
      <c r="C165" s="48"/>
      <c r="D165" s="48"/>
      <c r="E165" s="5"/>
      <c r="F165" s="5"/>
      <c r="G165" s="5"/>
      <c r="J165" s="5"/>
      <c r="M165" s="5"/>
      <c r="N165" s="5"/>
      <c r="P165" s="5"/>
    </row>
    <row r="166" spans="1:16" ht="13">
      <c r="A166" s="48"/>
      <c r="B166" s="50"/>
      <c r="C166" s="48"/>
      <c r="D166" s="48"/>
      <c r="E166" s="5"/>
      <c r="F166" s="5"/>
      <c r="G166" s="5"/>
      <c r="J166" s="5"/>
      <c r="M166" s="5"/>
      <c r="N166" s="5"/>
      <c r="P166" s="5"/>
    </row>
    <row r="167" spans="1:16" ht="13">
      <c r="A167" s="48"/>
      <c r="B167" s="50"/>
      <c r="C167" s="48"/>
      <c r="D167" s="48"/>
      <c r="E167" s="5"/>
      <c r="F167" s="5"/>
      <c r="G167" s="5"/>
      <c r="J167" s="5"/>
      <c r="M167" s="5"/>
      <c r="N167" s="5"/>
      <c r="P167" s="5"/>
    </row>
    <row r="168" spans="1:16" ht="13">
      <c r="A168" s="48"/>
      <c r="B168" s="50"/>
      <c r="C168" s="48"/>
      <c r="D168" s="48"/>
      <c r="E168" s="5"/>
      <c r="F168" s="5"/>
      <c r="G168" s="5"/>
      <c r="J168" s="5"/>
      <c r="M168" s="5"/>
      <c r="N168" s="5"/>
      <c r="P168" s="5"/>
    </row>
    <row r="169" spans="1:16" ht="13">
      <c r="A169" s="48"/>
      <c r="B169" s="50"/>
      <c r="C169" s="48"/>
      <c r="D169" s="48"/>
      <c r="E169" s="5"/>
      <c r="F169" s="5"/>
      <c r="G169" s="5"/>
      <c r="J169" s="5"/>
      <c r="M169" s="5"/>
      <c r="N169" s="5"/>
      <c r="P169" s="5"/>
    </row>
    <row r="170" spans="1:16" ht="13">
      <c r="A170" s="48"/>
      <c r="B170" s="50"/>
      <c r="C170" s="48"/>
      <c r="D170" s="48"/>
      <c r="E170" s="5"/>
      <c r="F170" s="5"/>
      <c r="G170" s="5"/>
      <c r="J170" s="5"/>
      <c r="M170" s="5"/>
      <c r="N170" s="5"/>
      <c r="P170" s="5"/>
    </row>
    <row r="171" spans="1:16" ht="13">
      <c r="A171" s="48"/>
      <c r="B171" s="50"/>
      <c r="C171" s="48"/>
      <c r="D171" s="48"/>
      <c r="E171" s="5"/>
      <c r="F171" s="5"/>
      <c r="G171" s="5"/>
      <c r="J171" s="5"/>
      <c r="M171" s="5"/>
      <c r="N171" s="5"/>
      <c r="P171" s="5"/>
    </row>
    <row r="172" spans="1:16" ht="13">
      <c r="A172" s="48"/>
      <c r="B172" s="50"/>
      <c r="C172" s="48"/>
      <c r="D172" s="48"/>
      <c r="E172" s="5"/>
      <c r="F172" s="5"/>
      <c r="G172" s="5"/>
      <c r="J172" s="5"/>
      <c r="M172" s="5"/>
      <c r="N172" s="5"/>
      <c r="P172" s="5"/>
    </row>
    <row r="173" spans="1:16" ht="13">
      <c r="A173" s="48"/>
      <c r="B173" s="53"/>
      <c r="C173" s="48"/>
      <c r="D173" s="48"/>
      <c r="E173" s="5"/>
      <c r="F173" s="5"/>
      <c r="G173" s="5"/>
      <c r="J173" s="5"/>
      <c r="M173" s="5"/>
      <c r="N173" s="5"/>
      <c r="P173" s="5"/>
    </row>
    <row r="174" spans="1:16" ht="13">
      <c r="A174" s="48"/>
      <c r="B174" s="53"/>
      <c r="C174" s="48"/>
      <c r="D174" s="48"/>
      <c r="E174" s="5"/>
      <c r="F174" s="5"/>
      <c r="G174" s="5"/>
      <c r="J174" s="5"/>
      <c r="M174" s="5"/>
      <c r="N174" s="5"/>
      <c r="P174" s="5"/>
    </row>
    <row r="175" spans="1:16" ht="13">
      <c r="A175" s="48"/>
      <c r="B175" s="53"/>
      <c r="C175" s="48"/>
      <c r="D175" s="48"/>
      <c r="E175" s="5"/>
      <c r="F175" s="5"/>
      <c r="G175" s="5"/>
      <c r="J175" s="5"/>
      <c r="M175" s="5"/>
      <c r="N175" s="5"/>
      <c r="P175" s="5"/>
    </row>
    <row r="176" spans="1:16" ht="13">
      <c r="A176" s="48"/>
      <c r="B176" s="50"/>
      <c r="C176" s="48"/>
      <c r="D176" s="48"/>
      <c r="E176" s="5"/>
      <c r="F176" s="5"/>
      <c r="G176" s="5"/>
      <c r="J176" s="5"/>
      <c r="M176" s="5"/>
      <c r="N176" s="5"/>
      <c r="P176" s="5"/>
    </row>
    <row r="177" spans="1:16" ht="13">
      <c r="A177" s="48"/>
      <c r="B177" s="53"/>
      <c r="C177" s="48"/>
      <c r="D177" s="48"/>
      <c r="E177" s="5"/>
      <c r="F177" s="5"/>
      <c r="G177" s="5"/>
      <c r="J177" s="5"/>
      <c r="M177" s="5"/>
      <c r="N177" s="5"/>
      <c r="P177" s="5"/>
    </row>
    <row r="178" spans="1:16" ht="13">
      <c r="A178" s="48"/>
      <c r="B178" s="53"/>
      <c r="C178" s="48"/>
      <c r="D178" s="48"/>
      <c r="E178" s="5"/>
      <c r="F178" s="5"/>
      <c r="G178" s="5"/>
      <c r="J178" s="5"/>
      <c r="M178" s="5"/>
      <c r="N178" s="5"/>
      <c r="P178" s="5"/>
    </row>
    <row r="179" spans="1:16" ht="13">
      <c r="A179" s="48"/>
      <c r="B179" s="50"/>
      <c r="C179" s="48"/>
      <c r="D179" s="48"/>
      <c r="E179" s="5"/>
      <c r="F179" s="5"/>
      <c r="G179" s="5"/>
      <c r="J179" s="5"/>
      <c r="M179" s="5"/>
      <c r="N179" s="5"/>
      <c r="P179" s="5"/>
    </row>
    <row r="180" spans="1:16" ht="13">
      <c r="A180" s="48"/>
      <c r="B180" s="53"/>
      <c r="C180" s="48"/>
      <c r="D180" s="48"/>
      <c r="E180" s="5"/>
      <c r="F180" s="5"/>
      <c r="G180" s="5"/>
      <c r="J180" s="5"/>
      <c r="M180" s="5"/>
      <c r="N180" s="5"/>
      <c r="P180" s="5"/>
    </row>
    <row r="181" spans="1:16" ht="13">
      <c r="A181" s="48"/>
      <c r="B181" s="53"/>
      <c r="C181" s="48"/>
      <c r="D181" s="48"/>
      <c r="E181" s="5"/>
      <c r="F181" s="5"/>
      <c r="G181" s="5"/>
      <c r="J181" s="5"/>
      <c r="M181" s="5"/>
      <c r="N181" s="5"/>
      <c r="P181" s="5"/>
    </row>
    <row r="182" spans="1:16" ht="13">
      <c r="A182" s="48"/>
      <c r="B182" s="53"/>
      <c r="C182" s="48"/>
      <c r="D182" s="48"/>
      <c r="E182" s="5"/>
      <c r="F182" s="5"/>
      <c r="G182" s="5"/>
      <c r="J182" s="5"/>
      <c r="M182" s="5"/>
      <c r="N182" s="5"/>
      <c r="P182" s="5"/>
    </row>
    <row r="183" spans="1:16" ht="13">
      <c r="A183" s="48"/>
      <c r="B183" s="53"/>
      <c r="C183" s="48"/>
      <c r="D183" s="48"/>
      <c r="E183" s="5"/>
      <c r="F183" s="5"/>
      <c r="G183" s="5"/>
      <c r="J183" s="5"/>
      <c r="M183" s="5"/>
      <c r="N183" s="5"/>
      <c r="P183" s="5"/>
    </row>
    <row r="184" spans="1:16" ht="13">
      <c r="A184" s="48"/>
      <c r="B184" s="50"/>
      <c r="C184" s="48"/>
      <c r="D184" s="48"/>
      <c r="E184" s="5"/>
      <c r="F184" s="5"/>
      <c r="G184" s="5"/>
      <c r="J184" s="5"/>
      <c r="M184" s="5"/>
      <c r="N184" s="5"/>
      <c r="P184" s="5"/>
    </row>
    <row r="185" spans="1:16" ht="13">
      <c r="A185" s="48"/>
      <c r="B185" s="50"/>
      <c r="C185" s="48"/>
      <c r="D185" s="48"/>
      <c r="E185" s="5"/>
      <c r="F185" s="5"/>
      <c r="G185" s="5"/>
      <c r="J185" s="5"/>
      <c r="M185" s="5"/>
      <c r="N185" s="5"/>
      <c r="P185" s="5"/>
    </row>
    <row r="186" spans="1:16" ht="13">
      <c r="A186" s="48"/>
      <c r="B186" s="50"/>
      <c r="C186" s="48"/>
      <c r="D186" s="48"/>
      <c r="E186" s="5"/>
      <c r="F186" s="5"/>
      <c r="G186" s="5"/>
      <c r="J186" s="5"/>
      <c r="M186" s="5"/>
      <c r="N186" s="5"/>
      <c r="P186" s="5"/>
    </row>
    <row r="187" spans="1:16" ht="13">
      <c r="A187" s="48"/>
      <c r="B187" s="50"/>
      <c r="C187" s="48"/>
      <c r="D187" s="48"/>
      <c r="E187" s="5"/>
      <c r="F187" s="5"/>
      <c r="G187" s="5"/>
      <c r="J187" s="5"/>
      <c r="M187" s="5"/>
      <c r="N187" s="5"/>
      <c r="P187" s="5"/>
    </row>
    <row r="188" spans="1:16" ht="13">
      <c r="A188" s="48"/>
      <c r="B188" s="53"/>
      <c r="C188" s="48"/>
      <c r="D188" s="48"/>
      <c r="E188" s="5"/>
      <c r="F188" s="5"/>
      <c r="G188" s="5"/>
      <c r="J188" s="5"/>
      <c r="M188" s="5"/>
      <c r="N188" s="5"/>
      <c r="P188" s="5"/>
    </row>
    <row r="189" spans="1:16" ht="13">
      <c r="A189" s="48"/>
      <c r="B189" s="53"/>
      <c r="C189" s="48"/>
      <c r="D189" s="48"/>
      <c r="E189" s="5"/>
      <c r="F189" s="5"/>
      <c r="G189" s="5"/>
      <c r="J189" s="5"/>
      <c r="M189" s="5"/>
      <c r="N189" s="5"/>
      <c r="P189" s="5"/>
    </row>
    <row r="190" spans="1:16" ht="13">
      <c r="A190" s="48"/>
      <c r="B190" s="53"/>
      <c r="C190" s="48"/>
      <c r="D190" s="48"/>
      <c r="E190" s="5"/>
      <c r="F190" s="5"/>
      <c r="G190" s="5"/>
      <c r="J190" s="5"/>
      <c r="M190" s="5"/>
      <c r="N190" s="5"/>
      <c r="P190" s="5"/>
    </row>
    <row r="191" spans="1:16" ht="13">
      <c r="A191" s="48"/>
      <c r="B191" s="53"/>
      <c r="C191" s="48"/>
      <c r="D191" s="48"/>
      <c r="E191" s="5"/>
      <c r="F191" s="5"/>
      <c r="G191" s="5"/>
      <c r="J191" s="5"/>
      <c r="M191" s="5"/>
      <c r="N191" s="5"/>
      <c r="P191" s="5"/>
    </row>
    <row r="192" spans="1:16" ht="13">
      <c r="A192" s="48"/>
      <c r="B192" s="50"/>
      <c r="C192" s="48"/>
      <c r="D192" s="48"/>
      <c r="E192" s="5"/>
      <c r="F192" s="5"/>
      <c r="G192" s="5"/>
      <c r="J192" s="5"/>
      <c r="M192" s="5"/>
      <c r="N192" s="5"/>
      <c r="P192" s="5"/>
    </row>
    <row r="193" spans="1:16" ht="13">
      <c r="A193" s="48"/>
      <c r="B193" s="50"/>
      <c r="C193" s="48"/>
      <c r="D193" s="48"/>
      <c r="E193" s="5"/>
      <c r="F193" s="5"/>
      <c r="G193" s="5"/>
      <c r="J193" s="5"/>
      <c r="M193" s="5"/>
      <c r="N193" s="5"/>
      <c r="P193" s="5"/>
    </row>
    <row r="194" spans="1:16" ht="13">
      <c r="A194" s="48"/>
      <c r="B194" s="50"/>
      <c r="C194" s="48"/>
      <c r="D194" s="48"/>
      <c r="E194" s="5"/>
      <c r="F194" s="5"/>
      <c r="G194" s="5"/>
      <c r="J194" s="5"/>
      <c r="M194" s="5"/>
      <c r="N194" s="5"/>
      <c r="P194" s="5"/>
    </row>
    <row r="195" spans="1:16" ht="13">
      <c r="A195" s="48"/>
      <c r="B195" s="50"/>
      <c r="C195" s="48"/>
      <c r="D195" s="48"/>
      <c r="E195" s="5"/>
      <c r="F195" s="5"/>
      <c r="G195" s="5"/>
      <c r="J195" s="5"/>
      <c r="M195" s="5"/>
      <c r="N195" s="5"/>
      <c r="P195" s="5"/>
    </row>
    <row r="196" spans="1:16" ht="13">
      <c r="A196" s="48"/>
      <c r="B196" s="50"/>
      <c r="C196" s="48"/>
      <c r="D196" s="48"/>
      <c r="E196" s="5"/>
      <c r="F196" s="5"/>
      <c r="G196" s="5"/>
      <c r="J196" s="5"/>
      <c r="M196" s="5"/>
      <c r="N196" s="5"/>
      <c r="P196" s="5"/>
    </row>
    <row r="197" spans="1:16" ht="13">
      <c r="A197" s="48"/>
      <c r="B197" s="50"/>
      <c r="C197" s="48"/>
      <c r="D197" s="48"/>
      <c r="E197" s="5"/>
      <c r="F197" s="5"/>
      <c r="G197" s="5"/>
      <c r="J197" s="5"/>
      <c r="M197" s="5"/>
      <c r="N197" s="5"/>
      <c r="P197" s="5"/>
    </row>
    <row r="198" spans="1:16" ht="13">
      <c r="A198" s="48"/>
      <c r="B198" s="50"/>
      <c r="C198" s="48"/>
      <c r="D198" s="48"/>
      <c r="E198" s="5"/>
      <c r="F198" s="5"/>
      <c r="G198" s="5"/>
      <c r="J198" s="5"/>
      <c r="M198" s="5"/>
      <c r="N198" s="5"/>
      <c r="P198" s="5"/>
    </row>
    <row r="199" spans="1:16" ht="13">
      <c r="A199" s="48"/>
      <c r="B199" s="50"/>
      <c r="C199" s="48"/>
      <c r="D199" s="48"/>
      <c r="E199" s="5"/>
      <c r="F199" s="5"/>
      <c r="G199" s="5"/>
      <c r="J199" s="5"/>
      <c r="M199" s="5"/>
      <c r="N199" s="5"/>
      <c r="P199" s="5"/>
    </row>
    <row r="200" spans="1:16" ht="13">
      <c r="A200" s="48"/>
      <c r="B200" s="50"/>
      <c r="C200" s="48"/>
      <c r="D200" s="48"/>
      <c r="E200" s="5"/>
      <c r="F200" s="5"/>
      <c r="G200" s="5"/>
      <c r="J200" s="5"/>
      <c r="M200" s="5"/>
      <c r="N200" s="5"/>
      <c r="P200" s="5"/>
    </row>
    <row r="201" spans="1:16" ht="13">
      <c r="A201" s="48"/>
      <c r="B201" s="50"/>
      <c r="C201" s="48"/>
      <c r="D201" s="48"/>
      <c r="E201" s="5"/>
      <c r="F201" s="5"/>
      <c r="G201" s="5"/>
      <c r="J201" s="5"/>
      <c r="M201" s="5"/>
      <c r="N201" s="5"/>
      <c r="P201" s="5"/>
    </row>
    <row r="202" spans="1:16" ht="13">
      <c r="A202" s="48"/>
      <c r="B202" s="50"/>
      <c r="C202" s="48"/>
      <c r="D202" s="48"/>
      <c r="E202" s="5"/>
      <c r="F202" s="5"/>
      <c r="G202" s="5"/>
      <c r="J202" s="5"/>
      <c r="M202" s="5"/>
      <c r="N202" s="5"/>
      <c r="P202" s="5"/>
    </row>
    <row r="203" spans="1:16" ht="13">
      <c r="A203" s="48"/>
      <c r="B203" s="50"/>
      <c r="C203" s="48"/>
      <c r="D203" s="48"/>
      <c r="E203" s="5"/>
      <c r="F203" s="5"/>
      <c r="G203" s="5"/>
      <c r="J203" s="5"/>
      <c r="M203" s="5"/>
      <c r="N203" s="5"/>
      <c r="P203" s="5"/>
    </row>
    <row r="204" spans="1:16" ht="13">
      <c r="A204" s="48"/>
      <c r="B204" s="50"/>
      <c r="C204" s="48"/>
      <c r="D204" s="48"/>
      <c r="E204" s="5"/>
      <c r="F204" s="5"/>
      <c r="G204" s="5"/>
      <c r="J204" s="5"/>
      <c r="M204" s="5"/>
      <c r="N204" s="5"/>
      <c r="P204" s="5"/>
    </row>
    <row r="205" spans="1:16" ht="13">
      <c r="A205" s="48"/>
      <c r="B205" s="50"/>
      <c r="C205" s="48"/>
      <c r="D205" s="48"/>
      <c r="E205" s="5"/>
      <c r="F205" s="5"/>
      <c r="G205" s="5"/>
      <c r="J205" s="5"/>
      <c r="M205" s="5"/>
      <c r="N205" s="5"/>
      <c r="P205" s="5"/>
    </row>
    <row r="206" spans="1:16" ht="13">
      <c r="A206" s="48"/>
      <c r="B206" s="53"/>
      <c r="C206" s="48"/>
      <c r="D206" s="48"/>
      <c r="E206" s="5"/>
      <c r="F206" s="5"/>
      <c r="G206" s="5"/>
      <c r="J206" s="5"/>
      <c r="M206" s="5"/>
      <c r="N206" s="5"/>
      <c r="P206" s="5"/>
    </row>
    <row r="207" spans="1:16" ht="13">
      <c r="A207" s="48"/>
      <c r="B207" s="53"/>
      <c r="C207" s="48"/>
      <c r="D207" s="48"/>
      <c r="E207" s="5"/>
      <c r="F207" s="5"/>
      <c r="G207" s="5"/>
      <c r="J207" s="5"/>
      <c r="M207" s="5"/>
      <c r="N207" s="5"/>
      <c r="P207" s="5"/>
    </row>
    <row r="208" spans="1:16" ht="13">
      <c r="A208" s="48"/>
      <c r="B208" s="50"/>
      <c r="C208" s="48"/>
      <c r="D208" s="48"/>
      <c r="E208" s="5"/>
      <c r="F208" s="5"/>
      <c r="G208" s="5"/>
      <c r="J208" s="5"/>
      <c r="M208" s="5"/>
      <c r="N208" s="5"/>
      <c r="P208" s="5"/>
    </row>
    <row r="209" spans="1:16" ht="13">
      <c r="A209" s="48"/>
      <c r="B209" s="53"/>
      <c r="C209" s="48"/>
      <c r="D209" s="48"/>
      <c r="E209" s="5"/>
      <c r="F209" s="5"/>
      <c r="G209" s="5"/>
      <c r="J209" s="5"/>
      <c r="M209" s="5"/>
      <c r="N209" s="5"/>
      <c r="P209" s="5"/>
    </row>
    <row r="210" spans="1:16" ht="13">
      <c r="A210" s="48"/>
      <c r="B210" s="53"/>
      <c r="C210" s="48"/>
      <c r="D210" s="48"/>
      <c r="E210" s="5"/>
      <c r="F210" s="5"/>
      <c r="G210" s="5"/>
      <c r="J210" s="5"/>
      <c r="M210" s="5"/>
      <c r="N210" s="5"/>
      <c r="P210" s="5"/>
    </row>
    <row r="211" spans="1:16" ht="13">
      <c r="A211" s="48"/>
      <c r="B211" s="50"/>
      <c r="C211" s="48"/>
      <c r="D211" s="48"/>
      <c r="E211" s="5"/>
      <c r="F211" s="5"/>
      <c r="G211" s="5"/>
      <c r="J211" s="5"/>
      <c r="M211" s="5"/>
      <c r="N211" s="5"/>
      <c r="P211" s="5"/>
    </row>
    <row r="212" spans="1:16" ht="13">
      <c r="A212" s="48"/>
      <c r="B212" s="50"/>
      <c r="C212" s="48"/>
      <c r="D212" s="48"/>
      <c r="E212" s="5"/>
      <c r="F212" s="5"/>
      <c r="G212" s="5"/>
      <c r="J212" s="5"/>
      <c r="M212" s="5"/>
      <c r="N212" s="5"/>
      <c r="P212" s="5"/>
    </row>
    <row r="213" spans="1:16" ht="13">
      <c r="A213" s="48"/>
      <c r="B213" s="50"/>
      <c r="C213" s="48"/>
      <c r="D213" s="48"/>
      <c r="E213" s="5"/>
      <c r="F213" s="5"/>
      <c r="G213" s="5"/>
      <c r="J213" s="5"/>
      <c r="M213" s="5"/>
      <c r="N213" s="5"/>
      <c r="P213" s="5"/>
    </row>
    <row r="214" spans="1:16" ht="13">
      <c r="A214" s="48"/>
      <c r="B214" s="50"/>
      <c r="C214" s="48"/>
      <c r="D214" s="48"/>
      <c r="E214" s="5"/>
      <c r="F214" s="5"/>
      <c r="G214" s="5"/>
      <c r="J214" s="5"/>
      <c r="M214" s="5"/>
      <c r="N214" s="5"/>
      <c r="P214" s="5"/>
    </row>
    <row r="215" spans="1:16" ht="13">
      <c r="A215" s="48"/>
      <c r="B215" s="50"/>
      <c r="C215" s="48"/>
      <c r="D215" s="48"/>
      <c r="E215" s="5"/>
      <c r="F215" s="5"/>
      <c r="G215" s="5"/>
      <c r="J215" s="5"/>
      <c r="M215" s="5"/>
      <c r="N215" s="5"/>
      <c r="P215" s="5"/>
    </row>
    <row r="216" spans="1:16" ht="13">
      <c r="A216" s="48"/>
      <c r="B216" s="50"/>
      <c r="C216" s="48"/>
      <c r="D216" s="48"/>
      <c r="E216" s="5"/>
      <c r="F216" s="5"/>
      <c r="G216" s="5"/>
      <c r="J216" s="5"/>
      <c r="M216" s="5"/>
      <c r="N216" s="5"/>
      <c r="P216" s="5"/>
    </row>
    <row r="217" spans="1:16" ht="13">
      <c r="A217" s="48"/>
      <c r="B217" s="50"/>
      <c r="C217" s="48"/>
      <c r="D217" s="48"/>
      <c r="E217" s="5"/>
      <c r="F217" s="5"/>
      <c r="G217" s="5"/>
      <c r="J217" s="5"/>
      <c r="M217" s="5"/>
      <c r="N217" s="5"/>
      <c r="P217" s="5"/>
    </row>
    <row r="218" spans="1:16" ht="13">
      <c r="A218" s="48"/>
      <c r="B218" s="50"/>
      <c r="C218" s="48"/>
      <c r="D218" s="48"/>
      <c r="E218" s="5"/>
      <c r="F218" s="5"/>
      <c r="G218" s="5"/>
      <c r="J218" s="5"/>
      <c r="M218" s="5"/>
      <c r="N218" s="5"/>
      <c r="P218" s="5"/>
    </row>
    <row r="219" spans="1:16" ht="13">
      <c r="A219" s="48"/>
      <c r="B219" s="50"/>
      <c r="C219" s="48"/>
      <c r="D219" s="48"/>
      <c r="E219" s="5"/>
      <c r="F219" s="5"/>
      <c r="G219" s="5"/>
      <c r="J219" s="5"/>
      <c r="M219" s="5"/>
      <c r="N219" s="5"/>
      <c r="P219" s="5"/>
    </row>
    <row r="220" spans="1:16" ht="13">
      <c r="A220" s="48"/>
      <c r="B220" s="50"/>
      <c r="C220" s="48"/>
      <c r="D220" s="48"/>
      <c r="E220" s="5"/>
      <c r="F220" s="5"/>
      <c r="G220" s="5"/>
      <c r="J220" s="5"/>
      <c r="M220" s="5"/>
      <c r="N220" s="5"/>
      <c r="P220" s="5"/>
    </row>
    <row r="221" spans="1:16" ht="13">
      <c r="A221" s="48"/>
      <c r="B221" s="50"/>
      <c r="C221" s="48"/>
      <c r="D221" s="48"/>
      <c r="E221" s="5"/>
      <c r="F221" s="5"/>
      <c r="G221" s="5"/>
      <c r="J221" s="5"/>
      <c r="M221" s="5"/>
      <c r="N221" s="5"/>
      <c r="P221" s="5"/>
    </row>
    <row r="222" spans="1:16" ht="13">
      <c r="B222" s="36"/>
      <c r="C222" s="37"/>
      <c r="D222" s="5"/>
      <c r="E222" s="5"/>
      <c r="F222" s="5"/>
      <c r="G222" s="5"/>
      <c r="J222" s="5"/>
      <c r="M222" s="5"/>
      <c r="N222" s="5"/>
      <c r="P222" s="5"/>
    </row>
    <row r="223" spans="1:16" ht="13">
      <c r="B223" s="36"/>
      <c r="C223" s="37"/>
      <c r="D223" s="5"/>
      <c r="E223" s="5"/>
      <c r="F223" s="5"/>
      <c r="G223" s="5"/>
      <c r="J223" s="5"/>
      <c r="M223" s="5"/>
      <c r="N223" s="5"/>
      <c r="P223" s="5"/>
    </row>
    <row r="224" spans="1:16" ht="13">
      <c r="B224" s="36"/>
      <c r="C224" s="37"/>
      <c r="D224" s="5"/>
      <c r="E224" s="5"/>
      <c r="F224" s="5"/>
      <c r="G224" s="5"/>
      <c r="J224" s="5"/>
      <c r="M224" s="5"/>
      <c r="N224" s="5"/>
      <c r="P224" s="5"/>
    </row>
    <row r="225" spans="2:16" ht="13">
      <c r="B225" s="36"/>
      <c r="C225" s="37"/>
      <c r="D225" s="5"/>
      <c r="E225" s="5"/>
      <c r="F225" s="5"/>
      <c r="G225" s="5"/>
      <c r="J225" s="5"/>
      <c r="M225" s="5"/>
      <c r="N225" s="5"/>
      <c r="P225" s="5"/>
    </row>
    <row r="226" spans="2:16" ht="13">
      <c r="B226" s="36"/>
      <c r="C226" s="37"/>
      <c r="D226" s="5"/>
      <c r="E226" s="5"/>
      <c r="F226" s="5"/>
      <c r="G226" s="5"/>
      <c r="J226" s="5"/>
      <c r="M226" s="5"/>
      <c r="N226" s="5"/>
      <c r="P226" s="5"/>
    </row>
    <row r="227" spans="2:16" ht="13">
      <c r="B227" s="36"/>
      <c r="C227" s="37"/>
      <c r="D227" s="5"/>
      <c r="E227" s="5"/>
      <c r="F227" s="5"/>
      <c r="G227" s="5"/>
      <c r="J227" s="5"/>
      <c r="M227" s="5"/>
      <c r="N227" s="5"/>
      <c r="P227" s="5"/>
    </row>
    <row r="228" spans="2:16" ht="13">
      <c r="B228" s="36"/>
      <c r="C228" s="37"/>
      <c r="D228" s="5"/>
      <c r="E228" s="5"/>
      <c r="F228" s="5"/>
      <c r="G228" s="5"/>
      <c r="J228" s="5"/>
      <c r="M228" s="5"/>
      <c r="N228" s="5"/>
      <c r="P228" s="5"/>
    </row>
    <row r="229" spans="2:16" ht="13">
      <c r="B229" s="36"/>
      <c r="C229" s="37"/>
      <c r="D229" s="5"/>
      <c r="E229" s="5"/>
      <c r="F229" s="5"/>
      <c r="G229" s="5"/>
      <c r="J229" s="5"/>
      <c r="M229" s="5"/>
      <c r="N229" s="5"/>
      <c r="P229" s="5"/>
    </row>
    <row r="230" spans="2:16" ht="13">
      <c r="B230" s="36"/>
      <c r="C230" s="37"/>
      <c r="D230" s="5"/>
      <c r="E230" s="5"/>
      <c r="F230" s="5"/>
      <c r="G230" s="5"/>
      <c r="J230" s="5"/>
      <c r="M230" s="5"/>
      <c r="N230" s="5"/>
      <c r="P230" s="5"/>
    </row>
    <row r="231" spans="2:16" ht="13">
      <c r="B231" s="36"/>
      <c r="C231" s="37"/>
      <c r="D231" s="5"/>
      <c r="E231" s="5"/>
      <c r="F231" s="5"/>
      <c r="G231" s="5"/>
      <c r="J231" s="5"/>
      <c r="M231" s="5"/>
      <c r="N231" s="5"/>
      <c r="P231" s="5"/>
    </row>
    <row r="232" spans="2:16" ht="13">
      <c r="B232" s="36"/>
      <c r="C232" s="37"/>
      <c r="D232" s="5"/>
      <c r="E232" s="5"/>
      <c r="F232" s="5"/>
      <c r="G232" s="5"/>
      <c r="J232" s="5"/>
      <c r="M232" s="5"/>
      <c r="N232" s="5"/>
      <c r="P232" s="5"/>
    </row>
    <row r="233" spans="2:16" ht="13">
      <c r="B233" s="36"/>
      <c r="C233" s="37"/>
      <c r="D233" s="5"/>
      <c r="E233" s="5"/>
      <c r="F233" s="5"/>
      <c r="G233" s="5"/>
      <c r="J233" s="5"/>
      <c r="M233" s="5"/>
      <c r="N233" s="5"/>
      <c r="P233" s="5"/>
    </row>
    <row r="234" spans="2:16" ht="13">
      <c r="B234" s="36"/>
      <c r="C234" s="37"/>
      <c r="D234" s="5"/>
      <c r="E234" s="5"/>
      <c r="F234" s="5"/>
      <c r="G234" s="5"/>
      <c r="J234" s="5"/>
      <c r="M234" s="5"/>
      <c r="N234" s="5"/>
      <c r="P234" s="5"/>
    </row>
    <row r="235" spans="2:16" ht="13">
      <c r="B235" s="36"/>
      <c r="C235" s="37"/>
      <c r="D235" s="5"/>
      <c r="E235" s="5"/>
      <c r="F235" s="5"/>
      <c r="G235" s="5"/>
      <c r="J235" s="5"/>
      <c r="M235" s="5"/>
      <c r="N235" s="5"/>
      <c r="P235" s="5"/>
    </row>
    <row r="236" spans="2:16" ht="13">
      <c r="B236" s="36"/>
      <c r="C236" s="37"/>
      <c r="D236" s="5"/>
      <c r="E236" s="5"/>
      <c r="F236" s="5"/>
      <c r="G236" s="5"/>
      <c r="J236" s="5"/>
      <c r="M236" s="5"/>
      <c r="N236" s="5"/>
      <c r="P236" s="5"/>
    </row>
    <row r="237" spans="2:16" ht="13">
      <c r="B237" s="36"/>
      <c r="C237" s="37"/>
      <c r="D237" s="5"/>
      <c r="E237" s="5"/>
      <c r="F237" s="5"/>
      <c r="G237" s="5"/>
      <c r="J237" s="5"/>
      <c r="M237" s="5"/>
      <c r="N237" s="5"/>
      <c r="P237" s="5"/>
    </row>
    <row r="238" spans="2:16" ht="13">
      <c r="B238" s="36"/>
      <c r="C238" s="37"/>
      <c r="D238" s="5"/>
      <c r="E238" s="5"/>
      <c r="F238" s="5"/>
      <c r="G238" s="5"/>
      <c r="J238" s="5"/>
      <c r="M238" s="5"/>
      <c r="N238" s="5"/>
      <c r="P238" s="5"/>
    </row>
    <row r="239" spans="2:16" ht="13">
      <c r="B239" s="36"/>
      <c r="C239" s="37"/>
      <c r="D239" s="5"/>
      <c r="E239" s="5"/>
      <c r="F239" s="5"/>
      <c r="G239" s="5"/>
      <c r="J239" s="5"/>
      <c r="M239" s="5"/>
      <c r="N239" s="5"/>
      <c r="P239" s="5"/>
    </row>
    <row r="240" spans="2:16" ht="13">
      <c r="B240" s="36"/>
      <c r="C240" s="37"/>
      <c r="D240" s="5"/>
      <c r="E240" s="5"/>
      <c r="F240" s="5"/>
      <c r="G240" s="5"/>
      <c r="J240" s="5"/>
      <c r="M240" s="5"/>
      <c r="N240" s="5"/>
      <c r="P240" s="5"/>
    </row>
    <row r="241" spans="2:16" ht="13">
      <c r="B241" s="36"/>
      <c r="C241" s="37"/>
      <c r="D241" s="5"/>
      <c r="E241" s="5"/>
      <c r="F241" s="5"/>
      <c r="G241" s="5"/>
      <c r="J241" s="5"/>
      <c r="M241" s="5"/>
      <c r="N241" s="5"/>
      <c r="P241" s="5"/>
    </row>
    <row r="242" spans="2:16" ht="13">
      <c r="B242" s="36"/>
      <c r="C242" s="37"/>
      <c r="D242" s="5"/>
      <c r="E242" s="5"/>
      <c r="F242" s="5"/>
      <c r="G242" s="5"/>
      <c r="J242" s="5"/>
      <c r="M242" s="5"/>
      <c r="N242" s="5"/>
      <c r="P242" s="5"/>
    </row>
    <row r="243" spans="2:16" ht="13">
      <c r="B243" s="36"/>
      <c r="C243" s="37"/>
      <c r="D243" s="5"/>
      <c r="E243" s="5"/>
      <c r="F243" s="5"/>
      <c r="G243" s="5"/>
      <c r="J243" s="5"/>
      <c r="M243" s="5"/>
      <c r="N243" s="5"/>
      <c r="P243" s="5"/>
    </row>
    <row r="244" spans="2:16" ht="13">
      <c r="B244" s="36"/>
      <c r="C244" s="37"/>
      <c r="D244" s="5"/>
      <c r="E244" s="5"/>
      <c r="F244" s="5"/>
      <c r="G244" s="5"/>
      <c r="J244" s="5"/>
      <c r="M244" s="5"/>
      <c r="N244" s="5"/>
      <c r="P244" s="5"/>
    </row>
    <row r="245" spans="2:16" ht="13">
      <c r="B245" s="36"/>
      <c r="C245" s="37"/>
      <c r="D245" s="5"/>
      <c r="E245" s="5"/>
      <c r="F245" s="5"/>
      <c r="G245" s="5"/>
      <c r="J245" s="5"/>
      <c r="M245" s="5"/>
      <c r="N245" s="5"/>
      <c r="P245" s="5"/>
    </row>
    <row r="246" spans="2:16" ht="13">
      <c r="B246" s="36"/>
      <c r="C246" s="37"/>
      <c r="D246" s="5"/>
      <c r="E246" s="5"/>
      <c r="F246" s="5"/>
      <c r="G246" s="5"/>
      <c r="J246" s="5"/>
      <c r="M246" s="5"/>
      <c r="N246" s="5"/>
      <c r="P246" s="5"/>
    </row>
    <row r="247" spans="2:16" ht="13">
      <c r="B247" s="36"/>
      <c r="C247" s="37"/>
      <c r="D247" s="5"/>
      <c r="E247" s="5"/>
      <c r="F247" s="5"/>
      <c r="G247" s="5"/>
      <c r="J247" s="5"/>
      <c r="M247" s="5"/>
      <c r="N247" s="5"/>
      <c r="P247" s="5"/>
    </row>
    <row r="248" spans="2:16" ht="13">
      <c r="B248" s="36"/>
      <c r="C248" s="37"/>
      <c r="D248" s="5"/>
      <c r="E248" s="5"/>
      <c r="F248" s="5"/>
      <c r="G248" s="5"/>
      <c r="J248" s="5"/>
      <c r="M248" s="5"/>
      <c r="N248" s="5"/>
      <c r="P248" s="5"/>
    </row>
    <row r="249" spans="2:16" ht="13">
      <c r="B249" s="36"/>
      <c r="C249" s="37"/>
      <c r="D249" s="5"/>
      <c r="E249" s="5"/>
      <c r="F249" s="5"/>
      <c r="G249" s="5"/>
      <c r="J249" s="5"/>
      <c r="M249" s="5"/>
      <c r="N249" s="5"/>
      <c r="P249" s="5"/>
    </row>
    <row r="250" spans="2:16" ht="13">
      <c r="B250" s="36"/>
      <c r="C250" s="37"/>
      <c r="D250" s="5"/>
      <c r="E250" s="5"/>
      <c r="F250" s="5"/>
      <c r="G250" s="5"/>
      <c r="J250" s="5"/>
      <c r="M250" s="5"/>
      <c r="N250" s="5"/>
      <c r="P250" s="5"/>
    </row>
    <row r="251" spans="2:16" ht="13">
      <c r="B251" s="36"/>
      <c r="C251" s="37"/>
      <c r="D251" s="5"/>
      <c r="E251" s="5"/>
      <c r="F251" s="5"/>
      <c r="G251" s="5"/>
      <c r="J251" s="5"/>
      <c r="M251" s="5"/>
      <c r="N251" s="5"/>
      <c r="P251" s="5"/>
    </row>
    <row r="252" spans="2:16" ht="13">
      <c r="B252" s="36"/>
      <c r="C252" s="37"/>
      <c r="D252" s="5"/>
      <c r="E252" s="5"/>
      <c r="F252" s="5"/>
      <c r="G252" s="5"/>
      <c r="J252" s="5"/>
      <c r="M252" s="5"/>
      <c r="N252" s="5"/>
      <c r="P252" s="5"/>
    </row>
    <row r="253" spans="2:16" ht="13">
      <c r="B253" s="36"/>
      <c r="C253" s="37"/>
      <c r="D253" s="5"/>
      <c r="E253" s="5"/>
      <c r="F253" s="5"/>
      <c r="G253" s="5"/>
      <c r="J253" s="5"/>
      <c r="M253" s="5"/>
      <c r="N253" s="5"/>
      <c r="P253" s="5"/>
    </row>
    <row r="254" spans="2:16" ht="13">
      <c r="B254" s="36"/>
      <c r="C254" s="37"/>
      <c r="D254" s="5"/>
      <c r="E254" s="5"/>
      <c r="F254" s="5"/>
      <c r="G254" s="5"/>
      <c r="J254" s="5"/>
      <c r="M254" s="5"/>
      <c r="N254" s="5"/>
      <c r="P254" s="5"/>
    </row>
    <row r="255" spans="2:16" ht="13">
      <c r="B255" s="36"/>
      <c r="C255" s="37"/>
      <c r="D255" s="5"/>
      <c r="E255" s="5"/>
      <c r="F255" s="5"/>
      <c r="G255" s="5"/>
      <c r="J255" s="5"/>
      <c r="M255" s="5"/>
      <c r="N255" s="5"/>
      <c r="P255" s="5"/>
    </row>
    <row r="256" spans="2:16" ht="13">
      <c r="B256" s="36"/>
      <c r="C256" s="37"/>
      <c r="D256" s="5"/>
      <c r="E256" s="5"/>
      <c r="F256" s="5"/>
      <c r="G256" s="5"/>
      <c r="J256" s="5"/>
      <c r="M256" s="5"/>
      <c r="N256" s="5"/>
      <c r="P256" s="5"/>
    </row>
    <row r="257" spans="2:16" ht="13">
      <c r="B257" s="36"/>
      <c r="C257" s="37"/>
      <c r="D257" s="5"/>
      <c r="E257" s="5"/>
      <c r="F257" s="5"/>
      <c r="G257" s="5"/>
      <c r="J257" s="5"/>
      <c r="M257" s="5"/>
      <c r="N257" s="5"/>
      <c r="P257" s="5"/>
    </row>
    <row r="258" spans="2:16" ht="13">
      <c r="B258" s="36"/>
      <c r="C258" s="37"/>
      <c r="D258" s="5"/>
      <c r="E258" s="5"/>
      <c r="F258" s="5"/>
      <c r="G258" s="5"/>
      <c r="J258" s="5"/>
      <c r="M258" s="5"/>
      <c r="N258" s="5"/>
      <c r="P258" s="5"/>
    </row>
    <row r="259" spans="2:16" ht="13">
      <c r="B259" s="36"/>
      <c r="C259" s="37"/>
      <c r="D259" s="5"/>
      <c r="E259" s="5"/>
      <c r="F259" s="5"/>
      <c r="G259" s="5"/>
      <c r="J259" s="5"/>
      <c r="M259" s="5"/>
      <c r="N259" s="5"/>
      <c r="P259" s="5"/>
    </row>
    <row r="260" spans="2:16" ht="13">
      <c r="B260" s="36"/>
      <c r="C260" s="37"/>
      <c r="D260" s="5"/>
      <c r="E260" s="5"/>
      <c r="F260" s="5"/>
      <c r="G260" s="5"/>
      <c r="J260" s="5"/>
      <c r="M260" s="5"/>
      <c r="N260" s="5"/>
      <c r="P260" s="5"/>
    </row>
    <row r="261" spans="2:16" ht="13">
      <c r="B261" s="36"/>
      <c r="C261" s="37"/>
      <c r="D261" s="5"/>
      <c r="E261" s="5"/>
      <c r="F261" s="5"/>
      <c r="G261" s="5"/>
      <c r="J261" s="5"/>
      <c r="M261" s="5"/>
      <c r="N261" s="5"/>
      <c r="P261" s="5"/>
    </row>
    <row r="262" spans="2:16" ht="13">
      <c r="B262" s="36"/>
      <c r="C262" s="37"/>
      <c r="D262" s="5"/>
      <c r="E262" s="5"/>
      <c r="F262" s="5"/>
      <c r="G262" s="5"/>
      <c r="J262" s="5"/>
      <c r="M262" s="5"/>
      <c r="N262" s="5"/>
      <c r="P262" s="5"/>
    </row>
    <row r="263" spans="2:16" ht="13">
      <c r="B263" s="36"/>
      <c r="C263" s="37"/>
      <c r="D263" s="5"/>
      <c r="E263" s="5"/>
      <c r="F263" s="5"/>
      <c r="G263" s="5"/>
      <c r="J263" s="5"/>
      <c r="M263" s="5"/>
      <c r="N263" s="5"/>
      <c r="P263" s="5"/>
    </row>
    <row r="264" spans="2:16" ht="13">
      <c r="B264" s="36"/>
      <c r="C264" s="37"/>
      <c r="D264" s="5"/>
      <c r="E264" s="5"/>
      <c r="F264" s="5"/>
      <c r="G264" s="5"/>
      <c r="J264" s="5"/>
      <c r="M264" s="5"/>
      <c r="N264" s="5"/>
      <c r="P264" s="5"/>
    </row>
    <row r="265" spans="2:16" ht="13">
      <c r="B265" s="36"/>
      <c r="C265" s="37"/>
      <c r="D265" s="5"/>
      <c r="E265" s="5"/>
      <c r="F265" s="5"/>
      <c r="G265" s="5"/>
      <c r="J265" s="5"/>
      <c r="M265" s="5"/>
      <c r="N265" s="5"/>
      <c r="P265" s="5"/>
    </row>
    <row r="266" spans="2:16" ht="13">
      <c r="B266" s="36"/>
      <c r="C266" s="37"/>
      <c r="D266" s="5"/>
      <c r="E266" s="5"/>
      <c r="F266" s="5"/>
      <c r="G266" s="5"/>
      <c r="J266" s="5"/>
      <c r="M266" s="5"/>
      <c r="N266" s="5"/>
      <c r="P266" s="5"/>
    </row>
    <row r="267" spans="2:16" ht="13">
      <c r="B267" s="36"/>
      <c r="C267" s="37"/>
      <c r="D267" s="5"/>
      <c r="E267" s="5"/>
      <c r="F267" s="5"/>
      <c r="G267" s="5"/>
      <c r="J267" s="5"/>
      <c r="M267" s="5"/>
      <c r="N267" s="5"/>
      <c r="P267" s="5"/>
    </row>
    <row r="268" spans="2:16" ht="13">
      <c r="B268" s="36"/>
      <c r="C268" s="37"/>
      <c r="D268" s="5"/>
      <c r="E268" s="5"/>
      <c r="F268" s="5"/>
      <c r="G268" s="5"/>
      <c r="J268" s="5"/>
      <c r="M268" s="5"/>
      <c r="N268" s="5"/>
      <c r="P268" s="5"/>
    </row>
    <row r="269" spans="2:16" ht="13">
      <c r="B269" s="36"/>
      <c r="C269" s="37"/>
      <c r="D269" s="5"/>
      <c r="E269" s="5"/>
      <c r="F269" s="5"/>
      <c r="G269" s="5"/>
      <c r="J269" s="5"/>
      <c r="M269" s="5"/>
      <c r="N269" s="5"/>
      <c r="P269" s="5"/>
    </row>
    <row r="270" spans="2:16" ht="13">
      <c r="B270" s="36"/>
      <c r="C270" s="37"/>
      <c r="D270" s="5"/>
      <c r="E270" s="5"/>
      <c r="F270" s="5"/>
      <c r="G270" s="5"/>
      <c r="J270" s="5"/>
      <c r="M270" s="5"/>
      <c r="N270" s="5"/>
      <c r="P270" s="5"/>
    </row>
    <row r="271" spans="2:16" ht="13">
      <c r="B271" s="36"/>
      <c r="C271" s="37"/>
      <c r="D271" s="5"/>
      <c r="E271" s="5"/>
      <c r="F271" s="5"/>
      <c r="G271" s="5"/>
      <c r="J271" s="5"/>
      <c r="M271" s="5"/>
      <c r="N271" s="5"/>
      <c r="P271" s="5"/>
    </row>
    <row r="272" spans="2:16" ht="13">
      <c r="B272" s="36"/>
      <c r="C272" s="37"/>
      <c r="D272" s="5"/>
      <c r="E272" s="5"/>
      <c r="F272" s="5"/>
      <c r="G272" s="5"/>
      <c r="J272" s="5"/>
      <c r="M272" s="5"/>
      <c r="N272" s="5"/>
      <c r="P272" s="5"/>
    </row>
    <row r="273" spans="2:16" ht="13">
      <c r="B273" s="36"/>
      <c r="C273" s="37"/>
      <c r="D273" s="5"/>
      <c r="E273" s="5"/>
      <c r="F273" s="5"/>
      <c r="G273" s="5"/>
      <c r="J273" s="5"/>
      <c r="M273" s="5"/>
      <c r="N273" s="5"/>
      <c r="P273" s="5"/>
    </row>
    <row r="274" spans="2:16" ht="13">
      <c r="B274" s="36"/>
      <c r="C274" s="37"/>
      <c r="D274" s="5"/>
      <c r="E274" s="5"/>
      <c r="F274" s="5"/>
      <c r="G274" s="5"/>
      <c r="J274" s="5"/>
      <c r="M274" s="5"/>
      <c r="N274" s="5"/>
      <c r="P274" s="5"/>
    </row>
    <row r="275" spans="2:16" ht="13">
      <c r="B275" s="36"/>
      <c r="C275" s="37"/>
      <c r="D275" s="5"/>
      <c r="E275" s="5"/>
      <c r="F275" s="5"/>
      <c r="G275" s="5"/>
      <c r="J275" s="5"/>
      <c r="M275" s="5"/>
      <c r="N275" s="5"/>
      <c r="P275" s="5"/>
    </row>
    <row r="276" spans="2:16" ht="13">
      <c r="B276" s="36"/>
      <c r="C276" s="37"/>
      <c r="D276" s="5"/>
      <c r="E276" s="5"/>
      <c r="F276" s="5"/>
      <c r="G276" s="5"/>
      <c r="J276" s="5"/>
      <c r="M276" s="5"/>
      <c r="N276" s="5"/>
      <c r="P276" s="5"/>
    </row>
    <row r="277" spans="2:16" ht="13">
      <c r="B277" s="36"/>
      <c r="C277" s="37"/>
      <c r="D277" s="5"/>
      <c r="E277" s="5"/>
      <c r="F277" s="5"/>
      <c r="G277" s="5"/>
      <c r="J277" s="5"/>
      <c r="M277" s="5"/>
      <c r="N277" s="5"/>
      <c r="P277" s="5"/>
    </row>
    <row r="278" spans="2:16" ht="13">
      <c r="B278" s="36"/>
      <c r="C278" s="37"/>
      <c r="D278" s="5"/>
      <c r="E278" s="5"/>
      <c r="F278" s="5"/>
      <c r="G278" s="5"/>
      <c r="J278" s="5"/>
      <c r="M278" s="5"/>
      <c r="N278" s="5"/>
      <c r="P278" s="5"/>
    </row>
    <row r="279" spans="2:16" ht="13">
      <c r="B279" s="36"/>
      <c r="C279" s="37"/>
      <c r="D279" s="5"/>
      <c r="E279" s="5"/>
      <c r="F279" s="5"/>
      <c r="G279" s="5"/>
      <c r="J279" s="5"/>
      <c r="M279" s="5"/>
      <c r="N279" s="5"/>
      <c r="P279" s="5"/>
    </row>
    <row r="280" spans="2:16" ht="13">
      <c r="B280" s="36"/>
      <c r="C280" s="37"/>
      <c r="D280" s="5"/>
      <c r="E280" s="5"/>
      <c r="F280" s="5"/>
      <c r="G280" s="5"/>
      <c r="J280" s="5"/>
      <c r="M280" s="5"/>
      <c r="N280" s="5"/>
      <c r="P280" s="5"/>
    </row>
    <row r="281" spans="2:16" ht="13">
      <c r="B281" s="36"/>
      <c r="C281" s="37"/>
      <c r="D281" s="5"/>
      <c r="E281" s="5"/>
      <c r="F281" s="5"/>
      <c r="G281" s="5"/>
      <c r="J281" s="5"/>
      <c r="M281" s="5"/>
      <c r="N281" s="5"/>
      <c r="P281" s="5"/>
    </row>
    <row r="282" spans="2:16" ht="13">
      <c r="B282" s="36"/>
      <c r="C282" s="37"/>
      <c r="D282" s="5"/>
      <c r="E282" s="5"/>
      <c r="F282" s="5"/>
      <c r="G282" s="5"/>
      <c r="J282" s="5"/>
      <c r="M282" s="5"/>
      <c r="N282" s="5"/>
      <c r="P282" s="5"/>
    </row>
    <row r="283" spans="2:16" ht="13">
      <c r="B283" s="36"/>
      <c r="C283" s="37"/>
      <c r="D283" s="5"/>
      <c r="E283" s="5"/>
      <c r="F283" s="5"/>
      <c r="G283" s="5"/>
      <c r="J283" s="5"/>
      <c r="M283" s="5"/>
      <c r="N283" s="5"/>
      <c r="P283" s="5"/>
    </row>
    <row r="284" spans="2:16" ht="13">
      <c r="B284" s="36"/>
      <c r="C284" s="37"/>
      <c r="D284" s="5"/>
      <c r="E284" s="5"/>
      <c r="F284" s="5"/>
      <c r="G284" s="5"/>
      <c r="J284" s="5"/>
      <c r="M284" s="5"/>
      <c r="N284" s="5"/>
      <c r="P284" s="5"/>
    </row>
    <row r="285" spans="2:16" ht="13">
      <c r="B285" s="36"/>
      <c r="C285" s="37"/>
      <c r="D285" s="5"/>
      <c r="E285" s="5"/>
      <c r="F285" s="5"/>
      <c r="G285" s="5"/>
      <c r="J285" s="5"/>
      <c r="M285" s="5"/>
      <c r="N285" s="5"/>
      <c r="P285" s="5"/>
    </row>
    <row r="286" spans="2:16" ht="13">
      <c r="B286" s="36"/>
      <c r="C286" s="37"/>
      <c r="D286" s="5"/>
      <c r="E286" s="5"/>
      <c r="F286" s="5"/>
      <c r="G286" s="5"/>
      <c r="J286" s="5"/>
      <c r="M286" s="5"/>
      <c r="N286" s="5"/>
      <c r="P286" s="5"/>
    </row>
    <row r="287" spans="2:16" ht="13">
      <c r="B287" s="36"/>
      <c r="C287" s="37"/>
      <c r="D287" s="5"/>
      <c r="E287" s="5"/>
      <c r="F287" s="5"/>
      <c r="G287" s="5"/>
      <c r="J287" s="5"/>
      <c r="M287" s="5"/>
      <c r="N287" s="5"/>
      <c r="P287" s="5"/>
    </row>
    <row r="288" spans="2:16" ht="13">
      <c r="B288" s="36"/>
      <c r="C288" s="37"/>
      <c r="D288" s="5"/>
      <c r="E288" s="5"/>
      <c r="F288" s="5"/>
      <c r="G288" s="5"/>
      <c r="J288" s="5"/>
      <c r="M288" s="5"/>
      <c r="N288" s="5"/>
      <c r="P288" s="5"/>
    </row>
    <row r="289" spans="2:16" ht="13">
      <c r="B289" s="36"/>
      <c r="C289" s="37"/>
      <c r="D289" s="5"/>
      <c r="E289" s="5"/>
      <c r="F289" s="5"/>
      <c r="G289" s="5"/>
      <c r="J289" s="5"/>
      <c r="M289" s="5"/>
      <c r="N289" s="5"/>
      <c r="P289" s="5"/>
    </row>
    <row r="290" spans="2:16" ht="13">
      <c r="B290" s="36"/>
      <c r="C290" s="37"/>
      <c r="D290" s="5"/>
      <c r="E290" s="5"/>
      <c r="F290" s="5"/>
      <c r="G290" s="5"/>
      <c r="J290" s="5"/>
      <c r="M290" s="5"/>
      <c r="N290" s="5"/>
      <c r="P290" s="5"/>
    </row>
    <row r="291" spans="2:16" ht="13">
      <c r="B291" s="36"/>
      <c r="C291" s="37"/>
      <c r="D291" s="5"/>
      <c r="E291" s="5"/>
      <c r="F291" s="5"/>
      <c r="G291" s="5"/>
      <c r="J291" s="5"/>
      <c r="M291" s="5"/>
      <c r="N291" s="5"/>
      <c r="P291" s="5"/>
    </row>
    <row r="292" spans="2:16" ht="13">
      <c r="B292" s="36"/>
      <c r="C292" s="37"/>
      <c r="D292" s="5"/>
      <c r="E292" s="5"/>
      <c r="F292" s="5"/>
      <c r="G292" s="5"/>
      <c r="J292" s="5"/>
      <c r="M292" s="5"/>
      <c r="N292" s="5"/>
      <c r="P292" s="5"/>
    </row>
    <row r="293" spans="2:16" ht="13">
      <c r="B293" s="36"/>
      <c r="C293" s="37"/>
      <c r="D293" s="5"/>
      <c r="E293" s="5"/>
      <c r="F293" s="5"/>
      <c r="G293" s="5"/>
      <c r="J293" s="5"/>
      <c r="M293" s="5"/>
      <c r="N293" s="5"/>
      <c r="P293" s="5"/>
    </row>
    <row r="294" spans="2:16" ht="13">
      <c r="B294" s="36"/>
      <c r="C294" s="37"/>
      <c r="D294" s="5"/>
      <c r="E294" s="5"/>
      <c r="F294" s="5"/>
      <c r="G294" s="5"/>
      <c r="J294" s="5"/>
      <c r="M294" s="5"/>
      <c r="N294" s="5"/>
      <c r="P294" s="5"/>
    </row>
    <row r="295" spans="2:16" ht="13">
      <c r="B295" s="36"/>
      <c r="C295" s="37"/>
      <c r="D295" s="5"/>
      <c r="E295" s="5"/>
      <c r="F295" s="5"/>
      <c r="G295" s="5"/>
      <c r="J295" s="5"/>
      <c r="M295" s="5"/>
      <c r="N295" s="5"/>
      <c r="P295" s="5"/>
    </row>
    <row r="296" spans="2:16" ht="13">
      <c r="B296" s="36"/>
      <c r="C296" s="37"/>
      <c r="D296" s="5"/>
      <c r="E296" s="5"/>
      <c r="F296" s="5"/>
      <c r="G296" s="5"/>
      <c r="J296" s="5"/>
      <c r="M296" s="5"/>
      <c r="N296" s="5"/>
      <c r="P296" s="5"/>
    </row>
    <row r="297" spans="2:16" ht="13">
      <c r="B297" s="36"/>
      <c r="C297" s="37"/>
      <c r="D297" s="5"/>
      <c r="E297" s="5"/>
      <c r="F297" s="5"/>
      <c r="G297" s="5"/>
      <c r="J297" s="5"/>
      <c r="M297" s="5"/>
      <c r="N297" s="5"/>
      <c r="P297" s="5"/>
    </row>
    <row r="298" spans="2:16" ht="13">
      <c r="B298" s="36"/>
      <c r="C298" s="37"/>
      <c r="D298" s="5"/>
      <c r="E298" s="5"/>
      <c r="F298" s="5"/>
      <c r="G298" s="5"/>
      <c r="J298" s="5"/>
      <c r="M298" s="5"/>
      <c r="N298" s="5"/>
      <c r="P298" s="5"/>
    </row>
    <row r="299" spans="2:16" ht="13">
      <c r="B299" s="36"/>
      <c r="C299" s="37"/>
      <c r="D299" s="5"/>
      <c r="E299" s="5"/>
      <c r="F299" s="5"/>
      <c r="G299" s="5"/>
      <c r="J299" s="5"/>
      <c r="M299" s="5"/>
      <c r="N299" s="5"/>
      <c r="P299" s="5"/>
    </row>
    <row r="300" spans="2:16" ht="13">
      <c r="B300" s="36"/>
      <c r="C300" s="37"/>
      <c r="D300" s="5"/>
      <c r="E300" s="5"/>
      <c r="F300" s="5"/>
      <c r="G300" s="5"/>
      <c r="J300" s="5"/>
      <c r="M300" s="5"/>
      <c r="N300" s="5"/>
      <c r="P300" s="5"/>
    </row>
    <row r="301" spans="2:16" ht="13">
      <c r="B301" s="36"/>
      <c r="C301" s="37"/>
      <c r="D301" s="5"/>
      <c r="E301" s="5"/>
      <c r="F301" s="5"/>
      <c r="G301" s="5"/>
      <c r="J301" s="5"/>
      <c r="M301" s="5"/>
      <c r="N301" s="5"/>
      <c r="P301" s="5"/>
    </row>
    <row r="302" spans="2:16" ht="13">
      <c r="B302" s="36"/>
      <c r="C302" s="37"/>
      <c r="D302" s="5"/>
      <c r="E302" s="5"/>
      <c r="F302" s="5"/>
      <c r="G302" s="5"/>
      <c r="J302" s="5"/>
      <c r="M302" s="5"/>
      <c r="N302" s="5"/>
      <c r="P302" s="5"/>
    </row>
    <row r="303" spans="2:16" ht="13">
      <c r="B303" s="36"/>
      <c r="C303" s="37"/>
      <c r="D303" s="5"/>
      <c r="E303" s="5"/>
      <c r="F303" s="5"/>
      <c r="G303" s="5"/>
      <c r="J303" s="5"/>
      <c r="M303" s="5"/>
      <c r="N303" s="5"/>
      <c r="P303" s="5"/>
    </row>
    <row r="304" spans="2:16" ht="13">
      <c r="B304" s="36"/>
      <c r="C304" s="37"/>
      <c r="D304" s="5"/>
      <c r="E304" s="5"/>
      <c r="F304" s="5"/>
      <c r="G304" s="5"/>
      <c r="J304" s="5"/>
      <c r="M304" s="5"/>
      <c r="N304" s="5"/>
      <c r="P304" s="5"/>
    </row>
    <row r="305" spans="2:16" ht="13">
      <c r="B305" s="36"/>
      <c r="C305" s="37"/>
      <c r="D305" s="5"/>
      <c r="E305" s="5"/>
      <c r="F305" s="5"/>
      <c r="G305" s="5"/>
      <c r="J305" s="5"/>
      <c r="M305" s="5"/>
      <c r="N305" s="5"/>
      <c r="P305" s="5"/>
    </row>
    <row r="306" spans="2:16" ht="13">
      <c r="B306" s="36"/>
      <c r="C306" s="37"/>
      <c r="D306" s="5"/>
      <c r="E306" s="5"/>
      <c r="F306" s="5"/>
      <c r="G306" s="5"/>
      <c r="J306" s="5"/>
      <c r="M306" s="5"/>
      <c r="N306" s="5"/>
      <c r="P306" s="5"/>
    </row>
    <row r="307" spans="2:16" ht="13">
      <c r="B307" s="36"/>
      <c r="C307" s="37"/>
      <c r="D307" s="5"/>
      <c r="E307" s="5"/>
      <c r="F307" s="5"/>
      <c r="G307" s="5"/>
      <c r="J307" s="5"/>
      <c r="M307" s="5"/>
      <c r="N307" s="5"/>
      <c r="P307" s="5"/>
    </row>
    <row r="308" spans="2:16" ht="13">
      <c r="B308" s="36"/>
      <c r="C308" s="37"/>
      <c r="D308" s="5"/>
      <c r="E308" s="5"/>
      <c r="F308" s="5"/>
      <c r="G308" s="5"/>
      <c r="J308" s="5"/>
      <c r="M308" s="5"/>
      <c r="N308" s="5"/>
      <c r="P308" s="5"/>
    </row>
    <row r="309" spans="2:16" ht="13">
      <c r="B309" s="36"/>
      <c r="C309" s="37"/>
      <c r="D309" s="5"/>
      <c r="E309" s="5"/>
      <c r="F309" s="5"/>
      <c r="G309" s="5"/>
      <c r="J309" s="5"/>
      <c r="M309" s="5"/>
      <c r="N309" s="5"/>
      <c r="P309" s="5"/>
    </row>
    <row r="310" spans="2:16" ht="13">
      <c r="B310" s="36"/>
      <c r="C310" s="37"/>
      <c r="D310" s="5"/>
      <c r="E310" s="5"/>
      <c r="F310" s="5"/>
      <c r="G310" s="5"/>
      <c r="J310" s="5"/>
      <c r="M310" s="5"/>
      <c r="N310" s="5"/>
      <c r="P310" s="5"/>
    </row>
    <row r="311" spans="2:16" ht="13">
      <c r="B311" s="36"/>
      <c r="C311" s="37"/>
      <c r="D311" s="5"/>
      <c r="E311" s="5"/>
      <c r="F311" s="5"/>
      <c r="G311" s="5"/>
      <c r="J311" s="5"/>
      <c r="M311" s="5"/>
      <c r="N311" s="5"/>
      <c r="P311" s="5"/>
    </row>
    <row r="312" spans="2:16" ht="13">
      <c r="B312" s="36"/>
      <c r="C312" s="37"/>
      <c r="D312" s="5"/>
      <c r="E312" s="5"/>
      <c r="F312" s="5"/>
      <c r="G312" s="5"/>
      <c r="J312" s="5"/>
      <c r="M312" s="5"/>
      <c r="N312" s="5"/>
      <c r="P312" s="5"/>
    </row>
    <row r="313" spans="2:16" ht="13">
      <c r="B313" s="36"/>
      <c r="C313" s="37"/>
      <c r="D313" s="5"/>
      <c r="E313" s="5"/>
      <c r="F313" s="5"/>
      <c r="G313" s="5"/>
      <c r="J313" s="5"/>
      <c r="M313" s="5"/>
      <c r="N313" s="5"/>
      <c r="P313" s="5"/>
    </row>
    <row r="314" spans="2:16" ht="13">
      <c r="B314" s="36"/>
      <c r="C314" s="37"/>
      <c r="D314" s="5"/>
      <c r="E314" s="5"/>
      <c r="F314" s="5"/>
      <c r="G314" s="5"/>
      <c r="J314" s="5"/>
      <c r="M314" s="5"/>
      <c r="N314" s="5"/>
      <c r="P314" s="5"/>
    </row>
    <row r="315" spans="2:16" ht="13">
      <c r="B315" s="36"/>
      <c r="C315" s="37"/>
      <c r="D315" s="5"/>
      <c r="E315" s="5"/>
      <c r="F315" s="5"/>
      <c r="G315" s="5"/>
      <c r="J315" s="5"/>
      <c r="M315" s="5"/>
      <c r="N315" s="5"/>
      <c r="P315" s="5"/>
    </row>
    <row r="316" spans="2:16" ht="13">
      <c r="B316" s="36"/>
      <c r="C316" s="37"/>
      <c r="D316" s="5"/>
      <c r="E316" s="5"/>
      <c r="F316" s="5"/>
      <c r="G316" s="5"/>
      <c r="J316" s="5"/>
      <c r="M316" s="5"/>
      <c r="N316" s="5"/>
      <c r="P316" s="5"/>
    </row>
    <row r="317" spans="2:16" ht="13">
      <c r="B317" s="36"/>
      <c r="C317" s="37"/>
      <c r="D317" s="5"/>
      <c r="E317" s="5"/>
      <c r="F317" s="5"/>
      <c r="G317" s="5"/>
      <c r="J317" s="5"/>
      <c r="M317" s="5"/>
      <c r="N317" s="5"/>
      <c r="P317" s="5"/>
    </row>
    <row r="318" spans="2:16" ht="13">
      <c r="B318" s="36"/>
      <c r="C318" s="37"/>
      <c r="D318" s="5"/>
      <c r="E318" s="5"/>
      <c r="F318" s="5"/>
      <c r="G318" s="5"/>
      <c r="J318" s="5"/>
      <c r="M318" s="5"/>
      <c r="N318" s="5"/>
      <c r="P318" s="5"/>
    </row>
    <row r="319" spans="2:16" ht="13">
      <c r="B319" s="36"/>
      <c r="C319" s="37"/>
      <c r="D319" s="5"/>
      <c r="E319" s="5"/>
      <c r="F319" s="5"/>
      <c r="G319" s="5"/>
      <c r="J319" s="5"/>
      <c r="M319" s="5"/>
      <c r="N319" s="5"/>
      <c r="P319" s="5"/>
    </row>
    <row r="320" spans="2:16" ht="13">
      <c r="B320" s="36"/>
      <c r="C320" s="37"/>
      <c r="D320" s="5"/>
      <c r="E320" s="5"/>
      <c r="F320" s="5"/>
      <c r="G320" s="5"/>
      <c r="J320" s="5"/>
      <c r="M320" s="5"/>
      <c r="N320" s="5"/>
      <c r="P320" s="5"/>
    </row>
    <row r="321" spans="2:16" ht="13">
      <c r="B321" s="36"/>
      <c r="C321" s="37"/>
      <c r="D321" s="5"/>
      <c r="E321" s="5"/>
      <c r="F321" s="5"/>
      <c r="G321" s="5"/>
      <c r="J321" s="5"/>
      <c r="M321" s="5"/>
      <c r="N321" s="5"/>
      <c r="P321" s="5"/>
    </row>
    <row r="322" spans="2:16" ht="13">
      <c r="B322" s="36"/>
      <c r="C322" s="37"/>
      <c r="D322" s="5"/>
      <c r="E322" s="5"/>
      <c r="F322" s="5"/>
      <c r="G322" s="5"/>
      <c r="J322" s="5"/>
      <c r="M322" s="5"/>
      <c r="N322" s="5"/>
      <c r="P322" s="5"/>
    </row>
    <row r="323" spans="2:16" ht="13">
      <c r="B323" s="36"/>
      <c r="C323" s="37"/>
      <c r="D323" s="5"/>
      <c r="E323" s="5"/>
      <c r="F323" s="5"/>
      <c r="G323" s="5"/>
      <c r="J323" s="5"/>
      <c r="M323" s="5"/>
      <c r="N323" s="5"/>
      <c r="P323" s="5"/>
    </row>
    <row r="324" spans="2:16" ht="13">
      <c r="B324" s="36"/>
      <c r="C324" s="37"/>
      <c r="D324" s="5"/>
      <c r="E324" s="5"/>
      <c r="F324" s="5"/>
      <c r="G324" s="5"/>
      <c r="J324" s="5"/>
      <c r="M324" s="5"/>
      <c r="N324" s="5"/>
      <c r="P324" s="5"/>
    </row>
    <row r="325" spans="2:16" ht="13">
      <c r="B325" s="36"/>
      <c r="C325" s="37"/>
      <c r="D325" s="5"/>
      <c r="E325" s="5"/>
      <c r="F325" s="5"/>
      <c r="G325" s="5"/>
      <c r="J325" s="5"/>
      <c r="M325" s="5"/>
      <c r="N325" s="5"/>
      <c r="P325" s="5"/>
    </row>
    <row r="326" spans="2:16" ht="13">
      <c r="B326" s="36"/>
      <c r="C326" s="37"/>
      <c r="D326" s="5"/>
      <c r="E326" s="5"/>
      <c r="F326" s="5"/>
      <c r="G326" s="5"/>
      <c r="J326" s="5"/>
      <c r="M326" s="5"/>
      <c r="N326" s="5"/>
      <c r="P326" s="5"/>
    </row>
    <row r="327" spans="2:16" ht="13">
      <c r="B327" s="36"/>
      <c r="C327" s="37"/>
      <c r="D327" s="5"/>
      <c r="E327" s="5"/>
      <c r="F327" s="5"/>
      <c r="G327" s="5"/>
      <c r="J327" s="5"/>
      <c r="M327" s="5"/>
      <c r="N327" s="5"/>
      <c r="P327" s="5"/>
    </row>
    <row r="328" spans="2:16" ht="13">
      <c r="B328" s="36"/>
      <c r="C328" s="37"/>
      <c r="D328" s="5"/>
      <c r="E328" s="5"/>
      <c r="F328" s="5"/>
      <c r="G328" s="5"/>
      <c r="J328" s="5"/>
      <c r="M328" s="5"/>
      <c r="N328" s="5"/>
      <c r="P328" s="5"/>
    </row>
    <row r="329" spans="2:16" ht="13">
      <c r="B329" s="36"/>
      <c r="C329" s="37"/>
      <c r="D329" s="5"/>
      <c r="E329" s="5"/>
      <c r="F329" s="5"/>
      <c r="G329" s="5"/>
      <c r="J329" s="5"/>
      <c r="M329" s="5"/>
      <c r="N329" s="5"/>
      <c r="P329" s="5"/>
    </row>
    <row r="330" spans="2:16" ht="13">
      <c r="B330" s="36"/>
      <c r="C330" s="37"/>
      <c r="D330" s="5"/>
      <c r="E330" s="5"/>
      <c r="F330" s="5"/>
      <c r="G330" s="5"/>
      <c r="J330" s="5"/>
      <c r="M330" s="5"/>
      <c r="N330" s="5"/>
      <c r="P330" s="5"/>
    </row>
    <row r="331" spans="2:16" ht="13">
      <c r="B331" s="36"/>
      <c r="C331" s="37"/>
      <c r="D331" s="5"/>
      <c r="E331" s="5"/>
      <c r="F331" s="5"/>
      <c r="G331" s="5"/>
      <c r="J331" s="5"/>
      <c r="M331" s="5"/>
      <c r="N331" s="5"/>
      <c r="P331" s="5"/>
    </row>
    <row r="332" spans="2:16" ht="13">
      <c r="B332" s="36"/>
      <c r="C332" s="37"/>
      <c r="D332" s="5"/>
      <c r="E332" s="5"/>
      <c r="F332" s="5"/>
      <c r="G332" s="5"/>
      <c r="J332" s="5"/>
      <c r="M332" s="5"/>
      <c r="N332" s="5"/>
      <c r="P332" s="5"/>
    </row>
    <row r="333" spans="2:16" ht="13">
      <c r="B333" s="36"/>
      <c r="C333" s="37"/>
      <c r="D333" s="5"/>
      <c r="E333" s="5"/>
      <c r="F333" s="5"/>
      <c r="G333" s="5"/>
      <c r="J333" s="5"/>
      <c r="M333" s="5"/>
      <c r="N333" s="5"/>
      <c r="P333" s="5"/>
    </row>
    <row r="334" spans="2:16" ht="13">
      <c r="B334" s="36"/>
      <c r="C334" s="37"/>
      <c r="D334" s="5"/>
      <c r="E334" s="5"/>
      <c r="F334" s="5"/>
      <c r="G334" s="5"/>
      <c r="J334" s="5"/>
      <c r="M334" s="5"/>
      <c r="N334" s="5"/>
      <c r="P334" s="5"/>
    </row>
    <row r="335" spans="2:16" ht="13">
      <c r="B335" s="36"/>
      <c r="C335" s="37"/>
      <c r="D335" s="5"/>
      <c r="E335" s="5"/>
      <c r="F335" s="5"/>
      <c r="G335" s="5"/>
      <c r="J335" s="5"/>
      <c r="M335" s="5"/>
      <c r="N335" s="5"/>
      <c r="P335" s="5"/>
    </row>
    <row r="336" spans="2:16" ht="13">
      <c r="B336" s="36"/>
      <c r="C336" s="37"/>
      <c r="D336" s="5"/>
      <c r="E336" s="5"/>
      <c r="F336" s="5"/>
      <c r="G336" s="5"/>
      <c r="J336" s="5"/>
      <c r="M336" s="5"/>
      <c r="N336" s="5"/>
      <c r="P336" s="5"/>
    </row>
    <row r="337" spans="2:16" ht="13">
      <c r="B337" s="36"/>
      <c r="C337" s="37"/>
      <c r="D337" s="5"/>
      <c r="E337" s="5"/>
      <c r="F337" s="5"/>
      <c r="G337" s="5"/>
      <c r="J337" s="5"/>
      <c r="M337" s="5"/>
      <c r="N337" s="5"/>
      <c r="P337" s="5"/>
    </row>
    <row r="338" spans="2:16" ht="13">
      <c r="B338" s="36"/>
      <c r="C338" s="37"/>
      <c r="D338" s="5"/>
      <c r="E338" s="5"/>
      <c r="F338" s="5"/>
      <c r="G338" s="5"/>
      <c r="J338" s="5"/>
      <c r="M338" s="5"/>
      <c r="N338" s="5"/>
      <c r="P338" s="5"/>
    </row>
    <row r="339" spans="2:16" ht="13">
      <c r="B339" s="36"/>
      <c r="C339" s="37"/>
      <c r="D339" s="5"/>
      <c r="E339" s="5"/>
      <c r="F339" s="5"/>
      <c r="G339" s="5"/>
      <c r="J339" s="5"/>
      <c r="M339" s="5"/>
      <c r="N339" s="5"/>
      <c r="P339" s="5"/>
    </row>
    <row r="340" spans="2:16" ht="13">
      <c r="B340" s="36"/>
      <c r="C340" s="37"/>
      <c r="D340" s="5"/>
      <c r="E340" s="5"/>
      <c r="F340" s="5"/>
      <c r="G340" s="5"/>
      <c r="J340" s="5"/>
      <c r="M340" s="5"/>
      <c r="N340" s="5"/>
      <c r="P340" s="5"/>
    </row>
    <row r="341" spans="2:16" ht="13">
      <c r="B341" s="36"/>
      <c r="C341" s="37"/>
      <c r="D341" s="5"/>
      <c r="E341" s="5"/>
      <c r="F341" s="5"/>
      <c r="G341" s="5"/>
      <c r="J341" s="5"/>
      <c r="M341" s="5"/>
      <c r="N341" s="5"/>
      <c r="P341" s="5"/>
    </row>
    <row r="342" spans="2:16" ht="13">
      <c r="B342" s="36"/>
      <c r="C342" s="37"/>
      <c r="D342" s="5"/>
      <c r="E342" s="5"/>
      <c r="F342" s="5"/>
      <c r="G342" s="5"/>
      <c r="J342" s="5"/>
      <c r="M342" s="5"/>
      <c r="N342" s="5"/>
      <c r="P342" s="5"/>
    </row>
    <row r="343" spans="2:16" ht="13">
      <c r="B343" s="36"/>
      <c r="C343" s="37"/>
      <c r="D343" s="5"/>
      <c r="E343" s="5"/>
      <c r="F343" s="5"/>
      <c r="G343" s="5"/>
      <c r="J343" s="5"/>
      <c r="M343" s="5"/>
      <c r="N343" s="5"/>
      <c r="P343" s="5"/>
    </row>
    <row r="344" spans="2:16" ht="13">
      <c r="B344" s="36"/>
      <c r="C344" s="37"/>
      <c r="D344" s="5"/>
      <c r="E344" s="5"/>
      <c r="F344" s="5"/>
      <c r="G344" s="5"/>
      <c r="J344" s="5"/>
      <c r="M344" s="5"/>
      <c r="N344" s="5"/>
      <c r="P344" s="5"/>
    </row>
    <row r="345" spans="2:16" ht="13">
      <c r="B345" s="36"/>
      <c r="C345" s="37"/>
      <c r="D345" s="5"/>
      <c r="E345" s="5"/>
      <c r="F345" s="5"/>
      <c r="G345" s="5"/>
      <c r="J345" s="5"/>
      <c r="M345" s="5"/>
      <c r="N345" s="5"/>
      <c r="P345" s="5"/>
    </row>
    <row r="346" spans="2:16" ht="13">
      <c r="B346" s="36"/>
      <c r="C346" s="37"/>
      <c r="D346" s="5"/>
      <c r="E346" s="5"/>
      <c r="F346" s="5"/>
      <c r="G346" s="5"/>
      <c r="J346" s="5"/>
      <c r="M346" s="5"/>
      <c r="N346" s="5"/>
      <c r="P346" s="5"/>
    </row>
    <row r="347" spans="2:16" ht="13">
      <c r="B347" s="36"/>
      <c r="C347" s="37"/>
      <c r="D347" s="5"/>
      <c r="E347" s="5"/>
      <c r="F347" s="5"/>
      <c r="G347" s="5"/>
      <c r="J347" s="5"/>
      <c r="M347" s="5"/>
      <c r="N347" s="5"/>
      <c r="P347" s="5"/>
    </row>
    <row r="348" spans="2:16" ht="13">
      <c r="B348" s="36"/>
      <c r="C348" s="37"/>
      <c r="D348" s="5"/>
      <c r="E348" s="5"/>
      <c r="F348" s="5"/>
      <c r="G348" s="5"/>
      <c r="J348" s="5"/>
      <c r="M348" s="5"/>
      <c r="N348" s="5"/>
      <c r="P348" s="5"/>
    </row>
    <row r="349" spans="2:16" ht="13">
      <c r="B349" s="36"/>
      <c r="C349" s="37"/>
      <c r="D349" s="5"/>
      <c r="E349" s="5"/>
      <c r="F349" s="5"/>
      <c r="G349" s="5"/>
      <c r="J349" s="5"/>
      <c r="M349" s="5"/>
      <c r="N349" s="5"/>
      <c r="P349" s="5"/>
    </row>
    <row r="350" spans="2:16" ht="13">
      <c r="B350" s="36"/>
      <c r="C350" s="37"/>
      <c r="D350" s="5"/>
      <c r="E350" s="5"/>
      <c r="F350" s="5"/>
      <c r="G350" s="5"/>
      <c r="J350" s="5"/>
      <c r="M350" s="5"/>
      <c r="N350" s="5"/>
      <c r="P350" s="5"/>
    </row>
    <row r="351" spans="2:16" ht="13">
      <c r="B351" s="36"/>
      <c r="C351" s="37"/>
      <c r="D351" s="5"/>
      <c r="E351" s="5"/>
      <c r="F351" s="5"/>
      <c r="G351" s="5"/>
      <c r="J351" s="5"/>
      <c r="M351" s="5"/>
      <c r="N351" s="5"/>
      <c r="P351" s="5"/>
    </row>
    <row r="352" spans="2:16" ht="13">
      <c r="B352" s="36"/>
      <c r="C352" s="37"/>
      <c r="D352" s="5"/>
      <c r="E352" s="5"/>
      <c r="F352" s="5"/>
      <c r="G352" s="5"/>
      <c r="J352" s="5"/>
      <c r="M352" s="5"/>
      <c r="N352" s="5"/>
      <c r="P352" s="5"/>
    </row>
    <row r="353" spans="2:16" ht="13">
      <c r="B353" s="36"/>
      <c r="C353" s="37"/>
      <c r="D353" s="5"/>
      <c r="E353" s="5"/>
      <c r="F353" s="5"/>
      <c r="G353" s="5"/>
      <c r="J353" s="5"/>
      <c r="M353" s="5"/>
      <c r="N353" s="5"/>
      <c r="P353" s="5"/>
    </row>
    <row r="354" spans="2:16" ht="13">
      <c r="B354" s="36"/>
      <c r="C354" s="37"/>
      <c r="D354" s="5"/>
      <c r="E354" s="5"/>
      <c r="F354" s="5"/>
      <c r="G354" s="5"/>
      <c r="J354" s="5"/>
      <c r="M354" s="5"/>
      <c r="N354" s="5"/>
      <c r="P354" s="5"/>
    </row>
    <row r="355" spans="2:16" ht="13">
      <c r="B355" s="36"/>
      <c r="C355" s="37"/>
      <c r="D355" s="5"/>
      <c r="E355" s="5"/>
      <c r="F355" s="5"/>
      <c r="G355" s="5"/>
      <c r="J355" s="5"/>
      <c r="M355" s="5"/>
      <c r="N355" s="5"/>
      <c r="P355" s="5"/>
    </row>
    <row r="356" spans="2:16" ht="13">
      <c r="B356" s="36"/>
      <c r="C356" s="37"/>
      <c r="D356" s="5"/>
      <c r="E356" s="5"/>
      <c r="F356" s="5"/>
      <c r="G356" s="5"/>
      <c r="J356" s="5"/>
      <c r="M356" s="5"/>
      <c r="N356" s="5"/>
      <c r="P356" s="5"/>
    </row>
    <row r="357" spans="2:16" ht="13">
      <c r="B357" s="36"/>
      <c r="C357" s="37"/>
      <c r="D357" s="5"/>
      <c r="E357" s="5"/>
      <c r="F357" s="5"/>
      <c r="G357" s="5"/>
      <c r="J357" s="5"/>
      <c r="M357" s="5"/>
      <c r="N357" s="5"/>
      <c r="P357" s="5"/>
    </row>
    <row r="358" spans="2:16" ht="13">
      <c r="B358" s="36"/>
      <c r="C358" s="37"/>
      <c r="D358" s="5"/>
      <c r="E358" s="5"/>
      <c r="F358" s="5"/>
      <c r="G358" s="5"/>
      <c r="J358" s="5"/>
      <c r="M358" s="5"/>
      <c r="N358" s="5"/>
      <c r="P358" s="5"/>
    </row>
    <row r="359" spans="2:16" ht="13">
      <c r="B359" s="36"/>
      <c r="C359" s="37"/>
      <c r="D359" s="5"/>
      <c r="E359" s="5"/>
      <c r="F359" s="5"/>
      <c r="G359" s="5"/>
      <c r="J359" s="5"/>
      <c r="M359" s="5"/>
      <c r="N359" s="5"/>
      <c r="P359" s="5"/>
    </row>
    <row r="360" spans="2:16" ht="13">
      <c r="B360" s="36"/>
      <c r="C360" s="37"/>
      <c r="D360" s="5"/>
      <c r="E360" s="5"/>
      <c r="F360" s="5"/>
      <c r="G360" s="5"/>
      <c r="J360" s="5"/>
      <c r="M360" s="5"/>
      <c r="N360" s="5"/>
      <c r="P360" s="5"/>
    </row>
    <row r="361" spans="2:16" ht="13">
      <c r="B361" s="36"/>
      <c r="C361" s="37"/>
      <c r="D361" s="5"/>
      <c r="E361" s="5"/>
      <c r="F361" s="5"/>
      <c r="G361" s="5"/>
      <c r="J361" s="5"/>
      <c r="M361" s="5"/>
      <c r="N361" s="5"/>
      <c r="P361" s="5"/>
    </row>
    <row r="362" spans="2:16" ht="13">
      <c r="B362" s="36"/>
      <c r="C362" s="37"/>
      <c r="D362" s="5"/>
      <c r="E362" s="5"/>
      <c r="F362" s="5"/>
      <c r="G362" s="5"/>
      <c r="J362" s="5"/>
      <c r="M362" s="5"/>
      <c r="N362" s="5"/>
      <c r="P362" s="5"/>
    </row>
    <row r="363" spans="2:16" ht="13">
      <c r="B363" s="36"/>
      <c r="C363" s="37"/>
      <c r="D363" s="5"/>
      <c r="E363" s="5"/>
      <c r="F363" s="5"/>
      <c r="G363" s="5"/>
      <c r="J363" s="5"/>
      <c r="M363" s="5"/>
      <c r="N363" s="5"/>
      <c r="P363" s="5"/>
    </row>
    <row r="364" spans="2:16" ht="13">
      <c r="B364" s="36"/>
      <c r="C364" s="37"/>
      <c r="D364" s="5"/>
      <c r="E364" s="5"/>
      <c r="F364" s="5"/>
      <c r="G364" s="5"/>
      <c r="J364" s="5"/>
      <c r="M364" s="5"/>
      <c r="N364" s="5"/>
      <c r="P364" s="5"/>
    </row>
    <row r="365" spans="2:16" ht="13">
      <c r="B365" s="36"/>
      <c r="C365" s="37"/>
      <c r="D365" s="5"/>
      <c r="E365" s="5"/>
      <c r="F365" s="5"/>
      <c r="G365" s="5"/>
      <c r="J365" s="5"/>
      <c r="M365" s="5"/>
      <c r="N365" s="5"/>
      <c r="P365" s="5"/>
    </row>
    <row r="366" spans="2:16" ht="13">
      <c r="B366" s="36"/>
      <c r="C366" s="37"/>
      <c r="D366" s="5"/>
      <c r="E366" s="5"/>
      <c r="F366" s="5"/>
      <c r="G366" s="5"/>
      <c r="J366" s="5"/>
      <c r="M366" s="5"/>
      <c r="N366" s="5"/>
      <c r="P366" s="5"/>
    </row>
    <row r="367" spans="2:16" ht="13">
      <c r="B367" s="36"/>
      <c r="C367" s="37"/>
      <c r="D367" s="5"/>
      <c r="E367" s="5"/>
      <c r="F367" s="5"/>
      <c r="G367" s="5"/>
      <c r="J367" s="5"/>
      <c r="M367" s="5"/>
      <c r="N367" s="5"/>
      <c r="P367" s="5"/>
    </row>
    <row r="368" spans="2:16" ht="13">
      <c r="B368" s="36"/>
      <c r="C368" s="37"/>
      <c r="D368" s="5"/>
      <c r="E368" s="5"/>
      <c r="F368" s="5"/>
      <c r="G368" s="5"/>
      <c r="J368" s="5"/>
      <c r="M368" s="5"/>
      <c r="N368" s="5"/>
      <c r="P368" s="5"/>
    </row>
    <row r="369" spans="2:16" ht="13">
      <c r="B369" s="36"/>
      <c r="C369" s="37"/>
      <c r="D369" s="5"/>
      <c r="E369" s="5"/>
      <c r="F369" s="5"/>
      <c r="G369" s="5"/>
      <c r="J369" s="5"/>
      <c r="M369" s="5"/>
      <c r="N369" s="5"/>
      <c r="P369" s="5"/>
    </row>
    <row r="370" spans="2:16" ht="13">
      <c r="B370" s="36"/>
      <c r="C370" s="37"/>
      <c r="D370" s="5"/>
      <c r="E370" s="5"/>
      <c r="F370" s="5"/>
      <c r="G370" s="5"/>
      <c r="J370" s="5"/>
      <c r="M370" s="5"/>
      <c r="N370" s="5"/>
      <c r="P370" s="5"/>
    </row>
    <row r="371" spans="2:16" ht="13">
      <c r="B371" s="36"/>
      <c r="C371" s="37"/>
      <c r="D371" s="5"/>
      <c r="E371" s="5"/>
      <c r="F371" s="5"/>
      <c r="G371" s="5"/>
      <c r="J371" s="5"/>
      <c r="M371" s="5"/>
      <c r="N371" s="5"/>
      <c r="P371" s="5"/>
    </row>
    <row r="372" spans="2:16" ht="13">
      <c r="B372" s="36"/>
      <c r="C372" s="37"/>
      <c r="D372" s="5"/>
      <c r="E372" s="5"/>
      <c r="F372" s="5"/>
      <c r="G372" s="5"/>
      <c r="J372" s="5"/>
      <c r="M372" s="5"/>
      <c r="N372" s="5"/>
      <c r="P372" s="5"/>
    </row>
    <row r="373" spans="2:16" ht="13">
      <c r="B373" s="36"/>
      <c r="C373" s="37"/>
      <c r="D373" s="5"/>
      <c r="E373" s="5"/>
      <c r="F373" s="5"/>
      <c r="G373" s="5"/>
      <c r="J373" s="5"/>
      <c r="M373" s="5"/>
      <c r="N373" s="5"/>
      <c r="P373" s="5"/>
    </row>
    <row r="374" spans="2:16" ht="13">
      <c r="B374" s="36"/>
      <c r="C374" s="37"/>
      <c r="D374" s="5"/>
      <c r="E374" s="5"/>
      <c r="F374" s="5"/>
      <c r="G374" s="5"/>
      <c r="J374" s="5"/>
      <c r="M374" s="5"/>
      <c r="N374" s="5"/>
      <c r="P374" s="5"/>
    </row>
    <row r="375" spans="2:16" ht="13">
      <c r="B375" s="36"/>
      <c r="C375" s="37"/>
      <c r="D375" s="5"/>
      <c r="E375" s="5"/>
      <c r="F375" s="5"/>
      <c r="G375" s="5"/>
      <c r="J375" s="5"/>
      <c r="M375" s="5"/>
      <c r="N375" s="5"/>
      <c r="P375" s="5"/>
    </row>
    <row r="376" spans="2:16" ht="13">
      <c r="B376" s="36"/>
      <c r="C376" s="37"/>
      <c r="D376" s="5"/>
      <c r="E376" s="5"/>
      <c r="F376" s="5"/>
      <c r="G376" s="5"/>
      <c r="J376" s="5"/>
      <c r="M376" s="5"/>
      <c r="N376" s="5"/>
      <c r="P376" s="5"/>
    </row>
    <row r="377" spans="2:16" ht="13">
      <c r="B377" s="36"/>
      <c r="C377" s="37"/>
      <c r="D377" s="5"/>
      <c r="E377" s="5"/>
      <c r="F377" s="5"/>
      <c r="G377" s="5"/>
      <c r="J377" s="5"/>
      <c r="M377" s="5"/>
      <c r="N377" s="5"/>
      <c r="P377" s="5"/>
    </row>
    <row r="378" spans="2:16" ht="13">
      <c r="B378" s="36"/>
      <c r="C378" s="37"/>
      <c r="D378" s="5"/>
      <c r="E378" s="5"/>
      <c r="F378" s="5"/>
      <c r="G378" s="5"/>
      <c r="J378" s="5"/>
      <c r="M378" s="5"/>
      <c r="N378" s="5"/>
      <c r="P378" s="5"/>
    </row>
    <row r="379" spans="2:16" ht="13">
      <c r="B379" s="36"/>
      <c r="C379" s="37"/>
      <c r="D379" s="5"/>
      <c r="E379" s="5"/>
      <c r="F379" s="5"/>
      <c r="G379" s="5"/>
      <c r="J379" s="5"/>
      <c r="M379" s="5"/>
      <c r="N379" s="5"/>
      <c r="P379" s="5"/>
    </row>
    <row r="380" spans="2:16" ht="13">
      <c r="B380" s="36"/>
      <c r="C380" s="37"/>
      <c r="D380" s="5"/>
      <c r="E380" s="5"/>
      <c r="F380" s="5"/>
      <c r="G380" s="5"/>
      <c r="J380" s="5"/>
      <c r="M380" s="5"/>
      <c r="N380" s="5"/>
      <c r="P380" s="5"/>
    </row>
    <row r="381" spans="2:16" ht="13">
      <c r="B381" s="36"/>
      <c r="C381" s="37"/>
      <c r="D381" s="5"/>
      <c r="E381" s="5"/>
      <c r="F381" s="5"/>
      <c r="G381" s="5"/>
      <c r="J381" s="5"/>
      <c r="M381" s="5"/>
      <c r="N381" s="5"/>
      <c r="P381" s="5"/>
    </row>
    <row r="382" spans="2:16" ht="13">
      <c r="B382" s="36"/>
      <c r="C382" s="37"/>
      <c r="D382" s="5"/>
      <c r="E382" s="5"/>
      <c r="F382" s="5"/>
      <c r="G382" s="5"/>
      <c r="J382" s="5"/>
      <c r="M382" s="5"/>
      <c r="N382" s="5"/>
      <c r="P382" s="5"/>
    </row>
    <row r="383" spans="2:16" ht="13">
      <c r="B383" s="36"/>
      <c r="C383" s="37"/>
      <c r="D383" s="5"/>
      <c r="E383" s="5"/>
      <c r="F383" s="5"/>
      <c r="G383" s="5"/>
      <c r="J383" s="5"/>
      <c r="M383" s="5"/>
      <c r="N383" s="5"/>
      <c r="P383" s="5"/>
    </row>
    <row r="384" spans="2:16" ht="13">
      <c r="B384" s="36"/>
      <c r="C384" s="37"/>
      <c r="D384" s="5"/>
      <c r="E384" s="5"/>
      <c r="F384" s="5"/>
      <c r="G384" s="5"/>
      <c r="J384" s="5"/>
      <c r="M384" s="5"/>
      <c r="N384" s="5"/>
      <c r="P384" s="5"/>
    </row>
    <row r="385" spans="2:16" ht="13">
      <c r="B385" s="36"/>
      <c r="C385" s="37"/>
      <c r="D385" s="5"/>
      <c r="E385" s="5"/>
      <c r="F385" s="5"/>
      <c r="G385" s="5"/>
      <c r="J385" s="5"/>
      <c r="M385" s="5"/>
      <c r="N385" s="5"/>
      <c r="P385" s="5"/>
    </row>
    <row r="386" spans="2:16" ht="13">
      <c r="B386" s="36"/>
      <c r="C386" s="37"/>
      <c r="D386" s="5"/>
      <c r="E386" s="5"/>
      <c r="F386" s="5"/>
      <c r="G386" s="5"/>
      <c r="J386" s="5"/>
      <c r="M386" s="5"/>
      <c r="N386" s="5"/>
      <c r="P386" s="5"/>
    </row>
    <row r="387" spans="2:16" ht="13">
      <c r="B387" s="36"/>
      <c r="C387" s="37"/>
      <c r="D387" s="5"/>
      <c r="E387" s="5"/>
      <c r="F387" s="5"/>
      <c r="G387" s="5"/>
      <c r="J387" s="5"/>
      <c r="M387" s="5"/>
      <c r="N387" s="5"/>
      <c r="P387" s="5"/>
    </row>
    <row r="388" spans="2:16" ht="13">
      <c r="B388" s="36"/>
      <c r="C388" s="37"/>
      <c r="D388" s="5"/>
      <c r="E388" s="5"/>
      <c r="F388" s="5"/>
      <c r="G388" s="5"/>
      <c r="J388" s="5"/>
      <c r="M388" s="5"/>
      <c r="N388" s="5"/>
      <c r="P388" s="5"/>
    </row>
    <row r="389" spans="2:16" ht="13">
      <c r="B389" s="36"/>
      <c r="C389" s="37"/>
      <c r="D389" s="5"/>
      <c r="E389" s="5"/>
      <c r="F389" s="5"/>
      <c r="G389" s="5"/>
      <c r="J389" s="5"/>
      <c r="M389" s="5"/>
      <c r="N389" s="5"/>
      <c r="P389" s="5"/>
    </row>
    <row r="390" spans="2:16" ht="13">
      <c r="B390" s="36"/>
      <c r="C390" s="37"/>
      <c r="D390" s="5"/>
      <c r="E390" s="5"/>
      <c r="F390" s="5"/>
      <c r="G390" s="5"/>
      <c r="J390" s="5"/>
      <c r="M390" s="5"/>
      <c r="N390" s="5"/>
      <c r="P390" s="5"/>
    </row>
    <row r="391" spans="2:16" ht="13">
      <c r="B391" s="36"/>
      <c r="C391" s="37"/>
      <c r="D391" s="5"/>
      <c r="E391" s="5"/>
      <c r="F391" s="5"/>
      <c r="G391" s="5"/>
      <c r="J391" s="5"/>
      <c r="M391" s="5"/>
      <c r="N391" s="5"/>
      <c r="P391" s="5"/>
    </row>
    <row r="392" spans="2:16" ht="13">
      <c r="B392" s="36"/>
      <c r="C392" s="37"/>
      <c r="D392" s="5"/>
      <c r="E392" s="5"/>
      <c r="F392" s="5"/>
      <c r="G392" s="5"/>
      <c r="J392" s="5"/>
      <c r="M392" s="5"/>
      <c r="N392" s="5"/>
      <c r="P392" s="5"/>
    </row>
    <row r="393" spans="2:16" ht="13">
      <c r="B393" s="36"/>
      <c r="C393" s="37"/>
      <c r="D393" s="5"/>
      <c r="E393" s="5"/>
      <c r="F393" s="5"/>
      <c r="G393" s="5"/>
      <c r="J393" s="5"/>
      <c r="M393" s="5"/>
      <c r="N393" s="5"/>
      <c r="P393" s="5"/>
    </row>
    <row r="394" spans="2:16" ht="13">
      <c r="B394" s="36"/>
      <c r="C394" s="37"/>
      <c r="D394" s="5"/>
      <c r="E394" s="5"/>
      <c r="F394" s="5"/>
      <c r="G394" s="5"/>
      <c r="J394" s="5"/>
      <c r="M394" s="5"/>
      <c r="N394" s="5"/>
      <c r="P394" s="5"/>
    </row>
    <row r="395" spans="2:16" ht="13">
      <c r="B395" s="36"/>
      <c r="C395" s="37"/>
      <c r="D395" s="5"/>
      <c r="E395" s="5"/>
      <c r="F395" s="5"/>
      <c r="G395" s="5"/>
      <c r="J395" s="5"/>
      <c r="M395" s="5"/>
      <c r="N395" s="5"/>
      <c r="P395" s="5"/>
    </row>
    <row r="396" spans="2:16" ht="13">
      <c r="B396" s="36"/>
      <c r="C396" s="37"/>
      <c r="D396" s="5"/>
      <c r="E396" s="5"/>
      <c r="F396" s="5"/>
      <c r="G396" s="5"/>
      <c r="J396" s="5"/>
      <c r="M396" s="5"/>
      <c r="N396" s="5"/>
      <c r="P396" s="5"/>
    </row>
    <row r="397" spans="2:16" ht="13">
      <c r="B397" s="36"/>
      <c r="C397" s="37"/>
      <c r="D397" s="5"/>
      <c r="E397" s="5"/>
      <c r="F397" s="5"/>
      <c r="G397" s="5"/>
      <c r="J397" s="5"/>
      <c r="M397" s="5"/>
      <c r="N397" s="5"/>
      <c r="P397" s="5"/>
    </row>
    <row r="398" spans="2:16" ht="13">
      <c r="B398" s="36"/>
      <c r="C398" s="37"/>
      <c r="D398" s="5"/>
      <c r="E398" s="5"/>
      <c r="F398" s="5"/>
      <c r="G398" s="5"/>
      <c r="J398" s="5"/>
      <c r="M398" s="5"/>
      <c r="N398" s="5"/>
      <c r="P398" s="5"/>
    </row>
    <row r="399" spans="2:16" ht="13">
      <c r="B399" s="36"/>
      <c r="C399" s="37"/>
      <c r="D399" s="5"/>
      <c r="E399" s="5"/>
      <c r="F399" s="5"/>
      <c r="G399" s="5"/>
      <c r="J399" s="5"/>
      <c r="M399" s="5"/>
      <c r="N399" s="5"/>
      <c r="P399" s="5"/>
    </row>
    <row r="400" spans="2:16" ht="13">
      <c r="B400" s="36"/>
      <c r="C400" s="37"/>
      <c r="D400" s="5"/>
      <c r="E400" s="5"/>
      <c r="F400" s="5"/>
      <c r="G400" s="5"/>
      <c r="J400" s="5"/>
      <c r="M400" s="5"/>
      <c r="N400" s="5"/>
      <c r="P400" s="5"/>
    </row>
    <row r="401" spans="2:16" ht="13">
      <c r="B401" s="36"/>
      <c r="C401" s="37"/>
      <c r="D401" s="5"/>
      <c r="E401" s="5"/>
      <c r="F401" s="5"/>
      <c r="G401" s="5"/>
      <c r="J401" s="5"/>
      <c r="M401" s="5"/>
      <c r="N401" s="5"/>
      <c r="P401" s="5"/>
    </row>
    <row r="402" spans="2:16" ht="13">
      <c r="B402" s="36"/>
      <c r="C402" s="37"/>
      <c r="D402" s="5"/>
      <c r="E402" s="5"/>
      <c r="F402" s="5"/>
      <c r="G402" s="5"/>
      <c r="J402" s="5"/>
      <c r="M402" s="5"/>
      <c r="N402" s="5"/>
      <c r="P402" s="5"/>
    </row>
    <row r="403" spans="2:16" ht="13">
      <c r="B403" s="36"/>
      <c r="C403" s="37"/>
      <c r="D403" s="5"/>
      <c r="E403" s="5"/>
      <c r="F403" s="5"/>
      <c r="G403" s="5"/>
      <c r="J403" s="5"/>
      <c r="M403" s="5"/>
      <c r="N403" s="5"/>
      <c r="P403" s="5"/>
    </row>
    <row r="404" spans="2:16" ht="13">
      <c r="B404" s="36"/>
      <c r="C404" s="37"/>
      <c r="D404" s="5"/>
      <c r="E404" s="5"/>
      <c r="F404" s="5"/>
      <c r="G404" s="5"/>
      <c r="J404" s="5"/>
      <c r="M404" s="5"/>
      <c r="N404" s="5"/>
      <c r="P404" s="5"/>
    </row>
    <row r="405" spans="2:16" ht="13">
      <c r="B405" s="36"/>
      <c r="C405" s="37"/>
      <c r="D405" s="5"/>
      <c r="E405" s="5"/>
      <c r="F405" s="5"/>
      <c r="G405" s="5"/>
      <c r="J405" s="5"/>
      <c r="M405" s="5"/>
      <c r="N405" s="5"/>
      <c r="P405" s="5"/>
    </row>
    <row r="406" spans="2:16" ht="13">
      <c r="B406" s="36"/>
      <c r="C406" s="37"/>
      <c r="D406" s="5"/>
      <c r="E406" s="5"/>
      <c r="F406" s="5"/>
      <c r="G406" s="5"/>
      <c r="J406" s="5"/>
      <c r="M406" s="5"/>
      <c r="N406" s="5"/>
      <c r="P406" s="5"/>
    </row>
    <row r="407" spans="2:16" ht="13">
      <c r="B407" s="36"/>
      <c r="C407" s="37"/>
      <c r="D407" s="5"/>
      <c r="E407" s="5"/>
      <c r="F407" s="5"/>
      <c r="G407" s="5"/>
      <c r="J407" s="5"/>
      <c r="M407" s="5"/>
      <c r="N407" s="5"/>
      <c r="P407" s="5"/>
    </row>
    <row r="408" spans="2:16" ht="13">
      <c r="B408" s="36"/>
      <c r="C408" s="37"/>
      <c r="D408" s="5"/>
      <c r="E408" s="5"/>
      <c r="F408" s="5"/>
      <c r="G408" s="5"/>
      <c r="J408" s="5"/>
      <c r="M408" s="5"/>
      <c r="N408" s="5"/>
      <c r="P408" s="5"/>
    </row>
    <row r="409" spans="2:16" ht="13">
      <c r="B409" s="36"/>
      <c r="C409" s="37"/>
      <c r="D409" s="5"/>
      <c r="E409" s="5"/>
      <c r="F409" s="5"/>
      <c r="G409" s="5"/>
      <c r="J409" s="5"/>
      <c r="M409" s="5"/>
      <c r="N409" s="5"/>
      <c r="P409" s="5"/>
    </row>
    <row r="410" spans="2:16" ht="13">
      <c r="B410" s="36"/>
      <c r="C410" s="37"/>
      <c r="D410" s="5"/>
      <c r="E410" s="5"/>
      <c r="F410" s="5"/>
      <c r="G410" s="5"/>
      <c r="J410" s="5"/>
      <c r="M410" s="5"/>
      <c r="N410" s="5"/>
      <c r="P410" s="5"/>
    </row>
    <row r="411" spans="2:16" ht="13">
      <c r="B411" s="36"/>
      <c r="C411" s="37"/>
      <c r="D411" s="5"/>
      <c r="E411" s="5"/>
      <c r="F411" s="5"/>
      <c r="G411" s="5"/>
      <c r="J411" s="5"/>
      <c r="M411" s="5"/>
      <c r="N411" s="5"/>
      <c r="P411" s="5"/>
    </row>
    <row r="412" spans="2:16" ht="13">
      <c r="B412" s="36"/>
      <c r="C412" s="37"/>
      <c r="D412" s="5"/>
      <c r="E412" s="5"/>
      <c r="F412" s="5"/>
      <c r="G412" s="5"/>
      <c r="J412" s="5"/>
      <c r="M412" s="5"/>
      <c r="N412" s="5"/>
      <c r="P412" s="5"/>
    </row>
    <row r="413" spans="2:16" ht="13">
      <c r="B413" s="36"/>
      <c r="C413" s="37"/>
      <c r="D413" s="5"/>
      <c r="E413" s="5"/>
      <c r="F413" s="5"/>
      <c r="G413" s="5"/>
      <c r="J413" s="5"/>
      <c r="M413" s="5"/>
      <c r="N413" s="5"/>
      <c r="P413" s="5"/>
    </row>
    <row r="414" spans="2:16" ht="13">
      <c r="B414" s="36"/>
      <c r="C414" s="37"/>
      <c r="D414" s="5"/>
      <c r="E414" s="5"/>
      <c r="F414" s="5"/>
      <c r="G414" s="5"/>
      <c r="J414" s="5"/>
      <c r="M414" s="5"/>
      <c r="N414" s="5"/>
      <c r="P414" s="5"/>
    </row>
    <row r="415" spans="2:16" ht="13">
      <c r="B415" s="36"/>
      <c r="C415" s="37"/>
      <c r="D415" s="5"/>
      <c r="E415" s="5"/>
      <c r="F415" s="5"/>
      <c r="G415" s="5"/>
      <c r="J415" s="5"/>
      <c r="M415" s="5"/>
      <c r="N415" s="5"/>
      <c r="P415" s="5"/>
    </row>
    <row r="416" spans="2:16" ht="13">
      <c r="B416" s="36"/>
      <c r="C416" s="37"/>
      <c r="D416" s="5"/>
      <c r="E416" s="5"/>
      <c r="F416" s="5"/>
      <c r="G416" s="5"/>
      <c r="J416" s="5"/>
      <c r="M416" s="5"/>
      <c r="N416" s="5"/>
      <c r="P416" s="5"/>
    </row>
    <row r="417" spans="2:16" ht="13">
      <c r="B417" s="36"/>
      <c r="C417" s="37"/>
      <c r="D417" s="5"/>
      <c r="E417" s="5"/>
      <c r="F417" s="5"/>
      <c r="G417" s="5"/>
      <c r="J417" s="5"/>
      <c r="M417" s="5"/>
      <c r="N417" s="5"/>
      <c r="P417" s="5"/>
    </row>
    <row r="418" spans="2:16" ht="13">
      <c r="B418" s="36"/>
      <c r="C418" s="37"/>
      <c r="D418" s="5"/>
      <c r="E418" s="5"/>
      <c r="F418" s="5"/>
      <c r="G418" s="5"/>
      <c r="J418" s="5"/>
      <c r="M418" s="5"/>
      <c r="N418" s="5"/>
      <c r="P418" s="5"/>
    </row>
    <row r="419" spans="2:16" ht="13">
      <c r="B419" s="36"/>
      <c r="C419" s="37"/>
      <c r="D419" s="5"/>
      <c r="E419" s="5"/>
      <c r="F419" s="5"/>
      <c r="G419" s="5"/>
      <c r="J419" s="5"/>
      <c r="M419" s="5"/>
      <c r="N419" s="5"/>
      <c r="P419" s="5"/>
    </row>
    <row r="420" spans="2:16" ht="13">
      <c r="B420" s="36"/>
      <c r="C420" s="37"/>
      <c r="D420" s="5"/>
      <c r="E420" s="5"/>
      <c r="F420" s="5"/>
      <c r="G420" s="5"/>
      <c r="J420" s="5"/>
      <c r="M420" s="5"/>
      <c r="N420" s="5"/>
      <c r="P420" s="5"/>
    </row>
    <row r="421" spans="2:16" ht="13">
      <c r="B421" s="36"/>
      <c r="C421" s="37"/>
      <c r="D421" s="5"/>
      <c r="E421" s="5"/>
      <c r="F421" s="5"/>
      <c r="G421" s="5"/>
      <c r="J421" s="5"/>
      <c r="M421" s="5"/>
      <c r="N421" s="5"/>
      <c r="P421" s="5"/>
    </row>
    <row r="422" spans="2:16" ht="13">
      <c r="B422" s="36"/>
      <c r="C422" s="37"/>
      <c r="D422" s="5"/>
      <c r="E422" s="5"/>
      <c r="F422" s="5"/>
      <c r="G422" s="5"/>
      <c r="J422" s="5"/>
      <c r="M422" s="5"/>
      <c r="N422" s="5"/>
      <c r="P422" s="5"/>
    </row>
    <row r="423" spans="2:16" ht="13">
      <c r="B423" s="36"/>
      <c r="C423" s="37"/>
      <c r="D423" s="5"/>
      <c r="E423" s="5"/>
      <c r="F423" s="5"/>
      <c r="G423" s="5"/>
      <c r="J423" s="5"/>
      <c r="M423" s="5"/>
      <c r="N423" s="5"/>
      <c r="P423" s="5"/>
    </row>
    <row r="424" spans="2:16" ht="13">
      <c r="B424" s="36"/>
      <c r="C424" s="37"/>
      <c r="D424" s="5"/>
      <c r="E424" s="5"/>
      <c r="F424" s="5"/>
      <c r="G424" s="5"/>
      <c r="J424" s="5"/>
      <c r="M424" s="5"/>
      <c r="N424" s="5"/>
      <c r="P424" s="5"/>
    </row>
    <row r="425" spans="2:16" ht="13">
      <c r="B425" s="36"/>
      <c r="C425" s="37"/>
      <c r="D425" s="5"/>
      <c r="E425" s="5"/>
      <c r="F425" s="5"/>
      <c r="G425" s="5"/>
      <c r="J425" s="5"/>
      <c r="M425" s="5"/>
      <c r="N425" s="5"/>
      <c r="P425" s="5"/>
    </row>
    <row r="426" spans="2:16" ht="13">
      <c r="B426" s="36"/>
      <c r="C426" s="37"/>
      <c r="D426" s="5"/>
      <c r="E426" s="5"/>
      <c r="F426" s="5"/>
      <c r="G426" s="5"/>
      <c r="J426" s="5"/>
      <c r="M426" s="5"/>
      <c r="N426" s="5"/>
      <c r="P426" s="5"/>
    </row>
    <row r="427" spans="2:16" ht="13">
      <c r="B427" s="36"/>
      <c r="C427" s="37"/>
      <c r="D427" s="5"/>
      <c r="E427" s="5"/>
      <c r="F427" s="5"/>
      <c r="G427" s="5"/>
      <c r="J427" s="5"/>
      <c r="M427" s="5"/>
      <c r="N427" s="5"/>
      <c r="P427" s="5"/>
    </row>
    <row r="428" spans="2:16" ht="13">
      <c r="B428" s="36"/>
      <c r="C428" s="37"/>
      <c r="D428" s="5"/>
      <c r="E428" s="5"/>
      <c r="F428" s="5"/>
      <c r="G428" s="5"/>
      <c r="J428" s="5"/>
      <c r="M428" s="5"/>
      <c r="N428" s="5"/>
      <c r="P428" s="5"/>
    </row>
    <row r="429" spans="2:16" ht="13">
      <c r="B429" s="36"/>
      <c r="C429" s="37"/>
      <c r="D429" s="5"/>
      <c r="E429" s="5"/>
      <c r="F429" s="5"/>
      <c r="G429" s="5"/>
      <c r="J429" s="5"/>
      <c r="M429" s="5"/>
      <c r="N429" s="5"/>
      <c r="P429" s="5"/>
    </row>
    <row r="430" spans="2:16" ht="13">
      <c r="B430" s="36"/>
      <c r="C430" s="37"/>
      <c r="D430" s="5"/>
      <c r="E430" s="5"/>
      <c r="F430" s="5"/>
      <c r="G430" s="5"/>
      <c r="J430" s="5"/>
      <c r="M430" s="5"/>
      <c r="N430" s="5"/>
      <c r="P430" s="5"/>
    </row>
    <row r="431" spans="2:16" ht="13">
      <c r="B431" s="36"/>
      <c r="C431" s="37"/>
      <c r="D431" s="5"/>
      <c r="E431" s="5"/>
      <c r="F431" s="5"/>
      <c r="G431" s="5"/>
      <c r="J431" s="5"/>
      <c r="M431" s="5"/>
      <c r="N431" s="5"/>
      <c r="P431" s="5"/>
    </row>
    <row r="432" spans="2:16" ht="13">
      <c r="B432" s="36"/>
      <c r="C432" s="37"/>
      <c r="D432" s="5"/>
      <c r="E432" s="5"/>
      <c r="F432" s="5"/>
      <c r="G432" s="5"/>
      <c r="J432" s="5"/>
      <c r="M432" s="5"/>
      <c r="N432" s="5"/>
      <c r="P432" s="5"/>
    </row>
    <row r="433" spans="2:16" ht="13">
      <c r="B433" s="36"/>
      <c r="C433" s="37"/>
      <c r="D433" s="5"/>
      <c r="E433" s="5"/>
      <c r="F433" s="5"/>
      <c r="G433" s="5"/>
      <c r="J433" s="5"/>
      <c r="M433" s="5"/>
      <c r="N433" s="5"/>
      <c r="P433" s="5"/>
    </row>
    <row r="434" spans="2:16" ht="13">
      <c r="B434" s="36"/>
      <c r="C434" s="37"/>
      <c r="D434" s="5"/>
      <c r="E434" s="5"/>
      <c r="F434" s="5"/>
      <c r="G434" s="5"/>
      <c r="J434" s="5"/>
      <c r="M434" s="5"/>
      <c r="N434" s="5"/>
      <c r="P434" s="5"/>
    </row>
    <row r="435" spans="2:16" ht="13">
      <c r="B435" s="36"/>
      <c r="C435" s="37"/>
      <c r="D435" s="5"/>
      <c r="E435" s="5"/>
      <c r="F435" s="5"/>
      <c r="G435" s="5"/>
      <c r="J435" s="5"/>
      <c r="M435" s="5"/>
      <c r="N435" s="5"/>
      <c r="P435" s="5"/>
    </row>
    <row r="436" spans="2:16" ht="13">
      <c r="B436" s="36"/>
      <c r="C436" s="37"/>
      <c r="D436" s="5"/>
      <c r="E436" s="5"/>
      <c r="F436" s="5"/>
      <c r="G436" s="5"/>
      <c r="J436" s="5"/>
      <c r="M436" s="5"/>
      <c r="N436" s="5"/>
      <c r="P436" s="5"/>
    </row>
    <row r="437" spans="2:16" ht="13">
      <c r="B437" s="36"/>
      <c r="C437" s="37"/>
      <c r="D437" s="5"/>
      <c r="E437" s="5"/>
      <c r="F437" s="5"/>
      <c r="G437" s="5"/>
      <c r="J437" s="5"/>
      <c r="M437" s="5"/>
      <c r="N437" s="5"/>
      <c r="P437" s="5"/>
    </row>
    <row r="438" spans="2:16" ht="13">
      <c r="B438" s="36"/>
      <c r="C438" s="37"/>
      <c r="D438" s="5"/>
      <c r="E438" s="5"/>
      <c r="F438" s="5"/>
      <c r="G438" s="5"/>
      <c r="J438" s="5"/>
      <c r="M438" s="5"/>
      <c r="N438" s="5"/>
      <c r="P438" s="5"/>
    </row>
    <row r="439" spans="2:16" ht="13">
      <c r="B439" s="36"/>
      <c r="C439" s="37"/>
      <c r="D439" s="5"/>
      <c r="E439" s="5"/>
      <c r="F439" s="5"/>
      <c r="G439" s="5"/>
      <c r="J439" s="5"/>
      <c r="M439" s="5"/>
      <c r="N439" s="5"/>
      <c r="P439" s="5"/>
    </row>
    <row r="440" spans="2:16" ht="13">
      <c r="B440" s="36"/>
      <c r="C440" s="37"/>
      <c r="D440" s="5"/>
      <c r="E440" s="5"/>
      <c r="F440" s="5"/>
      <c r="G440" s="5"/>
      <c r="J440" s="5"/>
      <c r="M440" s="5"/>
      <c r="N440" s="5"/>
      <c r="P440" s="5"/>
    </row>
    <row r="441" spans="2:16" ht="13">
      <c r="B441" s="36"/>
      <c r="C441" s="37"/>
      <c r="D441" s="5"/>
      <c r="E441" s="5"/>
      <c r="F441" s="5"/>
      <c r="G441" s="5"/>
      <c r="J441" s="5"/>
      <c r="M441" s="5"/>
      <c r="N441" s="5"/>
      <c r="P441" s="5"/>
    </row>
    <row r="442" spans="2:16" ht="13">
      <c r="B442" s="36"/>
      <c r="C442" s="37"/>
      <c r="D442" s="5"/>
      <c r="E442" s="5"/>
      <c r="F442" s="5"/>
      <c r="G442" s="5"/>
      <c r="J442" s="5"/>
      <c r="M442" s="5"/>
      <c r="N442" s="5"/>
      <c r="P442" s="5"/>
    </row>
    <row r="443" spans="2:16" ht="13">
      <c r="B443" s="36"/>
      <c r="C443" s="37"/>
      <c r="D443" s="5"/>
      <c r="E443" s="5"/>
      <c r="F443" s="5"/>
      <c r="G443" s="5"/>
      <c r="J443" s="5"/>
      <c r="M443" s="5"/>
      <c r="N443" s="5"/>
      <c r="P443" s="5"/>
    </row>
    <row r="444" spans="2:16" ht="13">
      <c r="B444" s="36"/>
      <c r="C444" s="37"/>
      <c r="D444" s="5"/>
      <c r="E444" s="5"/>
      <c r="F444" s="5"/>
      <c r="G444" s="5"/>
      <c r="J444" s="5"/>
      <c r="M444" s="5"/>
      <c r="N444" s="5"/>
      <c r="P444" s="5"/>
    </row>
    <row r="445" spans="2:16" ht="13">
      <c r="B445" s="36"/>
      <c r="C445" s="37"/>
      <c r="D445" s="5"/>
      <c r="E445" s="5"/>
      <c r="F445" s="5"/>
      <c r="G445" s="5"/>
      <c r="J445" s="5"/>
      <c r="M445" s="5"/>
      <c r="N445" s="5"/>
      <c r="P445" s="5"/>
    </row>
    <row r="446" spans="2:16" ht="13">
      <c r="B446" s="36"/>
      <c r="C446" s="37"/>
      <c r="D446" s="5"/>
      <c r="E446" s="5"/>
      <c r="F446" s="5"/>
      <c r="G446" s="5"/>
      <c r="J446" s="5"/>
      <c r="M446" s="5"/>
      <c r="N446" s="5"/>
      <c r="P446" s="5"/>
    </row>
    <row r="447" spans="2:16" ht="13">
      <c r="B447" s="36"/>
      <c r="C447" s="37"/>
      <c r="D447" s="5"/>
      <c r="E447" s="5"/>
      <c r="F447" s="5"/>
      <c r="G447" s="5"/>
      <c r="J447" s="5"/>
      <c r="M447" s="5"/>
      <c r="N447" s="5"/>
      <c r="P447" s="5"/>
    </row>
    <row r="448" spans="2:16" ht="13">
      <c r="B448" s="36"/>
      <c r="C448" s="37"/>
      <c r="D448" s="5"/>
      <c r="E448" s="5"/>
      <c r="F448" s="5"/>
      <c r="G448" s="5"/>
      <c r="J448" s="5"/>
      <c r="M448" s="5"/>
      <c r="N448" s="5"/>
      <c r="P448" s="5"/>
    </row>
    <row r="449" spans="2:16" ht="13">
      <c r="B449" s="36"/>
      <c r="C449" s="37"/>
      <c r="D449" s="5"/>
      <c r="E449" s="5"/>
      <c r="F449" s="5"/>
      <c r="G449" s="5"/>
      <c r="J449" s="5"/>
      <c r="M449" s="5"/>
      <c r="N449" s="5"/>
      <c r="P449" s="5"/>
    </row>
    <row r="450" spans="2:16" ht="13">
      <c r="B450" s="36"/>
      <c r="C450" s="37"/>
      <c r="D450" s="5"/>
      <c r="E450" s="5"/>
      <c r="F450" s="5"/>
      <c r="G450" s="5"/>
      <c r="J450" s="5"/>
      <c r="M450" s="5"/>
      <c r="N450" s="5"/>
      <c r="P450" s="5"/>
    </row>
    <row r="451" spans="2:16" ht="13">
      <c r="B451" s="36"/>
      <c r="C451" s="37"/>
      <c r="D451" s="5"/>
      <c r="E451" s="5"/>
      <c r="F451" s="5"/>
      <c r="G451" s="5"/>
      <c r="J451" s="5"/>
      <c r="M451" s="5"/>
      <c r="N451" s="5"/>
      <c r="P451" s="5"/>
    </row>
    <row r="452" spans="2:16" ht="13">
      <c r="B452" s="36"/>
      <c r="C452" s="37"/>
      <c r="D452" s="5"/>
      <c r="E452" s="5"/>
      <c r="F452" s="5"/>
      <c r="G452" s="5"/>
      <c r="J452" s="5"/>
      <c r="M452" s="5"/>
      <c r="N452" s="5"/>
      <c r="P452" s="5"/>
    </row>
    <row r="453" spans="2:16" ht="13">
      <c r="B453" s="36"/>
      <c r="C453" s="37"/>
      <c r="D453" s="5"/>
      <c r="E453" s="5"/>
      <c r="F453" s="5"/>
      <c r="G453" s="5"/>
      <c r="J453" s="5"/>
      <c r="M453" s="5"/>
      <c r="N453" s="5"/>
      <c r="P453" s="5"/>
    </row>
    <row r="454" spans="2:16" ht="13">
      <c r="B454" s="36"/>
      <c r="C454" s="37"/>
      <c r="D454" s="5"/>
      <c r="E454" s="5"/>
      <c r="F454" s="5"/>
      <c r="G454" s="5"/>
      <c r="J454" s="5"/>
      <c r="M454" s="5"/>
      <c r="N454" s="5"/>
      <c r="P454" s="5"/>
    </row>
    <row r="455" spans="2:16" ht="13">
      <c r="B455" s="36"/>
      <c r="C455" s="37"/>
      <c r="D455" s="5"/>
      <c r="E455" s="5"/>
      <c r="F455" s="5"/>
      <c r="G455" s="5"/>
      <c r="J455" s="5"/>
      <c r="M455" s="5"/>
      <c r="N455" s="5"/>
      <c r="P455" s="5"/>
    </row>
    <row r="456" spans="2:16" ht="13">
      <c r="B456" s="36"/>
      <c r="C456" s="37"/>
      <c r="D456" s="5"/>
      <c r="E456" s="5"/>
      <c r="F456" s="5"/>
      <c r="G456" s="5"/>
      <c r="J456" s="5"/>
      <c r="M456" s="5"/>
      <c r="N456" s="5"/>
      <c r="P456" s="5"/>
    </row>
    <row r="457" spans="2:16" ht="13">
      <c r="B457" s="36"/>
      <c r="C457" s="37"/>
      <c r="D457" s="5"/>
      <c r="E457" s="5"/>
      <c r="F457" s="5"/>
      <c r="G457" s="5"/>
      <c r="J457" s="5"/>
      <c r="M457" s="5"/>
      <c r="N457" s="5"/>
      <c r="P457" s="5"/>
    </row>
    <row r="458" spans="2:16" ht="13">
      <c r="B458" s="36"/>
      <c r="C458" s="37"/>
      <c r="D458" s="5"/>
      <c r="E458" s="5"/>
      <c r="F458" s="5"/>
      <c r="G458" s="5"/>
      <c r="J458" s="5"/>
      <c r="M458" s="5"/>
      <c r="N458" s="5"/>
      <c r="P458" s="5"/>
    </row>
    <row r="459" spans="2:16" ht="13">
      <c r="B459" s="36"/>
      <c r="C459" s="37"/>
      <c r="D459" s="5"/>
      <c r="E459" s="5"/>
      <c r="F459" s="5"/>
      <c r="G459" s="5"/>
      <c r="J459" s="5"/>
      <c r="M459" s="5"/>
      <c r="N459" s="5"/>
      <c r="P459" s="5"/>
    </row>
    <row r="460" spans="2:16" ht="13">
      <c r="B460" s="36"/>
      <c r="C460" s="37"/>
      <c r="D460" s="5"/>
      <c r="E460" s="5"/>
      <c r="F460" s="5"/>
      <c r="G460" s="5"/>
      <c r="J460" s="5"/>
      <c r="M460" s="5"/>
      <c r="N460" s="5"/>
      <c r="P460" s="5"/>
    </row>
    <row r="461" spans="2:16" ht="13">
      <c r="B461" s="36"/>
      <c r="C461" s="37"/>
      <c r="D461" s="5"/>
      <c r="E461" s="5"/>
      <c r="F461" s="5"/>
      <c r="G461" s="5"/>
      <c r="J461" s="5"/>
      <c r="M461" s="5"/>
      <c r="N461" s="5"/>
      <c r="P461" s="5"/>
    </row>
    <row r="462" spans="2:16" ht="13">
      <c r="B462" s="36"/>
      <c r="C462" s="37"/>
      <c r="D462" s="5"/>
      <c r="E462" s="5"/>
      <c r="F462" s="5"/>
      <c r="G462" s="5"/>
      <c r="J462" s="5"/>
      <c r="M462" s="5"/>
      <c r="N462" s="5"/>
      <c r="P462" s="5"/>
    </row>
    <row r="463" spans="2:16" ht="13">
      <c r="B463" s="36"/>
      <c r="C463" s="37"/>
      <c r="D463" s="5"/>
      <c r="E463" s="5"/>
      <c r="F463" s="5"/>
      <c r="G463" s="5"/>
      <c r="J463" s="5"/>
      <c r="M463" s="5"/>
      <c r="N463" s="5"/>
      <c r="P463" s="5"/>
    </row>
    <row r="464" spans="2:16" ht="13">
      <c r="B464" s="36"/>
      <c r="C464" s="37"/>
      <c r="D464" s="5"/>
      <c r="E464" s="5"/>
      <c r="F464" s="5"/>
      <c r="G464" s="5"/>
      <c r="J464" s="5"/>
      <c r="M464" s="5"/>
      <c r="N464" s="5"/>
      <c r="P464" s="5"/>
    </row>
    <row r="465" spans="2:16" ht="13">
      <c r="B465" s="36"/>
      <c r="C465" s="37"/>
      <c r="D465" s="5"/>
      <c r="E465" s="5"/>
      <c r="F465" s="5"/>
      <c r="G465" s="5"/>
      <c r="J465" s="5"/>
      <c r="M465" s="5"/>
      <c r="N465" s="5"/>
      <c r="P465" s="5"/>
    </row>
    <row r="466" spans="2:16" ht="13">
      <c r="B466" s="36"/>
      <c r="C466" s="37"/>
      <c r="D466" s="5"/>
      <c r="E466" s="5"/>
      <c r="F466" s="5"/>
      <c r="G466" s="5"/>
      <c r="J466" s="5"/>
      <c r="M466" s="5"/>
      <c r="N466" s="5"/>
      <c r="P466" s="5"/>
    </row>
    <row r="467" spans="2:16" ht="13">
      <c r="B467" s="36"/>
      <c r="C467" s="37"/>
      <c r="D467" s="5"/>
      <c r="E467" s="5"/>
      <c r="F467" s="5"/>
      <c r="G467" s="5"/>
      <c r="J467" s="5"/>
      <c r="M467" s="5"/>
      <c r="N467" s="5"/>
      <c r="P467" s="5"/>
    </row>
    <row r="468" spans="2:16" ht="13">
      <c r="B468" s="36"/>
      <c r="C468" s="37"/>
      <c r="D468" s="5"/>
      <c r="E468" s="5"/>
      <c r="F468" s="5"/>
      <c r="G468" s="5"/>
      <c r="J468" s="5"/>
      <c r="M468" s="5"/>
      <c r="N468" s="5"/>
      <c r="P468" s="5"/>
    </row>
    <row r="469" spans="2:16" ht="13">
      <c r="B469" s="36"/>
      <c r="C469" s="37"/>
      <c r="D469" s="5"/>
      <c r="E469" s="5"/>
      <c r="F469" s="5"/>
      <c r="G469" s="5"/>
      <c r="J469" s="5"/>
      <c r="M469" s="5"/>
      <c r="N469" s="5"/>
      <c r="P469" s="5"/>
    </row>
    <row r="470" spans="2:16" ht="13">
      <c r="B470" s="36"/>
      <c r="C470" s="37"/>
      <c r="D470" s="5"/>
      <c r="E470" s="5"/>
      <c r="F470" s="5"/>
      <c r="G470" s="5"/>
      <c r="J470" s="5"/>
      <c r="M470" s="5"/>
      <c r="N470" s="5"/>
      <c r="P470" s="5"/>
    </row>
    <row r="471" spans="2:16" ht="13">
      <c r="B471" s="36"/>
      <c r="C471" s="37"/>
      <c r="D471" s="5"/>
      <c r="E471" s="5"/>
      <c r="F471" s="5"/>
      <c r="G471" s="5"/>
      <c r="J471" s="5"/>
      <c r="M471" s="5"/>
      <c r="N471" s="5"/>
      <c r="P471" s="5"/>
    </row>
    <row r="472" spans="2:16" ht="13">
      <c r="B472" s="36"/>
      <c r="C472" s="37"/>
      <c r="D472" s="5"/>
      <c r="E472" s="5"/>
      <c r="F472" s="5"/>
      <c r="G472" s="5"/>
      <c r="J472" s="5"/>
      <c r="M472" s="5"/>
      <c r="N472" s="5"/>
      <c r="P472" s="5"/>
    </row>
    <row r="473" spans="2:16" ht="13">
      <c r="B473" s="36"/>
      <c r="C473" s="37"/>
      <c r="D473" s="5"/>
      <c r="E473" s="5"/>
      <c r="F473" s="5"/>
      <c r="G473" s="5"/>
      <c r="J473" s="5"/>
      <c r="M473" s="5"/>
      <c r="N473" s="5"/>
      <c r="P473" s="5"/>
    </row>
    <row r="474" spans="2:16" ht="13">
      <c r="B474" s="36"/>
      <c r="C474" s="37"/>
      <c r="D474" s="5"/>
      <c r="E474" s="5"/>
      <c r="F474" s="5"/>
      <c r="G474" s="5"/>
      <c r="J474" s="5"/>
      <c r="M474" s="5"/>
      <c r="N474" s="5"/>
      <c r="P474" s="5"/>
    </row>
    <row r="475" spans="2:16" ht="13">
      <c r="B475" s="36"/>
      <c r="C475" s="37"/>
      <c r="D475" s="5"/>
      <c r="E475" s="5"/>
      <c r="F475" s="5"/>
      <c r="G475" s="5"/>
      <c r="J475" s="5"/>
      <c r="M475" s="5"/>
      <c r="N475" s="5"/>
      <c r="P475" s="5"/>
    </row>
    <row r="476" spans="2:16" ht="13">
      <c r="B476" s="36"/>
      <c r="C476" s="37"/>
      <c r="D476" s="5"/>
      <c r="E476" s="5"/>
      <c r="F476" s="5"/>
      <c r="G476" s="5"/>
      <c r="J476" s="5"/>
      <c r="M476" s="5"/>
      <c r="N476" s="5"/>
      <c r="P476" s="5"/>
    </row>
    <row r="477" spans="2:16" ht="13">
      <c r="B477" s="36"/>
      <c r="C477" s="37"/>
      <c r="D477" s="5"/>
      <c r="E477" s="5"/>
      <c r="F477" s="5"/>
      <c r="G477" s="5"/>
      <c r="J477" s="5"/>
      <c r="M477" s="5"/>
      <c r="N477" s="5"/>
      <c r="P477" s="5"/>
    </row>
    <row r="478" spans="2:16" ht="13">
      <c r="B478" s="36"/>
      <c r="C478" s="37"/>
      <c r="D478" s="5"/>
      <c r="E478" s="5"/>
      <c r="F478" s="5"/>
      <c r="G478" s="5"/>
      <c r="J478" s="5"/>
      <c r="M478" s="5"/>
      <c r="N478" s="5"/>
      <c r="P478" s="5"/>
    </row>
    <row r="479" spans="2:16" ht="13">
      <c r="B479" s="36"/>
      <c r="C479" s="37"/>
      <c r="D479" s="5"/>
      <c r="E479" s="5"/>
      <c r="F479" s="5"/>
      <c r="G479" s="5"/>
      <c r="J479" s="5"/>
      <c r="M479" s="5"/>
      <c r="N479" s="5"/>
      <c r="P479" s="5"/>
    </row>
    <row r="480" spans="2:16" ht="13">
      <c r="B480" s="36"/>
      <c r="C480" s="37"/>
      <c r="D480" s="5"/>
      <c r="E480" s="5"/>
      <c r="F480" s="5"/>
      <c r="G480" s="5"/>
      <c r="J480" s="5"/>
      <c r="M480" s="5"/>
      <c r="N480" s="5"/>
      <c r="P480" s="5"/>
    </row>
    <row r="481" spans="2:16" ht="13">
      <c r="B481" s="36"/>
      <c r="C481" s="37"/>
      <c r="D481" s="5"/>
      <c r="E481" s="5"/>
      <c r="F481" s="5"/>
      <c r="G481" s="5"/>
      <c r="J481" s="5"/>
      <c r="M481" s="5"/>
      <c r="N481" s="5"/>
      <c r="P481" s="5"/>
    </row>
    <row r="482" spans="2:16" ht="13">
      <c r="B482" s="36"/>
      <c r="C482" s="37"/>
      <c r="D482" s="5"/>
      <c r="E482" s="5"/>
      <c r="F482" s="5"/>
      <c r="G482" s="5"/>
      <c r="J482" s="5"/>
      <c r="M482" s="5"/>
      <c r="N482" s="5"/>
      <c r="P482" s="5"/>
    </row>
    <row r="483" spans="2:16" ht="13">
      <c r="B483" s="36"/>
      <c r="C483" s="37"/>
      <c r="D483" s="5"/>
      <c r="E483" s="5"/>
      <c r="F483" s="5"/>
      <c r="G483" s="5"/>
      <c r="J483" s="5"/>
      <c r="M483" s="5"/>
      <c r="N483" s="5"/>
      <c r="P483" s="5"/>
    </row>
    <row r="484" spans="2:16" ht="13">
      <c r="B484" s="36"/>
      <c r="C484" s="37"/>
      <c r="D484" s="5"/>
      <c r="E484" s="5"/>
      <c r="F484" s="5"/>
      <c r="G484" s="5"/>
      <c r="J484" s="5"/>
      <c r="M484" s="5"/>
      <c r="N484" s="5"/>
      <c r="P484" s="5"/>
    </row>
    <row r="485" spans="2:16" ht="13">
      <c r="B485" s="36"/>
      <c r="C485" s="37"/>
      <c r="D485" s="5"/>
      <c r="E485" s="5"/>
      <c r="F485" s="5"/>
      <c r="G485" s="5"/>
      <c r="J485" s="5"/>
      <c r="M485" s="5"/>
      <c r="N485" s="5"/>
      <c r="P485" s="5"/>
    </row>
    <row r="486" spans="2:16" ht="13">
      <c r="B486" s="36"/>
      <c r="C486" s="37"/>
      <c r="D486" s="5"/>
      <c r="E486" s="5"/>
      <c r="F486" s="5"/>
      <c r="G486" s="5"/>
      <c r="J486" s="5"/>
      <c r="M486" s="5"/>
      <c r="N486" s="5"/>
      <c r="P486" s="5"/>
    </row>
    <row r="487" spans="2:16" ht="13">
      <c r="B487" s="36"/>
      <c r="C487" s="37"/>
      <c r="D487" s="5"/>
      <c r="E487" s="5"/>
      <c r="F487" s="5"/>
      <c r="G487" s="5"/>
      <c r="J487" s="5"/>
      <c r="M487" s="5"/>
      <c r="N487" s="5"/>
      <c r="P487" s="5"/>
    </row>
    <row r="488" spans="2:16" ht="13">
      <c r="B488" s="36"/>
      <c r="C488" s="37"/>
      <c r="D488" s="5"/>
      <c r="E488" s="5"/>
      <c r="F488" s="5"/>
      <c r="G488" s="5"/>
      <c r="J488" s="5"/>
      <c r="M488" s="5"/>
      <c r="N488" s="5"/>
      <c r="P488" s="5"/>
    </row>
    <row r="489" spans="2:16" ht="13">
      <c r="B489" s="36"/>
      <c r="C489" s="37"/>
      <c r="D489" s="5"/>
      <c r="E489" s="5"/>
      <c r="F489" s="5"/>
      <c r="G489" s="5"/>
      <c r="J489" s="5"/>
      <c r="M489" s="5"/>
      <c r="N489" s="5"/>
      <c r="P489" s="5"/>
    </row>
    <row r="490" spans="2:16" ht="13">
      <c r="B490" s="36"/>
      <c r="C490" s="37"/>
      <c r="D490" s="5"/>
      <c r="E490" s="5"/>
      <c r="F490" s="5"/>
      <c r="G490" s="5"/>
      <c r="J490" s="5"/>
      <c r="M490" s="5"/>
      <c r="N490" s="5"/>
      <c r="P490" s="5"/>
    </row>
    <row r="491" spans="2:16" ht="13">
      <c r="B491" s="36"/>
      <c r="C491" s="37"/>
      <c r="D491" s="5"/>
      <c r="E491" s="5"/>
      <c r="F491" s="5"/>
      <c r="G491" s="5"/>
      <c r="J491" s="5"/>
      <c r="M491" s="5"/>
      <c r="N491" s="5"/>
      <c r="P491" s="5"/>
    </row>
    <row r="492" spans="2:16" ht="13">
      <c r="B492" s="36"/>
      <c r="C492" s="37"/>
      <c r="D492" s="5"/>
      <c r="E492" s="5"/>
      <c r="F492" s="5"/>
      <c r="G492" s="5"/>
      <c r="J492" s="5"/>
      <c r="M492" s="5"/>
      <c r="N492" s="5"/>
      <c r="P492" s="5"/>
    </row>
    <row r="493" spans="2:16" ht="13">
      <c r="B493" s="36"/>
      <c r="C493" s="37"/>
      <c r="D493" s="5"/>
      <c r="E493" s="5"/>
      <c r="F493" s="5"/>
      <c r="G493" s="5"/>
      <c r="J493" s="5"/>
      <c r="M493" s="5"/>
      <c r="N493" s="5"/>
      <c r="P493" s="5"/>
    </row>
    <row r="494" spans="2:16" ht="13">
      <c r="B494" s="36"/>
      <c r="C494" s="37"/>
      <c r="D494" s="5"/>
      <c r="E494" s="5"/>
      <c r="F494" s="5"/>
      <c r="G494" s="5"/>
      <c r="J494" s="5"/>
      <c r="M494" s="5"/>
      <c r="N494" s="5"/>
      <c r="P494" s="5"/>
    </row>
    <row r="495" spans="2:16" ht="13">
      <c r="B495" s="36"/>
      <c r="C495" s="37"/>
      <c r="D495" s="5"/>
      <c r="E495" s="5"/>
      <c r="F495" s="5"/>
      <c r="G495" s="5"/>
      <c r="J495" s="5"/>
      <c r="M495" s="5"/>
      <c r="N495" s="5"/>
      <c r="P495" s="5"/>
    </row>
    <row r="496" spans="2:16" ht="13">
      <c r="B496" s="36"/>
      <c r="C496" s="37"/>
      <c r="D496" s="5"/>
      <c r="E496" s="5"/>
      <c r="F496" s="5"/>
      <c r="G496" s="5"/>
      <c r="J496" s="5"/>
      <c r="M496" s="5"/>
      <c r="N496" s="5"/>
      <c r="P496" s="5"/>
    </row>
    <row r="497" spans="2:16" ht="13">
      <c r="B497" s="36"/>
      <c r="C497" s="37"/>
      <c r="D497" s="5"/>
      <c r="E497" s="5"/>
      <c r="F497" s="5"/>
      <c r="G497" s="5"/>
      <c r="J497" s="5"/>
      <c r="M497" s="5"/>
      <c r="N497" s="5"/>
      <c r="P497" s="5"/>
    </row>
    <row r="498" spans="2:16" ht="13">
      <c r="B498" s="36"/>
      <c r="C498" s="37"/>
      <c r="D498" s="5"/>
      <c r="E498" s="5"/>
      <c r="F498" s="5"/>
      <c r="G498" s="5"/>
      <c r="J498" s="5"/>
      <c r="M498" s="5"/>
      <c r="N498" s="5"/>
      <c r="P498" s="5"/>
    </row>
    <row r="499" spans="2:16" ht="13">
      <c r="B499" s="36"/>
      <c r="C499" s="37"/>
      <c r="D499" s="5"/>
      <c r="E499" s="5"/>
      <c r="F499" s="5"/>
      <c r="G499" s="5"/>
      <c r="J499" s="5"/>
      <c r="M499" s="5"/>
      <c r="N499" s="5"/>
      <c r="P499" s="5"/>
    </row>
    <row r="500" spans="2:16" ht="13">
      <c r="B500" s="36"/>
      <c r="C500" s="37"/>
      <c r="D500" s="5"/>
      <c r="E500" s="5"/>
      <c r="F500" s="5"/>
      <c r="G500" s="5"/>
      <c r="J500" s="5"/>
      <c r="M500" s="5"/>
      <c r="N500" s="5"/>
      <c r="P500" s="5"/>
    </row>
    <row r="501" spans="2:16" ht="13">
      <c r="B501" s="36"/>
      <c r="C501" s="37"/>
      <c r="D501" s="5"/>
      <c r="E501" s="5"/>
      <c r="F501" s="5"/>
      <c r="G501" s="5"/>
      <c r="J501" s="5"/>
      <c r="M501" s="5"/>
      <c r="N501" s="5"/>
      <c r="P501" s="5"/>
    </row>
    <row r="502" spans="2:16" ht="13">
      <c r="B502" s="36"/>
      <c r="C502" s="37"/>
      <c r="D502" s="5"/>
      <c r="E502" s="5"/>
      <c r="F502" s="5"/>
      <c r="G502" s="5"/>
      <c r="J502" s="5"/>
      <c r="M502" s="5"/>
      <c r="N502" s="5"/>
      <c r="P502" s="5"/>
    </row>
    <row r="503" spans="2:16" ht="13">
      <c r="B503" s="36"/>
      <c r="C503" s="37"/>
      <c r="D503" s="5"/>
      <c r="E503" s="5"/>
      <c r="F503" s="5"/>
      <c r="G503" s="5"/>
      <c r="J503" s="5"/>
      <c r="M503" s="5"/>
      <c r="N503" s="5"/>
      <c r="P503" s="5"/>
    </row>
    <row r="504" spans="2:16" ht="13">
      <c r="B504" s="36"/>
      <c r="C504" s="37"/>
      <c r="D504" s="5"/>
      <c r="E504" s="5"/>
      <c r="F504" s="5"/>
      <c r="G504" s="5"/>
      <c r="J504" s="5"/>
      <c r="M504" s="5"/>
      <c r="N504" s="5"/>
      <c r="P504" s="5"/>
    </row>
    <row r="505" spans="2:16" ht="13">
      <c r="B505" s="36"/>
      <c r="C505" s="37"/>
      <c r="D505" s="5"/>
      <c r="E505" s="5"/>
      <c r="F505" s="5"/>
      <c r="G505" s="5"/>
      <c r="J505" s="5"/>
      <c r="M505" s="5"/>
      <c r="N505" s="5"/>
      <c r="P505" s="5"/>
    </row>
    <row r="506" spans="2:16" ht="13">
      <c r="B506" s="36"/>
      <c r="C506" s="37"/>
      <c r="D506" s="5"/>
      <c r="E506" s="5"/>
      <c r="F506" s="5"/>
      <c r="G506" s="5"/>
      <c r="J506" s="5"/>
      <c r="M506" s="5"/>
      <c r="N506" s="5"/>
      <c r="P506" s="5"/>
    </row>
    <row r="507" spans="2:16" ht="13">
      <c r="B507" s="36"/>
      <c r="C507" s="37"/>
      <c r="D507" s="5"/>
      <c r="E507" s="5"/>
      <c r="F507" s="5"/>
      <c r="G507" s="5"/>
      <c r="J507" s="5"/>
      <c r="M507" s="5"/>
      <c r="N507" s="5"/>
      <c r="P507" s="5"/>
    </row>
    <row r="508" spans="2:16" ht="13">
      <c r="B508" s="36"/>
      <c r="C508" s="37"/>
      <c r="D508" s="5"/>
      <c r="E508" s="5"/>
      <c r="F508" s="5"/>
      <c r="G508" s="5"/>
      <c r="J508" s="5"/>
      <c r="M508" s="5"/>
      <c r="N508" s="5"/>
      <c r="P508" s="5"/>
    </row>
    <row r="509" spans="2:16" ht="13">
      <c r="B509" s="36"/>
      <c r="C509" s="37"/>
      <c r="D509" s="5"/>
      <c r="E509" s="5"/>
      <c r="F509" s="5"/>
      <c r="G509" s="5"/>
      <c r="J509" s="5"/>
      <c r="M509" s="5"/>
      <c r="N509" s="5"/>
      <c r="P509" s="5"/>
    </row>
    <row r="510" spans="2:16" ht="13">
      <c r="B510" s="36"/>
      <c r="C510" s="37"/>
      <c r="D510" s="5"/>
      <c r="E510" s="5"/>
      <c r="F510" s="5"/>
      <c r="G510" s="5"/>
      <c r="J510" s="5"/>
      <c r="M510" s="5"/>
      <c r="N510" s="5"/>
      <c r="P510" s="5"/>
    </row>
    <row r="511" spans="2:16" ht="13">
      <c r="B511" s="36"/>
      <c r="C511" s="37"/>
      <c r="D511" s="5"/>
      <c r="E511" s="5"/>
      <c r="F511" s="5"/>
      <c r="G511" s="5"/>
      <c r="J511" s="5"/>
      <c r="M511" s="5"/>
      <c r="N511" s="5"/>
      <c r="P511" s="5"/>
    </row>
    <row r="512" spans="2:16" ht="13">
      <c r="B512" s="36"/>
      <c r="C512" s="37"/>
      <c r="D512" s="5"/>
      <c r="E512" s="5"/>
      <c r="F512" s="5"/>
      <c r="G512" s="5"/>
      <c r="J512" s="5"/>
      <c r="M512" s="5"/>
      <c r="N512" s="5"/>
      <c r="P512" s="5"/>
    </row>
    <row r="513" spans="2:16" ht="13">
      <c r="B513" s="36"/>
      <c r="C513" s="37"/>
      <c r="D513" s="5"/>
      <c r="E513" s="5"/>
      <c r="F513" s="5"/>
      <c r="G513" s="5"/>
      <c r="J513" s="5"/>
      <c r="M513" s="5"/>
      <c r="N513" s="5"/>
      <c r="P513" s="5"/>
    </row>
    <row r="514" spans="2:16" ht="13">
      <c r="B514" s="36"/>
      <c r="C514" s="37"/>
      <c r="D514" s="5"/>
      <c r="E514" s="5"/>
      <c r="F514" s="5"/>
      <c r="G514" s="5"/>
      <c r="J514" s="5"/>
      <c r="M514" s="5"/>
      <c r="N514" s="5"/>
      <c r="P514" s="5"/>
    </row>
    <row r="515" spans="2:16" ht="13">
      <c r="B515" s="36"/>
      <c r="C515" s="37"/>
      <c r="D515" s="5"/>
      <c r="E515" s="5"/>
      <c r="F515" s="5"/>
      <c r="G515" s="5"/>
      <c r="J515" s="5"/>
      <c r="M515" s="5"/>
      <c r="N515" s="5"/>
      <c r="P515" s="5"/>
    </row>
    <row r="516" spans="2:16" ht="13">
      <c r="B516" s="36"/>
      <c r="C516" s="37"/>
      <c r="D516" s="5"/>
      <c r="E516" s="5"/>
      <c r="F516" s="5"/>
      <c r="G516" s="5"/>
      <c r="J516" s="5"/>
      <c r="M516" s="5"/>
      <c r="N516" s="5"/>
      <c r="P516" s="5"/>
    </row>
    <row r="517" spans="2:16" ht="13">
      <c r="B517" s="36"/>
      <c r="C517" s="37"/>
      <c r="D517" s="5"/>
      <c r="E517" s="5"/>
      <c r="F517" s="5"/>
      <c r="G517" s="5"/>
      <c r="J517" s="5"/>
      <c r="M517" s="5"/>
      <c r="N517" s="5"/>
      <c r="P517" s="5"/>
    </row>
    <row r="518" spans="2:16" ht="13">
      <c r="B518" s="36"/>
      <c r="C518" s="37"/>
      <c r="D518" s="5"/>
      <c r="E518" s="5"/>
      <c r="F518" s="5"/>
      <c r="G518" s="5"/>
      <c r="J518" s="5"/>
      <c r="M518" s="5"/>
      <c r="N518" s="5"/>
      <c r="P518" s="5"/>
    </row>
    <row r="519" spans="2:16" ht="13">
      <c r="B519" s="36"/>
      <c r="C519" s="37"/>
      <c r="D519" s="5"/>
      <c r="E519" s="5"/>
      <c r="F519" s="5"/>
      <c r="G519" s="5"/>
      <c r="J519" s="5"/>
      <c r="M519" s="5"/>
      <c r="N519" s="5"/>
      <c r="P519" s="5"/>
    </row>
    <row r="520" spans="2:16" ht="13">
      <c r="B520" s="36"/>
      <c r="C520" s="37"/>
      <c r="D520" s="5"/>
      <c r="E520" s="5"/>
      <c r="F520" s="5"/>
      <c r="G520" s="5"/>
      <c r="J520" s="5"/>
      <c r="M520" s="5"/>
      <c r="N520" s="5"/>
      <c r="P520" s="5"/>
    </row>
    <row r="521" spans="2:16" ht="13">
      <c r="B521" s="36"/>
      <c r="C521" s="37"/>
      <c r="D521" s="5"/>
      <c r="E521" s="5"/>
      <c r="F521" s="5"/>
      <c r="G521" s="5"/>
      <c r="J521" s="5"/>
      <c r="M521" s="5"/>
      <c r="N521" s="5"/>
      <c r="P521" s="5"/>
    </row>
    <row r="522" spans="2:16" ht="13">
      <c r="B522" s="36"/>
      <c r="C522" s="37"/>
      <c r="D522" s="5"/>
      <c r="E522" s="5"/>
      <c r="F522" s="5"/>
      <c r="G522" s="5"/>
      <c r="J522" s="5"/>
      <c r="M522" s="5"/>
      <c r="N522" s="5"/>
      <c r="P522" s="5"/>
    </row>
    <row r="523" spans="2:16" ht="13">
      <c r="B523" s="36"/>
      <c r="C523" s="37"/>
      <c r="D523" s="5"/>
      <c r="E523" s="5"/>
      <c r="F523" s="5"/>
      <c r="G523" s="5"/>
      <c r="J523" s="5"/>
      <c r="M523" s="5"/>
      <c r="N523" s="5"/>
      <c r="P523" s="5"/>
    </row>
    <row r="524" spans="2:16" ht="13">
      <c r="B524" s="36"/>
      <c r="C524" s="37"/>
      <c r="D524" s="5"/>
      <c r="E524" s="5"/>
      <c r="F524" s="5"/>
      <c r="G524" s="5"/>
      <c r="J524" s="5"/>
      <c r="M524" s="5"/>
      <c r="N524" s="5"/>
      <c r="P524" s="5"/>
    </row>
    <row r="525" spans="2:16" ht="13">
      <c r="B525" s="36"/>
      <c r="C525" s="37"/>
      <c r="D525" s="5"/>
      <c r="E525" s="5"/>
      <c r="F525" s="5"/>
      <c r="G525" s="5"/>
      <c r="J525" s="5"/>
      <c r="M525" s="5"/>
      <c r="N525" s="5"/>
      <c r="P525" s="5"/>
    </row>
    <row r="526" spans="2:16" ht="13">
      <c r="B526" s="36"/>
      <c r="C526" s="37"/>
      <c r="D526" s="5"/>
      <c r="E526" s="5"/>
      <c r="F526" s="5"/>
      <c r="G526" s="5"/>
      <c r="J526" s="5"/>
      <c r="M526" s="5"/>
      <c r="N526" s="5"/>
      <c r="P526" s="5"/>
    </row>
    <row r="527" spans="2:16" ht="13">
      <c r="B527" s="36"/>
      <c r="C527" s="37"/>
      <c r="D527" s="5"/>
      <c r="E527" s="5"/>
      <c r="F527" s="5"/>
      <c r="G527" s="5"/>
      <c r="J527" s="5"/>
      <c r="M527" s="5"/>
      <c r="N527" s="5"/>
      <c r="P527" s="5"/>
    </row>
    <row r="528" spans="2:16" ht="13">
      <c r="B528" s="36"/>
      <c r="C528" s="37"/>
      <c r="D528" s="5"/>
      <c r="E528" s="5"/>
      <c r="F528" s="5"/>
      <c r="G528" s="5"/>
      <c r="J528" s="5"/>
      <c r="M528" s="5"/>
      <c r="N528" s="5"/>
      <c r="P528" s="5"/>
    </row>
    <row r="529" spans="2:16" ht="13">
      <c r="B529" s="36"/>
      <c r="C529" s="37"/>
      <c r="D529" s="5"/>
      <c r="E529" s="5"/>
      <c r="F529" s="5"/>
      <c r="G529" s="5"/>
      <c r="J529" s="5"/>
      <c r="M529" s="5"/>
      <c r="N529" s="5"/>
      <c r="P529" s="5"/>
    </row>
    <row r="530" spans="2:16" ht="13">
      <c r="B530" s="36"/>
      <c r="C530" s="37"/>
      <c r="D530" s="5"/>
      <c r="E530" s="5"/>
      <c r="F530" s="5"/>
      <c r="G530" s="5"/>
      <c r="J530" s="5"/>
      <c r="M530" s="5"/>
      <c r="N530" s="5"/>
      <c r="P530" s="5"/>
    </row>
    <row r="531" spans="2:16" ht="13">
      <c r="B531" s="36"/>
      <c r="C531" s="37"/>
      <c r="D531" s="5"/>
      <c r="E531" s="5"/>
      <c r="F531" s="5"/>
      <c r="G531" s="5"/>
      <c r="J531" s="5"/>
      <c r="M531" s="5"/>
      <c r="N531" s="5"/>
      <c r="P531" s="5"/>
    </row>
    <row r="532" spans="2:16" ht="13">
      <c r="B532" s="36"/>
      <c r="C532" s="37"/>
      <c r="D532" s="5"/>
      <c r="E532" s="5"/>
      <c r="F532" s="5"/>
      <c r="G532" s="5"/>
      <c r="J532" s="5"/>
      <c r="M532" s="5"/>
      <c r="N532" s="5"/>
      <c r="P532" s="5"/>
    </row>
    <row r="533" spans="2:16" ht="13">
      <c r="B533" s="36"/>
      <c r="C533" s="37"/>
      <c r="D533" s="5"/>
      <c r="E533" s="5"/>
      <c r="F533" s="5"/>
      <c r="G533" s="5"/>
      <c r="J533" s="5"/>
      <c r="M533" s="5"/>
      <c r="N533" s="5"/>
      <c r="P533" s="5"/>
    </row>
    <row r="534" spans="2:16" ht="13">
      <c r="B534" s="36"/>
      <c r="C534" s="37"/>
      <c r="D534" s="5"/>
      <c r="E534" s="5"/>
      <c r="F534" s="5"/>
      <c r="G534" s="5"/>
      <c r="J534" s="5"/>
      <c r="M534" s="5"/>
      <c r="N534" s="5"/>
      <c r="P534" s="5"/>
    </row>
    <row r="535" spans="2:16" ht="13">
      <c r="B535" s="36"/>
      <c r="C535" s="37"/>
      <c r="D535" s="5"/>
      <c r="E535" s="5"/>
      <c r="F535" s="5"/>
      <c r="G535" s="5"/>
      <c r="J535" s="5"/>
      <c r="M535" s="5"/>
      <c r="N535" s="5"/>
      <c r="P535" s="5"/>
    </row>
    <row r="536" spans="2:16" ht="13">
      <c r="B536" s="36"/>
      <c r="C536" s="37"/>
      <c r="D536" s="5"/>
      <c r="E536" s="5"/>
      <c r="F536" s="5"/>
      <c r="G536" s="5"/>
      <c r="J536" s="5"/>
      <c r="M536" s="5"/>
      <c r="N536" s="5"/>
      <c r="P536" s="5"/>
    </row>
    <row r="537" spans="2:16" ht="13">
      <c r="B537" s="36"/>
      <c r="C537" s="37"/>
      <c r="D537" s="5"/>
      <c r="E537" s="5"/>
      <c r="F537" s="5"/>
      <c r="G537" s="5"/>
      <c r="J537" s="5"/>
      <c r="M537" s="5"/>
      <c r="N537" s="5"/>
      <c r="P537" s="5"/>
    </row>
    <row r="538" spans="2:16" ht="13">
      <c r="B538" s="36"/>
      <c r="C538" s="37"/>
      <c r="D538" s="5"/>
      <c r="E538" s="5"/>
      <c r="F538" s="5"/>
      <c r="G538" s="5"/>
      <c r="J538" s="5"/>
      <c r="M538" s="5"/>
      <c r="N538" s="5"/>
      <c r="P538" s="5"/>
    </row>
    <row r="539" spans="2:16" ht="13">
      <c r="B539" s="36"/>
      <c r="C539" s="37"/>
      <c r="D539" s="5"/>
      <c r="E539" s="5"/>
      <c r="F539" s="5"/>
      <c r="G539" s="5"/>
      <c r="J539" s="5"/>
      <c r="M539" s="5"/>
      <c r="N539" s="5"/>
      <c r="P539" s="5"/>
    </row>
    <row r="540" spans="2:16" ht="13">
      <c r="B540" s="36"/>
      <c r="C540" s="37"/>
      <c r="D540" s="5"/>
      <c r="E540" s="5"/>
      <c r="F540" s="5"/>
      <c r="G540" s="5"/>
      <c r="J540" s="5"/>
      <c r="M540" s="5"/>
      <c r="N540" s="5"/>
      <c r="P540" s="5"/>
    </row>
    <row r="541" spans="2:16" ht="13">
      <c r="B541" s="36"/>
      <c r="C541" s="37"/>
      <c r="D541" s="5"/>
      <c r="E541" s="5"/>
      <c r="F541" s="5"/>
      <c r="G541" s="5"/>
      <c r="J541" s="5"/>
      <c r="M541" s="5"/>
      <c r="N541" s="5"/>
      <c r="P541" s="5"/>
    </row>
    <row r="542" spans="2:16" ht="13">
      <c r="B542" s="36"/>
      <c r="C542" s="37"/>
      <c r="D542" s="5"/>
      <c r="E542" s="5"/>
      <c r="F542" s="5"/>
      <c r="G542" s="5"/>
      <c r="J542" s="5"/>
      <c r="M542" s="5"/>
      <c r="N542" s="5"/>
      <c r="P542" s="5"/>
    </row>
    <row r="543" spans="2:16" ht="13">
      <c r="B543" s="36"/>
      <c r="C543" s="37"/>
      <c r="D543" s="5"/>
      <c r="E543" s="5"/>
      <c r="F543" s="5"/>
      <c r="G543" s="5"/>
      <c r="J543" s="5"/>
      <c r="M543" s="5"/>
      <c r="N543" s="5"/>
      <c r="P543" s="5"/>
    </row>
    <row r="544" spans="2:16" ht="13">
      <c r="B544" s="36"/>
      <c r="C544" s="37"/>
      <c r="D544" s="5"/>
      <c r="E544" s="5"/>
      <c r="F544" s="5"/>
      <c r="G544" s="5"/>
      <c r="J544" s="5"/>
      <c r="M544" s="5"/>
      <c r="N544" s="5"/>
      <c r="P544" s="5"/>
    </row>
    <row r="545" spans="2:16" ht="13">
      <c r="B545" s="36"/>
      <c r="C545" s="37"/>
      <c r="D545" s="5"/>
      <c r="E545" s="5"/>
      <c r="F545" s="5"/>
      <c r="G545" s="5"/>
      <c r="J545" s="5"/>
      <c r="M545" s="5"/>
      <c r="N545" s="5"/>
      <c r="P545" s="5"/>
    </row>
    <row r="546" spans="2:16" ht="13">
      <c r="B546" s="36"/>
      <c r="C546" s="37"/>
      <c r="D546" s="5"/>
      <c r="E546" s="5"/>
      <c r="F546" s="5"/>
      <c r="G546" s="5"/>
      <c r="J546" s="5"/>
      <c r="M546" s="5"/>
      <c r="N546" s="5"/>
      <c r="P546" s="5"/>
    </row>
    <row r="547" spans="2:16" ht="13">
      <c r="B547" s="36"/>
      <c r="C547" s="37"/>
      <c r="D547" s="5"/>
      <c r="E547" s="5"/>
      <c r="F547" s="5"/>
      <c r="G547" s="5"/>
      <c r="J547" s="5"/>
      <c r="M547" s="5"/>
      <c r="N547" s="5"/>
      <c r="P547" s="5"/>
    </row>
    <row r="548" spans="2:16" ht="13">
      <c r="B548" s="36"/>
      <c r="C548" s="37"/>
      <c r="D548" s="5"/>
      <c r="E548" s="5"/>
      <c r="F548" s="5"/>
      <c r="G548" s="5"/>
      <c r="J548" s="5"/>
      <c r="M548" s="5"/>
      <c r="N548" s="5"/>
      <c r="P548" s="5"/>
    </row>
    <row r="549" spans="2:16" ht="13">
      <c r="B549" s="36"/>
      <c r="C549" s="37"/>
      <c r="D549" s="5"/>
      <c r="E549" s="5"/>
      <c r="F549" s="5"/>
      <c r="G549" s="5"/>
      <c r="J549" s="5"/>
      <c r="M549" s="5"/>
      <c r="N549" s="5"/>
      <c r="P549" s="5"/>
    </row>
    <row r="550" spans="2:16" ht="13">
      <c r="B550" s="36"/>
      <c r="C550" s="37"/>
      <c r="D550" s="5"/>
      <c r="E550" s="5"/>
      <c r="F550" s="5"/>
      <c r="G550" s="5"/>
      <c r="J550" s="5"/>
      <c r="M550" s="5"/>
      <c r="N550" s="5"/>
      <c r="P550" s="5"/>
    </row>
    <row r="551" spans="2:16" ht="13">
      <c r="B551" s="36"/>
      <c r="C551" s="37"/>
      <c r="D551" s="5"/>
      <c r="E551" s="5"/>
      <c r="F551" s="5"/>
      <c r="G551" s="5"/>
      <c r="J551" s="5"/>
      <c r="M551" s="5"/>
      <c r="N551" s="5"/>
      <c r="P551" s="5"/>
    </row>
    <row r="552" spans="2:16" ht="13">
      <c r="B552" s="36"/>
      <c r="C552" s="37"/>
      <c r="D552" s="5"/>
      <c r="E552" s="5"/>
      <c r="F552" s="5"/>
      <c r="G552" s="5"/>
      <c r="J552" s="5"/>
      <c r="M552" s="5"/>
      <c r="N552" s="5"/>
      <c r="P552" s="5"/>
    </row>
    <row r="553" spans="2:16" ht="13">
      <c r="B553" s="36"/>
      <c r="C553" s="37"/>
      <c r="D553" s="5"/>
      <c r="E553" s="5"/>
      <c r="F553" s="5"/>
      <c r="G553" s="5"/>
      <c r="J553" s="5"/>
      <c r="M553" s="5"/>
      <c r="N553" s="5"/>
      <c r="P553" s="5"/>
    </row>
    <row r="554" spans="2:16" ht="13">
      <c r="B554" s="36"/>
      <c r="C554" s="37"/>
      <c r="D554" s="5"/>
      <c r="E554" s="5"/>
      <c r="F554" s="5"/>
      <c r="G554" s="5"/>
      <c r="J554" s="5"/>
      <c r="M554" s="5"/>
      <c r="N554" s="5"/>
      <c r="P554" s="5"/>
    </row>
    <row r="555" spans="2:16" ht="13">
      <c r="B555" s="36"/>
      <c r="C555" s="37"/>
      <c r="D555" s="5"/>
      <c r="E555" s="5"/>
      <c r="F555" s="5"/>
      <c r="G555" s="5"/>
      <c r="J555" s="5"/>
      <c r="M555" s="5"/>
      <c r="N555" s="5"/>
      <c r="P555" s="5"/>
    </row>
    <row r="556" spans="2:16" ht="13">
      <c r="B556" s="36"/>
      <c r="C556" s="37"/>
      <c r="D556" s="5"/>
      <c r="E556" s="5"/>
      <c r="F556" s="5"/>
      <c r="G556" s="5"/>
      <c r="J556" s="5"/>
      <c r="M556" s="5"/>
      <c r="N556" s="5"/>
      <c r="P556" s="5"/>
    </row>
    <row r="557" spans="2:16" ht="13">
      <c r="B557" s="36"/>
      <c r="C557" s="37"/>
      <c r="D557" s="5"/>
      <c r="E557" s="5"/>
      <c r="F557" s="5"/>
      <c r="G557" s="5"/>
      <c r="J557" s="5"/>
      <c r="M557" s="5"/>
      <c r="N557" s="5"/>
      <c r="P557" s="5"/>
    </row>
    <row r="558" spans="2:16" ht="13">
      <c r="B558" s="36"/>
      <c r="C558" s="37"/>
      <c r="D558" s="5"/>
      <c r="E558" s="5"/>
      <c r="F558" s="5"/>
      <c r="G558" s="5"/>
      <c r="J558" s="5"/>
      <c r="M558" s="5"/>
      <c r="N558" s="5"/>
      <c r="P558" s="5"/>
    </row>
    <row r="559" spans="2:16" ht="13">
      <c r="B559" s="36"/>
      <c r="C559" s="37"/>
      <c r="D559" s="5"/>
      <c r="E559" s="5"/>
      <c r="F559" s="5"/>
      <c r="G559" s="5"/>
      <c r="J559" s="5"/>
      <c r="M559" s="5"/>
      <c r="N559" s="5"/>
      <c r="P559" s="5"/>
    </row>
    <row r="560" spans="2:16" ht="13">
      <c r="B560" s="36"/>
      <c r="C560" s="37"/>
      <c r="D560" s="5"/>
      <c r="E560" s="5"/>
      <c r="F560" s="5"/>
      <c r="G560" s="5"/>
      <c r="J560" s="5"/>
      <c r="M560" s="5"/>
      <c r="N560" s="5"/>
      <c r="P560" s="5"/>
    </row>
    <row r="561" spans="2:16" ht="13">
      <c r="B561" s="36"/>
      <c r="C561" s="37"/>
      <c r="D561" s="5"/>
      <c r="E561" s="5"/>
      <c r="F561" s="5"/>
      <c r="G561" s="5"/>
      <c r="J561" s="5"/>
      <c r="M561" s="5"/>
      <c r="N561" s="5"/>
      <c r="P561" s="5"/>
    </row>
    <row r="562" spans="2:16" ht="13">
      <c r="B562" s="36"/>
      <c r="C562" s="37"/>
      <c r="D562" s="5"/>
      <c r="E562" s="5"/>
      <c r="F562" s="5"/>
      <c r="G562" s="5"/>
      <c r="J562" s="5"/>
      <c r="M562" s="5"/>
      <c r="N562" s="5"/>
      <c r="P562" s="5"/>
    </row>
    <row r="563" spans="2:16" ht="13">
      <c r="B563" s="36"/>
      <c r="C563" s="37"/>
      <c r="D563" s="5"/>
      <c r="E563" s="5"/>
      <c r="F563" s="5"/>
      <c r="G563" s="5"/>
      <c r="J563" s="5"/>
      <c r="M563" s="5"/>
      <c r="N563" s="5"/>
      <c r="P563" s="5"/>
    </row>
    <row r="564" spans="2:16" ht="13">
      <c r="B564" s="36"/>
      <c r="C564" s="37"/>
      <c r="D564" s="5"/>
      <c r="E564" s="5"/>
      <c r="F564" s="5"/>
      <c r="G564" s="5"/>
      <c r="J564" s="5"/>
      <c r="M564" s="5"/>
      <c r="N564" s="5"/>
      <c r="P564" s="5"/>
    </row>
    <row r="565" spans="2:16" ht="13">
      <c r="B565" s="36"/>
      <c r="C565" s="37"/>
      <c r="D565" s="5"/>
      <c r="E565" s="5"/>
      <c r="F565" s="5"/>
      <c r="G565" s="5"/>
      <c r="J565" s="5"/>
      <c r="M565" s="5"/>
      <c r="N565" s="5"/>
      <c r="P565" s="5"/>
    </row>
    <row r="566" spans="2:16" ht="13">
      <c r="B566" s="36"/>
      <c r="C566" s="37"/>
      <c r="D566" s="5"/>
      <c r="E566" s="5"/>
      <c r="F566" s="5"/>
      <c r="G566" s="5"/>
      <c r="J566" s="5"/>
      <c r="M566" s="5"/>
      <c r="N566" s="5"/>
      <c r="P566" s="5"/>
    </row>
    <row r="567" spans="2:16" ht="13">
      <c r="B567" s="36"/>
      <c r="C567" s="37"/>
      <c r="D567" s="5"/>
      <c r="E567" s="5"/>
      <c r="F567" s="5"/>
      <c r="G567" s="5"/>
      <c r="J567" s="5"/>
      <c r="M567" s="5"/>
      <c r="N567" s="5"/>
      <c r="P567" s="5"/>
    </row>
    <row r="568" spans="2:16" ht="13">
      <c r="B568" s="36"/>
      <c r="C568" s="37"/>
      <c r="D568" s="5"/>
      <c r="E568" s="5"/>
      <c r="F568" s="5"/>
      <c r="G568" s="5"/>
      <c r="J568" s="5"/>
      <c r="M568" s="5"/>
      <c r="N568" s="5"/>
      <c r="P568" s="5"/>
    </row>
    <row r="569" spans="2:16" ht="13">
      <c r="B569" s="36"/>
      <c r="C569" s="37"/>
      <c r="D569" s="5"/>
      <c r="E569" s="5"/>
      <c r="F569" s="5"/>
      <c r="G569" s="5"/>
      <c r="J569" s="5"/>
      <c r="M569" s="5"/>
      <c r="N569" s="5"/>
      <c r="P569" s="5"/>
    </row>
    <row r="570" spans="2:16" ht="13">
      <c r="B570" s="36"/>
      <c r="C570" s="37"/>
      <c r="D570" s="5"/>
      <c r="E570" s="5"/>
      <c r="F570" s="5"/>
      <c r="G570" s="5"/>
      <c r="J570" s="5"/>
      <c r="M570" s="5"/>
      <c r="N570" s="5"/>
      <c r="P570" s="5"/>
    </row>
    <row r="571" spans="2:16" ht="13">
      <c r="B571" s="36"/>
      <c r="C571" s="37"/>
      <c r="D571" s="5"/>
      <c r="E571" s="5"/>
      <c r="F571" s="5"/>
      <c r="G571" s="5"/>
      <c r="J571" s="5"/>
      <c r="M571" s="5"/>
      <c r="N571" s="5"/>
      <c r="P571" s="5"/>
    </row>
    <row r="572" spans="2:16" ht="13">
      <c r="B572" s="36"/>
      <c r="C572" s="37"/>
      <c r="D572" s="5"/>
      <c r="E572" s="5"/>
      <c r="F572" s="5"/>
      <c r="G572" s="5"/>
      <c r="J572" s="5"/>
      <c r="M572" s="5"/>
      <c r="N572" s="5"/>
      <c r="P572" s="5"/>
    </row>
    <row r="573" spans="2:16" ht="13">
      <c r="B573" s="36"/>
      <c r="C573" s="37"/>
      <c r="D573" s="5"/>
      <c r="E573" s="5"/>
      <c r="F573" s="5"/>
      <c r="G573" s="5"/>
      <c r="J573" s="5"/>
      <c r="M573" s="5"/>
      <c r="N573" s="5"/>
      <c r="P573" s="5"/>
    </row>
    <row r="574" spans="2:16" ht="13">
      <c r="B574" s="36"/>
      <c r="C574" s="37"/>
      <c r="D574" s="5"/>
      <c r="E574" s="5"/>
      <c r="F574" s="5"/>
      <c r="G574" s="5"/>
      <c r="J574" s="5"/>
      <c r="M574" s="5"/>
      <c r="N574" s="5"/>
      <c r="P574" s="5"/>
    </row>
    <row r="575" spans="2:16" ht="13">
      <c r="B575" s="36"/>
      <c r="C575" s="37"/>
      <c r="D575" s="5"/>
      <c r="E575" s="5"/>
      <c r="F575" s="5"/>
      <c r="G575" s="5"/>
      <c r="J575" s="5"/>
      <c r="M575" s="5"/>
      <c r="N575" s="5"/>
      <c r="P575" s="5"/>
    </row>
    <row r="576" spans="2:16" ht="13">
      <c r="B576" s="36"/>
      <c r="C576" s="37"/>
      <c r="D576" s="5"/>
      <c r="E576" s="5"/>
      <c r="F576" s="5"/>
      <c r="G576" s="5"/>
      <c r="J576" s="5"/>
      <c r="M576" s="5"/>
      <c r="N576" s="5"/>
      <c r="P576" s="5"/>
    </row>
    <row r="577" spans="2:16" ht="13">
      <c r="B577" s="36"/>
      <c r="C577" s="37"/>
      <c r="D577" s="5"/>
      <c r="E577" s="5"/>
      <c r="F577" s="5"/>
      <c r="G577" s="5"/>
      <c r="J577" s="5"/>
      <c r="M577" s="5"/>
      <c r="N577" s="5"/>
      <c r="P577" s="5"/>
    </row>
    <row r="578" spans="2:16" ht="13">
      <c r="B578" s="36"/>
      <c r="C578" s="37"/>
      <c r="D578" s="5"/>
      <c r="E578" s="5"/>
      <c r="F578" s="5"/>
      <c r="G578" s="5"/>
      <c r="J578" s="5"/>
      <c r="M578" s="5"/>
      <c r="N578" s="5"/>
      <c r="P578" s="5"/>
    </row>
    <row r="579" spans="2:16" ht="13">
      <c r="B579" s="36"/>
      <c r="C579" s="37"/>
      <c r="D579" s="5"/>
      <c r="E579" s="5"/>
      <c r="F579" s="5"/>
      <c r="G579" s="5"/>
      <c r="J579" s="5"/>
      <c r="M579" s="5"/>
      <c r="N579" s="5"/>
      <c r="P579" s="5"/>
    </row>
    <row r="580" spans="2:16" ht="13">
      <c r="B580" s="36"/>
      <c r="C580" s="37"/>
      <c r="D580" s="5"/>
      <c r="E580" s="5"/>
      <c r="F580" s="5"/>
      <c r="G580" s="5"/>
      <c r="J580" s="5"/>
      <c r="M580" s="5"/>
      <c r="N580" s="5"/>
      <c r="P580" s="5"/>
    </row>
    <row r="581" spans="2:16" ht="13">
      <c r="B581" s="36"/>
      <c r="C581" s="37"/>
      <c r="D581" s="5"/>
      <c r="E581" s="5"/>
      <c r="F581" s="5"/>
      <c r="G581" s="5"/>
      <c r="J581" s="5"/>
      <c r="M581" s="5"/>
      <c r="N581" s="5"/>
      <c r="P581" s="5"/>
    </row>
    <row r="582" spans="2:16" ht="13">
      <c r="B582" s="36"/>
      <c r="C582" s="37"/>
      <c r="D582" s="5"/>
      <c r="E582" s="5"/>
      <c r="F582" s="5"/>
      <c r="G582" s="5"/>
      <c r="J582" s="5"/>
      <c r="M582" s="5"/>
      <c r="N582" s="5"/>
      <c r="P582" s="5"/>
    </row>
    <row r="583" spans="2:16" ht="13">
      <c r="B583" s="36"/>
      <c r="C583" s="37"/>
      <c r="D583" s="5"/>
      <c r="E583" s="5"/>
      <c r="F583" s="5"/>
      <c r="G583" s="5"/>
      <c r="J583" s="5"/>
      <c r="M583" s="5"/>
      <c r="N583" s="5"/>
      <c r="P583" s="5"/>
    </row>
    <row r="584" spans="2:16" ht="13">
      <c r="B584" s="36"/>
      <c r="C584" s="37"/>
      <c r="D584" s="5"/>
      <c r="E584" s="5"/>
      <c r="F584" s="5"/>
      <c r="G584" s="5"/>
      <c r="J584" s="5"/>
      <c r="M584" s="5"/>
      <c r="N584" s="5"/>
      <c r="P584" s="5"/>
    </row>
    <row r="585" spans="2:16" ht="13">
      <c r="B585" s="36"/>
      <c r="C585" s="37"/>
      <c r="D585" s="5"/>
      <c r="E585" s="5"/>
      <c r="F585" s="5"/>
      <c r="G585" s="5"/>
      <c r="J585" s="5"/>
      <c r="M585" s="5"/>
      <c r="N585" s="5"/>
      <c r="P585" s="5"/>
    </row>
    <row r="586" spans="2:16" ht="13">
      <c r="B586" s="36"/>
      <c r="C586" s="37"/>
      <c r="D586" s="5"/>
      <c r="E586" s="5"/>
      <c r="F586" s="5"/>
      <c r="G586" s="5"/>
      <c r="J586" s="5"/>
      <c r="M586" s="5"/>
      <c r="N586" s="5"/>
      <c r="P586" s="5"/>
    </row>
    <row r="587" spans="2:16" ht="13">
      <c r="B587" s="36"/>
      <c r="C587" s="37"/>
      <c r="D587" s="5"/>
      <c r="E587" s="5"/>
      <c r="F587" s="5"/>
      <c r="G587" s="5"/>
      <c r="J587" s="5"/>
      <c r="M587" s="5"/>
      <c r="N587" s="5"/>
      <c r="P587" s="5"/>
    </row>
    <row r="588" spans="2:16" ht="13">
      <c r="B588" s="36"/>
      <c r="C588" s="37"/>
      <c r="D588" s="5"/>
      <c r="E588" s="5"/>
      <c r="F588" s="5"/>
      <c r="G588" s="5"/>
      <c r="J588" s="5"/>
      <c r="M588" s="5"/>
      <c r="N588" s="5"/>
      <c r="P588" s="5"/>
    </row>
    <row r="589" spans="2:16" ht="13">
      <c r="B589" s="36"/>
      <c r="C589" s="37"/>
      <c r="D589" s="5"/>
      <c r="E589" s="5"/>
      <c r="F589" s="5"/>
      <c r="G589" s="5"/>
      <c r="J589" s="5"/>
      <c r="M589" s="5"/>
      <c r="N589" s="5"/>
      <c r="P589" s="5"/>
    </row>
    <row r="590" spans="2:16" ht="13">
      <c r="B590" s="36"/>
      <c r="C590" s="37"/>
      <c r="D590" s="5"/>
      <c r="E590" s="5"/>
      <c r="F590" s="5"/>
      <c r="G590" s="5"/>
      <c r="J590" s="5"/>
      <c r="M590" s="5"/>
      <c r="N590" s="5"/>
      <c r="P590" s="5"/>
    </row>
    <row r="591" spans="2:16" ht="13">
      <c r="B591" s="36"/>
      <c r="C591" s="37"/>
      <c r="D591" s="5"/>
      <c r="E591" s="5"/>
      <c r="F591" s="5"/>
      <c r="G591" s="5"/>
      <c r="J591" s="5"/>
      <c r="M591" s="5"/>
      <c r="N591" s="5"/>
      <c r="P591" s="5"/>
    </row>
    <row r="592" spans="2:16" ht="13">
      <c r="B592" s="36"/>
      <c r="C592" s="37"/>
      <c r="D592" s="5"/>
      <c r="E592" s="5"/>
      <c r="F592" s="5"/>
      <c r="G592" s="5"/>
      <c r="J592" s="5"/>
      <c r="M592" s="5"/>
      <c r="N592" s="5"/>
      <c r="P592" s="5"/>
    </row>
    <row r="593" spans="2:16" ht="13">
      <c r="B593" s="36"/>
      <c r="C593" s="37"/>
      <c r="D593" s="5"/>
      <c r="E593" s="5"/>
      <c r="F593" s="5"/>
      <c r="G593" s="5"/>
      <c r="J593" s="5"/>
      <c r="M593" s="5"/>
      <c r="N593" s="5"/>
      <c r="P593" s="5"/>
    </row>
    <row r="594" spans="2:16" ht="13">
      <c r="B594" s="36"/>
      <c r="C594" s="37"/>
      <c r="D594" s="5"/>
      <c r="E594" s="5"/>
      <c r="F594" s="5"/>
      <c r="G594" s="5"/>
      <c r="J594" s="5"/>
      <c r="M594" s="5"/>
      <c r="N594" s="5"/>
      <c r="P594" s="5"/>
    </row>
    <row r="595" spans="2:16" ht="13">
      <c r="B595" s="36"/>
      <c r="C595" s="37"/>
      <c r="D595" s="5"/>
      <c r="E595" s="5"/>
      <c r="F595" s="5"/>
      <c r="G595" s="5"/>
      <c r="J595" s="5"/>
      <c r="M595" s="5"/>
      <c r="N595" s="5"/>
      <c r="P595" s="5"/>
    </row>
    <row r="596" spans="2:16" ht="13">
      <c r="B596" s="36"/>
      <c r="C596" s="37"/>
      <c r="D596" s="5"/>
      <c r="E596" s="5"/>
      <c r="F596" s="5"/>
      <c r="G596" s="5"/>
      <c r="J596" s="5"/>
      <c r="M596" s="5"/>
      <c r="N596" s="5"/>
      <c r="P596" s="5"/>
    </row>
    <row r="597" spans="2:16" ht="13">
      <c r="B597" s="36"/>
      <c r="C597" s="37"/>
      <c r="D597" s="5"/>
      <c r="E597" s="5"/>
      <c r="F597" s="5"/>
      <c r="G597" s="5"/>
      <c r="J597" s="5"/>
      <c r="M597" s="5"/>
      <c r="N597" s="5"/>
      <c r="P597" s="5"/>
    </row>
    <row r="598" spans="2:16" ht="13">
      <c r="B598" s="36"/>
      <c r="C598" s="37"/>
      <c r="D598" s="5"/>
      <c r="E598" s="5"/>
      <c r="F598" s="5"/>
      <c r="G598" s="5"/>
      <c r="J598" s="5"/>
      <c r="M598" s="5"/>
      <c r="N598" s="5"/>
      <c r="P598" s="5"/>
    </row>
    <row r="599" spans="2:16" ht="13">
      <c r="B599" s="36"/>
      <c r="C599" s="37"/>
      <c r="D599" s="5"/>
      <c r="E599" s="5"/>
      <c r="F599" s="5"/>
      <c r="G599" s="5"/>
      <c r="J599" s="5"/>
      <c r="M599" s="5"/>
      <c r="N599" s="5"/>
      <c r="P599" s="5"/>
    </row>
    <row r="600" spans="2:16" ht="13">
      <c r="B600" s="36"/>
      <c r="C600" s="37"/>
      <c r="D600" s="5"/>
      <c r="E600" s="5"/>
      <c r="F600" s="5"/>
      <c r="G600" s="5"/>
      <c r="J600" s="5"/>
      <c r="M600" s="5"/>
      <c r="N600" s="5"/>
      <c r="P600" s="5"/>
    </row>
    <row r="601" spans="2:16" ht="13">
      <c r="B601" s="36"/>
      <c r="C601" s="37"/>
      <c r="D601" s="5"/>
      <c r="E601" s="5"/>
      <c r="F601" s="5"/>
      <c r="G601" s="5"/>
      <c r="J601" s="5"/>
      <c r="M601" s="5"/>
      <c r="N601" s="5"/>
      <c r="P601" s="5"/>
    </row>
    <row r="602" spans="2:16" ht="13">
      <c r="B602" s="36"/>
      <c r="C602" s="37"/>
      <c r="D602" s="5"/>
      <c r="E602" s="5"/>
      <c r="F602" s="5"/>
      <c r="G602" s="5"/>
      <c r="J602" s="5"/>
      <c r="M602" s="5"/>
      <c r="N602" s="5"/>
      <c r="P602" s="5"/>
    </row>
    <row r="603" spans="2:16" ht="13">
      <c r="B603" s="36"/>
      <c r="C603" s="37"/>
      <c r="D603" s="5"/>
      <c r="E603" s="5"/>
      <c r="F603" s="5"/>
      <c r="G603" s="5"/>
      <c r="J603" s="5"/>
      <c r="M603" s="5"/>
      <c r="N603" s="5"/>
      <c r="P603" s="5"/>
    </row>
    <row r="604" spans="2:16" ht="13">
      <c r="B604" s="36"/>
      <c r="C604" s="37"/>
      <c r="D604" s="5"/>
      <c r="E604" s="5"/>
      <c r="F604" s="5"/>
      <c r="G604" s="5"/>
      <c r="J604" s="5"/>
      <c r="M604" s="5"/>
      <c r="N604" s="5"/>
      <c r="P604" s="5"/>
    </row>
    <row r="605" spans="2:16" ht="13">
      <c r="B605" s="36"/>
      <c r="C605" s="37"/>
      <c r="D605" s="5"/>
      <c r="E605" s="5"/>
      <c r="F605" s="5"/>
      <c r="G605" s="5"/>
      <c r="J605" s="5"/>
      <c r="M605" s="5"/>
      <c r="N605" s="5"/>
      <c r="P605" s="5"/>
    </row>
    <row r="606" spans="2:16" ht="13">
      <c r="B606" s="36"/>
      <c r="C606" s="37"/>
      <c r="D606" s="5"/>
      <c r="E606" s="5"/>
      <c r="F606" s="5"/>
      <c r="G606" s="5"/>
      <c r="J606" s="5"/>
      <c r="M606" s="5"/>
      <c r="N606" s="5"/>
      <c r="P606" s="5"/>
    </row>
    <row r="607" spans="2:16" ht="13">
      <c r="B607" s="36"/>
      <c r="C607" s="37"/>
      <c r="D607" s="5"/>
      <c r="E607" s="5"/>
      <c r="F607" s="5"/>
      <c r="G607" s="5"/>
      <c r="J607" s="5"/>
      <c r="M607" s="5"/>
      <c r="N607" s="5"/>
      <c r="P607" s="5"/>
    </row>
    <row r="608" spans="2:16" ht="13">
      <c r="B608" s="36"/>
      <c r="C608" s="37"/>
      <c r="D608" s="5"/>
      <c r="E608" s="5"/>
      <c r="F608" s="5"/>
      <c r="G608" s="5"/>
      <c r="J608" s="5"/>
      <c r="M608" s="5"/>
      <c r="N608" s="5"/>
      <c r="P608" s="5"/>
    </row>
    <row r="609" spans="2:16" ht="13">
      <c r="B609" s="36"/>
      <c r="C609" s="37"/>
      <c r="D609" s="5"/>
      <c r="E609" s="5"/>
      <c r="F609" s="5"/>
      <c r="G609" s="5"/>
      <c r="J609" s="5"/>
      <c r="M609" s="5"/>
      <c r="N609" s="5"/>
      <c r="P609" s="5"/>
    </row>
    <row r="610" spans="2:16" ht="13">
      <c r="B610" s="36"/>
      <c r="C610" s="37"/>
      <c r="D610" s="5"/>
      <c r="E610" s="5"/>
      <c r="F610" s="5"/>
      <c r="G610" s="5"/>
      <c r="J610" s="5"/>
      <c r="M610" s="5"/>
      <c r="N610" s="5"/>
      <c r="P610" s="5"/>
    </row>
    <row r="611" spans="2:16" ht="13">
      <c r="B611" s="36"/>
      <c r="C611" s="37"/>
      <c r="D611" s="5"/>
      <c r="E611" s="5"/>
      <c r="F611" s="5"/>
      <c r="G611" s="5"/>
      <c r="J611" s="5"/>
      <c r="M611" s="5"/>
      <c r="N611" s="5"/>
      <c r="P611" s="5"/>
    </row>
    <row r="612" spans="2:16" ht="13">
      <c r="B612" s="36"/>
      <c r="C612" s="37"/>
      <c r="D612" s="5"/>
      <c r="E612" s="5"/>
      <c r="F612" s="5"/>
      <c r="G612" s="5"/>
      <c r="J612" s="5"/>
      <c r="M612" s="5"/>
      <c r="N612" s="5"/>
      <c r="P612" s="5"/>
    </row>
    <row r="613" spans="2:16" ht="13">
      <c r="B613" s="36"/>
      <c r="C613" s="37"/>
      <c r="D613" s="5"/>
      <c r="E613" s="5"/>
      <c r="F613" s="5"/>
      <c r="G613" s="5"/>
      <c r="J613" s="5"/>
      <c r="M613" s="5"/>
      <c r="N613" s="5"/>
      <c r="P613" s="5"/>
    </row>
    <row r="614" spans="2:16" ht="13">
      <c r="B614" s="36"/>
      <c r="C614" s="37"/>
      <c r="D614" s="5"/>
      <c r="E614" s="5"/>
      <c r="F614" s="5"/>
      <c r="G614" s="5"/>
      <c r="J614" s="5"/>
      <c r="M614" s="5"/>
      <c r="N614" s="5"/>
      <c r="P614" s="5"/>
    </row>
    <row r="615" spans="2:16" ht="13">
      <c r="B615" s="36"/>
      <c r="C615" s="37"/>
      <c r="D615" s="5"/>
      <c r="E615" s="5"/>
      <c r="F615" s="5"/>
      <c r="G615" s="5"/>
      <c r="J615" s="5"/>
      <c r="M615" s="5"/>
      <c r="N615" s="5"/>
      <c r="P615" s="5"/>
    </row>
    <row r="616" spans="2:16" ht="13">
      <c r="B616" s="36"/>
      <c r="C616" s="37"/>
      <c r="D616" s="5"/>
      <c r="E616" s="5"/>
      <c r="F616" s="5"/>
      <c r="G616" s="5"/>
      <c r="J616" s="5"/>
      <c r="M616" s="5"/>
      <c r="N616" s="5"/>
      <c r="P616" s="5"/>
    </row>
    <row r="617" spans="2:16" ht="13">
      <c r="B617" s="36"/>
      <c r="C617" s="37"/>
      <c r="D617" s="5"/>
      <c r="E617" s="5"/>
      <c r="F617" s="5"/>
      <c r="G617" s="5"/>
      <c r="J617" s="5"/>
      <c r="M617" s="5"/>
      <c r="N617" s="5"/>
      <c r="P617" s="5"/>
    </row>
    <row r="618" spans="2:16" ht="13">
      <c r="B618" s="36"/>
      <c r="C618" s="37"/>
      <c r="D618" s="5"/>
      <c r="E618" s="5"/>
      <c r="F618" s="5"/>
      <c r="G618" s="5"/>
      <c r="J618" s="5"/>
      <c r="M618" s="5"/>
      <c r="N618" s="5"/>
      <c r="P618" s="5"/>
    </row>
    <row r="619" spans="2:16" ht="13">
      <c r="B619" s="36"/>
      <c r="C619" s="37"/>
      <c r="D619" s="5"/>
      <c r="E619" s="5"/>
      <c r="F619" s="5"/>
      <c r="G619" s="5"/>
      <c r="J619" s="5"/>
      <c r="M619" s="5"/>
      <c r="N619" s="5"/>
      <c r="P619" s="5"/>
    </row>
    <row r="620" spans="2:16" ht="13">
      <c r="B620" s="36"/>
      <c r="C620" s="37"/>
      <c r="D620" s="5"/>
      <c r="E620" s="5"/>
      <c r="F620" s="5"/>
      <c r="G620" s="5"/>
      <c r="J620" s="5"/>
      <c r="M620" s="5"/>
      <c r="N620" s="5"/>
      <c r="P620" s="5"/>
    </row>
    <row r="621" spans="2:16" ht="13">
      <c r="B621" s="36"/>
      <c r="C621" s="37"/>
      <c r="D621" s="5"/>
      <c r="E621" s="5"/>
      <c r="F621" s="5"/>
      <c r="G621" s="5"/>
      <c r="J621" s="5"/>
      <c r="M621" s="5"/>
      <c r="N621" s="5"/>
      <c r="P621" s="5"/>
    </row>
    <row r="622" spans="2:16" ht="13">
      <c r="B622" s="36"/>
      <c r="C622" s="37"/>
      <c r="D622" s="5"/>
      <c r="E622" s="5"/>
      <c r="F622" s="5"/>
      <c r="G622" s="5"/>
      <c r="J622" s="5"/>
      <c r="M622" s="5"/>
      <c r="N622" s="5"/>
      <c r="P622" s="5"/>
    </row>
    <row r="623" spans="2:16" ht="13">
      <c r="B623" s="36"/>
      <c r="C623" s="37"/>
      <c r="D623" s="5"/>
      <c r="E623" s="5"/>
      <c r="F623" s="5"/>
      <c r="G623" s="5"/>
      <c r="J623" s="5"/>
      <c r="M623" s="5"/>
      <c r="N623" s="5"/>
      <c r="P623" s="5"/>
    </row>
    <row r="624" spans="2:16" ht="13">
      <c r="B624" s="36"/>
      <c r="C624" s="37"/>
      <c r="D624" s="5"/>
      <c r="E624" s="5"/>
      <c r="F624" s="5"/>
      <c r="G624" s="5"/>
      <c r="J624" s="5"/>
      <c r="M624" s="5"/>
      <c r="N624" s="5"/>
      <c r="P624" s="5"/>
    </row>
    <row r="625" spans="2:16" ht="13">
      <c r="B625" s="36"/>
      <c r="C625" s="37"/>
      <c r="D625" s="5"/>
      <c r="E625" s="5"/>
      <c r="F625" s="5"/>
      <c r="G625" s="5"/>
      <c r="J625" s="5"/>
      <c r="M625" s="5"/>
      <c r="N625" s="5"/>
      <c r="P625" s="5"/>
    </row>
    <row r="626" spans="2:16" ht="13">
      <c r="B626" s="36"/>
      <c r="C626" s="37"/>
      <c r="D626" s="5"/>
      <c r="E626" s="5"/>
      <c r="F626" s="5"/>
      <c r="G626" s="5"/>
      <c r="J626" s="5"/>
      <c r="M626" s="5"/>
      <c r="N626" s="5"/>
      <c r="P626" s="5"/>
    </row>
    <row r="627" spans="2:16" ht="13">
      <c r="B627" s="36"/>
      <c r="C627" s="37"/>
      <c r="D627" s="5"/>
      <c r="E627" s="5"/>
      <c r="F627" s="5"/>
      <c r="G627" s="5"/>
      <c r="J627" s="5"/>
      <c r="M627" s="5"/>
      <c r="N627" s="5"/>
      <c r="P627" s="5"/>
    </row>
    <row r="628" spans="2:16" ht="13">
      <c r="B628" s="36"/>
      <c r="C628" s="37"/>
      <c r="D628" s="5"/>
      <c r="E628" s="5"/>
      <c r="F628" s="5"/>
      <c r="G628" s="5"/>
      <c r="J628" s="5"/>
      <c r="M628" s="5"/>
      <c r="N628" s="5"/>
      <c r="P628" s="5"/>
    </row>
    <row r="629" spans="2:16" ht="13">
      <c r="B629" s="36"/>
      <c r="C629" s="37"/>
      <c r="D629" s="5"/>
      <c r="E629" s="5"/>
      <c r="F629" s="5"/>
      <c r="G629" s="5"/>
      <c r="J629" s="5"/>
      <c r="M629" s="5"/>
      <c r="N629" s="5"/>
      <c r="P629" s="5"/>
    </row>
    <row r="630" spans="2:16" ht="13">
      <c r="B630" s="36"/>
      <c r="C630" s="37"/>
      <c r="D630" s="5"/>
      <c r="E630" s="5"/>
      <c r="F630" s="5"/>
      <c r="G630" s="5"/>
      <c r="J630" s="5"/>
      <c r="M630" s="5"/>
      <c r="N630" s="5"/>
      <c r="P630" s="5"/>
    </row>
    <row r="631" spans="2:16" ht="13">
      <c r="B631" s="36"/>
      <c r="C631" s="37"/>
      <c r="D631" s="5"/>
      <c r="E631" s="5"/>
      <c r="F631" s="5"/>
      <c r="G631" s="5"/>
      <c r="J631" s="5"/>
      <c r="M631" s="5"/>
      <c r="N631" s="5"/>
      <c r="P631" s="5"/>
    </row>
    <row r="632" spans="2:16" ht="13">
      <c r="B632" s="36"/>
      <c r="C632" s="37"/>
      <c r="D632" s="5"/>
      <c r="E632" s="5"/>
      <c r="F632" s="5"/>
      <c r="G632" s="5"/>
      <c r="J632" s="5"/>
      <c r="M632" s="5"/>
      <c r="N632" s="5"/>
      <c r="P632" s="5"/>
    </row>
    <row r="633" spans="2:16" ht="13">
      <c r="B633" s="36"/>
      <c r="C633" s="37"/>
      <c r="D633" s="5"/>
      <c r="E633" s="5"/>
      <c r="F633" s="5"/>
      <c r="G633" s="5"/>
      <c r="J633" s="5"/>
      <c r="M633" s="5"/>
      <c r="N633" s="5"/>
      <c r="P633" s="5"/>
    </row>
    <row r="634" spans="2:16" ht="13">
      <c r="B634" s="36"/>
      <c r="C634" s="37"/>
      <c r="D634" s="5"/>
      <c r="E634" s="5"/>
      <c r="F634" s="5"/>
      <c r="G634" s="5"/>
      <c r="J634" s="5"/>
      <c r="M634" s="5"/>
      <c r="N634" s="5"/>
      <c r="P634" s="5"/>
    </row>
    <row r="635" spans="2:16" ht="13">
      <c r="B635" s="36"/>
      <c r="C635" s="37"/>
      <c r="D635" s="5"/>
      <c r="E635" s="5"/>
      <c r="F635" s="5"/>
      <c r="G635" s="5"/>
      <c r="J635" s="5"/>
      <c r="M635" s="5"/>
      <c r="N635" s="5"/>
      <c r="P635" s="5"/>
    </row>
    <row r="636" spans="2:16" ht="13">
      <c r="B636" s="36"/>
      <c r="C636" s="37"/>
      <c r="D636" s="5"/>
      <c r="E636" s="5"/>
      <c r="F636" s="5"/>
      <c r="G636" s="5"/>
      <c r="J636" s="5"/>
      <c r="M636" s="5"/>
      <c r="N636" s="5"/>
      <c r="P636" s="5"/>
    </row>
    <row r="637" spans="2:16" ht="13">
      <c r="B637" s="36"/>
      <c r="C637" s="37"/>
      <c r="D637" s="5"/>
      <c r="E637" s="5"/>
      <c r="F637" s="5"/>
      <c r="G637" s="5"/>
      <c r="J637" s="5"/>
      <c r="M637" s="5"/>
      <c r="N637" s="5"/>
      <c r="P637" s="5"/>
    </row>
    <row r="638" spans="2:16" ht="13">
      <c r="B638" s="36"/>
      <c r="C638" s="37"/>
      <c r="D638" s="5"/>
      <c r="E638" s="5"/>
      <c r="F638" s="5"/>
      <c r="G638" s="5"/>
      <c r="J638" s="5"/>
      <c r="M638" s="5"/>
      <c r="N638" s="5"/>
      <c r="P638" s="5"/>
    </row>
    <row r="639" spans="2:16" ht="13">
      <c r="B639" s="36"/>
      <c r="C639" s="37"/>
      <c r="D639" s="5"/>
      <c r="E639" s="5"/>
      <c r="F639" s="5"/>
      <c r="G639" s="5"/>
      <c r="J639" s="5"/>
      <c r="M639" s="5"/>
      <c r="N639" s="5"/>
      <c r="P639" s="5"/>
    </row>
    <row r="640" spans="2:16" ht="13">
      <c r="B640" s="36"/>
      <c r="C640" s="37"/>
      <c r="D640" s="5"/>
      <c r="E640" s="5"/>
      <c r="F640" s="5"/>
      <c r="G640" s="5"/>
      <c r="J640" s="5"/>
      <c r="M640" s="5"/>
      <c r="N640" s="5"/>
      <c r="P640" s="5"/>
    </row>
    <row r="641" spans="2:16" ht="13">
      <c r="B641" s="36"/>
      <c r="C641" s="37"/>
      <c r="D641" s="5"/>
      <c r="E641" s="5"/>
      <c r="F641" s="5"/>
      <c r="G641" s="5"/>
      <c r="J641" s="5"/>
      <c r="M641" s="5"/>
      <c r="N641" s="5"/>
      <c r="P641" s="5"/>
    </row>
    <row r="642" spans="2:16" ht="13">
      <c r="B642" s="36"/>
      <c r="C642" s="37"/>
      <c r="D642" s="5"/>
      <c r="E642" s="5"/>
      <c r="F642" s="5"/>
      <c r="G642" s="5"/>
      <c r="J642" s="5"/>
      <c r="M642" s="5"/>
      <c r="N642" s="5"/>
      <c r="P642" s="5"/>
    </row>
    <row r="643" spans="2:16" ht="13">
      <c r="B643" s="36"/>
      <c r="C643" s="37"/>
      <c r="D643" s="5"/>
      <c r="E643" s="5"/>
      <c r="F643" s="5"/>
      <c r="G643" s="5"/>
      <c r="J643" s="5"/>
      <c r="M643" s="5"/>
      <c r="N643" s="5"/>
      <c r="P643" s="5"/>
    </row>
    <row r="644" spans="2:16" ht="13">
      <c r="B644" s="36"/>
      <c r="C644" s="37"/>
      <c r="D644" s="5"/>
      <c r="E644" s="5"/>
      <c r="F644" s="5"/>
      <c r="G644" s="5"/>
      <c r="J644" s="5"/>
      <c r="M644" s="5"/>
      <c r="N644" s="5"/>
      <c r="P644" s="5"/>
    </row>
    <row r="645" spans="2:16" ht="13">
      <c r="B645" s="36"/>
      <c r="C645" s="37"/>
      <c r="D645" s="5"/>
      <c r="E645" s="5"/>
      <c r="F645" s="5"/>
      <c r="G645" s="5"/>
      <c r="J645" s="5"/>
      <c r="M645" s="5"/>
      <c r="N645" s="5"/>
      <c r="P645" s="5"/>
    </row>
    <row r="646" spans="2:16" ht="13">
      <c r="B646" s="36"/>
      <c r="C646" s="37"/>
      <c r="D646" s="5"/>
      <c r="E646" s="5"/>
      <c r="F646" s="5"/>
      <c r="G646" s="5"/>
      <c r="J646" s="5"/>
      <c r="M646" s="5"/>
      <c r="N646" s="5"/>
      <c r="P646" s="5"/>
    </row>
    <row r="647" spans="2:16" ht="13">
      <c r="B647" s="36"/>
      <c r="C647" s="37"/>
      <c r="D647" s="5"/>
      <c r="E647" s="5"/>
      <c r="F647" s="5"/>
      <c r="G647" s="5"/>
      <c r="J647" s="5"/>
      <c r="M647" s="5"/>
      <c r="N647" s="5"/>
      <c r="P647" s="5"/>
    </row>
    <row r="648" spans="2:16" ht="13">
      <c r="B648" s="36"/>
      <c r="C648" s="37"/>
      <c r="D648" s="5"/>
      <c r="E648" s="5"/>
      <c r="F648" s="5"/>
      <c r="G648" s="5"/>
      <c r="J648" s="5"/>
      <c r="M648" s="5"/>
      <c r="N648" s="5"/>
      <c r="P648" s="5"/>
    </row>
    <row r="649" spans="2:16" ht="13">
      <c r="B649" s="36"/>
      <c r="C649" s="37"/>
      <c r="D649" s="5"/>
      <c r="E649" s="5"/>
      <c r="F649" s="5"/>
      <c r="G649" s="5"/>
      <c r="J649" s="5"/>
      <c r="M649" s="5"/>
      <c r="N649" s="5"/>
      <c r="P649" s="5"/>
    </row>
    <row r="650" spans="2:16" ht="13">
      <c r="B650" s="36"/>
      <c r="C650" s="37"/>
      <c r="D650" s="5"/>
      <c r="E650" s="5"/>
      <c r="F650" s="5"/>
      <c r="G650" s="5"/>
      <c r="J650" s="5"/>
      <c r="M650" s="5"/>
      <c r="N650" s="5"/>
      <c r="P650" s="5"/>
    </row>
    <row r="651" spans="2:16" ht="13">
      <c r="B651" s="36"/>
      <c r="C651" s="37"/>
      <c r="D651" s="5"/>
      <c r="E651" s="5"/>
      <c r="F651" s="5"/>
      <c r="G651" s="5"/>
      <c r="J651" s="5"/>
      <c r="M651" s="5"/>
      <c r="N651" s="5"/>
      <c r="P651" s="5"/>
    </row>
    <row r="652" spans="2:16" ht="13">
      <c r="B652" s="36"/>
      <c r="C652" s="37"/>
      <c r="D652" s="5"/>
      <c r="E652" s="5"/>
      <c r="F652" s="5"/>
      <c r="G652" s="5"/>
      <c r="J652" s="5"/>
      <c r="M652" s="5"/>
      <c r="N652" s="5"/>
      <c r="P652" s="5"/>
    </row>
    <row r="653" spans="2:16" ht="13">
      <c r="B653" s="36"/>
      <c r="C653" s="37"/>
      <c r="D653" s="5"/>
      <c r="E653" s="5"/>
      <c r="F653" s="5"/>
      <c r="G653" s="5"/>
      <c r="J653" s="5"/>
      <c r="M653" s="5"/>
      <c r="N653" s="5"/>
      <c r="P653" s="5"/>
    </row>
    <row r="654" spans="2:16" ht="13">
      <c r="B654" s="36"/>
      <c r="C654" s="37"/>
      <c r="D654" s="5"/>
      <c r="E654" s="5"/>
      <c r="F654" s="5"/>
      <c r="G654" s="5"/>
      <c r="J654" s="5"/>
      <c r="M654" s="5"/>
      <c r="N654" s="5"/>
      <c r="P654" s="5"/>
    </row>
    <row r="655" spans="2:16" ht="13">
      <c r="B655" s="36"/>
      <c r="C655" s="37"/>
      <c r="D655" s="5"/>
      <c r="E655" s="5"/>
      <c r="F655" s="5"/>
      <c r="G655" s="5"/>
      <c r="J655" s="5"/>
      <c r="M655" s="5"/>
      <c r="N655" s="5"/>
      <c r="P655" s="5"/>
    </row>
    <row r="656" spans="2:16" ht="13">
      <c r="B656" s="36"/>
      <c r="C656" s="37"/>
      <c r="D656" s="5"/>
      <c r="E656" s="5"/>
      <c r="F656" s="5"/>
      <c r="G656" s="5"/>
      <c r="J656" s="5"/>
      <c r="M656" s="5"/>
      <c r="N656" s="5"/>
      <c r="P656" s="5"/>
    </row>
    <row r="657" spans="2:16" ht="13">
      <c r="B657" s="36"/>
      <c r="C657" s="37"/>
      <c r="D657" s="5"/>
      <c r="E657" s="5"/>
      <c r="F657" s="5"/>
      <c r="G657" s="5"/>
      <c r="J657" s="5"/>
      <c r="M657" s="5"/>
      <c r="N657" s="5"/>
      <c r="P657" s="5"/>
    </row>
    <row r="658" spans="2:16" ht="13">
      <c r="B658" s="36"/>
      <c r="C658" s="37"/>
      <c r="D658" s="5"/>
      <c r="E658" s="5"/>
      <c r="F658" s="5"/>
      <c r="G658" s="5"/>
      <c r="J658" s="5"/>
      <c r="M658" s="5"/>
      <c r="N658" s="5"/>
      <c r="P658" s="5"/>
    </row>
    <row r="659" spans="2:16" ht="13">
      <c r="B659" s="36"/>
      <c r="C659" s="37"/>
      <c r="D659" s="5"/>
      <c r="E659" s="5"/>
      <c r="F659" s="5"/>
      <c r="G659" s="5"/>
      <c r="J659" s="5"/>
      <c r="M659" s="5"/>
      <c r="N659" s="5"/>
      <c r="P659" s="5"/>
    </row>
    <row r="660" spans="2:16" ht="13">
      <c r="B660" s="36"/>
      <c r="C660" s="37"/>
      <c r="D660" s="5"/>
      <c r="E660" s="5"/>
      <c r="F660" s="5"/>
      <c r="G660" s="5"/>
      <c r="J660" s="5"/>
      <c r="M660" s="5"/>
      <c r="N660" s="5"/>
      <c r="P660" s="5"/>
    </row>
    <row r="661" spans="2:16" ht="13">
      <c r="B661" s="36"/>
      <c r="C661" s="37"/>
      <c r="D661" s="5"/>
      <c r="E661" s="5"/>
      <c r="F661" s="5"/>
      <c r="G661" s="5"/>
      <c r="J661" s="5"/>
      <c r="M661" s="5"/>
      <c r="N661" s="5"/>
      <c r="P661" s="5"/>
    </row>
    <row r="662" spans="2:16" ht="13">
      <c r="B662" s="36"/>
      <c r="C662" s="37"/>
      <c r="D662" s="5"/>
      <c r="E662" s="5"/>
      <c r="F662" s="5"/>
      <c r="G662" s="5"/>
      <c r="J662" s="5"/>
      <c r="M662" s="5"/>
      <c r="N662" s="5"/>
      <c r="P662" s="5"/>
    </row>
    <row r="663" spans="2:16" ht="13">
      <c r="B663" s="36"/>
      <c r="C663" s="37"/>
      <c r="D663" s="5"/>
      <c r="E663" s="5"/>
      <c r="F663" s="5"/>
      <c r="G663" s="5"/>
      <c r="J663" s="5"/>
      <c r="M663" s="5"/>
      <c r="N663" s="5"/>
      <c r="P663" s="5"/>
    </row>
    <row r="664" spans="2:16" ht="13">
      <c r="B664" s="36"/>
      <c r="C664" s="37"/>
      <c r="D664" s="5"/>
      <c r="E664" s="5"/>
      <c r="F664" s="5"/>
      <c r="G664" s="5"/>
      <c r="J664" s="5"/>
      <c r="M664" s="5"/>
      <c r="N664" s="5"/>
      <c r="P664" s="5"/>
    </row>
    <row r="665" spans="2:16" ht="13">
      <c r="B665" s="36"/>
      <c r="C665" s="37"/>
      <c r="D665" s="5"/>
      <c r="E665" s="5"/>
      <c r="F665" s="5"/>
      <c r="G665" s="5"/>
      <c r="J665" s="5"/>
      <c r="M665" s="5"/>
      <c r="N665" s="5"/>
      <c r="P665" s="5"/>
    </row>
    <row r="666" spans="2:16" ht="13">
      <c r="B666" s="36"/>
      <c r="C666" s="37"/>
      <c r="D666" s="5"/>
      <c r="E666" s="5"/>
      <c r="F666" s="5"/>
      <c r="G666" s="5"/>
      <c r="J666" s="5"/>
      <c r="M666" s="5"/>
      <c r="N666" s="5"/>
      <c r="P666" s="5"/>
    </row>
    <row r="667" spans="2:16" ht="13">
      <c r="B667" s="36"/>
      <c r="C667" s="37"/>
      <c r="D667" s="5"/>
      <c r="E667" s="5"/>
      <c r="F667" s="5"/>
      <c r="G667" s="5"/>
      <c r="J667" s="5"/>
      <c r="M667" s="5"/>
      <c r="N667" s="5"/>
      <c r="P667" s="5"/>
    </row>
    <row r="668" spans="2:16" ht="13">
      <c r="B668" s="36"/>
      <c r="C668" s="37"/>
      <c r="D668" s="5"/>
      <c r="E668" s="5"/>
      <c r="F668" s="5"/>
      <c r="G668" s="5"/>
      <c r="J668" s="5"/>
      <c r="M668" s="5"/>
      <c r="N668" s="5"/>
      <c r="P668" s="5"/>
    </row>
    <row r="669" spans="2:16" ht="13">
      <c r="B669" s="36"/>
      <c r="C669" s="37"/>
      <c r="D669" s="5"/>
      <c r="E669" s="5"/>
      <c r="F669" s="5"/>
      <c r="G669" s="5"/>
      <c r="J669" s="5"/>
      <c r="M669" s="5"/>
      <c r="N669" s="5"/>
      <c r="P669" s="5"/>
    </row>
    <row r="670" spans="2:16" ht="13">
      <c r="B670" s="36"/>
      <c r="C670" s="37"/>
      <c r="D670" s="5"/>
      <c r="E670" s="5"/>
      <c r="F670" s="5"/>
      <c r="G670" s="5"/>
      <c r="J670" s="5"/>
      <c r="M670" s="5"/>
      <c r="N670" s="5"/>
      <c r="P670" s="5"/>
    </row>
    <row r="671" spans="2:16" ht="13">
      <c r="B671" s="36"/>
      <c r="C671" s="37"/>
      <c r="D671" s="5"/>
      <c r="E671" s="5"/>
      <c r="F671" s="5"/>
      <c r="G671" s="5"/>
      <c r="J671" s="5"/>
      <c r="M671" s="5"/>
      <c r="N671" s="5"/>
      <c r="P671" s="5"/>
    </row>
    <row r="672" spans="2:16" ht="13">
      <c r="B672" s="36"/>
      <c r="C672" s="37"/>
      <c r="D672" s="5"/>
      <c r="E672" s="5"/>
      <c r="F672" s="5"/>
      <c r="G672" s="5"/>
      <c r="J672" s="5"/>
      <c r="M672" s="5"/>
      <c r="N672" s="5"/>
      <c r="P672" s="5"/>
    </row>
    <row r="673" spans="2:16" ht="13">
      <c r="B673" s="36"/>
      <c r="C673" s="37"/>
      <c r="D673" s="5"/>
      <c r="E673" s="5"/>
      <c r="F673" s="5"/>
      <c r="G673" s="5"/>
      <c r="J673" s="5"/>
      <c r="M673" s="5"/>
      <c r="N673" s="5"/>
      <c r="P673" s="5"/>
    </row>
    <row r="674" spans="2:16" ht="13">
      <c r="B674" s="36"/>
      <c r="C674" s="37"/>
      <c r="D674" s="5"/>
      <c r="E674" s="5"/>
      <c r="F674" s="5"/>
      <c r="G674" s="5"/>
      <c r="J674" s="5"/>
      <c r="M674" s="5"/>
      <c r="N674" s="5"/>
      <c r="P674" s="5"/>
    </row>
    <row r="675" spans="2:16" ht="13">
      <c r="B675" s="36"/>
      <c r="C675" s="37"/>
      <c r="D675" s="5"/>
      <c r="E675" s="5"/>
      <c r="F675" s="5"/>
      <c r="G675" s="5"/>
      <c r="J675" s="5"/>
      <c r="M675" s="5"/>
      <c r="N675" s="5"/>
      <c r="P675" s="5"/>
    </row>
    <row r="676" spans="2:16" ht="13">
      <c r="B676" s="36"/>
      <c r="C676" s="37"/>
      <c r="D676" s="5"/>
      <c r="E676" s="5"/>
      <c r="F676" s="5"/>
      <c r="G676" s="5"/>
      <c r="J676" s="5"/>
      <c r="M676" s="5"/>
      <c r="N676" s="5"/>
      <c r="P676" s="5"/>
    </row>
    <row r="677" spans="2:16" ht="13">
      <c r="B677" s="36"/>
      <c r="C677" s="37"/>
      <c r="D677" s="5"/>
      <c r="E677" s="5"/>
      <c r="F677" s="5"/>
      <c r="G677" s="5"/>
      <c r="J677" s="5"/>
      <c r="M677" s="5"/>
      <c r="N677" s="5"/>
      <c r="P677" s="5"/>
    </row>
    <row r="678" spans="2:16" ht="13">
      <c r="B678" s="36"/>
      <c r="C678" s="37"/>
      <c r="D678" s="5"/>
      <c r="E678" s="5"/>
      <c r="F678" s="5"/>
      <c r="G678" s="5"/>
      <c r="J678" s="5"/>
      <c r="M678" s="5"/>
      <c r="N678" s="5"/>
      <c r="P678" s="5"/>
    </row>
    <row r="679" spans="2:16" ht="13">
      <c r="B679" s="36"/>
      <c r="C679" s="37"/>
      <c r="D679" s="5"/>
      <c r="E679" s="5"/>
      <c r="F679" s="5"/>
      <c r="G679" s="5"/>
      <c r="J679" s="5"/>
      <c r="M679" s="5"/>
      <c r="N679" s="5"/>
      <c r="P679" s="5"/>
    </row>
    <row r="680" spans="2:16" ht="13">
      <c r="B680" s="36"/>
      <c r="C680" s="37"/>
      <c r="D680" s="5"/>
      <c r="E680" s="5"/>
      <c r="F680" s="5"/>
      <c r="G680" s="5"/>
      <c r="J680" s="5"/>
      <c r="M680" s="5"/>
      <c r="N680" s="5"/>
      <c r="P680" s="5"/>
    </row>
    <row r="681" spans="2:16" ht="13">
      <c r="B681" s="36"/>
      <c r="C681" s="37"/>
      <c r="D681" s="5"/>
      <c r="E681" s="5"/>
      <c r="F681" s="5"/>
      <c r="G681" s="5"/>
      <c r="J681" s="5"/>
      <c r="M681" s="5"/>
      <c r="N681" s="5"/>
      <c r="P681" s="5"/>
    </row>
    <row r="682" spans="2:16" ht="13">
      <c r="B682" s="36"/>
      <c r="C682" s="37"/>
      <c r="D682" s="5"/>
      <c r="E682" s="5"/>
      <c r="F682" s="5"/>
      <c r="G682" s="5"/>
      <c r="J682" s="5"/>
      <c r="M682" s="5"/>
      <c r="N682" s="5"/>
      <c r="P682" s="5"/>
    </row>
    <row r="683" spans="2:16" ht="13">
      <c r="B683" s="36"/>
      <c r="C683" s="37"/>
      <c r="D683" s="5"/>
      <c r="E683" s="5"/>
      <c r="F683" s="5"/>
      <c r="G683" s="5"/>
      <c r="J683" s="5"/>
      <c r="M683" s="5"/>
      <c r="N683" s="5"/>
      <c r="P683" s="5"/>
    </row>
    <row r="684" spans="2:16" ht="13">
      <c r="B684" s="36"/>
      <c r="C684" s="37"/>
      <c r="D684" s="5"/>
      <c r="E684" s="5"/>
      <c r="F684" s="5"/>
      <c r="G684" s="5"/>
      <c r="J684" s="5"/>
      <c r="M684" s="5"/>
      <c r="N684" s="5"/>
      <c r="P684" s="5"/>
    </row>
    <row r="685" spans="2:16" ht="13">
      <c r="B685" s="36"/>
      <c r="C685" s="37"/>
      <c r="D685" s="5"/>
      <c r="E685" s="5"/>
      <c r="F685" s="5"/>
      <c r="G685" s="5"/>
      <c r="J685" s="5"/>
      <c r="M685" s="5"/>
      <c r="N685" s="5"/>
      <c r="P685" s="5"/>
    </row>
    <row r="686" spans="2:16" ht="13">
      <c r="B686" s="36"/>
      <c r="C686" s="37"/>
      <c r="D686" s="5"/>
      <c r="E686" s="5"/>
      <c r="F686" s="5"/>
      <c r="G686" s="5"/>
      <c r="J686" s="5"/>
      <c r="M686" s="5"/>
      <c r="N686" s="5"/>
      <c r="P686" s="5"/>
    </row>
    <row r="687" spans="2:16" ht="13">
      <c r="B687" s="36"/>
      <c r="C687" s="37"/>
      <c r="D687" s="5"/>
      <c r="E687" s="5"/>
      <c r="F687" s="5"/>
      <c r="G687" s="5"/>
      <c r="J687" s="5"/>
      <c r="M687" s="5"/>
      <c r="N687" s="5"/>
      <c r="P687" s="5"/>
    </row>
    <row r="688" spans="2:16" ht="13">
      <c r="B688" s="36"/>
      <c r="C688" s="37"/>
      <c r="D688" s="5"/>
      <c r="E688" s="5"/>
      <c r="F688" s="5"/>
      <c r="G688" s="5"/>
      <c r="J688" s="5"/>
      <c r="M688" s="5"/>
      <c r="N688" s="5"/>
      <c r="P688" s="5"/>
    </row>
    <row r="689" spans="2:16" ht="13">
      <c r="B689" s="36"/>
      <c r="C689" s="37"/>
      <c r="D689" s="5"/>
      <c r="E689" s="5"/>
      <c r="F689" s="5"/>
      <c r="G689" s="5"/>
      <c r="J689" s="5"/>
      <c r="M689" s="5"/>
      <c r="N689" s="5"/>
      <c r="P689" s="5"/>
    </row>
    <row r="690" spans="2:16" ht="13">
      <c r="B690" s="36"/>
      <c r="C690" s="37"/>
      <c r="D690" s="5"/>
      <c r="E690" s="5"/>
      <c r="F690" s="5"/>
      <c r="G690" s="5"/>
      <c r="J690" s="5"/>
      <c r="M690" s="5"/>
      <c r="N690" s="5"/>
      <c r="P690" s="5"/>
    </row>
    <row r="691" spans="2:16" ht="13">
      <c r="B691" s="36"/>
      <c r="C691" s="37"/>
      <c r="D691" s="5"/>
      <c r="E691" s="5"/>
      <c r="F691" s="5"/>
      <c r="G691" s="5"/>
      <c r="J691" s="5"/>
      <c r="M691" s="5"/>
      <c r="N691" s="5"/>
      <c r="P691" s="5"/>
    </row>
    <row r="692" spans="2:16" ht="13">
      <c r="B692" s="36"/>
      <c r="C692" s="37"/>
      <c r="D692" s="5"/>
      <c r="E692" s="5"/>
      <c r="F692" s="5"/>
      <c r="G692" s="5"/>
      <c r="J692" s="5"/>
      <c r="M692" s="5"/>
      <c r="N692" s="5"/>
      <c r="P692" s="5"/>
    </row>
    <row r="693" spans="2:16" ht="13">
      <c r="B693" s="36"/>
      <c r="C693" s="37"/>
      <c r="D693" s="5"/>
      <c r="E693" s="5"/>
      <c r="F693" s="5"/>
      <c r="G693" s="5"/>
      <c r="J693" s="5"/>
      <c r="M693" s="5"/>
      <c r="N693" s="5"/>
      <c r="P693" s="5"/>
    </row>
    <row r="694" spans="2:16" ht="13">
      <c r="B694" s="36"/>
      <c r="C694" s="37"/>
      <c r="D694" s="5"/>
      <c r="E694" s="5"/>
      <c r="F694" s="5"/>
      <c r="G694" s="5"/>
      <c r="J694" s="5"/>
      <c r="M694" s="5"/>
      <c r="N694" s="5"/>
      <c r="P694" s="5"/>
    </row>
    <row r="695" spans="2:16" ht="13">
      <c r="B695" s="36"/>
      <c r="C695" s="37"/>
      <c r="D695" s="5"/>
      <c r="E695" s="5"/>
      <c r="F695" s="5"/>
      <c r="G695" s="5"/>
      <c r="J695" s="5"/>
      <c r="M695" s="5"/>
      <c r="N695" s="5"/>
      <c r="P695" s="5"/>
    </row>
    <row r="696" spans="2:16" ht="13">
      <c r="B696" s="36"/>
      <c r="C696" s="37"/>
      <c r="D696" s="5"/>
      <c r="E696" s="5"/>
      <c r="F696" s="5"/>
      <c r="G696" s="5"/>
      <c r="J696" s="5"/>
      <c r="M696" s="5"/>
      <c r="N696" s="5"/>
      <c r="P696" s="5"/>
    </row>
    <row r="697" spans="2:16" ht="13">
      <c r="B697" s="36"/>
      <c r="C697" s="37"/>
      <c r="D697" s="5"/>
      <c r="E697" s="5"/>
      <c r="F697" s="5"/>
      <c r="G697" s="5"/>
      <c r="J697" s="5"/>
      <c r="M697" s="5"/>
      <c r="N697" s="5"/>
      <c r="P697" s="5"/>
    </row>
    <row r="698" spans="2:16" ht="13">
      <c r="B698" s="36"/>
      <c r="C698" s="37"/>
      <c r="D698" s="5"/>
      <c r="E698" s="5"/>
      <c r="F698" s="5"/>
      <c r="G698" s="5"/>
      <c r="J698" s="5"/>
      <c r="M698" s="5"/>
      <c r="N698" s="5"/>
      <c r="P698" s="5"/>
    </row>
    <row r="699" spans="2:16" ht="13">
      <c r="B699" s="36"/>
      <c r="C699" s="37"/>
      <c r="D699" s="5"/>
      <c r="E699" s="5"/>
      <c r="F699" s="5"/>
      <c r="G699" s="5"/>
      <c r="J699" s="5"/>
      <c r="M699" s="5"/>
      <c r="N699" s="5"/>
      <c r="P699" s="5"/>
    </row>
    <row r="700" spans="2:16" ht="13">
      <c r="B700" s="36"/>
      <c r="C700" s="37"/>
      <c r="D700" s="5"/>
      <c r="E700" s="5"/>
      <c r="F700" s="5"/>
      <c r="G700" s="5"/>
      <c r="J700" s="5"/>
      <c r="M700" s="5"/>
      <c r="N700" s="5"/>
      <c r="P700" s="5"/>
    </row>
    <row r="701" spans="2:16" ht="13">
      <c r="B701" s="36"/>
      <c r="C701" s="37"/>
      <c r="D701" s="5"/>
      <c r="E701" s="5"/>
      <c r="F701" s="5"/>
      <c r="G701" s="5"/>
      <c r="J701" s="5"/>
      <c r="M701" s="5"/>
      <c r="N701" s="5"/>
      <c r="P701" s="5"/>
    </row>
    <row r="702" spans="2:16" ht="13">
      <c r="B702" s="36"/>
      <c r="C702" s="37"/>
      <c r="D702" s="5"/>
      <c r="E702" s="5"/>
      <c r="F702" s="5"/>
      <c r="G702" s="5"/>
      <c r="J702" s="5"/>
      <c r="M702" s="5"/>
      <c r="N702" s="5"/>
      <c r="P702" s="5"/>
    </row>
    <row r="703" spans="2:16" ht="13">
      <c r="B703" s="36"/>
      <c r="C703" s="37"/>
      <c r="D703" s="5"/>
      <c r="E703" s="5"/>
      <c r="F703" s="5"/>
      <c r="G703" s="5"/>
      <c r="J703" s="5"/>
      <c r="M703" s="5"/>
      <c r="N703" s="5"/>
      <c r="P703" s="5"/>
    </row>
    <row r="704" spans="2:16" ht="13">
      <c r="B704" s="36"/>
      <c r="C704" s="37"/>
      <c r="D704" s="5"/>
      <c r="E704" s="5"/>
      <c r="F704" s="5"/>
      <c r="G704" s="5"/>
      <c r="J704" s="5"/>
      <c r="M704" s="5"/>
      <c r="N704" s="5"/>
      <c r="P704" s="5"/>
    </row>
    <row r="705" spans="2:16" ht="13">
      <c r="B705" s="36"/>
      <c r="C705" s="37"/>
      <c r="D705" s="5"/>
      <c r="E705" s="5"/>
      <c r="F705" s="5"/>
      <c r="G705" s="5"/>
      <c r="J705" s="5"/>
      <c r="M705" s="5"/>
      <c r="N705" s="5"/>
      <c r="P705" s="5"/>
    </row>
    <row r="706" spans="2:16" ht="13">
      <c r="B706" s="36"/>
      <c r="C706" s="37"/>
      <c r="D706" s="5"/>
      <c r="E706" s="5"/>
      <c r="F706" s="5"/>
      <c r="G706" s="5"/>
      <c r="J706" s="5"/>
      <c r="M706" s="5"/>
      <c r="N706" s="5"/>
      <c r="P706" s="5"/>
    </row>
    <row r="707" spans="2:16" ht="13">
      <c r="B707" s="36"/>
      <c r="C707" s="37"/>
      <c r="D707" s="5"/>
      <c r="E707" s="5"/>
      <c r="F707" s="5"/>
      <c r="G707" s="5"/>
      <c r="J707" s="5"/>
      <c r="M707" s="5"/>
      <c r="N707" s="5"/>
      <c r="P707" s="5"/>
    </row>
    <row r="708" spans="2:16" ht="13">
      <c r="B708" s="36"/>
      <c r="C708" s="37"/>
      <c r="D708" s="5"/>
      <c r="E708" s="5"/>
      <c r="F708" s="5"/>
      <c r="G708" s="5"/>
      <c r="J708" s="5"/>
      <c r="M708" s="5"/>
      <c r="N708" s="5"/>
      <c r="P708" s="5"/>
    </row>
    <row r="709" spans="2:16" ht="13">
      <c r="B709" s="36"/>
      <c r="C709" s="37"/>
      <c r="D709" s="5"/>
      <c r="E709" s="5"/>
      <c r="F709" s="5"/>
      <c r="G709" s="5"/>
      <c r="J709" s="5"/>
      <c r="M709" s="5"/>
      <c r="N709" s="5"/>
      <c r="P709" s="5"/>
    </row>
    <row r="710" spans="2:16" ht="13">
      <c r="B710" s="36"/>
      <c r="C710" s="37"/>
      <c r="D710" s="5"/>
      <c r="E710" s="5"/>
      <c r="F710" s="5"/>
      <c r="G710" s="5"/>
      <c r="J710" s="5"/>
      <c r="M710" s="5"/>
      <c r="N710" s="5"/>
      <c r="P710" s="5"/>
    </row>
    <row r="711" spans="2:16" ht="13">
      <c r="B711" s="36"/>
      <c r="C711" s="37"/>
      <c r="D711" s="5"/>
      <c r="E711" s="5"/>
      <c r="F711" s="5"/>
      <c r="G711" s="5"/>
      <c r="J711" s="5"/>
      <c r="M711" s="5"/>
      <c r="N711" s="5"/>
      <c r="P711" s="5"/>
    </row>
    <row r="712" spans="2:16" ht="13">
      <c r="B712" s="36"/>
      <c r="C712" s="37"/>
      <c r="D712" s="5"/>
      <c r="E712" s="5"/>
      <c r="F712" s="5"/>
      <c r="G712" s="5"/>
      <c r="J712" s="5"/>
      <c r="M712" s="5"/>
      <c r="N712" s="5"/>
      <c r="P712" s="5"/>
    </row>
    <row r="713" spans="2:16" ht="13">
      <c r="B713" s="36"/>
      <c r="C713" s="37"/>
      <c r="D713" s="5"/>
      <c r="E713" s="5"/>
      <c r="F713" s="5"/>
      <c r="G713" s="5"/>
      <c r="J713" s="5"/>
      <c r="M713" s="5"/>
      <c r="N713" s="5"/>
      <c r="P713" s="5"/>
    </row>
    <row r="714" spans="2:16" ht="13">
      <c r="B714" s="36"/>
      <c r="C714" s="37"/>
      <c r="D714" s="5"/>
      <c r="E714" s="5"/>
      <c r="F714" s="5"/>
      <c r="G714" s="5"/>
      <c r="J714" s="5"/>
      <c r="M714" s="5"/>
      <c r="N714" s="5"/>
      <c r="P714" s="5"/>
    </row>
    <row r="715" spans="2:16" ht="13">
      <c r="B715" s="36"/>
      <c r="C715" s="37"/>
      <c r="D715" s="5"/>
      <c r="E715" s="5"/>
      <c r="F715" s="5"/>
      <c r="G715" s="5"/>
      <c r="J715" s="5"/>
      <c r="M715" s="5"/>
      <c r="N715" s="5"/>
      <c r="P715" s="5"/>
    </row>
    <row r="716" spans="2:16" ht="13">
      <c r="B716" s="36"/>
      <c r="C716" s="37"/>
      <c r="D716" s="5"/>
      <c r="E716" s="5"/>
      <c r="F716" s="5"/>
      <c r="G716" s="5"/>
      <c r="J716" s="5"/>
      <c r="M716" s="5"/>
      <c r="N716" s="5"/>
      <c r="P716" s="5"/>
    </row>
    <row r="717" spans="2:16" ht="13">
      <c r="B717" s="36"/>
      <c r="C717" s="37"/>
      <c r="D717" s="5"/>
      <c r="E717" s="5"/>
      <c r="F717" s="5"/>
      <c r="G717" s="5"/>
      <c r="J717" s="5"/>
      <c r="M717" s="5"/>
      <c r="N717" s="5"/>
      <c r="P717" s="5"/>
    </row>
    <row r="718" spans="2:16" ht="13">
      <c r="B718" s="36"/>
      <c r="C718" s="37"/>
      <c r="D718" s="5"/>
      <c r="E718" s="5"/>
      <c r="F718" s="5"/>
      <c r="G718" s="5"/>
      <c r="J718" s="5"/>
      <c r="M718" s="5"/>
      <c r="N718" s="5"/>
      <c r="P718" s="5"/>
    </row>
    <row r="719" spans="2:16" ht="13">
      <c r="B719" s="36"/>
      <c r="C719" s="37"/>
      <c r="D719" s="5"/>
      <c r="E719" s="5"/>
      <c r="F719" s="5"/>
      <c r="G719" s="5"/>
      <c r="J719" s="5"/>
      <c r="M719" s="5"/>
      <c r="N719" s="5"/>
      <c r="P719" s="5"/>
    </row>
    <row r="720" spans="2:16" ht="13">
      <c r="B720" s="36"/>
      <c r="C720" s="37"/>
      <c r="D720" s="5"/>
      <c r="E720" s="5"/>
      <c r="F720" s="5"/>
      <c r="G720" s="5"/>
      <c r="J720" s="5"/>
      <c r="M720" s="5"/>
      <c r="N720" s="5"/>
      <c r="P720" s="5"/>
    </row>
    <row r="721" spans="2:16" ht="13">
      <c r="B721" s="36"/>
      <c r="C721" s="37"/>
      <c r="D721" s="5"/>
      <c r="E721" s="5"/>
      <c r="F721" s="5"/>
      <c r="G721" s="5"/>
      <c r="J721" s="5"/>
      <c r="M721" s="5"/>
      <c r="N721" s="5"/>
      <c r="P721" s="5"/>
    </row>
    <row r="722" spans="2:16" ht="13">
      <c r="B722" s="36"/>
      <c r="C722" s="37"/>
      <c r="D722" s="5"/>
      <c r="E722" s="5"/>
      <c r="F722" s="5"/>
      <c r="G722" s="5"/>
      <c r="J722" s="5"/>
      <c r="M722" s="5"/>
      <c r="N722" s="5"/>
      <c r="P722" s="5"/>
    </row>
    <row r="723" spans="2:16" ht="13">
      <c r="B723" s="36"/>
      <c r="C723" s="37"/>
      <c r="D723" s="5"/>
      <c r="E723" s="5"/>
      <c r="F723" s="5"/>
      <c r="G723" s="5"/>
      <c r="J723" s="5"/>
      <c r="M723" s="5"/>
      <c r="N723" s="5"/>
      <c r="P723" s="5"/>
    </row>
    <row r="724" spans="2:16" ht="13">
      <c r="B724" s="36"/>
      <c r="C724" s="37"/>
      <c r="D724" s="5"/>
      <c r="E724" s="5"/>
      <c r="F724" s="5"/>
      <c r="G724" s="5"/>
      <c r="J724" s="5"/>
      <c r="M724" s="5"/>
      <c r="N724" s="5"/>
      <c r="P724" s="5"/>
    </row>
    <row r="725" spans="2:16" ht="13">
      <c r="B725" s="36"/>
      <c r="C725" s="37"/>
      <c r="D725" s="5"/>
      <c r="E725" s="5"/>
      <c r="F725" s="5"/>
      <c r="G725" s="5"/>
      <c r="J725" s="5"/>
      <c r="M725" s="5"/>
      <c r="N725" s="5"/>
      <c r="P725" s="5"/>
    </row>
    <row r="726" spans="2:16" ht="13">
      <c r="B726" s="36"/>
      <c r="C726" s="37"/>
      <c r="D726" s="5"/>
      <c r="E726" s="5"/>
      <c r="F726" s="5"/>
      <c r="G726" s="5"/>
      <c r="J726" s="5"/>
      <c r="M726" s="5"/>
      <c r="N726" s="5"/>
      <c r="P726" s="5"/>
    </row>
    <row r="727" spans="2:16" ht="13">
      <c r="B727" s="36"/>
      <c r="C727" s="37"/>
      <c r="D727" s="5"/>
      <c r="E727" s="5"/>
      <c r="F727" s="5"/>
      <c r="G727" s="5"/>
      <c r="J727" s="5"/>
      <c r="M727" s="5"/>
      <c r="N727" s="5"/>
      <c r="P727" s="5"/>
    </row>
    <row r="728" spans="2:16" ht="13">
      <c r="B728" s="36"/>
      <c r="C728" s="37"/>
      <c r="D728" s="5"/>
      <c r="E728" s="5"/>
      <c r="F728" s="5"/>
      <c r="G728" s="5"/>
      <c r="J728" s="5"/>
      <c r="M728" s="5"/>
      <c r="N728" s="5"/>
      <c r="P728" s="5"/>
    </row>
    <row r="729" spans="2:16" ht="13">
      <c r="B729" s="36"/>
      <c r="C729" s="37"/>
      <c r="D729" s="5"/>
      <c r="E729" s="5"/>
      <c r="F729" s="5"/>
      <c r="G729" s="5"/>
      <c r="J729" s="5"/>
      <c r="M729" s="5"/>
      <c r="N729" s="5"/>
      <c r="P729" s="5"/>
    </row>
    <row r="730" spans="2:16" ht="13">
      <c r="B730" s="36"/>
      <c r="C730" s="37"/>
      <c r="D730" s="5"/>
      <c r="E730" s="5"/>
      <c r="F730" s="5"/>
      <c r="G730" s="5"/>
      <c r="J730" s="5"/>
      <c r="M730" s="5"/>
      <c r="N730" s="5"/>
      <c r="P730" s="5"/>
    </row>
    <row r="731" spans="2:16" ht="13">
      <c r="B731" s="36"/>
      <c r="C731" s="37"/>
      <c r="D731" s="5"/>
      <c r="E731" s="5"/>
      <c r="F731" s="5"/>
      <c r="G731" s="5"/>
      <c r="J731" s="5"/>
      <c r="M731" s="5"/>
      <c r="N731" s="5"/>
      <c r="P731" s="5"/>
    </row>
    <row r="732" spans="2:16" ht="13">
      <c r="B732" s="36"/>
      <c r="C732" s="37"/>
      <c r="D732" s="5"/>
      <c r="E732" s="5"/>
      <c r="F732" s="5"/>
      <c r="G732" s="5"/>
      <c r="J732" s="5"/>
      <c r="M732" s="5"/>
      <c r="N732" s="5"/>
      <c r="P732" s="5"/>
    </row>
    <row r="733" spans="2:16" ht="13">
      <c r="B733" s="36"/>
      <c r="C733" s="37"/>
      <c r="D733" s="5"/>
      <c r="E733" s="5"/>
      <c r="F733" s="5"/>
      <c r="G733" s="5"/>
      <c r="J733" s="5"/>
      <c r="M733" s="5"/>
      <c r="N733" s="5"/>
      <c r="P733" s="5"/>
    </row>
    <row r="734" spans="2:16" ht="13">
      <c r="B734" s="36"/>
      <c r="C734" s="37"/>
      <c r="D734" s="5"/>
      <c r="E734" s="5"/>
      <c r="F734" s="5"/>
      <c r="G734" s="5"/>
      <c r="J734" s="5"/>
      <c r="M734" s="5"/>
      <c r="N734" s="5"/>
      <c r="P734" s="5"/>
    </row>
    <row r="735" spans="2:16" ht="13">
      <c r="B735" s="36"/>
      <c r="C735" s="37"/>
      <c r="D735" s="5"/>
      <c r="E735" s="5"/>
      <c r="F735" s="5"/>
      <c r="G735" s="5"/>
      <c r="J735" s="5"/>
      <c r="M735" s="5"/>
      <c r="N735" s="5"/>
      <c r="P735" s="5"/>
    </row>
    <row r="736" spans="2:16" ht="13">
      <c r="B736" s="36"/>
      <c r="C736" s="37"/>
      <c r="D736" s="5"/>
      <c r="E736" s="5"/>
      <c r="F736" s="5"/>
      <c r="G736" s="5"/>
      <c r="J736" s="5"/>
      <c r="M736" s="5"/>
      <c r="N736" s="5"/>
      <c r="P736" s="5"/>
    </row>
    <row r="737" spans="2:16" ht="13">
      <c r="B737" s="36"/>
      <c r="C737" s="37"/>
      <c r="D737" s="5"/>
      <c r="E737" s="5"/>
      <c r="F737" s="5"/>
      <c r="G737" s="5"/>
      <c r="J737" s="5"/>
      <c r="M737" s="5"/>
      <c r="N737" s="5"/>
      <c r="P737" s="5"/>
    </row>
    <row r="738" spans="2:16" ht="13">
      <c r="B738" s="36"/>
      <c r="C738" s="37"/>
      <c r="D738" s="5"/>
      <c r="E738" s="5"/>
      <c r="F738" s="5"/>
      <c r="G738" s="5"/>
      <c r="J738" s="5"/>
      <c r="M738" s="5"/>
      <c r="N738" s="5"/>
      <c r="P738" s="5"/>
    </row>
    <row r="739" spans="2:16" ht="13">
      <c r="B739" s="36"/>
      <c r="C739" s="37"/>
      <c r="D739" s="5"/>
      <c r="E739" s="5"/>
      <c r="F739" s="5"/>
      <c r="G739" s="5"/>
      <c r="J739" s="5"/>
      <c r="M739" s="5"/>
      <c r="N739" s="5"/>
      <c r="P739" s="5"/>
    </row>
    <row r="740" spans="2:16" ht="13">
      <c r="B740" s="36"/>
      <c r="C740" s="37"/>
      <c r="D740" s="5"/>
      <c r="E740" s="5"/>
      <c r="F740" s="5"/>
      <c r="G740" s="5"/>
      <c r="J740" s="5"/>
      <c r="M740" s="5"/>
      <c r="N740" s="5"/>
      <c r="P740" s="5"/>
    </row>
    <row r="741" spans="2:16" ht="13">
      <c r="B741" s="36"/>
      <c r="C741" s="37"/>
      <c r="D741" s="5"/>
      <c r="E741" s="5"/>
      <c r="F741" s="5"/>
      <c r="G741" s="5"/>
      <c r="J741" s="5"/>
      <c r="M741" s="5"/>
      <c r="N741" s="5"/>
      <c r="P741" s="5"/>
    </row>
    <row r="742" spans="2:16" ht="13">
      <c r="B742" s="36"/>
      <c r="C742" s="37"/>
      <c r="D742" s="5"/>
      <c r="E742" s="5"/>
      <c r="F742" s="5"/>
      <c r="G742" s="5"/>
      <c r="J742" s="5"/>
      <c r="M742" s="5"/>
      <c r="N742" s="5"/>
      <c r="P742" s="5"/>
    </row>
    <row r="743" spans="2:16" ht="13">
      <c r="B743" s="36"/>
      <c r="C743" s="37"/>
      <c r="D743" s="5"/>
      <c r="E743" s="5"/>
      <c r="F743" s="5"/>
      <c r="G743" s="5"/>
      <c r="J743" s="5"/>
      <c r="M743" s="5"/>
      <c r="N743" s="5"/>
      <c r="P743" s="5"/>
    </row>
    <row r="744" spans="2:16" ht="13">
      <c r="B744" s="36"/>
      <c r="C744" s="37"/>
      <c r="D744" s="5"/>
      <c r="E744" s="5"/>
      <c r="F744" s="5"/>
      <c r="G744" s="5"/>
      <c r="J744" s="5"/>
      <c r="M744" s="5"/>
      <c r="N744" s="5"/>
      <c r="P744" s="5"/>
    </row>
    <row r="745" spans="2:16" ht="13">
      <c r="B745" s="36"/>
      <c r="C745" s="37"/>
      <c r="D745" s="5"/>
      <c r="E745" s="5"/>
      <c r="F745" s="5"/>
      <c r="G745" s="5"/>
      <c r="J745" s="5"/>
      <c r="M745" s="5"/>
      <c r="N745" s="5"/>
      <c r="P745" s="5"/>
    </row>
    <row r="746" spans="2:16" ht="13">
      <c r="B746" s="36"/>
      <c r="C746" s="37"/>
      <c r="D746" s="5"/>
      <c r="E746" s="5"/>
      <c r="F746" s="5"/>
      <c r="G746" s="5"/>
      <c r="J746" s="5"/>
      <c r="M746" s="5"/>
      <c r="N746" s="5"/>
      <c r="P746" s="5"/>
    </row>
    <row r="747" spans="2:16" ht="13">
      <c r="B747" s="36"/>
      <c r="C747" s="37"/>
      <c r="D747" s="5"/>
      <c r="E747" s="5"/>
      <c r="F747" s="5"/>
      <c r="G747" s="5"/>
      <c r="J747" s="5"/>
      <c r="M747" s="5"/>
      <c r="N747" s="5"/>
      <c r="P747" s="5"/>
    </row>
    <row r="748" spans="2:16" ht="13">
      <c r="B748" s="36"/>
      <c r="C748" s="37"/>
      <c r="D748" s="5"/>
      <c r="E748" s="5"/>
      <c r="F748" s="5"/>
      <c r="G748" s="5"/>
      <c r="J748" s="5"/>
      <c r="M748" s="5"/>
      <c r="N748" s="5"/>
      <c r="P748" s="5"/>
    </row>
    <row r="749" spans="2:16" ht="13">
      <c r="B749" s="36"/>
      <c r="C749" s="37"/>
      <c r="D749" s="5"/>
      <c r="E749" s="5"/>
      <c r="F749" s="5"/>
      <c r="G749" s="5"/>
      <c r="J749" s="5"/>
      <c r="M749" s="5"/>
      <c r="N749" s="5"/>
      <c r="P749" s="5"/>
    </row>
    <row r="750" spans="2:16" ht="13">
      <c r="B750" s="36"/>
      <c r="C750" s="37"/>
      <c r="D750" s="5"/>
      <c r="E750" s="5"/>
      <c r="F750" s="5"/>
      <c r="G750" s="5"/>
      <c r="J750" s="5"/>
      <c r="M750" s="5"/>
      <c r="N750" s="5"/>
      <c r="P750" s="5"/>
    </row>
    <row r="751" spans="2:16" ht="13">
      <c r="B751" s="36"/>
      <c r="C751" s="37"/>
      <c r="D751" s="5"/>
      <c r="E751" s="5"/>
      <c r="F751" s="5"/>
      <c r="G751" s="5"/>
      <c r="J751" s="5"/>
      <c r="M751" s="5"/>
      <c r="N751" s="5"/>
      <c r="P751" s="5"/>
    </row>
    <row r="752" spans="2:16" ht="13">
      <c r="B752" s="36"/>
      <c r="C752" s="37"/>
      <c r="D752" s="5"/>
      <c r="E752" s="5"/>
      <c r="F752" s="5"/>
      <c r="G752" s="5"/>
      <c r="J752" s="5"/>
      <c r="M752" s="5"/>
      <c r="N752" s="5"/>
      <c r="P752" s="5"/>
    </row>
    <row r="753" spans="2:16" ht="13">
      <c r="B753" s="36"/>
      <c r="C753" s="37"/>
      <c r="D753" s="5"/>
      <c r="E753" s="5"/>
      <c r="F753" s="5"/>
      <c r="G753" s="5"/>
      <c r="J753" s="5"/>
      <c r="M753" s="5"/>
      <c r="N753" s="5"/>
      <c r="P753" s="5"/>
    </row>
    <row r="754" spans="2:16" ht="13">
      <c r="B754" s="36"/>
      <c r="C754" s="37"/>
      <c r="D754" s="5"/>
      <c r="E754" s="5"/>
      <c r="F754" s="5"/>
      <c r="G754" s="5"/>
      <c r="J754" s="5"/>
      <c r="M754" s="5"/>
      <c r="N754" s="5"/>
      <c r="P754" s="5"/>
    </row>
    <row r="755" spans="2:16" ht="13">
      <c r="B755" s="36"/>
      <c r="C755" s="37"/>
      <c r="D755" s="5"/>
      <c r="E755" s="5"/>
      <c r="F755" s="5"/>
      <c r="G755" s="5"/>
      <c r="J755" s="5"/>
      <c r="M755" s="5"/>
      <c r="N755" s="5"/>
      <c r="P755" s="5"/>
    </row>
    <row r="756" spans="2:16" ht="13">
      <c r="B756" s="36"/>
      <c r="C756" s="37"/>
      <c r="D756" s="5"/>
      <c r="E756" s="5"/>
      <c r="F756" s="5"/>
      <c r="G756" s="5"/>
      <c r="J756" s="5"/>
      <c r="M756" s="5"/>
      <c r="N756" s="5"/>
      <c r="P756" s="5"/>
    </row>
    <row r="757" spans="2:16" ht="13">
      <c r="B757" s="36"/>
      <c r="C757" s="37"/>
      <c r="D757" s="5"/>
      <c r="E757" s="5"/>
      <c r="F757" s="5"/>
      <c r="G757" s="5"/>
      <c r="J757" s="5"/>
      <c r="M757" s="5"/>
      <c r="N757" s="5"/>
      <c r="P757" s="5"/>
    </row>
    <row r="758" spans="2:16" ht="13">
      <c r="B758" s="36"/>
      <c r="C758" s="37"/>
      <c r="D758" s="5"/>
      <c r="E758" s="5"/>
      <c r="F758" s="5"/>
      <c r="G758" s="5"/>
      <c r="J758" s="5"/>
      <c r="M758" s="5"/>
      <c r="N758" s="5"/>
      <c r="P758" s="5"/>
    </row>
    <row r="759" spans="2:16" ht="13">
      <c r="B759" s="36"/>
      <c r="C759" s="37"/>
      <c r="D759" s="5"/>
      <c r="E759" s="5"/>
      <c r="F759" s="5"/>
      <c r="G759" s="5"/>
      <c r="J759" s="5"/>
      <c r="M759" s="5"/>
      <c r="N759" s="5"/>
      <c r="P759" s="5"/>
    </row>
    <row r="760" spans="2:16" ht="13">
      <c r="B760" s="36"/>
      <c r="C760" s="37"/>
      <c r="D760" s="5"/>
      <c r="E760" s="5"/>
      <c r="F760" s="5"/>
      <c r="G760" s="5"/>
      <c r="J760" s="5"/>
      <c r="M760" s="5"/>
      <c r="N760" s="5"/>
      <c r="P760" s="5"/>
    </row>
    <row r="761" spans="2:16" ht="13">
      <c r="B761" s="36"/>
      <c r="C761" s="37"/>
      <c r="D761" s="5"/>
      <c r="E761" s="5"/>
      <c r="F761" s="5"/>
      <c r="G761" s="5"/>
      <c r="J761" s="5"/>
      <c r="M761" s="5"/>
      <c r="N761" s="5"/>
      <c r="P761" s="5"/>
    </row>
    <row r="762" spans="2:16" ht="13">
      <c r="B762" s="36"/>
      <c r="C762" s="37"/>
      <c r="D762" s="5"/>
      <c r="E762" s="5"/>
      <c r="F762" s="5"/>
      <c r="G762" s="5"/>
      <c r="J762" s="5"/>
      <c r="M762" s="5"/>
      <c r="N762" s="5"/>
      <c r="P762" s="5"/>
    </row>
    <row r="763" spans="2:16" ht="13">
      <c r="B763" s="36"/>
      <c r="C763" s="37"/>
      <c r="D763" s="5"/>
      <c r="E763" s="5"/>
      <c r="F763" s="5"/>
      <c r="G763" s="5"/>
      <c r="J763" s="5"/>
      <c r="M763" s="5"/>
      <c r="N763" s="5"/>
      <c r="P763" s="5"/>
    </row>
    <row r="764" spans="2:16" ht="13">
      <c r="B764" s="36"/>
      <c r="C764" s="37"/>
      <c r="D764" s="5"/>
      <c r="E764" s="5"/>
      <c r="F764" s="5"/>
      <c r="G764" s="5"/>
      <c r="J764" s="5"/>
      <c r="M764" s="5"/>
      <c r="N764" s="5"/>
      <c r="P764" s="5"/>
    </row>
    <row r="765" spans="2:16" ht="13">
      <c r="B765" s="36"/>
      <c r="C765" s="37"/>
      <c r="D765" s="5"/>
      <c r="E765" s="5"/>
      <c r="F765" s="5"/>
      <c r="G765" s="5"/>
      <c r="J765" s="5"/>
      <c r="M765" s="5"/>
      <c r="N765" s="5"/>
      <c r="P765" s="5"/>
    </row>
    <row r="766" spans="2:16" ht="13">
      <c r="B766" s="36"/>
      <c r="C766" s="37"/>
      <c r="D766" s="5"/>
      <c r="E766" s="5"/>
      <c r="F766" s="5"/>
      <c r="G766" s="5"/>
      <c r="J766" s="5"/>
      <c r="M766" s="5"/>
      <c r="N766" s="5"/>
      <c r="P766" s="5"/>
    </row>
    <row r="767" spans="2:16" ht="13">
      <c r="B767" s="36"/>
      <c r="C767" s="37"/>
      <c r="D767" s="5"/>
      <c r="E767" s="5"/>
      <c r="F767" s="5"/>
      <c r="G767" s="5"/>
      <c r="J767" s="5"/>
      <c r="M767" s="5"/>
      <c r="N767" s="5"/>
      <c r="P767" s="5"/>
    </row>
    <row r="768" spans="2:16" ht="13">
      <c r="B768" s="36"/>
      <c r="C768" s="37"/>
      <c r="D768" s="5"/>
      <c r="E768" s="5"/>
      <c r="F768" s="5"/>
      <c r="G768" s="5"/>
      <c r="J768" s="5"/>
      <c r="M768" s="5"/>
      <c r="N768" s="5"/>
      <c r="P768" s="5"/>
    </row>
    <row r="769" spans="2:16" ht="13">
      <c r="B769" s="36"/>
      <c r="C769" s="37"/>
      <c r="D769" s="5"/>
      <c r="E769" s="5"/>
      <c r="F769" s="5"/>
      <c r="G769" s="5"/>
      <c r="J769" s="5"/>
      <c r="M769" s="5"/>
      <c r="N769" s="5"/>
      <c r="P769" s="5"/>
    </row>
    <row r="770" spans="2:16" ht="13">
      <c r="B770" s="36"/>
      <c r="C770" s="37"/>
      <c r="D770" s="5"/>
      <c r="E770" s="5"/>
      <c r="F770" s="5"/>
      <c r="G770" s="5"/>
      <c r="J770" s="5"/>
      <c r="M770" s="5"/>
      <c r="N770" s="5"/>
      <c r="P770" s="5"/>
    </row>
    <row r="771" spans="2:16" ht="13">
      <c r="B771" s="36"/>
      <c r="C771" s="37"/>
      <c r="D771" s="5"/>
      <c r="E771" s="5"/>
      <c r="F771" s="5"/>
      <c r="G771" s="5"/>
      <c r="J771" s="5"/>
      <c r="M771" s="5"/>
      <c r="N771" s="5"/>
      <c r="P771" s="5"/>
    </row>
    <row r="772" spans="2:16" ht="13">
      <c r="B772" s="36"/>
      <c r="C772" s="37"/>
      <c r="D772" s="5"/>
      <c r="E772" s="5"/>
      <c r="F772" s="5"/>
      <c r="G772" s="5"/>
      <c r="J772" s="5"/>
      <c r="M772" s="5"/>
      <c r="N772" s="5"/>
      <c r="P772" s="5"/>
    </row>
    <row r="773" spans="2:16" ht="13">
      <c r="B773" s="36"/>
      <c r="C773" s="37"/>
      <c r="D773" s="5"/>
      <c r="E773" s="5"/>
      <c r="F773" s="5"/>
      <c r="G773" s="5"/>
      <c r="J773" s="5"/>
      <c r="M773" s="5"/>
      <c r="N773" s="5"/>
      <c r="P773" s="5"/>
    </row>
    <row r="774" spans="2:16" ht="13">
      <c r="B774" s="36"/>
      <c r="C774" s="37"/>
      <c r="D774" s="5"/>
      <c r="E774" s="5"/>
      <c r="F774" s="5"/>
      <c r="G774" s="5"/>
      <c r="J774" s="5"/>
      <c r="M774" s="5"/>
      <c r="N774" s="5"/>
      <c r="P774" s="5"/>
    </row>
    <row r="775" spans="2:16" ht="13">
      <c r="B775" s="36"/>
      <c r="C775" s="37"/>
      <c r="D775" s="5"/>
      <c r="E775" s="5"/>
      <c r="F775" s="5"/>
      <c r="G775" s="5"/>
      <c r="J775" s="5"/>
      <c r="M775" s="5"/>
      <c r="N775" s="5"/>
      <c r="P775" s="5"/>
    </row>
    <row r="776" spans="2:16" ht="13">
      <c r="B776" s="36"/>
      <c r="C776" s="37"/>
      <c r="D776" s="5"/>
      <c r="E776" s="5"/>
      <c r="F776" s="5"/>
      <c r="G776" s="5"/>
      <c r="J776" s="5"/>
      <c r="M776" s="5"/>
      <c r="N776" s="5"/>
      <c r="P776" s="5"/>
    </row>
    <row r="777" spans="2:16" ht="13">
      <c r="B777" s="36"/>
      <c r="C777" s="37"/>
      <c r="D777" s="5"/>
      <c r="E777" s="5"/>
      <c r="F777" s="5"/>
      <c r="G777" s="5"/>
      <c r="J777" s="5"/>
      <c r="M777" s="5"/>
      <c r="N777" s="5"/>
      <c r="P777" s="5"/>
    </row>
    <row r="778" spans="2:16" ht="13">
      <c r="B778" s="36"/>
      <c r="C778" s="37"/>
      <c r="D778" s="5"/>
      <c r="E778" s="5"/>
      <c r="F778" s="5"/>
      <c r="G778" s="5"/>
      <c r="J778" s="5"/>
      <c r="M778" s="5"/>
      <c r="N778" s="5"/>
      <c r="P778" s="5"/>
    </row>
    <row r="779" spans="2:16" ht="13">
      <c r="B779" s="36"/>
      <c r="C779" s="37"/>
      <c r="D779" s="5"/>
      <c r="E779" s="5"/>
      <c r="F779" s="5"/>
      <c r="G779" s="5"/>
      <c r="J779" s="5"/>
      <c r="M779" s="5"/>
      <c r="N779" s="5"/>
      <c r="P779" s="5"/>
    </row>
    <row r="780" spans="2:16" ht="13">
      <c r="B780" s="36"/>
      <c r="C780" s="37"/>
      <c r="D780" s="5"/>
      <c r="E780" s="5"/>
      <c r="F780" s="5"/>
      <c r="G780" s="5"/>
      <c r="J780" s="5"/>
      <c r="M780" s="5"/>
      <c r="N780" s="5"/>
      <c r="P780" s="5"/>
    </row>
    <row r="781" spans="2:16" ht="13">
      <c r="B781" s="36"/>
      <c r="C781" s="37"/>
      <c r="D781" s="5"/>
      <c r="E781" s="5"/>
      <c r="F781" s="5"/>
      <c r="G781" s="5"/>
      <c r="J781" s="5"/>
      <c r="M781" s="5"/>
      <c r="N781" s="5"/>
      <c r="P781" s="5"/>
    </row>
    <row r="782" spans="2:16" ht="13">
      <c r="B782" s="36"/>
      <c r="C782" s="37"/>
      <c r="D782" s="5"/>
      <c r="E782" s="5"/>
      <c r="F782" s="5"/>
      <c r="G782" s="5"/>
      <c r="J782" s="5"/>
      <c r="M782" s="5"/>
      <c r="N782" s="5"/>
      <c r="P782" s="5"/>
    </row>
    <row r="783" spans="2:16" ht="13">
      <c r="B783" s="36"/>
      <c r="C783" s="37"/>
      <c r="D783" s="5"/>
      <c r="E783" s="5"/>
      <c r="F783" s="5"/>
      <c r="G783" s="5"/>
      <c r="J783" s="5"/>
      <c r="M783" s="5"/>
      <c r="N783" s="5"/>
      <c r="P783" s="5"/>
    </row>
    <row r="784" spans="2:16" ht="13">
      <c r="B784" s="36"/>
      <c r="C784" s="37"/>
      <c r="D784" s="5"/>
      <c r="E784" s="5"/>
      <c r="F784" s="5"/>
      <c r="G784" s="5"/>
      <c r="J784" s="5"/>
      <c r="M784" s="5"/>
      <c r="N784" s="5"/>
      <c r="P784" s="5"/>
    </row>
    <row r="785" spans="2:16" ht="13">
      <c r="B785" s="36"/>
      <c r="C785" s="37"/>
      <c r="D785" s="5"/>
      <c r="E785" s="5"/>
      <c r="F785" s="5"/>
      <c r="G785" s="5"/>
      <c r="J785" s="5"/>
      <c r="M785" s="5"/>
      <c r="N785" s="5"/>
      <c r="P785" s="5"/>
    </row>
    <row r="786" spans="2:16" ht="13">
      <c r="B786" s="36"/>
      <c r="C786" s="37"/>
      <c r="D786" s="5"/>
      <c r="E786" s="5"/>
      <c r="F786" s="5"/>
      <c r="G786" s="5"/>
      <c r="J786" s="5"/>
      <c r="M786" s="5"/>
      <c r="N786" s="5"/>
      <c r="P786" s="5"/>
    </row>
    <row r="787" spans="2:16" ht="13">
      <c r="B787" s="36"/>
      <c r="C787" s="37"/>
      <c r="D787" s="5"/>
      <c r="E787" s="5"/>
      <c r="F787" s="5"/>
      <c r="G787" s="5"/>
      <c r="J787" s="5"/>
      <c r="M787" s="5"/>
      <c r="N787" s="5"/>
      <c r="P787" s="5"/>
    </row>
    <row r="788" spans="2:16" ht="13">
      <c r="B788" s="36"/>
      <c r="C788" s="37"/>
      <c r="D788" s="5"/>
      <c r="E788" s="5"/>
      <c r="F788" s="5"/>
      <c r="G788" s="5"/>
      <c r="J788" s="5"/>
      <c r="M788" s="5"/>
      <c r="N788" s="5"/>
      <c r="P788" s="5"/>
    </row>
    <row r="789" spans="2:16" ht="13">
      <c r="B789" s="36"/>
      <c r="C789" s="37"/>
      <c r="D789" s="5"/>
      <c r="E789" s="5"/>
      <c r="F789" s="5"/>
      <c r="G789" s="5"/>
      <c r="J789" s="5"/>
      <c r="M789" s="5"/>
      <c r="N789" s="5"/>
      <c r="P789" s="5"/>
    </row>
    <row r="790" spans="2:16" ht="13">
      <c r="B790" s="36"/>
      <c r="C790" s="37"/>
      <c r="D790" s="5"/>
      <c r="E790" s="5"/>
      <c r="F790" s="5"/>
      <c r="G790" s="5"/>
      <c r="J790" s="5"/>
      <c r="M790" s="5"/>
      <c r="N790" s="5"/>
      <c r="P790" s="5"/>
    </row>
    <row r="791" spans="2:16" ht="13">
      <c r="B791" s="36"/>
      <c r="C791" s="37"/>
      <c r="D791" s="5"/>
      <c r="E791" s="5"/>
      <c r="F791" s="5"/>
      <c r="G791" s="5"/>
      <c r="J791" s="5"/>
      <c r="M791" s="5"/>
      <c r="N791" s="5"/>
      <c r="P791" s="5"/>
    </row>
    <row r="792" spans="2:16" ht="13">
      <c r="B792" s="36"/>
      <c r="C792" s="37"/>
      <c r="D792" s="5"/>
      <c r="E792" s="5"/>
      <c r="F792" s="5"/>
      <c r="G792" s="5"/>
      <c r="J792" s="5"/>
      <c r="M792" s="5"/>
      <c r="N792" s="5"/>
      <c r="P792" s="5"/>
    </row>
    <row r="793" spans="2:16" ht="13">
      <c r="B793" s="36"/>
      <c r="C793" s="37"/>
      <c r="D793" s="5"/>
      <c r="E793" s="5"/>
      <c r="F793" s="5"/>
      <c r="G793" s="5"/>
      <c r="J793" s="5"/>
      <c r="M793" s="5"/>
      <c r="N793" s="5"/>
      <c r="P793" s="5"/>
    </row>
    <row r="794" spans="2:16" ht="13">
      <c r="B794" s="36"/>
      <c r="C794" s="37"/>
      <c r="D794" s="5"/>
      <c r="E794" s="5"/>
      <c r="F794" s="5"/>
      <c r="G794" s="5"/>
      <c r="J794" s="5"/>
      <c r="M794" s="5"/>
      <c r="N794" s="5"/>
      <c r="P794" s="5"/>
    </row>
    <row r="795" spans="2:16" ht="13">
      <c r="B795" s="36"/>
      <c r="C795" s="37"/>
      <c r="D795" s="5"/>
      <c r="E795" s="5"/>
      <c r="F795" s="5"/>
      <c r="G795" s="5"/>
      <c r="J795" s="5"/>
      <c r="M795" s="5"/>
      <c r="N795" s="5"/>
      <c r="P795" s="5"/>
    </row>
    <row r="796" spans="2:16" ht="13">
      <c r="B796" s="36"/>
      <c r="C796" s="37"/>
      <c r="D796" s="5"/>
      <c r="E796" s="5"/>
      <c r="F796" s="5"/>
      <c r="G796" s="5"/>
      <c r="J796" s="5"/>
      <c r="M796" s="5"/>
      <c r="N796" s="5"/>
      <c r="P796" s="5"/>
    </row>
    <row r="797" spans="2:16" ht="13">
      <c r="B797" s="36"/>
      <c r="C797" s="37"/>
      <c r="D797" s="5"/>
      <c r="E797" s="5"/>
      <c r="F797" s="5"/>
      <c r="G797" s="5"/>
      <c r="J797" s="5"/>
      <c r="M797" s="5"/>
      <c r="N797" s="5"/>
      <c r="P797" s="5"/>
    </row>
    <row r="798" spans="2:16" ht="13">
      <c r="B798" s="36"/>
      <c r="C798" s="37"/>
      <c r="D798" s="5"/>
      <c r="E798" s="5"/>
      <c r="F798" s="5"/>
      <c r="G798" s="5"/>
      <c r="J798" s="5"/>
      <c r="M798" s="5"/>
      <c r="N798" s="5"/>
      <c r="P798" s="5"/>
    </row>
    <row r="799" spans="2:16" ht="13">
      <c r="B799" s="36"/>
      <c r="C799" s="37"/>
      <c r="D799" s="5"/>
      <c r="E799" s="5"/>
      <c r="F799" s="5"/>
      <c r="G799" s="5"/>
      <c r="J799" s="5"/>
      <c r="M799" s="5"/>
      <c r="N799" s="5"/>
      <c r="P799" s="5"/>
    </row>
    <row r="800" spans="2:16" ht="13">
      <c r="B800" s="36"/>
      <c r="C800" s="37"/>
      <c r="D800" s="5"/>
      <c r="E800" s="5"/>
      <c r="F800" s="5"/>
      <c r="G800" s="5"/>
      <c r="J800" s="5"/>
      <c r="M800" s="5"/>
      <c r="N800" s="5"/>
      <c r="P800" s="5"/>
    </row>
    <row r="801" spans="2:16" ht="13">
      <c r="B801" s="36"/>
      <c r="C801" s="37"/>
      <c r="D801" s="5"/>
      <c r="E801" s="5"/>
      <c r="F801" s="5"/>
      <c r="G801" s="5"/>
      <c r="J801" s="5"/>
      <c r="M801" s="5"/>
      <c r="N801" s="5"/>
      <c r="P801" s="5"/>
    </row>
    <row r="802" spans="2:16" ht="13">
      <c r="B802" s="36"/>
      <c r="C802" s="37"/>
      <c r="D802" s="5"/>
      <c r="E802" s="5"/>
      <c r="F802" s="5"/>
      <c r="G802" s="5"/>
      <c r="J802" s="5"/>
      <c r="M802" s="5"/>
      <c r="N802" s="5"/>
      <c r="P802" s="5"/>
    </row>
    <row r="803" spans="2:16" ht="13">
      <c r="B803" s="36"/>
      <c r="C803" s="37"/>
      <c r="D803" s="5"/>
      <c r="E803" s="5"/>
      <c r="F803" s="5"/>
      <c r="G803" s="5"/>
      <c r="J803" s="5"/>
      <c r="M803" s="5"/>
      <c r="N803" s="5"/>
      <c r="P803" s="5"/>
    </row>
    <row r="804" spans="2:16" ht="13">
      <c r="B804" s="36"/>
      <c r="C804" s="37"/>
      <c r="D804" s="5"/>
      <c r="E804" s="5"/>
      <c r="F804" s="5"/>
      <c r="G804" s="5"/>
      <c r="J804" s="5"/>
      <c r="M804" s="5"/>
      <c r="N804" s="5"/>
      <c r="P804" s="5"/>
    </row>
    <row r="805" spans="2:16" ht="13">
      <c r="B805" s="36"/>
      <c r="C805" s="37"/>
      <c r="D805" s="5"/>
      <c r="E805" s="5"/>
      <c r="F805" s="5"/>
      <c r="G805" s="5"/>
      <c r="J805" s="5"/>
      <c r="M805" s="5"/>
      <c r="N805" s="5"/>
      <c r="P805" s="5"/>
    </row>
    <row r="806" spans="2:16" ht="13">
      <c r="B806" s="36"/>
      <c r="C806" s="37"/>
      <c r="D806" s="5"/>
      <c r="E806" s="5"/>
      <c r="F806" s="5"/>
      <c r="G806" s="5"/>
      <c r="J806" s="5"/>
      <c r="M806" s="5"/>
      <c r="N806" s="5"/>
      <c r="P806" s="5"/>
    </row>
    <row r="807" spans="2:16" ht="13">
      <c r="B807" s="36"/>
      <c r="C807" s="37"/>
      <c r="D807" s="5"/>
      <c r="E807" s="5"/>
      <c r="F807" s="5"/>
      <c r="G807" s="5"/>
      <c r="J807" s="5"/>
      <c r="M807" s="5"/>
      <c r="N807" s="5"/>
      <c r="P807" s="5"/>
    </row>
    <row r="808" spans="2:16" ht="13">
      <c r="B808" s="36"/>
      <c r="C808" s="37"/>
      <c r="D808" s="5"/>
      <c r="E808" s="5"/>
      <c r="F808" s="5"/>
      <c r="G808" s="5"/>
      <c r="J808" s="5"/>
      <c r="M808" s="5"/>
      <c r="N808" s="5"/>
      <c r="P808" s="5"/>
    </row>
    <row r="809" spans="2:16" ht="13">
      <c r="B809" s="36"/>
      <c r="C809" s="37"/>
      <c r="D809" s="5"/>
      <c r="E809" s="5"/>
      <c r="F809" s="5"/>
      <c r="G809" s="5"/>
      <c r="J809" s="5"/>
      <c r="M809" s="5"/>
      <c r="N809" s="5"/>
      <c r="P809" s="5"/>
    </row>
    <row r="810" spans="2:16" ht="13">
      <c r="B810" s="36"/>
      <c r="C810" s="37"/>
      <c r="D810" s="5"/>
      <c r="E810" s="5"/>
      <c r="F810" s="5"/>
      <c r="G810" s="5"/>
      <c r="J810" s="5"/>
      <c r="M810" s="5"/>
      <c r="N810" s="5"/>
      <c r="P810" s="5"/>
    </row>
    <row r="811" spans="2:16" ht="13">
      <c r="B811" s="36"/>
      <c r="C811" s="37"/>
      <c r="D811" s="5"/>
      <c r="E811" s="5"/>
      <c r="F811" s="5"/>
      <c r="G811" s="5"/>
      <c r="J811" s="5"/>
      <c r="M811" s="5"/>
      <c r="N811" s="5"/>
      <c r="P811" s="5"/>
    </row>
    <row r="812" spans="2:16" ht="13">
      <c r="B812" s="36"/>
      <c r="C812" s="37"/>
      <c r="D812" s="5"/>
      <c r="E812" s="5"/>
      <c r="F812" s="5"/>
      <c r="G812" s="5"/>
      <c r="J812" s="5"/>
      <c r="M812" s="5"/>
      <c r="N812" s="5"/>
      <c r="P812" s="5"/>
    </row>
    <row r="813" spans="2:16" ht="13">
      <c r="B813" s="36"/>
      <c r="C813" s="37"/>
      <c r="D813" s="5"/>
      <c r="E813" s="5"/>
      <c r="F813" s="5"/>
      <c r="G813" s="5"/>
      <c r="J813" s="5"/>
      <c r="M813" s="5"/>
      <c r="N813" s="5"/>
      <c r="P813" s="5"/>
    </row>
    <row r="814" spans="2:16" ht="13">
      <c r="B814" s="36"/>
      <c r="C814" s="37"/>
      <c r="D814" s="5"/>
      <c r="E814" s="5"/>
      <c r="F814" s="5"/>
      <c r="G814" s="5"/>
      <c r="J814" s="5"/>
      <c r="M814" s="5"/>
      <c r="N814" s="5"/>
      <c r="P814" s="5"/>
    </row>
    <row r="815" spans="2:16" ht="13">
      <c r="B815" s="36"/>
      <c r="C815" s="37"/>
      <c r="D815" s="5"/>
      <c r="E815" s="5"/>
      <c r="F815" s="5"/>
      <c r="G815" s="5"/>
      <c r="J815" s="5"/>
      <c r="M815" s="5"/>
      <c r="N815" s="5"/>
      <c r="P815" s="5"/>
    </row>
    <row r="816" spans="2:16" ht="13">
      <c r="B816" s="36"/>
      <c r="C816" s="37"/>
      <c r="D816" s="5"/>
      <c r="E816" s="5"/>
      <c r="F816" s="5"/>
      <c r="G816" s="5"/>
      <c r="J816" s="5"/>
      <c r="M816" s="5"/>
      <c r="N816" s="5"/>
      <c r="P816" s="5"/>
    </row>
    <row r="817" spans="2:16" ht="13">
      <c r="B817" s="36"/>
      <c r="C817" s="37"/>
      <c r="D817" s="5"/>
      <c r="E817" s="5"/>
      <c r="F817" s="5"/>
      <c r="G817" s="5"/>
      <c r="J817" s="5"/>
      <c r="M817" s="5"/>
      <c r="N817" s="5"/>
      <c r="P817" s="5"/>
    </row>
    <row r="818" spans="2:16" ht="13">
      <c r="B818" s="36"/>
      <c r="C818" s="37"/>
      <c r="D818" s="5"/>
      <c r="E818" s="5"/>
      <c r="F818" s="5"/>
      <c r="G818" s="5"/>
      <c r="J818" s="5"/>
      <c r="M818" s="5"/>
      <c r="N818" s="5"/>
      <c r="P818" s="5"/>
    </row>
    <row r="819" spans="2:16" ht="13">
      <c r="B819" s="36"/>
      <c r="C819" s="37"/>
      <c r="D819" s="5"/>
      <c r="E819" s="5"/>
      <c r="F819" s="5"/>
      <c r="G819" s="5"/>
      <c r="J819" s="5"/>
      <c r="M819" s="5"/>
      <c r="N819" s="5"/>
      <c r="P819" s="5"/>
    </row>
    <row r="820" spans="2:16" ht="13">
      <c r="B820" s="36"/>
      <c r="C820" s="37"/>
      <c r="D820" s="5"/>
      <c r="E820" s="5"/>
      <c r="F820" s="5"/>
      <c r="G820" s="5"/>
      <c r="J820" s="5"/>
      <c r="M820" s="5"/>
      <c r="N820" s="5"/>
      <c r="P820" s="5"/>
    </row>
    <row r="821" spans="2:16" ht="13">
      <c r="B821" s="36"/>
      <c r="C821" s="37"/>
      <c r="D821" s="5"/>
      <c r="E821" s="5"/>
      <c r="F821" s="5"/>
      <c r="G821" s="5"/>
      <c r="J821" s="5"/>
      <c r="M821" s="5"/>
      <c r="N821" s="5"/>
      <c r="P821" s="5"/>
    </row>
    <row r="822" spans="2:16" ht="13">
      <c r="B822" s="36"/>
      <c r="C822" s="37"/>
      <c r="D822" s="5"/>
      <c r="E822" s="5"/>
      <c r="F822" s="5"/>
      <c r="G822" s="5"/>
      <c r="J822" s="5"/>
      <c r="M822" s="5"/>
      <c r="N822" s="5"/>
      <c r="P822" s="5"/>
    </row>
    <row r="823" spans="2:16" ht="13">
      <c r="B823" s="36"/>
      <c r="C823" s="37"/>
      <c r="D823" s="5"/>
      <c r="E823" s="5"/>
      <c r="F823" s="5"/>
      <c r="G823" s="5"/>
      <c r="J823" s="5"/>
      <c r="M823" s="5"/>
      <c r="N823" s="5"/>
      <c r="P823" s="5"/>
    </row>
    <row r="824" spans="2:16" ht="13">
      <c r="B824" s="36"/>
      <c r="C824" s="37"/>
      <c r="D824" s="5"/>
      <c r="E824" s="5"/>
      <c r="F824" s="5"/>
      <c r="G824" s="5"/>
      <c r="J824" s="5"/>
      <c r="M824" s="5"/>
      <c r="N824" s="5"/>
      <c r="P824" s="5"/>
    </row>
    <row r="825" spans="2:16" ht="13">
      <c r="B825" s="36"/>
      <c r="C825" s="37"/>
      <c r="D825" s="5"/>
      <c r="E825" s="5"/>
      <c r="F825" s="5"/>
      <c r="G825" s="5"/>
      <c r="J825" s="5"/>
      <c r="M825" s="5"/>
      <c r="N825" s="5"/>
      <c r="P825" s="5"/>
    </row>
    <row r="826" spans="2:16" ht="13">
      <c r="B826" s="36"/>
      <c r="C826" s="37"/>
      <c r="D826" s="5"/>
      <c r="E826" s="5"/>
      <c r="F826" s="5"/>
      <c r="G826" s="5"/>
      <c r="J826" s="5"/>
      <c r="M826" s="5"/>
      <c r="N826" s="5"/>
      <c r="P826" s="5"/>
    </row>
    <row r="827" spans="2:16" ht="13">
      <c r="B827" s="36"/>
      <c r="C827" s="37"/>
      <c r="D827" s="5"/>
      <c r="E827" s="5"/>
      <c r="F827" s="5"/>
      <c r="G827" s="5"/>
      <c r="J827" s="5"/>
      <c r="M827" s="5"/>
      <c r="N827" s="5"/>
      <c r="P827" s="5"/>
    </row>
    <row r="828" spans="2:16" ht="13">
      <c r="B828" s="36"/>
      <c r="C828" s="37"/>
      <c r="D828" s="5"/>
      <c r="E828" s="5"/>
      <c r="F828" s="5"/>
      <c r="G828" s="5"/>
      <c r="J828" s="5"/>
      <c r="M828" s="5"/>
      <c r="N828" s="5"/>
      <c r="P828" s="5"/>
    </row>
    <row r="829" spans="2:16" ht="13">
      <c r="B829" s="36"/>
      <c r="C829" s="37"/>
      <c r="D829" s="5"/>
      <c r="E829" s="5"/>
      <c r="F829" s="5"/>
      <c r="G829" s="5"/>
      <c r="J829" s="5"/>
      <c r="M829" s="5"/>
      <c r="N829" s="5"/>
      <c r="P829" s="5"/>
    </row>
    <row r="830" spans="2:16" ht="13">
      <c r="B830" s="36"/>
      <c r="C830" s="37"/>
      <c r="D830" s="5"/>
      <c r="E830" s="5"/>
      <c r="F830" s="5"/>
      <c r="G830" s="5"/>
      <c r="J830" s="5"/>
      <c r="M830" s="5"/>
      <c r="N830" s="5"/>
      <c r="P830" s="5"/>
    </row>
    <row r="831" spans="2:16" ht="13">
      <c r="B831" s="36"/>
      <c r="C831" s="37"/>
      <c r="D831" s="5"/>
      <c r="E831" s="5"/>
      <c r="F831" s="5"/>
      <c r="G831" s="5"/>
      <c r="J831" s="5"/>
      <c r="M831" s="5"/>
      <c r="N831" s="5"/>
      <c r="P831" s="5"/>
    </row>
    <row r="832" spans="2:16" ht="13">
      <c r="B832" s="36"/>
      <c r="C832" s="37"/>
      <c r="D832" s="5"/>
      <c r="E832" s="5"/>
      <c r="F832" s="5"/>
      <c r="G832" s="5"/>
      <c r="J832" s="5"/>
      <c r="M832" s="5"/>
      <c r="N832" s="5"/>
      <c r="P832" s="5"/>
    </row>
    <row r="833" spans="2:16" ht="13">
      <c r="B833" s="36"/>
      <c r="C833" s="37"/>
      <c r="D833" s="5"/>
      <c r="E833" s="5"/>
      <c r="F833" s="5"/>
      <c r="G833" s="5"/>
      <c r="J833" s="5"/>
      <c r="M833" s="5"/>
      <c r="N833" s="5"/>
      <c r="P833" s="5"/>
    </row>
    <row r="834" spans="2:16" ht="13">
      <c r="B834" s="36"/>
      <c r="C834" s="37"/>
      <c r="D834" s="5"/>
      <c r="E834" s="5"/>
      <c r="F834" s="5"/>
      <c r="G834" s="5"/>
      <c r="J834" s="5"/>
      <c r="M834" s="5"/>
      <c r="N834" s="5"/>
      <c r="P834" s="5"/>
    </row>
    <row r="835" spans="2:16" ht="13">
      <c r="B835" s="36"/>
      <c r="C835" s="37"/>
      <c r="D835" s="5"/>
      <c r="E835" s="5"/>
      <c r="F835" s="5"/>
      <c r="G835" s="5"/>
      <c r="J835" s="5"/>
      <c r="M835" s="5"/>
      <c r="N835" s="5"/>
      <c r="P835" s="5"/>
    </row>
    <row r="836" spans="2:16" ht="13">
      <c r="B836" s="36"/>
      <c r="C836" s="37"/>
      <c r="D836" s="5"/>
      <c r="E836" s="5"/>
      <c r="F836" s="5"/>
      <c r="G836" s="5"/>
      <c r="J836" s="5"/>
      <c r="M836" s="5"/>
      <c r="N836" s="5"/>
      <c r="P836" s="5"/>
    </row>
    <row r="837" spans="2:16" ht="13">
      <c r="B837" s="36"/>
      <c r="C837" s="37"/>
      <c r="D837" s="5"/>
      <c r="E837" s="5"/>
      <c r="F837" s="5"/>
      <c r="G837" s="5"/>
      <c r="J837" s="5"/>
      <c r="M837" s="5"/>
      <c r="N837" s="5"/>
      <c r="P837" s="5"/>
    </row>
    <row r="838" spans="2:16" ht="13">
      <c r="B838" s="36"/>
      <c r="C838" s="37"/>
      <c r="D838" s="5"/>
      <c r="E838" s="5"/>
      <c r="F838" s="5"/>
      <c r="G838" s="5"/>
      <c r="J838" s="5"/>
      <c r="M838" s="5"/>
      <c r="N838" s="5"/>
      <c r="P838" s="5"/>
    </row>
    <row r="839" spans="2:16" ht="13">
      <c r="B839" s="36"/>
      <c r="C839" s="37"/>
      <c r="D839" s="5"/>
      <c r="E839" s="5"/>
      <c r="F839" s="5"/>
      <c r="G839" s="5"/>
      <c r="J839" s="5"/>
      <c r="M839" s="5"/>
      <c r="N839" s="5"/>
      <c r="P839" s="5"/>
    </row>
    <row r="840" spans="2:16" ht="13">
      <c r="B840" s="36"/>
      <c r="C840" s="37"/>
      <c r="D840" s="5"/>
      <c r="E840" s="5"/>
      <c r="F840" s="5"/>
      <c r="G840" s="5"/>
      <c r="J840" s="5"/>
      <c r="M840" s="5"/>
      <c r="N840" s="5"/>
      <c r="P840" s="5"/>
    </row>
    <row r="841" spans="2:16" ht="13">
      <c r="B841" s="36"/>
      <c r="C841" s="37"/>
      <c r="D841" s="5"/>
      <c r="E841" s="5"/>
      <c r="F841" s="5"/>
      <c r="G841" s="5"/>
      <c r="J841" s="5"/>
      <c r="M841" s="5"/>
      <c r="N841" s="5"/>
      <c r="P841" s="5"/>
    </row>
    <row r="842" spans="2:16" ht="13">
      <c r="B842" s="36"/>
      <c r="C842" s="37"/>
      <c r="D842" s="5"/>
      <c r="E842" s="5"/>
      <c r="F842" s="5"/>
      <c r="G842" s="5"/>
      <c r="J842" s="5"/>
      <c r="M842" s="5"/>
      <c r="N842" s="5"/>
      <c r="P842" s="5"/>
    </row>
    <row r="843" spans="2:16" ht="13">
      <c r="B843" s="36"/>
      <c r="C843" s="37"/>
      <c r="D843" s="5"/>
      <c r="E843" s="5"/>
      <c r="F843" s="5"/>
      <c r="G843" s="5"/>
      <c r="J843" s="5"/>
      <c r="M843" s="5"/>
      <c r="N843" s="5"/>
      <c r="P843" s="5"/>
    </row>
    <row r="844" spans="2:16" ht="13">
      <c r="B844" s="36"/>
      <c r="C844" s="37"/>
      <c r="D844" s="5"/>
      <c r="E844" s="5"/>
      <c r="F844" s="5"/>
      <c r="G844" s="5"/>
      <c r="J844" s="5"/>
      <c r="M844" s="5"/>
      <c r="N844" s="5"/>
      <c r="P844" s="5"/>
    </row>
    <row r="845" spans="2:16" ht="13">
      <c r="B845" s="36"/>
      <c r="C845" s="37"/>
      <c r="D845" s="5"/>
      <c r="E845" s="5"/>
      <c r="F845" s="5"/>
      <c r="G845" s="5"/>
      <c r="J845" s="5"/>
      <c r="M845" s="5"/>
      <c r="N845" s="5"/>
      <c r="P845" s="5"/>
    </row>
    <row r="846" spans="2:16" ht="13">
      <c r="B846" s="36"/>
      <c r="C846" s="37"/>
      <c r="D846" s="5"/>
      <c r="E846" s="5"/>
      <c r="F846" s="5"/>
      <c r="G846" s="5"/>
      <c r="J846" s="5"/>
      <c r="M846" s="5"/>
      <c r="N846" s="5"/>
      <c r="P846" s="5"/>
    </row>
    <row r="847" spans="2:16" ht="13">
      <c r="B847" s="36"/>
      <c r="C847" s="37"/>
      <c r="D847" s="5"/>
      <c r="E847" s="5"/>
      <c r="F847" s="5"/>
      <c r="G847" s="5"/>
      <c r="J847" s="5"/>
      <c r="M847" s="5"/>
      <c r="N847" s="5"/>
      <c r="P847" s="5"/>
    </row>
    <row r="848" spans="2:16" ht="13">
      <c r="B848" s="36"/>
      <c r="C848" s="37"/>
      <c r="D848" s="5"/>
      <c r="E848" s="5"/>
      <c r="F848" s="5"/>
      <c r="G848" s="5"/>
      <c r="J848" s="5"/>
      <c r="M848" s="5"/>
      <c r="N848" s="5"/>
      <c r="P848" s="5"/>
    </row>
    <row r="849" spans="2:16" ht="13">
      <c r="B849" s="36"/>
      <c r="C849" s="37"/>
      <c r="D849" s="5"/>
      <c r="E849" s="5"/>
      <c r="F849" s="5"/>
      <c r="G849" s="5"/>
      <c r="J849" s="5"/>
      <c r="M849" s="5"/>
      <c r="N849" s="5"/>
      <c r="P849" s="5"/>
    </row>
    <row r="850" spans="2:16" ht="13">
      <c r="B850" s="36"/>
      <c r="C850" s="37"/>
      <c r="D850" s="5"/>
      <c r="E850" s="5"/>
      <c r="F850" s="5"/>
      <c r="G850" s="5"/>
      <c r="J850" s="5"/>
      <c r="M850" s="5"/>
      <c r="N850" s="5"/>
      <c r="P850" s="5"/>
    </row>
    <row r="851" spans="2:16" ht="13">
      <c r="B851" s="36"/>
      <c r="C851" s="37"/>
      <c r="D851" s="5"/>
      <c r="E851" s="5"/>
      <c r="F851" s="5"/>
      <c r="G851" s="5"/>
      <c r="J851" s="5"/>
      <c r="M851" s="5"/>
      <c r="N851" s="5"/>
      <c r="P851" s="5"/>
    </row>
    <row r="852" spans="2:16" ht="13">
      <c r="B852" s="36"/>
      <c r="C852" s="37"/>
      <c r="D852" s="5"/>
      <c r="E852" s="5"/>
      <c r="F852" s="5"/>
      <c r="G852" s="5"/>
      <c r="J852" s="5"/>
      <c r="M852" s="5"/>
      <c r="N852" s="5"/>
      <c r="P852" s="5"/>
    </row>
    <row r="853" spans="2:16" ht="13">
      <c r="B853" s="36"/>
      <c r="C853" s="37"/>
      <c r="D853" s="5"/>
      <c r="E853" s="5"/>
      <c r="F853" s="5"/>
      <c r="G853" s="5"/>
      <c r="J853" s="5"/>
      <c r="M853" s="5"/>
      <c r="N853" s="5"/>
      <c r="P853" s="5"/>
    </row>
    <row r="854" spans="2:16" ht="13">
      <c r="B854" s="36"/>
      <c r="C854" s="37"/>
      <c r="D854" s="5"/>
      <c r="E854" s="5"/>
      <c r="F854" s="5"/>
      <c r="G854" s="5"/>
      <c r="J854" s="5"/>
      <c r="M854" s="5"/>
      <c r="N854" s="5"/>
      <c r="P854" s="5"/>
    </row>
    <row r="855" spans="2:16" ht="13">
      <c r="B855" s="36"/>
      <c r="C855" s="37"/>
      <c r="D855" s="5"/>
      <c r="E855" s="5"/>
      <c r="F855" s="5"/>
      <c r="G855" s="5"/>
      <c r="J855" s="5"/>
      <c r="M855" s="5"/>
      <c r="N855" s="5"/>
      <c r="P855" s="5"/>
    </row>
    <row r="856" spans="2:16" ht="13">
      <c r="B856" s="36"/>
      <c r="C856" s="37"/>
      <c r="D856" s="5"/>
      <c r="E856" s="5"/>
      <c r="F856" s="5"/>
      <c r="G856" s="5"/>
      <c r="J856" s="5"/>
      <c r="M856" s="5"/>
      <c r="N856" s="5"/>
      <c r="P856" s="5"/>
    </row>
    <row r="857" spans="2:16" ht="13">
      <c r="B857" s="36"/>
      <c r="C857" s="37"/>
      <c r="D857" s="5"/>
      <c r="E857" s="5"/>
      <c r="F857" s="5"/>
      <c r="G857" s="5"/>
      <c r="J857" s="5"/>
      <c r="M857" s="5"/>
      <c r="N857" s="5"/>
      <c r="P857" s="5"/>
    </row>
    <row r="858" spans="2:16" ht="13">
      <c r="B858" s="36"/>
      <c r="C858" s="37"/>
      <c r="D858" s="5"/>
      <c r="E858" s="5"/>
      <c r="F858" s="5"/>
      <c r="G858" s="5"/>
      <c r="J858" s="5"/>
      <c r="M858" s="5"/>
      <c r="N858" s="5"/>
      <c r="P858" s="5"/>
    </row>
    <row r="859" spans="2:16" ht="13">
      <c r="B859" s="36"/>
      <c r="C859" s="37"/>
      <c r="D859" s="5"/>
      <c r="E859" s="5"/>
      <c r="F859" s="5"/>
      <c r="G859" s="5"/>
      <c r="J859" s="5"/>
      <c r="M859" s="5"/>
      <c r="N859" s="5"/>
      <c r="P859" s="5"/>
    </row>
    <row r="860" spans="2:16" ht="13">
      <c r="B860" s="36"/>
      <c r="C860" s="37"/>
      <c r="D860" s="5"/>
      <c r="E860" s="5"/>
      <c r="F860" s="5"/>
      <c r="G860" s="5"/>
      <c r="J860" s="5"/>
      <c r="M860" s="5"/>
      <c r="N860" s="5"/>
      <c r="P860" s="5"/>
    </row>
    <row r="861" spans="2:16" ht="13">
      <c r="B861" s="36"/>
      <c r="C861" s="37"/>
      <c r="D861" s="5"/>
      <c r="E861" s="5"/>
      <c r="F861" s="5"/>
      <c r="G861" s="5"/>
      <c r="J861" s="5"/>
      <c r="M861" s="5"/>
      <c r="N861" s="5"/>
      <c r="P861" s="5"/>
    </row>
    <row r="862" spans="2:16" ht="13">
      <c r="B862" s="36"/>
      <c r="C862" s="37"/>
      <c r="D862" s="5"/>
      <c r="E862" s="5"/>
      <c r="F862" s="5"/>
      <c r="G862" s="5"/>
      <c r="J862" s="5"/>
      <c r="M862" s="5"/>
      <c r="N862" s="5"/>
      <c r="P862" s="5"/>
    </row>
    <row r="863" spans="2:16" ht="13">
      <c r="B863" s="36"/>
      <c r="C863" s="37"/>
      <c r="D863" s="5"/>
      <c r="E863" s="5"/>
      <c r="F863" s="5"/>
      <c r="G863" s="5"/>
      <c r="J863" s="5"/>
      <c r="M863" s="5"/>
      <c r="N863" s="5"/>
      <c r="P863" s="5"/>
    </row>
    <row r="864" spans="2:16" ht="13">
      <c r="B864" s="36"/>
      <c r="C864" s="37"/>
      <c r="D864" s="5"/>
      <c r="E864" s="5"/>
      <c r="F864" s="5"/>
      <c r="G864" s="5"/>
      <c r="J864" s="5"/>
      <c r="M864" s="5"/>
      <c r="N864" s="5"/>
      <c r="P864" s="5"/>
    </row>
    <row r="865" spans="2:16" ht="13">
      <c r="B865" s="36"/>
      <c r="C865" s="37"/>
      <c r="D865" s="5"/>
      <c r="E865" s="5"/>
      <c r="F865" s="5"/>
      <c r="G865" s="5"/>
      <c r="J865" s="5"/>
      <c r="M865" s="5"/>
      <c r="N865" s="5"/>
      <c r="P865" s="5"/>
    </row>
    <row r="866" spans="2:16" ht="13">
      <c r="B866" s="36"/>
      <c r="C866" s="37"/>
      <c r="D866" s="5"/>
      <c r="E866" s="5"/>
      <c r="F866" s="5"/>
      <c r="G866" s="5"/>
      <c r="J866" s="5"/>
      <c r="M866" s="5"/>
      <c r="N866" s="5"/>
      <c r="P866" s="5"/>
    </row>
    <row r="867" spans="2:16" ht="13">
      <c r="B867" s="36"/>
      <c r="C867" s="37"/>
      <c r="D867" s="5"/>
      <c r="E867" s="5"/>
      <c r="F867" s="5"/>
      <c r="G867" s="5"/>
      <c r="J867" s="5"/>
      <c r="M867" s="5"/>
      <c r="N867" s="5"/>
      <c r="P867" s="5"/>
    </row>
    <row r="868" spans="2:16" ht="13">
      <c r="B868" s="36"/>
      <c r="C868" s="37"/>
      <c r="D868" s="5"/>
      <c r="E868" s="5"/>
      <c r="F868" s="5"/>
      <c r="G868" s="5"/>
      <c r="J868" s="5"/>
      <c r="M868" s="5"/>
      <c r="N868" s="5"/>
      <c r="P868" s="5"/>
    </row>
    <row r="869" spans="2:16" ht="13">
      <c r="B869" s="36"/>
      <c r="C869" s="37"/>
      <c r="D869" s="5"/>
      <c r="E869" s="5"/>
      <c r="F869" s="5"/>
      <c r="G869" s="5"/>
      <c r="J869" s="5"/>
      <c r="M869" s="5"/>
      <c r="N869" s="5"/>
      <c r="P869" s="5"/>
    </row>
    <row r="870" spans="2:16" ht="13">
      <c r="B870" s="36"/>
      <c r="C870" s="37"/>
      <c r="D870" s="5"/>
      <c r="E870" s="5"/>
      <c r="F870" s="5"/>
      <c r="G870" s="5"/>
      <c r="J870" s="5"/>
      <c r="M870" s="5"/>
      <c r="N870" s="5"/>
      <c r="P870" s="5"/>
    </row>
    <row r="871" spans="2:16" ht="13">
      <c r="B871" s="36"/>
      <c r="C871" s="37"/>
      <c r="D871" s="5"/>
      <c r="E871" s="5"/>
      <c r="F871" s="5"/>
      <c r="G871" s="5"/>
      <c r="J871" s="5"/>
      <c r="M871" s="5"/>
      <c r="N871" s="5"/>
      <c r="P871" s="5"/>
    </row>
    <row r="872" spans="2:16" ht="13">
      <c r="B872" s="36"/>
      <c r="C872" s="37"/>
      <c r="D872" s="5"/>
      <c r="E872" s="5"/>
      <c r="F872" s="5"/>
      <c r="G872" s="5"/>
      <c r="J872" s="5"/>
      <c r="M872" s="5"/>
      <c r="N872" s="5"/>
      <c r="P872" s="5"/>
    </row>
    <row r="873" spans="2:16" ht="13">
      <c r="B873" s="36"/>
      <c r="C873" s="37"/>
      <c r="D873" s="5"/>
      <c r="E873" s="5"/>
      <c r="F873" s="5"/>
      <c r="G873" s="5"/>
      <c r="J873" s="5"/>
      <c r="M873" s="5"/>
      <c r="N873" s="5"/>
      <c r="P873" s="5"/>
    </row>
    <row r="874" spans="2:16" ht="13">
      <c r="B874" s="36"/>
      <c r="C874" s="37"/>
      <c r="D874" s="5"/>
      <c r="E874" s="5"/>
      <c r="F874" s="5"/>
      <c r="G874" s="5"/>
      <c r="J874" s="5"/>
      <c r="M874" s="5"/>
      <c r="N874" s="5"/>
      <c r="P874" s="5"/>
    </row>
    <row r="875" spans="2:16" ht="13">
      <c r="B875" s="36"/>
      <c r="C875" s="37"/>
      <c r="D875" s="5"/>
      <c r="E875" s="5"/>
      <c r="F875" s="5"/>
      <c r="G875" s="5"/>
      <c r="J875" s="5"/>
      <c r="M875" s="5"/>
      <c r="N875" s="5"/>
      <c r="P875" s="5"/>
    </row>
    <row r="876" spans="2:16" ht="13">
      <c r="B876" s="36"/>
      <c r="C876" s="37"/>
      <c r="D876" s="5"/>
      <c r="E876" s="5"/>
      <c r="F876" s="5"/>
      <c r="G876" s="5"/>
      <c r="J876" s="5"/>
      <c r="M876" s="5"/>
      <c r="N876" s="5"/>
      <c r="P876" s="5"/>
    </row>
    <row r="877" spans="2:16" ht="13">
      <c r="B877" s="36"/>
      <c r="C877" s="37"/>
      <c r="D877" s="5"/>
      <c r="E877" s="5"/>
      <c r="F877" s="5"/>
      <c r="G877" s="5"/>
      <c r="J877" s="5"/>
      <c r="M877" s="5"/>
      <c r="N877" s="5"/>
      <c r="P877" s="5"/>
    </row>
    <row r="878" spans="2:16" ht="13">
      <c r="B878" s="36"/>
      <c r="C878" s="37"/>
      <c r="D878" s="5"/>
      <c r="E878" s="5"/>
      <c r="F878" s="5"/>
      <c r="G878" s="5"/>
      <c r="J878" s="5"/>
      <c r="M878" s="5"/>
      <c r="N878" s="5"/>
      <c r="P878" s="5"/>
    </row>
    <row r="879" spans="2:16" ht="13">
      <c r="B879" s="36"/>
      <c r="C879" s="37"/>
      <c r="D879" s="5"/>
      <c r="E879" s="5"/>
      <c r="F879" s="5"/>
      <c r="G879" s="5"/>
      <c r="J879" s="5"/>
      <c r="M879" s="5"/>
      <c r="N879" s="5"/>
      <c r="P879" s="5"/>
    </row>
    <row r="880" spans="2:16" ht="13">
      <c r="B880" s="36"/>
      <c r="C880" s="37"/>
      <c r="D880" s="5"/>
      <c r="E880" s="5"/>
      <c r="F880" s="5"/>
      <c r="G880" s="5"/>
      <c r="J880" s="5"/>
      <c r="M880" s="5"/>
      <c r="N880" s="5"/>
      <c r="P880" s="5"/>
    </row>
    <row r="881" spans="2:16" ht="13">
      <c r="B881" s="36"/>
      <c r="C881" s="37"/>
      <c r="D881" s="5"/>
      <c r="E881" s="5"/>
      <c r="F881" s="5"/>
      <c r="G881" s="5"/>
      <c r="J881" s="5"/>
      <c r="M881" s="5"/>
      <c r="N881" s="5"/>
      <c r="P881" s="5"/>
    </row>
    <row r="882" spans="2:16" ht="13">
      <c r="B882" s="36"/>
      <c r="C882" s="37"/>
      <c r="D882" s="5"/>
      <c r="E882" s="5"/>
      <c r="F882" s="5"/>
      <c r="G882" s="5"/>
      <c r="J882" s="5"/>
      <c r="M882" s="5"/>
      <c r="N882" s="5"/>
      <c r="P882" s="5"/>
    </row>
    <row r="883" spans="2:16" ht="13">
      <c r="B883" s="36"/>
      <c r="C883" s="37"/>
      <c r="D883" s="5"/>
      <c r="E883" s="5"/>
      <c r="F883" s="5"/>
      <c r="G883" s="5"/>
      <c r="J883" s="5"/>
      <c r="M883" s="5"/>
      <c r="N883" s="5"/>
      <c r="P883" s="5"/>
    </row>
    <row r="884" spans="2:16" ht="13">
      <c r="B884" s="36"/>
      <c r="C884" s="37"/>
      <c r="D884" s="5"/>
      <c r="E884" s="5"/>
      <c r="F884" s="5"/>
      <c r="G884" s="5"/>
      <c r="J884" s="5"/>
      <c r="M884" s="5"/>
      <c r="N884" s="5"/>
      <c r="P884" s="5"/>
    </row>
    <row r="885" spans="2:16" ht="13">
      <c r="B885" s="36"/>
      <c r="C885" s="37"/>
      <c r="D885" s="5"/>
      <c r="E885" s="5"/>
      <c r="F885" s="5"/>
      <c r="G885" s="5"/>
      <c r="J885" s="5"/>
      <c r="M885" s="5"/>
      <c r="N885" s="5"/>
      <c r="P885" s="5"/>
    </row>
    <row r="886" spans="2:16" ht="13">
      <c r="B886" s="36"/>
      <c r="C886" s="37"/>
      <c r="D886" s="5"/>
      <c r="E886" s="5"/>
      <c r="F886" s="5"/>
      <c r="G886" s="5"/>
      <c r="J886" s="5"/>
      <c r="M886" s="5"/>
      <c r="N886" s="5"/>
      <c r="P886" s="5"/>
    </row>
    <row r="887" spans="2:16" ht="13">
      <c r="B887" s="36"/>
      <c r="C887" s="37"/>
      <c r="D887" s="5"/>
      <c r="E887" s="5"/>
      <c r="F887" s="5"/>
      <c r="G887" s="5"/>
      <c r="J887" s="5"/>
      <c r="M887" s="5"/>
      <c r="N887" s="5"/>
      <c r="P887" s="5"/>
    </row>
    <row r="888" spans="2:16" ht="13">
      <c r="B888" s="36"/>
      <c r="C888" s="37"/>
      <c r="D888" s="5"/>
      <c r="E888" s="5"/>
      <c r="F888" s="5"/>
      <c r="G888" s="5"/>
      <c r="J888" s="5"/>
      <c r="M888" s="5"/>
      <c r="N888" s="5"/>
      <c r="P888" s="5"/>
    </row>
    <row r="889" spans="2:16" ht="13">
      <c r="B889" s="36"/>
      <c r="C889" s="37"/>
      <c r="D889" s="5"/>
      <c r="E889" s="5"/>
      <c r="F889" s="5"/>
      <c r="G889" s="5"/>
      <c r="J889" s="5"/>
      <c r="M889" s="5"/>
      <c r="N889" s="5"/>
      <c r="P889" s="5"/>
    </row>
    <row r="890" spans="2:16" ht="13">
      <c r="B890" s="36"/>
      <c r="C890" s="37"/>
      <c r="D890" s="5"/>
      <c r="E890" s="5"/>
      <c r="F890" s="5"/>
      <c r="G890" s="5"/>
      <c r="J890" s="5"/>
      <c r="M890" s="5"/>
      <c r="N890" s="5"/>
      <c r="P890" s="5"/>
    </row>
    <row r="891" spans="2:16" ht="13">
      <c r="B891" s="36"/>
      <c r="C891" s="37"/>
      <c r="D891" s="5"/>
      <c r="E891" s="5"/>
      <c r="F891" s="5"/>
      <c r="G891" s="5"/>
      <c r="J891" s="5"/>
      <c r="M891" s="5"/>
      <c r="N891" s="5"/>
      <c r="P891" s="5"/>
    </row>
    <row r="892" spans="2:16" ht="13">
      <c r="B892" s="36"/>
      <c r="C892" s="37"/>
      <c r="D892" s="5"/>
      <c r="E892" s="5"/>
      <c r="F892" s="5"/>
      <c r="G892" s="5"/>
      <c r="J892" s="5"/>
      <c r="M892" s="5"/>
      <c r="N892" s="5"/>
      <c r="P892" s="5"/>
    </row>
    <row r="893" spans="2:16" ht="13">
      <c r="B893" s="36"/>
      <c r="C893" s="37"/>
      <c r="D893" s="5"/>
      <c r="E893" s="5"/>
      <c r="F893" s="5"/>
      <c r="G893" s="5"/>
      <c r="J893" s="5"/>
      <c r="M893" s="5"/>
      <c r="N893" s="5"/>
      <c r="P893" s="5"/>
    </row>
    <row r="894" spans="2:16" ht="13">
      <c r="B894" s="36"/>
      <c r="C894" s="37"/>
      <c r="D894" s="5"/>
      <c r="E894" s="5"/>
      <c r="F894" s="5"/>
      <c r="G894" s="5"/>
      <c r="J894" s="5"/>
      <c r="M894" s="5"/>
      <c r="N894" s="5"/>
      <c r="P894" s="5"/>
    </row>
    <row r="895" spans="2:16" ht="13">
      <c r="B895" s="36"/>
      <c r="C895" s="37"/>
      <c r="D895" s="5"/>
      <c r="E895" s="5"/>
      <c r="F895" s="5"/>
      <c r="G895" s="5"/>
      <c r="J895" s="5"/>
      <c r="M895" s="5"/>
      <c r="N895" s="5"/>
      <c r="P895" s="5"/>
    </row>
    <row r="896" spans="2:16" ht="13">
      <c r="B896" s="36"/>
      <c r="C896" s="37"/>
      <c r="D896" s="5"/>
      <c r="E896" s="5"/>
      <c r="F896" s="5"/>
      <c r="G896" s="5"/>
      <c r="J896" s="5"/>
      <c r="M896" s="5"/>
      <c r="N896" s="5"/>
      <c r="P896" s="5"/>
    </row>
    <row r="897" spans="2:16" ht="13">
      <c r="B897" s="36"/>
      <c r="C897" s="37"/>
      <c r="D897" s="5"/>
      <c r="E897" s="5"/>
      <c r="F897" s="5"/>
      <c r="G897" s="5"/>
      <c r="J897" s="5"/>
      <c r="M897" s="5"/>
      <c r="N897" s="5"/>
      <c r="P897" s="5"/>
    </row>
    <row r="898" spans="2:16" ht="13">
      <c r="B898" s="36"/>
      <c r="C898" s="37"/>
      <c r="D898" s="5"/>
      <c r="E898" s="5"/>
      <c r="F898" s="5"/>
      <c r="G898" s="5"/>
      <c r="J898" s="5"/>
      <c r="M898" s="5"/>
      <c r="N898" s="5"/>
      <c r="P898" s="5"/>
    </row>
    <row r="899" spans="2:16" ht="13">
      <c r="B899" s="36"/>
      <c r="C899" s="37"/>
      <c r="D899" s="5"/>
      <c r="E899" s="5"/>
      <c r="F899" s="5"/>
      <c r="G899" s="5"/>
      <c r="J899" s="5"/>
      <c r="M899" s="5"/>
      <c r="N899" s="5"/>
      <c r="P899" s="5"/>
    </row>
    <row r="900" spans="2:16" ht="13">
      <c r="B900" s="36"/>
      <c r="C900" s="37"/>
      <c r="D900" s="5"/>
      <c r="E900" s="5"/>
      <c r="F900" s="5"/>
      <c r="G900" s="5"/>
      <c r="J900" s="5"/>
      <c r="M900" s="5"/>
      <c r="N900" s="5"/>
      <c r="P900" s="5"/>
    </row>
    <row r="901" spans="2:16" ht="13">
      <c r="B901" s="36"/>
      <c r="C901" s="37"/>
      <c r="D901" s="5"/>
      <c r="E901" s="5"/>
      <c r="F901" s="5"/>
      <c r="G901" s="5"/>
      <c r="J901" s="5"/>
      <c r="M901" s="5"/>
      <c r="N901" s="5"/>
      <c r="P901" s="5"/>
    </row>
    <row r="902" spans="2:16" ht="13">
      <c r="B902" s="36"/>
      <c r="C902" s="37"/>
      <c r="D902" s="5"/>
      <c r="E902" s="5"/>
      <c r="F902" s="5"/>
      <c r="G902" s="5"/>
      <c r="J902" s="5"/>
      <c r="M902" s="5"/>
      <c r="N902" s="5"/>
      <c r="P902" s="5"/>
    </row>
    <row r="903" spans="2:16" ht="13">
      <c r="B903" s="36"/>
      <c r="C903" s="37"/>
      <c r="D903" s="5"/>
      <c r="E903" s="5"/>
      <c r="F903" s="5"/>
      <c r="G903" s="5"/>
      <c r="J903" s="5"/>
      <c r="M903" s="5"/>
      <c r="N903" s="5"/>
      <c r="P903" s="5"/>
    </row>
    <row r="904" spans="2:16" ht="13">
      <c r="B904" s="36"/>
      <c r="C904" s="37"/>
      <c r="D904" s="5"/>
      <c r="E904" s="5"/>
      <c r="F904" s="5"/>
      <c r="G904" s="5"/>
      <c r="J904" s="5"/>
      <c r="M904" s="5"/>
      <c r="N904" s="5"/>
      <c r="P904" s="5"/>
    </row>
    <row r="905" spans="2:16" ht="13">
      <c r="B905" s="36"/>
      <c r="C905" s="37"/>
      <c r="D905" s="5"/>
      <c r="E905" s="5"/>
      <c r="F905" s="5"/>
      <c r="G905" s="5"/>
      <c r="J905" s="5"/>
      <c r="M905" s="5"/>
      <c r="N905" s="5"/>
      <c r="P905" s="5"/>
    </row>
    <row r="906" spans="2:16" ht="13">
      <c r="B906" s="36"/>
      <c r="C906" s="37"/>
      <c r="D906" s="5"/>
      <c r="E906" s="5"/>
      <c r="F906" s="5"/>
      <c r="G906" s="5"/>
      <c r="J906" s="5"/>
      <c r="M906" s="5"/>
      <c r="N906" s="5"/>
      <c r="P906" s="5"/>
    </row>
    <row r="907" spans="2:16" ht="13">
      <c r="B907" s="36"/>
      <c r="C907" s="37"/>
      <c r="D907" s="5"/>
      <c r="E907" s="5"/>
      <c r="F907" s="5"/>
      <c r="G907" s="5"/>
      <c r="J907" s="5"/>
      <c r="M907" s="5"/>
      <c r="N907" s="5"/>
      <c r="P907" s="5"/>
    </row>
    <row r="908" spans="2:16" ht="13">
      <c r="B908" s="36"/>
      <c r="C908" s="37"/>
      <c r="D908" s="5"/>
      <c r="E908" s="5"/>
      <c r="F908" s="5"/>
      <c r="G908" s="5"/>
      <c r="J908" s="5"/>
      <c r="M908" s="5"/>
      <c r="N908" s="5"/>
      <c r="P908" s="5"/>
    </row>
    <row r="909" spans="2:16" ht="13">
      <c r="B909" s="36"/>
      <c r="C909" s="37"/>
      <c r="D909" s="5"/>
      <c r="E909" s="5"/>
      <c r="F909" s="5"/>
      <c r="G909" s="5"/>
      <c r="J909" s="5"/>
      <c r="M909" s="5"/>
      <c r="N909" s="5"/>
      <c r="P909" s="5"/>
    </row>
    <row r="910" spans="2:16" ht="13">
      <c r="B910" s="36"/>
      <c r="C910" s="37"/>
      <c r="D910" s="5"/>
      <c r="E910" s="5"/>
      <c r="F910" s="5"/>
      <c r="G910" s="5"/>
      <c r="J910" s="5"/>
      <c r="M910" s="5"/>
      <c r="N910" s="5"/>
      <c r="P910" s="5"/>
    </row>
    <row r="911" spans="2:16" ht="13">
      <c r="B911" s="36"/>
      <c r="C911" s="37"/>
      <c r="D911" s="5"/>
      <c r="E911" s="5"/>
      <c r="F911" s="5"/>
      <c r="G911" s="5"/>
      <c r="J911" s="5"/>
      <c r="M911" s="5"/>
      <c r="N911" s="5"/>
      <c r="P911" s="5"/>
    </row>
    <row r="912" spans="2:16" ht="13">
      <c r="B912" s="36"/>
      <c r="C912" s="37"/>
      <c r="D912" s="5"/>
      <c r="E912" s="5"/>
      <c r="F912" s="5"/>
      <c r="G912" s="5"/>
      <c r="J912" s="5"/>
      <c r="M912" s="5"/>
      <c r="N912" s="5"/>
      <c r="P912" s="5"/>
    </row>
    <row r="913" spans="2:16" ht="13">
      <c r="B913" s="36"/>
      <c r="C913" s="37"/>
      <c r="D913" s="5"/>
      <c r="E913" s="5"/>
      <c r="F913" s="5"/>
      <c r="G913" s="5"/>
      <c r="J913" s="5"/>
      <c r="M913" s="5"/>
      <c r="N913" s="5"/>
      <c r="P913" s="5"/>
    </row>
    <row r="914" spans="2:16" ht="13">
      <c r="B914" s="36"/>
      <c r="C914" s="37"/>
      <c r="D914" s="5"/>
      <c r="E914" s="5"/>
      <c r="F914" s="5"/>
      <c r="G914" s="5"/>
      <c r="J914" s="5"/>
      <c r="M914" s="5"/>
      <c r="N914" s="5"/>
      <c r="P914" s="5"/>
    </row>
    <row r="915" spans="2:16" ht="13">
      <c r="B915" s="36"/>
      <c r="C915" s="37"/>
      <c r="D915" s="5"/>
      <c r="E915" s="5"/>
      <c r="F915" s="5"/>
      <c r="G915" s="5"/>
      <c r="J915" s="5"/>
      <c r="M915" s="5"/>
      <c r="N915" s="5"/>
      <c r="P915" s="5"/>
    </row>
    <row r="916" spans="2:16" ht="13">
      <c r="B916" s="36"/>
      <c r="C916" s="37"/>
      <c r="D916" s="5"/>
      <c r="E916" s="5"/>
      <c r="F916" s="5"/>
      <c r="G916" s="5"/>
      <c r="J916" s="5"/>
      <c r="M916" s="5"/>
      <c r="N916" s="5"/>
      <c r="P916" s="5"/>
    </row>
    <row r="917" spans="2:16" ht="13">
      <c r="B917" s="36"/>
      <c r="C917" s="37"/>
      <c r="D917" s="5"/>
      <c r="E917" s="5"/>
      <c r="F917" s="5"/>
      <c r="G917" s="5"/>
      <c r="J917" s="5"/>
      <c r="M917" s="5"/>
      <c r="N917" s="5"/>
      <c r="P917" s="5"/>
    </row>
    <row r="918" spans="2:16" ht="13">
      <c r="B918" s="36"/>
      <c r="C918" s="37"/>
      <c r="D918" s="5"/>
      <c r="E918" s="5"/>
      <c r="F918" s="5"/>
      <c r="G918" s="5"/>
      <c r="J918" s="5"/>
      <c r="M918" s="5"/>
      <c r="N918" s="5"/>
      <c r="P918" s="5"/>
    </row>
    <row r="919" spans="2:16" ht="13">
      <c r="B919" s="36"/>
      <c r="C919" s="37"/>
      <c r="D919" s="5"/>
      <c r="E919" s="5"/>
      <c r="F919" s="5"/>
      <c r="G919" s="5"/>
      <c r="J919" s="5"/>
      <c r="M919" s="5"/>
      <c r="N919" s="5"/>
      <c r="P919" s="5"/>
    </row>
    <row r="920" spans="2:16" ht="13">
      <c r="B920" s="36"/>
      <c r="C920" s="37"/>
      <c r="D920" s="5"/>
      <c r="E920" s="5"/>
      <c r="F920" s="5"/>
      <c r="G920" s="5"/>
      <c r="J920" s="5"/>
      <c r="M920" s="5"/>
      <c r="N920" s="5"/>
      <c r="P920" s="5"/>
    </row>
    <row r="921" spans="2:16" ht="13">
      <c r="B921" s="36"/>
      <c r="C921" s="37"/>
      <c r="D921" s="5"/>
      <c r="E921" s="5"/>
      <c r="F921" s="5"/>
      <c r="G921" s="5"/>
      <c r="J921" s="5"/>
      <c r="M921" s="5"/>
      <c r="N921" s="5"/>
      <c r="P921" s="5"/>
    </row>
    <row r="922" spans="2:16" ht="13">
      <c r="B922" s="36"/>
      <c r="C922" s="37"/>
      <c r="D922" s="5"/>
      <c r="E922" s="5"/>
      <c r="F922" s="5"/>
      <c r="G922" s="5"/>
      <c r="J922" s="5"/>
      <c r="M922" s="5"/>
      <c r="N922" s="5"/>
      <c r="P922" s="5"/>
    </row>
    <row r="923" spans="2:16" ht="13">
      <c r="B923" s="36"/>
      <c r="C923" s="37"/>
      <c r="D923" s="5"/>
      <c r="E923" s="5"/>
      <c r="F923" s="5"/>
      <c r="G923" s="5"/>
      <c r="J923" s="5"/>
      <c r="M923" s="5"/>
      <c r="N923" s="5"/>
      <c r="P923" s="5"/>
    </row>
    <row r="924" spans="2:16" ht="13">
      <c r="B924" s="36"/>
      <c r="C924" s="37"/>
      <c r="D924" s="5"/>
      <c r="E924" s="5"/>
      <c r="F924" s="5"/>
      <c r="G924" s="5"/>
      <c r="J924" s="5"/>
      <c r="M924" s="5"/>
      <c r="N924" s="5"/>
      <c r="P924" s="5"/>
    </row>
    <row r="925" spans="2:16" ht="13">
      <c r="B925" s="36"/>
      <c r="C925" s="37"/>
      <c r="D925" s="5"/>
      <c r="E925" s="5"/>
      <c r="F925" s="5"/>
      <c r="G925" s="5"/>
      <c r="J925" s="5"/>
      <c r="M925" s="5"/>
      <c r="N925" s="5"/>
      <c r="P925" s="5"/>
    </row>
    <row r="926" spans="2:16" ht="13">
      <c r="B926" s="36"/>
      <c r="C926" s="37"/>
      <c r="D926" s="5"/>
      <c r="E926" s="5"/>
      <c r="F926" s="5"/>
      <c r="G926" s="5"/>
      <c r="J926" s="5"/>
      <c r="M926" s="5"/>
      <c r="N926" s="5"/>
      <c r="P926" s="5"/>
    </row>
    <row r="927" spans="2:16" ht="13">
      <c r="B927" s="36"/>
      <c r="C927" s="37"/>
      <c r="D927" s="5"/>
      <c r="E927" s="5"/>
      <c r="F927" s="5"/>
      <c r="G927" s="5"/>
      <c r="J927" s="5"/>
      <c r="M927" s="5"/>
      <c r="N927" s="5"/>
      <c r="P927" s="5"/>
    </row>
    <row r="928" spans="2:16" ht="13">
      <c r="B928" s="36"/>
      <c r="C928" s="37"/>
      <c r="D928" s="5"/>
      <c r="E928" s="5"/>
      <c r="F928" s="5"/>
      <c r="G928" s="5"/>
      <c r="J928" s="5"/>
      <c r="M928" s="5"/>
      <c r="N928" s="5"/>
      <c r="P928" s="5"/>
    </row>
    <row r="929" spans="2:16" ht="13">
      <c r="B929" s="36"/>
      <c r="C929" s="37"/>
      <c r="D929" s="5"/>
      <c r="E929" s="5"/>
      <c r="F929" s="5"/>
      <c r="G929" s="5"/>
      <c r="J929" s="5"/>
      <c r="M929" s="5"/>
      <c r="N929" s="5"/>
      <c r="P929" s="5"/>
    </row>
    <row r="930" spans="2:16" ht="13">
      <c r="B930" s="36"/>
      <c r="C930" s="37"/>
      <c r="D930" s="5"/>
      <c r="E930" s="5"/>
      <c r="F930" s="5"/>
      <c r="G930" s="5"/>
      <c r="J930" s="5"/>
      <c r="M930" s="5"/>
      <c r="N930" s="5"/>
      <c r="P930" s="5"/>
    </row>
    <row r="931" spans="2:16" ht="13">
      <c r="B931" s="36"/>
      <c r="C931" s="37"/>
      <c r="D931" s="5"/>
      <c r="E931" s="5"/>
      <c r="F931" s="5"/>
      <c r="G931" s="5"/>
      <c r="J931" s="5"/>
      <c r="M931" s="5"/>
      <c r="N931" s="5"/>
      <c r="P931" s="5"/>
    </row>
    <row r="932" spans="2:16" ht="13">
      <c r="B932" s="36"/>
      <c r="C932" s="37"/>
      <c r="D932" s="5"/>
      <c r="E932" s="5"/>
      <c r="F932" s="5"/>
      <c r="G932" s="5"/>
      <c r="J932" s="5"/>
      <c r="M932" s="5"/>
      <c r="N932" s="5"/>
      <c r="P932" s="5"/>
    </row>
    <row r="933" spans="2:16" ht="13">
      <c r="B933" s="36"/>
      <c r="C933" s="37"/>
      <c r="D933" s="5"/>
      <c r="E933" s="5"/>
      <c r="F933" s="5"/>
      <c r="G933" s="5"/>
      <c r="J933" s="5"/>
      <c r="M933" s="5"/>
      <c r="N933" s="5"/>
      <c r="P933" s="5"/>
    </row>
    <row r="934" spans="2:16" ht="13">
      <c r="B934" s="36"/>
      <c r="C934" s="37"/>
      <c r="D934" s="5"/>
      <c r="E934" s="5"/>
      <c r="F934" s="5"/>
      <c r="G934" s="5"/>
      <c r="J934" s="5"/>
      <c r="M934" s="5"/>
      <c r="N934" s="5"/>
      <c r="P934" s="5"/>
    </row>
    <row r="935" spans="2:16" ht="13">
      <c r="B935" s="36"/>
      <c r="C935" s="37"/>
      <c r="D935" s="5"/>
      <c r="E935" s="5"/>
      <c r="F935" s="5"/>
      <c r="G935" s="5"/>
      <c r="J935" s="5"/>
      <c r="M935" s="5"/>
      <c r="N935" s="5"/>
      <c r="P935" s="5"/>
    </row>
    <row r="936" spans="2:16" ht="13">
      <c r="B936" s="36"/>
      <c r="C936" s="37"/>
      <c r="D936" s="5"/>
      <c r="E936" s="5"/>
      <c r="F936" s="5"/>
      <c r="G936" s="5"/>
      <c r="J936" s="5"/>
      <c r="M936" s="5"/>
      <c r="N936" s="5"/>
      <c r="P936" s="5"/>
    </row>
    <row r="937" spans="2:16" ht="13">
      <c r="B937" s="36"/>
      <c r="C937" s="37"/>
      <c r="D937" s="5"/>
      <c r="E937" s="5"/>
      <c r="F937" s="5"/>
      <c r="G937" s="5"/>
      <c r="J937" s="5"/>
      <c r="M937" s="5"/>
      <c r="N937" s="5"/>
      <c r="P937" s="5"/>
    </row>
    <row r="938" spans="2:16" ht="13">
      <c r="B938" s="36"/>
      <c r="C938" s="37"/>
      <c r="D938" s="5"/>
      <c r="E938" s="5"/>
      <c r="F938" s="5"/>
      <c r="G938" s="5"/>
      <c r="J938" s="5"/>
      <c r="M938" s="5"/>
      <c r="N938" s="5"/>
      <c r="P938" s="5"/>
    </row>
    <row r="939" spans="2:16" ht="13">
      <c r="B939" s="36"/>
      <c r="C939" s="37"/>
      <c r="D939" s="5"/>
      <c r="E939" s="5"/>
      <c r="F939" s="5"/>
      <c r="G939" s="5"/>
      <c r="J939" s="5"/>
      <c r="M939" s="5"/>
      <c r="N939" s="5"/>
      <c r="P939" s="5"/>
    </row>
    <row r="940" spans="2:16" ht="13">
      <c r="B940" s="36"/>
      <c r="C940" s="37"/>
      <c r="D940" s="5"/>
      <c r="E940" s="5"/>
      <c r="F940" s="5"/>
      <c r="G940" s="5"/>
      <c r="J940" s="5"/>
      <c r="M940" s="5"/>
      <c r="N940" s="5"/>
      <c r="P940" s="5"/>
    </row>
    <row r="941" spans="2:16" ht="13">
      <c r="B941" s="36"/>
      <c r="C941" s="37"/>
      <c r="D941" s="5"/>
      <c r="E941" s="5"/>
      <c r="F941" s="5"/>
      <c r="G941" s="5"/>
      <c r="J941" s="5"/>
      <c r="M941" s="5"/>
      <c r="N941" s="5"/>
      <c r="P941" s="5"/>
    </row>
    <row r="942" spans="2:16" ht="13">
      <c r="B942" s="36"/>
      <c r="C942" s="37"/>
      <c r="D942" s="5"/>
      <c r="E942" s="5"/>
      <c r="F942" s="5"/>
      <c r="G942" s="5"/>
      <c r="J942" s="5"/>
      <c r="M942" s="5"/>
      <c r="N942" s="5"/>
      <c r="P942" s="5"/>
    </row>
    <row r="943" spans="2:16" ht="13">
      <c r="B943" s="36"/>
      <c r="C943" s="37"/>
      <c r="D943" s="5"/>
      <c r="E943" s="5"/>
      <c r="F943" s="5"/>
      <c r="G943" s="5"/>
      <c r="J943" s="5"/>
      <c r="M943" s="5"/>
      <c r="N943" s="5"/>
      <c r="P943" s="5"/>
    </row>
    <row r="944" spans="2:16" ht="13">
      <c r="B944" s="36"/>
      <c r="C944" s="37"/>
      <c r="D944" s="5"/>
      <c r="E944" s="5"/>
      <c r="F944" s="5"/>
      <c r="G944" s="5"/>
      <c r="J944" s="5"/>
      <c r="M944" s="5"/>
      <c r="N944" s="5"/>
      <c r="P944" s="5"/>
    </row>
    <row r="945" spans="2:16" ht="13">
      <c r="B945" s="36"/>
      <c r="C945" s="37"/>
      <c r="D945" s="5"/>
      <c r="E945" s="5"/>
      <c r="F945" s="5"/>
      <c r="G945" s="5"/>
      <c r="J945" s="5"/>
      <c r="M945" s="5"/>
      <c r="N945" s="5"/>
      <c r="P945" s="5"/>
    </row>
    <row r="946" spans="2:16" ht="13">
      <c r="B946" s="36"/>
      <c r="C946" s="37"/>
      <c r="D946" s="5"/>
      <c r="E946" s="5"/>
      <c r="F946" s="5"/>
      <c r="G946" s="5"/>
      <c r="J946" s="5"/>
      <c r="M946" s="5"/>
      <c r="N946" s="5"/>
      <c r="P946" s="5"/>
    </row>
    <row r="947" spans="2:16" ht="13">
      <c r="B947" s="36"/>
      <c r="C947" s="37"/>
      <c r="D947" s="5"/>
      <c r="E947" s="5"/>
      <c r="F947" s="5"/>
      <c r="G947" s="5"/>
      <c r="J947" s="5"/>
      <c r="M947" s="5"/>
      <c r="N947" s="5"/>
      <c r="P947" s="5"/>
    </row>
    <row r="948" spans="2:16" ht="13">
      <c r="B948" s="36"/>
      <c r="C948" s="37"/>
      <c r="D948" s="5"/>
      <c r="E948" s="5"/>
      <c r="F948" s="5"/>
      <c r="G948" s="5"/>
      <c r="J948" s="5"/>
      <c r="M948" s="5"/>
      <c r="N948" s="5"/>
      <c r="P948" s="5"/>
    </row>
    <row r="949" spans="2:16" ht="13">
      <c r="B949" s="36"/>
      <c r="C949" s="37"/>
      <c r="D949" s="5"/>
      <c r="E949" s="5"/>
      <c r="F949" s="5"/>
      <c r="G949" s="5"/>
      <c r="J949" s="5"/>
      <c r="M949" s="5"/>
      <c r="N949" s="5"/>
      <c r="P949" s="5"/>
    </row>
    <row r="950" spans="2:16" ht="13">
      <c r="B950" s="36"/>
      <c r="C950" s="37"/>
      <c r="D950" s="5"/>
      <c r="E950" s="5"/>
      <c r="F950" s="5"/>
      <c r="G950" s="5"/>
      <c r="J950" s="5"/>
      <c r="M950" s="5"/>
      <c r="N950" s="5"/>
      <c r="P950" s="5"/>
    </row>
    <row r="951" spans="2:16" ht="13">
      <c r="B951" s="36"/>
      <c r="C951" s="37"/>
      <c r="D951" s="5"/>
      <c r="E951" s="5"/>
      <c r="F951" s="5"/>
      <c r="G951" s="5"/>
      <c r="J951" s="5"/>
      <c r="M951" s="5"/>
      <c r="N951" s="5"/>
      <c r="P951" s="5"/>
    </row>
    <row r="952" spans="2:16" ht="13">
      <c r="B952" s="36"/>
      <c r="C952" s="37"/>
      <c r="D952" s="5"/>
      <c r="E952" s="5"/>
      <c r="F952" s="5"/>
      <c r="G952" s="5"/>
      <c r="J952" s="5"/>
      <c r="M952" s="5"/>
      <c r="N952" s="5"/>
      <c r="P952" s="5"/>
    </row>
    <row r="953" spans="2:16" ht="13">
      <c r="B953" s="36"/>
      <c r="C953" s="37"/>
      <c r="D953" s="5"/>
      <c r="E953" s="5"/>
      <c r="F953" s="5"/>
      <c r="G953" s="5"/>
      <c r="J953" s="5"/>
      <c r="M953" s="5"/>
      <c r="N953" s="5"/>
      <c r="P953" s="5"/>
    </row>
    <row r="954" spans="2:16" ht="13">
      <c r="B954" s="36"/>
      <c r="C954" s="37"/>
      <c r="D954" s="5"/>
      <c r="E954" s="5"/>
      <c r="F954" s="5"/>
      <c r="G954" s="5"/>
      <c r="J954" s="5"/>
      <c r="M954" s="5"/>
      <c r="N954" s="5"/>
      <c r="P954" s="5"/>
    </row>
    <row r="955" spans="2:16" ht="13">
      <c r="B955" s="36"/>
      <c r="C955" s="37"/>
      <c r="D955" s="5"/>
      <c r="E955" s="5"/>
      <c r="F955" s="5"/>
      <c r="G955" s="5"/>
      <c r="J955" s="5"/>
      <c r="M955" s="5"/>
      <c r="N955" s="5"/>
      <c r="P955" s="5"/>
    </row>
    <row r="956" spans="2:16" ht="13">
      <c r="B956" s="36"/>
      <c r="C956" s="37"/>
      <c r="D956" s="5"/>
      <c r="E956" s="5"/>
      <c r="F956" s="5"/>
      <c r="G956" s="5"/>
      <c r="J956" s="5"/>
      <c r="M956" s="5"/>
      <c r="N956" s="5"/>
      <c r="P956" s="5"/>
    </row>
    <row r="957" spans="2:16" ht="13">
      <c r="B957" s="36"/>
      <c r="C957" s="37"/>
      <c r="D957" s="5"/>
      <c r="E957" s="5"/>
      <c r="F957" s="5"/>
      <c r="G957" s="5"/>
      <c r="J957" s="5"/>
      <c r="M957" s="5"/>
      <c r="N957" s="5"/>
      <c r="P957" s="5"/>
    </row>
    <row r="958" spans="2:16" ht="13">
      <c r="B958" s="36"/>
      <c r="C958" s="37"/>
      <c r="D958" s="5"/>
      <c r="E958" s="5"/>
      <c r="F958" s="5"/>
      <c r="G958" s="5"/>
      <c r="J958" s="5"/>
      <c r="M958" s="5"/>
      <c r="N958" s="5"/>
      <c r="P958" s="5"/>
    </row>
    <row r="959" spans="2:16" ht="13">
      <c r="B959" s="36"/>
      <c r="C959" s="37"/>
      <c r="D959" s="5"/>
      <c r="E959" s="5"/>
      <c r="F959" s="5"/>
      <c r="G959" s="5"/>
      <c r="J959" s="5"/>
      <c r="M959" s="5"/>
      <c r="N959" s="5"/>
      <c r="P959" s="5"/>
    </row>
    <row r="960" spans="2:16" ht="13">
      <c r="B960" s="36"/>
      <c r="C960" s="37"/>
      <c r="D960" s="5"/>
      <c r="E960" s="5"/>
      <c r="F960" s="5"/>
      <c r="G960" s="5"/>
      <c r="J960" s="5"/>
      <c r="M960" s="5"/>
      <c r="N960" s="5"/>
      <c r="P960" s="5"/>
    </row>
    <row r="961" spans="2:16" ht="13">
      <c r="B961" s="36"/>
      <c r="C961" s="37"/>
      <c r="D961" s="5"/>
      <c r="E961" s="5"/>
      <c r="F961" s="5"/>
      <c r="G961" s="5"/>
      <c r="J961" s="5"/>
      <c r="M961" s="5"/>
      <c r="N961" s="5"/>
      <c r="P961" s="5"/>
    </row>
    <row r="962" spans="2:16" ht="13">
      <c r="B962" s="36"/>
      <c r="C962" s="37"/>
      <c r="D962" s="5"/>
      <c r="E962" s="5"/>
      <c r="F962" s="5"/>
      <c r="G962" s="5"/>
      <c r="J962" s="5"/>
      <c r="M962" s="5"/>
      <c r="N962" s="5"/>
      <c r="P962" s="5"/>
    </row>
    <row r="963" spans="2:16" ht="13">
      <c r="B963" s="36"/>
      <c r="C963" s="37"/>
      <c r="D963" s="5"/>
      <c r="E963" s="5"/>
      <c r="F963" s="5"/>
      <c r="G963" s="5"/>
      <c r="J963" s="5"/>
      <c r="M963" s="5"/>
      <c r="N963" s="5"/>
      <c r="P963" s="5"/>
    </row>
    <row r="964" spans="2:16" ht="13">
      <c r="B964" s="36"/>
      <c r="C964" s="37"/>
      <c r="D964" s="5"/>
      <c r="E964" s="5"/>
      <c r="F964" s="5"/>
      <c r="G964" s="5"/>
      <c r="J964" s="5"/>
      <c r="M964" s="5"/>
      <c r="N964" s="5"/>
      <c r="P964" s="5"/>
    </row>
    <row r="965" spans="2:16" ht="13">
      <c r="B965" s="36"/>
      <c r="C965" s="37"/>
      <c r="D965" s="5"/>
      <c r="E965" s="5"/>
      <c r="F965" s="5"/>
      <c r="G965" s="5"/>
      <c r="J965" s="5"/>
      <c r="M965" s="5"/>
      <c r="N965" s="5"/>
      <c r="P965" s="5"/>
    </row>
    <row r="966" spans="2:16" ht="13">
      <c r="B966" s="36"/>
      <c r="C966" s="37"/>
      <c r="D966" s="5"/>
      <c r="E966" s="5"/>
      <c r="F966" s="5"/>
      <c r="G966" s="5"/>
      <c r="J966" s="5"/>
      <c r="M966" s="5"/>
      <c r="N966" s="5"/>
      <c r="P966" s="5"/>
    </row>
    <row r="967" spans="2:16" ht="13">
      <c r="B967" s="36"/>
      <c r="C967" s="37"/>
      <c r="D967" s="5"/>
      <c r="E967" s="5"/>
      <c r="F967" s="5"/>
      <c r="G967" s="5"/>
      <c r="J967" s="5"/>
      <c r="M967" s="5"/>
      <c r="N967" s="5"/>
      <c r="P967" s="5"/>
    </row>
    <row r="968" spans="2:16" ht="13">
      <c r="B968" s="36"/>
      <c r="C968" s="37"/>
      <c r="D968" s="5"/>
      <c r="E968" s="5"/>
      <c r="F968" s="5"/>
      <c r="G968" s="5"/>
      <c r="J968" s="5"/>
      <c r="M968" s="5"/>
      <c r="N968" s="5"/>
      <c r="P968" s="5"/>
    </row>
    <row r="969" spans="2:16" ht="13">
      <c r="B969" s="36"/>
      <c r="C969" s="37"/>
      <c r="D969" s="5"/>
      <c r="E969" s="5"/>
      <c r="F969" s="5"/>
      <c r="G969" s="5"/>
      <c r="J969" s="5"/>
      <c r="M969" s="5"/>
      <c r="N969" s="5"/>
      <c r="P969" s="5"/>
    </row>
    <row r="970" spans="2:16" ht="13">
      <c r="B970" s="36"/>
      <c r="C970" s="37"/>
      <c r="D970" s="5"/>
      <c r="E970" s="5"/>
      <c r="F970" s="5"/>
      <c r="G970" s="5"/>
      <c r="J970" s="5"/>
      <c r="M970" s="5"/>
      <c r="N970" s="5"/>
      <c r="P970" s="5"/>
    </row>
    <row r="971" spans="2:16" ht="13">
      <c r="B971" s="36"/>
      <c r="C971" s="37"/>
      <c r="D971" s="5"/>
      <c r="E971" s="5"/>
      <c r="F971" s="5"/>
      <c r="G971" s="5"/>
      <c r="J971" s="5"/>
      <c r="M971" s="5"/>
      <c r="N971" s="5"/>
      <c r="P971" s="5"/>
    </row>
    <row r="972" spans="2:16" ht="13">
      <c r="B972" s="36"/>
      <c r="C972" s="37"/>
      <c r="D972" s="5"/>
      <c r="E972" s="5"/>
      <c r="F972" s="5"/>
      <c r="G972" s="5"/>
      <c r="J972" s="5"/>
      <c r="M972" s="5"/>
      <c r="N972" s="5"/>
      <c r="P972" s="5"/>
    </row>
    <row r="973" spans="2:16" ht="13">
      <c r="B973" s="36"/>
      <c r="C973" s="37"/>
      <c r="D973" s="5"/>
      <c r="E973" s="5"/>
      <c r="F973" s="5"/>
      <c r="G973" s="5"/>
      <c r="J973" s="5"/>
      <c r="M973" s="5"/>
      <c r="N973" s="5"/>
      <c r="P973" s="5"/>
    </row>
    <row r="974" spans="2:16" ht="13">
      <c r="B974" s="36"/>
      <c r="C974" s="37"/>
      <c r="D974" s="5"/>
      <c r="E974" s="5"/>
      <c r="F974" s="5"/>
      <c r="G974" s="5"/>
      <c r="J974" s="5"/>
      <c r="M974" s="5"/>
      <c r="N974" s="5"/>
      <c r="P974" s="5"/>
    </row>
    <row r="975" spans="2:16" ht="13">
      <c r="B975" s="36"/>
      <c r="C975" s="37"/>
      <c r="D975" s="5"/>
      <c r="E975" s="5"/>
      <c r="F975" s="5"/>
      <c r="G975" s="5"/>
      <c r="J975" s="5"/>
      <c r="M975" s="5"/>
      <c r="N975" s="5"/>
      <c r="P975" s="5"/>
    </row>
    <row r="976" spans="2:16" ht="13">
      <c r="B976" s="36"/>
      <c r="C976" s="37"/>
      <c r="D976" s="5"/>
      <c r="E976" s="5"/>
      <c r="F976" s="5"/>
      <c r="G976" s="5"/>
      <c r="J976" s="5"/>
      <c r="M976" s="5"/>
      <c r="N976" s="5"/>
      <c r="P976" s="5"/>
    </row>
    <row r="977" spans="2:16" ht="13">
      <c r="B977" s="36"/>
      <c r="C977" s="37"/>
      <c r="D977" s="5"/>
      <c r="E977" s="5"/>
      <c r="F977" s="5"/>
      <c r="G977" s="5"/>
      <c r="J977" s="5"/>
      <c r="M977" s="5"/>
      <c r="N977" s="5"/>
      <c r="P977" s="5"/>
    </row>
    <row r="978" spans="2:16" ht="13">
      <c r="B978" s="36"/>
      <c r="C978" s="37"/>
      <c r="D978" s="5"/>
      <c r="E978" s="5"/>
      <c r="F978" s="5"/>
      <c r="G978" s="5"/>
      <c r="J978" s="5"/>
      <c r="M978" s="5"/>
      <c r="N978" s="5"/>
      <c r="P978" s="5"/>
    </row>
    <row r="979" spans="2:16" ht="13">
      <c r="B979" s="36"/>
      <c r="C979" s="37"/>
      <c r="D979" s="5"/>
      <c r="E979" s="5"/>
      <c r="F979" s="5"/>
      <c r="G979" s="5"/>
      <c r="J979" s="5"/>
      <c r="M979" s="5"/>
      <c r="N979" s="5"/>
      <c r="P979" s="5"/>
    </row>
    <row r="980" spans="2:16" ht="13">
      <c r="B980" s="36"/>
      <c r="C980" s="37"/>
      <c r="D980" s="5"/>
      <c r="E980" s="5"/>
      <c r="F980" s="5"/>
      <c r="G980" s="5"/>
      <c r="J980" s="5"/>
      <c r="M980" s="5"/>
      <c r="N980" s="5"/>
      <c r="P980" s="5"/>
    </row>
    <row r="981" spans="2:16" ht="13">
      <c r="B981" s="36"/>
      <c r="C981" s="37"/>
      <c r="D981" s="5"/>
      <c r="E981" s="5"/>
      <c r="F981" s="5"/>
      <c r="G981" s="5"/>
      <c r="J981" s="5"/>
      <c r="M981" s="5"/>
      <c r="N981" s="5"/>
      <c r="P981" s="5"/>
    </row>
    <row r="982" spans="2:16" ht="13">
      <c r="B982" s="36"/>
      <c r="C982" s="37"/>
      <c r="D982" s="5"/>
      <c r="E982" s="5"/>
      <c r="F982" s="5"/>
      <c r="G982" s="5"/>
      <c r="J982" s="5"/>
      <c r="M982" s="5"/>
      <c r="N982" s="5"/>
      <c r="P982" s="5"/>
    </row>
    <row r="983" spans="2:16" ht="13">
      <c r="B983" s="36"/>
      <c r="C983" s="37"/>
      <c r="D983" s="5"/>
      <c r="E983" s="5"/>
      <c r="F983" s="5"/>
      <c r="G983" s="5"/>
      <c r="J983" s="5"/>
      <c r="M983" s="5"/>
      <c r="N983" s="5"/>
      <c r="P983" s="5"/>
    </row>
    <row r="984" spans="2:16" ht="13">
      <c r="B984" s="36"/>
      <c r="C984" s="37"/>
      <c r="D984" s="5"/>
      <c r="E984" s="5"/>
      <c r="F984" s="5"/>
      <c r="G984" s="5"/>
      <c r="J984" s="5"/>
      <c r="M984" s="5"/>
      <c r="N984" s="5"/>
      <c r="P984" s="5"/>
    </row>
    <row r="985" spans="2:16" ht="13">
      <c r="B985" s="36"/>
      <c r="C985" s="37"/>
      <c r="D985" s="5"/>
      <c r="E985" s="5"/>
      <c r="F985" s="5"/>
      <c r="G985" s="5"/>
      <c r="J985" s="5"/>
      <c r="M985" s="5"/>
      <c r="N985" s="5"/>
      <c r="P985" s="5"/>
    </row>
    <row r="986" spans="2:16" ht="13">
      <c r="B986" s="36"/>
      <c r="C986" s="37"/>
      <c r="D986" s="5"/>
      <c r="E986" s="5"/>
      <c r="F986" s="5"/>
      <c r="G986" s="5"/>
      <c r="J986" s="5"/>
      <c r="M986" s="5"/>
      <c r="N986" s="5"/>
      <c r="P986" s="5"/>
    </row>
    <row r="987" spans="2:16" ht="13">
      <c r="B987" s="36"/>
      <c r="C987" s="37"/>
      <c r="D987" s="5"/>
      <c r="E987" s="5"/>
      <c r="F987" s="5"/>
      <c r="G987" s="5"/>
      <c r="J987" s="5"/>
      <c r="M987" s="5"/>
      <c r="N987" s="5"/>
      <c r="P987" s="5"/>
    </row>
    <row r="988" spans="2:16" ht="13">
      <c r="B988" s="36"/>
      <c r="C988" s="37"/>
      <c r="D988" s="5"/>
      <c r="E988" s="5"/>
      <c r="F988" s="5"/>
      <c r="G988" s="5"/>
      <c r="J988" s="5"/>
      <c r="M988" s="5"/>
      <c r="N988" s="5"/>
      <c r="P988" s="5"/>
    </row>
    <row r="989" spans="2:16" ht="13">
      <c r="B989" s="36"/>
      <c r="C989" s="37"/>
      <c r="D989" s="5"/>
      <c r="E989" s="5"/>
      <c r="F989" s="5"/>
      <c r="G989" s="5"/>
      <c r="J989" s="5"/>
      <c r="M989" s="5"/>
      <c r="N989" s="5"/>
      <c r="P989" s="5"/>
    </row>
    <row r="990" spans="2:16" ht="13">
      <c r="B990" s="36"/>
      <c r="C990" s="37"/>
      <c r="D990" s="5"/>
      <c r="E990" s="5"/>
      <c r="F990" s="5"/>
      <c r="G990" s="5"/>
      <c r="J990" s="5"/>
      <c r="M990" s="5"/>
      <c r="N990" s="5"/>
      <c r="P990" s="5"/>
    </row>
    <row r="991" spans="2:16" ht="13">
      <c r="B991" s="36"/>
      <c r="C991" s="37"/>
      <c r="D991" s="5"/>
      <c r="E991" s="5"/>
      <c r="F991" s="5"/>
      <c r="G991" s="5"/>
      <c r="J991" s="5"/>
      <c r="M991" s="5"/>
      <c r="N991" s="5"/>
      <c r="P991" s="5"/>
    </row>
    <row r="992" spans="2:16" ht="13">
      <c r="B992" s="36"/>
      <c r="C992" s="37"/>
      <c r="D992" s="5"/>
      <c r="E992" s="5"/>
      <c r="F992" s="5"/>
      <c r="G992" s="5"/>
      <c r="J992" s="5"/>
      <c r="M992" s="5"/>
      <c r="N992" s="5"/>
      <c r="P992" s="5"/>
    </row>
    <row r="993" spans="2:16" ht="13">
      <c r="B993" s="36"/>
      <c r="C993" s="37"/>
      <c r="D993" s="5"/>
      <c r="E993" s="5"/>
      <c r="F993" s="5"/>
      <c r="G993" s="5"/>
      <c r="J993" s="5"/>
      <c r="M993" s="5"/>
      <c r="N993" s="5"/>
      <c r="P993" s="5"/>
    </row>
    <row r="994" spans="2:16" ht="13">
      <c r="B994" s="36"/>
      <c r="C994" s="37"/>
      <c r="D994" s="5"/>
      <c r="E994" s="5"/>
      <c r="F994" s="5"/>
      <c r="G994" s="5"/>
      <c r="J994" s="5"/>
      <c r="M994" s="5"/>
      <c r="N994" s="5"/>
      <c r="P994" s="5"/>
    </row>
    <row r="995" spans="2:16" ht="13">
      <c r="B995" s="36"/>
      <c r="C995" s="37"/>
      <c r="D995" s="5"/>
      <c r="E995" s="5"/>
      <c r="F995" s="5"/>
      <c r="G995" s="5"/>
      <c r="J995" s="5"/>
      <c r="M995" s="5"/>
      <c r="N995" s="5"/>
      <c r="P995" s="5"/>
    </row>
    <row r="996" spans="2:16" ht="13">
      <c r="B996" s="36"/>
      <c r="C996" s="37"/>
      <c r="D996" s="5"/>
      <c r="E996" s="5"/>
      <c r="F996" s="5"/>
      <c r="G996" s="5"/>
      <c r="J996" s="5"/>
      <c r="M996" s="5"/>
      <c r="N996" s="5"/>
      <c r="P996" s="5"/>
    </row>
    <row r="997" spans="2:16" ht="13">
      <c r="B997" s="36"/>
      <c r="C997" s="37"/>
      <c r="D997" s="5"/>
      <c r="E997" s="5"/>
      <c r="F997" s="5"/>
      <c r="G997" s="5"/>
      <c r="J997" s="5"/>
      <c r="M997" s="5"/>
      <c r="N997" s="5"/>
      <c r="P997" s="5"/>
    </row>
    <row r="998" spans="2:16" ht="13">
      <c r="B998" s="36"/>
      <c r="C998" s="37"/>
      <c r="D998" s="5"/>
      <c r="E998" s="5"/>
      <c r="F998" s="5"/>
      <c r="G998" s="5"/>
      <c r="J998" s="5"/>
      <c r="M998" s="5"/>
      <c r="N998" s="5"/>
      <c r="P998" s="5"/>
    </row>
    <row r="999" spans="2:16" ht="13">
      <c r="B999" s="36"/>
      <c r="C999" s="37"/>
      <c r="D999" s="5"/>
      <c r="E999" s="5"/>
      <c r="F999" s="5"/>
      <c r="G999" s="5"/>
      <c r="J999" s="5"/>
      <c r="M999" s="5"/>
      <c r="N999" s="5"/>
      <c r="P999" s="5"/>
    </row>
    <row r="1000" spans="2:16" ht="13">
      <c r="B1000" s="36"/>
      <c r="C1000" s="37"/>
      <c r="D1000" s="5"/>
      <c r="E1000" s="5"/>
      <c r="F1000" s="5"/>
      <c r="G1000" s="5"/>
      <c r="J1000" s="5"/>
      <c r="M1000" s="5"/>
      <c r="N1000" s="5"/>
      <c r="P1000" s="5"/>
    </row>
    <row r="1001" spans="2:16" ht="13">
      <c r="B1001" s="36"/>
      <c r="C1001" s="37"/>
      <c r="D1001" s="5"/>
      <c r="E1001" s="5"/>
      <c r="F1001" s="5"/>
      <c r="G1001" s="5"/>
      <c r="J1001" s="5"/>
      <c r="M1001" s="5"/>
      <c r="N1001" s="5"/>
      <c r="P1001" s="5"/>
    </row>
    <row r="1002" spans="2:16" ht="13">
      <c r="B1002" s="36"/>
      <c r="C1002" s="37"/>
      <c r="D1002" s="5"/>
      <c r="E1002" s="5"/>
      <c r="F1002" s="5"/>
      <c r="G1002" s="5"/>
      <c r="J1002" s="5"/>
      <c r="M1002" s="5"/>
      <c r="N1002" s="5"/>
      <c r="P1002" s="5"/>
    </row>
  </sheetData>
  <hyperlinks>
    <hyperlink ref="B5" r:id="rId1" xr:uid="{00000000-0004-0000-4C00-000000000000}"/>
    <hyperlink ref="B6" r:id="rId2" xr:uid="{00000000-0004-0000-4C00-000001000000}"/>
    <hyperlink ref="B7" r:id="rId3" xr:uid="{00000000-0004-0000-4C00-000002000000}"/>
    <hyperlink ref="B8" r:id="rId4" xr:uid="{00000000-0004-0000-4C00-000003000000}"/>
    <hyperlink ref="B9" r:id="rId5" xr:uid="{00000000-0004-0000-4C00-000004000000}"/>
    <hyperlink ref="B10" r:id="rId6" xr:uid="{00000000-0004-0000-4C00-000005000000}"/>
    <hyperlink ref="B11" r:id="rId7" xr:uid="{00000000-0004-0000-4C00-000006000000}"/>
    <hyperlink ref="B12" r:id="rId8" xr:uid="{00000000-0004-0000-4C00-000007000000}"/>
    <hyperlink ref="B13" r:id="rId9" xr:uid="{00000000-0004-0000-4C00-000008000000}"/>
    <hyperlink ref="B14" r:id="rId10" xr:uid="{00000000-0004-0000-4C00-000009000000}"/>
    <hyperlink ref="B15" r:id="rId11" xr:uid="{00000000-0004-0000-4C00-00000A000000}"/>
    <hyperlink ref="B16" r:id="rId12" xr:uid="{00000000-0004-0000-4C00-00000B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78">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1640625" customWidth="1"/>
    <col min="3" max="3" width="13.5" customWidth="1"/>
    <col min="4" max="4" width="14.83203125" customWidth="1"/>
    <col min="5" max="5" width="14.33203125" customWidth="1"/>
    <col min="7" max="7" width="14" customWidth="1"/>
  </cols>
  <sheetData>
    <row r="1" spans="1:10" ht="15.75" customHeight="1">
      <c r="A1" s="1" t="s">
        <v>124</v>
      </c>
      <c r="B1" s="36"/>
      <c r="C1" s="80"/>
      <c r="D1" s="81" t="s">
        <v>181</v>
      </c>
      <c r="E1" s="5"/>
      <c r="F1" s="5"/>
      <c r="G1" s="5"/>
    </row>
    <row r="2" spans="1:10" ht="15.75" customHeight="1">
      <c r="A2" s="7" t="s">
        <v>182</v>
      </c>
      <c r="B2" s="38">
        <v>42312</v>
      </c>
      <c r="C2" s="80"/>
      <c r="D2" s="82">
        <f>SUM(D5:G168)</f>
        <v>0</v>
      </c>
      <c r="E2" s="5"/>
      <c r="F2" s="5"/>
      <c r="G2" s="5"/>
    </row>
    <row r="3" spans="1:10" ht="15.75" customHeight="1">
      <c r="B3" s="41"/>
      <c r="C3" s="80"/>
      <c r="D3" s="5"/>
      <c r="E3" s="5"/>
      <c r="F3" s="5"/>
      <c r="G3" s="5"/>
    </row>
    <row r="4" spans="1:10" ht="15.75" customHeight="1">
      <c r="A4" s="42" t="s">
        <v>183</v>
      </c>
      <c r="B4" s="43" t="s">
        <v>184</v>
      </c>
      <c r="C4" s="42" t="s">
        <v>185</v>
      </c>
      <c r="D4" s="83" t="s">
        <v>186</v>
      </c>
      <c r="E4" s="84" t="s">
        <v>187</v>
      </c>
      <c r="F4" s="84" t="s">
        <v>188</v>
      </c>
      <c r="G4" s="85" t="s">
        <v>189</v>
      </c>
      <c r="H4" s="84" t="s">
        <v>190</v>
      </c>
      <c r="I4" s="85"/>
    </row>
    <row r="5" spans="1:10" ht="15.75" customHeight="1">
      <c r="A5" s="64" t="s">
        <v>5586</v>
      </c>
      <c r="B5" s="77" t="s">
        <v>353</v>
      </c>
      <c r="C5" s="64" t="s">
        <v>205</v>
      </c>
      <c r="D5" s="86"/>
      <c r="E5" s="86"/>
      <c r="F5" s="87"/>
      <c r="G5" s="87"/>
      <c r="H5" s="88"/>
      <c r="I5" s="88"/>
      <c r="J5" s="88"/>
    </row>
    <row r="6" spans="1:10" ht="15.75" customHeight="1">
      <c r="A6" s="64" t="s">
        <v>5587</v>
      </c>
      <c r="B6" s="77" t="s">
        <v>339</v>
      </c>
      <c r="C6" s="64" t="s">
        <v>205</v>
      </c>
      <c r="D6" s="76"/>
      <c r="E6" s="5"/>
      <c r="F6" s="5"/>
      <c r="G6" s="5"/>
      <c r="J6" s="88"/>
    </row>
    <row r="7" spans="1:10" ht="15.75" customHeight="1">
      <c r="A7" s="64" t="s">
        <v>5588</v>
      </c>
      <c r="B7" s="77" t="s">
        <v>325</v>
      </c>
      <c r="C7" s="64" t="s">
        <v>205</v>
      </c>
      <c r="D7" s="72"/>
      <c r="E7" s="5"/>
      <c r="F7" s="5"/>
      <c r="G7" s="5"/>
    </row>
    <row r="8" spans="1:10" ht="15.75" customHeight="1">
      <c r="A8" s="64" t="s">
        <v>5589</v>
      </c>
      <c r="B8" s="77" t="s">
        <v>1432</v>
      </c>
      <c r="C8" s="64" t="s">
        <v>205</v>
      </c>
      <c r="D8" s="76"/>
      <c r="E8" s="5"/>
      <c r="F8" s="5"/>
      <c r="G8" s="5"/>
    </row>
    <row r="9" spans="1:10" ht="15.75" customHeight="1">
      <c r="A9" s="64" t="s">
        <v>5590</v>
      </c>
      <c r="B9" s="77" t="s">
        <v>4120</v>
      </c>
      <c r="C9" s="64" t="s">
        <v>205</v>
      </c>
      <c r="D9" s="76"/>
      <c r="E9" s="5"/>
      <c r="F9" s="5"/>
      <c r="G9" s="5"/>
    </row>
    <row r="10" spans="1:10" ht="15.75" customHeight="1">
      <c r="A10" s="64" t="s">
        <v>5591</v>
      </c>
      <c r="B10" s="77" t="s">
        <v>4121</v>
      </c>
      <c r="C10" s="64" t="s">
        <v>205</v>
      </c>
      <c r="D10" s="76"/>
      <c r="E10" s="5"/>
      <c r="F10" s="5"/>
      <c r="G10" s="5"/>
    </row>
    <row r="11" spans="1:10" ht="15.75" customHeight="1">
      <c r="A11" s="64" t="s">
        <v>5592</v>
      </c>
      <c r="B11" s="77" t="s">
        <v>4736</v>
      </c>
      <c r="C11" s="64" t="s">
        <v>205</v>
      </c>
      <c r="D11" s="72"/>
      <c r="E11" s="5"/>
      <c r="F11" s="5"/>
      <c r="G11" s="5"/>
    </row>
    <row r="12" spans="1:10" ht="15.75" customHeight="1">
      <c r="A12" s="64" t="s">
        <v>5593</v>
      </c>
      <c r="B12" s="77" t="s">
        <v>4736</v>
      </c>
      <c r="C12" s="64" t="s">
        <v>205</v>
      </c>
      <c r="D12" s="76"/>
      <c r="E12" s="5"/>
      <c r="F12" s="5"/>
      <c r="G12" s="5"/>
    </row>
    <row r="13" spans="1:10" ht="15.75" customHeight="1">
      <c r="A13" s="64" t="s">
        <v>5594</v>
      </c>
      <c r="B13" s="77" t="s">
        <v>4736</v>
      </c>
      <c r="C13" s="64" t="s">
        <v>205</v>
      </c>
      <c r="D13" s="72"/>
      <c r="E13" s="5"/>
      <c r="F13" s="5"/>
      <c r="G13" s="5"/>
    </row>
    <row r="14" spans="1:10" ht="15.75" customHeight="1">
      <c r="A14" s="64" t="s">
        <v>5595</v>
      </c>
      <c r="B14" s="77" t="s">
        <v>4992</v>
      </c>
      <c r="C14" s="64" t="s">
        <v>205</v>
      </c>
      <c r="D14" s="72"/>
      <c r="E14" s="5"/>
      <c r="F14" s="5"/>
      <c r="G14" s="5"/>
    </row>
    <row r="15" spans="1:10" ht="15.75" customHeight="1">
      <c r="A15" s="64" t="s">
        <v>5596</v>
      </c>
      <c r="B15" s="77" t="s">
        <v>4994</v>
      </c>
      <c r="C15" s="64" t="s">
        <v>205</v>
      </c>
      <c r="D15" s="72"/>
      <c r="E15" s="5"/>
      <c r="F15" s="51"/>
      <c r="G15" s="5"/>
    </row>
    <row r="16" spans="1:10" ht="15.75" customHeight="1">
      <c r="A16" s="64" t="s">
        <v>5597</v>
      </c>
      <c r="B16" s="78" t="str">
        <f>HYPERLINK("https://bulbapedia.bulbagarden.net/wiki/Chesnaught_BREAK_(BREAKthrough_12)","ChesnaughtBREAK")</f>
        <v>ChesnaughtBREAK</v>
      </c>
      <c r="C16" s="64" t="s">
        <v>205</v>
      </c>
      <c r="D16" s="76"/>
      <c r="E16" s="5"/>
      <c r="F16" s="5"/>
      <c r="G16" s="5"/>
    </row>
    <row r="17" spans="1:7" ht="15.75" customHeight="1">
      <c r="A17" s="64" t="s">
        <v>5598</v>
      </c>
      <c r="B17" s="77" t="s">
        <v>5038</v>
      </c>
      <c r="C17" s="64" t="s">
        <v>205</v>
      </c>
      <c r="D17" s="64"/>
      <c r="E17" s="5"/>
      <c r="F17" s="5"/>
      <c r="G17" s="5"/>
    </row>
    <row r="18" spans="1:7" ht="15.75" customHeight="1">
      <c r="A18" s="64" t="s">
        <v>5599</v>
      </c>
      <c r="B18" s="77" t="s">
        <v>5039</v>
      </c>
      <c r="C18" s="64" t="s">
        <v>205</v>
      </c>
      <c r="D18" s="72"/>
      <c r="E18" s="5"/>
      <c r="F18" s="5"/>
      <c r="G18" s="5"/>
    </row>
    <row r="19" spans="1:7" ht="15.75" customHeight="1">
      <c r="A19" s="64" t="s">
        <v>5600</v>
      </c>
      <c r="B19" s="77" t="s">
        <v>4895</v>
      </c>
      <c r="C19" s="64" t="s">
        <v>205</v>
      </c>
      <c r="D19" s="76"/>
      <c r="E19" s="5"/>
      <c r="F19" s="5"/>
      <c r="G19" s="5"/>
    </row>
    <row r="20" spans="1:7" ht="15.75" customHeight="1">
      <c r="A20" s="64" t="s">
        <v>5601</v>
      </c>
      <c r="B20" s="77" t="s">
        <v>4753</v>
      </c>
      <c r="C20" s="64" t="s">
        <v>205</v>
      </c>
      <c r="D20" s="72"/>
      <c r="E20" s="5"/>
      <c r="F20" s="5"/>
      <c r="G20" s="5"/>
    </row>
    <row r="21" spans="1:7" ht="15.75" customHeight="1">
      <c r="A21" s="64" t="s">
        <v>5602</v>
      </c>
      <c r="B21" s="77" t="s">
        <v>4762</v>
      </c>
      <c r="C21" s="64" t="s">
        <v>205</v>
      </c>
      <c r="D21" s="76"/>
      <c r="E21" s="5"/>
      <c r="F21" s="5"/>
      <c r="G21" s="5"/>
    </row>
    <row r="22" spans="1:7" ht="15.75" customHeight="1">
      <c r="A22" s="64" t="s">
        <v>5603</v>
      </c>
      <c r="B22" s="77" t="s">
        <v>862</v>
      </c>
      <c r="C22" s="64" t="s">
        <v>199</v>
      </c>
      <c r="D22" s="76"/>
      <c r="E22" s="5"/>
      <c r="F22" s="5"/>
      <c r="G22" s="5"/>
    </row>
    <row r="23" spans="1:7" ht="15.75" customHeight="1">
      <c r="A23" s="64" t="s">
        <v>5604</v>
      </c>
      <c r="B23" s="77" t="s">
        <v>846</v>
      </c>
      <c r="C23" s="64" t="s">
        <v>199</v>
      </c>
      <c r="D23" s="76"/>
      <c r="E23" s="5"/>
      <c r="F23" s="5"/>
      <c r="G23" s="5"/>
    </row>
    <row r="24" spans="1:7" ht="15.75" customHeight="1">
      <c r="A24" s="64" t="s">
        <v>5605</v>
      </c>
      <c r="B24" s="77" t="s">
        <v>795</v>
      </c>
      <c r="C24" s="64" t="s">
        <v>199</v>
      </c>
      <c r="D24" s="76"/>
      <c r="E24" s="5"/>
      <c r="F24" s="5"/>
      <c r="G24" s="5"/>
    </row>
    <row r="25" spans="1:7" ht="15.75" customHeight="1">
      <c r="A25" s="64" t="s">
        <v>5606</v>
      </c>
      <c r="B25" s="78" t="str">
        <f>HYPERLINK("https://bulbapedia.bulbagarden.net/wiki/Houndoom-EX_(BREAKthrough_21)","HoundoomEX")</f>
        <v>HoundoomEX</v>
      </c>
      <c r="C25" s="64" t="s">
        <v>199</v>
      </c>
      <c r="D25" s="76"/>
      <c r="E25" s="5"/>
      <c r="F25" s="5"/>
      <c r="G25" s="5"/>
    </row>
    <row r="26" spans="1:7" ht="15.75" customHeight="1">
      <c r="A26" s="64" t="s">
        <v>5607</v>
      </c>
      <c r="B26" s="79" t="str">
        <f>HYPERLINK("https://bulbapedia.bulbagarden.net/wiki/M_Houndoom-EX_(BREAKthrough_22)","MHoundoomEX")</f>
        <v>MHoundoomEX</v>
      </c>
      <c r="C26" s="64" t="s">
        <v>199</v>
      </c>
      <c r="D26" s="72"/>
      <c r="E26" s="5"/>
      <c r="F26" s="5"/>
      <c r="G26" s="5"/>
    </row>
    <row r="27" spans="1:7" ht="15.75" customHeight="1">
      <c r="A27" s="64" t="s">
        <v>5608</v>
      </c>
      <c r="B27" s="77" t="s">
        <v>4054</v>
      </c>
      <c r="C27" s="64" t="s">
        <v>199</v>
      </c>
      <c r="D27" s="72"/>
      <c r="E27" s="5"/>
      <c r="F27" s="5"/>
      <c r="G27" s="5"/>
    </row>
    <row r="28" spans="1:7" ht="15.75" customHeight="1">
      <c r="A28" s="64" t="s">
        <v>5609</v>
      </c>
      <c r="B28" s="77" t="s">
        <v>4055</v>
      </c>
      <c r="C28" s="64" t="s">
        <v>199</v>
      </c>
      <c r="D28" s="76"/>
      <c r="E28" s="5"/>
      <c r="F28" s="5"/>
      <c r="G28" s="5"/>
    </row>
    <row r="29" spans="1:7" ht="15.75" customHeight="1">
      <c r="A29" s="64" t="s">
        <v>5610</v>
      </c>
      <c r="B29" s="77" t="s">
        <v>4738</v>
      </c>
      <c r="C29" s="64" t="s">
        <v>199</v>
      </c>
      <c r="D29" s="76"/>
      <c r="E29" s="5"/>
      <c r="F29" s="5"/>
      <c r="G29" s="5"/>
    </row>
    <row r="30" spans="1:7" ht="15.75" customHeight="1">
      <c r="A30" s="64" t="s">
        <v>5611</v>
      </c>
      <c r="B30" s="77" t="s">
        <v>4924</v>
      </c>
      <c r="C30" s="64" t="s">
        <v>199</v>
      </c>
      <c r="D30" s="72"/>
      <c r="E30" s="5"/>
      <c r="F30" s="5"/>
      <c r="G30" s="5"/>
    </row>
    <row r="31" spans="1:7" ht="15.75" customHeight="1">
      <c r="A31" s="64" t="s">
        <v>5612</v>
      </c>
      <c r="B31" s="77" t="s">
        <v>349</v>
      </c>
      <c r="C31" s="64" t="s">
        <v>208</v>
      </c>
      <c r="D31" s="76"/>
      <c r="E31" s="5"/>
      <c r="F31" s="5"/>
      <c r="G31" s="5"/>
    </row>
    <row r="32" spans="1:7" ht="15.75" customHeight="1">
      <c r="A32" s="64" t="s">
        <v>5613</v>
      </c>
      <c r="B32" s="77" t="s">
        <v>343</v>
      </c>
      <c r="C32" s="64" t="s">
        <v>208</v>
      </c>
      <c r="D32" s="76"/>
      <c r="E32" s="5"/>
      <c r="F32" s="5"/>
      <c r="G32" s="5"/>
    </row>
    <row r="33" spans="1:7" ht="15.75" customHeight="1">
      <c r="A33" s="64" t="s">
        <v>5614</v>
      </c>
      <c r="B33" s="77" t="s">
        <v>296</v>
      </c>
      <c r="C33" s="64" t="s">
        <v>208</v>
      </c>
      <c r="D33" s="72"/>
      <c r="E33" s="5"/>
      <c r="F33" s="5"/>
      <c r="G33" s="5"/>
    </row>
    <row r="34" spans="1:7" ht="15.75" customHeight="1">
      <c r="A34" s="64" t="s">
        <v>5615</v>
      </c>
      <c r="B34" s="77" t="s">
        <v>295</v>
      </c>
      <c r="C34" s="64" t="s">
        <v>208</v>
      </c>
      <c r="D34" s="76"/>
      <c r="E34" s="51"/>
      <c r="F34" s="5"/>
      <c r="G34" s="5"/>
    </row>
    <row r="35" spans="1:7" ht="15.75" customHeight="1">
      <c r="A35" s="64" t="s">
        <v>5616</v>
      </c>
      <c r="B35" s="77" t="s">
        <v>979</v>
      </c>
      <c r="C35" s="64" t="s">
        <v>208</v>
      </c>
      <c r="D35" s="76"/>
      <c r="E35" s="5"/>
      <c r="F35" s="5"/>
      <c r="G35" s="5"/>
    </row>
    <row r="36" spans="1:7" ht="15.75" customHeight="1">
      <c r="A36" s="64" t="s">
        <v>5617</v>
      </c>
      <c r="B36" s="77" t="s">
        <v>979</v>
      </c>
      <c r="C36" s="64" t="s">
        <v>208</v>
      </c>
      <c r="D36" s="76"/>
      <c r="E36" s="5"/>
      <c r="F36" s="5"/>
      <c r="G36" s="5"/>
    </row>
    <row r="37" spans="1:7" ht="15.75" customHeight="1">
      <c r="A37" s="64" t="s">
        <v>5618</v>
      </c>
      <c r="B37" s="77" t="s">
        <v>975</v>
      </c>
      <c r="C37" s="64" t="s">
        <v>208</v>
      </c>
      <c r="D37" s="76"/>
      <c r="E37" s="5"/>
      <c r="F37" s="5"/>
      <c r="G37" s="5"/>
    </row>
    <row r="38" spans="1:7" ht="15.75" customHeight="1">
      <c r="A38" s="64" t="s">
        <v>5619</v>
      </c>
      <c r="B38" s="78" t="str">
        <f>HYPERLINK("https://bulbapedia.bulbagarden.net/wiki/Glalie-EX_(BREAKthrough_34)","GlalieEX")</f>
        <v>GlalieEX</v>
      </c>
      <c r="C38" s="64" t="s">
        <v>208</v>
      </c>
      <c r="D38" s="76"/>
      <c r="E38" s="5"/>
      <c r="F38" s="5"/>
      <c r="G38" s="5"/>
    </row>
    <row r="39" spans="1:7" ht="15.75" customHeight="1">
      <c r="A39" s="64" t="s">
        <v>5620</v>
      </c>
      <c r="B39" s="79" t="str">
        <f>HYPERLINK("https://bulbapedia.bulbagarden.net/wiki/M_Glalie-EX_(BREAKthrough_35)","MGlalieEX")</f>
        <v>MGlalieEX</v>
      </c>
      <c r="C39" s="64" t="s">
        <v>208</v>
      </c>
      <c r="D39" s="76"/>
      <c r="E39" s="5"/>
      <c r="F39" s="5"/>
      <c r="G39" s="5"/>
    </row>
    <row r="40" spans="1:7" ht="15.75" customHeight="1">
      <c r="A40" s="64" t="s">
        <v>5621</v>
      </c>
      <c r="B40" s="77" t="s">
        <v>3020</v>
      </c>
      <c r="C40" s="64" t="s">
        <v>208</v>
      </c>
      <c r="D40" s="72"/>
      <c r="E40" s="5"/>
      <c r="F40" s="5"/>
      <c r="G40" s="5"/>
    </row>
    <row r="41" spans="1:7" ht="15.75" customHeight="1">
      <c r="A41" s="64" t="s">
        <v>5622</v>
      </c>
      <c r="B41" s="77" t="s">
        <v>3140</v>
      </c>
      <c r="C41" s="64" t="s">
        <v>208</v>
      </c>
      <c r="D41" s="76"/>
      <c r="E41" s="5"/>
      <c r="F41" s="5"/>
      <c r="G41" s="5"/>
    </row>
    <row r="42" spans="1:7" ht="15.75" customHeight="1">
      <c r="A42" s="64" t="s">
        <v>5623</v>
      </c>
      <c r="B42" s="77" t="s">
        <v>3111</v>
      </c>
      <c r="C42" s="64" t="s">
        <v>208</v>
      </c>
      <c r="D42" s="76"/>
      <c r="E42" s="5"/>
      <c r="F42" s="5"/>
      <c r="G42" s="5"/>
    </row>
    <row r="43" spans="1:7" ht="15.75" customHeight="1">
      <c r="A43" s="64" t="s">
        <v>5624</v>
      </c>
      <c r="B43" s="77" t="s">
        <v>3277</v>
      </c>
      <c r="C43" s="64" t="s">
        <v>208</v>
      </c>
      <c r="D43" s="76"/>
      <c r="E43" s="5"/>
      <c r="F43" s="5"/>
      <c r="G43" s="5"/>
    </row>
    <row r="44" spans="1:7" ht="15.75" customHeight="1">
      <c r="A44" s="64" t="s">
        <v>5625</v>
      </c>
      <c r="B44" s="77" t="s">
        <v>3182</v>
      </c>
      <c r="C44" s="64" t="s">
        <v>208</v>
      </c>
      <c r="D44" s="76"/>
      <c r="E44" s="5"/>
      <c r="F44" s="5"/>
      <c r="G44" s="5"/>
    </row>
    <row r="45" spans="1:7" ht="15.75" customHeight="1">
      <c r="A45" s="64" t="s">
        <v>5626</v>
      </c>
      <c r="B45" s="77" t="s">
        <v>4124</v>
      </c>
      <c r="C45" s="64" t="s">
        <v>208</v>
      </c>
      <c r="D45" s="76"/>
      <c r="E45" s="5"/>
      <c r="F45" s="5"/>
      <c r="G45" s="5"/>
    </row>
    <row r="46" spans="1:7" ht="15.75" customHeight="1">
      <c r="A46" s="64" t="s">
        <v>5627</v>
      </c>
      <c r="B46" s="77" t="s">
        <v>4125</v>
      </c>
      <c r="C46" s="64" t="s">
        <v>208</v>
      </c>
      <c r="D46" s="76"/>
      <c r="E46" s="5"/>
      <c r="F46" s="5"/>
      <c r="G46" s="5"/>
    </row>
    <row r="47" spans="1:7" ht="15.75" customHeight="1">
      <c r="A47" s="64" t="s">
        <v>5628</v>
      </c>
      <c r="B47" s="77" t="s">
        <v>4064</v>
      </c>
      <c r="C47" s="64" t="s">
        <v>208</v>
      </c>
      <c r="D47" s="76"/>
      <c r="E47" s="5"/>
      <c r="F47" s="5"/>
      <c r="G47" s="5"/>
    </row>
    <row r="48" spans="1:7" ht="15.75" customHeight="1">
      <c r="A48" s="64" t="s">
        <v>5629</v>
      </c>
      <c r="B48" s="77" t="s">
        <v>4065</v>
      </c>
      <c r="C48" s="64" t="s">
        <v>208</v>
      </c>
      <c r="D48" s="72"/>
      <c r="E48" s="5"/>
      <c r="F48" s="5"/>
      <c r="G48" s="5"/>
    </row>
    <row r="49" spans="1:7" ht="15.75" customHeight="1">
      <c r="A49" s="64" t="s">
        <v>5630</v>
      </c>
      <c r="B49" s="77" t="s">
        <v>4066</v>
      </c>
      <c r="C49" s="64" t="s">
        <v>208</v>
      </c>
      <c r="D49" s="72"/>
      <c r="E49" s="5"/>
      <c r="F49" s="5"/>
      <c r="G49" s="5"/>
    </row>
    <row r="50" spans="1:7" ht="15.75" customHeight="1">
      <c r="A50" s="64" t="s">
        <v>5631</v>
      </c>
      <c r="B50" s="77" t="s">
        <v>4740</v>
      </c>
      <c r="C50" s="64" t="s">
        <v>208</v>
      </c>
      <c r="D50" s="72"/>
      <c r="E50" s="5"/>
      <c r="F50" s="5"/>
      <c r="G50" s="5"/>
    </row>
    <row r="51" spans="1:7" ht="15.75" customHeight="1">
      <c r="A51" s="64" t="s">
        <v>5632</v>
      </c>
      <c r="B51" s="77" t="s">
        <v>5004</v>
      </c>
      <c r="C51" s="64" t="s">
        <v>208</v>
      </c>
      <c r="D51" s="72"/>
      <c r="E51" s="5"/>
      <c r="F51" s="5"/>
      <c r="G51" s="5"/>
    </row>
    <row r="52" spans="1:7" ht="15.75" customHeight="1">
      <c r="A52" s="64" t="s">
        <v>5633</v>
      </c>
      <c r="B52" s="77" t="s">
        <v>191</v>
      </c>
      <c r="C52" s="64" t="s">
        <v>192</v>
      </c>
      <c r="D52" s="76"/>
      <c r="E52" s="5"/>
      <c r="F52" s="5"/>
      <c r="G52" s="5"/>
    </row>
    <row r="53" spans="1:7" ht="13">
      <c r="A53" s="64" t="s">
        <v>5634</v>
      </c>
      <c r="B53" s="77" t="s">
        <v>251</v>
      </c>
      <c r="C53" s="64" t="s">
        <v>192</v>
      </c>
      <c r="D53" s="72"/>
      <c r="E53" s="5"/>
      <c r="F53" s="5"/>
      <c r="G53" s="5"/>
    </row>
    <row r="54" spans="1:7" ht="13">
      <c r="A54" s="64" t="s">
        <v>5635</v>
      </c>
      <c r="B54" s="78" t="str">
        <f>HYPERLINK("https://bulbapedia.bulbagarden.net/wiki/Raichu_BREAK_(BREAKthrough_50)","RaichuBREAK")</f>
        <v>RaichuBREAK</v>
      </c>
      <c r="C54" s="64" t="s">
        <v>192</v>
      </c>
      <c r="D54" s="76"/>
      <c r="E54" s="5"/>
      <c r="F54" s="5"/>
      <c r="G54" s="5"/>
    </row>
    <row r="55" spans="1:7" ht="13">
      <c r="A55" s="64" t="s">
        <v>5636</v>
      </c>
      <c r="B55" s="77" t="s">
        <v>285</v>
      </c>
      <c r="C55" s="64" t="s">
        <v>192</v>
      </c>
      <c r="D55" s="76"/>
      <c r="E55" s="5"/>
      <c r="F55" s="5"/>
      <c r="G55" s="5"/>
    </row>
    <row r="56" spans="1:7" ht="13">
      <c r="A56" s="64" t="s">
        <v>5637</v>
      </c>
      <c r="B56" s="77" t="s">
        <v>285</v>
      </c>
      <c r="C56" s="64" t="s">
        <v>192</v>
      </c>
      <c r="D56" s="72"/>
      <c r="E56" s="5"/>
      <c r="F56" s="5"/>
      <c r="G56" s="5"/>
    </row>
    <row r="57" spans="1:7" ht="13">
      <c r="A57" s="64" t="s">
        <v>5638</v>
      </c>
      <c r="B57" s="77" t="s">
        <v>247</v>
      </c>
      <c r="C57" s="64" t="s">
        <v>192</v>
      </c>
      <c r="D57" s="72"/>
      <c r="E57" s="5"/>
      <c r="F57" s="5"/>
      <c r="G57" s="5"/>
    </row>
    <row r="58" spans="1:7" ht="13">
      <c r="A58" s="64" t="s">
        <v>5639</v>
      </c>
      <c r="B58" s="77" t="s">
        <v>3074</v>
      </c>
      <c r="C58" s="64" t="s">
        <v>192</v>
      </c>
      <c r="D58" s="72"/>
      <c r="E58" s="5"/>
      <c r="F58" s="5"/>
      <c r="G58" s="5"/>
    </row>
    <row r="59" spans="1:7" ht="13">
      <c r="A59" s="64" t="s">
        <v>5640</v>
      </c>
      <c r="B59" s="77" t="s">
        <v>972</v>
      </c>
      <c r="C59" s="64" t="s">
        <v>192</v>
      </c>
      <c r="D59" s="76"/>
      <c r="E59" s="5"/>
      <c r="F59" s="5"/>
      <c r="G59" s="5"/>
    </row>
    <row r="60" spans="1:7" ht="13">
      <c r="A60" s="64" t="s">
        <v>5641</v>
      </c>
      <c r="B60" s="77" t="s">
        <v>4076</v>
      </c>
      <c r="C60" s="64" t="s">
        <v>192</v>
      </c>
      <c r="D60" s="72"/>
      <c r="E60" s="5"/>
      <c r="F60" s="5"/>
      <c r="G60" s="5"/>
    </row>
    <row r="61" spans="1:7" ht="13">
      <c r="A61" s="64" t="s">
        <v>5642</v>
      </c>
      <c r="B61" s="77" t="s">
        <v>5120</v>
      </c>
      <c r="C61" s="64" t="s">
        <v>192</v>
      </c>
      <c r="D61" s="76"/>
      <c r="E61" s="5"/>
      <c r="F61" s="5"/>
      <c r="G61" s="5"/>
    </row>
    <row r="62" spans="1:7" ht="13">
      <c r="A62" s="64" t="s">
        <v>5643</v>
      </c>
      <c r="B62" s="77" t="s">
        <v>282</v>
      </c>
      <c r="C62" s="64" t="s">
        <v>195</v>
      </c>
      <c r="D62" s="76"/>
      <c r="E62" s="5"/>
      <c r="F62" s="5"/>
      <c r="G62" s="5"/>
    </row>
    <row r="63" spans="1:7" ht="13">
      <c r="A63" s="64" t="s">
        <v>5644</v>
      </c>
      <c r="B63" s="77" t="s">
        <v>263</v>
      </c>
      <c r="C63" s="64" t="s">
        <v>195</v>
      </c>
      <c r="D63" s="76"/>
      <c r="E63" s="5"/>
      <c r="F63" s="5"/>
      <c r="G63" s="5"/>
    </row>
    <row r="64" spans="1:7" ht="13">
      <c r="A64" s="64" t="s">
        <v>5645</v>
      </c>
      <c r="B64" s="77" t="s">
        <v>360</v>
      </c>
      <c r="C64" s="64" t="s">
        <v>195</v>
      </c>
      <c r="D64" s="76"/>
      <c r="E64" s="5"/>
      <c r="F64" s="5"/>
      <c r="G64" s="5"/>
    </row>
    <row r="65" spans="1:7" ht="13">
      <c r="A65" s="64" t="s">
        <v>5646</v>
      </c>
      <c r="B65" s="78" t="str">
        <f>HYPERLINK("https://bulbapedia.bulbagarden.net/wiki/Mewtwo-EX_(BREAKthrough_61)","MewtwoEX")</f>
        <v>MewtwoEX</v>
      </c>
      <c r="C65" s="64" t="s">
        <v>195</v>
      </c>
      <c r="D65" s="66"/>
      <c r="E65" s="5"/>
      <c r="F65" s="5"/>
      <c r="G65" s="5"/>
    </row>
    <row r="66" spans="1:7" ht="13">
      <c r="A66" s="64" t="s">
        <v>5647</v>
      </c>
      <c r="B66" s="78" t="str">
        <f>HYPERLINK("https://bulbapedia.bulbagarden.net/wiki/Mewtwo-EX_(BREAKthrough_62)","MewtwoEX")</f>
        <v>MewtwoEX</v>
      </c>
      <c r="C66" s="64" t="s">
        <v>195</v>
      </c>
      <c r="D66" s="76"/>
      <c r="E66" s="5"/>
      <c r="F66" s="5"/>
      <c r="G66" s="5"/>
    </row>
    <row r="67" spans="1:7" ht="13">
      <c r="A67" s="64" t="s">
        <v>5648</v>
      </c>
      <c r="B67" s="79" t="str">
        <f>HYPERLINK("https://bulbapedia.bulbagarden.net/wiki/M_Mewtwo-EX_(BREAKthrough_63)","MMewtwoEX")</f>
        <v>MMewtwoEX</v>
      </c>
      <c r="C67" s="64" t="s">
        <v>195</v>
      </c>
      <c r="D67" s="76"/>
      <c r="E67" s="5"/>
      <c r="F67" s="5"/>
      <c r="G67" s="5"/>
    </row>
    <row r="68" spans="1:7" ht="13">
      <c r="A68" s="64" t="s">
        <v>5649</v>
      </c>
      <c r="B68" s="79" t="str">
        <f>HYPERLINK("https://bulbapedia.bulbagarden.net/wiki/M_Mewtwo-EX_(BREAKthrough_64)","MMewtwoEX")</f>
        <v>MMewtwoEX</v>
      </c>
      <c r="C68" s="64" t="s">
        <v>195</v>
      </c>
      <c r="D68" s="76"/>
      <c r="E68" s="5"/>
      <c r="F68" s="5"/>
      <c r="G68" s="5"/>
    </row>
    <row r="69" spans="1:7" ht="13">
      <c r="A69" s="64" t="s">
        <v>5650</v>
      </c>
      <c r="B69" s="77" t="s">
        <v>227</v>
      </c>
      <c r="C69" s="64" t="s">
        <v>195</v>
      </c>
      <c r="D69" s="72"/>
      <c r="E69" s="5"/>
      <c r="F69" s="5"/>
      <c r="G69" s="5"/>
    </row>
    <row r="70" spans="1:7" ht="13">
      <c r="A70" s="64" t="s">
        <v>5651</v>
      </c>
      <c r="B70" s="77" t="s">
        <v>3116</v>
      </c>
      <c r="C70" s="64" t="s">
        <v>195</v>
      </c>
      <c r="D70" s="76"/>
      <c r="E70" s="51"/>
      <c r="F70" s="5"/>
      <c r="G70" s="5"/>
    </row>
    <row r="71" spans="1:7" ht="13">
      <c r="A71" s="64" t="s">
        <v>5652</v>
      </c>
      <c r="B71" s="77" t="s">
        <v>945</v>
      </c>
      <c r="C71" s="64" t="s">
        <v>195</v>
      </c>
      <c r="D71" s="76"/>
      <c r="E71" s="5"/>
      <c r="F71" s="5"/>
      <c r="G71" s="5"/>
    </row>
    <row r="72" spans="1:7" ht="13">
      <c r="A72" s="64" t="s">
        <v>5653</v>
      </c>
      <c r="B72" s="77" t="s">
        <v>1307</v>
      </c>
      <c r="C72" s="64" t="s">
        <v>195</v>
      </c>
      <c r="D72" s="76"/>
      <c r="E72" s="5"/>
      <c r="F72" s="5"/>
      <c r="G72" s="5"/>
    </row>
    <row r="73" spans="1:7" ht="13">
      <c r="A73" s="64" t="s">
        <v>5654</v>
      </c>
      <c r="B73" s="77" t="s">
        <v>1262</v>
      </c>
      <c r="C73" s="64" t="s">
        <v>195</v>
      </c>
      <c r="D73" s="76"/>
      <c r="E73" s="5"/>
      <c r="F73" s="5"/>
      <c r="G73" s="5"/>
    </row>
    <row r="74" spans="1:7" ht="13">
      <c r="A74" s="64" t="s">
        <v>5655</v>
      </c>
      <c r="B74" s="77" t="s">
        <v>3101</v>
      </c>
      <c r="C74" s="64" t="s">
        <v>195</v>
      </c>
      <c r="D74" s="76"/>
      <c r="E74" s="5"/>
      <c r="F74" s="5"/>
      <c r="G74" s="5"/>
    </row>
    <row r="75" spans="1:7" ht="13">
      <c r="A75" s="64" t="s">
        <v>5656</v>
      </c>
      <c r="B75" s="77" t="s">
        <v>4153</v>
      </c>
      <c r="C75" s="64" t="s">
        <v>195</v>
      </c>
      <c r="D75" s="76"/>
      <c r="E75" s="5"/>
      <c r="F75" s="5"/>
      <c r="G75" s="5"/>
    </row>
    <row r="76" spans="1:7" ht="13">
      <c r="A76" s="64" t="s">
        <v>5657</v>
      </c>
      <c r="B76" s="77" t="s">
        <v>4419</v>
      </c>
      <c r="C76" s="64" t="s">
        <v>195</v>
      </c>
      <c r="D76" s="76"/>
      <c r="E76" s="5"/>
      <c r="F76" s="5"/>
      <c r="G76" s="5"/>
    </row>
    <row r="77" spans="1:7" ht="13">
      <c r="A77" s="64" t="s">
        <v>5658</v>
      </c>
      <c r="B77" s="77" t="s">
        <v>4084</v>
      </c>
      <c r="C77" s="64" t="s">
        <v>195</v>
      </c>
      <c r="D77" s="76"/>
      <c r="E77" s="5"/>
      <c r="F77" s="5"/>
      <c r="G77" s="5"/>
    </row>
    <row r="78" spans="1:7" ht="13">
      <c r="A78" s="64" t="s">
        <v>5659</v>
      </c>
      <c r="B78" s="77" t="s">
        <v>4085</v>
      </c>
      <c r="C78" s="64" t="s">
        <v>195</v>
      </c>
      <c r="D78" s="76"/>
      <c r="E78" s="5"/>
      <c r="F78" s="5"/>
      <c r="G78" s="5"/>
    </row>
    <row r="79" spans="1:7" ht="13">
      <c r="A79" s="64" t="s">
        <v>5660</v>
      </c>
      <c r="B79" s="77" t="s">
        <v>293</v>
      </c>
      <c r="C79" s="64" t="s">
        <v>225</v>
      </c>
      <c r="D79" s="72"/>
      <c r="E79" s="5"/>
      <c r="F79" s="5"/>
      <c r="G79" s="5"/>
    </row>
    <row r="80" spans="1:7" ht="13">
      <c r="A80" s="64" t="s">
        <v>5661</v>
      </c>
      <c r="B80" s="77" t="s">
        <v>374</v>
      </c>
      <c r="C80" s="64" t="s">
        <v>225</v>
      </c>
      <c r="D80" s="76"/>
      <c r="E80" s="5"/>
      <c r="F80" s="5"/>
      <c r="G80" s="5"/>
    </row>
    <row r="81" spans="1:7" ht="13">
      <c r="A81" s="64" t="s">
        <v>5662</v>
      </c>
      <c r="B81" s="77" t="s">
        <v>347</v>
      </c>
      <c r="C81" s="64" t="s">
        <v>225</v>
      </c>
      <c r="D81" s="76"/>
      <c r="E81" s="5"/>
      <c r="F81" s="5"/>
      <c r="G81" s="5"/>
    </row>
    <row r="82" spans="1:7" ht="13">
      <c r="A82" s="64" t="s">
        <v>5663</v>
      </c>
      <c r="B82" s="77" t="s">
        <v>337</v>
      </c>
      <c r="C82" s="64" t="s">
        <v>225</v>
      </c>
      <c r="D82" s="76"/>
      <c r="E82" s="5"/>
      <c r="F82" s="5"/>
      <c r="G82" s="5"/>
    </row>
    <row r="83" spans="1:7" ht="13">
      <c r="A83" s="64" t="s">
        <v>5664</v>
      </c>
      <c r="B83" s="78" t="str">
        <f>HYPERLINK("https://bulbapedia.bulbagarden.net/wiki/Marowak_BREAK_(BREAKthrough_79)","MarowakBREAK")</f>
        <v>MarowakBREAK</v>
      </c>
      <c r="C83" s="64" t="s">
        <v>225</v>
      </c>
      <c r="D83" s="76"/>
      <c r="E83" s="5"/>
      <c r="F83" s="5"/>
      <c r="G83" s="5"/>
    </row>
    <row r="84" spans="1:7" ht="13">
      <c r="A84" s="64" t="s">
        <v>5665</v>
      </c>
      <c r="B84" s="77" t="s">
        <v>901</v>
      </c>
      <c r="C84" s="64" t="s">
        <v>225</v>
      </c>
      <c r="D84" s="72"/>
      <c r="E84" s="5"/>
      <c r="F84" s="5"/>
      <c r="G84" s="5"/>
    </row>
    <row r="85" spans="1:7" ht="13">
      <c r="A85" s="64" t="s">
        <v>5666</v>
      </c>
      <c r="B85" s="77" t="s">
        <v>842</v>
      </c>
      <c r="C85" s="64" t="s">
        <v>225</v>
      </c>
      <c r="D85" s="72"/>
      <c r="E85" s="5"/>
      <c r="F85" s="5"/>
      <c r="G85" s="5"/>
    </row>
    <row r="86" spans="1:7" ht="13">
      <c r="A86" s="64" t="s">
        <v>5667</v>
      </c>
      <c r="B86" s="77" t="s">
        <v>3381</v>
      </c>
      <c r="C86" s="64" t="s">
        <v>225</v>
      </c>
      <c r="D86" s="76"/>
      <c r="E86" s="5"/>
      <c r="F86" s="5"/>
      <c r="G86" s="5"/>
    </row>
    <row r="87" spans="1:7" ht="13">
      <c r="A87" s="64" t="s">
        <v>5668</v>
      </c>
      <c r="B87" s="77" t="s">
        <v>3136</v>
      </c>
      <c r="C87" s="64" t="s">
        <v>225</v>
      </c>
      <c r="D87" s="76"/>
      <c r="E87" s="5"/>
      <c r="F87" s="5"/>
      <c r="G87" s="5"/>
    </row>
    <row r="88" spans="1:7" ht="13">
      <c r="A88" s="64" t="s">
        <v>5669</v>
      </c>
      <c r="B88" s="77" t="s">
        <v>3314</v>
      </c>
      <c r="C88" s="64" t="s">
        <v>225</v>
      </c>
      <c r="D88" s="76"/>
      <c r="E88" s="5"/>
      <c r="F88" s="5"/>
      <c r="G88" s="5"/>
    </row>
    <row r="89" spans="1:7" ht="13">
      <c r="A89" s="64" t="s">
        <v>5670</v>
      </c>
      <c r="B89" s="77" t="s">
        <v>4429</v>
      </c>
      <c r="C89" s="64" t="s">
        <v>225</v>
      </c>
      <c r="D89" s="76"/>
      <c r="E89" s="5"/>
      <c r="F89" s="5"/>
      <c r="G89" s="5"/>
    </row>
    <row r="90" spans="1:7" ht="13">
      <c r="A90" s="64" t="s">
        <v>5671</v>
      </c>
      <c r="B90" s="77" t="s">
        <v>5121</v>
      </c>
      <c r="C90" s="64" t="s">
        <v>225</v>
      </c>
      <c r="D90" s="76"/>
      <c r="E90" s="5"/>
      <c r="F90" s="5"/>
      <c r="G90" s="5"/>
    </row>
    <row r="91" spans="1:7" ht="13">
      <c r="A91" s="64" t="s">
        <v>5672</v>
      </c>
      <c r="B91" s="77" t="s">
        <v>5124</v>
      </c>
      <c r="C91" s="64" t="s">
        <v>225</v>
      </c>
      <c r="D91" s="76"/>
      <c r="E91" s="5"/>
      <c r="F91" s="5"/>
      <c r="G91" s="5"/>
    </row>
    <row r="92" spans="1:7" ht="13">
      <c r="A92" s="64" t="s">
        <v>5673</v>
      </c>
      <c r="B92" s="77" t="s">
        <v>1357</v>
      </c>
      <c r="C92" s="64" t="s">
        <v>808</v>
      </c>
      <c r="D92" s="76"/>
      <c r="E92" s="5"/>
      <c r="F92" s="5"/>
      <c r="G92" s="5"/>
    </row>
    <row r="93" spans="1:7" ht="13">
      <c r="A93" s="64" t="s">
        <v>5674</v>
      </c>
      <c r="B93" s="77" t="s">
        <v>4036</v>
      </c>
      <c r="C93" s="64" t="s">
        <v>808</v>
      </c>
      <c r="D93" s="76"/>
      <c r="E93" s="5"/>
      <c r="F93" s="5"/>
      <c r="G93" s="5"/>
    </row>
    <row r="94" spans="1:7" ht="13">
      <c r="A94" s="64" t="s">
        <v>5675</v>
      </c>
      <c r="B94" s="77" t="s">
        <v>4036</v>
      </c>
      <c r="C94" s="64" t="s">
        <v>808</v>
      </c>
      <c r="D94" s="76"/>
      <c r="E94" s="5"/>
      <c r="F94" s="5"/>
      <c r="G94" s="5"/>
    </row>
    <row r="95" spans="1:7" ht="13">
      <c r="A95" s="64" t="s">
        <v>5676</v>
      </c>
      <c r="B95" s="77" t="s">
        <v>4147</v>
      </c>
      <c r="C95" s="64" t="s">
        <v>808</v>
      </c>
      <c r="D95" s="76"/>
      <c r="E95" s="5"/>
      <c r="F95" s="5"/>
      <c r="G95" s="5"/>
    </row>
    <row r="96" spans="1:7" ht="13">
      <c r="A96" s="64" t="s">
        <v>5677</v>
      </c>
      <c r="B96" s="78" t="str">
        <f>HYPERLINK("https://bulbapedia.bulbagarden.net/wiki/Zoroark_BREAK_(BREAKthrough_92)","ZoroarkBREAK")</f>
        <v>ZoroarkBREAK</v>
      </c>
      <c r="C96" s="64" t="s">
        <v>808</v>
      </c>
      <c r="D96" s="66"/>
      <c r="E96" s="5"/>
      <c r="F96" s="5"/>
      <c r="G96" s="5"/>
    </row>
    <row r="97" spans="1:7" ht="13">
      <c r="A97" s="64" t="s">
        <v>5678</v>
      </c>
      <c r="B97" s="77" t="s">
        <v>5011</v>
      </c>
      <c r="C97" s="64" t="s">
        <v>808</v>
      </c>
      <c r="D97" s="76"/>
      <c r="E97" s="5"/>
      <c r="F97" s="5"/>
      <c r="G97" s="5"/>
    </row>
    <row r="98" spans="1:7" ht="13">
      <c r="A98" s="64" t="s">
        <v>5679</v>
      </c>
      <c r="B98" s="77" t="s">
        <v>4747</v>
      </c>
      <c r="C98" s="64" t="s">
        <v>808</v>
      </c>
      <c r="D98" s="76"/>
      <c r="E98" s="51"/>
      <c r="F98" s="5"/>
      <c r="G98" s="5"/>
    </row>
    <row r="99" spans="1:7" ht="13">
      <c r="A99" s="64" t="s">
        <v>5680</v>
      </c>
      <c r="B99" s="77" t="s">
        <v>3245</v>
      </c>
      <c r="C99" s="64" t="s">
        <v>220</v>
      </c>
      <c r="D99" s="72"/>
      <c r="E99" s="5"/>
      <c r="F99" s="5"/>
      <c r="G99" s="5"/>
    </row>
    <row r="100" spans="1:7" ht="13">
      <c r="A100" s="64" t="s">
        <v>5681</v>
      </c>
      <c r="B100" s="77" t="s">
        <v>3163</v>
      </c>
      <c r="C100" s="64" t="s">
        <v>220</v>
      </c>
      <c r="D100" s="76"/>
      <c r="E100" s="5"/>
      <c r="F100" s="5"/>
      <c r="G100" s="5"/>
    </row>
    <row r="101" spans="1:7" ht="13">
      <c r="A101" s="64" t="s">
        <v>5682</v>
      </c>
      <c r="B101" s="77" t="s">
        <v>322</v>
      </c>
      <c r="C101" s="64" t="s">
        <v>4743</v>
      </c>
      <c r="D101" s="76"/>
      <c r="E101" s="5"/>
      <c r="F101" s="5"/>
      <c r="G101" s="5"/>
    </row>
    <row r="102" spans="1:7" ht="13">
      <c r="A102" s="64" t="s">
        <v>5683</v>
      </c>
      <c r="B102" s="77" t="s">
        <v>891</v>
      </c>
      <c r="C102" s="64" t="s">
        <v>4743</v>
      </c>
      <c r="D102" s="76"/>
      <c r="E102" s="5"/>
      <c r="F102" s="5"/>
      <c r="G102" s="5"/>
    </row>
    <row r="103" spans="1:7" ht="13">
      <c r="A103" s="64" t="s">
        <v>5684</v>
      </c>
      <c r="B103" s="77" t="s">
        <v>829</v>
      </c>
      <c r="C103" s="64" t="s">
        <v>4743</v>
      </c>
      <c r="D103" s="72"/>
      <c r="E103" s="5"/>
      <c r="F103" s="5"/>
      <c r="G103" s="5"/>
    </row>
    <row r="104" spans="1:7" ht="13">
      <c r="A104" s="64" t="s">
        <v>5685</v>
      </c>
      <c r="B104" s="77" t="s">
        <v>1307</v>
      </c>
      <c r="C104" s="64" t="s">
        <v>4743</v>
      </c>
      <c r="D104" s="72"/>
      <c r="E104" s="5"/>
      <c r="F104" s="5"/>
      <c r="G104" s="5"/>
    </row>
    <row r="105" spans="1:7" ht="13">
      <c r="A105" s="64" t="s">
        <v>5686</v>
      </c>
      <c r="B105" s="77" t="s">
        <v>5098</v>
      </c>
      <c r="C105" s="64" t="s">
        <v>4743</v>
      </c>
      <c r="D105" s="72"/>
      <c r="E105" s="5"/>
      <c r="F105" s="5"/>
      <c r="G105" s="5"/>
    </row>
    <row r="106" spans="1:7" ht="13">
      <c r="A106" s="64" t="s">
        <v>5687</v>
      </c>
      <c r="B106" s="77" t="s">
        <v>4898</v>
      </c>
      <c r="C106" s="64" t="s">
        <v>4743</v>
      </c>
      <c r="D106" s="76"/>
      <c r="E106" s="5"/>
      <c r="F106" s="5"/>
      <c r="G106" s="5"/>
    </row>
    <row r="107" spans="1:7" ht="13">
      <c r="A107" s="64" t="s">
        <v>5688</v>
      </c>
      <c r="B107" s="77" t="s">
        <v>5099</v>
      </c>
      <c r="C107" s="64" t="s">
        <v>4743</v>
      </c>
      <c r="D107" s="66"/>
      <c r="E107" s="5"/>
      <c r="F107" s="5"/>
      <c r="G107" s="5"/>
    </row>
    <row r="108" spans="1:7" ht="13">
      <c r="A108" s="64" t="s">
        <v>5689</v>
      </c>
      <c r="B108" s="78" t="str">
        <f>HYPERLINK("https://bulbapedia.bulbagarden.net/wiki/Florges_BREAK_(BREAKthrough_104)","FlorgesBREAK")</f>
        <v>FlorgesBREAK</v>
      </c>
      <c r="C108" s="64" t="s">
        <v>4743</v>
      </c>
      <c r="D108" s="66"/>
      <c r="E108" s="5"/>
      <c r="F108" s="5"/>
      <c r="G108" s="5"/>
    </row>
    <row r="109" spans="1:7" ht="13">
      <c r="A109" s="64" t="s">
        <v>5690</v>
      </c>
      <c r="B109" s="77" t="s">
        <v>5047</v>
      </c>
      <c r="C109" s="64" t="s">
        <v>4743</v>
      </c>
      <c r="D109" s="76"/>
      <c r="E109" s="5"/>
      <c r="F109" s="5"/>
      <c r="G109" s="5"/>
    </row>
    <row r="110" spans="1:7" ht="13">
      <c r="A110" s="64" t="s">
        <v>5691</v>
      </c>
      <c r="B110" s="77" t="s">
        <v>5048</v>
      </c>
      <c r="C110" s="64" t="s">
        <v>4743</v>
      </c>
      <c r="D110" s="76"/>
      <c r="E110" s="5"/>
      <c r="F110" s="5"/>
      <c r="G110" s="5"/>
    </row>
    <row r="111" spans="1:7" ht="13">
      <c r="A111" s="64" t="s">
        <v>5692</v>
      </c>
      <c r="B111" s="77" t="s">
        <v>4745</v>
      </c>
      <c r="C111" s="64" t="s">
        <v>4743</v>
      </c>
      <c r="D111" s="76"/>
      <c r="E111" s="5"/>
      <c r="F111" s="5"/>
      <c r="G111" s="5"/>
    </row>
    <row r="112" spans="1:7" ht="13">
      <c r="A112" s="64" t="s">
        <v>5693</v>
      </c>
      <c r="B112" s="77" t="s">
        <v>4109</v>
      </c>
      <c r="C112" s="64" t="s">
        <v>4285</v>
      </c>
      <c r="D112" s="72"/>
      <c r="E112" s="5"/>
      <c r="F112" s="5"/>
      <c r="G112" s="5"/>
    </row>
    <row r="113" spans="1:7" ht="13">
      <c r="A113" s="64" t="s">
        <v>5694</v>
      </c>
      <c r="B113" s="77" t="s">
        <v>4109</v>
      </c>
      <c r="C113" s="64" t="s">
        <v>4285</v>
      </c>
      <c r="D113" s="72"/>
      <c r="E113" s="5"/>
      <c r="F113" s="5"/>
      <c r="G113" s="5"/>
    </row>
    <row r="114" spans="1:7" ht="13">
      <c r="A114" s="64" t="s">
        <v>5695</v>
      </c>
      <c r="B114" s="77" t="s">
        <v>4110</v>
      </c>
      <c r="C114" s="64" t="s">
        <v>4285</v>
      </c>
      <c r="D114" s="72"/>
      <c r="E114" s="5"/>
      <c r="F114" s="5"/>
      <c r="G114" s="5"/>
    </row>
    <row r="115" spans="1:7" ht="13">
      <c r="A115" s="64" t="s">
        <v>5696</v>
      </c>
      <c r="B115" s="77" t="s">
        <v>4111</v>
      </c>
      <c r="C115" s="64" t="s">
        <v>4285</v>
      </c>
      <c r="D115" s="76"/>
      <c r="E115" s="5"/>
      <c r="F115" s="5"/>
      <c r="G115" s="5"/>
    </row>
    <row r="116" spans="1:7" ht="13">
      <c r="A116" s="64" t="s">
        <v>5697</v>
      </c>
      <c r="B116" s="77" t="s">
        <v>5089</v>
      </c>
      <c r="C116" s="64" t="s">
        <v>4285</v>
      </c>
      <c r="D116" s="72"/>
      <c r="E116" s="5"/>
      <c r="F116" s="5"/>
      <c r="G116" s="5"/>
    </row>
    <row r="117" spans="1:7" ht="13">
      <c r="A117" s="64" t="s">
        <v>5698</v>
      </c>
      <c r="B117" s="78" t="str">
        <f>HYPERLINK("https://bulbapedia.bulbagarden.net/wiki/Noivern_BREAK_(BREAKthrough_113)","NoivernBREAK")</f>
        <v>NoivernBREAK</v>
      </c>
      <c r="C117" s="64" t="s">
        <v>4285</v>
      </c>
      <c r="D117" s="76"/>
      <c r="E117" s="5"/>
      <c r="F117" s="5"/>
      <c r="G117" s="5"/>
    </row>
    <row r="118" spans="1:7" ht="13">
      <c r="A118" s="64" t="s">
        <v>5699</v>
      </c>
      <c r="B118" s="77" t="s">
        <v>202</v>
      </c>
      <c r="C118" s="64" t="s">
        <v>197</v>
      </c>
      <c r="D118" s="76"/>
      <c r="E118" s="5"/>
      <c r="F118" s="5"/>
      <c r="G118" s="5"/>
    </row>
    <row r="119" spans="1:7" ht="13">
      <c r="A119" s="64" t="s">
        <v>5700</v>
      </c>
      <c r="B119" s="77" t="s">
        <v>280</v>
      </c>
      <c r="C119" s="64" t="s">
        <v>197</v>
      </c>
      <c r="D119" s="76"/>
      <c r="E119" s="5"/>
      <c r="F119" s="5"/>
      <c r="G119" s="5"/>
    </row>
    <row r="120" spans="1:7" ht="13">
      <c r="A120" s="64" t="s">
        <v>5701</v>
      </c>
      <c r="B120" s="77" t="s">
        <v>280</v>
      </c>
      <c r="C120" s="64" t="s">
        <v>197</v>
      </c>
      <c r="D120" s="72"/>
      <c r="E120" s="5"/>
      <c r="F120" s="5"/>
      <c r="G120" s="5"/>
    </row>
    <row r="121" spans="1:7" ht="13">
      <c r="A121" s="64" t="s">
        <v>5702</v>
      </c>
      <c r="B121" s="77" t="s">
        <v>332</v>
      </c>
      <c r="C121" s="64" t="s">
        <v>197</v>
      </c>
      <c r="D121" s="76"/>
      <c r="E121" s="5"/>
      <c r="F121" s="5"/>
      <c r="G121" s="5"/>
    </row>
    <row r="122" spans="1:7" ht="13">
      <c r="A122" s="64" t="s">
        <v>5703</v>
      </c>
      <c r="B122" s="77" t="s">
        <v>233</v>
      </c>
      <c r="C122" s="64" t="s">
        <v>197</v>
      </c>
      <c r="D122" s="76"/>
      <c r="E122" s="5"/>
      <c r="F122" s="5"/>
      <c r="G122" s="5"/>
    </row>
    <row r="123" spans="1:7" ht="13">
      <c r="A123" s="64" t="s">
        <v>5704</v>
      </c>
      <c r="B123" s="77" t="s">
        <v>869</v>
      </c>
      <c r="C123" s="64" t="s">
        <v>197</v>
      </c>
      <c r="D123" s="76"/>
      <c r="E123" s="5"/>
      <c r="F123" s="5"/>
      <c r="G123" s="5"/>
    </row>
    <row r="124" spans="1:7" ht="13">
      <c r="A124" s="64" t="s">
        <v>5705</v>
      </c>
      <c r="B124" s="77" t="s">
        <v>838</v>
      </c>
      <c r="C124" s="64" t="s">
        <v>197</v>
      </c>
      <c r="D124" s="72"/>
      <c r="E124" s="5"/>
      <c r="F124" s="5"/>
      <c r="G124" s="5"/>
    </row>
    <row r="125" spans="1:7" ht="13">
      <c r="A125" s="64" t="s">
        <v>5706</v>
      </c>
      <c r="B125" s="77" t="s">
        <v>957</v>
      </c>
      <c r="C125" s="64" t="s">
        <v>197</v>
      </c>
      <c r="D125" s="76"/>
      <c r="E125" s="5"/>
      <c r="F125" s="5"/>
      <c r="G125" s="5"/>
    </row>
    <row r="126" spans="1:7" ht="13">
      <c r="A126" s="64" t="s">
        <v>5707</v>
      </c>
      <c r="B126" s="77" t="s">
        <v>944</v>
      </c>
      <c r="C126" s="64" t="s">
        <v>197</v>
      </c>
      <c r="D126" s="76"/>
      <c r="E126" s="5"/>
      <c r="F126" s="5"/>
      <c r="G126" s="5"/>
    </row>
    <row r="127" spans="1:7" ht="13">
      <c r="A127" s="64" t="s">
        <v>5708</v>
      </c>
      <c r="B127" s="77" t="s">
        <v>218</v>
      </c>
      <c r="C127" s="64" t="s">
        <v>197</v>
      </c>
      <c r="D127" s="76"/>
      <c r="E127" s="5"/>
      <c r="F127" s="5"/>
      <c r="G127" s="5"/>
    </row>
    <row r="128" spans="1:7" ht="13">
      <c r="A128" s="64" t="s">
        <v>5709</v>
      </c>
      <c r="B128" s="77" t="s">
        <v>1587</v>
      </c>
      <c r="C128" s="64" t="s">
        <v>197</v>
      </c>
      <c r="D128" s="72"/>
      <c r="E128" s="5"/>
      <c r="F128" s="5"/>
      <c r="G128" s="5"/>
    </row>
    <row r="129" spans="1:7" ht="13">
      <c r="A129" s="64" t="s">
        <v>5710</v>
      </c>
      <c r="B129" s="77" t="s">
        <v>3148</v>
      </c>
      <c r="C129" s="64" t="s">
        <v>197</v>
      </c>
      <c r="D129" s="66"/>
      <c r="E129" s="5"/>
      <c r="F129" s="5"/>
      <c r="G129" s="5"/>
    </row>
    <row r="130" spans="1:7" ht="13">
      <c r="A130" s="64" t="s">
        <v>5711</v>
      </c>
      <c r="B130" s="77" t="s">
        <v>3142</v>
      </c>
      <c r="C130" s="64" t="s">
        <v>197</v>
      </c>
      <c r="D130" s="66"/>
      <c r="E130" s="5"/>
      <c r="F130" s="5"/>
      <c r="G130" s="5"/>
    </row>
    <row r="131" spans="1:7" ht="13">
      <c r="A131" s="64" t="s">
        <v>5712</v>
      </c>
      <c r="B131" s="77" t="s">
        <v>3120</v>
      </c>
      <c r="C131" s="64" t="s">
        <v>197</v>
      </c>
      <c r="D131" s="76"/>
      <c r="E131" s="5"/>
      <c r="F131" s="5"/>
      <c r="G131" s="5"/>
    </row>
    <row r="132" spans="1:7" ht="13">
      <c r="A132" s="64" t="s">
        <v>5713</v>
      </c>
      <c r="B132" s="77" t="s">
        <v>3041</v>
      </c>
      <c r="C132" s="64" t="s">
        <v>197</v>
      </c>
      <c r="D132" s="76"/>
      <c r="E132" s="5"/>
      <c r="F132" s="5"/>
      <c r="G132" s="5"/>
    </row>
    <row r="133" spans="1:7" ht="13">
      <c r="A133" s="64" t="s">
        <v>5714</v>
      </c>
      <c r="B133" s="77" t="s">
        <v>4316</v>
      </c>
      <c r="C133" s="64" t="s">
        <v>197</v>
      </c>
      <c r="D133" s="66"/>
      <c r="E133" s="5"/>
      <c r="F133" s="5"/>
      <c r="G133" s="5"/>
    </row>
    <row r="134" spans="1:7" ht="13">
      <c r="A134" s="64" t="s">
        <v>5715</v>
      </c>
      <c r="B134" s="77" t="s">
        <v>4318</v>
      </c>
      <c r="C134" s="64" t="s">
        <v>197</v>
      </c>
      <c r="D134" s="66"/>
      <c r="E134" s="5"/>
      <c r="F134" s="5"/>
      <c r="G134" s="5"/>
    </row>
    <row r="135" spans="1:7" ht="13">
      <c r="A135" s="64" t="s">
        <v>5716</v>
      </c>
      <c r="B135" s="77" t="s">
        <v>5088</v>
      </c>
      <c r="C135" s="64" t="s">
        <v>197</v>
      </c>
      <c r="D135" s="72"/>
      <c r="E135" s="5"/>
      <c r="F135" s="5"/>
      <c r="G135" s="5"/>
    </row>
    <row r="136" spans="1:7" ht="13">
      <c r="A136" s="64" t="s">
        <v>5717</v>
      </c>
      <c r="B136" s="77" t="s">
        <v>5088</v>
      </c>
      <c r="C136" s="64" t="s">
        <v>197</v>
      </c>
      <c r="D136" s="66"/>
      <c r="E136" s="5"/>
      <c r="F136" s="5"/>
      <c r="G136" s="5"/>
    </row>
    <row r="137" spans="1:7" ht="13">
      <c r="A137" s="64" t="s">
        <v>5718</v>
      </c>
      <c r="B137" s="77" t="s">
        <v>5719</v>
      </c>
      <c r="C137" s="64" t="s">
        <v>4114</v>
      </c>
      <c r="D137" s="66"/>
      <c r="E137" s="5"/>
      <c r="F137" s="5"/>
      <c r="G137" s="5"/>
    </row>
    <row r="138" spans="1:7" ht="13">
      <c r="A138" s="64" t="s">
        <v>5720</v>
      </c>
      <c r="B138" s="77" t="s">
        <v>5721</v>
      </c>
      <c r="C138" s="64" t="s">
        <v>1013</v>
      </c>
      <c r="D138" s="72"/>
      <c r="E138" s="5"/>
      <c r="F138" s="5"/>
      <c r="G138" s="5"/>
    </row>
    <row r="139" spans="1:7" ht="13">
      <c r="A139" s="64" t="s">
        <v>5722</v>
      </c>
      <c r="B139" s="77" t="s">
        <v>5723</v>
      </c>
      <c r="C139" s="64" t="s">
        <v>4114</v>
      </c>
      <c r="D139" s="66"/>
      <c r="E139" s="5"/>
      <c r="F139" s="5"/>
      <c r="G139" s="5"/>
    </row>
    <row r="140" spans="1:7" ht="13">
      <c r="A140" s="64" t="s">
        <v>5724</v>
      </c>
      <c r="B140" s="77" t="s">
        <v>1179</v>
      </c>
      <c r="C140" s="64" t="s">
        <v>1013</v>
      </c>
      <c r="D140" s="66"/>
      <c r="E140" s="51"/>
      <c r="F140" s="5"/>
      <c r="G140" s="5"/>
    </row>
    <row r="141" spans="1:7" ht="13">
      <c r="A141" s="64" t="s">
        <v>5725</v>
      </c>
      <c r="B141" s="77" t="s">
        <v>5726</v>
      </c>
      <c r="C141" s="64" t="s">
        <v>4114</v>
      </c>
      <c r="D141" s="72"/>
      <c r="E141" s="5"/>
      <c r="F141" s="5"/>
      <c r="G141" s="5"/>
    </row>
    <row r="142" spans="1:7" ht="13">
      <c r="A142" s="64" t="s">
        <v>5727</v>
      </c>
      <c r="B142" s="77" t="s">
        <v>5728</v>
      </c>
      <c r="C142" s="64" t="s">
        <v>1013</v>
      </c>
      <c r="D142" s="72"/>
      <c r="E142" s="51"/>
      <c r="F142" s="5"/>
      <c r="G142" s="5"/>
    </row>
    <row r="143" spans="1:7" ht="13">
      <c r="A143" s="64" t="s">
        <v>5729</v>
      </c>
      <c r="B143" s="77" t="s">
        <v>5730</v>
      </c>
      <c r="C143" s="64" t="s">
        <v>4114</v>
      </c>
      <c r="D143" s="66"/>
      <c r="E143" s="5"/>
      <c r="F143" s="5"/>
      <c r="G143" s="5"/>
    </row>
    <row r="144" spans="1:7" ht="13">
      <c r="A144" s="64" t="s">
        <v>5731</v>
      </c>
      <c r="B144" s="77" t="s">
        <v>4139</v>
      </c>
      <c r="C144" s="64" t="s">
        <v>4114</v>
      </c>
      <c r="D144" s="66"/>
      <c r="E144" s="5"/>
      <c r="F144" s="5"/>
      <c r="G144" s="5"/>
    </row>
    <row r="145" spans="1:7" ht="13">
      <c r="A145" s="64" t="s">
        <v>5732</v>
      </c>
      <c r="B145" s="77" t="s">
        <v>5733</v>
      </c>
      <c r="C145" s="64" t="s">
        <v>4114</v>
      </c>
      <c r="D145" s="72"/>
      <c r="E145" s="5"/>
      <c r="F145" s="5"/>
      <c r="G145" s="5"/>
    </row>
    <row r="146" spans="1:7" ht="13">
      <c r="A146" s="64" t="s">
        <v>5734</v>
      </c>
      <c r="B146" s="77" t="s">
        <v>5735</v>
      </c>
      <c r="C146" s="64" t="s">
        <v>4114</v>
      </c>
      <c r="D146" s="72"/>
      <c r="E146" s="5"/>
      <c r="F146" s="5"/>
      <c r="G146" s="5"/>
    </row>
    <row r="147" spans="1:7" ht="13">
      <c r="A147" s="64" t="s">
        <v>5736</v>
      </c>
      <c r="B147" s="77" t="s">
        <v>3914</v>
      </c>
      <c r="C147" s="64" t="s">
        <v>1013</v>
      </c>
      <c r="D147" s="66"/>
      <c r="E147" s="5"/>
      <c r="F147" s="5"/>
      <c r="G147" s="5"/>
    </row>
    <row r="148" spans="1:7" ht="13">
      <c r="A148" s="64" t="s">
        <v>5737</v>
      </c>
      <c r="B148" s="77" t="s">
        <v>5738</v>
      </c>
      <c r="C148" s="64" t="s">
        <v>4114</v>
      </c>
      <c r="D148" s="72"/>
      <c r="E148" s="5"/>
      <c r="F148" s="5"/>
      <c r="G148" s="5"/>
    </row>
    <row r="149" spans="1:7" ht="13">
      <c r="A149" s="64" t="s">
        <v>5739</v>
      </c>
      <c r="B149" s="77" t="s">
        <v>5740</v>
      </c>
      <c r="C149" s="64" t="s">
        <v>229</v>
      </c>
      <c r="D149" s="72"/>
      <c r="E149" s="5"/>
      <c r="F149" s="5"/>
      <c r="G149" s="5"/>
    </row>
    <row r="150" spans="1:7" ht="13">
      <c r="A150" s="64" t="s">
        <v>5741</v>
      </c>
      <c r="B150" s="77" t="s">
        <v>5056</v>
      </c>
      <c r="C150" s="64" t="s">
        <v>4114</v>
      </c>
      <c r="D150" s="72"/>
      <c r="E150" s="5"/>
      <c r="F150" s="5"/>
      <c r="G150" s="5"/>
    </row>
    <row r="151" spans="1:7" ht="13">
      <c r="A151" s="64" t="s">
        <v>5742</v>
      </c>
      <c r="B151" s="77" t="s">
        <v>5743</v>
      </c>
      <c r="C151" s="64" t="s">
        <v>4114</v>
      </c>
      <c r="D151" s="66"/>
      <c r="E151" s="5"/>
      <c r="F151" s="5"/>
      <c r="G151" s="5"/>
    </row>
    <row r="152" spans="1:7" ht="13">
      <c r="A152" s="64" t="s">
        <v>5744</v>
      </c>
      <c r="B152" s="77" t="s">
        <v>4500</v>
      </c>
      <c r="C152" s="64" t="s">
        <v>1013</v>
      </c>
      <c r="D152" s="66"/>
      <c r="E152" s="5"/>
      <c r="F152" s="5"/>
      <c r="G152" s="5"/>
    </row>
    <row r="153" spans="1:7" ht="13">
      <c r="A153" s="64" t="s">
        <v>5745</v>
      </c>
      <c r="B153" s="77" t="s">
        <v>931</v>
      </c>
      <c r="C153" s="64" t="s">
        <v>4114</v>
      </c>
      <c r="D153" s="66"/>
      <c r="E153" s="5"/>
      <c r="F153" s="5"/>
      <c r="G153" s="5"/>
    </row>
    <row r="154" spans="1:7" ht="13">
      <c r="A154" s="64" t="s">
        <v>5746</v>
      </c>
      <c r="B154" s="77" t="s">
        <v>4503</v>
      </c>
      <c r="C154" s="64" t="s">
        <v>4114</v>
      </c>
      <c r="D154" s="66"/>
      <c r="E154" s="5"/>
      <c r="F154" s="5"/>
      <c r="G154" s="5"/>
    </row>
    <row r="155" spans="1:7" ht="13">
      <c r="A155" s="64" t="s">
        <v>5747</v>
      </c>
      <c r="B155" s="77" t="s">
        <v>5748</v>
      </c>
      <c r="C155" s="64" t="s">
        <v>317</v>
      </c>
      <c r="D155" s="66"/>
      <c r="E155" s="5"/>
      <c r="F155" s="5"/>
      <c r="G155" s="5"/>
    </row>
    <row r="156" spans="1:7" ht="13">
      <c r="A156" s="64" t="s">
        <v>5749</v>
      </c>
      <c r="B156" s="77" t="s">
        <v>524</v>
      </c>
      <c r="C156" s="64" t="s">
        <v>317</v>
      </c>
      <c r="D156" s="66"/>
      <c r="E156" s="5"/>
      <c r="F156" s="5"/>
      <c r="G156" s="5"/>
    </row>
    <row r="157" spans="1:7" ht="13">
      <c r="A157" s="64" t="s">
        <v>5750</v>
      </c>
      <c r="B157" s="78" t="str">
        <f>HYPERLINK("https://bulbapedia.bulbagarden.net/wiki/Houndoom-EX_(BREAKthrough_153)","HoundoomEX")</f>
        <v>HoundoomEX</v>
      </c>
      <c r="C157" s="64" t="s">
        <v>199</v>
      </c>
      <c r="D157" s="66"/>
      <c r="E157" s="5"/>
      <c r="F157" s="5"/>
      <c r="G157" s="5"/>
    </row>
    <row r="158" spans="1:7" ht="13">
      <c r="A158" s="64" t="s">
        <v>5751</v>
      </c>
      <c r="B158" s="79" t="str">
        <f>HYPERLINK("https://bulbapedia.bulbagarden.net/wiki/M_Houndoom-EX_(BREAKthrough_154)","MHoundoomEX")</f>
        <v>MHoundoomEX</v>
      </c>
      <c r="C158" s="64" t="s">
        <v>199</v>
      </c>
      <c r="D158" s="66"/>
      <c r="E158" s="5"/>
      <c r="F158" s="5"/>
      <c r="G158" s="5"/>
    </row>
    <row r="159" spans="1:7" ht="13">
      <c r="A159" s="64" t="s">
        <v>5752</v>
      </c>
      <c r="B159" s="78" t="str">
        <f>HYPERLINK("https://bulbapedia.bulbagarden.net/wiki/Glalie-EX_(BREAKthrough_155)","GlalieEX")</f>
        <v>GlalieEX</v>
      </c>
      <c r="C159" s="64" t="s">
        <v>208</v>
      </c>
      <c r="D159" s="66"/>
      <c r="E159" s="5"/>
      <c r="F159" s="5"/>
      <c r="G159" s="5"/>
    </row>
    <row r="160" spans="1:7" ht="13">
      <c r="A160" s="64" t="s">
        <v>5753</v>
      </c>
      <c r="B160" s="79" t="str">
        <f>HYPERLINK("https://bulbapedia.bulbagarden.net/wiki/M_Glalie-EX_(BREAKthrough_156)","MGlalieEX")</f>
        <v>MGlalieEX</v>
      </c>
      <c r="C160" s="64" t="s">
        <v>208</v>
      </c>
      <c r="D160" s="66"/>
      <c r="E160" s="5"/>
      <c r="F160" s="5"/>
      <c r="G160" s="5"/>
    </row>
    <row r="161" spans="1:7" ht="13">
      <c r="A161" s="64" t="s">
        <v>5754</v>
      </c>
      <c r="B161" s="78" t="str">
        <f>HYPERLINK("https://bulbapedia.bulbagarden.net/wiki/Mewtwo-EX_(BREAKthrough_157)","MewtwoEX")</f>
        <v>MewtwoEX</v>
      </c>
      <c r="C161" s="64" t="s">
        <v>195</v>
      </c>
      <c r="D161" s="66"/>
      <c r="E161" s="5"/>
      <c r="F161" s="5"/>
      <c r="G161" s="5"/>
    </row>
    <row r="162" spans="1:7" ht="13">
      <c r="A162" s="64" t="s">
        <v>5755</v>
      </c>
      <c r="B162" s="78" t="str">
        <f>HYPERLINK("https://bulbapedia.bulbagarden.net/wiki/Mewtwo-EX_(BREAKthrough_158)","MewtwoEX")</f>
        <v>MewtwoEX</v>
      </c>
      <c r="C162" s="64" t="s">
        <v>195</v>
      </c>
      <c r="D162" s="66"/>
      <c r="E162" s="5"/>
      <c r="F162" s="5"/>
      <c r="G162" s="5"/>
    </row>
    <row r="163" spans="1:7" ht="13">
      <c r="A163" s="64" t="s">
        <v>5756</v>
      </c>
      <c r="B163" s="79" t="str">
        <f>HYPERLINK("https://bulbapedia.bulbagarden.net/wiki/M_Mewtwo-EX_(BREAKthrough_159)","MMewtwoEX")</f>
        <v>MMewtwoEX</v>
      </c>
      <c r="C163" s="64" t="s">
        <v>195</v>
      </c>
      <c r="D163" s="66"/>
      <c r="E163" s="5"/>
      <c r="F163" s="5"/>
      <c r="G163" s="5"/>
    </row>
    <row r="164" spans="1:7" ht="13">
      <c r="A164" s="64" t="s">
        <v>5757</v>
      </c>
      <c r="B164" s="79" t="str">
        <f>HYPERLINK("https://bulbapedia.bulbagarden.net/wiki/M_Mewtwo-EX_(BREAKthrough_160)","MMewtwoEX")</f>
        <v>MMewtwoEX</v>
      </c>
      <c r="C164" s="64" t="s">
        <v>195</v>
      </c>
      <c r="D164" s="66"/>
      <c r="E164" s="5"/>
      <c r="F164" s="5"/>
      <c r="G164" s="5"/>
    </row>
    <row r="165" spans="1:7" ht="13">
      <c r="A165" s="64" t="s">
        <v>5758</v>
      </c>
      <c r="B165" s="77" t="s">
        <v>5721</v>
      </c>
      <c r="C165" s="64" t="s">
        <v>1013</v>
      </c>
      <c r="D165" s="64"/>
      <c r="E165" s="5"/>
      <c r="F165" s="5"/>
      <c r="G165" s="5"/>
    </row>
    <row r="166" spans="1:7" ht="13">
      <c r="A166" s="64" t="s">
        <v>5759</v>
      </c>
      <c r="B166" s="77" t="s">
        <v>5728</v>
      </c>
      <c r="C166" s="64" t="s">
        <v>1013</v>
      </c>
      <c r="D166" s="66"/>
      <c r="E166" s="5"/>
      <c r="F166" s="5"/>
      <c r="G166" s="5"/>
    </row>
    <row r="167" spans="1:7" ht="13">
      <c r="A167" s="64" t="s">
        <v>5760</v>
      </c>
      <c r="B167" s="78" t="str">
        <f>HYPERLINK("https://bulbapedia.bulbagarden.net/wiki/Mewtwo-EX_(BREAKthrough_163)","MewtwoEX")</f>
        <v>MewtwoEX</v>
      </c>
      <c r="C167" s="64" t="s">
        <v>195</v>
      </c>
      <c r="D167" s="66"/>
      <c r="E167" s="5"/>
      <c r="F167" s="5"/>
      <c r="G167" s="5"/>
    </row>
    <row r="168" spans="1:7" ht="13">
      <c r="A168" s="64" t="s">
        <v>5761</v>
      </c>
      <c r="B168" s="78" t="str">
        <f>HYPERLINK("https://bulbapedia.bulbagarden.net/wiki/Mewtwo-EX_(BREAKthrough_164)","MewtwoEX")</f>
        <v>MewtwoEX</v>
      </c>
      <c r="C168" s="64" t="s">
        <v>195</v>
      </c>
      <c r="D168" s="66"/>
      <c r="E168" s="5"/>
      <c r="F168" s="5"/>
      <c r="G168" s="5"/>
    </row>
    <row r="170" spans="1:7" ht="13">
      <c r="A170" s="48"/>
      <c r="B170" s="69"/>
      <c r="C170" s="48"/>
      <c r="D170" s="47"/>
      <c r="E170" s="5"/>
      <c r="F170" s="5"/>
      <c r="G170" s="5"/>
    </row>
    <row r="171" spans="1:7" ht="13">
      <c r="A171" s="48"/>
      <c r="B171" s="71"/>
      <c r="C171" s="48"/>
      <c r="D171" s="47"/>
      <c r="E171" s="5"/>
      <c r="F171" s="5"/>
      <c r="G171" s="5"/>
    </row>
    <row r="172" spans="1:7" ht="13">
      <c r="A172" s="48"/>
      <c r="B172" s="71"/>
      <c r="C172" s="48"/>
      <c r="D172" s="47"/>
      <c r="E172" s="5"/>
      <c r="F172" s="5"/>
      <c r="G172" s="5"/>
    </row>
    <row r="173" spans="1:7" ht="13">
      <c r="A173" s="48"/>
      <c r="B173" s="71"/>
      <c r="C173" s="48"/>
      <c r="D173" s="47"/>
      <c r="E173" s="5"/>
      <c r="F173" s="5"/>
      <c r="G173" s="5"/>
    </row>
    <row r="174" spans="1:7" ht="13">
      <c r="A174" s="48"/>
      <c r="B174" s="71"/>
      <c r="C174" s="48"/>
      <c r="D174" s="47"/>
      <c r="E174" s="5"/>
      <c r="F174" s="5"/>
      <c r="G174" s="5"/>
    </row>
    <row r="175" spans="1:7" ht="13">
      <c r="A175" s="48"/>
      <c r="B175" s="71"/>
      <c r="C175" s="48"/>
      <c r="D175" s="47"/>
      <c r="E175" s="5"/>
      <c r="F175" s="5"/>
      <c r="G175" s="5"/>
    </row>
    <row r="176" spans="1:7" ht="13">
      <c r="A176" s="48"/>
      <c r="B176" s="71"/>
      <c r="C176" s="48"/>
      <c r="D176" s="47"/>
      <c r="E176" s="5"/>
      <c r="F176" s="5"/>
      <c r="G176" s="5"/>
    </row>
    <row r="177" spans="1:7" ht="13">
      <c r="A177" s="48"/>
      <c r="B177" s="69"/>
      <c r="C177" s="48"/>
      <c r="D177" s="47"/>
      <c r="E177" s="5"/>
      <c r="F177" s="5"/>
      <c r="G177" s="5"/>
    </row>
    <row r="178" spans="1:7" ht="13">
      <c r="A178" s="48"/>
      <c r="B178" s="69"/>
      <c r="C178" s="48"/>
      <c r="D178" s="47"/>
      <c r="E178" s="5"/>
      <c r="F178" s="5"/>
      <c r="G178" s="5"/>
    </row>
    <row r="179" spans="1:7" ht="13">
      <c r="B179" s="36"/>
      <c r="C179" s="80"/>
      <c r="D179" s="5"/>
      <c r="E179" s="5"/>
      <c r="F179" s="5"/>
      <c r="G179" s="5"/>
    </row>
    <row r="180" spans="1:7" ht="13">
      <c r="B180" s="36"/>
      <c r="C180" s="80"/>
      <c r="D180" s="5"/>
      <c r="E180" s="5"/>
      <c r="F180" s="5"/>
      <c r="G180" s="5"/>
    </row>
    <row r="181" spans="1:7" ht="13">
      <c r="B181" s="36"/>
      <c r="C181" s="80"/>
      <c r="D181" s="5"/>
      <c r="E181" s="5"/>
      <c r="F181" s="5"/>
      <c r="G181" s="5"/>
    </row>
    <row r="182" spans="1:7" ht="13">
      <c r="B182" s="36"/>
      <c r="C182" s="80"/>
      <c r="D182" s="5"/>
      <c r="E182" s="5"/>
      <c r="F182" s="5"/>
      <c r="G182" s="5"/>
    </row>
    <row r="183" spans="1:7" ht="13">
      <c r="B183" s="36"/>
      <c r="C183" s="80"/>
      <c r="D183" s="5"/>
      <c r="E183" s="5"/>
      <c r="F183" s="5"/>
      <c r="G183" s="5"/>
    </row>
    <row r="184" spans="1:7" ht="13">
      <c r="B184" s="36"/>
      <c r="C184" s="80"/>
      <c r="D184" s="5"/>
      <c r="E184" s="5"/>
      <c r="F184" s="5"/>
      <c r="G184" s="5"/>
    </row>
    <row r="185" spans="1:7" ht="13">
      <c r="B185" s="36"/>
      <c r="C185" s="80"/>
      <c r="D185" s="5"/>
      <c r="E185" s="5"/>
      <c r="F185" s="5"/>
      <c r="G185" s="5"/>
    </row>
    <row r="186" spans="1:7" ht="13">
      <c r="B186" s="36"/>
      <c r="C186" s="80"/>
      <c r="D186" s="5"/>
      <c r="E186" s="5"/>
      <c r="F186" s="5"/>
      <c r="G186" s="5"/>
    </row>
    <row r="187" spans="1:7" ht="13">
      <c r="B187" s="36"/>
      <c r="C187" s="80"/>
      <c r="D187" s="5"/>
      <c r="E187" s="5"/>
      <c r="F187" s="5"/>
      <c r="G187" s="5"/>
    </row>
    <row r="188" spans="1:7" ht="13">
      <c r="B188" s="36"/>
      <c r="C188" s="80"/>
      <c r="D188" s="5"/>
      <c r="E188" s="5"/>
      <c r="F188" s="5"/>
      <c r="G188" s="5"/>
    </row>
    <row r="189" spans="1:7" ht="13">
      <c r="B189" s="36"/>
      <c r="C189" s="80"/>
      <c r="D189" s="5"/>
      <c r="E189" s="5"/>
      <c r="F189" s="5"/>
      <c r="G189" s="5"/>
    </row>
    <row r="190" spans="1:7" ht="13">
      <c r="B190" s="36"/>
      <c r="C190" s="80"/>
      <c r="D190" s="5"/>
      <c r="E190" s="5"/>
      <c r="F190" s="5"/>
      <c r="G190" s="5"/>
    </row>
    <row r="191" spans="1:7" ht="13">
      <c r="B191" s="36"/>
      <c r="C191" s="80"/>
      <c r="D191" s="5"/>
      <c r="E191" s="5"/>
      <c r="F191" s="5"/>
      <c r="G191" s="5"/>
    </row>
    <row r="192" spans="1:7" ht="13">
      <c r="B192" s="36"/>
      <c r="C192" s="80"/>
      <c r="D192" s="5"/>
      <c r="E192" s="5"/>
      <c r="F192" s="5"/>
      <c r="G192" s="5"/>
    </row>
    <row r="193" spans="2:7" ht="13">
      <c r="B193" s="36"/>
      <c r="C193" s="80"/>
      <c r="D193" s="5"/>
      <c r="E193" s="5"/>
      <c r="F193" s="5"/>
      <c r="G193" s="5"/>
    </row>
    <row r="194" spans="2:7" ht="13">
      <c r="B194" s="36"/>
      <c r="C194" s="80"/>
      <c r="D194" s="5"/>
      <c r="E194" s="5"/>
      <c r="F194" s="5"/>
      <c r="G194" s="5"/>
    </row>
    <row r="195" spans="2:7" ht="13">
      <c r="B195" s="36"/>
      <c r="C195" s="80"/>
      <c r="D195" s="5"/>
      <c r="E195" s="5"/>
      <c r="F195" s="5"/>
      <c r="G195" s="5"/>
    </row>
    <row r="196" spans="2:7" ht="13">
      <c r="B196" s="36"/>
      <c r="C196" s="80"/>
      <c r="D196" s="5"/>
      <c r="E196" s="5"/>
      <c r="F196" s="5"/>
      <c r="G196" s="5"/>
    </row>
    <row r="197" spans="2:7" ht="13">
      <c r="B197" s="36"/>
      <c r="C197" s="80"/>
      <c r="D197" s="5"/>
      <c r="E197" s="5"/>
      <c r="F197" s="5"/>
      <c r="G197" s="5"/>
    </row>
    <row r="198" spans="2:7" ht="13">
      <c r="B198" s="36"/>
      <c r="C198" s="80"/>
      <c r="D198" s="5"/>
      <c r="E198" s="5"/>
      <c r="F198" s="5"/>
      <c r="G198" s="5"/>
    </row>
    <row r="199" spans="2:7" ht="13">
      <c r="B199" s="36"/>
      <c r="C199" s="80"/>
      <c r="D199" s="5"/>
      <c r="E199" s="5"/>
      <c r="F199" s="5"/>
      <c r="G199" s="5"/>
    </row>
    <row r="200" spans="2:7" ht="13">
      <c r="B200" s="36"/>
      <c r="C200" s="80"/>
      <c r="D200" s="5"/>
      <c r="E200" s="5"/>
      <c r="F200" s="5"/>
      <c r="G200" s="5"/>
    </row>
    <row r="201" spans="2:7" ht="13">
      <c r="B201" s="36"/>
      <c r="C201" s="80"/>
      <c r="D201" s="5"/>
      <c r="E201" s="5"/>
      <c r="F201" s="5"/>
      <c r="G201" s="5"/>
    </row>
    <row r="202" spans="2:7" ht="13">
      <c r="B202" s="36"/>
      <c r="C202" s="80"/>
      <c r="D202" s="5"/>
      <c r="E202" s="5"/>
      <c r="F202" s="5"/>
      <c r="G202" s="5"/>
    </row>
    <row r="203" spans="2:7" ht="13">
      <c r="B203" s="36"/>
      <c r="C203" s="80"/>
      <c r="D203" s="5"/>
      <c r="E203" s="5"/>
      <c r="F203" s="5"/>
      <c r="G203" s="5"/>
    </row>
    <row r="204" spans="2:7" ht="13">
      <c r="B204" s="36"/>
      <c r="C204" s="80"/>
      <c r="D204" s="5"/>
      <c r="E204" s="5"/>
      <c r="F204" s="5"/>
      <c r="G204" s="5"/>
    </row>
    <row r="205" spans="2:7" ht="13">
      <c r="B205" s="36"/>
      <c r="C205" s="80"/>
      <c r="D205" s="5"/>
      <c r="E205" s="5"/>
      <c r="F205" s="5"/>
      <c r="G205" s="5"/>
    </row>
    <row r="206" spans="2:7" ht="13">
      <c r="B206" s="36"/>
      <c r="C206" s="80"/>
      <c r="D206" s="5"/>
      <c r="E206" s="5"/>
      <c r="F206" s="5"/>
      <c r="G206" s="5"/>
    </row>
    <row r="207" spans="2:7" ht="13">
      <c r="B207" s="36"/>
      <c r="C207" s="80"/>
      <c r="D207" s="5"/>
      <c r="E207" s="5"/>
      <c r="F207" s="5"/>
      <c r="G207" s="5"/>
    </row>
    <row r="208" spans="2:7" ht="13">
      <c r="B208" s="36"/>
      <c r="C208" s="80"/>
      <c r="D208" s="5"/>
      <c r="E208" s="5"/>
      <c r="F208" s="5"/>
      <c r="G208" s="5"/>
    </row>
    <row r="209" spans="2:7" ht="13">
      <c r="B209" s="36"/>
      <c r="C209" s="80"/>
      <c r="D209" s="5"/>
      <c r="E209" s="5"/>
      <c r="F209" s="5"/>
      <c r="G209" s="5"/>
    </row>
    <row r="210" spans="2:7" ht="13">
      <c r="B210" s="36"/>
      <c r="C210" s="80"/>
      <c r="D210" s="5"/>
      <c r="E210" s="5"/>
      <c r="F210" s="5"/>
      <c r="G210" s="5"/>
    </row>
    <row r="211" spans="2:7" ht="13">
      <c r="B211" s="36"/>
      <c r="C211" s="80"/>
      <c r="D211" s="5"/>
      <c r="E211" s="5"/>
      <c r="F211" s="5"/>
      <c r="G211" s="5"/>
    </row>
    <row r="212" spans="2:7" ht="13">
      <c r="B212" s="36"/>
      <c r="C212" s="80"/>
      <c r="D212" s="5"/>
      <c r="E212" s="5"/>
      <c r="F212" s="5"/>
      <c r="G212" s="5"/>
    </row>
    <row r="213" spans="2:7" ht="13">
      <c r="B213" s="36"/>
      <c r="C213" s="80"/>
      <c r="D213" s="5"/>
      <c r="E213" s="5"/>
      <c r="F213" s="5"/>
      <c r="G213" s="5"/>
    </row>
    <row r="214" spans="2:7" ht="13">
      <c r="B214" s="36"/>
      <c r="C214" s="80"/>
      <c r="D214" s="5"/>
      <c r="E214" s="5"/>
      <c r="F214" s="5"/>
      <c r="G214" s="5"/>
    </row>
    <row r="215" spans="2:7" ht="13">
      <c r="B215" s="36"/>
      <c r="C215" s="80"/>
      <c r="D215" s="5"/>
      <c r="E215" s="5"/>
      <c r="F215" s="5"/>
      <c r="G215" s="5"/>
    </row>
    <row r="216" spans="2:7" ht="13">
      <c r="B216" s="36"/>
      <c r="C216" s="80"/>
      <c r="D216" s="5"/>
      <c r="E216" s="5"/>
      <c r="F216" s="5"/>
      <c r="G216" s="5"/>
    </row>
    <row r="217" spans="2:7" ht="13">
      <c r="B217" s="36"/>
      <c r="C217" s="80"/>
      <c r="D217" s="5"/>
      <c r="E217" s="5"/>
      <c r="F217" s="5"/>
      <c r="G217" s="5"/>
    </row>
    <row r="218" spans="2:7" ht="13">
      <c r="B218" s="36"/>
      <c r="C218" s="80"/>
      <c r="D218" s="5"/>
      <c r="E218" s="5"/>
      <c r="F218" s="5"/>
      <c r="G218" s="5"/>
    </row>
    <row r="219" spans="2:7" ht="13">
      <c r="B219" s="36"/>
      <c r="C219" s="80"/>
      <c r="D219" s="5"/>
      <c r="E219" s="5"/>
      <c r="F219" s="5"/>
      <c r="G219" s="5"/>
    </row>
    <row r="220" spans="2:7" ht="13">
      <c r="B220" s="36"/>
      <c r="C220" s="80"/>
      <c r="D220" s="5"/>
      <c r="E220" s="5"/>
      <c r="F220" s="5"/>
      <c r="G220" s="5"/>
    </row>
    <row r="221" spans="2:7" ht="13">
      <c r="B221" s="36"/>
      <c r="C221" s="80"/>
      <c r="D221" s="5"/>
      <c r="E221" s="5"/>
      <c r="F221" s="5"/>
      <c r="G221" s="5"/>
    </row>
    <row r="222" spans="2:7" ht="13">
      <c r="B222" s="36"/>
      <c r="C222" s="80"/>
      <c r="D222" s="5"/>
      <c r="E222" s="5"/>
      <c r="F222" s="5"/>
      <c r="G222" s="5"/>
    </row>
    <row r="223" spans="2:7" ht="13">
      <c r="B223" s="36"/>
      <c r="C223" s="80"/>
      <c r="D223" s="5"/>
      <c r="E223" s="5"/>
      <c r="F223" s="5"/>
      <c r="G223" s="5"/>
    </row>
    <row r="224" spans="2:7" ht="13">
      <c r="B224" s="36"/>
      <c r="C224" s="80"/>
      <c r="D224" s="5"/>
      <c r="E224" s="5"/>
      <c r="F224" s="5"/>
      <c r="G224" s="5"/>
    </row>
    <row r="225" spans="2:7" ht="13">
      <c r="B225" s="36"/>
      <c r="C225" s="80"/>
      <c r="D225" s="5"/>
      <c r="E225" s="5"/>
      <c r="F225" s="5"/>
      <c r="G225" s="5"/>
    </row>
    <row r="226" spans="2:7" ht="13">
      <c r="B226" s="36"/>
      <c r="C226" s="80"/>
      <c r="D226" s="5"/>
      <c r="E226" s="5"/>
      <c r="F226" s="5"/>
      <c r="G226" s="5"/>
    </row>
    <row r="227" spans="2:7" ht="13">
      <c r="B227" s="36"/>
      <c r="C227" s="80"/>
      <c r="D227" s="5"/>
      <c r="E227" s="5"/>
      <c r="F227" s="5"/>
      <c r="G227" s="5"/>
    </row>
    <row r="228" spans="2:7" ht="13">
      <c r="B228" s="36"/>
      <c r="C228" s="80"/>
      <c r="D228" s="5"/>
      <c r="E228" s="5"/>
      <c r="F228" s="5"/>
      <c r="G228" s="5"/>
    </row>
    <row r="229" spans="2:7" ht="13">
      <c r="B229" s="36"/>
      <c r="C229" s="80"/>
      <c r="D229" s="5"/>
      <c r="E229" s="5"/>
      <c r="F229" s="5"/>
      <c r="G229" s="5"/>
    </row>
    <row r="230" spans="2:7" ht="13">
      <c r="B230" s="36"/>
      <c r="C230" s="80"/>
      <c r="D230" s="5"/>
      <c r="E230" s="5"/>
      <c r="F230" s="5"/>
      <c r="G230" s="5"/>
    </row>
    <row r="231" spans="2:7" ht="13">
      <c r="B231" s="36"/>
      <c r="C231" s="80"/>
      <c r="D231" s="5"/>
      <c r="E231" s="5"/>
      <c r="F231" s="5"/>
      <c r="G231" s="5"/>
    </row>
    <row r="232" spans="2:7" ht="13">
      <c r="B232" s="36"/>
      <c r="C232" s="80"/>
      <c r="D232" s="5"/>
      <c r="E232" s="5"/>
      <c r="F232" s="5"/>
      <c r="G232" s="5"/>
    </row>
    <row r="233" spans="2:7" ht="13">
      <c r="B233" s="36"/>
      <c r="C233" s="80"/>
      <c r="D233" s="5"/>
      <c r="E233" s="5"/>
      <c r="F233" s="5"/>
      <c r="G233" s="5"/>
    </row>
    <row r="234" spans="2:7" ht="13">
      <c r="B234" s="36"/>
      <c r="C234" s="80"/>
      <c r="D234" s="5"/>
      <c r="E234" s="5"/>
      <c r="F234" s="5"/>
      <c r="G234" s="5"/>
    </row>
    <row r="235" spans="2:7" ht="13">
      <c r="B235" s="36"/>
      <c r="C235" s="80"/>
      <c r="D235" s="5"/>
      <c r="E235" s="5"/>
      <c r="F235" s="5"/>
      <c r="G235" s="5"/>
    </row>
    <row r="236" spans="2:7" ht="13">
      <c r="B236" s="36"/>
      <c r="C236" s="80"/>
      <c r="D236" s="5"/>
      <c r="E236" s="5"/>
      <c r="F236" s="5"/>
      <c r="G236" s="5"/>
    </row>
    <row r="237" spans="2:7" ht="13">
      <c r="B237" s="36"/>
      <c r="C237" s="80"/>
      <c r="D237" s="5"/>
      <c r="E237" s="5"/>
      <c r="F237" s="5"/>
      <c r="G237" s="5"/>
    </row>
    <row r="238" spans="2:7" ht="13">
      <c r="B238" s="36"/>
      <c r="C238" s="80"/>
      <c r="D238" s="5"/>
      <c r="E238" s="5"/>
      <c r="F238" s="5"/>
      <c r="G238" s="5"/>
    </row>
    <row r="239" spans="2:7" ht="13">
      <c r="B239" s="36"/>
      <c r="C239" s="80"/>
      <c r="D239" s="5"/>
      <c r="E239" s="5"/>
      <c r="F239" s="5"/>
      <c r="G239" s="5"/>
    </row>
    <row r="240" spans="2:7" ht="13">
      <c r="B240" s="36"/>
      <c r="C240" s="80"/>
      <c r="D240" s="5"/>
      <c r="E240" s="5"/>
      <c r="F240" s="5"/>
      <c r="G240" s="5"/>
    </row>
    <row r="241" spans="2:7" ht="13">
      <c r="B241" s="36"/>
      <c r="C241" s="80"/>
      <c r="D241" s="5"/>
      <c r="E241" s="5"/>
      <c r="F241" s="5"/>
      <c r="G241" s="5"/>
    </row>
    <row r="242" spans="2:7" ht="13">
      <c r="B242" s="36"/>
      <c r="C242" s="80"/>
      <c r="D242" s="5"/>
      <c r="E242" s="5"/>
      <c r="F242" s="5"/>
      <c r="G242" s="5"/>
    </row>
    <row r="243" spans="2:7" ht="13">
      <c r="B243" s="36"/>
      <c r="C243" s="80"/>
      <c r="D243" s="5"/>
      <c r="E243" s="5"/>
      <c r="F243" s="5"/>
      <c r="G243" s="5"/>
    </row>
    <row r="244" spans="2:7" ht="13">
      <c r="B244" s="36"/>
      <c r="C244" s="80"/>
      <c r="D244" s="5"/>
      <c r="E244" s="5"/>
      <c r="F244" s="5"/>
      <c r="G244" s="5"/>
    </row>
    <row r="245" spans="2:7" ht="13">
      <c r="B245" s="36"/>
      <c r="C245" s="80"/>
      <c r="D245" s="5"/>
      <c r="E245" s="5"/>
      <c r="F245" s="5"/>
      <c r="G245" s="5"/>
    </row>
    <row r="246" spans="2:7" ht="13">
      <c r="B246" s="36"/>
      <c r="C246" s="80"/>
      <c r="D246" s="5"/>
      <c r="E246" s="5"/>
      <c r="F246" s="5"/>
      <c r="G246" s="5"/>
    </row>
    <row r="247" spans="2:7" ht="13">
      <c r="B247" s="36"/>
      <c r="C247" s="80"/>
      <c r="D247" s="5"/>
      <c r="E247" s="5"/>
      <c r="F247" s="5"/>
      <c r="G247" s="5"/>
    </row>
    <row r="248" spans="2:7" ht="13">
      <c r="B248" s="36"/>
      <c r="C248" s="80"/>
      <c r="D248" s="5"/>
      <c r="E248" s="5"/>
      <c r="F248" s="5"/>
      <c r="G248" s="5"/>
    </row>
    <row r="249" spans="2:7" ht="13">
      <c r="B249" s="36"/>
      <c r="C249" s="80"/>
      <c r="D249" s="5"/>
      <c r="E249" s="5"/>
      <c r="F249" s="5"/>
      <c r="G249" s="5"/>
    </row>
    <row r="250" spans="2:7" ht="13">
      <c r="B250" s="36"/>
      <c r="C250" s="80"/>
      <c r="D250" s="5"/>
      <c r="E250" s="5"/>
      <c r="F250" s="5"/>
      <c r="G250" s="5"/>
    </row>
    <row r="251" spans="2:7" ht="13">
      <c r="B251" s="36"/>
      <c r="C251" s="80"/>
      <c r="D251" s="5"/>
      <c r="E251" s="5"/>
      <c r="F251" s="5"/>
      <c r="G251" s="5"/>
    </row>
    <row r="252" spans="2:7" ht="13">
      <c r="B252" s="36"/>
      <c r="C252" s="80"/>
      <c r="D252" s="5"/>
      <c r="E252" s="5"/>
      <c r="F252" s="5"/>
      <c r="G252" s="5"/>
    </row>
    <row r="253" spans="2:7" ht="13">
      <c r="B253" s="36"/>
      <c r="C253" s="80"/>
      <c r="D253" s="5"/>
      <c r="E253" s="5"/>
      <c r="F253" s="5"/>
      <c r="G253" s="5"/>
    </row>
    <row r="254" spans="2:7" ht="13">
      <c r="B254" s="36"/>
      <c r="C254" s="80"/>
      <c r="D254" s="5"/>
      <c r="E254" s="5"/>
      <c r="F254" s="5"/>
      <c r="G254" s="5"/>
    </row>
    <row r="255" spans="2:7" ht="13">
      <c r="B255" s="36"/>
      <c r="C255" s="80"/>
      <c r="D255" s="5"/>
      <c r="E255" s="5"/>
      <c r="F255" s="5"/>
      <c r="G255" s="5"/>
    </row>
    <row r="256" spans="2:7" ht="13">
      <c r="B256" s="36"/>
      <c r="C256" s="80"/>
      <c r="D256" s="5"/>
      <c r="E256" s="5"/>
      <c r="F256" s="5"/>
      <c r="G256" s="5"/>
    </row>
    <row r="257" spans="2:7" ht="13">
      <c r="B257" s="36"/>
      <c r="C257" s="80"/>
      <c r="D257" s="5"/>
      <c r="E257" s="5"/>
      <c r="F257" s="5"/>
      <c r="G257" s="5"/>
    </row>
    <row r="258" spans="2:7" ht="13">
      <c r="B258" s="36"/>
      <c r="C258" s="80"/>
      <c r="D258" s="5"/>
      <c r="E258" s="5"/>
      <c r="F258" s="5"/>
      <c r="G258" s="5"/>
    </row>
    <row r="259" spans="2:7" ht="13">
      <c r="B259" s="36"/>
      <c r="C259" s="80"/>
      <c r="D259" s="5"/>
      <c r="E259" s="5"/>
      <c r="F259" s="5"/>
      <c r="G259" s="5"/>
    </row>
    <row r="260" spans="2:7" ht="13">
      <c r="B260" s="36"/>
      <c r="C260" s="80"/>
      <c r="D260" s="5"/>
      <c r="E260" s="5"/>
      <c r="F260" s="5"/>
      <c r="G260" s="5"/>
    </row>
    <row r="261" spans="2:7" ht="13">
      <c r="B261" s="36"/>
      <c r="C261" s="80"/>
      <c r="D261" s="5"/>
      <c r="E261" s="5"/>
      <c r="F261" s="5"/>
      <c r="G261" s="5"/>
    </row>
    <row r="262" spans="2:7" ht="13">
      <c r="B262" s="36"/>
      <c r="C262" s="80"/>
      <c r="D262" s="5"/>
      <c r="E262" s="5"/>
      <c r="F262" s="5"/>
      <c r="G262" s="5"/>
    </row>
    <row r="263" spans="2:7" ht="13">
      <c r="B263" s="36"/>
      <c r="C263" s="80"/>
      <c r="D263" s="5"/>
      <c r="E263" s="5"/>
      <c r="F263" s="5"/>
      <c r="G263" s="5"/>
    </row>
    <row r="264" spans="2:7" ht="13">
      <c r="B264" s="36"/>
      <c r="C264" s="80"/>
      <c r="D264" s="5"/>
      <c r="E264" s="5"/>
      <c r="F264" s="5"/>
      <c r="G264" s="5"/>
    </row>
    <row r="265" spans="2:7" ht="13">
      <c r="B265" s="36"/>
      <c r="C265" s="80"/>
      <c r="D265" s="5"/>
      <c r="E265" s="5"/>
      <c r="F265" s="5"/>
      <c r="G265" s="5"/>
    </row>
    <row r="266" spans="2:7" ht="13">
      <c r="B266" s="36"/>
      <c r="C266" s="80"/>
      <c r="D266" s="5"/>
      <c r="E266" s="5"/>
      <c r="F266" s="5"/>
      <c r="G266" s="5"/>
    </row>
    <row r="267" spans="2:7" ht="13">
      <c r="B267" s="36"/>
      <c r="C267" s="80"/>
      <c r="D267" s="5"/>
      <c r="E267" s="5"/>
      <c r="F267" s="5"/>
      <c r="G267" s="5"/>
    </row>
    <row r="268" spans="2:7" ht="13">
      <c r="B268" s="36"/>
      <c r="C268" s="80"/>
      <c r="D268" s="5"/>
      <c r="E268" s="5"/>
      <c r="F268" s="5"/>
      <c r="G268" s="5"/>
    </row>
    <row r="269" spans="2:7" ht="13">
      <c r="B269" s="36"/>
      <c r="C269" s="80"/>
      <c r="D269" s="5"/>
      <c r="E269" s="5"/>
      <c r="F269" s="5"/>
      <c r="G269" s="5"/>
    </row>
    <row r="270" spans="2:7" ht="13">
      <c r="B270" s="36"/>
      <c r="C270" s="80"/>
      <c r="D270" s="5"/>
      <c r="E270" s="5"/>
      <c r="F270" s="5"/>
      <c r="G270" s="5"/>
    </row>
    <row r="271" spans="2:7" ht="13">
      <c r="B271" s="36"/>
      <c r="C271" s="80"/>
      <c r="D271" s="5"/>
      <c r="E271" s="5"/>
      <c r="F271" s="5"/>
      <c r="G271" s="5"/>
    </row>
    <row r="272" spans="2:7" ht="13">
      <c r="B272" s="36"/>
      <c r="C272" s="80"/>
      <c r="D272" s="5"/>
      <c r="E272" s="5"/>
      <c r="F272" s="5"/>
      <c r="G272" s="5"/>
    </row>
    <row r="273" spans="2:7" ht="13">
      <c r="B273" s="36"/>
      <c r="C273" s="80"/>
      <c r="D273" s="5"/>
      <c r="E273" s="5"/>
      <c r="F273" s="5"/>
      <c r="G273" s="5"/>
    </row>
    <row r="274" spans="2:7" ht="13">
      <c r="B274" s="36"/>
      <c r="C274" s="80"/>
      <c r="D274" s="5"/>
      <c r="E274" s="5"/>
      <c r="F274" s="5"/>
      <c r="G274" s="5"/>
    </row>
    <row r="275" spans="2:7" ht="13">
      <c r="B275" s="36"/>
      <c r="C275" s="80"/>
      <c r="D275" s="5"/>
      <c r="E275" s="5"/>
      <c r="F275" s="5"/>
      <c r="G275" s="5"/>
    </row>
    <row r="276" spans="2:7" ht="13">
      <c r="B276" s="36"/>
      <c r="C276" s="80"/>
      <c r="D276" s="5"/>
      <c r="E276" s="5"/>
      <c r="F276" s="5"/>
      <c r="G276" s="5"/>
    </row>
    <row r="277" spans="2:7" ht="13">
      <c r="B277" s="36"/>
      <c r="C277" s="80"/>
      <c r="D277" s="5"/>
      <c r="E277" s="5"/>
      <c r="F277" s="5"/>
      <c r="G277" s="5"/>
    </row>
    <row r="278" spans="2:7" ht="13">
      <c r="B278" s="36"/>
      <c r="C278" s="80"/>
      <c r="D278" s="5"/>
      <c r="E278" s="5"/>
      <c r="F278" s="5"/>
      <c r="G278" s="5"/>
    </row>
    <row r="279" spans="2:7" ht="13">
      <c r="B279" s="36"/>
      <c r="C279" s="80"/>
      <c r="D279" s="5"/>
      <c r="E279" s="5"/>
      <c r="F279" s="5"/>
      <c r="G279" s="5"/>
    </row>
    <row r="280" spans="2:7" ht="13">
      <c r="B280" s="36"/>
      <c r="C280" s="80"/>
      <c r="D280" s="5"/>
      <c r="E280" s="5"/>
      <c r="F280" s="5"/>
      <c r="G280" s="5"/>
    </row>
    <row r="281" spans="2:7" ht="13">
      <c r="B281" s="36"/>
      <c r="C281" s="80"/>
      <c r="D281" s="5"/>
      <c r="E281" s="5"/>
      <c r="F281" s="5"/>
      <c r="G281" s="5"/>
    </row>
    <row r="282" spans="2:7" ht="13">
      <c r="B282" s="36"/>
      <c r="C282" s="80"/>
      <c r="D282" s="5"/>
      <c r="E282" s="5"/>
      <c r="F282" s="5"/>
      <c r="G282" s="5"/>
    </row>
    <row r="283" spans="2:7" ht="13">
      <c r="B283" s="36"/>
      <c r="C283" s="80"/>
      <c r="D283" s="5"/>
      <c r="E283" s="5"/>
      <c r="F283" s="5"/>
      <c r="G283" s="5"/>
    </row>
    <row r="284" spans="2:7" ht="13">
      <c r="B284" s="36"/>
      <c r="C284" s="80"/>
      <c r="D284" s="5"/>
      <c r="E284" s="5"/>
      <c r="F284" s="5"/>
      <c r="G284" s="5"/>
    </row>
    <row r="285" spans="2:7" ht="13">
      <c r="B285" s="36"/>
      <c r="C285" s="80"/>
      <c r="D285" s="5"/>
      <c r="E285" s="5"/>
      <c r="F285" s="5"/>
      <c r="G285" s="5"/>
    </row>
    <row r="286" spans="2:7" ht="13">
      <c r="B286" s="36"/>
      <c r="C286" s="80"/>
      <c r="D286" s="5"/>
      <c r="E286" s="5"/>
      <c r="F286" s="5"/>
      <c r="G286" s="5"/>
    </row>
    <row r="287" spans="2:7" ht="13">
      <c r="B287" s="36"/>
      <c r="C287" s="80"/>
      <c r="D287" s="5"/>
      <c r="E287" s="5"/>
      <c r="F287" s="5"/>
      <c r="G287" s="5"/>
    </row>
    <row r="288" spans="2:7" ht="13">
      <c r="B288" s="36"/>
      <c r="C288" s="80"/>
      <c r="D288" s="5"/>
      <c r="E288" s="5"/>
      <c r="F288" s="5"/>
      <c r="G288" s="5"/>
    </row>
    <row r="289" spans="2:7" ht="13">
      <c r="B289" s="36"/>
      <c r="C289" s="80"/>
      <c r="D289" s="5"/>
      <c r="E289" s="5"/>
      <c r="F289" s="5"/>
      <c r="G289" s="5"/>
    </row>
    <row r="290" spans="2:7" ht="13">
      <c r="B290" s="36"/>
      <c r="C290" s="80"/>
      <c r="D290" s="5"/>
      <c r="E290" s="5"/>
      <c r="F290" s="5"/>
      <c r="G290" s="5"/>
    </row>
    <row r="291" spans="2:7" ht="13">
      <c r="B291" s="36"/>
      <c r="C291" s="80"/>
      <c r="D291" s="5"/>
      <c r="E291" s="5"/>
      <c r="F291" s="5"/>
      <c r="G291" s="5"/>
    </row>
    <row r="292" spans="2:7" ht="13">
      <c r="B292" s="36"/>
      <c r="C292" s="80"/>
      <c r="D292" s="5"/>
      <c r="E292" s="5"/>
      <c r="F292" s="5"/>
      <c r="G292" s="5"/>
    </row>
    <row r="293" spans="2:7" ht="13">
      <c r="B293" s="36"/>
      <c r="C293" s="80"/>
      <c r="D293" s="5"/>
      <c r="E293" s="5"/>
      <c r="F293" s="5"/>
      <c r="G293" s="5"/>
    </row>
    <row r="294" spans="2:7" ht="13">
      <c r="B294" s="36"/>
      <c r="C294" s="80"/>
      <c r="D294" s="5"/>
      <c r="E294" s="5"/>
      <c r="F294" s="5"/>
      <c r="G294" s="5"/>
    </row>
    <row r="295" spans="2:7" ht="13">
      <c r="B295" s="36"/>
      <c r="C295" s="80"/>
      <c r="D295" s="5"/>
      <c r="E295" s="5"/>
      <c r="F295" s="5"/>
      <c r="G295" s="5"/>
    </row>
    <row r="296" spans="2:7" ht="13">
      <c r="B296" s="36"/>
      <c r="C296" s="80"/>
      <c r="D296" s="5"/>
      <c r="E296" s="5"/>
      <c r="F296" s="5"/>
      <c r="G296" s="5"/>
    </row>
    <row r="297" spans="2:7" ht="13">
      <c r="B297" s="36"/>
      <c r="C297" s="80"/>
      <c r="D297" s="5"/>
      <c r="E297" s="5"/>
      <c r="F297" s="5"/>
      <c r="G297" s="5"/>
    </row>
    <row r="298" spans="2:7" ht="13">
      <c r="B298" s="36"/>
      <c r="C298" s="80"/>
      <c r="D298" s="5"/>
      <c r="E298" s="5"/>
      <c r="F298" s="5"/>
      <c r="G298" s="5"/>
    </row>
    <row r="299" spans="2:7" ht="13">
      <c r="B299" s="36"/>
      <c r="C299" s="80"/>
      <c r="D299" s="5"/>
      <c r="E299" s="5"/>
      <c r="F299" s="5"/>
      <c r="G299" s="5"/>
    </row>
    <row r="300" spans="2:7" ht="13">
      <c r="B300" s="36"/>
      <c r="C300" s="80"/>
      <c r="D300" s="5"/>
      <c r="E300" s="5"/>
      <c r="F300" s="5"/>
      <c r="G300" s="5"/>
    </row>
    <row r="301" spans="2:7" ht="13">
      <c r="B301" s="36"/>
      <c r="C301" s="80"/>
      <c r="D301" s="5"/>
      <c r="E301" s="5"/>
      <c r="F301" s="5"/>
      <c r="G301" s="5"/>
    </row>
    <row r="302" spans="2:7" ht="13">
      <c r="B302" s="36"/>
      <c r="C302" s="80"/>
      <c r="D302" s="5"/>
      <c r="E302" s="5"/>
      <c r="F302" s="5"/>
      <c r="G302" s="5"/>
    </row>
    <row r="303" spans="2:7" ht="13">
      <c r="B303" s="36"/>
      <c r="C303" s="80"/>
      <c r="D303" s="5"/>
      <c r="E303" s="5"/>
      <c r="F303" s="5"/>
      <c r="G303" s="5"/>
    </row>
    <row r="304" spans="2:7" ht="13">
      <c r="B304" s="36"/>
      <c r="C304" s="80"/>
      <c r="D304" s="5"/>
      <c r="E304" s="5"/>
      <c r="F304" s="5"/>
      <c r="G304" s="5"/>
    </row>
    <row r="305" spans="2:7" ht="13">
      <c r="B305" s="36"/>
      <c r="C305" s="80"/>
      <c r="D305" s="5"/>
      <c r="E305" s="5"/>
      <c r="F305" s="5"/>
      <c r="G305" s="5"/>
    </row>
    <row r="306" spans="2:7" ht="13">
      <c r="B306" s="36"/>
      <c r="C306" s="80"/>
      <c r="D306" s="5"/>
      <c r="E306" s="5"/>
      <c r="F306" s="5"/>
      <c r="G306" s="5"/>
    </row>
    <row r="307" spans="2:7" ht="13">
      <c r="B307" s="36"/>
      <c r="C307" s="80"/>
      <c r="D307" s="5"/>
      <c r="E307" s="5"/>
      <c r="F307" s="5"/>
      <c r="G307" s="5"/>
    </row>
    <row r="308" spans="2:7" ht="13">
      <c r="B308" s="36"/>
      <c r="C308" s="80"/>
      <c r="D308" s="5"/>
      <c r="E308" s="5"/>
      <c r="F308" s="5"/>
      <c r="G308" s="5"/>
    </row>
    <row r="309" spans="2:7" ht="13">
      <c r="B309" s="36"/>
      <c r="C309" s="80"/>
      <c r="D309" s="5"/>
      <c r="E309" s="5"/>
      <c r="F309" s="5"/>
      <c r="G309" s="5"/>
    </row>
    <row r="310" spans="2:7" ht="13">
      <c r="B310" s="36"/>
      <c r="C310" s="80"/>
      <c r="D310" s="5"/>
      <c r="E310" s="5"/>
      <c r="F310" s="5"/>
      <c r="G310" s="5"/>
    </row>
    <row r="311" spans="2:7" ht="13">
      <c r="B311" s="36"/>
      <c r="C311" s="80"/>
      <c r="D311" s="5"/>
      <c r="E311" s="5"/>
      <c r="F311" s="5"/>
      <c r="G311" s="5"/>
    </row>
    <row r="312" spans="2:7" ht="13">
      <c r="B312" s="36"/>
      <c r="C312" s="80"/>
      <c r="D312" s="5"/>
      <c r="E312" s="5"/>
      <c r="F312" s="5"/>
      <c r="G312" s="5"/>
    </row>
    <row r="313" spans="2:7" ht="13">
      <c r="B313" s="36"/>
      <c r="C313" s="80"/>
      <c r="D313" s="5"/>
      <c r="E313" s="5"/>
      <c r="F313" s="5"/>
      <c r="G313" s="5"/>
    </row>
    <row r="314" spans="2:7" ht="13">
      <c r="B314" s="36"/>
      <c r="C314" s="80"/>
      <c r="D314" s="5"/>
      <c r="E314" s="5"/>
      <c r="F314" s="5"/>
      <c r="G314" s="5"/>
    </row>
    <row r="315" spans="2:7" ht="13">
      <c r="B315" s="36"/>
      <c r="C315" s="80"/>
      <c r="D315" s="5"/>
      <c r="E315" s="5"/>
      <c r="F315" s="5"/>
      <c r="G315" s="5"/>
    </row>
    <row r="316" spans="2:7" ht="13">
      <c r="B316" s="36"/>
      <c r="C316" s="80"/>
      <c r="D316" s="5"/>
      <c r="E316" s="5"/>
      <c r="F316" s="5"/>
      <c r="G316" s="5"/>
    </row>
    <row r="317" spans="2:7" ht="13">
      <c r="B317" s="36"/>
      <c r="C317" s="80"/>
      <c r="D317" s="5"/>
      <c r="E317" s="5"/>
      <c r="F317" s="5"/>
      <c r="G317" s="5"/>
    </row>
    <row r="318" spans="2:7" ht="13">
      <c r="B318" s="36"/>
      <c r="C318" s="80"/>
      <c r="D318" s="5"/>
      <c r="E318" s="5"/>
      <c r="F318" s="5"/>
      <c r="G318" s="5"/>
    </row>
    <row r="319" spans="2:7" ht="13">
      <c r="B319" s="36"/>
      <c r="C319" s="80"/>
      <c r="D319" s="5"/>
      <c r="E319" s="5"/>
      <c r="F319" s="5"/>
      <c r="G319" s="5"/>
    </row>
    <row r="320" spans="2:7" ht="13">
      <c r="B320" s="36"/>
      <c r="C320" s="80"/>
      <c r="D320" s="5"/>
      <c r="E320" s="5"/>
      <c r="F320" s="5"/>
      <c r="G320" s="5"/>
    </row>
    <row r="321" spans="2:7" ht="13">
      <c r="B321" s="36"/>
      <c r="C321" s="80"/>
      <c r="D321" s="5"/>
      <c r="E321" s="5"/>
      <c r="F321" s="5"/>
      <c r="G321" s="5"/>
    </row>
    <row r="322" spans="2:7" ht="13">
      <c r="B322" s="36"/>
      <c r="C322" s="80"/>
      <c r="D322" s="5"/>
      <c r="E322" s="5"/>
      <c r="F322" s="5"/>
      <c r="G322" s="5"/>
    </row>
    <row r="323" spans="2:7" ht="13">
      <c r="B323" s="36"/>
      <c r="C323" s="80"/>
      <c r="D323" s="5"/>
      <c r="E323" s="5"/>
      <c r="F323" s="5"/>
      <c r="G323" s="5"/>
    </row>
    <row r="324" spans="2:7" ht="13">
      <c r="B324" s="36"/>
      <c r="C324" s="80"/>
      <c r="D324" s="5"/>
      <c r="E324" s="5"/>
      <c r="F324" s="5"/>
      <c r="G324" s="5"/>
    </row>
    <row r="325" spans="2:7" ht="13">
      <c r="B325" s="36"/>
      <c r="C325" s="80"/>
      <c r="D325" s="5"/>
      <c r="E325" s="5"/>
      <c r="F325" s="5"/>
      <c r="G325" s="5"/>
    </row>
    <row r="326" spans="2:7" ht="13">
      <c r="B326" s="36"/>
      <c r="C326" s="80"/>
      <c r="D326" s="5"/>
      <c r="E326" s="5"/>
      <c r="F326" s="5"/>
      <c r="G326" s="5"/>
    </row>
    <row r="327" spans="2:7" ht="13">
      <c r="B327" s="36"/>
      <c r="C327" s="80"/>
      <c r="D327" s="5"/>
      <c r="E327" s="5"/>
      <c r="F327" s="5"/>
      <c r="G327" s="5"/>
    </row>
    <row r="328" spans="2:7" ht="13">
      <c r="B328" s="36"/>
      <c r="C328" s="80"/>
      <c r="D328" s="5"/>
      <c r="E328" s="5"/>
      <c r="F328" s="5"/>
      <c r="G328" s="5"/>
    </row>
    <row r="329" spans="2:7" ht="13">
      <c r="B329" s="36"/>
      <c r="C329" s="80"/>
      <c r="D329" s="5"/>
      <c r="E329" s="5"/>
      <c r="F329" s="5"/>
      <c r="G329" s="5"/>
    </row>
    <row r="330" spans="2:7" ht="13">
      <c r="B330" s="36"/>
      <c r="C330" s="80"/>
      <c r="D330" s="5"/>
      <c r="E330" s="5"/>
      <c r="F330" s="5"/>
      <c r="G330" s="5"/>
    </row>
    <row r="331" spans="2:7" ht="13">
      <c r="B331" s="36"/>
      <c r="C331" s="80"/>
      <c r="D331" s="5"/>
      <c r="E331" s="5"/>
      <c r="F331" s="5"/>
      <c r="G331" s="5"/>
    </row>
    <row r="332" spans="2:7" ht="13">
      <c r="B332" s="36"/>
      <c r="C332" s="80"/>
      <c r="D332" s="5"/>
      <c r="E332" s="5"/>
      <c r="F332" s="5"/>
      <c r="G332" s="5"/>
    </row>
    <row r="333" spans="2:7" ht="13">
      <c r="B333" s="36"/>
      <c r="C333" s="80"/>
      <c r="D333" s="5"/>
      <c r="E333" s="5"/>
      <c r="F333" s="5"/>
      <c r="G333" s="5"/>
    </row>
    <row r="334" spans="2:7" ht="13">
      <c r="B334" s="36"/>
      <c r="C334" s="80"/>
      <c r="D334" s="5"/>
      <c r="E334" s="5"/>
      <c r="F334" s="5"/>
      <c r="G334" s="5"/>
    </row>
    <row r="335" spans="2:7" ht="13">
      <c r="B335" s="36"/>
      <c r="C335" s="80"/>
      <c r="D335" s="5"/>
      <c r="E335" s="5"/>
      <c r="F335" s="5"/>
      <c r="G335" s="5"/>
    </row>
    <row r="336" spans="2:7" ht="13">
      <c r="B336" s="36"/>
      <c r="C336" s="80"/>
      <c r="D336" s="5"/>
      <c r="E336" s="5"/>
      <c r="F336" s="5"/>
      <c r="G336" s="5"/>
    </row>
    <row r="337" spans="2:7" ht="13">
      <c r="B337" s="36"/>
      <c r="C337" s="80"/>
      <c r="D337" s="5"/>
      <c r="E337" s="5"/>
      <c r="F337" s="5"/>
      <c r="G337" s="5"/>
    </row>
    <row r="338" spans="2:7" ht="13">
      <c r="B338" s="36"/>
      <c r="C338" s="80"/>
      <c r="D338" s="5"/>
      <c r="E338" s="5"/>
      <c r="F338" s="5"/>
      <c r="G338" s="5"/>
    </row>
    <row r="339" spans="2:7" ht="13">
      <c r="B339" s="36"/>
      <c r="C339" s="80"/>
      <c r="D339" s="5"/>
      <c r="E339" s="5"/>
      <c r="F339" s="5"/>
      <c r="G339" s="5"/>
    </row>
    <row r="340" spans="2:7" ht="13">
      <c r="B340" s="36"/>
      <c r="C340" s="80"/>
      <c r="D340" s="5"/>
      <c r="E340" s="5"/>
      <c r="F340" s="5"/>
      <c r="G340" s="5"/>
    </row>
    <row r="341" spans="2:7" ht="13">
      <c r="B341" s="36"/>
      <c r="C341" s="80"/>
      <c r="D341" s="5"/>
      <c r="E341" s="5"/>
      <c r="F341" s="5"/>
      <c r="G341" s="5"/>
    </row>
    <row r="342" spans="2:7" ht="13">
      <c r="B342" s="36"/>
      <c r="C342" s="80"/>
      <c r="D342" s="5"/>
      <c r="E342" s="5"/>
      <c r="F342" s="5"/>
      <c r="G342" s="5"/>
    </row>
    <row r="343" spans="2:7" ht="13">
      <c r="B343" s="36"/>
      <c r="C343" s="80"/>
      <c r="D343" s="5"/>
      <c r="E343" s="5"/>
      <c r="F343" s="5"/>
      <c r="G343" s="5"/>
    </row>
    <row r="344" spans="2:7" ht="13">
      <c r="B344" s="36"/>
      <c r="C344" s="80"/>
      <c r="D344" s="5"/>
      <c r="E344" s="5"/>
      <c r="F344" s="5"/>
      <c r="G344" s="5"/>
    </row>
    <row r="345" spans="2:7" ht="13">
      <c r="B345" s="36"/>
      <c r="C345" s="80"/>
      <c r="D345" s="5"/>
      <c r="E345" s="5"/>
      <c r="F345" s="5"/>
      <c r="G345" s="5"/>
    </row>
    <row r="346" spans="2:7" ht="13">
      <c r="B346" s="36"/>
      <c r="C346" s="80"/>
      <c r="D346" s="5"/>
      <c r="E346" s="5"/>
      <c r="F346" s="5"/>
      <c r="G346" s="5"/>
    </row>
    <row r="347" spans="2:7" ht="13">
      <c r="B347" s="36"/>
      <c r="C347" s="80"/>
      <c r="D347" s="5"/>
      <c r="E347" s="5"/>
      <c r="F347" s="5"/>
      <c r="G347" s="5"/>
    </row>
    <row r="348" spans="2:7" ht="13">
      <c r="B348" s="36"/>
      <c r="C348" s="80"/>
      <c r="D348" s="5"/>
      <c r="E348" s="5"/>
      <c r="F348" s="5"/>
      <c r="G348" s="5"/>
    </row>
    <row r="349" spans="2:7" ht="13">
      <c r="B349" s="36"/>
      <c r="C349" s="80"/>
      <c r="D349" s="5"/>
      <c r="E349" s="5"/>
      <c r="F349" s="5"/>
      <c r="G349" s="5"/>
    </row>
    <row r="350" spans="2:7" ht="13">
      <c r="B350" s="36"/>
      <c r="C350" s="80"/>
      <c r="D350" s="5"/>
      <c r="E350" s="5"/>
      <c r="F350" s="5"/>
      <c r="G350" s="5"/>
    </row>
    <row r="351" spans="2:7" ht="13">
      <c r="B351" s="36"/>
      <c r="C351" s="80"/>
      <c r="D351" s="5"/>
      <c r="E351" s="5"/>
      <c r="F351" s="5"/>
      <c r="G351" s="5"/>
    </row>
    <row r="352" spans="2:7" ht="13">
      <c r="B352" s="36"/>
      <c r="C352" s="80"/>
      <c r="D352" s="5"/>
      <c r="E352" s="5"/>
      <c r="F352" s="5"/>
      <c r="G352" s="5"/>
    </row>
    <row r="353" spans="2:7" ht="13">
      <c r="B353" s="36"/>
      <c r="C353" s="80"/>
      <c r="D353" s="5"/>
      <c r="E353" s="5"/>
      <c r="F353" s="5"/>
      <c r="G353" s="5"/>
    </row>
    <row r="354" spans="2:7" ht="13">
      <c r="B354" s="36"/>
      <c r="C354" s="80"/>
      <c r="D354" s="5"/>
      <c r="E354" s="5"/>
      <c r="F354" s="5"/>
      <c r="G354" s="5"/>
    </row>
    <row r="355" spans="2:7" ht="13">
      <c r="B355" s="36"/>
      <c r="C355" s="80"/>
      <c r="D355" s="5"/>
      <c r="E355" s="5"/>
      <c r="F355" s="5"/>
      <c r="G355" s="5"/>
    </row>
    <row r="356" spans="2:7" ht="13">
      <c r="B356" s="36"/>
      <c r="C356" s="80"/>
      <c r="D356" s="5"/>
      <c r="E356" s="5"/>
      <c r="F356" s="5"/>
      <c r="G356" s="5"/>
    </row>
    <row r="357" spans="2:7" ht="13">
      <c r="B357" s="36"/>
      <c r="C357" s="80"/>
      <c r="D357" s="5"/>
      <c r="E357" s="5"/>
      <c r="F357" s="5"/>
      <c r="G357" s="5"/>
    </row>
    <row r="358" spans="2:7" ht="13">
      <c r="B358" s="36"/>
      <c r="C358" s="80"/>
      <c r="D358" s="5"/>
      <c r="E358" s="5"/>
      <c r="F358" s="5"/>
      <c r="G358" s="5"/>
    </row>
    <row r="359" spans="2:7" ht="13">
      <c r="B359" s="36"/>
      <c r="C359" s="80"/>
      <c r="D359" s="5"/>
      <c r="E359" s="5"/>
      <c r="F359" s="5"/>
      <c r="G359" s="5"/>
    </row>
    <row r="360" spans="2:7" ht="13">
      <c r="B360" s="36"/>
      <c r="C360" s="80"/>
      <c r="D360" s="5"/>
      <c r="E360" s="5"/>
      <c r="F360" s="5"/>
      <c r="G360" s="5"/>
    </row>
    <row r="361" spans="2:7" ht="13">
      <c r="B361" s="36"/>
      <c r="C361" s="80"/>
      <c r="D361" s="5"/>
      <c r="E361" s="5"/>
      <c r="F361" s="5"/>
      <c r="G361" s="5"/>
    </row>
    <row r="362" spans="2:7" ht="13">
      <c r="B362" s="36"/>
      <c r="C362" s="80"/>
      <c r="D362" s="5"/>
      <c r="E362" s="5"/>
      <c r="F362" s="5"/>
      <c r="G362" s="5"/>
    </row>
    <row r="363" spans="2:7" ht="13">
      <c r="B363" s="36"/>
      <c r="C363" s="80"/>
      <c r="D363" s="5"/>
      <c r="E363" s="5"/>
      <c r="F363" s="5"/>
      <c r="G363" s="5"/>
    </row>
    <row r="364" spans="2:7" ht="13">
      <c r="B364" s="36"/>
      <c r="C364" s="80"/>
      <c r="D364" s="5"/>
      <c r="E364" s="5"/>
      <c r="F364" s="5"/>
      <c r="G364" s="5"/>
    </row>
    <row r="365" spans="2:7" ht="13">
      <c r="B365" s="36"/>
      <c r="C365" s="80"/>
      <c r="D365" s="5"/>
      <c r="E365" s="5"/>
      <c r="F365" s="5"/>
      <c r="G365" s="5"/>
    </row>
    <row r="366" spans="2:7" ht="13">
      <c r="B366" s="36"/>
      <c r="C366" s="80"/>
      <c r="D366" s="5"/>
      <c r="E366" s="5"/>
      <c r="F366" s="5"/>
      <c r="G366" s="5"/>
    </row>
    <row r="367" spans="2:7" ht="13">
      <c r="B367" s="36"/>
      <c r="C367" s="80"/>
      <c r="D367" s="5"/>
      <c r="E367" s="5"/>
      <c r="F367" s="5"/>
      <c r="G367" s="5"/>
    </row>
    <row r="368" spans="2:7" ht="13">
      <c r="B368" s="36"/>
      <c r="C368" s="80"/>
      <c r="D368" s="5"/>
      <c r="E368" s="5"/>
      <c r="F368" s="5"/>
      <c r="G368" s="5"/>
    </row>
    <row r="369" spans="2:7" ht="13">
      <c r="B369" s="36"/>
      <c r="C369" s="80"/>
      <c r="D369" s="5"/>
      <c r="E369" s="5"/>
      <c r="F369" s="5"/>
      <c r="G369" s="5"/>
    </row>
    <row r="370" spans="2:7" ht="13">
      <c r="B370" s="36"/>
      <c r="C370" s="80"/>
      <c r="D370" s="5"/>
      <c r="E370" s="5"/>
      <c r="F370" s="5"/>
      <c r="G370" s="5"/>
    </row>
    <row r="371" spans="2:7" ht="13">
      <c r="B371" s="36"/>
      <c r="C371" s="80"/>
      <c r="D371" s="5"/>
      <c r="E371" s="5"/>
      <c r="F371" s="5"/>
      <c r="G371" s="5"/>
    </row>
    <row r="372" spans="2:7" ht="13">
      <c r="B372" s="36"/>
      <c r="C372" s="80"/>
      <c r="D372" s="5"/>
      <c r="E372" s="5"/>
      <c r="F372" s="5"/>
      <c r="G372" s="5"/>
    </row>
    <row r="373" spans="2:7" ht="13">
      <c r="B373" s="36"/>
      <c r="C373" s="80"/>
      <c r="D373" s="5"/>
      <c r="E373" s="5"/>
      <c r="F373" s="5"/>
      <c r="G373" s="5"/>
    </row>
    <row r="374" spans="2:7" ht="13">
      <c r="B374" s="36"/>
      <c r="C374" s="80"/>
      <c r="D374" s="5"/>
      <c r="E374" s="5"/>
      <c r="F374" s="5"/>
      <c r="G374" s="5"/>
    </row>
    <row r="375" spans="2:7" ht="13">
      <c r="B375" s="36"/>
      <c r="C375" s="80"/>
      <c r="D375" s="5"/>
      <c r="E375" s="5"/>
      <c r="F375" s="5"/>
      <c r="G375" s="5"/>
    </row>
    <row r="376" spans="2:7" ht="13">
      <c r="B376" s="36"/>
      <c r="C376" s="80"/>
      <c r="D376" s="5"/>
      <c r="E376" s="5"/>
      <c r="F376" s="5"/>
      <c r="G376" s="5"/>
    </row>
    <row r="377" spans="2:7" ht="13">
      <c r="B377" s="36"/>
      <c r="C377" s="80"/>
      <c r="D377" s="5"/>
      <c r="E377" s="5"/>
      <c r="F377" s="5"/>
      <c r="G377" s="5"/>
    </row>
    <row r="378" spans="2:7" ht="13">
      <c r="B378" s="36"/>
      <c r="C378" s="80"/>
      <c r="D378" s="5"/>
      <c r="E378" s="5"/>
      <c r="F378" s="5"/>
      <c r="G378" s="5"/>
    </row>
    <row r="379" spans="2:7" ht="13">
      <c r="B379" s="36"/>
      <c r="C379" s="80"/>
      <c r="D379" s="5"/>
      <c r="E379" s="5"/>
      <c r="F379" s="5"/>
      <c r="G379" s="5"/>
    </row>
    <row r="380" spans="2:7" ht="13">
      <c r="B380" s="36"/>
      <c r="C380" s="80"/>
      <c r="D380" s="5"/>
      <c r="E380" s="5"/>
      <c r="F380" s="5"/>
      <c r="G380" s="5"/>
    </row>
    <row r="381" spans="2:7" ht="13">
      <c r="B381" s="36"/>
      <c r="C381" s="80"/>
      <c r="D381" s="5"/>
      <c r="E381" s="5"/>
      <c r="F381" s="5"/>
      <c r="G381" s="5"/>
    </row>
    <row r="382" spans="2:7" ht="13">
      <c r="B382" s="36"/>
      <c r="C382" s="80"/>
      <c r="D382" s="5"/>
      <c r="E382" s="5"/>
      <c r="F382" s="5"/>
      <c r="G382" s="5"/>
    </row>
    <row r="383" spans="2:7" ht="13">
      <c r="B383" s="36"/>
      <c r="C383" s="80"/>
      <c r="D383" s="5"/>
      <c r="E383" s="5"/>
      <c r="F383" s="5"/>
      <c r="G383" s="5"/>
    </row>
    <row r="384" spans="2:7" ht="13">
      <c r="B384" s="36"/>
      <c r="C384" s="80"/>
      <c r="D384" s="5"/>
      <c r="E384" s="5"/>
      <c r="F384" s="5"/>
      <c r="G384" s="5"/>
    </row>
    <row r="385" spans="2:7" ht="13">
      <c r="B385" s="36"/>
      <c r="C385" s="80"/>
      <c r="D385" s="5"/>
      <c r="E385" s="5"/>
      <c r="F385" s="5"/>
      <c r="G385" s="5"/>
    </row>
    <row r="386" spans="2:7" ht="13">
      <c r="B386" s="36"/>
      <c r="C386" s="80"/>
      <c r="D386" s="5"/>
      <c r="E386" s="5"/>
      <c r="F386" s="5"/>
      <c r="G386" s="5"/>
    </row>
    <row r="387" spans="2:7" ht="13">
      <c r="B387" s="36"/>
      <c r="C387" s="80"/>
      <c r="D387" s="5"/>
      <c r="E387" s="5"/>
      <c r="F387" s="5"/>
      <c r="G387" s="5"/>
    </row>
    <row r="388" spans="2:7" ht="13">
      <c r="B388" s="36"/>
      <c r="C388" s="80"/>
      <c r="D388" s="5"/>
      <c r="E388" s="5"/>
      <c r="F388" s="5"/>
      <c r="G388" s="5"/>
    </row>
    <row r="389" spans="2:7" ht="13">
      <c r="B389" s="36"/>
      <c r="C389" s="80"/>
      <c r="D389" s="5"/>
      <c r="E389" s="5"/>
      <c r="F389" s="5"/>
      <c r="G389" s="5"/>
    </row>
    <row r="390" spans="2:7" ht="13">
      <c r="B390" s="36"/>
      <c r="C390" s="80"/>
      <c r="D390" s="5"/>
      <c r="E390" s="5"/>
      <c r="F390" s="5"/>
      <c r="G390" s="5"/>
    </row>
    <row r="391" spans="2:7" ht="13">
      <c r="B391" s="36"/>
      <c r="C391" s="80"/>
      <c r="D391" s="5"/>
      <c r="E391" s="5"/>
      <c r="F391" s="5"/>
      <c r="G391" s="5"/>
    </row>
    <row r="392" spans="2:7" ht="13">
      <c r="B392" s="36"/>
      <c r="C392" s="80"/>
      <c r="D392" s="5"/>
      <c r="E392" s="5"/>
      <c r="F392" s="5"/>
      <c r="G392" s="5"/>
    </row>
    <row r="393" spans="2:7" ht="13">
      <c r="B393" s="36"/>
      <c r="C393" s="80"/>
      <c r="D393" s="5"/>
      <c r="E393" s="5"/>
      <c r="F393" s="5"/>
      <c r="G393" s="5"/>
    </row>
    <row r="394" spans="2:7" ht="13">
      <c r="B394" s="36"/>
      <c r="C394" s="80"/>
      <c r="D394" s="5"/>
      <c r="E394" s="5"/>
      <c r="F394" s="5"/>
      <c r="G394" s="5"/>
    </row>
    <row r="395" spans="2:7" ht="13">
      <c r="B395" s="36"/>
      <c r="C395" s="80"/>
      <c r="D395" s="5"/>
      <c r="E395" s="5"/>
      <c r="F395" s="5"/>
      <c r="G395" s="5"/>
    </row>
    <row r="396" spans="2:7" ht="13">
      <c r="B396" s="36"/>
      <c r="C396" s="80"/>
      <c r="D396" s="5"/>
      <c r="E396" s="5"/>
      <c r="F396" s="5"/>
      <c r="G396" s="5"/>
    </row>
    <row r="397" spans="2:7" ht="13">
      <c r="B397" s="36"/>
      <c r="C397" s="80"/>
      <c r="D397" s="5"/>
      <c r="E397" s="5"/>
      <c r="F397" s="5"/>
      <c r="G397" s="5"/>
    </row>
    <row r="398" spans="2:7" ht="13">
      <c r="B398" s="36"/>
      <c r="C398" s="80"/>
      <c r="D398" s="5"/>
      <c r="E398" s="5"/>
      <c r="F398" s="5"/>
      <c r="G398" s="5"/>
    </row>
    <row r="399" spans="2:7" ht="13">
      <c r="B399" s="36"/>
      <c r="C399" s="80"/>
      <c r="D399" s="5"/>
      <c r="E399" s="5"/>
      <c r="F399" s="5"/>
      <c r="G399" s="5"/>
    </row>
    <row r="400" spans="2:7" ht="13">
      <c r="B400" s="36"/>
      <c r="C400" s="80"/>
      <c r="D400" s="5"/>
      <c r="E400" s="5"/>
      <c r="F400" s="5"/>
      <c r="G400" s="5"/>
    </row>
    <row r="401" spans="2:7" ht="13">
      <c r="B401" s="36"/>
      <c r="C401" s="80"/>
      <c r="D401" s="5"/>
      <c r="E401" s="5"/>
      <c r="F401" s="5"/>
      <c r="G401" s="5"/>
    </row>
    <row r="402" spans="2:7" ht="13">
      <c r="B402" s="36"/>
      <c r="C402" s="80"/>
      <c r="D402" s="5"/>
      <c r="E402" s="5"/>
      <c r="F402" s="5"/>
      <c r="G402" s="5"/>
    </row>
    <row r="403" spans="2:7" ht="13">
      <c r="B403" s="36"/>
      <c r="C403" s="80"/>
      <c r="D403" s="5"/>
      <c r="E403" s="5"/>
      <c r="F403" s="5"/>
      <c r="G403" s="5"/>
    </row>
    <row r="404" spans="2:7" ht="13">
      <c r="B404" s="36"/>
      <c r="C404" s="80"/>
      <c r="D404" s="5"/>
      <c r="E404" s="5"/>
      <c r="F404" s="5"/>
      <c r="G404" s="5"/>
    </row>
    <row r="405" spans="2:7" ht="13">
      <c r="B405" s="36"/>
      <c r="C405" s="80"/>
      <c r="D405" s="5"/>
      <c r="E405" s="5"/>
      <c r="F405" s="5"/>
      <c r="G405" s="5"/>
    </row>
    <row r="406" spans="2:7" ht="13">
      <c r="B406" s="36"/>
      <c r="C406" s="80"/>
      <c r="D406" s="5"/>
      <c r="E406" s="5"/>
      <c r="F406" s="5"/>
      <c r="G406" s="5"/>
    </row>
    <row r="407" spans="2:7" ht="13">
      <c r="B407" s="36"/>
      <c r="C407" s="80"/>
      <c r="D407" s="5"/>
      <c r="E407" s="5"/>
      <c r="F407" s="5"/>
      <c r="G407" s="5"/>
    </row>
    <row r="408" spans="2:7" ht="13">
      <c r="B408" s="36"/>
      <c r="C408" s="80"/>
      <c r="D408" s="5"/>
      <c r="E408" s="5"/>
      <c r="F408" s="5"/>
      <c r="G408" s="5"/>
    </row>
    <row r="409" spans="2:7" ht="13">
      <c r="B409" s="36"/>
      <c r="C409" s="80"/>
      <c r="D409" s="5"/>
      <c r="E409" s="5"/>
      <c r="F409" s="5"/>
      <c r="G409" s="5"/>
    </row>
    <row r="410" spans="2:7" ht="13">
      <c r="B410" s="36"/>
      <c r="C410" s="80"/>
      <c r="D410" s="5"/>
      <c r="E410" s="5"/>
      <c r="F410" s="5"/>
      <c r="G410" s="5"/>
    </row>
    <row r="411" spans="2:7" ht="13">
      <c r="B411" s="36"/>
      <c r="C411" s="80"/>
      <c r="D411" s="5"/>
      <c r="E411" s="5"/>
      <c r="F411" s="5"/>
      <c r="G411" s="5"/>
    </row>
    <row r="412" spans="2:7" ht="13">
      <c r="B412" s="36"/>
      <c r="C412" s="80"/>
      <c r="D412" s="5"/>
      <c r="E412" s="5"/>
      <c r="F412" s="5"/>
      <c r="G412" s="5"/>
    </row>
    <row r="413" spans="2:7" ht="13">
      <c r="B413" s="36"/>
      <c r="C413" s="80"/>
      <c r="D413" s="5"/>
      <c r="E413" s="5"/>
      <c r="F413" s="5"/>
      <c r="G413" s="5"/>
    </row>
    <row r="414" spans="2:7" ht="13">
      <c r="B414" s="36"/>
      <c r="C414" s="80"/>
      <c r="D414" s="5"/>
      <c r="E414" s="5"/>
      <c r="F414" s="5"/>
      <c r="G414" s="5"/>
    </row>
    <row r="415" spans="2:7" ht="13">
      <c r="B415" s="36"/>
      <c r="C415" s="80"/>
      <c r="D415" s="5"/>
      <c r="E415" s="5"/>
      <c r="F415" s="5"/>
      <c r="G415" s="5"/>
    </row>
    <row r="416" spans="2:7" ht="13">
      <c r="B416" s="36"/>
      <c r="C416" s="80"/>
      <c r="D416" s="5"/>
      <c r="E416" s="5"/>
      <c r="F416" s="5"/>
      <c r="G416" s="5"/>
    </row>
    <row r="417" spans="2:7" ht="13">
      <c r="B417" s="36"/>
      <c r="C417" s="80"/>
      <c r="D417" s="5"/>
      <c r="E417" s="5"/>
      <c r="F417" s="5"/>
      <c r="G417" s="5"/>
    </row>
    <row r="418" spans="2:7" ht="13">
      <c r="B418" s="36"/>
      <c r="C418" s="80"/>
      <c r="D418" s="5"/>
      <c r="E418" s="5"/>
      <c r="F418" s="5"/>
      <c r="G418" s="5"/>
    </row>
    <row r="419" spans="2:7" ht="13">
      <c r="B419" s="36"/>
      <c r="C419" s="80"/>
      <c r="D419" s="5"/>
      <c r="E419" s="5"/>
      <c r="F419" s="5"/>
      <c r="G419" s="5"/>
    </row>
    <row r="420" spans="2:7" ht="13">
      <c r="B420" s="36"/>
      <c r="C420" s="80"/>
      <c r="D420" s="5"/>
      <c r="E420" s="5"/>
      <c r="F420" s="5"/>
      <c r="G420" s="5"/>
    </row>
    <row r="421" spans="2:7" ht="13">
      <c r="B421" s="36"/>
      <c r="C421" s="80"/>
      <c r="D421" s="5"/>
      <c r="E421" s="5"/>
      <c r="F421" s="5"/>
      <c r="G421" s="5"/>
    </row>
    <row r="422" spans="2:7" ht="13">
      <c r="B422" s="36"/>
      <c r="C422" s="80"/>
      <c r="D422" s="5"/>
      <c r="E422" s="5"/>
      <c r="F422" s="5"/>
      <c r="G422" s="5"/>
    </row>
    <row r="423" spans="2:7" ht="13">
      <c r="B423" s="36"/>
      <c r="C423" s="80"/>
      <c r="D423" s="5"/>
      <c r="E423" s="5"/>
      <c r="F423" s="5"/>
      <c r="G423" s="5"/>
    </row>
    <row r="424" spans="2:7" ht="13">
      <c r="B424" s="36"/>
      <c r="C424" s="80"/>
      <c r="D424" s="5"/>
      <c r="E424" s="5"/>
      <c r="F424" s="5"/>
      <c r="G424" s="5"/>
    </row>
    <row r="425" spans="2:7" ht="13">
      <c r="B425" s="36"/>
      <c r="C425" s="80"/>
      <c r="D425" s="5"/>
      <c r="E425" s="5"/>
      <c r="F425" s="5"/>
      <c r="G425" s="5"/>
    </row>
    <row r="426" spans="2:7" ht="13">
      <c r="B426" s="36"/>
      <c r="C426" s="80"/>
      <c r="D426" s="5"/>
      <c r="E426" s="5"/>
      <c r="F426" s="5"/>
      <c r="G426" s="5"/>
    </row>
    <row r="427" spans="2:7" ht="13">
      <c r="B427" s="36"/>
      <c r="C427" s="80"/>
      <c r="D427" s="5"/>
      <c r="E427" s="5"/>
      <c r="F427" s="5"/>
      <c r="G427" s="5"/>
    </row>
    <row r="428" spans="2:7" ht="13">
      <c r="B428" s="36"/>
      <c r="C428" s="80"/>
      <c r="D428" s="5"/>
      <c r="E428" s="5"/>
      <c r="F428" s="5"/>
      <c r="G428" s="5"/>
    </row>
    <row r="429" spans="2:7" ht="13">
      <c r="B429" s="36"/>
      <c r="C429" s="80"/>
      <c r="D429" s="5"/>
      <c r="E429" s="5"/>
      <c r="F429" s="5"/>
      <c r="G429" s="5"/>
    </row>
    <row r="430" spans="2:7" ht="13">
      <c r="B430" s="36"/>
      <c r="C430" s="80"/>
      <c r="D430" s="5"/>
      <c r="E430" s="5"/>
      <c r="F430" s="5"/>
      <c r="G430" s="5"/>
    </row>
    <row r="431" spans="2:7" ht="13">
      <c r="B431" s="36"/>
      <c r="C431" s="80"/>
      <c r="D431" s="5"/>
      <c r="E431" s="5"/>
      <c r="F431" s="5"/>
      <c r="G431" s="5"/>
    </row>
    <row r="432" spans="2:7" ht="13">
      <c r="B432" s="36"/>
      <c r="C432" s="80"/>
      <c r="D432" s="5"/>
      <c r="E432" s="5"/>
      <c r="F432" s="5"/>
      <c r="G432" s="5"/>
    </row>
    <row r="433" spans="2:7" ht="13">
      <c r="B433" s="36"/>
      <c r="C433" s="80"/>
      <c r="D433" s="5"/>
      <c r="E433" s="5"/>
      <c r="F433" s="5"/>
      <c r="G433" s="5"/>
    </row>
    <row r="434" spans="2:7" ht="13">
      <c r="B434" s="36"/>
      <c r="C434" s="80"/>
      <c r="D434" s="5"/>
      <c r="E434" s="5"/>
      <c r="F434" s="5"/>
      <c r="G434" s="5"/>
    </row>
    <row r="435" spans="2:7" ht="13">
      <c r="B435" s="36"/>
      <c r="C435" s="80"/>
      <c r="D435" s="5"/>
      <c r="E435" s="5"/>
      <c r="F435" s="5"/>
      <c r="G435" s="5"/>
    </row>
    <row r="436" spans="2:7" ht="13">
      <c r="B436" s="36"/>
      <c r="C436" s="80"/>
      <c r="D436" s="5"/>
      <c r="E436" s="5"/>
      <c r="F436" s="5"/>
      <c r="G436" s="5"/>
    </row>
    <row r="437" spans="2:7" ht="13">
      <c r="B437" s="36"/>
      <c r="C437" s="80"/>
      <c r="D437" s="5"/>
      <c r="E437" s="5"/>
      <c r="F437" s="5"/>
      <c r="G437" s="5"/>
    </row>
    <row r="438" spans="2:7" ht="13">
      <c r="B438" s="36"/>
      <c r="C438" s="80"/>
      <c r="D438" s="5"/>
      <c r="E438" s="5"/>
      <c r="F438" s="5"/>
      <c r="G438" s="5"/>
    </row>
    <row r="439" spans="2:7" ht="13">
      <c r="B439" s="36"/>
      <c r="C439" s="80"/>
      <c r="D439" s="5"/>
      <c r="E439" s="5"/>
      <c r="F439" s="5"/>
      <c r="G439" s="5"/>
    </row>
    <row r="440" spans="2:7" ht="13">
      <c r="B440" s="36"/>
      <c r="C440" s="80"/>
      <c r="D440" s="5"/>
      <c r="E440" s="5"/>
      <c r="F440" s="5"/>
      <c r="G440" s="5"/>
    </row>
    <row r="441" spans="2:7" ht="13">
      <c r="B441" s="36"/>
      <c r="C441" s="80"/>
      <c r="D441" s="5"/>
      <c r="E441" s="5"/>
      <c r="F441" s="5"/>
      <c r="G441" s="5"/>
    </row>
    <row r="442" spans="2:7" ht="13">
      <c r="B442" s="36"/>
      <c r="C442" s="80"/>
      <c r="D442" s="5"/>
      <c r="E442" s="5"/>
      <c r="F442" s="5"/>
      <c r="G442" s="5"/>
    </row>
    <row r="443" spans="2:7" ht="13">
      <c r="B443" s="36"/>
      <c r="C443" s="80"/>
      <c r="D443" s="5"/>
      <c r="E443" s="5"/>
      <c r="F443" s="5"/>
      <c r="G443" s="5"/>
    </row>
    <row r="444" spans="2:7" ht="13">
      <c r="B444" s="36"/>
      <c r="C444" s="80"/>
      <c r="D444" s="5"/>
      <c r="E444" s="5"/>
      <c r="F444" s="5"/>
      <c r="G444" s="5"/>
    </row>
    <row r="445" spans="2:7" ht="13">
      <c r="B445" s="36"/>
      <c r="C445" s="80"/>
      <c r="D445" s="5"/>
      <c r="E445" s="5"/>
      <c r="F445" s="5"/>
      <c r="G445" s="5"/>
    </row>
    <row r="446" spans="2:7" ht="13">
      <c r="B446" s="36"/>
      <c r="C446" s="80"/>
      <c r="D446" s="5"/>
      <c r="E446" s="5"/>
      <c r="F446" s="5"/>
      <c r="G446" s="5"/>
    </row>
    <row r="447" spans="2:7" ht="13">
      <c r="B447" s="36"/>
      <c r="C447" s="80"/>
      <c r="D447" s="5"/>
      <c r="E447" s="5"/>
      <c r="F447" s="5"/>
      <c r="G447" s="5"/>
    </row>
    <row r="448" spans="2:7" ht="13">
      <c r="B448" s="36"/>
      <c r="C448" s="80"/>
      <c r="D448" s="5"/>
      <c r="E448" s="5"/>
      <c r="F448" s="5"/>
      <c r="G448" s="5"/>
    </row>
    <row r="449" spans="2:7" ht="13">
      <c r="B449" s="36"/>
      <c r="C449" s="80"/>
      <c r="D449" s="5"/>
      <c r="E449" s="5"/>
      <c r="F449" s="5"/>
      <c r="G449" s="5"/>
    </row>
    <row r="450" spans="2:7" ht="13">
      <c r="B450" s="36"/>
      <c r="C450" s="80"/>
      <c r="D450" s="5"/>
      <c r="E450" s="5"/>
      <c r="F450" s="5"/>
      <c r="G450" s="5"/>
    </row>
    <row r="451" spans="2:7" ht="13">
      <c r="B451" s="36"/>
      <c r="C451" s="80"/>
      <c r="D451" s="5"/>
      <c r="E451" s="5"/>
      <c r="F451" s="5"/>
      <c r="G451" s="5"/>
    </row>
    <row r="452" spans="2:7" ht="13">
      <c r="B452" s="36"/>
      <c r="C452" s="80"/>
      <c r="D452" s="5"/>
      <c r="E452" s="5"/>
      <c r="F452" s="5"/>
      <c r="G452" s="5"/>
    </row>
    <row r="453" spans="2:7" ht="13">
      <c r="B453" s="36"/>
      <c r="C453" s="80"/>
      <c r="D453" s="5"/>
      <c r="E453" s="5"/>
      <c r="F453" s="5"/>
      <c r="G453" s="5"/>
    </row>
    <row r="454" spans="2:7" ht="13">
      <c r="B454" s="36"/>
      <c r="C454" s="80"/>
      <c r="D454" s="5"/>
      <c r="E454" s="5"/>
      <c r="F454" s="5"/>
      <c r="G454" s="5"/>
    </row>
    <row r="455" spans="2:7" ht="13">
      <c r="B455" s="36"/>
      <c r="C455" s="80"/>
      <c r="D455" s="5"/>
      <c r="E455" s="5"/>
      <c r="F455" s="5"/>
      <c r="G455" s="5"/>
    </row>
    <row r="456" spans="2:7" ht="13">
      <c r="B456" s="36"/>
      <c r="C456" s="80"/>
      <c r="D456" s="5"/>
      <c r="E456" s="5"/>
      <c r="F456" s="5"/>
      <c r="G456" s="5"/>
    </row>
    <row r="457" spans="2:7" ht="13">
      <c r="B457" s="36"/>
      <c r="C457" s="80"/>
      <c r="D457" s="5"/>
      <c r="E457" s="5"/>
      <c r="F457" s="5"/>
      <c r="G457" s="5"/>
    </row>
    <row r="458" spans="2:7" ht="13">
      <c r="B458" s="36"/>
      <c r="C458" s="80"/>
      <c r="D458" s="5"/>
      <c r="E458" s="5"/>
      <c r="F458" s="5"/>
      <c r="G458" s="5"/>
    </row>
    <row r="459" spans="2:7" ht="13">
      <c r="B459" s="36"/>
      <c r="C459" s="80"/>
      <c r="D459" s="5"/>
      <c r="E459" s="5"/>
      <c r="F459" s="5"/>
      <c r="G459" s="5"/>
    </row>
    <row r="460" spans="2:7" ht="13">
      <c r="B460" s="36"/>
      <c r="C460" s="80"/>
      <c r="D460" s="5"/>
      <c r="E460" s="5"/>
      <c r="F460" s="5"/>
      <c r="G460" s="5"/>
    </row>
    <row r="461" spans="2:7" ht="13">
      <c r="B461" s="36"/>
      <c r="C461" s="80"/>
      <c r="D461" s="5"/>
      <c r="E461" s="5"/>
      <c r="F461" s="5"/>
      <c r="G461" s="5"/>
    </row>
    <row r="462" spans="2:7" ht="13">
      <c r="B462" s="36"/>
      <c r="C462" s="80"/>
      <c r="D462" s="5"/>
      <c r="E462" s="5"/>
      <c r="F462" s="5"/>
      <c r="G462" s="5"/>
    </row>
    <row r="463" spans="2:7" ht="13">
      <c r="B463" s="36"/>
      <c r="C463" s="80"/>
      <c r="D463" s="5"/>
      <c r="E463" s="5"/>
      <c r="F463" s="5"/>
      <c r="G463" s="5"/>
    </row>
    <row r="464" spans="2:7" ht="13">
      <c r="B464" s="36"/>
      <c r="C464" s="80"/>
      <c r="D464" s="5"/>
      <c r="E464" s="5"/>
      <c r="F464" s="5"/>
      <c r="G464" s="5"/>
    </row>
    <row r="465" spans="2:7" ht="13">
      <c r="B465" s="36"/>
      <c r="C465" s="80"/>
      <c r="D465" s="5"/>
      <c r="E465" s="5"/>
      <c r="F465" s="5"/>
      <c r="G465" s="5"/>
    </row>
    <row r="466" spans="2:7" ht="13">
      <c r="B466" s="36"/>
      <c r="C466" s="80"/>
      <c r="D466" s="5"/>
      <c r="E466" s="5"/>
      <c r="F466" s="5"/>
      <c r="G466" s="5"/>
    </row>
    <row r="467" spans="2:7" ht="13">
      <c r="B467" s="36"/>
      <c r="C467" s="80"/>
      <c r="D467" s="5"/>
      <c r="E467" s="5"/>
      <c r="F467" s="5"/>
      <c r="G467" s="5"/>
    </row>
    <row r="468" spans="2:7" ht="13">
      <c r="B468" s="36"/>
      <c r="C468" s="80"/>
      <c r="D468" s="5"/>
      <c r="E468" s="5"/>
      <c r="F468" s="5"/>
      <c r="G468" s="5"/>
    </row>
    <row r="469" spans="2:7" ht="13">
      <c r="B469" s="36"/>
      <c r="C469" s="80"/>
      <c r="D469" s="5"/>
      <c r="E469" s="5"/>
      <c r="F469" s="5"/>
      <c r="G469" s="5"/>
    </row>
    <row r="470" spans="2:7" ht="13">
      <c r="B470" s="36"/>
      <c r="C470" s="80"/>
      <c r="D470" s="5"/>
      <c r="E470" s="5"/>
      <c r="F470" s="5"/>
      <c r="G470" s="5"/>
    </row>
    <row r="471" spans="2:7" ht="13">
      <c r="B471" s="36"/>
      <c r="C471" s="80"/>
      <c r="D471" s="5"/>
      <c r="E471" s="5"/>
      <c r="F471" s="5"/>
      <c r="G471" s="5"/>
    </row>
    <row r="472" spans="2:7" ht="13">
      <c r="B472" s="36"/>
      <c r="C472" s="80"/>
      <c r="D472" s="5"/>
      <c r="E472" s="5"/>
      <c r="F472" s="5"/>
      <c r="G472" s="5"/>
    </row>
    <row r="473" spans="2:7" ht="13">
      <c r="B473" s="36"/>
      <c r="C473" s="80"/>
      <c r="D473" s="5"/>
      <c r="E473" s="5"/>
      <c r="F473" s="5"/>
      <c r="G473" s="5"/>
    </row>
    <row r="474" spans="2:7" ht="13">
      <c r="B474" s="36"/>
      <c r="C474" s="80"/>
      <c r="D474" s="5"/>
      <c r="E474" s="5"/>
      <c r="F474" s="5"/>
      <c r="G474" s="5"/>
    </row>
    <row r="475" spans="2:7" ht="13">
      <c r="B475" s="36"/>
      <c r="C475" s="80"/>
      <c r="D475" s="5"/>
      <c r="E475" s="5"/>
      <c r="F475" s="5"/>
      <c r="G475" s="5"/>
    </row>
    <row r="476" spans="2:7" ht="13">
      <c r="B476" s="36"/>
      <c r="C476" s="80"/>
      <c r="D476" s="5"/>
      <c r="E476" s="5"/>
      <c r="F476" s="5"/>
      <c r="G476" s="5"/>
    </row>
    <row r="477" spans="2:7" ht="13">
      <c r="B477" s="36"/>
      <c r="C477" s="80"/>
      <c r="D477" s="5"/>
      <c r="E477" s="5"/>
      <c r="F477" s="5"/>
      <c r="G477" s="5"/>
    </row>
    <row r="478" spans="2:7" ht="13">
      <c r="B478" s="36"/>
      <c r="C478" s="80"/>
      <c r="D478" s="5"/>
      <c r="E478" s="5"/>
      <c r="F478" s="5"/>
      <c r="G478" s="5"/>
    </row>
    <row r="479" spans="2:7" ht="13">
      <c r="B479" s="36"/>
      <c r="C479" s="80"/>
      <c r="D479" s="5"/>
      <c r="E479" s="5"/>
      <c r="F479" s="5"/>
      <c r="G479" s="5"/>
    </row>
    <row r="480" spans="2:7" ht="13">
      <c r="B480" s="36"/>
      <c r="C480" s="80"/>
      <c r="D480" s="5"/>
      <c r="E480" s="5"/>
      <c r="F480" s="5"/>
      <c r="G480" s="5"/>
    </row>
    <row r="481" spans="2:7" ht="13">
      <c r="B481" s="36"/>
      <c r="C481" s="80"/>
      <c r="D481" s="5"/>
      <c r="E481" s="5"/>
      <c r="F481" s="5"/>
      <c r="G481" s="5"/>
    </row>
    <row r="482" spans="2:7" ht="13">
      <c r="B482" s="36"/>
      <c r="C482" s="80"/>
      <c r="D482" s="5"/>
      <c r="E482" s="5"/>
      <c r="F482" s="5"/>
      <c r="G482" s="5"/>
    </row>
    <row r="483" spans="2:7" ht="13">
      <c r="B483" s="36"/>
      <c r="C483" s="80"/>
      <c r="D483" s="5"/>
      <c r="E483" s="5"/>
      <c r="F483" s="5"/>
      <c r="G483" s="5"/>
    </row>
    <row r="484" spans="2:7" ht="13">
      <c r="B484" s="36"/>
      <c r="C484" s="80"/>
      <c r="D484" s="5"/>
      <c r="E484" s="5"/>
      <c r="F484" s="5"/>
      <c r="G484" s="5"/>
    </row>
    <row r="485" spans="2:7" ht="13">
      <c r="B485" s="36"/>
      <c r="C485" s="80"/>
      <c r="D485" s="5"/>
      <c r="E485" s="5"/>
      <c r="F485" s="5"/>
      <c r="G485" s="5"/>
    </row>
    <row r="486" spans="2:7" ht="13">
      <c r="B486" s="36"/>
      <c r="C486" s="80"/>
      <c r="D486" s="5"/>
      <c r="E486" s="5"/>
      <c r="F486" s="5"/>
      <c r="G486" s="5"/>
    </row>
    <row r="487" spans="2:7" ht="13">
      <c r="B487" s="36"/>
      <c r="C487" s="80"/>
      <c r="D487" s="5"/>
      <c r="E487" s="5"/>
      <c r="F487" s="5"/>
      <c r="G487" s="5"/>
    </row>
    <row r="488" spans="2:7" ht="13">
      <c r="B488" s="36"/>
      <c r="C488" s="80"/>
      <c r="D488" s="5"/>
      <c r="E488" s="5"/>
      <c r="F488" s="5"/>
      <c r="G488" s="5"/>
    </row>
    <row r="489" spans="2:7" ht="13">
      <c r="B489" s="36"/>
      <c r="C489" s="80"/>
      <c r="D489" s="5"/>
      <c r="E489" s="5"/>
      <c r="F489" s="5"/>
      <c r="G489" s="5"/>
    </row>
    <row r="490" spans="2:7" ht="13">
      <c r="B490" s="36"/>
      <c r="C490" s="80"/>
      <c r="D490" s="5"/>
      <c r="E490" s="5"/>
      <c r="F490" s="5"/>
      <c r="G490" s="5"/>
    </row>
    <row r="491" spans="2:7" ht="13">
      <c r="B491" s="36"/>
      <c r="C491" s="80"/>
      <c r="D491" s="5"/>
      <c r="E491" s="5"/>
      <c r="F491" s="5"/>
      <c r="G491" s="5"/>
    </row>
    <row r="492" spans="2:7" ht="13">
      <c r="B492" s="36"/>
      <c r="C492" s="80"/>
      <c r="D492" s="5"/>
      <c r="E492" s="5"/>
      <c r="F492" s="5"/>
      <c r="G492" s="5"/>
    </row>
    <row r="493" spans="2:7" ht="13">
      <c r="B493" s="36"/>
      <c r="C493" s="80"/>
      <c r="D493" s="5"/>
      <c r="E493" s="5"/>
      <c r="F493" s="5"/>
      <c r="G493" s="5"/>
    </row>
    <row r="494" spans="2:7" ht="13">
      <c r="B494" s="36"/>
      <c r="C494" s="80"/>
      <c r="D494" s="5"/>
      <c r="E494" s="5"/>
      <c r="F494" s="5"/>
      <c r="G494" s="5"/>
    </row>
    <row r="495" spans="2:7" ht="13">
      <c r="B495" s="36"/>
      <c r="C495" s="80"/>
      <c r="D495" s="5"/>
      <c r="E495" s="5"/>
      <c r="F495" s="5"/>
      <c r="G495" s="5"/>
    </row>
    <row r="496" spans="2:7" ht="13">
      <c r="B496" s="36"/>
      <c r="C496" s="80"/>
      <c r="D496" s="5"/>
      <c r="E496" s="5"/>
      <c r="F496" s="5"/>
      <c r="G496" s="5"/>
    </row>
    <row r="497" spans="2:7" ht="13">
      <c r="B497" s="36"/>
      <c r="C497" s="80"/>
      <c r="D497" s="5"/>
      <c r="E497" s="5"/>
      <c r="F497" s="5"/>
      <c r="G497" s="5"/>
    </row>
    <row r="498" spans="2:7" ht="13">
      <c r="B498" s="36"/>
      <c r="C498" s="80"/>
      <c r="D498" s="5"/>
      <c r="E498" s="5"/>
      <c r="F498" s="5"/>
      <c r="G498" s="5"/>
    </row>
    <row r="499" spans="2:7" ht="13">
      <c r="B499" s="36"/>
      <c r="C499" s="80"/>
      <c r="D499" s="5"/>
      <c r="E499" s="5"/>
      <c r="F499" s="5"/>
      <c r="G499" s="5"/>
    </row>
    <row r="500" spans="2:7" ht="13">
      <c r="B500" s="36"/>
      <c r="C500" s="80"/>
      <c r="D500" s="5"/>
      <c r="E500" s="5"/>
      <c r="F500" s="5"/>
      <c r="G500" s="5"/>
    </row>
    <row r="501" spans="2:7" ht="13">
      <c r="B501" s="36"/>
      <c r="C501" s="80"/>
      <c r="D501" s="5"/>
      <c r="E501" s="5"/>
      <c r="F501" s="5"/>
      <c r="G501" s="5"/>
    </row>
    <row r="502" spans="2:7" ht="13">
      <c r="B502" s="36"/>
      <c r="C502" s="80"/>
      <c r="D502" s="5"/>
      <c r="E502" s="5"/>
      <c r="F502" s="5"/>
      <c r="G502" s="5"/>
    </row>
    <row r="503" spans="2:7" ht="13">
      <c r="B503" s="36"/>
      <c r="C503" s="80"/>
      <c r="D503" s="5"/>
      <c r="E503" s="5"/>
      <c r="F503" s="5"/>
      <c r="G503" s="5"/>
    </row>
    <row r="504" spans="2:7" ht="13">
      <c r="B504" s="36"/>
      <c r="C504" s="80"/>
      <c r="D504" s="5"/>
      <c r="E504" s="5"/>
      <c r="F504" s="5"/>
      <c r="G504" s="5"/>
    </row>
    <row r="505" spans="2:7" ht="13">
      <c r="B505" s="36"/>
      <c r="C505" s="80"/>
      <c r="D505" s="5"/>
      <c r="E505" s="5"/>
      <c r="F505" s="5"/>
      <c r="G505" s="5"/>
    </row>
    <row r="506" spans="2:7" ht="13">
      <c r="B506" s="36"/>
      <c r="C506" s="80"/>
      <c r="D506" s="5"/>
      <c r="E506" s="5"/>
      <c r="F506" s="5"/>
      <c r="G506" s="5"/>
    </row>
    <row r="507" spans="2:7" ht="13">
      <c r="B507" s="36"/>
      <c r="C507" s="80"/>
      <c r="D507" s="5"/>
      <c r="E507" s="5"/>
      <c r="F507" s="5"/>
      <c r="G507" s="5"/>
    </row>
    <row r="508" spans="2:7" ht="13">
      <c r="B508" s="36"/>
      <c r="C508" s="80"/>
      <c r="D508" s="5"/>
      <c r="E508" s="5"/>
      <c r="F508" s="5"/>
      <c r="G508" s="5"/>
    </row>
    <row r="509" spans="2:7" ht="13">
      <c r="B509" s="36"/>
      <c r="C509" s="80"/>
      <c r="D509" s="5"/>
      <c r="E509" s="5"/>
      <c r="F509" s="5"/>
      <c r="G509" s="5"/>
    </row>
    <row r="510" spans="2:7" ht="13">
      <c r="B510" s="36"/>
      <c r="C510" s="80"/>
      <c r="D510" s="5"/>
      <c r="E510" s="5"/>
      <c r="F510" s="5"/>
      <c r="G510" s="5"/>
    </row>
    <row r="511" spans="2:7" ht="13">
      <c r="B511" s="36"/>
      <c r="C511" s="80"/>
      <c r="D511" s="5"/>
      <c r="E511" s="5"/>
      <c r="F511" s="5"/>
      <c r="G511" s="5"/>
    </row>
    <row r="512" spans="2:7" ht="13">
      <c r="B512" s="36"/>
      <c r="C512" s="80"/>
      <c r="D512" s="5"/>
      <c r="E512" s="5"/>
      <c r="F512" s="5"/>
      <c r="G512" s="5"/>
    </row>
    <row r="513" spans="2:7" ht="13">
      <c r="B513" s="36"/>
      <c r="C513" s="80"/>
      <c r="D513" s="5"/>
      <c r="E513" s="5"/>
      <c r="F513" s="5"/>
      <c r="G513" s="5"/>
    </row>
    <row r="514" spans="2:7" ht="13">
      <c r="B514" s="36"/>
      <c r="C514" s="80"/>
      <c r="D514" s="5"/>
      <c r="E514" s="5"/>
      <c r="F514" s="5"/>
      <c r="G514" s="5"/>
    </row>
    <row r="515" spans="2:7" ht="13">
      <c r="B515" s="36"/>
      <c r="C515" s="80"/>
      <c r="D515" s="5"/>
      <c r="E515" s="5"/>
      <c r="F515" s="5"/>
      <c r="G515" s="5"/>
    </row>
    <row r="516" spans="2:7" ht="13">
      <c r="B516" s="36"/>
      <c r="C516" s="80"/>
      <c r="D516" s="5"/>
      <c r="E516" s="5"/>
      <c r="F516" s="5"/>
      <c r="G516" s="5"/>
    </row>
    <row r="517" spans="2:7" ht="13">
      <c r="B517" s="36"/>
      <c r="C517" s="80"/>
      <c r="D517" s="5"/>
      <c r="E517" s="5"/>
      <c r="F517" s="5"/>
      <c r="G517" s="5"/>
    </row>
    <row r="518" spans="2:7" ht="13">
      <c r="B518" s="36"/>
      <c r="C518" s="80"/>
      <c r="D518" s="5"/>
      <c r="E518" s="5"/>
      <c r="F518" s="5"/>
      <c r="G518" s="5"/>
    </row>
    <row r="519" spans="2:7" ht="13">
      <c r="B519" s="36"/>
      <c r="C519" s="80"/>
      <c r="D519" s="5"/>
      <c r="E519" s="5"/>
      <c r="F519" s="5"/>
      <c r="G519" s="5"/>
    </row>
    <row r="520" spans="2:7" ht="13">
      <c r="B520" s="36"/>
      <c r="C520" s="80"/>
      <c r="D520" s="5"/>
      <c r="E520" s="5"/>
      <c r="F520" s="5"/>
      <c r="G520" s="5"/>
    </row>
    <row r="521" spans="2:7" ht="13">
      <c r="B521" s="36"/>
      <c r="C521" s="80"/>
      <c r="D521" s="5"/>
      <c r="E521" s="5"/>
      <c r="F521" s="5"/>
      <c r="G521" s="5"/>
    </row>
    <row r="522" spans="2:7" ht="13">
      <c r="B522" s="36"/>
      <c r="C522" s="80"/>
      <c r="D522" s="5"/>
      <c r="E522" s="5"/>
      <c r="F522" s="5"/>
      <c r="G522" s="5"/>
    </row>
    <row r="523" spans="2:7" ht="13">
      <c r="B523" s="36"/>
      <c r="C523" s="80"/>
      <c r="D523" s="5"/>
      <c r="E523" s="5"/>
      <c r="F523" s="5"/>
      <c r="G523" s="5"/>
    </row>
    <row r="524" spans="2:7" ht="13">
      <c r="B524" s="36"/>
      <c r="C524" s="80"/>
      <c r="D524" s="5"/>
      <c r="E524" s="5"/>
      <c r="F524" s="5"/>
      <c r="G524" s="5"/>
    </row>
    <row r="525" spans="2:7" ht="13">
      <c r="B525" s="36"/>
      <c r="C525" s="80"/>
      <c r="D525" s="5"/>
      <c r="E525" s="5"/>
      <c r="F525" s="5"/>
      <c r="G525" s="5"/>
    </row>
    <row r="526" spans="2:7" ht="13">
      <c r="B526" s="36"/>
      <c r="C526" s="80"/>
      <c r="D526" s="5"/>
      <c r="E526" s="5"/>
      <c r="F526" s="5"/>
      <c r="G526" s="5"/>
    </row>
    <row r="527" spans="2:7" ht="13">
      <c r="B527" s="36"/>
      <c r="C527" s="80"/>
      <c r="D527" s="5"/>
      <c r="E527" s="5"/>
      <c r="F527" s="5"/>
      <c r="G527" s="5"/>
    </row>
    <row r="528" spans="2:7" ht="13">
      <c r="B528" s="36"/>
      <c r="C528" s="80"/>
      <c r="D528" s="5"/>
      <c r="E528" s="5"/>
      <c r="F528" s="5"/>
      <c r="G528" s="5"/>
    </row>
    <row r="529" spans="2:7" ht="13">
      <c r="B529" s="36"/>
      <c r="C529" s="80"/>
      <c r="D529" s="5"/>
      <c r="E529" s="5"/>
      <c r="F529" s="5"/>
      <c r="G529" s="5"/>
    </row>
    <row r="530" spans="2:7" ht="13">
      <c r="B530" s="36"/>
      <c r="C530" s="80"/>
      <c r="D530" s="5"/>
      <c r="E530" s="5"/>
      <c r="F530" s="5"/>
      <c r="G530" s="5"/>
    </row>
    <row r="531" spans="2:7" ht="13">
      <c r="B531" s="36"/>
      <c r="C531" s="80"/>
      <c r="D531" s="5"/>
      <c r="E531" s="5"/>
      <c r="F531" s="5"/>
      <c r="G531" s="5"/>
    </row>
    <row r="532" spans="2:7" ht="13">
      <c r="B532" s="36"/>
      <c r="C532" s="80"/>
      <c r="D532" s="5"/>
      <c r="E532" s="5"/>
      <c r="F532" s="5"/>
      <c r="G532" s="5"/>
    </row>
    <row r="533" spans="2:7" ht="13">
      <c r="B533" s="36"/>
      <c r="C533" s="80"/>
      <c r="D533" s="5"/>
      <c r="E533" s="5"/>
      <c r="F533" s="5"/>
      <c r="G533" s="5"/>
    </row>
    <row r="534" spans="2:7" ht="13">
      <c r="B534" s="36"/>
      <c r="C534" s="80"/>
      <c r="D534" s="5"/>
      <c r="E534" s="5"/>
      <c r="F534" s="5"/>
      <c r="G534" s="5"/>
    </row>
    <row r="535" spans="2:7" ht="13">
      <c r="B535" s="36"/>
      <c r="C535" s="80"/>
      <c r="D535" s="5"/>
      <c r="E535" s="5"/>
      <c r="F535" s="5"/>
      <c r="G535" s="5"/>
    </row>
    <row r="536" spans="2:7" ht="13">
      <c r="B536" s="36"/>
      <c r="C536" s="80"/>
      <c r="D536" s="5"/>
      <c r="E536" s="5"/>
      <c r="F536" s="5"/>
      <c r="G536" s="5"/>
    </row>
    <row r="537" spans="2:7" ht="13">
      <c r="B537" s="36"/>
      <c r="C537" s="80"/>
      <c r="D537" s="5"/>
      <c r="E537" s="5"/>
      <c r="F537" s="5"/>
      <c r="G537" s="5"/>
    </row>
    <row r="538" spans="2:7" ht="13">
      <c r="B538" s="36"/>
      <c r="C538" s="80"/>
      <c r="D538" s="5"/>
      <c r="E538" s="5"/>
      <c r="F538" s="5"/>
      <c r="G538" s="5"/>
    </row>
    <row r="539" spans="2:7" ht="13">
      <c r="B539" s="36"/>
      <c r="C539" s="80"/>
      <c r="D539" s="5"/>
      <c r="E539" s="5"/>
      <c r="F539" s="5"/>
      <c r="G539" s="5"/>
    </row>
    <row r="540" spans="2:7" ht="13">
      <c r="B540" s="36"/>
      <c r="C540" s="80"/>
      <c r="D540" s="5"/>
      <c r="E540" s="5"/>
      <c r="F540" s="5"/>
      <c r="G540" s="5"/>
    </row>
    <row r="541" spans="2:7" ht="13">
      <c r="B541" s="36"/>
      <c r="C541" s="80"/>
      <c r="D541" s="5"/>
      <c r="E541" s="5"/>
      <c r="F541" s="5"/>
      <c r="G541" s="5"/>
    </row>
    <row r="542" spans="2:7" ht="13">
      <c r="B542" s="36"/>
      <c r="C542" s="80"/>
      <c r="D542" s="5"/>
      <c r="E542" s="5"/>
      <c r="F542" s="5"/>
      <c r="G542" s="5"/>
    </row>
    <row r="543" spans="2:7" ht="13">
      <c r="B543" s="36"/>
      <c r="C543" s="80"/>
      <c r="D543" s="5"/>
      <c r="E543" s="5"/>
      <c r="F543" s="5"/>
      <c r="G543" s="5"/>
    </row>
    <row r="544" spans="2:7" ht="13">
      <c r="B544" s="36"/>
      <c r="C544" s="80"/>
      <c r="D544" s="5"/>
      <c r="E544" s="5"/>
      <c r="F544" s="5"/>
      <c r="G544" s="5"/>
    </row>
    <row r="545" spans="2:7" ht="13">
      <c r="B545" s="36"/>
      <c r="C545" s="80"/>
      <c r="D545" s="5"/>
      <c r="E545" s="5"/>
      <c r="F545" s="5"/>
      <c r="G545" s="5"/>
    </row>
    <row r="546" spans="2:7" ht="13">
      <c r="B546" s="36"/>
      <c r="C546" s="80"/>
      <c r="D546" s="5"/>
      <c r="E546" s="5"/>
      <c r="F546" s="5"/>
      <c r="G546" s="5"/>
    </row>
    <row r="547" spans="2:7" ht="13">
      <c r="B547" s="36"/>
      <c r="C547" s="80"/>
      <c r="D547" s="5"/>
      <c r="E547" s="5"/>
      <c r="F547" s="5"/>
      <c r="G547" s="5"/>
    </row>
    <row r="548" spans="2:7" ht="13">
      <c r="B548" s="36"/>
      <c r="C548" s="80"/>
      <c r="D548" s="5"/>
      <c r="E548" s="5"/>
      <c r="F548" s="5"/>
      <c r="G548" s="5"/>
    </row>
    <row r="549" spans="2:7" ht="13">
      <c r="B549" s="36"/>
      <c r="C549" s="80"/>
      <c r="D549" s="5"/>
      <c r="E549" s="5"/>
      <c r="F549" s="5"/>
      <c r="G549" s="5"/>
    </row>
    <row r="550" spans="2:7" ht="13">
      <c r="B550" s="36"/>
      <c r="C550" s="80"/>
      <c r="D550" s="5"/>
      <c r="E550" s="5"/>
      <c r="F550" s="5"/>
      <c r="G550" s="5"/>
    </row>
    <row r="551" spans="2:7" ht="13">
      <c r="B551" s="36"/>
      <c r="C551" s="80"/>
      <c r="D551" s="5"/>
      <c r="E551" s="5"/>
      <c r="F551" s="5"/>
      <c r="G551" s="5"/>
    </row>
    <row r="552" spans="2:7" ht="13">
      <c r="B552" s="36"/>
      <c r="C552" s="80"/>
      <c r="D552" s="5"/>
      <c r="E552" s="5"/>
      <c r="F552" s="5"/>
      <c r="G552" s="5"/>
    </row>
    <row r="553" spans="2:7" ht="13">
      <c r="B553" s="36"/>
      <c r="C553" s="80"/>
      <c r="D553" s="5"/>
      <c r="E553" s="5"/>
      <c r="F553" s="5"/>
      <c r="G553" s="5"/>
    </row>
    <row r="554" spans="2:7" ht="13">
      <c r="B554" s="36"/>
      <c r="C554" s="80"/>
      <c r="D554" s="5"/>
      <c r="E554" s="5"/>
      <c r="F554" s="5"/>
      <c r="G554" s="5"/>
    </row>
    <row r="555" spans="2:7" ht="13">
      <c r="B555" s="36"/>
      <c r="C555" s="80"/>
      <c r="D555" s="5"/>
      <c r="E555" s="5"/>
      <c r="F555" s="5"/>
      <c r="G555" s="5"/>
    </row>
    <row r="556" spans="2:7" ht="13">
      <c r="B556" s="36"/>
      <c r="C556" s="80"/>
      <c r="D556" s="5"/>
      <c r="E556" s="5"/>
      <c r="F556" s="5"/>
      <c r="G556" s="5"/>
    </row>
    <row r="557" spans="2:7" ht="13">
      <c r="B557" s="36"/>
      <c r="C557" s="80"/>
      <c r="D557" s="5"/>
      <c r="E557" s="5"/>
      <c r="F557" s="5"/>
      <c r="G557" s="5"/>
    </row>
    <row r="558" spans="2:7" ht="13">
      <c r="B558" s="36"/>
      <c r="C558" s="80"/>
      <c r="D558" s="5"/>
      <c r="E558" s="5"/>
      <c r="F558" s="5"/>
      <c r="G558" s="5"/>
    </row>
    <row r="559" spans="2:7" ht="13">
      <c r="B559" s="36"/>
      <c r="C559" s="80"/>
      <c r="D559" s="5"/>
      <c r="E559" s="5"/>
      <c r="F559" s="5"/>
      <c r="G559" s="5"/>
    </row>
    <row r="560" spans="2:7" ht="13">
      <c r="B560" s="36"/>
      <c r="C560" s="80"/>
      <c r="D560" s="5"/>
      <c r="E560" s="5"/>
      <c r="F560" s="5"/>
      <c r="G560" s="5"/>
    </row>
    <row r="561" spans="2:7" ht="13">
      <c r="B561" s="36"/>
      <c r="C561" s="80"/>
      <c r="D561" s="5"/>
      <c r="E561" s="5"/>
      <c r="F561" s="5"/>
      <c r="G561" s="5"/>
    </row>
    <row r="562" spans="2:7" ht="13">
      <c r="B562" s="36"/>
      <c r="C562" s="80"/>
      <c r="D562" s="5"/>
      <c r="E562" s="5"/>
      <c r="F562" s="5"/>
      <c r="G562" s="5"/>
    </row>
    <row r="563" spans="2:7" ht="13">
      <c r="B563" s="36"/>
      <c r="C563" s="80"/>
      <c r="D563" s="5"/>
      <c r="E563" s="5"/>
      <c r="F563" s="5"/>
      <c r="G563" s="5"/>
    </row>
    <row r="564" spans="2:7" ht="13">
      <c r="B564" s="36"/>
      <c r="C564" s="80"/>
      <c r="D564" s="5"/>
      <c r="E564" s="5"/>
      <c r="F564" s="5"/>
      <c r="G564" s="5"/>
    </row>
    <row r="565" spans="2:7" ht="13">
      <c r="B565" s="36"/>
      <c r="C565" s="80"/>
      <c r="D565" s="5"/>
      <c r="E565" s="5"/>
      <c r="F565" s="5"/>
      <c r="G565" s="5"/>
    </row>
    <row r="566" spans="2:7" ht="13">
      <c r="B566" s="36"/>
      <c r="C566" s="80"/>
      <c r="D566" s="5"/>
      <c r="E566" s="5"/>
      <c r="F566" s="5"/>
      <c r="G566" s="5"/>
    </row>
    <row r="567" spans="2:7" ht="13">
      <c r="B567" s="36"/>
      <c r="C567" s="80"/>
      <c r="D567" s="5"/>
      <c r="E567" s="5"/>
      <c r="F567" s="5"/>
      <c r="G567" s="5"/>
    </row>
    <row r="568" spans="2:7" ht="13">
      <c r="B568" s="36"/>
      <c r="C568" s="80"/>
      <c r="D568" s="5"/>
      <c r="E568" s="5"/>
      <c r="F568" s="5"/>
      <c r="G568" s="5"/>
    </row>
    <row r="569" spans="2:7" ht="13">
      <c r="B569" s="36"/>
      <c r="C569" s="80"/>
      <c r="D569" s="5"/>
      <c r="E569" s="5"/>
      <c r="F569" s="5"/>
      <c r="G569" s="5"/>
    </row>
    <row r="570" spans="2:7" ht="13">
      <c r="B570" s="36"/>
      <c r="C570" s="80"/>
      <c r="D570" s="5"/>
      <c r="E570" s="5"/>
      <c r="F570" s="5"/>
      <c r="G570" s="5"/>
    </row>
    <row r="571" spans="2:7" ht="13">
      <c r="B571" s="36"/>
      <c r="C571" s="80"/>
      <c r="D571" s="5"/>
      <c r="E571" s="5"/>
      <c r="F571" s="5"/>
      <c r="G571" s="5"/>
    </row>
    <row r="572" spans="2:7" ht="13">
      <c r="B572" s="36"/>
      <c r="C572" s="80"/>
      <c r="D572" s="5"/>
      <c r="E572" s="5"/>
      <c r="F572" s="5"/>
      <c r="G572" s="5"/>
    </row>
    <row r="573" spans="2:7" ht="13">
      <c r="B573" s="36"/>
      <c r="C573" s="80"/>
      <c r="D573" s="5"/>
      <c r="E573" s="5"/>
      <c r="F573" s="5"/>
      <c r="G573" s="5"/>
    </row>
    <row r="574" spans="2:7" ht="13">
      <c r="B574" s="36"/>
      <c r="C574" s="80"/>
      <c r="D574" s="5"/>
      <c r="E574" s="5"/>
      <c r="F574" s="5"/>
      <c r="G574" s="5"/>
    </row>
    <row r="575" spans="2:7" ht="13">
      <c r="B575" s="36"/>
      <c r="C575" s="80"/>
      <c r="D575" s="5"/>
      <c r="E575" s="5"/>
      <c r="F575" s="5"/>
      <c r="G575" s="5"/>
    </row>
    <row r="576" spans="2:7" ht="13">
      <c r="B576" s="36"/>
      <c r="C576" s="80"/>
      <c r="D576" s="5"/>
      <c r="E576" s="5"/>
      <c r="F576" s="5"/>
      <c r="G576" s="5"/>
    </row>
    <row r="577" spans="2:7" ht="13">
      <c r="B577" s="36"/>
      <c r="C577" s="80"/>
      <c r="D577" s="5"/>
      <c r="E577" s="5"/>
      <c r="F577" s="5"/>
      <c r="G577" s="5"/>
    </row>
    <row r="578" spans="2:7" ht="13">
      <c r="B578" s="36"/>
      <c r="C578" s="80"/>
      <c r="D578" s="5"/>
      <c r="E578" s="5"/>
      <c r="F578" s="5"/>
      <c r="G578" s="5"/>
    </row>
    <row r="579" spans="2:7" ht="13">
      <c r="B579" s="36"/>
      <c r="C579" s="80"/>
      <c r="D579" s="5"/>
      <c r="E579" s="5"/>
      <c r="F579" s="5"/>
      <c r="G579" s="5"/>
    </row>
    <row r="580" spans="2:7" ht="13">
      <c r="B580" s="36"/>
      <c r="C580" s="80"/>
      <c r="D580" s="5"/>
      <c r="E580" s="5"/>
      <c r="F580" s="5"/>
      <c r="G580" s="5"/>
    </row>
    <row r="581" spans="2:7" ht="13">
      <c r="B581" s="36"/>
      <c r="C581" s="80"/>
      <c r="D581" s="5"/>
      <c r="E581" s="5"/>
      <c r="F581" s="5"/>
      <c r="G581" s="5"/>
    </row>
    <row r="582" spans="2:7" ht="13">
      <c r="B582" s="36"/>
      <c r="C582" s="80"/>
      <c r="D582" s="5"/>
      <c r="E582" s="5"/>
      <c r="F582" s="5"/>
      <c r="G582" s="5"/>
    </row>
    <row r="583" spans="2:7" ht="13">
      <c r="B583" s="36"/>
      <c r="C583" s="80"/>
      <c r="D583" s="5"/>
      <c r="E583" s="5"/>
      <c r="F583" s="5"/>
      <c r="G583" s="5"/>
    </row>
    <row r="584" spans="2:7" ht="13">
      <c r="B584" s="36"/>
      <c r="C584" s="80"/>
      <c r="D584" s="5"/>
      <c r="E584" s="5"/>
      <c r="F584" s="5"/>
      <c r="G584" s="5"/>
    </row>
    <row r="585" spans="2:7" ht="13">
      <c r="B585" s="36"/>
      <c r="C585" s="80"/>
      <c r="D585" s="5"/>
      <c r="E585" s="5"/>
      <c r="F585" s="5"/>
      <c r="G585" s="5"/>
    </row>
    <row r="586" spans="2:7" ht="13">
      <c r="B586" s="36"/>
      <c r="C586" s="80"/>
      <c r="D586" s="5"/>
      <c r="E586" s="5"/>
      <c r="F586" s="5"/>
      <c r="G586" s="5"/>
    </row>
    <row r="587" spans="2:7" ht="13">
      <c r="B587" s="36"/>
      <c r="C587" s="80"/>
      <c r="D587" s="5"/>
      <c r="E587" s="5"/>
      <c r="F587" s="5"/>
      <c r="G587" s="5"/>
    </row>
    <row r="588" spans="2:7" ht="13">
      <c r="B588" s="36"/>
      <c r="C588" s="80"/>
      <c r="D588" s="5"/>
      <c r="E588" s="5"/>
      <c r="F588" s="5"/>
      <c r="G588" s="5"/>
    </row>
    <row r="589" spans="2:7" ht="13">
      <c r="B589" s="36"/>
      <c r="C589" s="80"/>
      <c r="D589" s="5"/>
      <c r="E589" s="5"/>
      <c r="F589" s="5"/>
      <c r="G589" s="5"/>
    </row>
    <row r="590" spans="2:7" ht="13">
      <c r="B590" s="36"/>
      <c r="C590" s="80"/>
      <c r="D590" s="5"/>
      <c r="E590" s="5"/>
      <c r="F590" s="5"/>
      <c r="G590" s="5"/>
    </row>
    <row r="591" spans="2:7" ht="13">
      <c r="B591" s="36"/>
      <c r="C591" s="80"/>
      <c r="D591" s="5"/>
      <c r="E591" s="5"/>
      <c r="F591" s="5"/>
      <c r="G591" s="5"/>
    </row>
    <row r="592" spans="2:7" ht="13">
      <c r="B592" s="36"/>
      <c r="C592" s="80"/>
      <c r="D592" s="5"/>
      <c r="E592" s="5"/>
      <c r="F592" s="5"/>
      <c r="G592" s="5"/>
    </row>
    <row r="593" spans="2:7" ht="13">
      <c r="B593" s="36"/>
      <c r="C593" s="80"/>
      <c r="D593" s="5"/>
      <c r="E593" s="5"/>
      <c r="F593" s="5"/>
      <c r="G593" s="5"/>
    </row>
    <row r="594" spans="2:7" ht="13">
      <c r="B594" s="36"/>
      <c r="C594" s="80"/>
      <c r="D594" s="5"/>
      <c r="E594" s="5"/>
      <c r="F594" s="5"/>
      <c r="G594" s="5"/>
    </row>
    <row r="595" spans="2:7" ht="13">
      <c r="B595" s="36"/>
      <c r="C595" s="80"/>
      <c r="D595" s="5"/>
      <c r="E595" s="5"/>
      <c r="F595" s="5"/>
      <c r="G595" s="5"/>
    </row>
    <row r="596" spans="2:7" ht="13">
      <c r="B596" s="36"/>
      <c r="C596" s="80"/>
      <c r="D596" s="5"/>
      <c r="E596" s="5"/>
      <c r="F596" s="5"/>
      <c r="G596" s="5"/>
    </row>
    <row r="597" spans="2:7" ht="13">
      <c r="B597" s="36"/>
      <c r="C597" s="80"/>
      <c r="D597" s="5"/>
      <c r="E597" s="5"/>
      <c r="F597" s="5"/>
      <c r="G597" s="5"/>
    </row>
    <row r="598" spans="2:7" ht="13">
      <c r="B598" s="36"/>
      <c r="C598" s="80"/>
      <c r="D598" s="5"/>
      <c r="E598" s="5"/>
      <c r="F598" s="5"/>
      <c r="G598" s="5"/>
    </row>
    <row r="599" spans="2:7" ht="13">
      <c r="B599" s="36"/>
      <c r="C599" s="80"/>
      <c r="D599" s="5"/>
      <c r="E599" s="5"/>
      <c r="F599" s="5"/>
      <c r="G599" s="5"/>
    </row>
    <row r="600" spans="2:7" ht="13">
      <c r="B600" s="36"/>
      <c r="C600" s="80"/>
      <c r="D600" s="5"/>
      <c r="E600" s="5"/>
      <c r="F600" s="5"/>
      <c r="G600" s="5"/>
    </row>
    <row r="601" spans="2:7" ht="13">
      <c r="B601" s="36"/>
      <c r="C601" s="80"/>
      <c r="D601" s="5"/>
      <c r="E601" s="5"/>
      <c r="F601" s="5"/>
      <c r="G601" s="5"/>
    </row>
    <row r="602" spans="2:7" ht="13">
      <c r="B602" s="36"/>
      <c r="C602" s="80"/>
      <c r="D602" s="5"/>
      <c r="E602" s="5"/>
      <c r="F602" s="5"/>
      <c r="G602" s="5"/>
    </row>
    <row r="603" spans="2:7" ht="13">
      <c r="B603" s="36"/>
      <c r="C603" s="80"/>
      <c r="D603" s="5"/>
      <c r="E603" s="5"/>
      <c r="F603" s="5"/>
      <c r="G603" s="5"/>
    </row>
    <row r="604" spans="2:7" ht="13">
      <c r="B604" s="36"/>
      <c r="C604" s="80"/>
      <c r="D604" s="5"/>
      <c r="E604" s="5"/>
      <c r="F604" s="5"/>
      <c r="G604" s="5"/>
    </row>
    <row r="605" spans="2:7" ht="13">
      <c r="B605" s="36"/>
      <c r="C605" s="80"/>
      <c r="D605" s="5"/>
      <c r="E605" s="5"/>
      <c r="F605" s="5"/>
      <c r="G605" s="5"/>
    </row>
    <row r="606" spans="2:7" ht="13">
      <c r="B606" s="36"/>
      <c r="C606" s="80"/>
      <c r="D606" s="5"/>
      <c r="E606" s="5"/>
      <c r="F606" s="5"/>
      <c r="G606" s="5"/>
    </row>
    <row r="607" spans="2:7" ht="13">
      <c r="B607" s="36"/>
      <c r="C607" s="80"/>
      <c r="D607" s="5"/>
      <c r="E607" s="5"/>
      <c r="F607" s="5"/>
      <c r="G607" s="5"/>
    </row>
    <row r="608" spans="2:7" ht="13">
      <c r="B608" s="36"/>
      <c r="C608" s="80"/>
      <c r="D608" s="5"/>
      <c r="E608" s="5"/>
      <c r="F608" s="5"/>
      <c r="G608" s="5"/>
    </row>
    <row r="609" spans="2:7" ht="13">
      <c r="B609" s="36"/>
      <c r="C609" s="80"/>
      <c r="D609" s="5"/>
      <c r="E609" s="5"/>
      <c r="F609" s="5"/>
      <c r="G609" s="5"/>
    </row>
    <row r="610" spans="2:7" ht="13">
      <c r="B610" s="36"/>
      <c r="C610" s="80"/>
      <c r="D610" s="5"/>
      <c r="E610" s="5"/>
      <c r="F610" s="5"/>
      <c r="G610" s="5"/>
    </row>
    <row r="611" spans="2:7" ht="13">
      <c r="B611" s="36"/>
      <c r="C611" s="80"/>
      <c r="D611" s="5"/>
      <c r="E611" s="5"/>
      <c r="F611" s="5"/>
      <c r="G611" s="5"/>
    </row>
    <row r="612" spans="2:7" ht="13">
      <c r="B612" s="36"/>
      <c r="C612" s="80"/>
      <c r="D612" s="5"/>
      <c r="E612" s="5"/>
      <c r="F612" s="5"/>
      <c r="G612" s="5"/>
    </row>
    <row r="613" spans="2:7" ht="13">
      <c r="B613" s="36"/>
      <c r="C613" s="80"/>
      <c r="D613" s="5"/>
      <c r="E613" s="5"/>
      <c r="F613" s="5"/>
      <c r="G613" s="5"/>
    </row>
    <row r="614" spans="2:7" ht="13">
      <c r="B614" s="36"/>
      <c r="C614" s="80"/>
      <c r="D614" s="5"/>
      <c r="E614" s="5"/>
      <c r="F614" s="5"/>
      <c r="G614" s="5"/>
    </row>
    <row r="615" spans="2:7" ht="13">
      <c r="B615" s="36"/>
      <c r="C615" s="80"/>
      <c r="D615" s="5"/>
      <c r="E615" s="5"/>
      <c r="F615" s="5"/>
      <c r="G615" s="5"/>
    </row>
    <row r="616" spans="2:7" ht="13">
      <c r="B616" s="36"/>
      <c r="C616" s="80"/>
      <c r="D616" s="5"/>
      <c r="E616" s="5"/>
      <c r="F616" s="5"/>
      <c r="G616" s="5"/>
    </row>
    <row r="617" spans="2:7" ht="13">
      <c r="B617" s="36"/>
      <c r="C617" s="80"/>
      <c r="D617" s="5"/>
      <c r="E617" s="5"/>
      <c r="F617" s="5"/>
      <c r="G617" s="5"/>
    </row>
    <row r="618" spans="2:7" ht="13">
      <c r="B618" s="36"/>
      <c r="C618" s="80"/>
      <c r="D618" s="5"/>
      <c r="E618" s="5"/>
      <c r="F618" s="5"/>
      <c r="G618" s="5"/>
    </row>
    <row r="619" spans="2:7" ht="13">
      <c r="B619" s="36"/>
      <c r="C619" s="80"/>
      <c r="D619" s="5"/>
      <c r="E619" s="5"/>
      <c r="F619" s="5"/>
      <c r="G619" s="5"/>
    </row>
    <row r="620" spans="2:7" ht="13">
      <c r="B620" s="36"/>
      <c r="C620" s="80"/>
      <c r="D620" s="5"/>
      <c r="E620" s="5"/>
      <c r="F620" s="5"/>
      <c r="G620" s="5"/>
    </row>
    <row r="621" spans="2:7" ht="13">
      <c r="B621" s="36"/>
      <c r="C621" s="80"/>
      <c r="D621" s="5"/>
      <c r="E621" s="5"/>
      <c r="F621" s="5"/>
      <c r="G621" s="5"/>
    </row>
    <row r="622" spans="2:7" ht="13">
      <c r="B622" s="36"/>
      <c r="C622" s="80"/>
      <c r="D622" s="5"/>
      <c r="E622" s="5"/>
      <c r="F622" s="5"/>
      <c r="G622" s="5"/>
    </row>
    <row r="623" spans="2:7" ht="13">
      <c r="B623" s="36"/>
      <c r="C623" s="80"/>
      <c r="D623" s="5"/>
      <c r="E623" s="5"/>
      <c r="F623" s="5"/>
      <c r="G623" s="5"/>
    </row>
    <row r="624" spans="2:7" ht="13">
      <c r="B624" s="36"/>
      <c r="C624" s="80"/>
      <c r="D624" s="5"/>
      <c r="E624" s="5"/>
      <c r="F624" s="5"/>
      <c r="G624" s="5"/>
    </row>
    <row r="625" spans="2:7" ht="13">
      <c r="B625" s="36"/>
      <c r="C625" s="80"/>
      <c r="D625" s="5"/>
      <c r="E625" s="5"/>
      <c r="F625" s="5"/>
      <c r="G625" s="5"/>
    </row>
    <row r="626" spans="2:7" ht="13">
      <c r="B626" s="36"/>
      <c r="C626" s="80"/>
      <c r="D626" s="5"/>
      <c r="E626" s="5"/>
      <c r="F626" s="5"/>
      <c r="G626" s="5"/>
    </row>
    <row r="627" spans="2:7" ht="13">
      <c r="B627" s="36"/>
      <c r="C627" s="80"/>
      <c r="D627" s="5"/>
      <c r="E627" s="5"/>
      <c r="F627" s="5"/>
      <c r="G627" s="5"/>
    </row>
    <row r="628" spans="2:7" ht="13">
      <c r="B628" s="36"/>
      <c r="C628" s="80"/>
      <c r="D628" s="5"/>
      <c r="E628" s="5"/>
      <c r="F628" s="5"/>
      <c r="G628" s="5"/>
    </row>
    <row r="629" spans="2:7" ht="13">
      <c r="B629" s="36"/>
      <c r="C629" s="80"/>
      <c r="D629" s="5"/>
      <c r="E629" s="5"/>
      <c r="F629" s="5"/>
      <c r="G629" s="5"/>
    </row>
    <row r="630" spans="2:7" ht="13">
      <c r="B630" s="36"/>
      <c r="C630" s="80"/>
      <c r="D630" s="5"/>
      <c r="E630" s="5"/>
      <c r="F630" s="5"/>
      <c r="G630" s="5"/>
    </row>
    <row r="631" spans="2:7" ht="13">
      <c r="B631" s="36"/>
      <c r="C631" s="80"/>
      <c r="D631" s="5"/>
      <c r="E631" s="5"/>
      <c r="F631" s="5"/>
      <c r="G631" s="5"/>
    </row>
    <row r="632" spans="2:7" ht="13">
      <c r="B632" s="36"/>
      <c r="C632" s="80"/>
      <c r="D632" s="5"/>
      <c r="E632" s="5"/>
      <c r="F632" s="5"/>
      <c r="G632" s="5"/>
    </row>
    <row r="633" spans="2:7" ht="13">
      <c r="B633" s="36"/>
      <c r="C633" s="80"/>
      <c r="D633" s="5"/>
      <c r="E633" s="5"/>
      <c r="F633" s="5"/>
      <c r="G633" s="5"/>
    </row>
    <row r="634" spans="2:7" ht="13">
      <c r="B634" s="36"/>
      <c r="C634" s="80"/>
      <c r="D634" s="5"/>
      <c r="E634" s="5"/>
      <c r="F634" s="5"/>
      <c r="G634" s="5"/>
    </row>
    <row r="635" spans="2:7" ht="13">
      <c r="B635" s="36"/>
      <c r="C635" s="80"/>
      <c r="D635" s="5"/>
      <c r="E635" s="5"/>
      <c r="F635" s="5"/>
      <c r="G635" s="5"/>
    </row>
    <row r="636" spans="2:7" ht="13">
      <c r="B636" s="36"/>
      <c r="C636" s="80"/>
      <c r="D636" s="5"/>
      <c r="E636" s="5"/>
      <c r="F636" s="5"/>
      <c r="G636" s="5"/>
    </row>
    <row r="637" spans="2:7" ht="13">
      <c r="B637" s="36"/>
      <c r="C637" s="80"/>
      <c r="D637" s="5"/>
      <c r="E637" s="5"/>
      <c r="F637" s="5"/>
      <c r="G637" s="5"/>
    </row>
    <row r="638" spans="2:7" ht="13">
      <c r="B638" s="36"/>
      <c r="C638" s="80"/>
      <c r="D638" s="5"/>
      <c r="E638" s="5"/>
      <c r="F638" s="5"/>
      <c r="G638" s="5"/>
    </row>
    <row r="639" spans="2:7" ht="13">
      <c r="B639" s="36"/>
      <c r="C639" s="80"/>
      <c r="D639" s="5"/>
      <c r="E639" s="5"/>
      <c r="F639" s="5"/>
      <c r="G639" s="5"/>
    </row>
    <row r="640" spans="2:7" ht="13">
      <c r="B640" s="36"/>
      <c r="C640" s="80"/>
      <c r="D640" s="5"/>
      <c r="E640" s="5"/>
      <c r="F640" s="5"/>
      <c r="G640" s="5"/>
    </row>
    <row r="641" spans="2:7" ht="13">
      <c r="B641" s="36"/>
      <c r="C641" s="80"/>
      <c r="D641" s="5"/>
      <c r="E641" s="5"/>
      <c r="F641" s="5"/>
      <c r="G641" s="5"/>
    </row>
    <row r="642" spans="2:7" ht="13">
      <c r="B642" s="36"/>
      <c r="C642" s="80"/>
      <c r="D642" s="5"/>
      <c r="E642" s="5"/>
      <c r="F642" s="5"/>
      <c r="G642" s="5"/>
    </row>
    <row r="643" spans="2:7" ht="13">
      <c r="B643" s="36"/>
      <c r="C643" s="80"/>
      <c r="D643" s="5"/>
      <c r="E643" s="5"/>
      <c r="F643" s="5"/>
      <c r="G643" s="5"/>
    </row>
    <row r="644" spans="2:7" ht="13">
      <c r="B644" s="36"/>
      <c r="C644" s="80"/>
      <c r="D644" s="5"/>
      <c r="E644" s="5"/>
      <c r="F644" s="5"/>
      <c r="G644" s="5"/>
    </row>
    <row r="645" spans="2:7" ht="13">
      <c r="B645" s="36"/>
      <c r="C645" s="80"/>
      <c r="D645" s="5"/>
      <c r="E645" s="5"/>
      <c r="F645" s="5"/>
      <c r="G645" s="5"/>
    </row>
    <row r="646" spans="2:7" ht="13">
      <c r="B646" s="36"/>
      <c r="C646" s="80"/>
      <c r="D646" s="5"/>
      <c r="E646" s="5"/>
      <c r="F646" s="5"/>
      <c r="G646" s="5"/>
    </row>
    <row r="647" spans="2:7" ht="13">
      <c r="B647" s="36"/>
      <c r="C647" s="80"/>
      <c r="D647" s="5"/>
      <c r="E647" s="5"/>
      <c r="F647" s="5"/>
      <c r="G647" s="5"/>
    </row>
    <row r="648" spans="2:7" ht="13">
      <c r="B648" s="36"/>
      <c r="C648" s="80"/>
      <c r="D648" s="5"/>
      <c r="E648" s="5"/>
      <c r="F648" s="5"/>
      <c r="G648" s="5"/>
    </row>
    <row r="649" spans="2:7" ht="13">
      <c r="B649" s="36"/>
      <c r="C649" s="80"/>
      <c r="D649" s="5"/>
      <c r="E649" s="5"/>
      <c r="F649" s="5"/>
      <c r="G649" s="5"/>
    </row>
    <row r="650" spans="2:7" ht="13">
      <c r="B650" s="36"/>
      <c r="C650" s="80"/>
      <c r="D650" s="5"/>
      <c r="E650" s="5"/>
      <c r="F650" s="5"/>
      <c r="G650" s="5"/>
    </row>
    <row r="651" spans="2:7" ht="13">
      <c r="B651" s="36"/>
      <c r="C651" s="80"/>
      <c r="D651" s="5"/>
      <c r="E651" s="5"/>
      <c r="F651" s="5"/>
      <c r="G651" s="5"/>
    </row>
    <row r="652" spans="2:7" ht="13">
      <c r="B652" s="36"/>
      <c r="C652" s="80"/>
      <c r="D652" s="5"/>
      <c r="E652" s="5"/>
      <c r="F652" s="5"/>
      <c r="G652" s="5"/>
    </row>
    <row r="653" spans="2:7" ht="13">
      <c r="B653" s="36"/>
      <c r="C653" s="80"/>
      <c r="D653" s="5"/>
      <c r="E653" s="5"/>
      <c r="F653" s="5"/>
      <c r="G653" s="5"/>
    </row>
    <row r="654" spans="2:7" ht="13">
      <c r="B654" s="36"/>
      <c r="C654" s="80"/>
      <c r="D654" s="5"/>
      <c r="E654" s="5"/>
      <c r="F654" s="5"/>
      <c r="G654" s="5"/>
    </row>
    <row r="655" spans="2:7" ht="13">
      <c r="B655" s="36"/>
      <c r="C655" s="80"/>
      <c r="D655" s="5"/>
      <c r="E655" s="5"/>
      <c r="F655" s="5"/>
      <c r="G655" s="5"/>
    </row>
    <row r="656" spans="2:7" ht="13">
      <c r="B656" s="36"/>
      <c r="C656" s="80"/>
      <c r="D656" s="5"/>
      <c r="E656" s="5"/>
      <c r="F656" s="5"/>
      <c r="G656" s="5"/>
    </row>
    <row r="657" spans="2:7" ht="13">
      <c r="B657" s="36"/>
      <c r="C657" s="80"/>
      <c r="D657" s="5"/>
      <c r="E657" s="5"/>
      <c r="F657" s="5"/>
      <c r="G657" s="5"/>
    </row>
    <row r="658" spans="2:7" ht="13">
      <c r="B658" s="36"/>
      <c r="C658" s="80"/>
      <c r="D658" s="5"/>
      <c r="E658" s="5"/>
      <c r="F658" s="5"/>
      <c r="G658" s="5"/>
    </row>
    <row r="659" spans="2:7" ht="13">
      <c r="B659" s="36"/>
      <c r="C659" s="80"/>
      <c r="D659" s="5"/>
      <c r="E659" s="5"/>
      <c r="F659" s="5"/>
      <c r="G659" s="5"/>
    </row>
    <row r="660" spans="2:7" ht="13">
      <c r="B660" s="36"/>
      <c r="C660" s="80"/>
      <c r="D660" s="5"/>
      <c r="E660" s="5"/>
      <c r="F660" s="5"/>
      <c r="G660" s="5"/>
    </row>
    <row r="661" spans="2:7" ht="13">
      <c r="B661" s="36"/>
      <c r="C661" s="80"/>
      <c r="D661" s="5"/>
      <c r="E661" s="5"/>
      <c r="F661" s="5"/>
      <c r="G661" s="5"/>
    </row>
    <row r="662" spans="2:7" ht="13">
      <c r="B662" s="36"/>
      <c r="C662" s="80"/>
      <c r="D662" s="5"/>
      <c r="E662" s="5"/>
      <c r="F662" s="5"/>
      <c r="G662" s="5"/>
    </row>
    <row r="663" spans="2:7" ht="13">
      <c r="B663" s="36"/>
      <c r="C663" s="80"/>
      <c r="D663" s="5"/>
      <c r="E663" s="5"/>
      <c r="F663" s="5"/>
      <c r="G663" s="5"/>
    </row>
    <row r="664" spans="2:7" ht="13">
      <c r="B664" s="36"/>
      <c r="C664" s="80"/>
      <c r="D664" s="5"/>
      <c r="E664" s="5"/>
      <c r="F664" s="5"/>
      <c r="G664" s="5"/>
    </row>
    <row r="665" spans="2:7" ht="13">
      <c r="B665" s="36"/>
      <c r="C665" s="80"/>
      <c r="D665" s="5"/>
      <c r="E665" s="5"/>
      <c r="F665" s="5"/>
      <c r="G665" s="5"/>
    </row>
    <row r="666" spans="2:7" ht="13">
      <c r="B666" s="36"/>
      <c r="C666" s="80"/>
      <c r="D666" s="5"/>
      <c r="E666" s="5"/>
      <c r="F666" s="5"/>
      <c r="G666" s="5"/>
    </row>
    <row r="667" spans="2:7" ht="13">
      <c r="B667" s="36"/>
      <c r="C667" s="80"/>
      <c r="D667" s="5"/>
      <c r="E667" s="5"/>
      <c r="F667" s="5"/>
      <c r="G667" s="5"/>
    </row>
    <row r="668" spans="2:7" ht="13">
      <c r="B668" s="36"/>
      <c r="C668" s="80"/>
      <c r="D668" s="5"/>
      <c r="E668" s="5"/>
      <c r="F668" s="5"/>
      <c r="G668" s="5"/>
    </row>
    <row r="669" spans="2:7" ht="13">
      <c r="B669" s="36"/>
      <c r="C669" s="80"/>
      <c r="D669" s="5"/>
      <c r="E669" s="5"/>
      <c r="F669" s="5"/>
      <c r="G669" s="5"/>
    </row>
    <row r="670" spans="2:7" ht="13">
      <c r="B670" s="36"/>
      <c r="C670" s="80"/>
      <c r="D670" s="5"/>
      <c r="E670" s="5"/>
      <c r="F670" s="5"/>
      <c r="G670" s="5"/>
    </row>
    <row r="671" spans="2:7" ht="13">
      <c r="B671" s="36"/>
      <c r="C671" s="80"/>
      <c r="D671" s="5"/>
      <c r="E671" s="5"/>
      <c r="F671" s="5"/>
      <c r="G671" s="5"/>
    </row>
    <row r="672" spans="2:7" ht="13">
      <c r="B672" s="36"/>
      <c r="C672" s="80"/>
      <c r="D672" s="5"/>
      <c r="E672" s="5"/>
      <c r="F672" s="5"/>
      <c r="G672" s="5"/>
    </row>
    <row r="673" spans="2:7" ht="13">
      <c r="B673" s="36"/>
      <c r="C673" s="80"/>
      <c r="D673" s="5"/>
      <c r="E673" s="5"/>
      <c r="F673" s="5"/>
      <c r="G673" s="5"/>
    </row>
    <row r="674" spans="2:7" ht="13">
      <c r="B674" s="36"/>
      <c r="C674" s="80"/>
      <c r="D674" s="5"/>
      <c r="E674" s="5"/>
      <c r="F674" s="5"/>
      <c r="G674" s="5"/>
    </row>
    <row r="675" spans="2:7" ht="13">
      <c r="B675" s="36"/>
      <c r="C675" s="80"/>
      <c r="D675" s="5"/>
      <c r="E675" s="5"/>
      <c r="F675" s="5"/>
      <c r="G675" s="5"/>
    </row>
    <row r="676" spans="2:7" ht="13">
      <c r="B676" s="36"/>
      <c r="C676" s="80"/>
      <c r="D676" s="5"/>
      <c r="E676" s="5"/>
      <c r="F676" s="5"/>
      <c r="G676" s="5"/>
    </row>
    <row r="677" spans="2:7" ht="13">
      <c r="B677" s="36"/>
      <c r="C677" s="80"/>
      <c r="D677" s="5"/>
      <c r="E677" s="5"/>
      <c r="F677" s="5"/>
      <c r="G677" s="5"/>
    </row>
    <row r="678" spans="2:7" ht="13">
      <c r="B678" s="36"/>
      <c r="C678" s="80"/>
      <c r="D678" s="5"/>
      <c r="E678" s="5"/>
      <c r="F678" s="5"/>
      <c r="G678" s="5"/>
    </row>
    <row r="679" spans="2:7" ht="13">
      <c r="B679" s="36"/>
      <c r="C679" s="80"/>
      <c r="D679" s="5"/>
      <c r="E679" s="5"/>
      <c r="F679" s="5"/>
      <c r="G679" s="5"/>
    </row>
    <row r="680" spans="2:7" ht="13">
      <c r="B680" s="36"/>
      <c r="C680" s="80"/>
      <c r="D680" s="5"/>
      <c r="E680" s="5"/>
      <c r="F680" s="5"/>
      <c r="G680" s="5"/>
    </row>
    <row r="681" spans="2:7" ht="13">
      <c r="B681" s="36"/>
      <c r="C681" s="80"/>
      <c r="D681" s="5"/>
      <c r="E681" s="5"/>
      <c r="F681" s="5"/>
      <c r="G681" s="5"/>
    </row>
    <row r="682" spans="2:7" ht="13">
      <c r="B682" s="36"/>
      <c r="C682" s="80"/>
      <c r="D682" s="5"/>
      <c r="E682" s="5"/>
      <c r="F682" s="5"/>
      <c r="G682" s="5"/>
    </row>
    <row r="683" spans="2:7" ht="13">
      <c r="B683" s="36"/>
      <c r="C683" s="80"/>
      <c r="D683" s="5"/>
      <c r="E683" s="5"/>
      <c r="F683" s="5"/>
      <c r="G683" s="5"/>
    </row>
    <row r="684" spans="2:7" ht="13">
      <c r="B684" s="36"/>
      <c r="C684" s="80"/>
      <c r="D684" s="5"/>
      <c r="E684" s="5"/>
      <c r="F684" s="5"/>
      <c r="G684" s="5"/>
    </row>
    <row r="685" spans="2:7" ht="13">
      <c r="B685" s="36"/>
      <c r="C685" s="80"/>
      <c r="D685" s="5"/>
      <c r="E685" s="5"/>
      <c r="F685" s="5"/>
      <c r="G685" s="5"/>
    </row>
    <row r="686" spans="2:7" ht="13">
      <c r="B686" s="36"/>
      <c r="C686" s="80"/>
      <c r="D686" s="5"/>
      <c r="E686" s="5"/>
      <c r="F686" s="5"/>
      <c r="G686" s="5"/>
    </row>
    <row r="687" spans="2:7" ht="13">
      <c r="B687" s="36"/>
      <c r="C687" s="80"/>
      <c r="D687" s="5"/>
      <c r="E687" s="5"/>
      <c r="F687" s="5"/>
      <c r="G687" s="5"/>
    </row>
    <row r="688" spans="2:7" ht="13">
      <c r="B688" s="36"/>
      <c r="C688" s="80"/>
      <c r="D688" s="5"/>
      <c r="E688" s="5"/>
      <c r="F688" s="5"/>
      <c r="G688" s="5"/>
    </row>
    <row r="689" spans="2:7" ht="13">
      <c r="B689" s="36"/>
      <c r="C689" s="80"/>
      <c r="D689" s="5"/>
      <c r="E689" s="5"/>
      <c r="F689" s="5"/>
      <c r="G689" s="5"/>
    </row>
    <row r="690" spans="2:7" ht="13">
      <c r="B690" s="36"/>
      <c r="C690" s="80"/>
      <c r="D690" s="5"/>
      <c r="E690" s="5"/>
      <c r="F690" s="5"/>
      <c r="G690" s="5"/>
    </row>
    <row r="691" spans="2:7" ht="13">
      <c r="B691" s="36"/>
      <c r="C691" s="80"/>
      <c r="D691" s="5"/>
      <c r="E691" s="5"/>
      <c r="F691" s="5"/>
      <c r="G691" s="5"/>
    </row>
    <row r="692" spans="2:7" ht="13">
      <c r="B692" s="36"/>
      <c r="C692" s="80"/>
      <c r="D692" s="5"/>
      <c r="E692" s="5"/>
      <c r="F692" s="5"/>
      <c r="G692" s="5"/>
    </row>
    <row r="693" spans="2:7" ht="13">
      <c r="B693" s="36"/>
      <c r="C693" s="80"/>
      <c r="D693" s="5"/>
      <c r="E693" s="5"/>
      <c r="F693" s="5"/>
      <c r="G693" s="5"/>
    </row>
    <row r="694" spans="2:7" ht="13">
      <c r="B694" s="36"/>
      <c r="C694" s="80"/>
      <c r="D694" s="5"/>
      <c r="E694" s="5"/>
      <c r="F694" s="5"/>
      <c r="G694" s="5"/>
    </row>
    <row r="695" spans="2:7" ht="13">
      <c r="B695" s="36"/>
      <c r="C695" s="80"/>
      <c r="D695" s="5"/>
      <c r="E695" s="5"/>
      <c r="F695" s="5"/>
      <c r="G695" s="5"/>
    </row>
    <row r="696" spans="2:7" ht="13">
      <c r="B696" s="36"/>
      <c r="C696" s="80"/>
      <c r="D696" s="5"/>
      <c r="E696" s="5"/>
      <c r="F696" s="5"/>
      <c r="G696" s="5"/>
    </row>
    <row r="697" spans="2:7" ht="13">
      <c r="B697" s="36"/>
      <c r="C697" s="80"/>
      <c r="D697" s="5"/>
      <c r="E697" s="5"/>
      <c r="F697" s="5"/>
      <c r="G697" s="5"/>
    </row>
    <row r="698" spans="2:7" ht="13">
      <c r="B698" s="36"/>
      <c r="C698" s="80"/>
      <c r="D698" s="5"/>
      <c r="E698" s="5"/>
      <c r="F698" s="5"/>
      <c r="G698" s="5"/>
    </row>
    <row r="699" spans="2:7" ht="13">
      <c r="B699" s="36"/>
      <c r="C699" s="80"/>
      <c r="D699" s="5"/>
      <c r="E699" s="5"/>
      <c r="F699" s="5"/>
      <c r="G699" s="5"/>
    </row>
    <row r="700" spans="2:7" ht="13">
      <c r="B700" s="36"/>
      <c r="C700" s="80"/>
      <c r="D700" s="5"/>
      <c r="E700" s="5"/>
      <c r="F700" s="5"/>
      <c r="G700" s="5"/>
    </row>
    <row r="701" spans="2:7" ht="13">
      <c r="B701" s="36"/>
      <c r="C701" s="80"/>
      <c r="D701" s="5"/>
      <c r="E701" s="5"/>
      <c r="F701" s="5"/>
      <c r="G701" s="5"/>
    </row>
    <row r="702" spans="2:7" ht="13">
      <c r="B702" s="36"/>
      <c r="C702" s="80"/>
      <c r="D702" s="5"/>
      <c r="E702" s="5"/>
      <c r="F702" s="5"/>
      <c r="G702" s="5"/>
    </row>
    <row r="703" spans="2:7" ht="13">
      <c r="B703" s="36"/>
      <c r="C703" s="80"/>
      <c r="D703" s="5"/>
      <c r="E703" s="5"/>
      <c r="F703" s="5"/>
      <c r="G703" s="5"/>
    </row>
    <row r="704" spans="2:7" ht="13">
      <c r="B704" s="36"/>
      <c r="C704" s="80"/>
      <c r="D704" s="5"/>
      <c r="E704" s="5"/>
      <c r="F704" s="5"/>
      <c r="G704" s="5"/>
    </row>
    <row r="705" spans="2:7" ht="13">
      <c r="B705" s="36"/>
      <c r="C705" s="80"/>
      <c r="D705" s="5"/>
      <c r="E705" s="5"/>
      <c r="F705" s="5"/>
      <c r="G705" s="5"/>
    </row>
    <row r="706" spans="2:7" ht="13">
      <c r="B706" s="36"/>
      <c r="C706" s="80"/>
      <c r="D706" s="5"/>
      <c r="E706" s="5"/>
      <c r="F706" s="5"/>
      <c r="G706" s="5"/>
    </row>
    <row r="707" spans="2:7" ht="13">
      <c r="B707" s="36"/>
      <c r="C707" s="80"/>
      <c r="D707" s="5"/>
      <c r="E707" s="5"/>
      <c r="F707" s="5"/>
      <c r="G707" s="5"/>
    </row>
    <row r="708" spans="2:7" ht="13">
      <c r="B708" s="36"/>
      <c r="C708" s="80"/>
      <c r="D708" s="5"/>
      <c r="E708" s="5"/>
      <c r="F708" s="5"/>
      <c r="G708" s="5"/>
    </row>
    <row r="709" spans="2:7" ht="13">
      <c r="B709" s="36"/>
      <c r="C709" s="80"/>
      <c r="D709" s="5"/>
      <c r="E709" s="5"/>
      <c r="F709" s="5"/>
      <c r="G709" s="5"/>
    </row>
    <row r="710" spans="2:7" ht="13">
      <c r="B710" s="36"/>
      <c r="C710" s="80"/>
      <c r="D710" s="5"/>
      <c r="E710" s="5"/>
      <c r="F710" s="5"/>
      <c r="G710" s="5"/>
    </row>
    <row r="711" spans="2:7" ht="13">
      <c r="B711" s="36"/>
      <c r="C711" s="80"/>
      <c r="D711" s="5"/>
      <c r="E711" s="5"/>
      <c r="F711" s="5"/>
      <c r="G711" s="5"/>
    </row>
    <row r="712" spans="2:7" ht="13">
      <c r="B712" s="36"/>
      <c r="C712" s="80"/>
      <c r="D712" s="5"/>
      <c r="E712" s="5"/>
      <c r="F712" s="5"/>
      <c r="G712" s="5"/>
    </row>
    <row r="713" spans="2:7" ht="13">
      <c r="B713" s="36"/>
      <c r="C713" s="80"/>
      <c r="D713" s="5"/>
      <c r="E713" s="5"/>
      <c r="F713" s="5"/>
      <c r="G713" s="5"/>
    </row>
    <row r="714" spans="2:7" ht="13">
      <c r="B714" s="36"/>
      <c r="C714" s="80"/>
      <c r="D714" s="5"/>
      <c r="E714" s="5"/>
      <c r="F714" s="5"/>
      <c r="G714" s="5"/>
    </row>
    <row r="715" spans="2:7" ht="13">
      <c r="B715" s="36"/>
      <c r="C715" s="80"/>
      <c r="D715" s="5"/>
      <c r="E715" s="5"/>
      <c r="F715" s="5"/>
      <c r="G715" s="5"/>
    </row>
    <row r="716" spans="2:7" ht="13">
      <c r="B716" s="36"/>
      <c r="C716" s="80"/>
      <c r="D716" s="5"/>
      <c r="E716" s="5"/>
      <c r="F716" s="5"/>
      <c r="G716" s="5"/>
    </row>
    <row r="717" spans="2:7" ht="13">
      <c r="B717" s="36"/>
      <c r="C717" s="80"/>
      <c r="D717" s="5"/>
      <c r="E717" s="5"/>
      <c r="F717" s="5"/>
      <c r="G717" s="5"/>
    </row>
    <row r="718" spans="2:7" ht="13">
      <c r="B718" s="36"/>
      <c r="C718" s="80"/>
      <c r="D718" s="5"/>
      <c r="E718" s="5"/>
      <c r="F718" s="5"/>
      <c r="G718" s="5"/>
    </row>
    <row r="719" spans="2:7" ht="13">
      <c r="B719" s="36"/>
      <c r="C719" s="80"/>
      <c r="D719" s="5"/>
      <c r="E719" s="5"/>
      <c r="F719" s="5"/>
      <c r="G719" s="5"/>
    </row>
    <row r="720" spans="2:7" ht="13">
      <c r="B720" s="36"/>
      <c r="C720" s="80"/>
      <c r="D720" s="5"/>
      <c r="E720" s="5"/>
      <c r="F720" s="5"/>
      <c r="G720" s="5"/>
    </row>
    <row r="721" spans="2:7" ht="13">
      <c r="B721" s="36"/>
      <c r="C721" s="80"/>
      <c r="D721" s="5"/>
      <c r="E721" s="5"/>
      <c r="F721" s="5"/>
      <c r="G721" s="5"/>
    </row>
    <row r="722" spans="2:7" ht="13">
      <c r="B722" s="36"/>
      <c r="C722" s="80"/>
      <c r="D722" s="5"/>
      <c r="E722" s="5"/>
      <c r="F722" s="5"/>
      <c r="G722" s="5"/>
    </row>
    <row r="723" spans="2:7" ht="13">
      <c r="B723" s="36"/>
      <c r="C723" s="80"/>
      <c r="D723" s="5"/>
      <c r="E723" s="5"/>
      <c r="F723" s="5"/>
      <c r="G723" s="5"/>
    </row>
    <row r="724" spans="2:7" ht="13">
      <c r="B724" s="36"/>
      <c r="C724" s="80"/>
      <c r="D724" s="5"/>
      <c r="E724" s="5"/>
      <c r="F724" s="5"/>
      <c r="G724" s="5"/>
    </row>
    <row r="725" spans="2:7" ht="13">
      <c r="B725" s="36"/>
      <c r="C725" s="80"/>
      <c r="D725" s="5"/>
      <c r="E725" s="5"/>
      <c r="F725" s="5"/>
      <c r="G725" s="5"/>
    </row>
    <row r="726" spans="2:7" ht="13">
      <c r="B726" s="36"/>
      <c r="C726" s="80"/>
      <c r="D726" s="5"/>
      <c r="E726" s="5"/>
      <c r="F726" s="5"/>
      <c r="G726" s="5"/>
    </row>
    <row r="727" spans="2:7" ht="13">
      <c r="B727" s="36"/>
      <c r="C727" s="80"/>
      <c r="D727" s="5"/>
      <c r="E727" s="5"/>
      <c r="F727" s="5"/>
      <c r="G727" s="5"/>
    </row>
    <row r="728" spans="2:7" ht="13">
      <c r="B728" s="36"/>
      <c r="C728" s="80"/>
      <c r="D728" s="5"/>
      <c r="E728" s="5"/>
      <c r="F728" s="5"/>
      <c r="G728" s="5"/>
    </row>
    <row r="729" spans="2:7" ht="13">
      <c r="B729" s="36"/>
      <c r="C729" s="80"/>
      <c r="D729" s="5"/>
      <c r="E729" s="5"/>
      <c r="F729" s="5"/>
      <c r="G729" s="5"/>
    </row>
    <row r="730" spans="2:7" ht="13">
      <c r="B730" s="36"/>
      <c r="C730" s="80"/>
      <c r="D730" s="5"/>
      <c r="E730" s="5"/>
      <c r="F730" s="5"/>
      <c r="G730" s="5"/>
    </row>
    <row r="731" spans="2:7" ht="13">
      <c r="B731" s="36"/>
      <c r="C731" s="80"/>
      <c r="D731" s="5"/>
      <c r="E731" s="5"/>
      <c r="F731" s="5"/>
      <c r="G731" s="5"/>
    </row>
    <row r="732" spans="2:7" ht="13">
      <c r="B732" s="36"/>
      <c r="C732" s="80"/>
      <c r="D732" s="5"/>
      <c r="E732" s="5"/>
      <c r="F732" s="5"/>
      <c r="G732" s="5"/>
    </row>
    <row r="733" spans="2:7" ht="13">
      <c r="B733" s="36"/>
      <c r="C733" s="80"/>
      <c r="D733" s="5"/>
      <c r="E733" s="5"/>
      <c r="F733" s="5"/>
      <c r="G733" s="5"/>
    </row>
    <row r="734" spans="2:7" ht="13">
      <c r="B734" s="36"/>
      <c r="C734" s="80"/>
      <c r="D734" s="5"/>
      <c r="E734" s="5"/>
      <c r="F734" s="5"/>
      <c r="G734" s="5"/>
    </row>
    <row r="735" spans="2:7" ht="13">
      <c r="B735" s="36"/>
      <c r="C735" s="80"/>
      <c r="D735" s="5"/>
      <c r="E735" s="5"/>
      <c r="F735" s="5"/>
      <c r="G735" s="5"/>
    </row>
    <row r="736" spans="2:7" ht="13">
      <c r="B736" s="36"/>
      <c r="C736" s="80"/>
      <c r="D736" s="5"/>
      <c r="E736" s="5"/>
      <c r="F736" s="5"/>
      <c r="G736" s="5"/>
    </row>
    <row r="737" spans="2:7" ht="13">
      <c r="B737" s="36"/>
      <c r="C737" s="80"/>
      <c r="D737" s="5"/>
      <c r="E737" s="5"/>
      <c r="F737" s="5"/>
      <c r="G737" s="5"/>
    </row>
    <row r="738" spans="2:7" ht="13">
      <c r="B738" s="36"/>
      <c r="C738" s="80"/>
      <c r="D738" s="5"/>
      <c r="E738" s="5"/>
      <c r="F738" s="5"/>
      <c r="G738" s="5"/>
    </row>
    <row r="739" spans="2:7" ht="13">
      <c r="B739" s="36"/>
      <c r="C739" s="80"/>
      <c r="D739" s="5"/>
      <c r="E739" s="5"/>
      <c r="F739" s="5"/>
      <c r="G739" s="5"/>
    </row>
    <row r="740" spans="2:7" ht="13">
      <c r="B740" s="36"/>
      <c r="C740" s="80"/>
      <c r="D740" s="5"/>
      <c r="E740" s="5"/>
      <c r="F740" s="5"/>
      <c r="G740" s="5"/>
    </row>
    <row r="741" spans="2:7" ht="13">
      <c r="B741" s="36"/>
      <c r="C741" s="80"/>
      <c r="D741" s="5"/>
      <c r="E741" s="5"/>
      <c r="F741" s="5"/>
      <c r="G741" s="5"/>
    </row>
    <row r="742" spans="2:7" ht="13">
      <c r="B742" s="36"/>
      <c r="C742" s="80"/>
      <c r="D742" s="5"/>
      <c r="E742" s="5"/>
      <c r="F742" s="5"/>
      <c r="G742" s="5"/>
    </row>
    <row r="743" spans="2:7" ht="13">
      <c r="B743" s="36"/>
      <c r="C743" s="80"/>
      <c r="D743" s="5"/>
      <c r="E743" s="5"/>
      <c r="F743" s="5"/>
      <c r="G743" s="5"/>
    </row>
    <row r="744" spans="2:7" ht="13">
      <c r="B744" s="36"/>
      <c r="C744" s="80"/>
      <c r="D744" s="5"/>
      <c r="E744" s="5"/>
      <c r="F744" s="5"/>
      <c r="G744" s="5"/>
    </row>
    <row r="745" spans="2:7" ht="13">
      <c r="B745" s="36"/>
      <c r="C745" s="80"/>
      <c r="D745" s="5"/>
      <c r="E745" s="5"/>
      <c r="F745" s="5"/>
      <c r="G745" s="5"/>
    </row>
    <row r="746" spans="2:7" ht="13">
      <c r="B746" s="36"/>
      <c r="C746" s="80"/>
      <c r="D746" s="5"/>
      <c r="E746" s="5"/>
      <c r="F746" s="5"/>
      <c r="G746" s="5"/>
    </row>
    <row r="747" spans="2:7" ht="13">
      <c r="B747" s="36"/>
      <c r="C747" s="80"/>
      <c r="D747" s="5"/>
      <c r="E747" s="5"/>
      <c r="F747" s="5"/>
      <c r="G747" s="5"/>
    </row>
    <row r="748" spans="2:7" ht="13">
      <c r="B748" s="36"/>
      <c r="C748" s="80"/>
      <c r="D748" s="5"/>
      <c r="E748" s="5"/>
      <c r="F748" s="5"/>
      <c r="G748" s="5"/>
    </row>
    <row r="749" spans="2:7" ht="13">
      <c r="B749" s="36"/>
      <c r="C749" s="80"/>
      <c r="D749" s="5"/>
      <c r="E749" s="5"/>
      <c r="F749" s="5"/>
      <c r="G749" s="5"/>
    </row>
    <row r="750" spans="2:7" ht="13">
      <c r="B750" s="36"/>
      <c r="C750" s="80"/>
      <c r="D750" s="5"/>
      <c r="E750" s="5"/>
      <c r="F750" s="5"/>
      <c r="G750" s="5"/>
    </row>
    <row r="751" spans="2:7" ht="13">
      <c r="B751" s="36"/>
      <c r="C751" s="80"/>
      <c r="D751" s="5"/>
      <c r="E751" s="5"/>
      <c r="F751" s="5"/>
      <c r="G751" s="5"/>
    </row>
    <row r="752" spans="2:7" ht="13">
      <c r="B752" s="36"/>
      <c r="C752" s="80"/>
      <c r="D752" s="5"/>
      <c r="E752" s="5"/>
      <c r="F752" s="5"/>
      <c r="G752" s="5"/>
    </row>
    <row r="753" spans="2:7" ht="13">
      <c r="B753" s="36"/>
      <c r="C753" s="80"/>
      <c r="D753" s="5"/>
      <c r="E753" s="5"/>
      <c r="F753" s="5"/>
      <c r="G753" s="5"/>
    </row>
    <row r="754" spans="2:7" ht="13">
      <c r="B754" s="36"/>
      <c r="C754" s="80"/>
      <c r="D754" s="5"/>
      <c r="E754" s="5"/>
      <c r="F754" s="5"/>
      <c r="G754" s="5"/>
    </row>
    <row r="755" spans="2:7" ht="13">
      <c r="B755" s="36"/>
      <c r="C755" s="80"/>
      <c r="D755" s="5"/>
      <c r="E755" s="5"/>
      <c r="F755" s="5"/>
      <c r="G755" s="5"/>
    </row>
    <row r="756" spans="2:7" ht="13">
      <c r="B756" s="36"/>
      <c r="C756" s="80"/>
      <c r="D756" s="5"/>
      <c r="E756" s="5"/>
      <c r="F756" s="5"/>
      <c r="G756" s="5"/>
    </row>
    <row r="757" spans="2:7" ht="13">
      <c r="B757" s="36"/>
      <c r="C757" s="80"/>
      <c r="D757" s="5"/>
      <c r="E757" s="5"/>
      <c r="F757" s="5"/>
      <c r="G757" s="5"/>
    </row>
    <row r="758" spans="2:7" ht="13">
      <c r="B758" s="36"/>
      <c r="C758" s="80"/>
      <c r="D758" s="5"/>
      <c r="E758" s="5"/>
      <c r="F758" s="5"/>
      <c r="G758" s="5"/>
    </row>
    <row r="759" spans="2:7" ht="13">
      <c r="B759" s="36"/>
      <c r="C759" s="80"/>
      <c r="D759" s="5"/>
      <c r="E759" s="5"/>
      <c r="F759" s="5"/>
      <c r="G759" s="5"/>
    </row>
    <row r="760" spans="2:7" ht="13">
      <c r="B760" s="36"/>
      <c r="C760" s="80"/>
      <c r="D760" s="5"/>
      <c r="E760" s="5"/>
      <c r="F760" s="5"/>
      <c r="G760" s="5"/>
    </row>
    <row r="761" spans="2:7" ht="13">
      <c r="B761" s="36"/>
      <c r="C761" s="80"/>
      <c r="D761" s="5"/>
      <c r="E761" s="5"/>
      <c r="F761" s="5"/>
      <c r="G761" s="5"/>
    </row>
    <row r="762" spans="2:7" ht="13">
      <c r="B762" s="36"/>
      <c r="C762" s="80"/>
      <c r="D762" s="5"/>
      <c r="E762" s="5"/>
      <c r="F762" s="5"/>
      <c r="G762" s="5"/>
    </row>
    <row r="763" spans="2:7" ht="13">
      <c r="B763" s="36"/>
      <c r="C763" s="80"/>
      <c r="D763" s="5"/>
      <c r="E763" s="5"/>
      <c r="F763" s="5"/>
      <c r="G763" s="5"/>
    </row>
    <row r="764" spans="2:7" ht="13">
      <c r="B764" s="36"/>
      <c r="C764" s="80"/>
      <c r="D764" s="5"/>
      <c r="E764" s="5"/>
      <c r="F764" s="5"/>
      <c r="G764" s="5"/>
    </row>
    <row r="765" spans="2:7" ht="13">
      <c r="B765" s="36"/>
      <c r="C765" s="80"/>
      <c r="D765" s="5"/>
      <c r="E765" s="5"/>
      <c r="F765" s="5"/>
      <c r="G765" s="5"/>
    </row>
    <row r="766" spans="2:7" ht="13">
      <c r="B766" s="36"/>
      <c r="C766" s="80"/>
      <c r="D766" s="5"/>
      <c r="E766" s="5"/>
      <c r="F766" s="5"/>
      <c r="G766" s="5"/>
    </row>
    <row r="767" spans="2:7" ht="13">
      <c r="B767" s="36"/>
      <c r="C767" s="80"/>
      <c r="D767" s="5"/>
      <c r="E767" s="5"/>
      <c r="F767" s="5"/>
      <c r="G767" s="5"/>
    </row>
    <row r="768" spans="2:7" ht="13">
      <c r="B768" s="36"/>
      <c r="C768" s="80"/>
      <c r="D768" s="5"/>
      <c r="E768" s="5"/>
      <c r="F768" s="5"/>
      <c r="G768" s="5"/>
    </row>
    <row r="769" spans="2:7" ht="13">
      <c r="B769" s="36"/>
      <c r="C769" s="80"/>
      <c r="D769" s="5"/>
      <c r="E769" s="5"/>
      <c r="F769" s="5"/>
      <c r="G769" s="5"/>
    </row>
    <row r="770" spans="2:7" ht="13">
      <c r="B770" s="36"/>
      <c r="C770" s="80"/>
      <c r="D770" s="5"/>
      <c r="E770" s="5"/>
      <c r="F770" s="5"/>
      <c r="G770" s="5"/>
    </row>
    <row r="771" spans="2:7" ht="13">
      <c r="B771" s="36"/>
      <c r="C771" s="80"/>
      <c r="D771" s="5"/>
      <c r="E771" s="5"/>
      <c r="F771" s="5"/>
      <c r="G771" s="5"/>
    </row>
    <row r="772" spans="2:7" ht="13">
      <c r="B772" s="36"/>
      <c r="C772" s="80"/>
      <c r="D772" s="5"/>
      <c r="E772" s="5"/>
      <c r="F772" s="5"/>
      <c r="G772" s="5"/>
    </row>
    <row r="773" spans="2:7" ht="13">
      <c r="B773" s="36"/>
      <c r="C773" s="80"/>
      <c r="D773" s="5"/>
      <c r="E773" s="5"/>
      <c r="F773" s="5"/>
      <c r="G773" s="5"/>
    </row>
    <row r="774" spans="2:7" ht="13">
      <c r="B774" s="36"/>
      <c r="C774" s="80"/>
      <c r="D774" s="5"/>
      <c r="E774" s="5"/>
      <c r="F774" s="5"/>
      <c r="G774" s="5"/>
    </row>
    <row r="775" spans="2:7" ht="13">
      <c r="B775" s="36"/>
      <c r="C775" s="80"/>
      <c r="D775" s="5"/>
      <c r="E775" s="5"/>
      <c r="F775" s="5"/>
      <c r="G775" s="5"/>
    </row>
    <row r="776" spans="2:7" ht="13">
      <c r="B776" s="36"/>
      <c r="C776" s="80"/>
      <c r="D776" s="5"/>
      <c r="E776" s="5"/>
      <c r="F776" s="5"/>
      <c r="G776" s="5"/>
    </row>
    <row r="777" spans="2:7" ht="13">
      <c r="B777" s="36"/>
      <c r="C777" s="80"/>
      <c r="D777" s="5"/>
      <c r="E777" s="5"/>
      <c r="F777" s="5"/>
      <c r="G777" s="5"/>
    </row>
    <row r="778" spans="2:7" ht="13">
      <c r="B778" s="36"/>
      <c r="C778" s="80"/>
      <c r="D778" s="5"/>
      <c r="E778" s="5"/>
      <c r="F778" s="5"/>
      <c r="G778" s="5"/>
    </row>
    <row r="779" spans="2:7" ht="13">
      <c r="B779" s="36"/>
      <c r="C779" s="80"/>
      <c r="D779" s="5"/>
      <c r="E779" s="5"/>
      <c r="F779" s="5"/>
      <c r="G779" s="5"/>
    </row>
    <row r="780" spans="2:7" ht="13">
      <c r="B780" s="36"/>
      <c r="C780" s="80"/>
      <c r="D780" s="5"/>
      <c r="E780" s="5"/>
      <c r="F780" s="5"/>
      <c r="G780" s="5"/>
    </row>
    <row r="781" spans="2:7" ht="13">
      <c r="B781" s="36"/>
      <c r="C781" s="80"/>
      <c r="D781" s="5"/>
      <c r="E781" s="5"/>
      <c r="F781" s="5"/>
      <c r="G781" s="5"/>
    </row>
    <row r="782" spans="2:7" ht="13">
      <c r="B782" s="36"/>
      <c r="C782" s="80"/>
      <c r="D782" s="5"/>
      <c r="E782" s="5"/>
      <c r="F782" s="5"/>
      <c r="G782" s="5"/>
    </row>
    <row r="783" spans="2:7" ht="13">
      <c r="B783" s="36"/>
      <c r="C783" s="80"/>
      <c r="D783" s="5"/>
      <c r="E783" s="5"/>
      <c r="F783" s="5"/>
      <c r="G783" s="5"/>
    </row>
    <row r="784" spans="2:7" ht="13">
      <c r="B784" s="36"/>
      <c r="C784" s="80"/>
      <c r="D784" s="5"/>
      <c r="E784" s="5"/>
      <c r="F784" s="5"/>
      <c r="G784" s="5"/>
    </row>
    <row r="785" spans="2:7" ht="13">
      <c r="B785" s="36"/>
      <c r="C785" s="80"/>
      <c r="D785" s="5"/>
      <c r="E785" s="5"/>
      <c r="F785" s="5"/>
      <c r="G785" s="5"/>
    </row>
    <row r="786" spans="2:7" ht="13">
      <c r="B786" s="36"/>
      <c r="C786" s="80"/>
      <c r="D786" s="5"/>
      <c r="E786" s="5"/>
      <c r="F786" s="5"/>
      <c r="G786" s="5"/>
    </row>
    <row r="787" spans="2:7" ht="13">
      <c r="B787" s="36"/>
      <c r="C787" s="80"/>
      <c r="D787" s="5"/>
      <c r="E787" s="5"/>
      <c r="F787" s="5"/>
      <c r="G787" s="5"/>
    </row>
    <row r="788" spans="2:7" ht="13">
      <c r="B788" s="36"/>
      <c r="C788" s="80"/>
      <c r="D788" s="5"/>
      <c r="E788" s="5"/>
      <c r="F788" s="5"/>
      <c r="G788" s="5"/>
    </row>
    <row r="789" spans="2:7" ht="13">
      <c r="B789" s="36"/>
      <c r="C789" s="80"/>
      <c r="D789" s="5"/>
      <c r="E789" s="5"/>
      <c r="F789" s="5"/>
      <c r="G789" s="5"/>
    </row>
    <row r="790" spans="2:7" ht="13">
      <c r="B790" s="36"/>
      <c r="C790" s="80"/>
      <c r="D790" s="5"/>
      <c r="E790" s="5"/>
      <c r="F790" s="5"/>
      <c r="G790" s="5"/>
    </row>
    <row r="791" spans="2:7" ht="13">
      <c r="B791" s="36"/>
      <c r="C791" s="80"/>
      <c r="D791" s="5"/>
      <c r="E791" s="5"/>
      <c r="F791" s="5"/>
      <c r="G791" s="5"/>
    </row>
    <row r="792" spans="2:7" ht="13">
      <c r="B792" s="36"/>
      <c r="C792" s="80"/>
      <c r="D792" s="5"/>
      <c r="E792" s="5"/>
      <c r="F792" s="5"/>
      <c r="G792" s="5"/>
    </row>
    <row r="793" spans="2:7" ht="13">
      <c r="B793" s="36"/>
      <c r="C793" s="80"/>
      <c r="D793" s="5"/>
      <c r="E793" s="5"/>
      <c r="F793" s="5"/>
      <c r="G793" s="5"/>
    </row>
    <row r="794" spans="2:7" ht="13">
      <c r="B794" s="36"/>
      <c r="C794" s="80"/>
      <c r="D794" s="5"/>
      <c r="E794" s="5"/>
      <c r="F794" s="5"/>
      <c r="G794" s="5"/>
    </row>
    <row r="795" spans="2:7" ht="13">
      <c r="B795" s="36"/>
      <c r="C795" s="80"/>
      <c r="D795" s="5"/>
      <c r="E795" s="5"/>
      <c r="F795" s="5"/>
      <c r="G795" s="5"/>
    </row>
    <row r="796" spans="2:7" ht="13">
      <c r="B796" s="36"/>
      <c r="C796" s="80"/>
      <c r="D796" s="5"/>
      <c r="E796" s="5"/>
      <c r="F796" s="5"/>
      <c r="G796" s="5"/>
    </row>
    <row r="797" spans="2:7" ht="13">
      <c r="B797" s="36"/>
      <c r="C797" s="80"/>
      <c r="D797" s="5"/>
      <c r="E797" s="5"/>
      <c r="F797" s="5"/>
      <c r="G797" s="5"/>
    </row>
    <row r="798" spans="2:7" ht="13">
      <c r="B798" s="36"/>
      <c r="C798" s="80"/>
      <c r="D798" s="5"/>
      <c r="E798" s="5"/>
      <c r="F798" s="5"/>
      <c r="G798" s="5"/>
    </row>
    <row r="799" spans="2:7" ht="13">
      <c r="B799" s="36"/>
      <c r="C799" s="80"/>
      <c r="D799" s="5"/>
      <c r="E799" s="5"/>
      <c r="F799" s="5"/>
      <c r="G799" s="5"/>
    </row>
    <row r="800" spans="2:7" ht="13">
      <c r="B800" s="36"/>
      <c r="C800" s="80"/>
      <c r="D800" s="5"/>
      <c r="E800" s="5"/>
      <c r="F800" s="5"/>
      <c r="G800" s="5"/>
    </row>
    <row r="801" spans="2:7" ht="13">
      <c r="B801" s="36"/>
      <c r="C801" s="80"/>
      <c r="D801" s="5"/>
      <c r="E801" s="5"/>
      <c r="F801" s="5"/>
      <c r="G801" s="5"/>
    </row>
    <row r="802" spans="2:7" ht="13">
      <c r="B802" s="36"/>
      <c r="C802" s="80"/>
      <c r="D802" s="5"/>
      <c r="E802" s="5"/>
      <c r="F802" s="5"/>
      <c r="G802" s="5"/>
    </row>
    <row r="803" spans="2:7" ht="13">
      <c r="B803" s="36"/>
      <c r="C803" s="80"/>
      <c r="D803" s="5"/>
      <c r="E803" s="5"/>
      <c r="F803" s="5"/>
      <c r="G803" s="5"/>
    </row>
    <row r="804" spans="2:7" ht="13">
      <c r="B804" s="36"/>
      <c r="C804" s="80"/>
      <c r="D804" s="5"/>
      <c r="E804" s="5"/>
      <c r="F804" s="5"/>
      <c r="G804" s="5"/>
    </row>
    <row r="805" spans="2:7" ht="13">
      <c r="B805" s="36"/>
      <c r="C805" s="80"/>
      <c r="D805" s="5"/>
      <c r="E805" s="5"/>
      <c r="F805" s="5"/>
      <c r="G805" s="5"/>
    </row>
    <row r="806" spans="2:7" ht="13">
      <c r="B806" s="36"/>
      <c r="C806" s="80"/>
      <c r="D806" s="5"/>
      <c r="E806" s="5"/>
      <c r="F806" s="5"/>
      <c r="G806" s="5"/>
    </row>
    <row r="807" spans="2:7" ht="13">
      <c r="B807" s="36"/>
      <c r="C807" s="80"/>
      <c r="D807" s="5"/>
      <c r="E807" s="5"/>
      <c r="F807" s="5"/>
      <c r="G807" s="5"/>
    </row>
    <row r="808" spans="2:7" ht="13">
      <c r="B808" s="36"/>
      <c r="C808" s="80"/>
      <c r="D808" s="5"/>
      <c r="E808" s="5"/>
      <c r="F808" s="5"/>
      <c r="G808" s="5"/>
    </row>
    <row r="809" spans="2:7" ht="13">
      <c r="B809" s="36"/>
      <c r="C809" s="80"/>
      <c r="D809" s="5"/>
      <c r="E809" s="5"/>
      <c r="F809" s="5"/>
      <c r="G809" s="5"/>
    </row>
    <row r="810" spans="2:7" ht="13">
      <c r="B810" s="36"/>
      <c r="C810" s="80"/>
      <c r="D810" s="5"/>
      <c r="E810" s="5"/>
      <c r="F810" s="5"/>
      <c r="G810" s="5"/>
    </row>
    <row r="811" spans="2:7" ht="13">
      <c r="B811" s="36"/>
      <c r="C811" s="80"/>
      <c r="D811" s="5"/>
      <c r="E811" s="5"/>
      <c r="F811" s="5"/>
      <c r="G811" s="5"/>
    </row>
    <row r="812" spans="2:7" ht="13">
      <c r="B812" s="36"/>
      <c r="C812" s="80"/>
      <c r="D812" s="5"/>
      <c r="E812" s="5"/>
      <c r="F812" s="5"/>
      <c r="G812" s="5"/>
    </row>
    <row r="813" spans="2:7" ht="13">
      <c r="B813" s="36"/>
      <c r="C813" s="80"/>
      <c r="D813" s="5"/>
      <c r="E813" s="5"/>
      <c r="F813" s="5"/>
      <c r="G813" s="5"/>
    </row>
    <row r="814" spans="2:7" ht="13">
      <c r="B814" s="36"/>
      <c r="C814" s="80"/>
      <c r="D814" s="5"/>
      <c r="E814" s="5"/>
      <c r="F814" s="5"/>
      <c r="G814" s="5"/>
    </row>
    <row r="815" spans="2:7" ht="13">
      <c r="B815" s="36"/>
      <c r="C815" s="80"/>
      <c r="D815" s="5"/>
      <c r="E815" s="5"/>
      <c r="F815" s="5"/>
      <c r="G815" s="5"/>
    </row>
    <row r="816" spans="2:7" ht="13">
      <c r="B816" s="36"/>
      <c r="C816" s="80"/>
      <c r="D816" s="5"/>
      <c r="E816" s="5"/>
      <c r="F816" s="5"/>
      <c r="G816" s="5"/>
    </row>
    <row r="817" spans="2:7" ht="13">
      <c r="B817" s="36"/>
      <c r="C817" s="80"/>
      <c r="D817" s="5"/>
      <c r="E817" s="5"/>
      <c r="F817" s="5"/>
      <c r="G817" s="5"/>
    </row>
    <row r="818" spans="2:7" ht="13">
      <c r="B818" s="36"/>
      <c r="C818" s="80"/>
      <c r="D818" s="5"/>
      <c r="E818" s="5"/>
      <c r="F818" s="5"/>
      <c r="G818" s="5"/>
    </row>
    <row r="819" spans="2:7" ht="13">
      <c r="B819" s="36"/>
      <c r="C819" s="80"/>
      <c r="D819" s="5"/>
      <c r="E819" s="5"/>
      <c r="F819" s="5"/>
      <c r="G819" s="5"/>
    </row>
    <row r="820" spans="2:7" ht="13">
      <c r="B820" s="36"/>
      <c r="C820" s="80"/>
      <c r="D820" s="5"/>
      <c r="E820" s="5"/>
      <c r="F820" s="5"/>
      <c r="G820" s="5"/>
    </row>
    <row r="821" spans="2:7" ht="13">
      <c r="B821" s="36"/>
      <c r="C821" s="80"/>
      <c r="D821" s="5"/>
      <c r="E821" s="5"/>
      <c r="F821" s="5"/>
      <c r="G821" s="5"/>
    </row>
    <row r="822" spans="2:7" ht="13">
      <c r="B822" s="36"/>
      <c r="C822" s="80"/>
      <c r="D822" s="5"/>
      <c r="E822" s="5"/>
      <c r="F822" s="5"/>
      <c r="G822" s="5"/>
    </row>
    <row r="823" spans="2:7" ht="13">
      <c r="B823" s="36"/>
      <c r="C823" s="80"/>
      <c r="D823" s="5"/>
      <c r="E823" s="5"/>
      <c r="F823" s="5"/>
      <c r="G823" s="5"/>
    </row>
    <row r="824" spans="2:7" ht="13">
      <c r="B824" s="36"/>
      <c r="C824" s="80"/>
      <c r="D824" s="5"/>
      <c r="E824" s="5"/>
      <c r="F824" s="5"/>
      <c r="G824" s="5"/>
    </row>
    <row r="825" spans="2:7" ht="13">
      <c r="B825" s="36"/>
      <c r="C825" s="80"/>
      <c r="D825" s="5"/>
      <c r="E825" s="5"/>
      <c r="F825" s="5"/>
      <c r="G825" s="5"/>
    </row>
    <row r="826" spans="2:7" ht="13">
      <c r="B826" s="36"/>
      <c r="C826" s="80"/>
      <c r="D826" s="5"/>
      <c r="E826" s="5"/>
      <c r="F826" s="5"/>
      <c r="G826" s="5"/>
    </row>
    <row r="827" spans="2:7" ht="13">
      <c r="B827" s="36"/>
      <c r="C827" s="80"/>
      <c r="D827" s="5"/>
      <c r="E827" s="5"/>
      <c r="F827" s="5"/>
      <c r="G827" s="5"/>
    </row>
    <row r="828" spans="2:7" ht="13">
      <c r="B828" s="36"/>
      <c r="C828" s="80"/>
      <c r="D828" s="5"/>
      <c r="E828" s="5"/>
      <c r="F828" s="5"/>
      <c r="G828" s="5"/>
    </row>
    <row r="829" spans="2:7" ht="13">
      <c r="B829" s="36"/>
      <c r="C829" s="80"/>
      <c r="D829" s="5"/>
      <c r="E829" s="5"/>
      <c r="F829" s="5"/>
      <c r="G829" s="5"/>
    </row>
    <row r="830" spans="2:7" ht="13">
      <c r="B830" s="36"/>
      <c r="C830" s="80"/>
      <c r="D830" s="5"/>
      <c r="E830" s="5"/>
      <c r="F830" s="5"/>
      <c r="G830" s="5"/>
    </row>
    <row r="831" spans="2:7" ht="13">
      <c r="B831" s="36"/>
      <c r="C831" s="80"/>
      <c r="D831" s="5"/>
      <c r="E831" s="5"/>
      <c r="F831" s="5"/>
      <c r="G831" s="5"/>
    </row>
    <row r="832" spans="2:7" ht="13">
      <c r="B832" s="36"/>
      <c r="C832" s="80"/>
      <c r="D832" s="5"/>
      <c r="E832" s="5"/>
      <c r="F832" s="5"/>
      <c r="G832" s="5"/>
    </row>
    <row r="833" spans="2:7" ht="13">
      <c r="B833" s="36"/>
      <c r="C833" s="80"/>
      <c r="D833" s="5"/>
      <c r="E833" s="5"/>
      <c r="F833" s="5"/>
      <c r="G833" s="5"/>
    </row>
    <row r="834" spans="2:7" ht="13">
      <c r="B834" s="36"/>
      <c r="C834" s="80"/>
      <c r="D834" s="5"/>
      <c r="E834" s="5"/>
      <c r="F834" s="5"/>
      <c r="G834" s="5"/>
    </row>
    <row r="835" spans="2:7" ht="13">
      <c r="B835" s="36"/>
      <c r="C835" s="80"/>
      <c r="D835" s="5"/>
      <c r="E835" s="5"/>
      <c r="F835" s="5"/>
      <c r="G835" s="5"/>
    </row>
    <row r="836" spans="2:7" ht="13">
      <c r="B836" s="36"/>
      <c r="C836" s="80"/>
      <c r="D836" s="5"/>
      <c r="E836" s="5"/>
      <c r="F836" s="5"/>
      <c r="G836" s="5"/>
    </row>
    <row r="837" spans="2:7" ht="13">
      <c r="B837" s="36"/>
      <c r="C837" s="80"/>
      <c r="D837" s="5"/>
      <c r="E837" s="5"/>
      <c r="F837" s="5"/>
      <c r="G837" s="5"/>
    </row>
    <row r="838" spans="2:7" ht="13">
      <c r="B838" s="36"/>
      <c r="C838" s="80"/>
      <c r="D838" s="5"/>
      <c r="E838" s="5"/>
      <c r="F838" s="5"/>
      <c r="G838" s="5"/>
    </row>
    <row r="839" spans="2:7" ht="13">
      <c r="B839" s="36"/>
      <c r="C839" s="80"/>
      <c r="D839" s="5"/>
      <c r="E839" s="5"/>
      <c r="F839" s="5"/>
      <c r="G839" s="5"/>
    </row>
    <row r="840" spans="2:7" ht="13">
      <c r="B840" s="36"/>
      <c r="C840" s="80"/>
      <c r="D840" s="5"/>
      <c r="E840" s="5"/>
      <c r="F840" s="5"/>
      <c r="G840" s="5"/>
    </row>
    <row r="841" spans="2:7" ht="13">
      <c r="B841" s="36"/>
      <c r="C841" s="80"/>
      <c r="D841" s="5"/>
      <c r="E841" s="5"/>
      <c r="F841" s="5"/>
      <c r="G841" s="5"/>
    </row>
    <row r="842" spans="2:7" ht="13">
      <c r="B842" s="36"/>
      <c r="C842" s="80"/>
      <c r="D842" s="5"/>
      <c r="E842" s="5"/>
      <c r="F842" s="5"/>
      <c r="G842" s="5"/>
    </row>
    <row r="843" spans="2:7" ht="13">
      <c r="B843" s="36"/>
      <c r="C843" s="80"/>
      <c r="D843" s="5"/>
      <c r="E843" s="5"/>
      <c r="F843" s="5"/>
      <c r="G843" s="5"/>
    </row>
    <row r="844" spans="2:7" ht="13">
      <c r="B844" s="36"/>
      <c r="C844" s="80"/>
      <c r="D844" s="5"/>
      <c r="E844" s="5"/>
      <c r="F844" s="5"/>
      <c r="G844" s="5"/>
    </row>
    <row r="845" spans="2:7" ht="13">
      <c r="B845" s="36"/>
      <c r="C845" s="80"/>
      <c r="D845" s="5"/>
      <c r="E845" s="5"/>
      <c r="F845" s="5"/>
      <c r="G845" s="5"/>
    </row>
    <row r="846" spans="2:7" ht="13">
      <c r="B846" s="36"/>
      <c r="C846" s="80"/>
      <c r="D846" s="5"/>
      <c r="E846" s="5"/>
      <c r="F846" s="5"/>
      <c r="G846" s="5"/>
    </row>
    <row r="847" spans="2:7" ht="13">
      <c r="B847" s="36"/>
      <c r="C847" s="80"/>
      <c r="D847" s="5"/>
      <c r="E847" s="5"/>
      <c r="F847" s="5"/>
      <c r="G847" s="5"/>
    </row>
    <row r="848" spans="2:7" ht="13">
      <c r="B848" s="36"/>
      <c r="C848" s="80"/>
      <c r="D848" s="5"/>
      <c r="E848" s="5"/>
      <c r="F848" s="5"/>
      <c r="G848" s="5"/>
    </row>
    <row r="849" spans="2:7" ht="13">
      <c r="B849" s="36"/>
      <c r="C849" s="80"/>
      <c r="D849" s="5"/>
      <c r="E849" s="5"/>
      <c r="F849" s="5"/>
      <c r="G849" s="5"/>
    </row>
    <row r="850" spans="2:7" ht="13">
      <c r="B850" s="36"/>
      <c r="C850" s="80"/>
      <c r="D850" s="5"/>
      <c r="E850" s="5"/>
      <c r="F850" s="5"/>
      <c r="G850" s="5"/>
    </row>
    <row r="851" spans="2:7" ht="13">
      <c r="B851" s="36"/>
      <c r="C851" s="80"/>
      <c r="D851" s="5"/>
      <c r="E851" s="5"/>
      <c r="F851" s="5"/>
      <c r="G851" s="5"/>
    </row>
    <row r="852" spans="2:7" ht="13">
      <c r="B852" s="36"/>
      <c r="C852" s="80"/>
      <c r="D852" s="5"/>
      <c r="E852" s="5"/>
      <c r="F852" s="5"/>
      <c r="G852" s="5"/>
    </row>
    <row r="853" spans="2:7" ht="13">
      <c r="B853" s="36"/>
      <c r="C853" s="80"/>
      <c r="D853" s="5"/>
      <c r="E853" s="5"/>
      <c r="F853" s="5"/>
      <c r="G853" s="5"/>
    </row>
    <row r="854" spans="2:7" ht="13">
      <c r="B854" s="36"/>
      <c r="C854" s="80"/>
      <c r="D854" s="5"/>
      <c r="E854" s="5"/>
      <c r="F854" s="5"/>
      <c r="G854" s="5"/>
    </row>
    <row r="855" spans="2:7" ht="13">
      <c r="B855" s="36"/>
      <c r="C855" s="80"/>
      <c r="D855" s="5"/>
      <c r="E855" s="5"/>
      <c r="F855" s="5"/>
      <c r="G855" s="5"/>
    </row>
    <row r="856" spans="2:7" ht="13">
      <c r="B856" s="36"/>
      <c r="C856" s="80"/>
      <c r="D856" s="5"/>
      <c r="E856" s="5"/>
      <c r="F856" s="5"/>
      <c r="G856" s="5"/>
    </row>
    <row r="857" spans="2:7" ht="13">
      <c r="B857" s="36"/>
      <c r="C857" s="80"/>
      <c r="D857" s="5"/>
      <c r="E857" s="5"/>
      <c r="F857" s="5"/>
      <c r="G857" s="5"/>
    </row>
    <row r="858" spans="2:7" ht="13">
      <c r="B858" s="36"/>
      <c r="C858" s="80"/>
      <c r="D858" s="5"/>
      <c r="E858" s="5"/>
      <c r="F858" s="5"/>
      <c r="G858" s="5"/>
    </row>
    <row r="859" spans="2:7" ht="13">
      <c r="B859" s="36"/>
      <c r="C859" s="80"/>
      <c r="D859" s="5"/>
      <c r="E859" s="5"/>
      <c r="F859" s="5"/>
      <c r="G859" s="5"/>
    </row>
    <row r="860" spans="2:7" ht="13">
      <c r="B860" s="36"/>
      <c r="C860" s="80"/>
      <c r="D860" s="5"/>
      <c r="E860" s="5"/>
      <c r="F860" s="5"/>
      <c r="G860" s="5"/>
    </row>
    <row r="861" spans="2:7" ht="13">
      <c r="B861" s="36"/>
      <c r="C861" s="80"/>
      <c r="D861" s="5"/>
      <c r="E861" s="5"/>
      <c r="F861" s="5"/>
      <c r="G861" s="5"/>
    </row>
    <row r="862" spans="2:7" ht="13">
      <c r="B862" s="36"/>
      <c r="C862" s="80"/>
      <c r="D862" s="5"/>
      <c r="E862" s="5"/>
      <c r="F862" s="5"/>
      <c r="G862" s="5"/>
    </row>
    <row r="863" spans="2:7" ht="13">
      <c r="B863" s="36"/>
      <c r="C863" s="80"/>
      <c r="D863" s="5"/>
      <c r="E863" s="5"/>
      <c r="F863" s="5"/>
      <c r="G863" s="5"/>
    </row>
    <row r="864" spans="2:7" ht="13">
      <c r="B864" s="36"/>
      <c r="C864" s="80"/>
      <c r="D864" s="5"/>
      <c r="E864" s="5"/>
      <c r="F864" s="5"/>
      <c r="G864" s="5"/>
    </row>
    <row r="865" spans="2:7" ht="13">
      <c r="B865" s="36"/>
      <c r="C865" s="80"/>
      <c r="D865" s="5"/>
      <c r="E865" s="5"/>
      <c r="F865" s="5"/>
      <c r="G865" s="5"/>
    </row>
    <row r="866" spans="2:7" ht="13">
      <c r="B866" s="36"/>
      <c r="C866" s="80"/>
      <c r="D866" s="5"/>
      <c r="E866" s="5"/>
      <c r="F866" s="5"/>
      <c r="G866" s="5"/>
    </row>
    <row r="867" spans="2:7" ht="13">
      <c r="B867" s="36"/>
      <c r="C867" s="80"/>
      <c r="D867" s="5"/>
      <c r="E867" s="5"/>
      <c r="F867" s="5"/>
      <c r="G867" s="5"/>
    </row>
    <row r="868" spans="2:7" ht="13">
      <c r="B868" s="36"/>
      <c r="C868" s="80"/>
      <c r="D868" s="5"/>
      <c r="E868" s="5"/>
      <c r="F868" s="5"/>
      <c r="G868" s="5"/>
    </row>
    <row r="869" spans="2:7" ht="13">
      <c r="B869" s="36"/>
      <c r="C869" s="80"/>
      <c r="D869" s="5"/>
      <c r="E869" s="5"/>
      <c r="F869" s="5"/>
      <c r="G869" s="5"/>
    </row>
    <row r="870" spans="2:7" ht="13">
      <c r="B870" s="36"/>
      <c r="C870" s="80"/>
      <c r="D870" s="5"/>
      <c r="E870" s="5"/>
      <c r="F870" s="5"/>
      <c r="G870" s="5"/>
    </row>
    <row r="871" spans="2:7" ht="13">
      <c r="B871" s="36"/>
      <c r="C871" s="80"/>
      <c r="D871" s="5"/>
      <c r="E871" s="5"/>
      <c r="F871" s="5"/>
      <c r="G871" s="5"/>
    </row>
    <row r="872" spans="2:7" ht="13">
      <c r="B872" s="36"/>
      <c r="C872" s="80"/>
      <c r="D872" s="5"/>
      <c r="E872" s="5"/>
      <c r="F872" s="5"/>
      <c r="G872" s="5"/>
    </row>
    <row r="873" spans="2:7" ht="13">
      <c r="B873" s="36"/>
      <c r="C873" s="80"/>
      <c r="D873" s="5"/>
      <c r="E873" s="5"/>
      <c r="F873" s="5"/>
      <c r="G873" s="5"/>
    </row>
    <row r="874" spans="2:7" ht="13">
      <c r="B874" s="36"/>
      <c r="C874" s="80"/>
      <c r="D874" s="5"/>
      <c r="E874" s="5"/>
      <c r="F874" s="5"/>
      <c r="G874" s="5"/>
    </row>
    <row r="875" spans="2:7" ht="13">
      <c r="B875" s="36"/>
      <c r="C875" s="80"/>
      <c r="D875" s="5"/>
      <c r="E875" s="5"/>
      <c r="F875" s="5"/>
      <c r="G875" s="5"/>
    </row>
    <row r="876" spans="2:7" ht="13">
      <c r="B876" s="36"/>
      <c r="C876" s="80"/>
      <c r="D876" s="5"/>
      <c r="E876" s="5"/>
      <c r="F876" s="5"/>
      <c r="G876" s="5"/>
    </row>
    <row r="877" spans="2:7" ht="13">
      <c r="B877" s="36"/>
      <c r="C877" s="80"/>
      <c r="D877" s="5"/>
      <c r="E877" s="5"/>
      <c r="F877" s="5"/>
      <c r="G877" s="5"/>
    </row>
    <row r="878" spans="2:7" ht="13">
      <c r="B878" s="36"/>
      <c r="C878" s="80"/>
      <c r="D878" s="5"/>
      <c r="E878" s="5"/>
      <c r="F878" s="5"/>
      <c r="G878" s="5"/>
    </row>
    <row r="879" spans="2:7" ht="13">
      <c r="B879" s="36"/>
      <c r="C879" s="80"/>
      <c r="D879" s="5"/>
      <c r="E879" s="5"/>
      <c r="F879" s="5"/>
      <c r="G879" s="5"/>
    </row>
    <row r="880" spans="2:7" ht="13">
      <c r="B880" s="36"/>
      <c r="C880" s="80"/>
      <c r="D880" s="5"/>
      <c r="E880" s="5"/>
      <c r="F880" s="5"/>
      <c r="G880" s="5"/>
    </row>
    <row r="881" spans="2:7" ht="13">
      <c r="B881" s="36"/>
      <c r="C881" s="80"/>
      <c r="D881" s="5"/>
      <c r="E881" s="5"/>
      <c r="F881" s="5"/>
      <c r="G881" s="5"/>
    </row>
    <row r="882" spans="2:7" ht="13">
      <c r="B882" s="36"/>
      <c r="C882" s="80"/>
      <c r="D882" s="5"/>
      <c r="E882" s="5"/>
      <c r="F882" s="5"/>
      <c r="G882" s="5"/>
    </row>
    <row r="883" spans="2:7" ht="13">
      <c r="B883" s="36"/>
      <c r="C883" s="80"/>
      <c r="D883" s="5"/>
      <c r="E883" s="5"/>
      <c r="F883" s="5"/>
      <c r="G883" s="5"/>
    </row>
    <row r="884" spans="2:7" ht="13">
      <c r="B884" s="36"/>
      <c r="C884" s="80"/>
      <c r="D884" s="5"/>
      <c r="E884" s="5"/>
      <c r="F884" s="5"/>
      <c r="G884" s="5"/>
    </row>
    <row r="885" spans="2:7" ht="13">
      <c r="B885" s="36"/>
      <c r="C885" s="80"/>
      <c r="D885" s="5"/>
      <c r="E885" s="5"/>
      <c r="F885" s="5"/>
      <c r="G885" s="5"/>
    </row>
    <row r="886" spans="2:7" ht="13">
      <c r="B886" s="36"/>
      <c r="C886" s="80"/>
      <c r="D886" s="5"/>
      <c r="E886" s="5"/>
      <c r="F886" s="5"/>
      <c r="G886" s="5"/>
    </row>
    <row r="887" spans="2:7" ht="13">
      <c r="B887" s="36"/>
      <c r="C887" s="80"/>
      <c r="D887" s="5"/>
      <c r="E887" s="5"/>
      <c r="F887" s="5"/>
      <c r="G887" s="5"/>
    </row>
    <row r="888" spans="2:7" ht="13">
      <c r="B888" s="36"/>
      <c r="C888" s="80"/>
      <c r="D888" s="5"/>
      <c r="E888" s="5"/>
      <c r="F888" s="5"/>
      <c r="G888" s="5"/>
    </row>
    <row r="889" spans="2:7" ht="13">
      <c r="B889" s="36"/>
      <c r="C889" s="80"/>
      <c r="D889" s="5"/>
      <c r="E889" s="5"/>
      <c r="F889" s="5"/>
      <c r="G889" s="5"/>
    </row>
    <row r="890" spans="2:7" ht="13">
      <c r="B890" s="36"/>
      <c r="C890" s="80"/>
      <c r="D890" s="5"/>
      <c r="E890" s="5"/>
      <c r="F890" s="5"/>
      <c r="G890" s="5"/>
    </row>
    <row r="891" spans="2:7" ht="13">
      <c r="B891" s="36"/>
      <c r="C891" s="80"/>
      <c r="D891" s="5"/>
      <c r="E891" s="5"/>
      <c r="F891" s="5"/>
      <c r="G891" s="5"/>
    </row>
    <row r="892" spans="2:7" ht="13">
      <c r="B892" s="36"/>
      <c r="C892" s="80"/>
      <c r="D892" s="5"/>
      <c r="E892" s="5"/>
      <c r="F892" s="5"/>
      <c r="G892" s="5"/>
    </row>
    <row r="893" spans="2:7" ht="13">
      <c r="B893" s="36"/>
      <c r="C893" s="80"/>
      <c r="D893" s="5"/>
      <c r="E893" s="5"/>
      <c r="F893" s="5"/>
      <c r="G893" s="5"/>
    </row>
    <row r="894" spans="2:7" ht="13">
      <c r="B894" s="36"/>
      <c r="C894" s="80"/>
      <c r="D894" s="5"/>
      <c r="E894" s="5"/>
      <c r="F894" s="5"/>
      <c r="G894" s="5"/>
    </row>
    <row r="895" spans="2:7" ht="13">
      <c r="B895" s="36"/>
      <c r="C895" s="80"/>
      <c r="D895" s="5"/>
      <c r="E895" s="5"/>
      <c r="F895" s="5"/>
      <c r="G895" s="5"/>
    </row>
    <row r="896" spans="2:7" ht="13">
      <c r="B896" s="36"/>
      <c r="C896" s="80"/>
      <c r="D896" s="5"/>
      <c r="E896" s="5"/>
      <c r="F896" s="5"/>
      <c r="G896" s="5"/>
    </row>
    <row r="897" spans="2:7" ht="13">
      <c r="B897" s="36"/>
      <c r="C897" s="80"/>
      <c r="D897" s="5"/>
      <c r="E897" s="5"/>
      <c r="F897" s="5"/>
      <c r="G897" s="5"/>
    </row>
    <row r="898" spans="2:7" ht="13">
      <c r="B898" s="36"/>
      <c r="C898" s="80"/>
      <c r="D898" s="5"/>
      <c r="E898" s="5"/>
      <c r="F898" s="5"/>
      <c r="G898" s="5"/>
    </row>
    <row r="899" spans="2:7" ht="13">
      <c r="B899" s="36"/>
      <c r="C899" s="80"/>
      <c r="D899" s="5"/>
      <c r="E899" s="5"/>
      <c r="F899" s="5"/>
      <c r="G899" s="5"/>
    </row>
    <row r="900" spans="2:7" ht="13">
      <c r="B900" s="36"/>
      <c r="C900" s="80"/>
      <c r="D900" s="5"/>
      <c r="E900" s="5"/>
      <c r="F900" s="5"/>
      <c r="G900" s="5"/>
    </row>
    <row r="901" spans="2:7" ht="13">
      <c r="B901" s="36"/>
      <c r="C901" s="80"/>
      <c r="D901" s="5"/>
      <c r="E901" s="5"/>
      <c r="F901" s="5"/>
      <c r="G901" s="5"/>
    </row>
    <row r="902" spans="2:7" ht="13">
      <c r="B902" s="36"/>
      <c r="C902" s="80"/>
      <c r="D902" s="5"/>
      <c r="E902" s="5"/>
      <c r="F902" s="5"/>
      <c r="G902" s="5"/>
    </row>
    <row r="903" spans="2:7" ht="13">
      <c r="B903" s="36"/>
      <c r="C903" s="80"/>
      <c r="D903" s="5"/>
      <c r="E903" s="5"/>
      <c r="F903" s="5"/>
      <c r="G903" s="5"/>
    </row>
    <row r="904" spans="2:7" ht="13">
      <c r="B904" s="36"/>
      <c r="C904" s="80"/>
      <c r="D904" s="5"/>
      <c r="E904" s="5"/>
      <c r="F904" s="5"/>
      <c r="G904" s="5"/>
    </row>
    <row r="905" spans="2:7" ht="13">
      <c r="B905" s="36"/>
      <c r="C905" s="80"/>
      <c r="D905" s="5"/>
      <c r="E905" s="5"/>
      <c r="F905" s="5"/>
      <c r="G905" s="5"/>
    </row>
    <row r="906" spans="2:7" ht="13">
      <c r="B906" s="36"/>
      <c r="C906" s="80"/>
      <c r="D906" s="5"/>
      <c r="E906" s="5"/>
      <c r="F906" s="5"/>
      <c r="G906" s="5"/>
    </row>
    <row r="907" spans="2:7" ht="13">
      <c r="B907" s="36"/>
      <c r="C907" s="80"/>
      <c r="D907" s="5"/>
      <c r="E907" s="5"/>
      <c r="F907" s="5"/>
      <c r="G907" s="5"/>
    </row>
    <row r="908" spans="2:7" ht="13">
      <c r="B908" s="36"/>
      <c r="C908" s="80"/>
      <c r="D908" s="5"/>
      <c r="E908" s="5"/>
      <c r="F908" s="5"/>
      <c r="G908" s="5"/>
    </row>
    <row r="909" spans="2:7" ht="13">
      <c r="B909" s="36"/>
      <c r="C909" s="80"/>
      <c r="D909" s="5"/>
      <c r="E909" s="5"/>
      <c r="F909" s="5"/>
      <c r="G909" s="5"/>
    </row>
    <row r="910" spans="2:7" ht="13">
      <c r="B910" s="36"/>
      <c r="C910" s="80"/>
      <c r="D910" s="5"/>
      <c r="E910" s="5"/>
      <c r="F910" s="5"/>
      <c r="G910" s="5"/>
    </row>
    <row r="911" spans="2:7" ht="13">
      <c r="B911" s="36"/>
      <c r="C911" s="80"/>
      <c r="D911" s="5"/>
      <c r="E911" s="5"/>
      <c r="F911" s="5"/>
      <c r="G911" s="5"/>
    </row>
    <row r="912" spans="2:7" ht="13">
      <c r="B912" s="36"/>
      <c r="C912" s="80"/>
      <c r="D912" s="5"/>
      <c r="E912" s="5"/>
      <c r="F912" s="5"/>
      <c r="G912" s="5"/>
    </row>
    <row r="913" spans="2:7" ht="13">
      <c r="B913" s="36"/>
      <c r="C913" s="80"/>
      <c r="D913" s="5"/>
      <c r="E913" s="5"/>
      <c r="F913" s="5"/>
      <c r="G913" s="5"/>
    </row>
    <row r="914" spans="2:7" ht="13">
      <c r="B914" s="36"/>
      <c r="C914" s="80"/>
      <c r="D914" s="5"/>
      <c r="E914" s="5"/>
      <c r="F914" s="5"/>
      <c r="G914" s="5"/>
    </row>
    <row r="915" spans="2:7" ht="13">
      <c r="B915" s="36"/>
      <c r="C915" s="80"/>
      <c r="D915" s="5"/>
      <c r="E915" s="5"/>
      <c r="F915" s="5"/>
      <c r="G915" s="5"/>
    </row>
    <row r="916" spans="2:7" ht="13">
      <c r="B916" s="36"/>
      <c r="C916" s="80"/>
      <c r="D916" s="5"/>
      <c r="E916" s="5"/>
      <c r="F916" s="5"/>
      <c r="G916" s="5"/>
    </row>
    <row r="917" spans="2:7" ht="13">
      <c r="B917" s="36"/>
      <c r="C917" s="80"/>
      <c r="D917" s="5"/>
      <c r="E917" s="5"/>
      <c r="F917" s="5"/>
      <c r="G917" s="5"/>
    </row>
    <row r="918" spans="2:7" ht="13">
      <c r="B918" s="36"/>
      <c r="C918" s="80"/>
      <c r="D918" s="5"/>
      <c r="E918" s="5"/>
      <c r="F918" s="5"/>
      <c r="G918" s="5"/>
    </row>
    <row r="919" spans="2:7" ht="13">
      <c r="B919" s="36"/>
      <c r="C919" s="80"/>
      <c r="D919" s="5"/>
      <c r="E919" s="5"/>
      <c r="F919" s="5"/>
      <c r="G919" s="5"/>
    </row>
    <row r="920" spans="2:7" ht="13">
      <c r="B920" s="36"/>
      <c r="C920" s="80"/>
      <c r="D920" s="5"/>
      <c r="E920" s="5"/>
      <c r="F920" s="5"/>
      <c r="G920" s="5"/>
    </row>
    <row r="921" spans="2:7" ht="13">
      <c r="B921" s="36"/>
      <c r="C921" s="80"/>
      <c r="D921" s="5"/>
      <c r="E921" s="5"/>
      <c r="F921" s="5"/>
      <c r="G921" s="5"/>
    </row>
    <row r="922" spans="2:7" ht="13">
      <c r="B922" s="36"/>
      <c r="C922" s="80"/>
      <c r="D922" s="5"/>
      <c r="E922" s="5"/>
      <c r="F922" s="5"/>
      <c r="G922" s="5"/>
    </row>
    <row r="923" spans="2:7" ht="13">
      <c r="B923" s="36"/>
      <c r="C923" s="80"/>
      <c r="D923" s="5"/>
      <c r="E923" s="5"/>
      <c r="F923" s="5"/>
      <c r="G923" s="5"/>
    </row>
    <row r="924" spans="2:7" ht="13">
      <c r="B924" s="36"/>
      <c r="C924" s="80"/>
      <c r="D924" s="5"/>
      <c r="E924" s="5"/>
      <c r="F924" s="5"/>
      <c r="G924" s="5"/>
    </row>
    <row r="925" spans="2:7" ht="13">
      <c r="B925" s="36"/>
      <c r="C925" s="80"/>
      <c r="D925" s="5"/>
      <c r="E925" s="5"/>
      <c r="F925" s="5"/>
      <c r="G925" s="5"/>
    </row>
    <row r="926" spans="2:7" ht="13">
      <c r="B926" s="36"/>
      <c r="C926" s="80"/>
      <c r="D926" s="5"/>
      <c r="E926" s="5"/>
      <c r="F926" s="5"/>
      <c r="G926" s="5"/>
    </row>
    <row r="927" spans="2:7" ht="13">
      <c r="B927" s="36"/>
      <c r="C927" s="80"/>
      <c r="D927" s="5"/>
      <c r="E927" s="5"/>
      <c r="F927" s="5"/>
      <c r="G927" s="5"/>
    </row>
    <row r="928" spans="2:7" ht="13">
      <c r="B928" s="36"/>
      <c r="C928" s="80"/>
      <c r="D928" s="5"/>
      <c r="E928" s="5"/>
      <c r="F928" s="5"/>
      <c r="G928" s="5"/>
    </row>
    <row r="929" spans="2:7" ht="13">
      <c r="B929" s="36"/>
      <c r="C929" s="80"/>
      <c r="D929" s="5"/>
      <c r="E929" s="5"/>
      <c r="F929" s="5"/>
      <c r="G929" s="5"/>
    </row>
    <row r="930" spans="2:7" ht="13">
      <c r="B930" s="36"/>
      <c r="C930" s="80"/>
      <c r="D930" s="5"/>
      <c r="E930" s="5"/>
      <c r="F930" s="5"/>
      <c r="G930" s="5"/>
    </row>
    <row r="931" spans="2:7" ht="13">
      <c r="B931" s="36"/>
      <c r="C931" s="80"/>
      <c r="D931" s="5"/>
      <c r="E931" s="5"/>
      <c r="F931" s="5"/>
      <c r="G931" s="5"/>
    </row>
    <row r="932" spans="2:7" ht="13">
      <c r="B932" s="36"/>
      <c r="C932" s="80"/>
      <c r="D932" s="5"/>
      <c r="E932" s="5"/>
      <c r="F932" s="5"/>
      <c r="G932" s="5"/>
    </row>
    <row r="933" spans="2:7" ht="13">
      <c r="B933" s="36"/>
      <c r="C933" s="80"/>
      <c r="D933" s="5"/>
      <c r="E933" s="5"/>
      <c r="F933" s="5"/>
      <c r="G933" s="5"/>
    </row>
    <row r="934" spans="2:7" ht="13">
      <c r="B934" s="36"/>
      <c r="C934" s="80"/>
      <c r="D934" s="5"/>
      <c r="E934" s="5"/>
      <c r="F934" s="5"/>
      <c r="G934" s="5"/>
    </row>
    <row r="935" spans="2:7" ht="13">
      <c r="B935" s="36"/>
      <c r="C935" s="80"/>
      <c r="D935" s="5"/>
      <c r="E935" s="5"/>
      <c r="F935" s="5"/>
      <c r="G935" s="5"/>
    </row>
    <row r="936" spans="2:7" ht="13">
      <c r="B936" s="36"/>
      <c r="C936" s="80"/>
      <c r="D936" s="5"/>
      <c r="E936" s="5"/>
      <c r="F936" s="5"/>
      <c r="G936" s="5"/>
    </row>
    <row r="937" spans="2:7" ht="13">
      <c r="B937" s="36"/>
      <c r="C937" s="80"/>
      <c r="D937" s="5"/>
      <c r="E937" s="5"/>
      <c r="F937" s="5"/>
      <c r="G937" s="5"/>
    </row>
    <row r="938" spans="2:7" ht="13">
      <c r="B938" s="36"/>
      <c r="C938" s="80"/>
      <c r="D938" s="5"/>
      <c r="E938" s="5"/>
      <c r="F938" s="5"/>
      <c r="G938" s="5"/>
    </row>
    <row r="939" spans="2:7" ht="13">
      <c r="B939" s="36"/>
      <c r="C939" s="80"/>
      <c r="D939" s="5"/>
      <c r="E939" s="5"/>
      <c r="F939" s="5"/>
      <c r="G939" s="5"/>
    </row>
    <row r="940" spans="2:7" ht="13">
      <c r="B940" s="36"/>
      <c r="C940" s="80"/>
      <c r="D940" s="5"/>
      <c r="E940" s="5"/>
      <c r="F940" s="5"/>
      <c r="G940" s="5"/>
    </row>
    <row r="941" spans="2:7" ht="13">
      <c r="B941" s="36"/>
      <c r="C941" s="80"/>
      <c r="D941" s="5"/>
      <c r="E941" s="5"/>
      <c r="F941" s="5"/>
      <c r="G941" s="5"/>
    </row>
    <row r="942" spans="2:7" ht="13">
      <c r="B942" s="36"/>
      <c r="C942" s="80"/>
      <c r="D942" s="5"/>
      <c r="E942" s="5"/>
      <c r="F942" s="5"/>
      <c r="G942" s="5"/>
    </row>
    <row r="943" spans="2:7" ht="13">
      <c r="B943" s="36"/>
      <c r="C943" s="80"/>
      <c r="D943" s="5"/>
      <c r="E943" s="5"/>
      <c r="F943" s="5"/>
      <c r="G943" s="5"/>
    </row>
    <row r="944" spans="2:7" ht="13">
      <c r="B944" s="36"/>
      <c r="C944" s="80"/>
      <c r="D944" s="5"/>
      <c r="E944" s="5"/>
      <c r="F944" s="5"/>
      <c r="G944" s="5"/>
    </row>
    <row r="945" spans="2:7" ht="13">
      <c r="B945" s="36"/>
      <c r="C945" s="80"/>
      <c r="D945" s="5"/>
      <c r="E945" s="5"/>
      <c r="F945" s="5"/>
      <c r="G945" s="5"/>
    </row>
    <row r="946" spans="2:7" ht="13">
      <c r="B946" s="36"/>
      <c r="C946" s="80"/>
      <c r="D946" s="5"/>
      <c r="E946" s="5"/>
      <c r="F946" s="5"/>
      <c r="G946" s="5"/>
    </row>
    <row r="947" spans="2:7" ht="13">
      <c r="B947" s="36"/>
      <c r="C947" s="80"/>
      <c r="D947" s="5"/>
      <c r="E947" s="5"/>
      <c r="F947" s="5"/>
      <c r="G947" s="5"/>
    </row>
    <row r="948" spans="2:7" ht="13">
      <c r="B948" s="36"/>
      <c r="C948" s="80"/>
      <c r="D948" s="5"/>
      <c r="E948" s="5"/>
      <c r="F948" s="5"/>
      <c r="G948" s="5"/>
    </row>
    <row r="949" spans="2:7" ht="13">
      <c r="B949" s="36"/>
      <c r="C949" s="80"/>
      <c r="D949" s="5"/>
      <c r="E949" s="5"/>
      <c r="F949" s="5"/>
      <c r="G949" s="5"/>
    </row>
    <row r="950" spans="2:7" ht="13">
      <c r="B950" s="36"/>
      <c r="C950" s="80"/>
      <c r="D950" s="5"/>
      <c r="E950" s="5"/>
      <c r="F950" s="5"/>
      <c r="G950" s="5"/>
    </row>
    <row r="951" spans="2:7" ht="13">
      <c r="B951" s="36"/>
      <c r="C951" s="80"/>
      <c r="D951" s="5"/>
      <c r="E951" s="5"/>
      <c r="F951" s="5"/>
      <c r="G951" s="5"/>
    </row>
    <row r="952" spans="2:7" ht="13">
      <c r="B952" s="36"/>
      <c r="C952" s="80"/>
      <c r="D952" s="5"/>
      <c r="E952" s="5"/>
      <c r="F952" s="5"/>
      <c r="G952" s="5"/>
    </row>
    <row r="953" spans="2:7" ht="13">
      <c r="B953" s="36"/>
      <c r="C953" s="80"/>
      <c r="D953" s="5"/>
      <c r="E953" s="5"/>
      <c r="F953" s="5"/>
      <c r="G953" s="5"/>
    </row>
    <row r="954" spans="2:7" ht="13">
      <c r="B954" s="36"/>
      <c r="C954" s="80"/>
      <c r="D954" s="5"/>
      <c r="E954" s="5"/>
      <c r="F954" s="5"/>
      <c r="G954" s="5"/>
    </row>
    <row r="955" spans="2:7" ht="13">
      <c r="B955" s="36"/>
      <c r="C955" s="80"/>
      <c r="D955" s="5"/>
      <c r="E955" s="5"/>
      <c r="F955" s="5"/>
      <c r="G955" s="5"/>
    </row>
    <row r="956" spans="2:7" ht="13">
      <c r="B956" s="36"/>
      <c r="C956" s="80"/>
      <c r="D956" s="5"/>
      <c r="E956" s="5"/>
      <c r="F956" s="5"/>
      <c r="G956" s="5"/>
    </row>
    <row r="957" spans="2:7" ht="13">
      <c r="B957" s="36"/>
      <c r="C957" s="80"/>
      <c r="D957" s="5"/>
      <c r="E957" s="5"/>
      <c r="F957" s="5"/>
      <c r="G957" s="5"/>
    </row>
    <row r="958" spans="2:7" ht="13">
      <c r="B958" s="36"/>
      <c r="C958" s="80"/>
      <c r="D958" s="5"/>
      <c r="E958" s="5"/>
      <c r="F958" s="5"/>
      <c r="G958" s="5"/>
    </row>
    <row r="959" spans="2:7" ht="13">
      <c r="B959" s="36"/>
      <c r="C959" s="80"/>
      <c r="D959" s="5"/>
      <c r="E959" s="5"/>
      <c r="F959" s="5"/>
      <c r="G959" s="5"/>
    </row>
    <row r="960" spans="2:7" ht="13">
      <c r="B960" s="36"/>
      <c r="C960" s="80"/>
      <c r="D960" s="5"/>
      <c r="E960" s="5"/>
      <c r="F960" s="5"/>
      <c r="G960" s="5"/>
    </row>
    <row r="961" spans="2:7" ht="13">
      <c r="B961" s="36"/>
      <c r="C961" s="80"/>
      <c r="D961" s="5"/>
      <c r="E961" s="5"/>
      <c r="F961" s="5"/>
      <c r="G961" s="5"/>
    </row>
    <row r="962" spans="2:7" ht="13">
      <c r="B962" s="36"/>
      <c r="C962" s="80"/>
      <c r="D962" s="5"/>
      <c r="E962" s="5"/>
      <c r="F962" s="5"/>
      <c r="G962" s="5"/>
    </row>
    <row r="963" spans="2:7" ht="13">
      <c r="B963" s="36"/>
      <c r="C963" s="80"/>
      <c r="D963" s="5"/>
      <c r="E963" s="5"/>
      <c r="F963" s="5"/>
      <c r="G963" s="5"/>
    </row>
    <row r="964" spans="2:7" ht="13">
      <c r="B964" s="36"/>
      <c r="C964" s="80"/>
      <c r="D964" s="5"/>
      <c r="E964" s="5"/>
      <c r="F964" s="5"/>
      <c r="G964" s="5"/>
    </row>
    <row r="965" spans="2:7" ht="13">
      <c r="B965" s="36"/>
      <c r="C965" s="80"/>
      <c r="D965" s="5"/>
      <c r="E965" s="5"/>
      <c r="F965" s="5"/>
      <c r="G965" s="5"/>
    </row>
    <row r="966" spans="2:7" ht="13">
      <c r="B966" s="36"/>
      <c r="C966" s="80"/>
      <c r="D966" s="5"/>
      <c r="E966" s="5"/>
      <c r="F966" s="5"/>
      <c r="G966" s="5"/>
    </row>
    <row r="967" spans="2:7" ht="13">
      <c r="B967" s="36"/>
      <c r="C967" s="80"/>
      <c r="D967" s="5"/>
      <c r="E967" s="5"/>
      <c r="F967" s="5"/>
      <c r="G967" s="5"/>
    </row>
    <row r="968" spans="2:7" ht="13">
      <c r="B968" s="36"/>
      <c r="C968" s="80"/>
      <c r="D968" s="5"/>
      <c r="E968" s="5"/>
      <c r="F968" s="5"/>
      <c r="G968" s="5"/>
    </row>
    <row r="969" spans="2:7" ht="13">
      <c r="B969" s="36"/>
      <c r="C969" s="80"/>
      <c r="D969" s="5"/>
      <c r="E969" s="5"/>
      <c r="F969" s="5"/>
      <c r="G969" s="5"/>
    </row>
    <row r="970" spans="2:7" ht="13">
      <c r="B970" s="36"/>
      <c r="C970" s="80"/>
      <c r="D970" s="5"/>
      <c r="E970" s="5"/>
      <c r="F970" s="5"/>
      <c r="G970" s="5"/>
    </row>
    <row r="971" spans="2:7" ht="13">
      <c r="B971" s="36"/>
      <c r="C971" s="80"/>
      <c r="D971" s="5"/>
      <c r="E971" s="5"/>
      <c r="F971" s="5"/>
      <c r="G971" s="5"/>
    </row>
    <row r="972" spans="2:7" ht="13">
      <c r="B972" s="36"/>
      <c r="C972" s="80"/>
      <c r="D972" s="5"/>
      <c r="E972" s="5"/>
      <c r="F972" s="5"/>
      <c r="G972" s="5"/>
    </row>
    <row r="973" spans="2:7" ht="13">
      <c r="B973" s="36"/>
      <c r="C973" s="80"/>
      <c r="D973" s="5"/>
      <c r="E973" s="5"/>
      <c r="F973" s="5"/>
      <c r="G973" s="5"/>
    </row>
    <row r="974" spans="2:7" ht="13">
      <c r="B974" s="36"/>
      <c r="C974" s="80"/>
      <c r="D974" s="5"/>
      <c r="E974" s="5"/>
      <c r="F974" s="5"/>
      <c r="G974" s="5"/>
    </row>
    <row r="975" spans="2:7" ht="13">
      <c r="B975" s="36"/>
      <c r="C975" s="80"/>
      <c r="D975" s="5"/>
      <c r="E975" s="5"/>
      <c r="F975" s="5"/>
      <c r="G975" s="5"/>
    </row>
    <row r="976" spans="2:7" ht="13">
      <c r="B976" s="36"/>
      <c r="C976" s="80"/>
      <c r="D976" s="5"/>
      <c r="E976" s="5"/>
      <c r="F976" s="5"/>
      <c r="G976" s="5"/>
    </row>
    <row r="977" spans="2:7" ht="13">
      <c r="B977" s="36"/>
      <c r="C977" s="80"/>
      <c r="D977" s="5"/>
      <c r="E977" s="5"/>
      <c r="F977" s="5"/>
      <c r="G977" s="5"/>
    </row>
    <row r="978" spans="2:7" ht="13">
      <c r="B978" s="36"/>
      <c r="C978" s="80"/>
      <c r="D978" s="5"/>
      <c r="E978" s="5"/>
      <c r="F978" s="5"/>
      <c r="G978" s="5"/>
    </row>
    <row r="979" spans="2:7" ht="13">
      <c r="B979" s="36"/>
      <c r="C979" s="80"/>
      <c r="D979" s="5"/>
      <c r="E979" s="5"/>
      <c r="F979" s="5"/>
      <c r="G979" s="5"/>
    </row>
    <row r="980" spans="2:7" ht="13">
      <c r="B980" s="36"/>
      <c r="C980" s="80"/>
      <c r="D980" s="5"/>
      <c r="E980" s="5"/>
      <c r="F980" s="5"/>
      <c r="G980" s="5"/>
    </row>
    <row r="981" spans="2:7" ht="13">
      <c r="B981" s="36"/>
      <c r="C981" s="80"/>
      <c r="D981" s="5"/>
      <c r="E981" s="5"/>
      <c r="F981" s="5"/>
      <c r="G981" s="5"/>
    </row>
    <row r="982" spans="2:7" ht="13">
      <c r="B982" s="36"/>
      <c r="C982" s="80"/>
      <c r="D982" s="5"/>
      <c r="E982" s="5"/>
      <c r="F982" s="5"/>
      <c r="G982" s="5"/>
    </row>
    <row r="983" spans="2:7" ht="13">
      <c r="B983" s="36"/>
      <c r="C983" s="80"/>
      <c r="D983" s="5"/>
      <c r="E983" s="5"/>
      <c r="F983" s="5"/>
      <c r="G983" s="5"/>
    </row>
    <row r="984" spans="2:7" ht="13">
      <c r="B984" s="36"/>
      <c r="C984" s="80"/>
      <c r="D984" s="5"/>
      <c r="E984" s="5"/>
      <c r="F984" s="5"/>
      <c r="G984" s="5"/>
    </row>
    <row r="985" spans="2:7" ht="13">
      <c r="B985" s="36"/>
      <c r="C985" s="80"/>
      <c r="D985" s="5"/>
      <c r="E985" s="5"/>
      <c r="F985" s="5"/>
      <c r="G985" s="5"/>
    </row>
    <row r="986" spans="2:7" ht="13">
      <c r="B986" s="36"/>
      <c r="C986" s="80"/>
      <c r="D986" s="5"/>
      <c r="E986" s="5"/>
      <c r="F986" s="5"/>
      <c r="G986" s="5"/>
    </row>
    <row r="987" spans="2:7" ht="13">
      <c r="B987" s="36"/>
      <c r="C987" s="80"/>
      <c r="D987" s="5"/>
      <c r="E987" s="5"/>
      <c r="F987" s="5"/>
      <c r="G987" s="5"/>
    </row>
    <row r="988" spans="2:7" ht="13">
      <c r="B988" s="36"/>
      <c r="C988" s="80"/>
      <c r="D988" s="5"/>
      <c r="E988" s="5"/>
      <c r="F988" s="5"/>
      <c r="G988" s="5"/>
    </row>
    <row r="989" spans="2:7" ht="13">
      <c r="B989" s="36"/>
      <c r="C989" s="80"/>
      <c r="D989" s="5"/>
      <c r="E989" s="5"/>
      <c r="F989" s="5"/>
      <c r="G989" s="5"/>
    </row>
    <row r="990" spans="2:7" ht="13">
      <c r="B990" s="36"/>
      <c r="C990" s="80"/>
      <c r="D990" s="5"/>
      <c r="E990" s="5"/>
      <c r="F990" s="5"/>
      <c r="G990" s="5"/>
    </row>
    <row r="991" spans="2:7" ht="13">
      <c r="B991" s="36"/>
      <c r="C991" s="80"/>
      <c r="D991" s="5"/>
      <c r="E991" s="5"/>
      <c r="F991" s="5"/>
      <c r="G991" s="5"/>
    </row>
    <row r="992" spans="2:7" ht="13">
      <c r="B992" s="36"/>
      <c r="C992" s="80"/>
      <c r="D992" s="5"/>
      <c r="E992" s="5"/>
      <c r="F992" s="5"/>
      <c r="G992" s="5"/>
    </row>
    <row r="993" spans="2:7" ht="13">
      <c r="B993" s="36"/>
      <c r="C993" s="80"/>
      <c r="D993" s="5"/>
      <c r="E993" s="5"/>
      <c r="F993" s="5"/>
      <c r="G993" s="5"/>
    </row>
    <row r="994" spans="2:7" ht="13">
      <c r="B994" s="36"/>
      <c r="C994" s="80"/>
      <c r="D994" s="5"/>
      <c r="E994" s="5"/>
      <c r="F994" s="5"/>
      <c r="G994" s="5"/>
    </row>
    <row r="995" spans="2:7" ht="13">
      <c r="B995" s="36"/>
      <c r="C995" s="80"/>
      <c r="D995" s="5"/>
      <c r="E995" s="5"/>
      <c r="F995" s="5"/>
      <c r="G995" s="5"/>
    </row>
    <row r="996" spans="2:7" ht="13">
      <c r="B996" s="36"/>
      <c r="C996" s="80"/>
      <c r="D996" s="5"/>
      <c r="E996" s="5"/>
      <c r="F996" s="5"/>
      <c r="G996" s="5"/>
    </row>
    <row r="997" spans="2:7" ht="13">
      <c r="B997" s="36"/>
      <c r="C997" s="80"/>
      <c r="D997" s="5"/>
      <c r="E997" s="5"/>
      <c r="F997" s="5"/>
      <c r="G997" s="5"/>
    </row>
    <row r="998" spans="2:7" ht="13">
      <c r="B998" s="36"/>
      <c r="C998" s="80"/>
      <c r="D998" s="5"/>
      <c r="E998" s="5"/>
      <c r="F998" s="5"/>
      <c r="G998" s="5"/>
    </row>
    <row r="999" spans="2:7" ht="13">
      <c r="B999" s="36"/>
      <c r="C999" s="80"/>
      <c r="D999" s="5"/>
      <c r="E999" s="5"/>
      <c r="F999" s="5"/>
      <c r="G999" s="5"/>
    </row>
    <row r="1000" spans="2:7" ht="13">
      <c r="B1000" s="36"/>
      <c r="C1000" s="80"/>
      <c r="D1000" s="5"/>
      <c r="E1000" s="5"/>
      <c r="F1000" s="5"/>
      <c r="G1000" s="5"/>
    </row>
    <row r="1001" spans="2:7" ht="13">
      <c r="B1001" s="36"/>
      <c r="C1001" s="80"/>
      <c r="D1001" s="5"/>
      <c r="E1001" s="5"/>
      <c r="F1001" s="5"/>
      <c r="G1001" s="5"/>
    </row>
    <row r="1002" spans="2:7" ht="13">
      <c r="B1002" s="36"/>
      <c r="C1002" s="80"/>
      <c r="D1002" s="5"/>
      <c r="E1002" s="5"/>
      <c r="F1002" s="5"/>
      <c r="G1002" s="5"/>
    </row>
  </sheetData>
  <hyperlinks>
    <hyperlink ref="B5" r:id="rId1" xr:uid="{00000000-0004-0000-4D00-000000000000}"/>
    <hyperlink ref="B6" r:id="rId2" xr:uid="{00000000-0004-0000-4D00-000001000000}"/>
    <hyperlink ref="B7" r:id="rId3" xr:uid="{00000000-0004-0000-4D00-000002000000}"/>
    <hyperlink ref="B8" r:id="rId4" xr:uid="{00000000-0004-0000-4D00-000003000000}"/>
    <hyperlink ref="B9" r:id="rId5" xr:uid="{00000000-0004-0000-4D00-000004000000}"/>
    <hyperlink ref="B10" r:id="rId6" xr:uid="{00000000-0004-0000-4D00-000005000000}"/>
    <hyperlink ref="B11" r:id="rId7" xr:uid="{00000000-0004-0000-4D00-000006000000}"/>
    <hyperlink ref="B12" r:id="rId8" xr:uid="{00000000-0004-0000-4D00-000007000000}"/>
    <hyperlink ref="B13" r:id="rId9" xr:uid="{00000000-0004-0000-4D00-000008000000}"/>
    <hyperlink ref="B14" r:id="rId10" xr:uid="{00000000-0004-0000-4D00-000009000000}"/>
    <hyperlink ref="B15" r:id="rId11" xr:uid="{00000000-0004-0000-4D00-00000A000000}"/>
    <hyperlink ref="B17" r:id="rId12" xr:uid="{00000000-0004-0000-4D00-00000B000000}"/>
    <hyperlink ref="B18" r:id="rId13" xr:uid="{00000000-0004-0000-4D00-00000C000000}"/>
    <hyperlink ref="B19" r:id="rId14" xr:uid="{00000000-0004-0000-4D00-00000D000000}"/>
    <hyperlink ref="B20" r:id="rId15" xr:uid="{00000000-0004-0000-4D00-00000E000000}"/>
    <hyperlink ref="B21" r:id="rId16" xr:uid="{00000000-0004-0000-4D00-00000F000000}"/>
    <hyperlink ref="B22" r:id="rId17" xr:uid="{00000000-0004-0000-4D00-000010000000}"/>
    <hyperlink ref="B23" r:id="rId18" xr:uid="{00000000-0004-0000-4D00-000011000000}"/>
    <hyperlink ref="B24" r:id="rId19" xr:uid="{00000000-0004-0000-4D00-000012000000}"/>
    <hyperlink ref="B27" r:id="rId20" xr:uid="{00000000-0004-0000-4D00-000013000000}"/>
    <hyperlink ref="B28" r:id="rId21" xr:uid="{00000000-0004-0000-4D00-000014000000}"/>
    <hyperlink ref="B29" r:id="rId22" xr:uid="{00000000-0004-0000-4D00-000015000000}"/>
    <hyperlink ref="B30" r:id="rId23" xr:uid="{00000000-0004-0000-4D00-000016000000}"/>
    <hyperlink ref="B31" r:id="rId24" xr:uid="{00000000-0004-0000-4D00-000017000000}"/>
    <hyperlink ref="B32" r:id="rId25" xr:uid="{00000000-0004-0000-4D00-000018000000}"/>
    <hyperlink ref="B33" r:id="rId26" xr:uid="{00000000-0004-0000-4D00-000019000000}"/>
    <hyperlink ref="B34" r:id="rId27" xr:uid="{00000000-0004-0000-4D00-00001A000000}"/>
    <hyperlink ref="B35" r:id="rId28" xr:uid="{00000000-0004-0000-4D00-00001B000000}"/>
    <hyperlink ref="B36" r:id="rId29" xr:uid="{00000000-0004-0000-4D00-00001C000000}"/>
    <hyperlink ref="B37" r:id="rId30" xr:uid="{00000000-0004-0000-4D00-00001D000000}"/>
    <hyperlink ref="B40" r:id="rId31" xr:uid="{00000000-0004-0000-4D00-00001E000000}"/>
    <hyperlink ref="B41" r:id="rId32" xr:uid="{00000000-0004-0000-4D00-00001F000000}"/>
    <hyperlink ref="B42" r:id="rId33" xr:uid="{00000000-0004-0000-4D00-000020000000}"/>
    <hyperlink ref="B43" r:id="rId34" xr:uid="{00000000-0004-0000-4D00-000021000000}"/>
    <hyperlink ref="B44" r:id="rId35" xr:uid="{00000000-0004-0000-4D00-000022000000}"/>
    <hyperlink ref="B45" r:id="rId36" xr:uid="{00000000-0004-0000-4D00-000023000000}"/>
    <hyperlink ref="B46" r:id="rId37" xr:uid="{00000000-0004-0000-4D00-000024000000}"/>
    <hyperlink ref="B47" r:id="rId38" xr:uid="{00000000-0004-0000-4D00-000025000000}"/>
    <hyperlink ref="B48" r:id="rId39" xr:uid="{00000000-0004-0000-4D00-000026000000}"/>
    <hyperlink ref="B49" r:id="rId40" xr:uid="{00000000-0004-0000-4D00-000027000000}"/>
    <hyperlink ref="B50" r:id="rId41" xr:uid="{00000000-0004-0000-4D00-000028000000}"/>
    <hyperlink ref="B51" r:id="rId42" xr:uid="{00000000-0004-0000-4D00-000029000000}"/>
    <hyperlink ref="B52" r:id="rId43" xr:uid="{00000000-0004-0000-4D00-00002A000000}"/>
    <hyperlink ref="B53" r:id="rId44" xr:uid="{00000000-0004-0000-4D00-00002B000000}"/>
    <hyperlink ref="B55" r:id="rId45" xr:uid="{00000000-0004-0000-4D00-00002C000000}"/>
    <hyperlink ref="B56" r:id="rId46" xr:uid="{00000000-0004-0000-4D00-00002D000000}"/>
    <hyperlink ref="B57" r:id="rId47" xr:uid="{00000000-0004-0000-4D00-00002E000000}"/>
    <hyperlink ref="B58" r:id="rId48" xr:uid="{00000000-0004-0000-4D00-00002F000000}"/>
    <hyperlink ref="B59" r:id="rId49" xr:uid="{00000000-0004-0000-4D00-000030000000}"/>
    <hyperlink ref="B60" r:id="rId50" xr:uid="{00000000-0004-0000-4D00-000031000000}"/>
    <hyperlink ref="B61" r:id="rId51" xr:uid="{00000000-0004-0000-4D00-000032000000}"/>
    <hyperlink ref="B62" r:id="rId52" xr:uid="{00000000-0004-0000-4D00-000033000000}"/>
    <hyperlink ref="B63" r:id="rId53" xr:uid="{00000000-0004-0000-4D00-000034000000}"/>
    <hyperlink ref="B64" r:id="rId54" xr:uid="{00000000-0004-0000-4D00-000035000000}"/>
    <hyperlink ref="B69" r:id="rId55" xr:uid="{00000000-0004-0000-4D00-000036000000}"/>
    <hyperlink ref="B70" r:id="rId56" xr:uid="{00000000-0004-0000-4D00-000037000000}"/>
    <hyperlink ref="B71" r:id="rId57" xr:uid="{00000000-0004-0000-4D00-000038000000}"/>
    <hyperlink ref="B72" r:id="rId58" xr:uid="{00000000-0004-0000-4D00-000039000000}"/>
    <hyperlink ref="B73" r:id="rId59" xr:uid="{00000000-0004-0000-4D00-00003A000000}"/>
    <hyperlink ref="B74" r:id="rId60" xr:uid="{00000000-0004-0000-4D00-00003B000000}"/>
    <hyperlink ref="B75" r:id="rId61" xr:uid="{00000000-0004-0000-4D00-00003C000000}"/>
    <hyperlink ref="B76" r:id="rId62" xr:uid="{00000000-0004-0000-4D00-00003D000000}"/>
    <hyperlink ref="B77" r:id="rId63" xr:uid="{00000000-0004-0000-4D00-00003E000000}"/>
    <hyperlink ref="B78" r:id="rId64" xr:uid="{00000000-0004-0000-4D00-00003F000000}"/>
    <hyperlink ref="B79" r:id="rId65" xr:uid="{00000000-0004-0000-4D00-000040000000}"/>
    <hyperlink ref="B80" r:id="rId66" xr:uid="{00000000-0004-0000-4D00-000041000000}"/>
    <hyperlink ref="B81" r:id="rId67" xr:uid="{00000000-0004-0000-4D00-000042000000}"/>
    <hyperlink ref="B82" r:id="rId68" xr:uid="{00000000-0004-0000-4D00-000043000000}"/>
    <hyperlink ref="B84" r:id="rId69" xr:uid="{00000000-0004-0000-4D00-000044000000}"/>
    <hyperlink ref="B85" r:id="rId70" xr:uid="{00000000-0004-0000-4D00-000045000000}"/>
    <hyperlink ref="B86" r:id="rId71" xr:uid="{00000000-0004-0000-4D00-000046000000}"/>
    <hyperlink ref="B87" r:id="rId72" xr:uid="{00000000-0004-0000-4D00-000047000000}"/>
    <hyperlink ref="B88" r:id="rId73" xr:uid="{00000000-0004-0000-4D00-000048000000}"/>
    <hyperlink ref="B89" r:id="rId74" xr:uid="{00000000-0004-0000-4D00-000049000000}"/>
    <hyperlink ref="B90" r:id="rId75" xr:uid="{00000000-0004-0000-4D00-00004A000000}"/>
    <hyperlink ref="B91" r:id="rId76" xr:uid="{00000000-0004-0000-4D00-00004B000000}"/>
    <hyperlink ref="B92" r:id="rId77" xr:uid="{00000000-0004-0000-4D00-00004C000000}"/>
    <hyperlink ref="B93" r:id="rId78" xr:uid="{00000000-0004-0000-4D00-00004D000000}"/>
    <hyperlink ref="B94" r:id="rId79" xr:uid="{00000000-0004-0000-4D00-00004E000000}"/>
    <hyperlink ref="B95" r:id="rId80" xr:uid="{00000000-0004-0000-4D00-00004F000000}"/>
    <hyperlink ref="B97" r:id="rId81" xr:uid="{00000000-0004-0000-4D00-000050000000}"/>
    <hyperlink ref="B98" r:id="rId82" xr:uid="{00000000-0004-0000-4D00-000051000000}"/>
    <hyperlink ref="B99" r:id="rId83" xr:uid="{00000000-0004-0000-4D00-000052000000}"/>
    <hyperlink ref="B100" r:id="rId84" xr:uid="{00000000-0004-0000-4D00-000053000000}"/>
    <hyperlink ref="B101" r:id="rId85" xr:uid="{00000000-0004-0000-4D00-000054000000}"/>
    <hyperlink ref="B102" r:id="rId86" xr:uid="{00000000-0004-0000-4D00-000055000000}"/>
    <hyperlink ref="B103" r:id="rId87" xr:uid="{00000000-0004-0000-4D00-000056000000}"/>
    <hyperlink ref="B104" r:id="rId88" xr:uid="{00000000-0004-0000-4D00-000057000000}"/>
    <hyperlink ref="B105" r:id="rId89" xr:uid="{00000000-0004-0000-4D00-000058000000}"/>
    <hyperlink ref="B106" r:id="rId90" xr:uid="{00000000-0004-0000-4D00-000059000000}"/>
    <hyperlink ref="B107" r:id="rId91" xr:uid="{00000000-0004-0000-4D00-00005A000000}"/>
    <hyperlink ref="B109" r:id="rId92" xr:uid="{00000000-0004-0000-4D00-00005B000000}"/>
    <hyperlink ref="B110" r:id="rId93" xr:uid="{00000000-0004-0000-4D00-00005C000000}"/>
    <hyperlink ref="B111" r:id="rId94" xr:uid="{00000000-0004-0000-4D00-00005D000000}"/>
    <hyperlink ref="B112" r:id="rId95" xr:uid="{00000000-0004-0000-4D00-00005E000000}"/>
    <hyperlink ref="B113" r:id="rId96" xr:uid="{00000000-0004-0000-4D00-00005F000000}"/>
    <hyperlink ref="B114" r:id="rId97" xr:uid="{00000000-0004-0000-4D00-000060000000}"/>
    <hyperlink ref="B115" r:id="rId98" xr:uid="{00000000-0004-0000-4D00-000061000000}"/>
    <hyperlink ref="B116" r:id="rId99" xr:uid="{00000000-0004-0000-4D00-000062000000}"/>
    <hyperlink ref="B118" r:id="rId100" xr:uid="{00000000-0004-0000-4D00-000063000000}"/>
    <hyperlink ref="B119" r:id="rId101" xr:uid="{00000000-0004-0000-4D00-000064000000}"/>
    <hyperlink ref="B120" r:id="rId102" xr:uid="{00000000-0004-0000-4D00-000065000000}"/>
    <hyperlink ref="B121" r:id="rId103" xr:uid="{00000000-0004-0000-4D00-000066000000}"/>
    <hyperlink ref="B122" r:id="rId104" xr:uid="{00000000-0004-0000-4D00-000067000000}"/>
    <hyperlink ref="B123" r:id="rId105" xr:uid="{00000000-0004-0000-4D00-000068000000}"/>
    <hyperlink ref="B124" r:id="rId106" xr:uid="{00000000-0004-0000-4D00-000069000000}"/>
    <hyperlink ref="B125" r:id="rId107" xr:uid="{00000000-0004-0000-4D00-00006A000000}"/>
    <hyperlink ref="B126" r:id="rId108" xr:uid="{00000000-0004-0000-4D00-00006B000000}"/>
    <hyperlink ref="B127" r:id="rId109" xr:uid="{00000000-0004-0000-4D00-00006C000000}"/>
    <hyperlink ref="B128" r:id="rId110" xr:uid="{00000000-0004-0000-4D00-00006D000000}"/>
    <hyperlink ref="B129" r:id="rId111" xr:uid="{00000000-0004-0000-4D00-00006E000000}"/>
    <hyperlink ref="B130" r:id="rId112" xr:uid="{00000000-0004-0000-4D00-00006F000000}"/>
    <hyperlink ref="B131" r:id="rId113" xr:uid="{00000000-0004-0000-4D00-000070000000}"/>
    <hyperlink ref="B132" r:id="rId114" xr:uid="{00000000-0004-0000-4D00-000071000000}"/>
    <hyperlink ref="B133" r:id="rId115" xr:uid="{00000000-0004-0000-4D00-000072000000}"/>
    <hyperlink ref="B134" r:id="rId116" xr:uid="{00000000-0004-0000-4D00-000073000000}"/>
    <hyperlink ref="B135" r:id="rId117" xr:uid="{00000000-0004-0000-4D00-000074000000}"/>
    <hyperlink ref="B136" r:id="rId118" xr:uid="{00000000-0004-0000-4D00-000075000000}"/>
    <hyperlink ref="B137" r:id="rId119" xr:uid="{00000000-0004-0000-4D00-000076000000}"/>
    <hyperlink ref="B138" r:id="rId120" xr:uid="{00000000-0004-0000-4D00-000077000000}"/>
    <hyperlink ref="B139" r:id="rId121" xr:uid="{00000000-0004-0000-4D00-000078000000}"/>
    <hyperlink ref="B140" r:id="rId122" xr:uid="{00000000-0004-0000-4D00-000079000000}"/>
    <hyperlink ref="B141" r:id="rId123" xr:uid="{00000000-0004-0000-4D00-00007A000000}"/>
    <hyperlink ref="B142" r:id="rId124" xr:uid="{00000000-0004-0000-4D00-00007B000000}"/>
    <hyperlink ref="B143" r:id="rId125" xr:uid="{00000000-0004-0000-4D00-00007C000000}"/>
    <hyperlink ref="B144" r:id="rId126" xr:uid="{00000000-0004-0000-4D00-00007D000000}"/>
    <hyperlink ref="B145" r:id="rId127" xr:uid="{00000000-0004-0000-4D00-00007E000000}"/>
    <hyperlink ref="B146" r:id="rId128" xr:uid="{00000000-0004-0000-4D00-00007F000000}"/>
    <hyperlink ref="B147" r:id="rId129" xr:uid="{00000000-0004-0000-4D00-000080000000}"/>
    <hyperlink ref="B148" r:id="rId130" xr:uid="{00000000-0004-0000-4D00-000081000000}"/>
    <hyperlink ref="B149" r:id="rId131" xr:uid="{00000000-0004-0000-4D00-000082000000}"/>
    <hyperlink ref="B150" r:id="rId132" xr:uid="{00000000-0004-0000-4D00-000083000000}"/>
    <hyperlink ref="B151" r:id="rId133" xr:uid="{00000000-0004-0000-4D00-000084000000}"/>
    <hyperlink ref="B152" r:id="rId134" xr:uid="{00000000-0004-0000-4D00-000085000000}"/>
    <hyperlink ref="B153" r:id="rId135" xr:uid="{00000000-0004-0000-4D00-000086000000}"/>
    <hyperlink ref="B154" r:id="rId136" xr:uid="{00000000-0004-0000-4D00-000087000000}"/>
    <hyperlink ref="B155" r:id="rId137" xr:uid="{00000000-0004-0000-4D00-000088000000}"/>
    <hyperlink ref="B156" r:id="rId138" xr:uid="{00000000-0004-0000-4D00-000089000000}"/>
    <hyperlink ref="B165" r:id="rId139" xr:uid="{00000000-0004-0000-4D00-00008A000000}"/>
    <hyperlink ref="B166" r:id="rId140" xr:uid="{00000000-0004-0000-4D00-00008B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9">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1640625" customWidth="1"/>
    <col min="3" max="3" width="13.5" customWidth="1"/>
    <col min="4" max="4" width="14.83203125" customWidth="1"/>
    <col min="5" max="5" width="14.33203125" customWidth="1"/>
  </cols>
  <sheetData>
    <row r="1" spans="1:10" ht="15.75" customHeight="1">
      <c r="A1" s="1" t="s">
        <v>127</v>
      </c>
      <c r="B1" s="36"/>
      <c r="C1" s="80"/>
      <c r="D1" s="81" t="s">
        <v>181</v>
      </c>
      <c r="E1" s="5"/>
      <c r="F1" s="5"/>
      <c r="G1" s="5"/>
    </row>
    <row r="2" spans="1:10" ht="15.75" customHeight="1">
      <c r="A2" s="7" t="s">
        <v>182</v>
      </c>
      <c r="B2" s="38">
        <v>42403</v>
      </c>
      <c r="C2" s="80"/>
      <c r="D2" s="82">
        <f>SUM(D5:G127)</f>
        <v>0</v>
      </c>
      <c r="E2" s="5"/>
      <c r="F2" s="5"/>
      <c r="G2" s="5"/>
    </row>
    <row r="3" spans="1:10" ht="15.75" customHeight="1">
      <c r="B3" s="36"/>
      <c r="C3" s="80"/>
      <c r="D3" s="5"/>
      <c r="E3" s="5"/>
      <c r="F3" s="5"/>
      <c r="G3" s="5"/>
    </row>
    <row r="4" spans="1:10" ht="15.75" customHeight="1">
      <c r="A4" s="42" t="s">
        <v>183</v>
      </c>
      <c r="B4" s="43" t="s">
        <v>184</v>
      </c>
      <c r="C4" s="42" t="s">
        <v>185</v>
      </c>
      <c r="D4" s="83" t="s">
        <v>186</v>
      </c>
      <c r="E4" s="84" t="s">
        <v>187</v>
      </c>
      <c r="F4" s="84" t="s">
        <v>188</v>
      </c>
      <c r="G4" s="85" t="s">
        <v>189</v>
      </c>
      <c r="H4" s="84" t="s">
        <v>190</v>
      </c>
      <c r="I4" s="85"/>
    </row>
    <row r="5" spans="1:10" ht="15.75" customHeight="1">
      <c r="A5" s="64" t="s">
        <v>5762</v>
      </c>
      <c r="B5" s="77" t="s">
        <v>857</v>
      </c>
      <c r="C5" s="64" t="s">
        <v>205</v>
      </c>
      <c r="D5" s="89"/>
      <c r="E5" s="87"/>
      <c r="F5" s="87"/>
      <c r="G5" s="87"/>
      <c r="H5" s="88"/>
      <c r="I5" s="88"/>
      <c r="J5" s="88"/>
    </row>
    <row r="6" spans="1:10" ht="15.75" customHeight="1">
      <c r="A6" s="64" t="s">
        <v>5763</v>
      </c>
      <c r="B6" s="77" t="s">
        <v>816</v>
      </c>
      <c r="C6" s="64" t="s">
        <v>205</v>
      </c>
      <c r="D6" s="76"/>
      <c r="E6" s="5"/>
      <c r="F6" s="5"/>
      <c r="G6" s="5"/>
      <c r="J6" s="88"/>
    </row>
    <row r="7" spans="1:10" ht="15.75" customHeight="1">
      <c r="A7" s="64" t="s">
        <v>5764</v>
      </c>
      <c r="B7" s="77" t="s">
        <v>783</v>
      </c>
      <c r="C7" s="64" t="s">
        <v>205</v>
      </c>
      <c r="D7" s="76"/>
      <c r="E7" s="5"/>
      <c r="F7" s="51"/>
      <c r="G7" s="5"/>
    </row>
    <row r="8" spans="1:10" ht="15.75" customHeight="1">
      <c r="A8" s="64" t="s">
        <v>5765</v>
      </c>
      <c r="B8" s="77" t="s">
        <v>1454</v>
      </c>
      <c r="C8" s="64" t="s">
        <v>205</v>
      </c>
      <c r="D8" s="76"/>
      <c r="E8" s="5"/>
      <c r="F8" s="5"/>
      <c r="G8" s="5"/>
    </row>
    <row r="9" spans="1:10" ht="15.75" customHeight="1">
      <c r="A9" s="64" t="s">
        <v>5766</v>
      </c>
      <c r="B9" s="77" t="s">
        <v>3261</v>
      </c>
      <c r="C9" s="64" t="s">
        <v>205</v>
      </c>
      <c r="D9" s="76"/>
      <c r="E9" s="5"/>
      <c r="F9" s="5"/>
      <c r="G9" s="5"/>
    </row>
    <row r="10" spans="1:10" ht="15.75" customHeight="1">
      <c r="A10" s="64" t="s">
        <v>5767</v>
      </c>
      <c r="B10" s="77" t="s">
        <v>3192</v>
      </c>
      <c r="C10" s="64" t="s">
        <v>205</v>
      </c>
      <c r="D10" s="76"/>
      <c r="E10" s="5"/>
      <c r="F10" s="5"/>
      <c r="G10" s="5"/>
    </row>
    <row r="11" spans="1:10" ht="15.75" customHeight="1">
      <c r="A11" s="64" t="s">
        <v>5768</v>
      </c>
      <c r="B11" s="77" t="s">
        <v>4043</v>
      </c>
      <c r="C11" s="64" t="s">
        <v>205</v>
      </c>
      <c r="D11" s="76"/>
      <c r="E11" s="5"/>
      <c r="F11" s="5"/>
      <c r="G11" s="5"/>
    </row>
    <row r="12" spans="1:10" ht="15.75" customHeight="1">
      <c r="A12" s="64" t="s">
        <v>5769</v>
      </c>
      <c r="B12" s="77" t="s">
        <v>4044</v>
      </c>
      <c r="C12" s="64" t="s">
        <v>205</v>
      </c>
      <c r="D12" s="76"/>
      <c r="E12" s="5"/>
      <c r="F12" s="5"/>
      <c r="G12" s="5"/>
    </row>
    <row r="13" spans="1:10" ht="15.75" customHeight="1">
      <c r="A13" s="64" t="s">
        <v>5770</v>
      </c>
      <c r="B13" s="77" t="s">
        <v>4107</v>
      </c>
      <c r="C13" s="64" t="s">
        <v>205</v>
      </c>
      <c r="D13" s="76"/>
      <c r="E13" s="5"/>
      <c r="F13" s="5"/>
      <c r="G13" s="5"/>
    </row>
    <row r="14" spans="1:10" ht="15.75" customHeight="1">
      <c r="A14" s="64" t="s">
        <v>5771</v>
      </c>
      <c r="B14" s="77" t="s">
        <v>262</v>
      </c>
      <c r="C14" s="64" t="s">
        <v>199</v>
      </c>
      <c r="D14" s="76"/>
      <c r="E14" s="5"/>
      <c r="F14" s="5"/>
      <c r="G14" s="5"/>
    </row>
    <row r="15" spans="1:10" ht="15.75" customHeight="1">
      <c r="A15" s="64" t="s">
        <v>5772</v>
      </c>
      <c r="B15" s="77" t="s">
        <v>198</v>
      </c>
      <c r="C15" s="64" t="s">
        <v>199</v>
      </c>
      <c r="D15" s="76"/>
      <c r="E15" s="5"/>
      <c r="F15" s="5"/>
      <c r="G15" s="5"/>
    </row>
    <row r="16" spans="1:10" ht="15.75" customHeight="1">
      <c r="A16" s="64" t="s">
        <v>5773</v>
      </c>
      <c r="B16" s="77" t="s">
        <v>1300</v>
      </c>
      <c r="C16" s="64" t="s">
        <v>199</v>
      </c>
      <c r="D16" s="76"/>
      <c r="E16" s="5"/>
      <c r="F16" s="5"/>
      <c r="G16" s="5"/>
    </row>
    <row r="17" spans="1:7" ht="15.75" customHeight="1">
      <c r="A17" s="64" t="s">
        <v>5774</v>
      </c>
      <c r="B17" s="77" t="s">
        <v>1214</v>
      </c>
      <c r="C17" s="64" t="s">
        <v>199</v>
      </c>
      <c r="D17" s="76"/>
      <c r="E17" s="5"/>
      <c r="F17" s="5"/>
      <c r="G17" s="5"/>
    </row>
    <row r="18" spans="1:7" ht="15.75" customHeight="1">
      <c r="A18" s="64" t="s">
        <v>5775</v>
      </c>
      <c r="B18" s="78" t="str">
        <f>HYPERLINK("https://bulbapedia.bulbagarden.net/wiki/Emboar-EX_(BREAKpoint_14)","EmboarEX")</f>
        <v>EmboarEX</v>
      </c>
      <c r="C18" s="64" t="s">
        <v>199</v>
      </c>
      <c r="D18" s="76"/>
      <c r="E18" s="5"/>
      <c r="F18" s="5"/>
      <c r="G18" s="5"/>
    </row>
    <row r="19" spans="1:7" ht="15.75" customHeight="1">
      <c r="A19" s="64" t="s">
        <v>5776</v>
      </c>
      <c r="B19" s="77" t="s">
        <v>4056</v>
      </c>
      <c r="C19" s="64" t="s">
        <v>199</v>
      </c>
      <c r="D19" s="76"/>
      <c r="E19" s="5"/>
      <c r="F19" s="5"/>
      <c r="G19" s="5"/>
    </row>
    <row r="20" spans="1:7" ht="15.75" customHeight="1">
      <c r="A20" s="64" t="s">
        <v>5777</v>
      </c>
      <c r="B20" s="77" t="s">
        <v>207</v>
      </c>
      <c r="C20" s="64" t="s">
        <v>208</v>
      </c>
      <c r="D20" s="76"/>
      <c r="E20" s="5"/>
      <c r="F20" s="5"/>
      <c r="G20" s="5"/>
    </row>
    <row r="21" spans="1:7" ht="15.75" customHeight="1">
      <c r="A21" s="64" t="s">
        <v>5778</v>
      </c>
      <c r="B21" s="77" t="s">
        <v>369</v>
      </c>
      <c r="C21" s="64" t="s">
        <v>208</v>
      </c>
      <c r="D21" s="72"/>
      <c r="E21" s="5"/>
      <c r="F21" s="5"/>
      <c r="G21" s="5"/>
    </row>
    <row r="22" spans="1:7" ht="15.75" customHeight="1">
      <c r="A22" s="64" t="s">
        <v>5779</v>
      </c>
      <c r="B22" s="78" t="str">
        <f>HYPERLINK("https://bulbapedia.bulbagarden.net/wiki/Golduck_BREAK_(BREAKpoint_18)","GolduckBREAK")</f>
        <v>GolduckBREAK</v>
      </c>
      <c r="C22" s="64" t="s">
        <v>208</v>
      </c>
      <c r="D22" s="76"/>
      <c r="E22" s="5"/>
      <c r="F22" s="5"/>
      <c r="G22" s="5"/>
    </row>
    <row r="23" spans="1:7" ht="15.75" customHeight="1">
      <c r="A23" s="64" t="s">
        <v>5780</v>
      </c>
      <c r="B23" s="77" t="s">
        <v>387</v>
      </c>
      <c r="C23" s="64" t="s">
        <v>208</v>
      </c>
      <c r="D23" s="76"/>
      <c r="E23" s="5"/>
      <c r="F23" s="5"/>
      <c r="G23" s="5"/>
    </row>
    <row r="24" spans="1:7" ht="15.75" customHeight="1">
      <c r="A24" s="64" t="s">
        <v>5781</v>
      </c>
      <c r="B24" s="77" t="s">
        <v>376</v>
      </c>
      <c r="C24" s="64" t="s">
        <v>208</v>
      </c>
      <c r="D24" s="76"/>
      <c r="E24" s="5"/>
      <c r="F24" s="5"/>
      <c r="G24" s="5"/>
    </row>
    <row r="25" spans="1:7" ht="15.75" customHeight="1">
      <c r="A25" s="64" t="s">
        <v>5782</v>
      </c>
      <c r="B25" s="77" t="s">
        <v>789</v>
      </c>
      <c r="C25" s="64" t="s">
        <v>208</v>
      </c>
      <c r="D25" s="76"/>
      <c r="E25" s="5"/>
      <c r="F25" s="5"/>
      <c r="G25" s="5"/>
    </row>
    <row r="26" spans="1:7" ht="15.75" customHeight="1">
      <c r="A26" s="64" t="s">
        <v>5783</v>
      </c>
      <c r="B26" s="77" t="s">
        <v>386</v>
      </c>
      <c r="C26" s="64" t="s">
        <v>208</v>
      </c>
      <c r="D26" s="76"/>
      <c r="E26" s="5"/>
      <c r="F26" s="5"/>
      <c r="G26" s="5"/>
    </row>
    <row r="27" spans="1:7" ht="15.75" customHeight="1">
      <c r="A27" s="64" t="s">
        <v>5784</v>
      </c>
      <c r="B27" s="77" t="s">
        <v>386</v>
      </c>
      <c r="C27" s="64" t="s">
        <v>208</v>
      </c>
      <c r="D27" s="76"/>
      <c r="E27" s="5"/>
      <c r="F27" s="5"/>
      <c r="G27" s="5"/>
    </row>
    <row r="28" spans="1:7" ht="15.75" customHeight="1">
      <c r="A28" s="64" t="s">
        <v>5785</v>
      </c>
      <c r="B28" s="77" t="s">
        <v>367</v>
      </c>
      <c r="C28" s="64" t="s">
        <v>208</v>
      </c>
      <c r="D28" s="72"/>
      <c r="E28" s="51"/>
      <c r="F28" s="5"/>
      <c r="G28" s="5"/>
    </row>
    <row r="29" spans="1:7" ht="15.75" customHeight="1">
      <c r="A29" s="64" t="s">
        <v>5786</v>
      </c>
      <c r="B29" s="77" t="s">
        <v>296</v>
      </c>
      <c r="C29" s="64" t="s">
        <v>208</v>
      </c>
      <c r="D29" s="76"/>
      <c r="E29" s="5"/>
      <c r="F29" s="5"/>
      <c r="G29" s="5"/>
    </row>
    <row r="30" spans="1:7" ht="15.75" customHeight="1">
      <c r="A30" s="64" t="s">
        <v>5787</v>
      </c>
      <c r="B30" s="78" t="str">
        <f>HYPERLINK("https://bulbapedia.bulbagarden.net/wiki/Gyarados-EX_(BREAKpoint_26)","GyaradosEX")</f>
        <v>GyaradosEX</v>
      </c>
      <c r="C30" s="64" t="s">
        <v>208</v>
      </c>
      <c r="D30" s="76"/>
      <c r="E30" s="5"/>
      <c r="F30" s="5"/>
      <c r="G30" s="5"/>
    </row>
    <row r="31" spans="1:7" ht="15.75" customHeight="1">
      <c r="A31" s="64" t="s">
        <v>5788</v>
      </c>
      <c r="B31" s="79" t="str">
        <f>HYPERLINK("https://bulbapedia.bulbagarden.net/wiki/M_Gyarados-EX_(BREAKpoint_27)","MGyaradosEX")</f>
        <v>MGyaradosEX</v>
      </c>
      <c r="C31" s="64" t="s">
        <v>208</v>
      </c>
      <c r="D31" s="76"/>
      <c r="E31" s="5"/>
      <c r="F31" s="5"/>
      <c r="G31" s="5"/>
    </row>
    <row r="32" spans="1:7" ht="15.75" customHeight="1">
      <c r="A32" s="64" t="s">
        <v>5789</v>
      </c>
      <c r="B32" s="77" t="s">
        <v>364</v>
      </c>
      <c r="C32" s="64" t="s">
        <v>208</v>
      </c>
      <c r="D32" s="76"/>
      <c r="E32" s="5"/>
      <c r="F32" s="5"/>
      <c r="G32" s="5"/>
    </row>
    <row r="33" spans="1:7" ht="15.75" customHeight="1">
      <c r="A33" s="64" t="s">
        <v>5790</v>
      </c>
      <c r="B33" s="77" t="s">
        <v>947</v>
      </c>
      <c r="C33" s="64" t="s">
        <v>208</v>
      </c>
      <c r="D33" s="76"/>
      <c r="E33" s="5"/>
      <c r="F33" s="5"/>
      <c r="G33" s="5"/>
    </row>
    <row r="34" spans="1:7" ht="15.75" customHeight="1">
      <c r="A34" s="64" t="s">
        <v>5791</v>
      </c>
      <c r="B34" s="77" t="s">
        <v>237</v>
      </c>
      <c r="C34" s="64" t="s">
        <v>208</v>
      </c>
      <c r="D34" s="72"/>
      <c r="E34" s="51"/>
      <c r="F34" s="5"/>
      <c r="G34" s="5"/>
    </row>
    <row r="35" spans="1:7" ht="15.75" customHeight="1">
      <c r="A35" s="64" t="s">
        <v>5792</v>
      </c>
      <c r="B35" s="78" t="str">
        <f>HYPERLINK("https://bulbapedia.bulbagarden.net/wiki/Palkia-EX_(BREAKpoint_31)","PalkiaEX")</f>
        <v>PalkiaEX</v>
      </c>
      <c r="C35" s="64" t="s">
        <v>208</v>
      </c>
      <c r="D35" s="76"/>
      <c r="E35" s="5"/>
      <c r="F35" s="5"/>
      <c r="G35" s="5"/>
    </row>
    <row r="36" spans="1:7" ht="15.75" customHeight="1">
      <c r="A36" s="64" t="s">
        <v>5793</v>
      </c>
      <c r="B36" s="78" t="str">
        <f>HYPERLINK("https://bulbapedia.bulbagarden.net/wiki/Manaphy-EX_(BREAKpoint_32)","ManaphyEX")</f>
        <v>ManaphyEX</v>
      </c>
      <c r="C36" s="64" t="s">
        <v>208</v>
      </c>
      <c r="D36" s="76"/>
      <c r="E36" s="5"/>
      <c r="F36" s="5"/>
      <c r="G36" s="5"/>
    </row>
    <row r="37" spans="1:7" ht="15.75" customHeight="1">
      <c r="A37" s="64" t="s">
        <v>5794</v>
      </c>
      <c r="B37" s="77" t="s">
        <v>4059</v>
      </c>
      <c r="C37" s="64" t="s">
        <v>208</v>
      </c>
      <c r="D37" s="76"/>
      <c r="E37" s="5"/>
      <c r="F37" s="5"/>
      <c r="G37" s="5"/>
    </row>
    <row r="38" spans="1:7" ht="15.75" customHeight="1">
      <c r="A38" s="64" t="s">
        <v>5795</v>
      </c>
      <c r="B38" s="77" t="s">
        <v>4060</v>
      </c>
      <c r="C38" s="64" t="s">
        <v>208</v>
      </c>
      <c r="D38" s="76"/>
      <c r="E38" s="5"/>
      <c r="F38" s="5"/>
      <c r="G38" s="5"/>
    </row>
    <row r="39" spans="1:7" ht="15.75" customHeight="1">
      <c r="A39" s="64" t="s">
        <v>5796</v>
      </c>
      <c r="B39" s="77" t="s">
        <v>4061</v>
      </c>
      <c r="C39" s="64" t="s">
        <v>208</v>
      </c>
      <c r="D39" s="76"/>
      <c r="E39" s="5"/>
      <c r="F39" s="5"/>
      <c r="G39" s="5"/>
    </row>
    <row r="40" spans="1:7" ht="15.75" customHeight="1">
      <c r="A40" s="64" t="s">
        <v>5797</v>
      </c>
      <c r="B40" s="77" t="s">
        <v>4149</v>
      </c>
      <c r="C40" s="64" t="s">
        <v>208</v>
      </c>
      <c r="D40" s="76"/>
      <c r="E40" s="5"/>
      <c r="F40" s="5"/>
      <c r="G40" s="5"/>
    </row>
    <row r="41" spans="1:7" ht="15.75" customHeight="1">
      <c r="A41" s="64" t="s">
        <v>5798</v>
      </c>
      <c r="B41" s="77" t="s">
        <v>4150</v>
      </c>
      <c r="C41" s="64" t="s">
        <v>208</v>
      </c>
      <c r="D41" s="72"/>
      <c r="E41" s="5"/>
      <c r="F41" s="5"/>
      <c r="G41" s="5"/>
    </row>
    <row r="42" spans="1:7" ht="15.75" customHeight="1">
      <c r="A42" s="64" t="s">
        <v>5799</v>
      </c>
      <c r="B42" s="77" t="s">
        <v>4740</v>
      </c>
      <c r="C42" s="64" t="s">
        <v>208</v>
      </c>
      <c r="D42" s="72"/>
      <c r="E42" s="5"/>
      <c r="F42" s="5"/>
      <c r="G42" s="5"/>
    </row>
    <row r="43" spans="1:7" ht="15.75" customHeight="1">
      <c r="A43" s="64" t="s">
        <v>5800</v>
      </c>
      <c r="B43" s="77" t="s">
        <v>5004</v>
      </c>
      <c r="C43" s="64" t="s">
        <v>208</v>
      </c>
      <c r="D43" s="76"/>
      <c r="E43" s="5"/>
      <c r="F43" s="5"/>
      <c r="G43" s="5"/>
    </row>
    <row r="44" spans="1:7" ht="15.75" customHeight="1">
      <c r="A44" s="64" t="s">
        <v>5801</v>
      </c>
      <c r="B44" s="77" t="s">
        <v>4771</v>
      </c>
      <c r="C44" s="64" t="s">
        <v>208</v>
      </c>
      <c r="D44" s="76"/>
      <c r="E44" s="5"/>
      <c r="F44" s="51"/>
      <c r="G44" s="5"/>
    </row>
    <row r="45" spans="1:7" ht="15.75" customHeight="1">
      <c r="A45" s="64" t="s">
        <v>5802</v>
      </c>
      <c r="B45" s="78" t="str">
        <f>HYPERLINK("https://bulbapedia.bulbagarden.net/wiki/Greninja_BREAK_(BREAKpoint_41)","GreninjaBREAK")</f>
        <v>GreninjaBREAK</v>
      </c>
      <c r="C45" s="64" t="s">
        <v>208</v>
      </c>
      <c r="D45" s="76"/>
      <c r="E45" s="5"/>
      <c r="F45" s="5"/>
      <c r="G45" s="5"/>
    </row>
    <row r="46" spans="1:7" ht="15.75" customHeight="1">
      <c r="A46" s="64" t="s">
        <v>5803</v>
      </c>
      <c r="B46" s="77" t="s">
        <v>193</v>
      </c>
      <c r="C46" s="64" t="s">
        <v>192</v>
      </c>
      <c r="D46" s="72"/>
      <c r="E46" s="5"/>
      <c r="F46" s="5"/>
      <c r="G46" s="5"/>
    </row>
    <row r="47" spans="1:7" ht="15.75" customHeight="1">
      <c r="A47" s="64" t="s">
        <v>5804</v>
      </c>
      <c r="B47" s="77" t="s">
        <v>3110</v>
      </c>
      <c r="C47" s="64" t="s">
        <v>192</v>
      </c>
      <c r="D47" s="72"/>
      <c r="E47" s="5"/>
      <c r="F47" s="5"/>
      <c r="G47" s="5"/>
    </row>
    <row r="48" spans="1:7" ht="15.75" customHeight="1">
      <c r="A48" s="64" t="s">
        <v>5805</v>
      </c>
      <c r="B48" s="77" t="s">
        <v>3043</v>
      </c>
      <c r="C48" s="64" t="s">
        <v>192</v>
      </c>
      <c r="D48" s="72"/>
      <c r="E48" s="5"/>
      <c r="F48" s="5"/>
      <c r="G48" s="5"/>
    </row>
    <row r="49" spans="1:7" ht="15.75" customHeight="1">
      <c r="A49" s="64" t="s">
        <v>5806</v>
      </c>
      <c r="B49" s="77" t="s">
        <v>3137</v>
      </c>
      <c r="C49" s="64" t="s">
        <v>192</v>
      </c>
      <c r="D49" s="72"/>
      <c r="E49" s="5"/>
      <c r="F49" s="5"/>
      <c r="G49" s="5"/>
    </row>
    <row r="50" spans="1:7" ht="15.75" customHeight="1">
      <c r="A50" s="64" t="s">
        <v>5807</v>
      </c>
      <c r="B50" s="77" t="s">
        <v>3114</v>
      </c>
      <c r="C50" s="64" t="s">
        <v>192</v>
      </c>
      <c r="D50" s="72"/>
      <c r="E50" s="5"/>
      <c r="F50" s="51"/>
      <c r="G50" s="5"/>
    </row>
    <row r="51" spans="1:7" ht="15.75" customHeight="1">
      <c r="A51" s="64" t="s">
        <v>5808</v>
      </c>
      <c r="B51" s="78" t="str">
        <f>HYPERLINK("https://bulbapedia.bulbagarden.net/wiki/Luxray_BREAK_(BREAKpoint_47)","LuxrayBREAK")</f>
        <v>LuxrayBREAK</v>
      </c>
      <c r="C51" s="64" t="s">
        <v>192</v>
      </c>
      <c r="D51" s="76"/>
      <c r="E51" s="5"/>
      <c r="F51" s="5"/>
      <c r="G51" s="5"/>
    </row>
    <row r="52" spans="1:7" ht="15.75" customHeight="1">
      <c r="A52" s="64" t="s">
        <v>5809</v>
      </c>
      <c r="B52" s="77" t="s">
        <v>4033</v>
      </c>
      <c r="C52" s="64" t="s">
        <v>192</v>
      </c>
      <c r="D52" s="72"/>
      <c r="E52" s="5"/>
      <c r="F52" s="5"/>
      <c r="G52" s="5"/>
    </row>
    <row r="53" spans="1:7" ht="13">
      <c r="A53" s="64" t="s">
        <v>5810</v>
      </c>
      <c r="B53" s="77" t="s">
        <v>4071</v>
      </c>
      <c r="C53" s="64" t="s">
        <v>192</v>
      </c>
      <c r="D53" s="72"/>
      <c r="E53" s="5"/>
      <c r="F53" s="5"/>
      <c r="G53" s="5"/>
    </row>
    <row r="54" spans="1:7" ht="13">
      <c r="A54" s="64" t="s">
        <v>5811</v>
      </c>
      <c r="B54" s="77" t="s">
        <v>281</v>
      </c>
      <c r="C54" s="64" t="s">
        <v>195</v>
      </c>
      <c r="D54" s="72"/>
      <c r="E54" s="5"/>
      <c r="F54" s="5"/>
      <c r="G54" s="5"/>
    </row>
    <row r="55" spans="1:7" ht="13">
      <c r="A55" s="64" t="s">
        <v>5812</v>
      </c>
      <c r="B55" s="77" t="s">
        <v>362</v>
      </c>
      <c r="C55" s="64" t="s">
        <v>195</v>
      </c>
      <c r="D55" s="72"/>
      <c r="E55" s="5"/>
      <c r="F55" s="5"/>
      <c r="G55" s="5"/>
    </row>
    <row r="56" spans="1:7" ht="13">
      <c r="A56" s="64" t="s">
        <v>5813</v>
      </c>
      <c r="B56" s="78" t="str">
        <f>HYPERLINK("https://bulbapedia.bulbagarden.net/wiki/Espeon-EX_(BREAKpoint_52)","EspeonEX")</f>
        <v>EspeonEX</v>
      </c>
      <c r="C56" s="64" t="s">
        <v>195</v>
      </c>
      <c r="D56" s="76"/>
      <c r="E56" s="5"/>
      <c r="F56" s="5"/>
      <c r="G56" s="5"/>
    </row>
    <row r="57" spans="1:7" ht="13">
      <c r="A57" s="64" t="s">
        <v>5814</v>
      </c>
      <c r="B57" s="77" t="s">
        <v>3147</v>
      </c>
      <c r="C57" s="64" t="s">
        <v>195</v>
      </c>
      <c r="D57" s="72"/>
      <c r="E57" s="5"/>
      <c r="F57" s="5"/>
      <c r="G57" s="5"/>
    </row>
    <row r="58" spans="1:7" ht="13">
      <c r="A58" s="64" t="s">
        <v>5815</v>
      </c>
      <c r="B58" s="77" t="s">
        <v>3124</v>
      </c>
      <c r="C58" s="64" t="s">
        <v>195</v>
      </c>
      <c r="D58" s="76"/>
      <c r="E58" s="5"/>
      <c r="F58" s="5"/>
      <c r="G58" s="5"/>
    </row>
    <row r="59" spans="1:7" ht="13">
      <c r="A59" s="64" t="s">
        <v>5816</v>
      </c>
      <c r="B59" s="77" t="s">
        <v>4243</v>
      </c>
      <c r="C59" s="64" t="s">
        <v>195</v>
      </c>
      <c r="D59" s="72"/>
      <c r="E59" s="5"/>
      <c r="F59" s="5"/>
      <c r="G59" s="5"/>
    </row>
    <row r="60" spans="1:7" ht="13">
      <c r="A60" s="64" t="s">
        <v>5817</v>
      </c>
      <c r="B60" s="77" t="s">
        <v>4079</v>
      </c>
      <c r="C60" s="64" t="s">
        <v>195</v>
      </c>
      <c r="D60" s="72"/>
      <c r="E60" s="5"/>
      <c r="F60" s="5"/>
      <c r="G60" s="5"/>
    </row>
    <row r="61" spans="1:7" ht="13">
      <c r="A61" s="64" t="s">
        <v>5818</v>
      </c>
      <c r="B61" s="77" t="s">
        <v>4080</v>
      </c>
      <c r="C61" s="64" t="s">
        <v>195</v>
      </c>
      <c r="D61" s="76"/>
      <c r="E61" s="5"/>
      <c r="F61" s="5"/>
      <c r="G61" s="5"/>
    </row>
    <row r="62" spans="1:7" ht="13">
      <c r="A62" s="64" t="s">
        <v>5819</v>
      </c>
      <c r="B62" s="77" t="s">
        <v>5094</v>
      </c>
      <c r="C62" s="64" t="s">
        <v>195</v>
      </c>
      <c r="D62" s="72"/>
      <c r="E62" s="5"/>
      <c r="F62" s="5"/>
      <c r="G62" s="5"/>
    </row>
    <row r="63" spans="1:7" ht="13">
      <c r="A63" s="64" t="s">
        <v>5820</v>
      </c>
      <c r="B63" s="77" t="s">
        <v>4799</v>
      </c>
      <c r="C63" s="64" t="s">
        <v>195</v>
      </c>
      <c r="D63" s="72"/>
      <c r="E63" s="5"/>
      <c r="F63" s="5"/>
      <c r="G63" s="5"/>
    </row>
    <row r="64" spans="1:7" ht="13">
      <c r="A64" s="64" t="s">
        <v>5821</v>
      </c>
      <c r="B64" s="77" t="s">
        <v>4755</v>
      </c>
      <c r="C64" s="64" t="s">
        <v>195</v>
      </c>
      <c r="D64" s="72"/>
      <c r="E64" s="5"/>
      <c r="F64" s="5"/>
      <c r="G64" s="5"/>
    </row>
    <row r="65" spans="1:7" ht="13">
      <c r="A65" s="64" t="s">
        <v>5822</v>
      </c>
      <c r="B65" s="77" t="s">
        <v>5045</v>
      </c>
      <c r="C65" s="64" t="s">
        <v>195</v>
      </c>
      <c r="D65" s="72"/>
      <c r="E65" s="5"/>
      <c r="F65" s="5"/>
      <c r="G65" s="5"/>
    </row>
    <row r="66" spans="1:7" ht="13">
      <c r="A66" s="64" t="s">
        <v>5823</v>
      </c>
      <c r="B66" s="77" t="s">
        <v>5046</v>
      </c>
      <c r="C66" s="64" t="s">
        <v>195</v>
      </c>
      <c r="D66" s="76"/>
      <c r="E66" s="5"/>
      <c r="F66" s="5"/>
      <c r="G66" s="5"/>
    </row>
    <row r="67" spans="1:7" ht="13">
      <c r="A67" s="64" t="s">
        <v>5824</v>
      </c>
      <c r="B67" s="77" t="s">
        <v>5095</v>
      </c>
      <c r="C67" s="64" t="s">
        <v>195</v>
      </c>
      <c r="D67" s="76"/>
      <c r="E67" s="5"/>
      <c r="F67" s="5"/>
      <c r="G67" s="5"/>
    </row>
    <row r="68" spans="1:7" ht="13">
      <c r="A68" s="64" t="s">
        <v>5825</v>
      </c>
      <c r="B68" s="77" t="s">
        <v>5042</v>
      </c>
      <c r="C68" s="64" t="s">
        <v>195</v>
      </c>
      <c r="D68" s="76"/>
      <c r="E68" s="5"/>
      <c r="F68" s="5"/>
      <c r="G68" s="5"/>
    </row>
    <row r="69" spans="1:7" ht="13">
      <c r="A69" s="64" t="s">
        <v>5826</v>
      </c>
      <c r="B69" s="77" t="s">
        <v>4758</v>
      </c>
      <c r="C69" s="64" t="s">
        <v>195</v>
      </c>
      <c r="D69" s="72"/>
      <c r="E69" s="5"/>
      <c r="F69" s="5"/>
      <c r="G69" s="5"/>
    </row>
    <row r="70" spans="1:7" ht="13">
      <c r="A70" s="64" t="s">
        <v>5827</v>
      </c>
      <c r="B70" s="78" t="str">
        <f>HYPERLINK("https://bulbapedia.bulbagarden.net/wiki/Trevenant_BREAK_(BREAKpoint_66)","TrevenantBREAK")</f>
        <v>TrevenantBREAK</v>
      </c>
      <c r="C70" s="64" t="s">
        <v>195</v>
      </c>
      <c r="D70" s="76"/>
      <c r="E70" s="5"/>
      <c r="F70" s="5"/>
      <c r="G70" s="5"/>
    </row>
    <row r="71" spans="1:7" ht="13">
      <c r="A71" s="64" t="s">
        <v>5828</v>
      </c>
      <c r="B71" s="77" t="s">
        <v>897</v>
      </c>
      <c r="C71" s="64" t="s">
        <v>225</v>
      </c>
      <c r="D71" s="76"/>
      <c r="E71" s="5"/>
      <c r="F71" s="5"/>
      <c r="G71" s="5"/>
    </row>
    <row r="72" spans="1:7" ht="13">
      <c r="A72" s="64" t="s">
        <v>5829</v>
      </c>
      <c r="B72" s="77" t="s">
        <v>3259</v>
      </c>
      <c r="C72" s="64" t="s">
        <v>225</v>
      </c>
      <c r="D72" s="76"/>
      <c r="E72" s="5"/>
      <c r="F72" s="5"/>
      <c r="G72" s="5"/>
    </row>
    <row r="73" spans="1:7" ht="13">
      <c r="A73" s="64" t="s">
        <v>5830</v>
      </c>
      <c r="B73" s="77" t="s">
        <v>3217</v>
      </c>
      <c r="C73" s="64" t="s">
        <v>225</v>
      </c>
      <c r="D73" s="76"/>
      <c r="E73" s="5"/>
      <c r="F73" s="5"/>
      <c r="G73" s="5"/>
    </row>
    <row r="74" spans="1:7" ht="13">
      <c r="A74" s="64" t="s">
        <v>5831</v>
      </c>
      <c r="B74" s="77" t="s">
        <v>3167</v>
      </c>
      <c r="C74" s="64" t="s">
        <v>225</v>
      </c>
      <c r="D74" s="76"/>
      <c r="E74" s="5"/>
      <c r="F74" s="5"/>
      <c r="G74" s="5"/>
    </row>
    <row r="75" spans="1:7" ht="13">
      <c r="A75" s="64" t="s">
        <v>5832</v>
      </c>
      <c r="B75" s="77" t="s">
        <v>5121</v>
      </c>
      <c r="C75" s="64" t="s">
        <v>225</v>
      </c>
      <c r="D75" s="76"/>
      <c r="E75" s="5"/>
      <c r="F75" s="5"/>
      <c r="G75" s="5"/>
    </row>
    <row r="76" spans="1:7" ht="13">
      <c r="A76" s="64" t="s">
        <v>5833</v>
      </c>
      <c r="B76" s="77" t="s">
        <v>1420</v>
      </c>
      <c r="C76" s="64" t="s">
        <v>808</v>
      </c>
      <c r="D76" s="76"/>
      <c r="E76" s="5"/>
      <c r="F76" s="5"/>
      <c r="G76" s="5"/>
    </row>
    <row r="77" spans="1:7" ht="13">
      <c r="A77" s="64" t="s">
        <v>5834</v>
      </c>
      <c r="B77" s="77" t="s">
        <v>1374</v>
      </c>
      <c r="C77" s="64" t="s">
        <v>808</v>
      </c>
      <c r="D77" s="76"/>
      <c r="E77" s="5"/>
      <c r="F77" s="5"/>
      <c r="G77" s="5"/>
    </row>
    <row r="78" spans="1:7" ht="13">
      <c r="A78" s="64" t="s">
        <v>5835</v>
      </c>
      <c r="B78" s="78" t="str">
        <f>HYPERLINK("https://bulbapedia.bulbagarden.net/wiki/Darkrai-EX_(BREAKpoint_74)","DarkraiEX")</f>
        <v>DarkraiEX</v>
      </c>
      <c r="C78" s="64" t="s">
        <v>808</v>
      </c>
      <c r="D78" s="76"/>
      <c r="E78" s="5"/>
      <c r="F78" s="5"/>
      <c r="G78" s="5"/>
    </row>
    <row r="79" spans="1:7" ht="13">
      <c r="A79" s="64" t="s">
        <v>5836</v>
      </c>
      <c r="B79" s="77" t="s">
        <v>4802</v>
      </c>
      <c r="C79" s="64" t="s">
        <v>808</v>
      </c>
      <c r="D79" s="76"/>
      <c r="E79" s="5"/>
      <c r="F79" s="5"/>
      <c r="G79" s="5"/>
    </row>
    <row r="80" spans="1:7" ht="13">
      <c r="A80" s="64" t="s">
        <v>5837</v>
      </c>
      <c r="B80" s="78" t="str">
        <f>HYPERLINK("https://bulbapedia.bulbagarden.net/wiki/Scizor-EX_(BREAKpoint_76)","ScizorEX")</f>
        <v>ScizorEX</v>
      </c>
      <c r="C80" s="64" t="s">
        <v>220</v>
      </c>
      <c r="D80" s="76"/>
      <c r="E80" s="5"/>
      <c r="F80" s="5"/>
      <c r="G80" s="5"/>
    </row>
    <row r="81" spans="1:7" ht="13">
      <c r="A81" s="64" t="s">
        <v>5838</v>
      </c>
      <c r="B81" s="79" t="str">
        <f>HYPERLINK("https://bulbapedia.bulbagarden.net/wiki/M_Scizor-EX_(BREAKpoint_77)","MScizorEX")</f>
        <v>MScizorEX</v>
      </c>
      <c r="C81" s="64" t="s">
        <v>220</v>
      </c>
      <c r="D81" s="76"/>
      <c r="E81" s="5"/>
      <c r="F81" s="5"/>
      <c r="G81" s="5"/>
    </row>
    <row r="82" spans="1:7" ht="13">
      <c r="A82" s="64" t="s">
        <v>5839</v>
      </c>
      <c r="B82" s="77" t="s">
        <v>1368</v>
      </c>
      <c r="C82" s="64" t="s">
        <v>220</v>
      </c>
      <c r="D82" s="76"/>
      <c r="E82" s="5"/>
      <c r="F82" s="5"/>
      <c r="G82" s="5"/>
    </row>
    <row r="83" spans="1:7" ht="13">
      <c r="A83" s="64" t="s">
        <v>5840</v>
      </c>
      <c r="B83" s="77" t="s">
        <v>4134</v>
      </c>
      <c r="C83" s="64" t="s">
        <v>220</v>
      </c>
      <c r="D83" s="72"/>
      <c r="E83" s="5"/>
      <c r="F83" s="5"/>
      <c r="G83" s="5"/>
    </row>
    <row r="84" spans="1:7" ht="13">
      <c r="A84" s="64" t="s">
        <v>5841</v>
      </c>
      <c r="B84" s="77" t="s">
        <v>5842</v>
      </c>
      <c r="C84" s="64" t="s">
        <v>220</v>
      </c>
      <c r="D84" s="76"/>
      <c r="E84" s="5"/>
      <c r="F84" s="5"/>
      <c r="G84" s="5"/>
    </row>
    <row r="85" spans="1:7" ht="13">
      <c r="A85" s="64" t="s">
        <v>5843</v>
      </c>
      <c r="B85" s="77" t="s">
        <v>244</v>
      </c>
      <c r="C85" s="64" t="s">
        <v>4743</v>
      </c>
      <c r="D85" s="76"/>
      <c r="E85" s="5"/>
      <c r="F85" s="5"/>
      <c r="G85" s="5"/>
    </row>
    <row r="86" spans="1:7" ht="13">
      <c r="A86" s="64" t="s">
        <v>5844</v>
      </c>
      <c r="B86" s="77" t="s">
        <v>318</v>
      </c>
      <c r="C86" s="64" t="s">
        <v>4743</v>
      </c>
      <c r="D86" s="76"/>
      <c r="E86" s="5"/>
      <c r="F86" s="5"/>
      <c r="G86" s="5"/>
    </row>
    <row r="87" spans="1:7" ht="13">
      <c r="A87" s="64" t="s">
        <v>5845</v>
      </c>
      <c r="B87" s="78" t="str">
        <f>HYPERLINK("https://bulbapedia.bulbagarden.net/wiki/Togekiss-EX_(BREAKpoint_83)","TogekissEX")</f>
        <v>TogekissEX</v>
      </c>
      <c r="C87" s="64" t="s">
        <v>4743</v>
      </c>
      <c r="D87" s="76"/>
      <c r="E87" s="5"/>
      <c r="F87" s="5"/>
      <c r="G87" s="5"/>
    </row>
    <row r="88" spans="1:7" ht="13">
      <c r="A88" s="64" t="s">
        <v>5846</v>
      </c>
      <c r="B88" s="77" t="s">
        <v>5047</v>
      </c>
      <c r="C88" s="64" t="s">
        <v>4743</v>
      </c>
      <c r="D88" s="76"/>
      <c r="E88" s="5"/>
      <c r="F88" s="5"/>
      <c r="G88" s="5"/>
    </row>
    <row r="89" spans="1:7" ht="13">
      <c r="A89" s="64" t="s">
        <v>5847</v>
      </c>
      <c r="B89" s="77" t="s">
        <v>5048</v>
      </c>
      <c r="C89" s="64" t="s">
        <v>4743</v>
      </c>
      <c r="D89" s="76"/>
      <c r="E89" s="51"/>
      <c r="F89" s="5"/>
      <c r="G89" s="5"/>
    </row>
    <row r="90" spans="1:7" ht="13">
      <c r="A90" s="64" t="s">
        <v>5848</v>
      </c>
      <c r="B90" s="77" t="s">
        <v>5101</v>
      </c>
      <c r="C90" s="64" t="s">
        <v>4285</v>
      </c>
      <c r="D90" s="76"/>
      <c r="E90" s="5"/>
      <c r="F90" s="5"/>
      <c r="G90" s="5"/>
    </row>
    <row r="91" spans="1:7" ht="13">
      <c r="A91" s="64" t="s">
        <v>5849</v>
      </c>
      <c r="B91" s="77" t="s">
        <v>292</v>
      </c>
      <c r="C91" s="64" t="s">
        <v>197</v>
      </c>
      <c r="D91" s="72"/>
      <c r="E91" s="5"/>
      <c r="F91" s="5"/>
      <c r="G91" s="5"/>
    </row>
    <row r="92" spans="1:7" ht="13">
      <c r="A92" s="64" t="s">
        <v>5850</v>
      </c>
      <c r="B92" s="77" t="s">
        <v>272</v>
      </c>
      <c r="C92" s="64" t="s">
        <v>197</v>
      </c>
      <c r="D92" s="76"/>
      <c r="E92" s="5"/>
      <c r="F92" s="5"/>
      <c r="G92" s="5"/>
    </row>
    <row r="93" spans="1:7" ht="13">
      <c r="A93" s="64" t="s">
        <v>5851</v>
      </c>
      <c r="B93" s="78" t="str">
        <f>HYPERLINK("https://bulbapedia.bulbagarden.net/wiki/Raticate_BREAK_(BREAKpoint_89)","RaticateBREAK")</f>
        <v>RaticateBREAK</v>
      </c>
      <c r="C93" s="64" t="s">
        <v>197</v>
      </c>
      <c r="D93" s="76"/>
      <c r="E93" s="5"/>
      <c r="F93" s="5"/>
      <c r="G93" s="5"/>
    </row>
    <row r="94" spans="1:7" ht="13">
      <c r="A94" s="64" t="s">
        <v>5852</v>
      </c>
      <c r="B94" s="77" t="s">
        <v>954</v>
      </c>
      <c r="C94" s="64" t="s">
        <v>197</v>
      </c>
      <c r="D94" s="76"/>
      <c r="E94" s="5"/>
      <c r="F94" s="5"/>
      <c r="G94" s="5"/>
    </row>
    <row r="95" spans="1:7" ht="13">
      <c r="A95" s="64" t="s">
        <v>5853</v>
      </c>
      <c r="B95" s="77" t="s">
        <v>895</v>
      </c>
      <c r="C95" s="64" t="s">
        <v>197</v>
      </c>
      <c r="D95" s="76"/>
      <c r="E95" s="5"/>
      <c r="F95" s="5"/>
      <c r="G95" s="5"/>
    </row>
    <row r="96" spans="1:7" ht="13">
      <c r="A96" s="64" t="s">
        <v>5854</v>
      </c>
      <c r="B96" s="78" t="str">
        <f>HYPERLINK("https://bulbapedia.bulbagarden.net/wiki/Ho-Oh-EX_(BREAKpoint_92)","Ho-OhEX")</f>
        <v>Ho-OhEX</v>
      </c>
      <c r="C96" s="64" t="s">
        <v>197</v>
      </c>
      <c r="D96" s="66"/>
      <c r="E96" s="5"/>
      <c r="F96" s="5"/>
      <c r="G96" s="5"/>
    </row>
    <row r="97" spans="1:7" ht="13">
      <c r="A97" s="64" t="s">
        <v>5855</v>
      </c>
      <c r="B97" s="77" t="s">
        <v>3057</v>
      </c>
      <c r="C97" s="64" t="s">
        <v>197</v>
      </c>
      <c r="D97" s="72"/>
      <c r="E97" s="5"/>
      <c r="F97" s="5"/>
      <c r="G97" s="5"/>
    </row>
    <row r="98" spans="1:7" ht="13">
      <c r="A98" s="64" t="s">
        <v>5856</v>
      </c>
      <c r="B98" s="77" t="s">
        <v>3129</v>
      </c>
      <c r="C98" s="64" t="s">
        <v>197</v>
      </c>
      <c r="D98" s="72"/>
      <c r="E98" s="5"/>
      <c r="F98" s="5"/>
      <c r="G98" s="5"/>
    </row>
    <row r="99" spans="1:7" ht="13">
      <c r="A99" s="64" t="s">
        <v>5857</v>
      </c>
      <c r="B99" s="77" t="s">
        <v>5029</v>
      </c>
      <c r="C99" s="64" t="s">
        <v>197</v>
      </c>
      <c r="D99" s="76"/>
      <c r="E99" s="5"/>
      <c r="F99" s="5"/>
      <c r="G99" s="5"/>
    </row>
    <row r="100" spans="1:7" ht="13">
      <c r="A100" s="64" t="s">
        <v>5858</v>
      </c>
      <c r="B100" s="77" t="s">
        <v>5859</v>
      </c>
      <c r="C100" s="64" t="s">
        <v>229</v>
      </c>
      <c r="D100" s="76"/>
      <c r="E100" s="5"/>
      <c r="F100" s="5"/>
      <c r="G100" s="5"/>
    </row>
    <row r="101" spans="1:7" ht="13">
      <c r="A101" s="64" t="s">
        <v>5860</v>
      </c>
      <c r="B101" s="77" t="s">
        <v>5861</v>
      </c>
      <c r="C101" s="64" t="s">
        <v>4114</v>
      </c>
      <c r="D101" s="76"/>
      <c r="E101" s="5"/>
      <c r="F101" s="5"/>
      <c r="G101" s="5"/>
    </row>
    <row r="102" spans="1:7" ht="13">
      <c r="A102" s="64" t="s">
        <v>5862</v>
      </c>
      <c r="B102" s="77" t="s">
        <v>5863</v>
      </c>
      <c r="C102" s="64" t="s">
        <v>1013</v>
      </c>
      <c r="D102" s="72"/>
      <c r="E102" s="5"/>
      <c r="F102" s="5"/>
      <c r="G102" s="5"/>
    </row>
    <row r="103" spans="1:7" ht="13">
      <c r="A103" s="64" t="s">
        <v>5864</v>
      </c>
      <c r="B103" s="77" t="s">
        <v>5865</v>
      </c>
      <c r="C103" s="64" t="s">
        <v>4114</v>
      </c>
      <c r="D103" s="72"/>
      <c r="E103" s="5"/>
      <c r="F103" s="5"/>
      <c r="G103" s="5"/>
    </row>
    <row r="104" spans="1:7" ht="13">
      <c r="A104" s="64" t="s">
        <v>5866</v>
      </c>
      <c r="B104" s="77" t="s">
        <v>2029</v>
      </c>
      <c r="C104" s="64" t="s">
        <v>4114</v>
      </c>
      <c r="D104" s="72"/>
      <c r="E104" s="5"/>
      <c r="F104" s="5"/>
      <c r="G104" s="5"/>
    </row>
    <row r="105" spans="1:7" ht="13">
      <c r="A105" s="64" t="s">
        <v>5867</v>
      </c>
      <c r="B105" s="77" t="s">
        <v>5868</v>
      </c>
      <c r="C105" s="64" t="s">
        <v>4114</v>
      </c>
      <c r="D105" s="76"/>
      <c r="E105" s="5"/>
      <c r="F105" s="5"/>
      <c r="G105" s="5"/>
    </row>
    <row r="106" spans="1:7" ht="13">
      <c r="A106" s="64" t="s">
        <v>5869</v>
      </c>
      <c r="B106" s="77" t="s">
        <v>5870</v>
      </c>
      <c r="C106" s="64" t="s">
        <v>4114</v>
      </c>
      <c r="D106" s="72"/>
      <c r="E106" s="5"/>
      <c r="F106" s="5"/>
      <c r="G106" s="5"/>
    </row>
    <row r="107" spans="1:7" ht="13">
      <c r="A107" s="64" t="s">
        <v>5871</v>
      </c>
      <c r="B107" s="77" t="s">
        <v>5872</v>
      </c>
      <c r="C107" s="64" t="s">
        <v>4114</v>
      </c>
      <c r="D107" s="66"/>
      <c r="E107" s="5"/>
      <c r="F107" s="5"/>
      <c r="G107" s="5"/>
    </row>
    <row r="108" spans="1:7" ht="13">
      <c r="A108" s="64" t="s">
        <v>5873</v>
      </c>
      <c r="B108" s="77" t="s">
        <v>5874</v>
      </c>
      <c r="C108" s="64" t="s">
        <v>1013</v>
      </c>
      <c r="D108" s="72"/>
      <c r="E108" s="5"/>
      <c r="F108" s="5"/>
      <c r="G108" s="5"/>
    </row>
    <row r="109" spans="1:7" ht="13">
      <c r="A109" s="64" t="s">
        <v>5875</v>
      </c>
      <c r="B109" s="77" t="s">
        <v>4183</v>
      </c>
      <c r="C109" s="64" t="s">
        <v>4114</v>
      </c>
      <c r="D109" s="76"/>
      <c r="E109" s="5"/>
      <c r="F109" s="5"/>
      <c r="G109" s="5"/>
    </row>
    <row r="110" spans="1:7" ht="13">
      <c r="A110" s="64" t="s">
        <v>5876</v>
      </c>
      <c r="B110" s="77" t="s">
        <v>314</v>
      </c>
      <c r="C110" s="64" t="s">
        <v>4114</v>
      </c>
      <c r="D110" s="72"/>
      <c r="E110" s="5"/>
      <c r="F110" s="5"/>
      <c r="G110" s="5"/>
    </row>
    <row r="111" spans="1:7" ht="13">
      <c r="A111" s="64" t="s">
        <v>5877</v>
      </c>
      <c r="B111" s="77" t="s">
        <v>5055</v>
      </c>
      <c r="C111" s="64" t="s">
        <v>1013</v>
      </c>
      <c r="D111" s="72"/>
      <c r="E111" s="5"/>
      <c r="F111" s="5"/>
      <c r="G111" s="5"/>
    </row>
    <row r="112" spans="1:7" ht="13">
      <c r="A112" s="64" t="s">
        <v>5878</v>
      </c>
      <c r="B112" s="77" t="s">
        <v>5879</v>
      </c>
      <c r="C112" s="64" t="s">
        <v>1013</v>
      </c>
      <c r="D112" s="76"/>
      <c r="E112" s="5"/>
      <c r="F112" s="5"/>
      <c r="G112" s="5"/>
    </row>
    <row r="113" spans="1:7" ht="13">
      <c r="A113" s="64" t="s">
        <v>5880</v>
      </c>
      <c r="B113" s="77" t="s">
        <v>5881</v>
      </c>
      <c r="C113" s="64" t="s">
        <v>4114</v>
      </c>
      <c r="D113" s="72"/>
      <c r="E113" s="5"/>
      <c r="F113" s="5"/>
      <c r="G113" s="5"/>
    </row>
    <row r="114" spans="1:7" ht="13">
      <c r="A114" s="64" t="s">
        <v>5882</v>
      </c>
      <c r="B114" s="77" t="s">
        <v>5883</v>
      </c>
      <c r="C114" s="64" t="s">
        <v>229</v>
      </c>
      <c r="D114" s="76"/>
      <c r="E114" s="5"/>
      <c r="F114" s="5"/>
      <c r="G114" s="5"/>
    </row>
    <row r="115" spans="1:7" ht="13">
      <c r="A115" s="64" t="s">
        <v>5884</v>
      </c>
      <c r="B115" s="77" t="s">
        <v>5885</v>
      </c>
      <c r="C115" s="64" t="s">
        <v>4114</v>
      </c>
      <c r="D115" s="76"/>
      <c r="E115" s="5"/>
      <c r="F115" s="5"/>
      <c r="G115" s="5"/>
    </row>
    <row r="116" spans="1:7" ht="13">
      <c r="A116" s="64" t="s">
        <v>5886</v>
      </c>
      <c r="B116" s="77" t="s">
        <v>5037</v>
      </c>
      <c r="C116" s="64" t="s">
        <v>1013</v>
      </c>
      <c r="D116" s="72"/>
      <c r="E116" s="5"/>
      <c r="F116" s="5"/>
      <c r="G116" s="5"/>
    </row>
    <row r="117" spans="1:7" ht="13">
      <c r="A117" s="64" t="s">
        <v>5887</v>
      </c>
      <c r="B117" s="77" t="s">
        <v>5888</v>
      </c>
      <c r="C117" s="64" t="s">
        <v>317</v>
      </c>
      <c r="D117" s="76"/>
      <c r="E117" s="5"/>
      <c r="F117" s="5"/>
      <c r="G117" s="5"/>
    </row>
    <row r="118" spans="1:7" ht="13">
      <c r="A118" s="64" t="s">
        <v>5889</v>
      </c>
      <c r="B118" s="78" t="str">
        <f>HYPERLINK("https://bulbapedia.bulbagarden.net/wiki/Gyarados-EX_(BREAKpoint_114)","GyaradosEX")</f>
        <v>GyaradosEX</v>
      </c>
      <c r="C118" s="64" t="s">
        <v>208</v>
      </c>
      <c r="D118" s="76"/>
      <c r="E118" s="5"/>
      <c r="F118" s="5"/>
      <c r="G118" s="5"/>
    </row>
    <row r="119" spans="1:7" ht="13">
      <c r="A119" s="64" t="s">
        <v>5890</v>
      </c>
      <c r="B119" s="79" t="str">
        <f>HYPERLINK("https://bulbapedia.bulbagarden.net/wiki/M_Gyarados-EX_(BREAKpoint_115)","MGyaradosEX")</f>
        <v>MGyaradosEX</v>
      </c>
      <c r="C119" s="64" t="s">
        <v>208</v>
      </c>
      <c r="D119" s="76"/>
      <c r="E119" s="5"/>
      <c r="F119" s="5"/>
      <c r="G119" s="5"/>
    </row>
    <row r="120" spans="1:7" ht="13">
      <c r="A120" s="64" t="s">
        <v>5891</v>
      </c>
      <c r="B120" s="78" t="str">
        <f>HYPERLINK("https://bulbapedia.bulbagarden.net/wiki/Manaphy-EX_(BREAKpoint_116)","ManaphyEX")</f>
        <v>ManaphyEX</v>
      </c>
      <c r="C120" s="64" t="s">
        <v>208</v>
      </c>
      <c r="D120" s="76"/>
      <c r="E120" s="5"/>
      <c r="F120" s="5"/>
      <c r="G120" s="5"/>
    </row>
    <row r="121" spans="1:7" ht="13">
      <c r="A121" s="64" t="s">
        <v>5892</v>
      </c>
      <c r="B121" s="78" t="str">
        <f>HYPERLINK("https://bulbapedia.bulbagarden.net/wiki/Espeon-EX_(BREAKpoint_117)","EspeonEX")</f>
        <v>EspeonEX</v>
      </c>
      <c r="C121" s="64" t="s">
        <v>195</v>
      </c>
      <c r="D121" s="76"/>
      <c r="E121" s="5"/>
      <c r="F121" s="5"/>
      <c r="G121" s="5"/>
    </row>
    <row r="122" spans="1:7" ht="13">
      <c r="A122" s="64" t="s">
        <v>5893</v>
      </c>
      <c r="B122" s="78" t="str">
        <f>HYPERLINK("https://bulbapedia.bulbagarden.net/wiki/Darkrai-EX_(BREAKpoint_118)","DarkraiEX")</f>
        <v>DarkraiEX</v>
      </c>
      <c r="C122" s="64" t="s">
        <v>808</v>
      </c>
      <c r="D122" s="76"/>
      <c r="E122" s="5"/>
      <c r="F122" s="5"/>
      <c r="G122" s="5"/>
    </row>
    <row r="123" spans="1:7" ht="13">
      <c r="A123" s="64" t="s">
        <v>5894</v>
      </c>
      <c r="B123" s="78" t="str">
        <f>HYPERLINK("https://bulbapedia.bulbagarden.net/wiki/Scizor-EX_(BREAKpoint_119)","ScizorEX")</f>
        <v>ScizorEX</v>
      </c>
      <c r="C123" s="64" t="s">
        <v>220</v>
      </c>
      <c r="D123" s="72"/>
      <c r="E123" s="5"/>
      <c r="F123" s="5"/>
      <c r="G123" s="5"/>
    </row>
    <row r="124" spans="1:7" ht="13">
      <c r="A124" s="64" t="s">
        <v>5895</v>
      </c>
      <c r="B124" s="79" t="str">
        <f>HYPERLINK("https://bulbapedia.bulbagarden.net/wiki/M_Scizor-EX_(BREAKpoint_120)","MScizorEX")</f>
        <v>MScizorEX</v>
      </c>
      <c r="C124" s="64" t="s">
        <v>220</v>
      </c>
      <c r="D124" s="76"/>
      <c r="E124" s="5"/>
      <c r="F124" s="5"/>
      <c r="G124" s="5"/>
    </row>
    <row r="125" spans="1:7" ht="13">
      <c r="A125" s="64" t="s">
        <v>5896</v>
      </c>
      <c r="B125" s="78" t="str">
        <f>HYPERLINK("https://bulbapedia.bulbagarden.net/wiki/Ho-Oh-EX_(BREAKpoint_121)","Ho-OhEX")</f>
        <v>Ho-OhEX</v>
      </c>
      <c r="C125" s="64" t="s">
        <v>197</v>
      </c>
      <c r="D125" s="76"/>
      <c r="E125" s="5"/>
      <c r="F125" s="5"/>
      <c r="G125" s="5"/>
    </row>
    <row r="126" spans="1:7" ht="13">
      <c r="A126" s="64" t="s">
        <v>5897</v>
      </c>
      <c r="B126" s="77" t="s">
        <v>4500</v>
      </c>
      <c r="C126" s="64" t="s">
        <v>1013</v>
      </c>
      <c r="D126" s="76"/>
      <c r="E126" s="5"/>
      <c r="F126" s="5"/>
      <c r="G126" s="5"/>
    </row>
    <row r="127" spans="1:7" ht="13">
      <c r="A127" s="64" t="s">
        <v>5898</v>
      </c>
      <c r="B127" s="78" t="str">
        <f>HYPERLINK("https://bulbapedia.bulbagarden.net/wiki/Gyarados-EX_(BREAKpoint_123)","GyaradosEX")</f>
        <v>GyaradosEX</v>
      </c>
      <c r="C127" s="64" t="s">
        <v>208</v>
      </c>
      <c r="D127" s="76"/>
      <c r="E127" s="5"/>
      <c r="F127" s="5"/>
      <c r="G127" s="5"/>
    </row>
    <row r="129" spans="1:7" ht="13">
      <c r="A129" s="64"/>
      <c r="B129" s="68"/>
      <c r="C129" s="64"/>
      <c r="D129" s="76"/>
      <c r="E129" s="5"/>
      <c r="F129" s="5"/>
      <c r="G129" s="5"/>
    </row>
    <row r="130" spans="1:7" ht="13">
      <c r="A130" s="64"/>
      <c r="B130" s="65"/>
      <c r="C130" s="64"/>
      <c r="D130" s="66"/>
      <c r="E130" s="5"/>
      <c r="F130" s="5"/>
      <c r="G130" s="5"/>
    </row>
    <row r="131" spans="1:7" ht="13">
      <c r="A131" s="64"/>
      <c r="B131" s="90"/>
      <c r="C131" s="76"/>
      <c r="D131" s="47"/>
      <c r="E131" s="5"/>
      <c r="F131" s="5"/>
      <c r="G131" s="5"/>
    </row>
    <row r="132" spans="1:7" ht="13">
      <c r="A132" s="64"/>
      <c r="B132" s="91"/>
      <c r="C132" s="64"/>
      <c r="D132" s="92"/>
      <c r="E132" s="5"/>
      <c r="F132" s="5"/>
      <c r="G132" s="5"/>
    </row>
    <row r="133" spans="1:7" ht="13">
      <c r="A133" s="64"/>
      <c r="B133" s="91"/>
      <c r="C133" s="64"/>
      <c r="D133" s="64"/>
      <c r="E133" s="5"/>
      <c r="F133" s="5"/>
      <c r="G133" s="5"/>
    </row>
    <row r="134" spans="1:7" ht="13">
      <c r="A134" s="48"/>
      <c r="B134" s="71"/>
      <c r="C134" s="48"/>
      <c r="D134" s="47"/>
      <c r="E134" s="5"/>
      <c r="F134" s="5"/>
      <c r="G134" s="5"/>
    </row>
    <row r="135" spans="1:7" ht="13">
      <c r="A135" s="48"/>
      <c r="B135" s="71"/>
      <c r="C135" s="48"/>
      <c r="D135" s="47"/>
      <c r="E135" s="5"/>
      <c r="F135" s="5"/>
      <c r="G135" s="5"/>
    </row>
    <row r="136" spans="1:7" ht="13">
      <c r="A136" s="48"/>
      <c r="B136" s="71"/>
      <c r="C136" s="48"/>
      <c r="D136" s="47"/>
      <c r="E136" s="5"/>
      <c r="F136" s="5"/>
      <c r="G136" s="5"/>
    </row>
    <row r="137" spans="1:7" ht="13">
      <c r="A137" s="48"/>
      <c r="B137" s="69"/>
      <c r="C137" s="48"/>
      <c r="D137" s="47"/>
      <c r="E137" s="5"/>
      <c r="F137" s="5"/>
      <c r="G137" s="5"/>
    </row>
    <row r="138" spans="1:7" ht="13">
      <c r="A138" s="48"/>
      <c r="B138" s="69"/>
      <c r="C138" s="48"/>
      <c r="D138" s="47"/>
      <c r="E138" s="5"/>
      <c r="F138" s="5"/>
      <c r="G138" s="5"/>
    </row>
    <row r="139" spans="1:7" ht="13">
      <c r="A139" s="48"/>
      <c r="B139" s="69"/>
      <c r="C139" s="48"/>
      <c r="D139" s="47"/>
      <c r="E139" s="5"/>
      <c r="F139" s="5"/>
      <c r="G139" s="5"/>
    </row>
    <row r="140" spans="1:7" ht="13">
      <c r="A140" s="48"/>
      <c r="B140" s="69"/>
      <c r="C140" s="48"/>
      <c r="D140" s="47"/>
      <c r="E140" s="5"/>
      <c r="F140" s="5"/>
      <c r="G140" s="5"/>
    </row>
    <row r="141" spans="1:7" ht="13">
      <c r="A141" s="48"/>
      <c r="B141" s="69"/>
      <c r="C141" s="48"/>
      <c r="D141" s="47"/>
      <c r="E141" s="5"/>
      <c r="F141" s="5"/>
      <c r="G141" s="5"/>
    </row>
    <row r="142" spans="1:7" ht="13">
      <c r="A142" s="48"/>
      <c r="B142" s="69"/>
      <c r="C142" s="48"/>
      <c r="D142" s="47"/>
      <c r="E142" s="5"/>
      <c r="F142" s="5"/>
      <c r="G142" s="5"/>
    </row>
    <row r="143" spans="1:7" ht="13">
      <c r="A143" s="48"/>
      <c r="B143" s="69"/>
      <c r="C143" s="48"/>
      <c r="D143" s="47"/>
      <c r="E143" s="5"/>
      <c r="F143" s="5"/>
      <c r="G143" s="5"/>
    </row>
    <row r="144" spans="1:7" ht="13">
      <c r="A144" s="48"/>
      <c r="B144" s="69"/>
      <c r="C144" s="48"/>
      <c r="D144" s="47"/>
      <c r="E144" s="5"/>
      <c r="F144" s="5"/>
      <c r="G144" s="5"/>
    </row>
    <row r="145" spans="1:7" ht="13">
      <c r="A145" s="48"/>
      <c r="B145" s="69"/>
      <c r="C145" s="48"/>
      <c r="D145" s="47"/>
      <c r="E145" s="5"/>
      <c r="F145" s="5"/>
      <c r="G145" s="5"/>
    </row>
    <row r="146" spans="1:7" ht="13">
      <c r="A146" s="48"/>
      <c r="B146" s="71"/>
      <c r="C146" s="48"/>
      <c r="D146" s="47"/>
      <c r="E146" s="5"/>
      <c r="F146" s="5"/>
      <c r="G146" s="5"/>
    </row>
    <row r="147" spans="1:7" ht="13">
      <c r="A147" s="48"/>
      <c r="B147" s="71"/>
      <c r="C147" s="48"/>
      <c r="D147" s="47"/>
      <c r="E147" s="5"/>
      <c r="F147" s="5"/>
      <c r="G147" s="5"/>
    </row>
    <row r="148" spans="1:7" ht="13">
      <c r="A148" s="48"/>
      <c r="B148" s="71"/>
      <c r="C148" s="48"/>
      <c r="D148" s="47"/>
      <c r="E148" s="5"/>
      <c r="F148" s="5"/>
      <c r="G148" s="5"/>
    </row>
    <row r="149" spans="1:7" ht="13">
      <c r="A149" s="48"/>
      <c r="B149" s="71"/>
      <c r="C149" s="48"/>
      <c r="D149" s="47"/>
      <c r="E149" s="5"/>
      <c r="F149" s="5"/>
      <c r="G149" s="5"/>
    </row>
    <row r="150" spans="1:7" ht="13">
      <c r="A150" s="48"/>
      <c r="B150" s="71"/>
      <c r="C150" s="48"/>
      <c r="D150" s="47"/>
      <c r="E150" s="5"/>
      <c r="F150" s="5"/>
      <c r="G150" s="5"/>
    </row>
    <row r="151" spans="1:7" ht="13">
      <c r="A151" s="48"/>
      <c r="B151" s="71"/>
      <c r="C151" s="48"/>
      <c r="D151" s="47"/>
      <c r="E151" s="5"/>
      <c r="F151" s="5"/>
      <c r="G151" s="5"/>
    </row>
    <row r="152" spans="1:7" ht="13">
      <c r="A152" s="48"/>
      <c r="B152" s="69"/>
      <c r="C152" s="48"/>
      <c r="D152" s="47"/>
      <c r="E152" s="5"/>
      <c r="F152" s="5"/>
      <c r="G152" s="5"/>
    </row>
    <row r="153" spans="1:7" ht="13">
      <c r="A153" s="48"/>
      <c r="B153" s="71"/>
      <c r="C153" s="48"/>
      <c r="D153" s="47"/>
      <c r="E153" s="5"/>
      <c r="F153" s="5"/>
      <c r="G153" s="5"/>
    </row>
    <row r="154" spans="1:7" ht="13">
      <c r="A154" s="48"/>
      <c r="B154" s="71"/>
      <c r="C154" s="48"/>
      <c r="D154" s="47"/>
      <c r="E154" s="5"/>
      <c r="F154" s="5"/>
      <c r="G154" s="5"/>
    </row>
    <row r="155" spans="1:7" ht="13">
      <c r="A155" s="48"/>
      <c r="B155" s="71"/>
      <c r="C155" s="48"/>
      <c r="D155" s="47"/>
      <c r="E155" s="5"/>
      <c r="F155" s="5"/>
      <c r="G155" s="5"/>
    </row>
    <row r="156" spans="1:7" ht="13">
      <c r="A156" s="48"/>
      <c r="B156" s="71"/>
      <c r="C156" s="48"/>
      <c r="D156" s="47"/>
      <c r="E156" s="5"/>
      <c r="F156" s="5"/>
      <c r="G156" s="5"/>
    </row>
    <row r="157" spans="1:7" ht="13">
      <c r="A157" s="48"/>
      <c r="B157" s="71"/>
      <c r="C157" s="48"/>
      <c r="D157" s="47"/>
      <c r="E157" s="5"/>
      <c r="F157" s="5"/>
      <c r="G157" s="5"/>
    </row>
    <row r="158" spans="1:7" ht="13">
      <c r="A158" s="48"/>
      <c r="B158" s="71"/>
      <c r="C158" s="48"/>
      <c r="D158" s="47"/>
      <c r="E158" s="5"/>
      <c r="F158" s="5"/>
      <c r="G158" s="5"/>
    </row>
    <row r="159" spans="1:7" ht="13">
      <c r="A159" s="48"/>
      <c r="B159" s="71"/>
      <c r="C159" s="48"/>
      <c r="D159" s="47"/>
      <c r="E159" s="5"/>
      <c r="F159" s="5"/>
      <c r="G159" s="5"/>
    </row>
    <row r="160" spans="1:7" ht="13">
      <c r="A160" s="48"/>
      <c r="B160" s="71"/>
      <c r="C160" s="48"/>
      <c r="D160" s="47"/>
      <c r="E160" s="5"/>
      <c r="F160" s="5"/>
      <c r="G160" s="5"/>
    </row>
    <row r="161" spans="1:7" ht="13">
      <c r="A161" s="48"/>
      <c r="B161" s="71"/>
      <c r="C161" s="48"/>
      <c r="D161" s="47"/>
      <c r="E161" s="5"/>
      <c r="F161" s="5"/>
      <c r="G161" s="5"/>
    </row>
    <row r="162" spans="1:7" ht="13">
      <c r="A162" s="48"/>
      <c r="B162" s="69"/>
      <c r="C162" s="48"/>
      <c r="D162" s="47"/>
      <c r="E162" s="5"/>
      <c r="F162" s="5"/>
      <c r="G162" s="5"/>
    </row>
    <row r="163" spans="1:7" ht="13">
      <c r="A163" s="48"/>
      <c r="B163" s="69"/>
      <c r="C163" s="48"/>
      <c r="D163" s="47"/>
      <c r="E163" s="5"/>
      <c r="F163" s="5"/>
      <c r="G163" s="5"/>
    </row>
    <row r="164" spans="1:7" ht="13">
      <c r="A164" s="48"/>
      <c r="B164" s="69"/>
      <c r="C164" s="48"/>
      <c r="D164" s="47"/>
      <c r="E164" s="5"/>
      <c r="F164" s="5"/>
      <c r="G164" s="5"/>
    </row>
    <row r="165" spans="1:7" ht="13">
      <c r="A165" s="48"/>
      <c r="B165" s="69"/>
      <c r="C165" s="48"/>
      <c r="D165" s="47"/>
      <c r="E165" s="5"/>
      <c r="F165" s="5"/>
      <c r="G165" s="5"/>
    </row>
    <row r="166" spans="1:7" ht="13">
      <c r="A166" s="48"/>
      <c r="B166" s="69"/>
      <c r="C166" s="48"/>
      <c r="D166" s="47"/>
      <c r="E166" s="5"/>
      <c r="F166" s="5"/>
      <c r="G166" s="5"/>
    </row>
    <row r="167" spans="1:7" ht="13">
      <c r="A167" s="48"/>
      <c r="B167" s="69"/>
      <c r="C167" s="48"/>
      <c r="D167" s="47"/>
      <c r="E167" s="5"/>
      <c r="F167" s="5"/>
      <c r="G167" s="5"/>
    </row>
    <row r="168" spans="1:7" ht="13">
      <c r="A168" s="48"/>
      <c r="B168" s="69"/>
      <c r="C168" s="48"/>
      <c r="D168" s="47"/>
      <c r="E168" s="5"/>
      <c r="F168" s="5"/>
      <c r="G168" s="5"/>
    </row>
    <row r="169" spans="1:7" ht="13">
      <c r="A169" s="48"/>
      <c r="B169" s="69"/>
      <c r="C169" s="48"/>
      <c r="D169" s="47"/>
      <c r="E169" s="5"/>
      <c r="F169" s="5"/>
      <c r="G169" s="5"/>
    </row>
    <row r="170" spans="1:7" ht="13">
      <c r="A170" s="48"/>
      <c r="B170" s="69"/>
      <c r="C170" s="48"/>
      <c r="D170" s="47"/>
      <c r="E170" s="5"/>
      <c r="F170" s="5"/>
      <c r="G170" s="5"/>
    </row>
    <row r="171" spans="1:7" ht="13">
      <c r="A171" s="48"/>
      <c r="B171" s="71"/>
      <c r="C171" s="48"/>
      <c r="D171" s="47"/>
      <c r="E171" s="5"/>
      <c r="F171" s="5"/>
      <c r="G171" s="5"/>
    </row>
    <row r="172" spans="1:7" ht="13">
      <c r="A172" s="48"/>
      <c r="B172" s="71"/>
      <c r="C172" s="48"/>
      <c r="D172" s="47"/>
      <c r="E172" s="5"/>
      <c r="F172" s="5"/>
      <c r="G172" s="5"/>
    </row>
    <row r="173" spans="1:7" ht="13">
      <c r="A173" s="48"/>
      <c r="B173" s="71"/>
      <c r="C173" s="48"/>
      <c r="D173" s="47"/>
      <c r="E173" s="5"/>
      <c r="F173" s="5"/>
      <c r="G173" s="5"/>
    </row>
    <row r="174" spans="1:7" ht="13">
      <c r="A174" s="48"/>
      <c r="B174" s="71"/>
      <c r="C174" s="48"/>
      <c r="D174" s="47"/>
      <c r="E174" s="5"/>
      <c r="F174" s="5"/>
      <c r="G174" s="5"/>
    </row>
    <row r="175" spans="1:7" ht="13">
      <c r="A175" s="48"/>
      <c r="B175" s="71"/>
      <c r="C175" s="48"/>
      <c r="D175" s="47"/>
      <c r="E175" s="5"/>
      <c r="F175" s="5"/>
      <c r="G175" s="5"/>
    </row>
    <row r="176" spans="1:7" ht="13">
      <c r="A176" s="48"/>
      <c r="B176" s="71"/>
      <c r="C176" s="48"/>
      <c r="D176" s="47"/>
      <c r="E176" s="5"/>
      <c r="F176" s="5"/>
      <c r="G176" s="5"/>
    </row>
    <row r="177" spans="1:7" ht="13">
      <c r="A177" s="48"/>
      <c r="B177" s="69"/>
      <c r="C177" s="48"/>
      <c r="D177" s="47"/>
      <c r="E177" s="5"/>
      <c r="F177" s="5"/>
      <c r="G177" s="5"/>
    </row>
    <row r="178" spans="1:7" ht="13">
      <c r="A178" s="48"/>
      <c r="B178" s="69"/>
      <c r="C178" s="48"/>
      <c r="D178" s="47"/>
      <c r="E178" s="5"/>
      <c r="F178" s="5"/>
      <c r="G178" s="5"/>
    </row>
    <row r="179" spans="1:7" ht="13">
      <c r="B179" s="36"/>
      <c r="C179" s="80"/>
      <c r="D179" s="5"/>
      <c r="E179" s="5"/>
      <c r="F179" s="5"/>
      <c r="G179" s="5"/>
    </row>
    <row r="180" spans="1:7" ht="13">
      <c r="B180" s="36"/>
      <c r="C180" s="80"/>
      <c r="D180" s="5"/>
      <c r="E180" s="5"/>
      <c r="F180" s="5"/>
      <c r="G180" s="5"/>
    </row>
    <row r="181" spans="1:7" ht="13">
      <c r="B181" s="36"/>
      <c r="C181" s="80"/>
      <c r="D181" s="5"/>
      <c r="E181" s="5"/>
      <c r="F181" s="5"/>
      <c r="G181" s="5"/>
    </row>
    <row r="182" spans="1:7" ht="13">
      <c r="B182" s="36"/>
      <c r="C182" s="80"/>
      <c r="D182" s="5"/>
      <c r="E182" s="5"/>
      <c r="F182" s="5"/>
      <c r="G182" s="5"/>
    </row>
    <row r="183" spans="1:7" ht="13">
      <c r="B183" s="36"/>
      <c r="C183" s="80"/>
      <c r="D183" s="5"/>
      <c r="E183" s="5"/>
      <c r="F183" s="5"/>
      <c r="G183" s="5"/>
    </row>
    <row r="184" spans="1:7" ht="13">
      <c r="B184" s="36"/>
      <c r="C184" s="80"/>
      <c r="D184" s="5"/>
      <c r="E184" s="5"/>
      <c r="F184" s="5"/>
      <c r="G184" s="5"/>
    </row>
    <row r="185" spans="1:7" ht="13">
      <c r="B185" s="36"/>
      <c r="C185" s="80"/>
      <c r="D185" s="5"/>
      <c r="E185" s="5"/>
      <c r="F185" s="5"/>
      <c r="G185" s="5"/>
    </row>
    <row r="186" spans="1:7" ht="13">
      <c r="B186" s="36"/>
      <c r="C186" s="80"/>
      <c r="D186" s="5"/>
      <c r="E186" s="5"/>
      <c r="F186" s="5"/>
      <c r="G186" s="5"/>
    </row>
    <row r="187" spans="1:7" ht="13">
      <c r="B187" s="36"/>
      <c r="C187" s="80"/>
      <c r="D187" s="5"/>
      <c r="E187" s="5"/>
      <c r="F187" s="5"/>
      <c r="G187" s="5"/>
    </row>
    <row r="188" spans="1:7" ht="13">
      <c r="B188" s="36"/>
      <c r="C188" s="80"/>
      <c r="D188" s="5"/>
      <c r="E188" s="5"/>
      <c r="F188" s="5"/>
      <c r="G188" s="5"/>
    </row>
    <row r="189" spans="1:7" ht="13">
      <c r="B189" s="36"/>
      <c r="C189" s="80"/>
      <c r="D189" s="5"/>
      <c r="E189" s="5"/>
      <c r="F189" s="5"/>
      <c r="G189" s="5"/>
    </row>
    <row r="190" spans="1:7" ht="13">
      <c r="B190" s="36"/>
      <c r="C190" s="80"/>
      <c r="D190" s="5"/>
      <c r="E190" s="5"/>
      <c r="F190" s="5"/>
      <c r="G190" s="5"/>
    </row>
    <row r="191" spans="1:7" ht="13">
      <c r="B191" s="36"/>
      <c r="C191" s="80"/>
      <c r="D191" s="5"/>
      <c r="E191" s="5"/>
      <c r="F191" s="5"/>
      <c r="G191" s="5"/>
    </row>
    <row r="192" spans="1:7" ht="13">
      <c r="B192" s="36"/>
      <c r="C192" s="80"/>
      <c r="D192" s="5"/>
      <c r="E192" s="5"/>
      <c r="F192" s="5"/>
      <c r="G192" s="5"/>
    </row>
    <row r="193" spans="2:7" ht="13">
      <c r="B193" s="36"/>
      <c r="C193" s="80"/>
      <c r="D193" s="5"/>
      <c r="E193" s="5"/>
      <c r="F193" s="5"/>
      <c r="G193" s="5"/>
    </row>
    <row r="194" spans="2:7" ht="13">
      <c r="B194" s="36"/>
      <c r="C194" s="80"/>
      <c r="D194" s="5"/>
      <c r="E194" s="5"/>
      <c r="F194" s="5"/>
      <c r="G194" s="5"/>
    </row>
    <row r="195" spans="2:7" ht="13">
      <c r="B195" s="36"/>
      <c r="C195" s="80"/>
      <c r="D195" s="5"/>
      <c r="E195" s="5"/>
      <c r="F195" s="5"/>
      <c r="G195" s="5"/>
    </row>
    <row r="196" spans="2:7" ht="13">
      <c r="B196" s="36"/>
      <c r="C196" s="80"/>
      <c r="D196" s="5"/>
      <c r="E196" s="5"/>
      <c r="F196" s="5"/>
      <c r="G196" s="5"/>
    </row>
    <row r="197" spans="2:7" ht="13">
      <c r="B197" s="36"/>
      <c r="C197" s="80"/>
      <c r="D197" s="5"/>
      <c r="E197" s="5"/>
      <c r="F197" s="5"/>
      <c r="G197" s="5"/>
    </row>
    <row r="198" spans="2:7" ht="13">
      <c r="B198" s="36"/>
      <c r="C198" s="80"/>
      <c r="D198" s="5"/>
      <c r="E198" s="5"/>
      <c r="F198" s="5"/>
      <c r="G198" s="5"/>
    </row>
    <row r="199" spans="2:7" ht="13">
      <c r="B199" s="36"/>
      <c r="C199" s="80"/>
      <c r="D199" s="5"/>
      <c r="E199" s="5"/>
      <c r="F199" s="5"/>
      <c r="G199" s="5"/>
    </row>
    <row r="200" spans="2:7" ht="13">
      <c r="B200" s="36"/>
      <c r="C200" s="80"/>
      <c r="D200" s="5"/>
      <c r="E200" s="5"/>
      <c r="F200" s="5"/>
      <c r="G200" s="5"/>
    </row>
    <row r="201" spans="2:7" ht="13">
      <c r="B201" s="36"/>
      <c r="C201" s="80"/>
      <c r="D201" s="5"/>
      <c r="E201" s="5"/>
      <c r="F201" s="5"/>
      <c r="G201" s="5"/>
    </row>
    <row r="202" spans="2:7" ht="13">
      <c r="B202" s="36"/>
      <c r="C202" s="80"/>
      <c r="D202" s="5"/>
      <c r="E202" s="5"/>
      <c r="F202" s="5"/>
      <c r="G202" s="5"/>
    </row>
    <row r="203" spans="2:7" ht="13">
      <c r="B203" s="36"/>
      <c r="C203" s="80"/>
      <c r="D203" s="5"/>
      <c r="E203" s="5"/>
      <c r="F203" s="5"/>
      <c r="G203" s="5"/>
    </row>
    <row r="204" spans="2:7" ht="13">
      <c r="B204" s="36"/>
      <c r="C204" s="80"/>
      <c r="D204" s="5"/>
      <c r="E204" s="5"/>
      <c r="F204" s="5"/>
      <c r="G204" s="5"/>
    </row>
    <row r="205" spans="2:7" ht="13">
      <c r="B205" s="36"/>
      <c r="C205" s="80"/>
      <c r="D205" s="5"/>
      <c r="E205" s="5"/>
      <c r="F205" s="5"/>
      <c r="G205" s="5"/>
    </row>
    <row r="206" spans="2:7" ht="13">
      <c r="B206" s="36"/>
      <c r="C206" s="80"/>
      <c r="D206" s="5"/>
      <c r="E206" s="5"/>
      <c r="F206" s="5"/>
      <c r="G206" s="5"/>
    </row>
    <row r="207" spans="2:7" ht="13">
      <c r="B207" s="36"/>
      <c r="C207" s="80"/>
      <c r="D207" s="5"/>
      <c r="E207" s="5"/>
      <c r="F207" s="5"/>
      <c r="G207" s="5"/>
    </row>
    <row r="208" spans="2:7" ht="13">
      <c r="B208" s="36"/>
      <c r="C208" s="80"/>
      <c r="D208" s="5"/>
      <c r="E208" s="5"/>
      <c r="F208" s="5"/>
      <c r="G208" s="5"/>
    </row>
    <row r="209" spans="2:7" ht="13">
      <c r="B209" s="36"/>
      <c r="C209" s="80"/>
      <c r="D209" s="5"/>
      <c r="E209" s="5"/>
      <c r="F209" s="5"/>
      <c r="G209" s="5"/>
    </row>
    <row r="210" spans="2:7" ht="13">
      <c r="B210" s="36"/>
      <c r="C210" s="80"/>
      <c r="D210" s="5"/>
      <c r="E210" s="5"/>
      <c r="F210" s="5"/>
      <c r="G210" s="5"/>
    </row>
    <row r="211" spans="2:7" ht="13">
      <c r="B211" s="36"/>
      <c r="C211" s="80"/>
      <c r="D211" s="5"/>
      <c r="E211" s="5"/>
      <c r="F211" s="5"/>
      <c r="G211" s="5"/>
    </row>
    <row r="212" spans="2:7" ht="13">
      <c r="B212" s="36"/>
      <c r="C212" s="80"/>
      <c r="D212" s="5"/>
      <c r="E212" s="5"/>
      <c r="F212" s="5"/>
      <c r="G212" s="5"/>
    </row>
    <row r="213" spans="2:7" ht="13">
      <c r="B213" s="36"/>
      <c r="C213" s="80"/>
      <c r="D213" s="5"/>
      <c r="E213" s="5"/>
      <c r="F213" s="5"/>
      <c r="G213" s="5"/>
    </row>
    <row r="214" spans="2:7" ht="13">
      <c r="B214" s="36"/>
      <c r="C214" s="80"/>
      <c r="D214" s="5"/>
      <c r="E214" s="5"/>
      <c r="F214" s="5"/>
      <c r="G214" s="5"/>
    </row>
    <row r="215" spans="2:7" ht="13">
      <c r="B215" s="36"/>
      <c r="C215" s="80"/>
      <c r="D215" s="5"/>
      <c r="E215" s="5"/>
      <c r="F215" s="5"/>
      <c r="G215" s="5"/>
    </row>
    <row r="216" spans="2:7" ht="13">
      <c r="B216" s="36"/>
      <c r="C216" s="80"/>
      <c r="D216" s="5"/>
      <c r="E216" s="5"/>
      <c r="F216" s="5"/>
      <c r="G216" s="5"/>
    </row>
    <row r="217" spans="2:7" ht="13">
      <c r="B217" s="36"/>
      <c r="C217" s="80"/>
      <c r="D217" s="5"/>
      <c r="E217" s="5"/>
      <c r="F217" s="5"/>
      <c r="G217" s="5"/>
    </row>
    <row r="218" spans="2:7" ht="13">
      <c r="B218" s="36"/>
      <c r="C218" s="80"/>
      <c r="D218" s="5"/>
      <c r="E218" s="5"/>
      <c r="F218" s="5"/>
      <c r="G218" s="5"/>
    </row>
    <row r="219" spans="2:7" ht="13">
      <c r="B219" s="36"/>
      <c r="C219" s="80"/>
      <c r="D219" s="5"/>
      <c r="E219" s="5"/>
      <c r="F219" s="5"/>
      <c r="G219" s="5"/>
    </row>
    <row r="220" spans="2:7" ht="13">
      <c r="B220" s="36"/>
      <c r="C220" s="80"/>
      <c r="D220" s="5"/>
      <c r="E220" s="5"/>
      <c r="F220" s="5"/>
      <c r="G220" s="5"/>
    </row>
    <row r="221" spans="2:7" ht="13">
      <c r="B221" s="36"/>
      <c r="C221" s="80"/>
      <c r="D221" s="5"/>
      <c r="E221" s="5"/>
      <c r="F221" s="5"/>
      <c r="G221" s="5"/>
    </row>
    <row r="222" spans="2:7" ht="13">
      <c r="B222" s="36"/>
      <c r="C222" s="80"/>
      <c r="D222" s="5"/>
      <c r="E222" s="5"/>
      <c r="F222" s="5"/>
      <c r="G222" s="5"/>
    </row>
    <row r="223" spans="2:7" ht="13">
      <c r="B223" s="36"/>
      <c r="C223" s="80"/>
      <c r="D223" s="5"/>
      <c r="E223" s="5"/>
      <c r="F223" s="5"/>
      <c r="G223" s="5"/>
    </row>
    <row r="224" spans="2:7" ht="13">
      <c r="B224" s="36"/>
      <c r="C224" s="80"/>
      <c r="D224" s="5"/>
      <c r="E224" s="5"/>
      <c r="F224" s="5"/>
      <c r="G224" s="5"/>
    </row>
    <row r="225" spans="2:7" ht="13">
      <c r="B225" s="36"/>
      <c r="C225" s="80"/>
      <c r="D225" s="5"/>
      <c r="E225" s="5"/>
      <c r="F225" s="5"/>
      <c r="G225" s="5"/>
    </row>
    <row r="226" spans="2:7" ht="13">
      <c r="B226" s="36"/>
      <c r="C226" s="80"/>
      <c r="D226" s="5"/>
      <c r="E226" s="5"/>
      <c r="F226" s="5"/>
      <c r="G226" s="5"/>
    </row>
    <row r="227" spans="2:7" ht="13">
      <c r="B227" s="36"/>
      <c r="C227" s="80"/>
      <c r="D227" s="5"/>
      <c r="E227" s="5"/>
      <c r="F227" s="5"/>
      <c r="G227" s="5"/>
    </row>
    <row r="228" spans="2:7" ht="13">
      <c r="B228" s="36"/>
      <c r="C228" s="80"/>
      <c r="D228" s="5"/>
      <c r="E228" s="5"/>
      <c r="F228" s="5"/>
      <c r="G228" s="5"/>
    </row>
    <row r="229" spans="2:7" ht="13">
      <c r="B229" s="36"/>
      <c r="C229" s="80"/>
      <c r="D229" s="5"/>
      <c r="E229" s="5"/>
      <c r="F229" s="5"/>
      <c r="G229" s="5"/>
    </row>
    <row r="230" spans="2:7" ht="13">
      <c r="B230" s="36"/>
      <c r="C230" s="80"/>
      <c r="D230" s="5"/>
      <c r="E230" s="5"/>
      <c r="F230" s="5"/>
      <c r="G230" s="5"/>
    </row>
    <row r="231" spans="2:7" ht="13">
      <c r="B231" s="36"/>
      <c r="C231" s="80"/>
      <c r="D231" s="5"/>
      <c r="E231" s="5"/>
      <c r="F231" s="5"/>
      <c r="G231" s="5"/>
    </row>
    <row r="232" spans="2:7" ht="13">
      <c r="B232" s="36"/>
      <c r="C232" s="80"/>
      <c r="D232" s="5"/>
      <c r="E232" s="5"/>
      <c r="F232" s="5"/>
      <c r="G232" s="5"/>
    </row>
    <row r="233" spans="2:7" ht="13">
      <c r="B233" s="36"/>
      <c r="C233" s="80"/>
      <c r="D233" s="5"/>
      <c r="E233" s="5"/>
      <c r="F233" s="5"/>
      <c r="G233" s="5"/>
    </row>
    <row r="234" spans="2:7" ht="13">
      <c r="B234" s="36"/>
      <c r="C234" s="80"/>
      <c r="D234" s="5"/>
      <c r="E234" s="5"/>
      <c r="F234" s="5"/>
      <c r="G234" s="5"/>
    </row>
    <row r="235" spans="2:7" ht="13">
      <c r="B235" s="36"/>
      <c r="C235" s="80"/>
      <c r="D235" s="5"/>
      <c r="E235" s="5"/>
      <c r="F235" s="5"/>
      <c r="G235" s="5"/>
    </row>
    <row r="236" spans="2:7" ht="13">
      <c r="B236" s="36"/>
      <c r="C236" s="80"/>
      <c r="D236" s="5"/>
      <c r="E236" s="5"/>
      <c r="F236" s="5"/>
      <c r="G236" s="5"/>
    </row>
    <row r="237" spans="2:7" ht="13">
      <c r="B237" s="36"/>
      <c r="C237" s="80"/>
      <c r="D237" s="5"/>
      <c r="E237" s="5"/>
      <c r="F237" s="5"/>
      <c r="G237" s="5"/>
    </row>
    <row r="238" spans="2:7" ht="13">
      <c r="B238" s="36"/>
      <c r="C238" s="80"/>
      <c r="D238" s="5"/>
      <c r="E238" s="5"/>
      <c r="F238" s="5"/>
      <c r="G238" s="5"/>
    </row>
    <row r="239" spans="2:7" ht="13">
      <c r="B239" s="36"/>
      <c r="C239" s="80"/>
      <c r="D239" s="5"/>
      <c r="E239" s="5"/>
      <c r="F239" s="5"/>
      <c r="G239" s="5"/>
    </row>
    <row r="240" spans="2:7" ht="13">
      <c r="B240" s="36"/>
      <c r="C240" s="80"/>
      <c r="D240" s="5"/>
      <c r="E240" s="5"/>
      <c r="F240" s="5"/>
      <c r="G240" s="5"/>
    </row>
    <row r="241" spans="2:7" ht="13">
      <c r="B241" s="36"/>
      <c r="C241" s="80"/>
      <c r="D241" s="5"/>
      <c r="E241" s="5"/>
      <c r="F241" s="5"/>
      <c r="G241" s="5"/>
    </row>
    <row r="242" spans="2:7" ht="13">
      <c r="B242" s="36"/>
      <c r="C242" s="80"/>
      <c r="D242" s="5"/>
      <c r="E242" s="5"/>
      <c r="F242" s="5"/>
      <c r="G242" s="5"/>
    </row>
    <row r="243" spans="2:7" ht="13">
      <c r="B243" s="36"/>
      <c r="C243" s="80"/>
      <c r="D243" s="5"/>
      <c r="E243" s="5"/>
      <c r="F243" s="5"/>
      <c r="G243" s="5"/>
    </row>
    <row r="244" spans="2:7" ht="13">
      <c r="B244" s="36"/>
      <c r="C244" s="80"/>
      <c r="D244" s="5"/>
      <c r="E244" s="5"/>
      <c r="F244" s="5"/>
      <c r="G244" s="5"/>
    </row>
    <row r="245" spans="2:7" ht="13">
      <c r="B245" s="36"/>
      <c r="C245" s="80"/>
      <c r="D245" s="5"/>
      <c r="E245" s="5"/>
      <c r="F245" s="5"/>
      <c r="G245" s="5"/>
    </row>
    <row r="246" spans="2:7" ht="13">
      <c r="B246" s="36"/>
      <c r="C246" s="80"/>
      <c r="D246" s="5"/>
      <c r="E246" s="5"/>
      <c r="F246" s="5"/>
      <c r="G246" s="5"/>
    </row>
    <row r="247" spans="2:7" ht="13">
      <c r="B247" s="36"/>
      <c r="C247" s="80"/>
      <c r="D247" s="5"/>
      <c r="E247" s="5"/>
      <c r="F247" s="5"/>
      <c r="G247" s="5"/>
    </row>
    <row r="248" spans="2:7" ht="13">
      <c r="B248" s="36"/>
      <c r="C248" s="80"/>
      <c r="D248" s="5"/>
      <c r="E248" s="5"/>
      <c r="F248" s="5"/>
      <c r="G248" s="5"/>
    </row>
    <row r="249" spans="2:7" ht="13">
      <c r="B249" s="36"/>
      <c r="C249" s="80"/>
      <c r="D249" s="5"/>
      <c r="E249" s="5"/>
      <c r="F249" s="5"/>
      <c r="G249" s="5"/>
    </row>
    <row r="250" spans="2:7" ht="13">
      <c r="B250" s="36"/>
      <c r="C250" s="80"/>
      <c r="D250" s="5"/>
      <c r="E250" s="5"/>
      <c r="F250" s="5"/>
      <c r="G250" s="5"/>
    </row>
    <row r="251" spans="2:7" ht="13">
      <c r="B251" s="36"/>
      <c r="C251" s="80"/>
      <c r="D251" s="5"/>
      <c r="E251" s="5"/>
      <c r="F251" s="5"/>
      <c r="G251" s="5"/>
    </row>
    <row r="252" spans="2:7" ht="13">
      <c r="B252" s="36"/>
      <c r="C252" s="80"/>
      <c r="D252" s="5"/>
      <c r="E252" s="5"/>
      <c r="F252" s="5"/>
      <c r="G252" s="5"/>
    </row>
    <row r="253" spans="2:7" ht="13">
      <c r="B253" s="36"/>
      <c r="C253" s="80"/>
      <c r="D253" s="5"/>
      <c r="E253" s="5"/>
      <c r="F253" s="5"/>
      <c r="G253" s="5"/>
    </row>
    <row r="254" spans="2:7" ht="13">
      <c r="B254" s="36"/>
      <c r="C254" s="80"/>
      <c r="D254" s="5"/>
      <c r="E254" s="5"/>
      <c r="F254" s="5"/>
      <c r="G254" s="5"/>
    </row>
    <row r="255" spans="2:7" ht="13">
      <c r="B255" s="36"/>
      <c r="C255" s="80"/>
      <c r="D255" s="5"/>
      <c r="E255" s="5"/>
      <c r="F255" s="5"/>
      <c r="G255" s="5"/>
    </row>
    <row r="256" spans="2:7" ht="13">
      <c r="B256" s="36"/>
      <c r="C256" s="80"/>
      <c r="D256" s="5"/>
      <c r="E256" s="5"/>
      <c r="F256" s="5"/>
      <c r="G256" s="5"/>
    </row>
    <row r="257" spans="2:7" ht="13">
      <c r="B257" s="36"/>
      <c r="C257" s="80"/>
      <c r="D257" s="5"/>
      <c r="E257" s="5"/>
      <c r="F257" s="5"/>
      <c r="G257" s="5"/>
    </row>
    <row r="258" spans="2:7" ht="13">
      <c r="B258" s="36"/>
      <c r="C258" s="80"/>
      <c r="D258" s="5"/>
      <c r="E258" s="5"/>
      <c r="F258" s="5"/>
      <c r="G258" s="5"/>
    </row>
    <row r="259" spans="2:7" ht="13">
      <c r="B259" s="36"/>
      <c r="C259" s="80"/>
      <c r="D259" s="5"/>
      <c r="E259" s="5"/>
      <c r="F259" s="5"/>
      <c r="G259" s="5"/>
    </row>
    <row r="260" spans="2:7" ht="13">
      <c r="B260" s="36"/>
      <c r="C260" s="80"/>
      <c r="D260" s="5"/>
      <c r="E260" s="5"/>
      <c r="F260" s="5"/>
      <c r="G260" s="5"/>
    </row>
    <row r="261" spans="2:7" ht="13">
      <c r="B261" s="36"/>
      <c r="C261" s="80"/>
      <c r="D261" s="5"/>
      <c r="E261" s="5"/>
      <c r="F261" s="5"/>
      <c r="G261" s="5"/>
    </row>
    <row r="262" spans="2:7" ht="13">
      <c r="B262" s="36"/>
      <c r="C262" s="80"/>
      <c r="D262" s="5"/>
      <c r="E262" s="5"/>
      <c r="F262" s="5"/>
      <c r="G262" s="5"/>
    </row>
    <row r="263" spans="2:7" ht="13">
      <c r="B263" s="36"/>
      <c r="C263" s="80"/>
      <c r="D263" s="5"/>
      <c r="E263" s="5"/>
      <c r="F263" s="5"/>
      <c r="G263" s="5"/>
    </row>
    <row r="264" spans="2:7" ht="13">
      <c r="B264" s="36"/>
      <c r="C264" s="80"/>
      <c r="D264" s="5"/>
      <c r="E264" s="5"/>
      <c r="F264" s="5"/>
      <c r="G264" s="5"/>
    </row>
    <row r="265" spans="2:7" ht="13">
      <c r="B265" s="36"/>
      <c r="C265" s="80"/>
      <c r="D265" s="5"/>
      <c r="E265" s="5"/>
      <c r="F265" s="5"/>
      <c r="G265" s="5"/>
    </row>
    <row r="266" spans="2:7" ht="13">
      <c r="B266" s="36"/>
      <c r="C266" s="80"/>
      <c r="D266" s="5"/>
      <c r="E266" s="5"/>
      <c r="F266" s="5"/>
      <c r="G266" s="5"/>
    </row>
    <row r="267" spans="2:7" ht="13">
      <c r="B267" s="36"/>
      <c r="C267" s="80"/>
      <c r="D267" s="5"/>
      <c r="E267" s="5"/>
      <c r="F267" s="5"/>
      <c r="G267" s="5"/>
    </row>
    <row r="268" spans="2:7" ht="13">
      <c r="B268" s="36"/>
      <c r="C268" s="80"/>
      <c r="D268" s="5"/>
      <c r="E268" s="5"/>
      <c r="F268" s="5"/>
      <c r="G268" s="5"/>
    </row>
    <row r="269" spans="2:7" ht="13">
      <c r="B269" s="36"/>
      <c r="C269" s="80"/>
      <c r="D269" s="5"/>
      <c r="E269" s="5"/>
      <c r="F269" s="5"/>
      <c r="G269" s="5"/>
    </row>
    <row r="270" spans="2:7" ht="13">
      <c r="B270" s="36"/>
      <c r="C270" s="80"/>
      <c r="D270" s="5"/>
      <c r="E270" s="5"/>
      <c r="F270" s="5"/>
      <c r="G270" s="5"/>
    </row>
    <row r="271" spans="2:7" ht="13">
      <c r="B271" s="36"/>
      <c r="C271" s="80"/>
      <c r="D271" s="5"/>
      <c r="E271" s="5"/>
      <c r="F271" s="5"/>
      <c r="G271" s="5"/>
    </row>
    <row r="272" spans="2:7" ht="13">
      <c r="B272" s="36"/>
      <c r="C272" s="80"/>
      <c r="D272" s="5"/>
      <c r="E272" s="5"/>
      <c r="F272" s="5"/>
      <c r="G272" s="5"/>
    </row>
    <row r="273" spans="2:7" ht="13">
      <c r="B273" s="36"/>
      <c r="C273" s="80"/>
      <c r="D273" s="5"/>
      <c r="E273" s="5"/>
      <c r="F273" s="5"/>
      <c r="G273" s="5"/>
    </row>
    <row r="274" spans="2:7" ht="13">
      <c r="B274" s="36"/>
      <c r="C274" s="80"/>
      <c r="D274" s="5"/>
      <c r="E274" s="5"/>
      <c r="F274" s="5"/>
      <c r="G274" s="5"/>
    </row>
    <row r="275" spans="2:7" ht="13">
      <c r="B275" s="36"/>
      <c r="C275" s="80"/>
      <c r="D275" s="5"/>
      <c r="E275" s="5"/>
      <c r="F275" s="5"/>
      <c r="G275" s="5"/>
    </row>
    <row r="276" spans="2:7" ht="13">
      <c r="B276" s="36"/>
      <c r="C276" s="80"/>
      <c r="D276" s="5"/>
      <c r="E276" s="5"/>
      <c r="F276" s="5"/>
      <c r="G276" s="5"/>
    </row>
    <row r="277" spans="2:7" ht="13">
      <c r="B277" s="36"/>
      <c r="C277" s="80"/>
      <c r="D277" s="5"/>
      <c r="E277" s="5"/>
      <c r="F277" s="5"/>
      <c r="G277" s="5"/>
    </row>
    <row r="278" spans="2:7" ht="13">
      <c r="B278" s="36"/>
      <c r="C278" s="80"/>
      <c r="D278" s="5"/>
      <c r="E278" s="5"/>
      <c r="F278" s="5"/>
      <c r="G278" s="5"/>
    </row>
    <row r="279" spans="2:7" ht="13">
      <c r="B279" s="36"/>
      <c r="C279" s="80"/>
      <c r="D279" s="5"/>
      <c r="E279" s="5"/>
      <c r="F279" s="5"/>
      <c r="G279" s="5"/>
    </row>
    <row r="280" spans="2:7" ht="13">
      <c r="B280" s="36"/>
      <c r="C280" s="80"/>
      <c r="D280" s="5"/>
      <c r="E280" s="5"/>
      <c r="F280" s="5"/>
      <c r="G280" s="5"/>
    </row>
    <row r="281" spans="2:7" ht="13">
      <c r="B281" s="36"/>
      <c r="C281" s="80"/>
      <c r="D281" s="5"/>
      <c r="E281" s="5"/>
      <c r="F281" s="5"/>
      <c r="G281" s="5"/>
    </row>
    <row r="282" spans="2:7" ht="13">
      <c r="B282" s="36"/>
      <c r="C282" s="80"/>
      <c r="D282" s="5"/>
      <c r="E282" s="5"/>
      <c r="F282" s="5"/>
      <c r="G282" s="5"/>
    </row>
    <row r="283" spans="2:7" ht="13">
      <c r="B283" s="36"/>
      <c r="C283" s="80"/>
      <c r="D283" s="5"/>
      <c r="E283" s="5"/>
      <c r="F283" s="5"/>
      <c r="G283" s="5"/>
    </row>
    <row r="284" spans="2:7" ht="13">
      <c r="B284" s="36"/>
      <c r="C284" s="80"/>
      <c r="D284" s="5"/>
      <c r="E284" s="5"/>
      <c r="F284" s="5"/>
      <c r="G284" s="5"/>
    </row>
    <row r="285" spans="2:7" ht="13">
      <c r="B285" s="36"/>
      <c r="C285" s="80"/>
      <c r="D285" s="5"/>
      <c r="E285" s="5"/>
      <c r="F285" s="5"/>
      <c r="G285" s="5"/>
    </row>
    <row r="286" spans="2:7" ht="13">
      <c r="B286" s="36"/>
      <c r="C286" s="80"/>
      <c r="D286" s="5"/>
      <c r="E286" s="5"/>
      <c r="F286" s="5"/>
      <c r="G286" s="5"/>
    </row>
    <row r="287" spans="2:7" ht="13">
      <c r="B287" s="36"/>
      <c r="C287" s="80"/>
      <c r="D287" s="5"/>
      <c r="E287" s="5"/>
      <c r="F287" s="5"/>
      <c r="G287" s="5"/>
    </row>
    <row r="288" spans="2:7" ht="13">
      <c r="B288" s="36"/>
      <c r="C288" s="80"/>
      <c r="D288" s="5"/>
      <c r="E288" s="5"/>
      <c r="F288" s="5"/>
      <c r="G288" s="5"/>
    </row>
    <row r="289" spans="2:7" ht="13">
      <c r="B289" s="36"/>
      <c r="C289" s="80"/>
      <c r="D289" s="5"/>
      <c r="E289" s="5"/>
      <c r="F289" s="5"/>
      <c r="G289" s="5"/>
    </row>
    <row r="290" spans="2:7" ht="13">
      <c r="B290" s="36"/>
      <c r="C290" s="80"/>
      <c r="D290" s="5"/>
      <c r="E290" s="5"/>
      <c r="F290" s="5"/>
      <c r="G290" s="5"/>
    </row>
    <row r="291" spans="2:7" ht="13">
      <c r="B291" s="36"/>
      <c r="C291" s="80"/>
      <c r="D291" s="5"/>
      <c r="E291" s="5"/>
      <c r="F291" s="5"/>
      <c r="G291" s="5"/>
    </row>
    <row r="292" spans="2:7" ht="13">
      <c r="B292" s="36"/>
      <c r="C292" s="80"/>
      <c r="D292" s="5"/>
      <c r="E292" s="5"/>
      <c r="F292" s="5"/>
      <c r="G292" s="5"/>
    </row>
    <row r="293" spans="2:7" ht="13">
      <c r="B293" s="36"/>
      <c r="C293" s="80"/>
      <c r="D293" s="5"/>
      <c r="E293" s="5"/>
      <c r="F293" s="5"/>
      <c r="G293" s="5"/>
    </row>
    <row r="294" spans="2:7" ht="13">
      <c r="B294" s="36"/>
      <c r="C294" s="80"/>
      <c r="D294" s="5"/>
      <c r="E294" s="5"/>
      <c r="F294" s="5"/>
      <c r="G294" s="5"/>
    </row>
    <row r="295" spans="2:7" ht="13">
      <c r="B295" s="36"/>
      <c r="C295" s="80"/>
      <c r="D295" s="5"/>
      <c r="E295" s="5"/>
      <c r="F295" s="5"/>
      <c r="G295" s="5"/>
    </row>
    <row r="296" spans="2:7" ht="13">
      <c r="B296" s="36"/>
      <c r="C296" s="80"/>
      <c r="D296" s="5"/>
      <c r="E296" s="5"/>
      <c r="F296" s="5"/>
      <c r="G296" s="5"/>
    </row>
    <row r="297" spans="2:7" ht="13">
      <c r="B297" s="36"/>
      <c r="C297" s="80"/>
      <c r="D297" s="5"/>
      <c r="E297" s="5"/>
      <c r="F297" s="5"/>
      <c r="G297" s="5"/>
    </row>
    <row r="298" spans="2:7" ht="13">
      <c r="B298" s="36"/>
      <c r="C298" s="80"/>
      <c r="D298" s="5"/>
      <c r="E298" s="5"/>
      <c r="F298" s="5"/>
      <c r="G298" s="5"/>
    </row>
    <row r="299" spans="2:7" ht="13">
      <c r="B299" s="36"/>
      <c r="C299" s="80"/>
      <c r="D299" s="5"/>
      <c r="E299" s="5"/>
      <c r="F299" s="5"/>
      <c r="G299" s="5"/>
    </row>
    <row r="300" spans="2:7" ht="13">
      <c r="B300" s="36"/>
      <c r="C300" s="80"/>
      <c r="D300" s="5"/>
      <c r="E300" s="5"/>
      <c r="F300" s="5"/>
      <c r="G300" s="5"/>
    </row>
    <row r="301" spans="2:7" ht="13">
      <c r="B301" s="36"/>
      <c r="C301" s="80"/>
      <c r="D301" s="5"/>
      <c r="E301" s="5"/>
      <c r="F301" s="5"/>
      <c r="G301" s="5"/>
    </row>
    <row r="302" spans="2:7" ht="13">
      <c r="B302" s="36"/>
      <c r="C302" s="80"/>
      <c r="D302" s="5"/>
      <c r="E302" s="5"/>
      <c r="F302" s="5"/>
      <c r="G302" s="5"/>
    </row>
    <row r="303" spans="2:7" ht="13">
      <c r="B303" s="36"/>
      <c r="C303" s="80"/>
      <c r="D303" s="5"/>
      <c r="E303" s="5"/>
      <c r="F303" s="5"/>
      <c r="G303" s="5"/>
    </row>
    <row r="304" spans="2:7" ht="13">
      <c r="B304" s="36"/>
      <c r="C304" s="80"/>
      <c r="D304" s="5"/>
      <c r="E304" s="5"/>
      <c r="F304" s="5"/>
      <c r="G304" s="5"/>
    </row>
    <row r="305" spans="2:7" ht="13">
      <c r="B305" s="36"/>
      <c r="C305" s="80"/>
      <c r="D305" s="5"/>
      <c r="E305" s="5"/>
      <c r="F305" s="5"/>
      <c r="G305" s="5"/>
    </row>
    <row r="306" spans="2:7" ht="13">
      <c r="B306" s="36"/>
      <c r="C306" s="80"/>
      <c r="D306" s="5"/>
      <c r="E306" s="5"/>
      <c r="F306" s="5"/>
      <c r="G306" s="5"/>
    </row>
    <row r="307" spans="2:7" ht="13">
      <c r="B307" s="36"/>
      <c r="C307" s="80"/>
      <c r="D307" s="5"/>
      <c r="E307" s="5"/>
      <c r="F307" s="5"/>
      <c r="G307" s="5"/>
    </row>
    <row r="308" spans="2:7" ht="13">
      <c r="B308" s="36"/>
      <c r="C308" s="80"/>
      <c r="D308" s="5"/>
      <c r="E308" s="5"/>
      <c r="F308" s="5"/>
      <c r="G308" s="5"/>
    </row>
    <row r="309" spans="2:7" ht="13">
      <c r="B309" s="36"/>
      <c r="C309" s="80"/>
      <c r="D309" s="5"/>
      <c r="E309" s="5"/>
      <c r="F309" s="5"/>
      <c r="G309" s="5"/>
    </row>
    <row r="310" spans="2:7" ht="13">
      <c r="B310" s="36"/>
      <c r="C310" s="80"/>
      <c r="D310" s="5"/>
      <c r="E310" s="5"/>
      <c r="F310" s="5"/>
      <c r="G310" s="5"/>
    </row>
    <row r="311" spans="2:7" ht="13">
      <c r="B311" s="36"/>
      <c r="C311" s="80"/>
      <c r="D311" s="5"/>
      <c r="E311" s="5"/>
      <c r="F311" s="5"/>
      <c r="G311" s="5"/>
    </row>
    <row r="312" spans="2:7" ht="13">
      <c r="B312" s="36"/>
      <c r="C312" s="80"/>
      <c r="D312" s="5"/>
      <c r="E312" s="5"/>
      <c r="F312" s="5"/>
      <c r="G312" s="5"/>
    </row>
    <row r="313" spans="2:7" ht="13">
      <c r="B313" s="36"/>
      <c r="C313" s="80"/>
      <c r="D313" s="5"/>
      <c r="E313" s="5"/>
      <c r="F313" s="5"/>
      <c r="G313" s="5"/>
    </row>
    <row r="314" spans="2:7" ht="13">
      <c r="B314" s="36"/>
      <c r="C314" s="80"/>
      <c r="D314" s="5"/>
      <c r="E314" s="5"/>
      <c r="F314" s="5"/>
      <c r="G314" s="5"/>
    </row>
    <row r="315" spans="2:7" ht="13">
      <c r="B315" s="36"/>
      <c r="C315" s="80"/>
      <c r="D315" s="5"/>
      <c r="E315" s="5"/>
      <c r="F315" s="5"/>
      <c r="G315" s="5"/>
    </row>
    <row r="316" spans="2:7" ht="13">
      <c r="B316" s="36"/>
      <c r="C316" s="80"/>
      <c r="D316" s="5"/>
      <c r="E316" s="5"/>
      <c r="F316" s="5"/>
      <c r="G316" s="5"/>
    </row>
    <row r="317" spans="2:7" ht="13">
      <c r="B317" s="36"/>
      <c r="C317" s="80"/>
      <c r="D317" s="5"/>
      <c r="E317" s="5"/>
      <c r="F317" s="5"/>
      <c r="G317" s="5"/>
    </row>
    <row r="318" spans="2:7" ht="13">
      <c r="B318" s="36"/>
      <c r="C318" s="80"/>
      <c r="D318" s="5"/>
      <c r="E318" s="5"/>
      <c r="F318" s="5"/>
      <c r="G318" s="5"/>
    </row>
    <row r="319" spans="2:7" ht="13">
      <c r="B319" s="36"/>
      <c r="C319" s="80"/>
      <c r="D319" s="5"/>
      <c r="E319" s="5"/>
      <c r="F319" s="5"/>
      <c r="G319" s="5"/>
    </row>
    <row r="320" spans="2:7" ht="13">
      <c r="B320" s="36"/>
      <c r="C320" s="80"/>
      <c r="D320" s="5"/>
      <c r="E320" s="5"/>
      <c r="F320" s="5"/>
      <c r="G320" s="5"/>
    </row>
    <row r="321" spans="2:7" ht="13">
      <c r="B321" s="36"/>
      <c r="C321" s="80"/>
      <c r="D321" s="5"/>
      <c r="E321" s="5"/>
      <c r="F321" s="5"/>
      <c r="G321" s="5"/>
    </row>
    <row r="322" spans="2:7" ht="13">
      <c r="B322" s="36"/>
      <c r="C322" s="80"/>
      <c r="D322" s="5"/>
      <c r="E322" s="5"/>
      <c r="F322" s="5"/>
      <c r="G322" s="5"/>
    </row>
    <row r="323" spans="2:7" ht="13">
      <c r="B323" s="36"/>
      <c r="C323" s="80"/>
      <c r="D323" s="5"/>
      <c r="E323" s="5"/>
      <c r="F323" s="5"/>
      <c r="G323" s="5"/>
    </row>
    <row r="324" spans="2:7" ht="13">
      <c r="B324" s="36"/>
      <c r="C324" s="80"/>
      <c r="D324" s="5"/>
      <c r="E324" s="5"/>
      <c r="F324" s="5"/>
      <c r="G324" s="5"/>
    </row>
    <row r="325" spans="2:7" ht="13">
      <c r="B325" s="36"/>
      <c r="C325" s="80"/>
      <c r="D325" s="5"/>
      <c r="E325" s="5"/>
      <c r="F325" s="5"/>
      <c r="G325" s="5"/>
    </row>
    <row r="326" spans="2:7" ht="13">
      <c r="B326" s="36"/>
      <c r="C326" s="80"/>
      <c r="D326" s="5"/>
      <c r="E326" s="5"/>
      <c r="F326" s="5"/>
      <c r="G326" s="5"/>
    </row>
    <row r="327" spans="2:7" ht="13">
      <c r="B327" s="36"/>
      <c r="C327" s="80"/>
      <c r="D327" s="5"/>
      <c r="E327" s="5"/>
      <c r="F327" s="5"/>
      <c r="G327" s="5"/>
    </row>
    <row r="328" spans="2:7" ht="13">
      <c r="B328" s="36"/>
      <c r="C328" s="80"/>
      <c r="D328" s="5"/>
      <c r="E328" s="5"/>
      <c r="F328" s="5"/>
      <c r="G328" s="5"/>
    </row>
    <row r="329" spans="2:7" ht="13">
      <c r="B329" s="36"/>
      <c r="C329" s="80"/>
      <c r="D329" s="5"/>
      <c r="E329" s="5"/>
      <c r="F329" s="5"/>
      <c r="G329" s="5"/>
    </row>
    <row r="330" spans="2:7" ht="13">
      <c r="B330" s="36"/>
      <c r="C330" s="80"/>
      <c r="D330" s="5"/>
      <c r="E330" s="5"/>
      <c r="F330" s="5"/>
      <c r="G330" s="5"/>
    </row>
    <row r="331" spans="2:7" ht="13">
      <c r="B331" s="36"/>
      <c r="C331" s="80"/>
      <c r="D331" s="5"/>
      <c r="E331" s="5"/>
      <c r="F331" s="5"/>
      <c r="G331" s="5"/>
    </row>
    <row r="332" spans="2:7" ht="13">
      <c r="B332" s="36"/>
      <c r="C332" s="80"/>
      <c r="D332" s="5"/>
      <c r="E332" s="5"/>
      <c r="F332" s="5"/>
      <c r="G332" s="5"/>
    </row>
    <row r="333" spans="2:7" ht="13">
      <c r="B333" s="36"/>
      <c r="C333" s="80"/>
      <c r="D333" s="5"/>
      <c r="E333" s="5"/>
      <c r="F333" s="5"/>
      <c r="G333" s="5"/>
    </row>
    <row r="334" spans="2:7" ht="13">
      <c r="B334" s="36"/>
      <c r="C334" s="80"/>
      <c r="D334" s="5"/>
      <c r="E334" s="5"/>
      <c r="F334" s="5"/>
      <c r="G334" s="5"/>
    </row>
    <row r="335" spans="2:7" ht="13">
      <c r="B335" s="36"/>
      <c r="C335" s="80"/>
      <c r="D335" s="5"/>
      <c r="E335" s="5"/>
      <c r="F335" s="5"/>
      <c r="G335" s="5"/>
    </row>
    <row r="336" spans="2:7" ht="13">
      <c r="B336" s="36"/>
      <c r="C336" s="80"/>
      <c r="D336" s="5"/>
      <c r="E336" s="5"/>
      <c r="F336" s="5"/>
      <c r="G336" s="5"/>
    </row>
    <row r="337" spans="2:7" ht="13">
      <c r="B337" s="36"/>
      <c r="C337" s="80"/>
      <c r="D337" s="5"/>
      <c r="E337" s="5"/>
      <c r="F337" s="5"/>
      <c r="G337" s="5"/>
    </row>
    <row r="338" spans="2:7" ht="13">
      <c r="B338" s="36"/>
      <c r="C338" s="80"/>
      <c r="D338" s="5"/>
      <c r="E338" s="5"/>
      <c r="F338" s="5"/>
      <c r="G338" s="5"/>
    </row>
    <row r="339" spans="2:7" ht="13">
      <c r="B339" s="36"/>
      <c r="C339" s="80"/>
      <c r="D339" s="5"/>
      <c r="E339" s="5"/>
      <c r="F339" s="5"/>
      <c r="G339" s="5"/>
    </row>
    <row r="340" spans="2:7" ht="13">
      <c r="B340" s="36"/>
      <c r="C340" s="80"/>
      <c r="D340" s="5"/>
      <c r="E340" s="5"/>
      <c r="F340" s="5"/>
      <c r="G340" s="5"/>
    </row>
    <row r="341" spans="2:7" ht="13">
      <c r="B341" s="36"/>
      <c r="C341" s="80"/>
      <c r="D341" s="5"/>
      <c r="E341" s="5"/>
      <c r="F341" s="5"/>
      <c r="G341" s="5"/>
    </row>
    <row r="342" spans="2:7" ht="13">
      <c r="B342" s="36"/>
      <c r="C342" s="80"/>
      <c r="D342" s="5"/>
      <c r="E342" s="5"/>
      <c r="F342" s="5"/>
      <c r="G342" s="5"/>
    </row>
    <row r="343" spans="2:7" ht="13">
      <c r="B343" s="36"/>
      <c r="C343" s="80"/>
      <c r="D343" s="5"/>
      <c r="E343" s="5"/>
      <c r="F343" s="5"/>
      <c r="G343" s="5"/>
    </row>
    <row r="344" spans="2:7" ht="13">
      <c r="B344" s="36"/>
      <c r="C344" s="80"/>
      <c r="D344" s="5"/>
      <c r="E344" s="5"/>
      <c r="F344" s="5"/>
      <c r="G344" s="5"/>
    </row>
    <row r="345" spans="2:7" ht="13">
      <c r="B345" s="36"/>
      <c r="C345" s="80"/>
      <c r="D345" s="5"/>
      <c r="E345" s="5"/>
      <c r="F345" s="5"/>
      <c r="G345" s="5"/>
    </row>
    <row r="346" spans="2:7" ht="13">
      <c r="B346" s="36"/>
      <c r="C346" s="80"/>
      <c r="D346" s="5"/>
      <c r="E346" s="5"/>
      <c r="F346" s="5"/>
      <c r="G346" s="5"/>
    </row>
    <row r="347" spans="2:7" ht="13">
      <c r="B347" s="36"/>
      <c r="C347" s="80"/>
      <c r="D347" s="5"/>
      <c r="E347" s="5"/>
      <c r="F347" s="5"/>
      <c r="G347" s="5"/>
    </row>
    <row r="348" spans="2:7" ht="13">
      <c r="B348" s="36"/>
      <c r="C348" s="80"/>
      <c r="D348" s="5"/>
      <c r="E348" s="5"/>
      <c r="F348" s="5"/>
      <c r="G348" s="5"/>
    </row>
    <row r="349" spans="2:7" ht="13">
      <c r="B349" s="36"/>
      <c r="C349" s="80"/>
      <c r="D349" s="5"/>
      <c r="E349" s="5"/>
      <c r="F349" s="5"/>
      <c r="G349" s="5"/>
    </row>
    <row r="350" spans="2:7" ht="13">
      <c r="B350" s="36"/>
      <c r="C350" s="80"/>
      <c r="D350" s="5"/>
      <c r="E350" s="5"/>
      <c r="F350" s="5"/>
      <c r="G350" s="5"/>
    </row>
    <row r="351" spans="2:7" ht="13">
      <c r="B351" s="36"/>
      <c r="C351" s="80"/>
      <c r="D351" s="5"/>
      <c r="E351" s="5"/>
      <c r="F351" s="5"/>
      <c r="G351" s="5"/>
    </row>
    <row r="352" spans="2:7" ht="13">
      <c r="B352" s="36"/>
      <c r="C352" s="80"/>
      <c r="D352" s="5"/>
      <c r="E352" s="5"/>
      <c r="F352" s="5"/>
      <c r="G352" s="5"/>
    </row>
    <row r="353" spans="2:7" ht="13">
      <c r="B353" s="36"/>
      <c r="C353" s="80"/>
      <c r="D353" s="5"/>
      <c r="E353" s="5"/>
      <c r="F353" s="5"/>
      <c r="G353" s="5"/>
    </row>
    <row r="354" spans="2:7" ht="13">
      <c r="B354" s="36"/>
      <c r="C354" s="80"/>
      <c r="D354" s="5"/>
      <c r="E354" s="5"/>
      <c r="F354" s="5"/>
      <c r="G354" s="5"/>
    </row>
    <row r="355" spans="2:7" ht="13">
      <c r="B355" s="36"/>
      <c r="C355" s="80"/>
      <c r="D355" s="5"/>
      <c r="E355" s="5"/>
      <c r="F355" s="5"/>
      <c r="G355" s="5"/>
    </row>
    <row r="356" spans="2:7" ht="13">
      <c r="B356" s="36"/>
      <c r="C356" s="80"/>
      <c r="D356" s="5"/>
      <c r="E356" s="5"/>
      <c r="F356" s="5"/>
      <c r="G356" s="5"/>
    </row>
    <row r="357" spans="2:7" ht="13">
      <c r="B357" s="36"/>
      <c r="C357" s="80"/>
      <c r="D357" s="5"/>
      <c r="E357" s="5"/>
      <c r="F357" s="5"/>
      <c r="G357" s="5"/>
    </row>
    <row r="358" spans="2:7" ht="13">
      <c r="B358" s="36"/>
      <c r="C358" s="80"/>
      <c r="D358" s="5"/>
      <c r="E358" s="5"/>
      <c r="F358" s="5"/>
      <c r="G358" s="5"/>
    </row>
    <row r="359" spans="2:7" ht="13">
      <c r="B359" s="36"/>
      <c r="C359" s="80"/>
      <c r="D359" s="5"/>
      <c r="E359" s="5"/>
      <c r="F359" s="5"/>
      <c r="G359" s="5"/>
    </row>
    <row r="360" spans="2:7" ht="13">
      <c r="B360" s="36"/>
      <c r="C360" s="80"/>
      <c r="D360" s="5"/>
      <c r="E360" s="5"/>
      <c r="F360" s="5"/>
      <c r="G360" s="5"/>
    </row>
    <row r="361" spans="2:7" ht="13">
      <c r="B361" s="36"/>
      <c r="C361" s="80"/>
      <c r="D361" s="5"/>
      <c r="E361" s="5"/>
      <c r="F361" s="5"/>
      <c r="G361" s="5"/>
    </row>
    <row r="362" spans="2:7" ht="13">
      <c r="B362" s="36"/>
      <c r="C362" s="80"/>
      <c r="D362" s="5"/>
      <c r="E362" s="5"/>
      <c r="F362" s="5"/>
      <c r="G362" s="5"/>
    </row>
    <row r="363" spans="2:7" ht="13">
      <c r="B363" s="36"/>
      <c r="C363" s="80"/>
      <c r="D363" s="5"/>
      <c r="E363" s="5"/>
      <c r="F363" s="5"/>
      <c r="G363" s="5"/>
    </row>
    <row r="364" spans="2:7" ht="13">
      <c r="B364" s="36"/>
      <c r="C364" s="80"/>
      <c r="D364" s="5"/>
      <c r="E364" s="5"/>
      <c r="F364" s="5"/>
      <c r="G364" s="5"/>
    </row>
    <row r="365" spans="2:7" ht="13">
      <c r="B365" s="36"/>
      <c r="C365" s="80"/>
      <c r="D365" s="5"/>
      <c r="E365" s="5"/>
      <c r="F365" s="5"/>
      <c r="G365" s="5"/>
    </row>
    <row r="366" spans="2:7" ht="13">
      <c r="B366" s="36"/>
      <c r="C366" s="80"/>
      <c r="D366" s="5"/>
      <c r="E366" s="5"/>
      <c r="F366" s="5"/>
      <c r="G366" s="5"/>
    </row>
    <row r="367" spans="2:7" ht="13">
      <c r="B367" s="36"/>
      <c r="C367" s="80"/>
      <c r="D367" s="5"/>
      <c r="E367" s="5"/>
      <c r="F367" s="5"/>
      <c r="G367" s="5"/>
    </row>
    <row r="368" spans="2:7" ht="13">
      <c r="B368" s="36"/>
      <c r="C368" s="80"/>
      <c r="D368" s="5"/>
      <c r="E368" s="5"/>
      <c r="F368" s="5"/>
      <c r="G368" s="5"/>
    </row>
    <row r="369" spans="2:7" ht="13">
      <c r="B369" s="36"/>
      <c r="C369" s="80"/>
      <c r="D369" s="5"/>
      <c r="E369" s="5"/>
      <c r="F369" s="5"/>
      <c r="G369" s="5"/>
    </row>
    <row r="370" spans="2:7" ht="13">
      <c r="B370" s="36"/>
      <c r="C370" s="80"/>
      <c r="D370" s="5"/>
      <c r="E370" s="5"/>
      <c r="F370" s="5"/>
      <c r="G370" s="5"/>
    </row>
    <row r="371" spans="2:7" ht="13">
      <c r="B371" s="36"/>
      <c r="C371" s="80"/>
      <c r="D371" s="5"/>
      <c r="E371" s="5"/>
      <c r="F371" s="5"/>
      <c r="G371" s="5"/>
    </row>
    <row r="372" spans="2:7" ht="13">
      <c r="B372" s="36"/>
      <c r="C372" s="80"/>
      <c r="D372" s="5"/>
      <c r="E372" s="5"/>
      <c r="F372" s="5"/>
      <c r="G372" s="5"/>
    </row>
    <row r="373" spans="2:7" ht="13">
      <c r="B373" s="36"/>
      <c r="C373" s="80"/>
      <c r="D373" s="5"/>
      <c r="E373" s="5"/>
      <c r="F373" s="5"/>
      <c r="G373" s="5"/>
    </row>
    <row r="374" spans="2:7" ht="13">
      <c r="B374" s="36"/>
      <c r="C374" s="80"/>
      <c r="D374" s="5"/>
      <c r="E374" s="5"/>
      <c r="F374" s="5"/>
      <c r="G374" s="5"/>
    </row>
    <row r="375" spans="2:7" ht="13">
      <c r="B375" s="36"/>
      <c r="C375" s="80"/>
      <c r="D375" s="5"/>
      <c r="E375" s="5"/>
      <c r="F375" s="5"/>
      <c r="G375" s="5"/>
    </row>
    <row r="376" spans="2:7" ht="13">
      <c r="B376" s="36"/>
      <c r="C376" s="80"/>
      <c r="D376" s="5"/>
      <c r="E376" s="5"/>
      <c r="F376" s="5"/>
      <c r="G376" s="5"/>
    </row>
    <row r="377" spans="2:7" ht="13">
      <c r="B377" s="36"/>
      <c r="C377" s="80"/>
      <c r="D377" s="5"/>
      <c r="E377" s="5"/>
      <c r="F377" s="5"/>
      <c r="G377" s="5"/>
    </row>
    <row r="378" spans="2:7" ht="13">
      <c r="B378" s="36"/>
      <c r="C378" s="80"/>
      <c r="D378" s="5"/>
      <c r="E378" s="5"/>
      <c r="F378" s="5"/>
      <c r="G378" s="5"/>
    </row>
    <row r="379" spans="2:7" ht="13">
      <c r="B379" s="36"/>
      <c r="C379" s="80"/>
      <c r="D379" s="5"/>
      <c r="E379" s="5"/>
      <c r="F379" s="5"/>
      <c r="G379" s="5"/>
    </row>
    <row r="380" spans="2:7" ht="13">
      <c r="B380" s="36"/>
      <c r="C380" s="80"/>
      <c r="D380" s="5"/>
      <c r="E380" s="5"/>
      <c r="F380" s="5"/>
      <c r="G380" s="5"/>
    </row>
    <row r="381" spans="2:7" ht="13">
      <c r="B381" s="36"/>
      <c r="C381" s="80"/>
      <c r="D381" s="5"/>
      <c r="E381" s="5"/>
      <c r="F381" s="5"/>
      <c r="G381" s="5"/>
    </row>
    <row r="382" spans="2:7" ht="13">
      <c r="B382" s="36"/>
      <c r="C382" s="80"/>
      <c r="D382" s="5"/>
      <c r="E382" s="5"/>
      <c r="F382" s="5"/>
      <c r="G382" s="5"/>
    </row>
    <row r="383" spans="2:7" ht="13">
      <c r="B383" s="36"/>
      <c r="C383" s="80"/>
      <c r="D383" s="5"/>
      <c r="E383" s="5"/>
      <c r="F383" s="5"/>
      <c r="G383" s="5"/>
    </row>
    <row r="384" spans="2:7" ht="13">
      <c r="B384" s="36"/>
      <c r="C384" s="80"/>
      <c r="D384" s="5"/>
      <c r="E384" s="5"/>
      <c r="F384" s="5"/>
      <c r="G384" s="5"/>
    </row>
    <row r="385" spans="2:7" ht="13">
      <c r="B385" s="36"/>
      <c r="C385" s="80"/>
      <c r="D385" s="5"/>
      <c r="E385" s="5"/>
      <c r="F385" s="5"/>
      <c r="G385" s="5"/>
    </row>
    <row r="386" spans="2:7" ht="13">
      <c r="B386" s="36"/>
      <c r="C386" s="80"/>
      <c r="D386" s="5"/>
      <c r="E386" s="5"/>
      <c r="F386" s="5"/>
      <c r="G386" s="5"/>
    </row>
    <row r="387" spans="2:7" ht="13">
      <c r="B387" s="36"/>
      <c r="C387" s="80"/>
      <c r="D387" s="5"/>
      <c r="E387" s="5"/>
      <c r="F387" s="5"/>
      <c r="G387" s="5"/>
    </row>
    <row r="388" spans="2:7" ht="13">
      <c r="B388" s="36"/>
      <c r="C388" s="80"/>
      <c r="D388" s="5"/>
      <c r="E388" s="5"/>
      <c r="F388" s="5"/>
      <c r="G388" s="5"/>
    </row>
    <row r="389" spans="2:7" ht="13">
      <c r="B389" s="36"/>
      <c r="C389" s="80"/>
      <c r="D389" s="5"/>
      <c r="E389" s="5"/>
      <c r="F389" s="5"/>
      <c r="G389" s="5"/>
    </row>
    <row r="390" spans="2:7" ht="13">
      <c r="B390" s="36"/>
      <c r="C390" s="80"/>
      <c r="D390" s="5"/>
      <c r="E390" s="5"/>
      <c r="F390" s="5"/>
      <c r="G390" s="5"/>
    </row>
    <row r="391" spans="2:7" ht="13">
      <c r="B391" s="36"/>
      <c r="C391" s="80"/>
      <c r="D391" s="5"/>
      <c r="E391" s="5"/>
      <c r="F391" s="5"/>
      <c r="G391" s="5"/>
    </row>
    <row r="392" spans="2:7" ht="13">
      <c r="B392" s="36"/>
      <c r="C392" s="80"/>
      <c r="D392" s="5"/>
      <c r="E392" s="5"/>
      <c r="F392" s="5"/>
      <c r="G392" s="5"/>
    </row>
    <row r="393" spans="2:7" ht="13">
      <c r="B393" s="36"/>
      <c r="C393" s="80"/>
      <c r="D393" s="5"/>
      <c r="E393" s="5"/>
      <c r="F393" s="5"/>
      <c r="G393" s="5"/>
    </row>
    <row r="394" spans="2:7" ht="13">
      <c r="B394" s="36"/>
      <c r="C394" s="80"/>
      <c r="D394" s="5"/>
      <c r="E394" s="5"/>
      <c r="F394" s="5"/>
      <c r="G394" s="5"/>
    </row>
    <row r="395" spans="2:7" ht="13">
      <c r="B395" s="36"/>
      <c r="C395" s="80"/>
      <c r="D395" s="5"/>
      <c r="E395" s="5"/>
      <c r="F395" s="5"/>
      <c r="G395" s="5"/>
    </row>
    <row r="396" spans="2:7" ht="13">
      <c r="B396" s="36"/>
      <c r="C396" s="80"/>
      <c r="D396" s="5"/>
      <c r="E396" s="5"/>
      <c r="F396" s="5"/>
      <c r="G396" s="5"/>
    </row>
    <row r="397" spans="2:7" ht="13">
      <c r="B397" s="36"/>
      <c r="C397" s="80"/>
      <c r="D397" s="5"/>
      <c r="E397" s="5"/>
      <c r="F397" s="5"/>
      <c r="G397" s="5"/>
    </row>
    <row r="398" spans="2:7" ht="13">
      <c r="B398" s="36"/>
      <c r="C398" s="80"/>
      <c r="D398" s="5"/>
      <c r="E398" s="5"/>
      <c r="F398" s="5"/>
      <c r="G398" s="5"/>
    </row>
    <row r="399" spans="2:7" ht="13">
      <c r="B399" s="36"/>
      <c r="C399" s="80"/>
      <c r="D399" s="5"/>
      <c r="E399" s="5"/>
      <c r="F399" s="5"/>
      <c r="G399" s="5"/>
    </row>
    <row r="400" spans="2:7" ht="13">
      <c r="B400" s="36"/>
      <c r="C400" s="80"/>
      <c r="D400" s="5"/>
      <c r="E400" s="5"/>
      <c r="F400" s="5"/>
      <c r="G400" s="5"/>
    </row>
    <row r="401" spans="2:7" ht="13">
      <c r="B401" s="36"/>
      <c r="C401" s="80"/>
      <c r="D401" s="5"/>
      <c r="E401" s="5"/>
      <c r="F401" s="5"/>
      <c r="G401" s="5"/>
    </row>
    <row r="402" spans="2:7" ht="13">
      <c r="B402" s="36"/>
      <c r="C402" s="80"/>
      <c r="D402" s="5"/>
      <c r="E402" s="5"/>
      <c r="F402" s="5"/>
      <c r="G402" s="5"/>
    </row>
    <row r="403" spans="2:7" ht="13">
      <c r="B403" s="36"/>
      <c r="C403" s="80"/>
      <c r="D403" s="5"/>
      <c r="E403" s="5"/>
      <c r="F403" s="5"/>
      <c r="G403" s="5"/>
    </row>
    <row r="404" spans="2:7" ht="13">
      <c r="B404" s="36"/>
      <c r="C404" s="80"/>
      <c r="D404" s="5"/>
      <c r="E404" s="5"/>
      <c r="F404" s="5"/>
      <c r="G404" s="5"/>
    </row>
    <row r="405" spans="2:7" ht="13">
      <c r="B405" s="36"/>
      <c r="C405" s="80"/>
      <c r="D405" s="5"/>
      <c r="E405" s="5"/>
      <c r="F405" s="5"/>
      <c r="G405" s="5"/>
    </row>
    <row r="406" spans="2:7" ht="13">
      <c r="B406" s="36"/>
      <c r="C406" s="80"/>
      <c r="D406" s="5"/>
      <c r="E406" s="5"/>
      <c r="F406" s="5"/>
      <c r="G406" s="5"/>
    </row>
    <row r="407" spans="2:7" ht="13">
      <c r="B407" s="36"/>
      <c r="C407" s="80"/>
      <c r="D407" s="5"/>
      <c r="E407" s="5"/>
      <c r="F407" s="5"/>
      <c r="G407" s="5"/>
    </row>
    <row r="408" spans="2:7" ht="13">
      <c r="B408" s="36"/>
      <c r="C408" s="80"/>
      <c r="D408" s="5"/>
      <c r="E408" s="5"/>
      <c r="F408" s="5"/>
      <c r="G408" s="5"/>
    </row>
    <row r="409" spans="2:7" ht="13">
      <c r="B409" s="36"/>
      <c r="C409" s="80"/>
      <c r="D409" s="5"/>
      <c r="E409" s="5"/>
      <c r="F409" s="5"/>
      <c r="G409" s="5"/>
    </row>
    <row r="410" spans="2:7" ht="13">
      <c r="B410" s="36"/>
      <c r="C410" s="80"/>
      <c r="D410" s="5"/>
      <c r="E410" s="5"/>
      <c r="F410" s="5"/>
      <c r="G410" s="5"/>
    </row>
    <row r="411" spans="2:7" ht="13">
      <c r="B411" s="36"/>
      <c r="C411" s="80"/>
      <c r="D411" s="5"/>
      <c r="E411" s="5"/>
      <c r="F411" s="5"/>
      <c r="G411" s="5"/>
    </row>
    <row r="412" spans="2:7" ht="13">
      <c r="B412" s="36"/>
      <c r="C412" s="80"/>
      <c r="D412" s="5"/>
      <c r="E412" s="5"/>
      <c r="F412" s="5"/>
      <c r="G412" s="5"/>
    </row>
    <row r="413" spans="2:7" ht="13">
      <c r="B413" s="36"/>
      <c r="C413" s="80"/>
      <c r="D413" s="5"/>
      <c r="E413" s="5"/>
      <c r="F413" s="5"/>
      <c r="G413" s="5"/>
    </row>
    <row r="414" spans="2:7" ht="13">
      <c r="B414" s="36"/>
      <c r="C414" s="80"/>
      <c r="D414" s="5"/>
      <c r="E414" s="5"/>
      <c r="F414" s="5"/>
      <c r="G414" s="5"/>
    </row>
    <row r="415" spans="2:7" ht="13">
      <c r="B415" s="36"/>
      <c r="C415" s="80"/>
      <c r="D415" s="5"/>
      <c r="E415" s="5"/>
      <c r="F415" s="5"/>
      <c r="G415" s="5"/>
    </row>
    <row r="416" spans="2:7" ht="13">
      <c r="B416" s="36"/>
      <c r="C416" s="80"/>
      <c r="D416" s="5"/>
      <c r="E416" s="5"/>
      <c r="F416" s="5"/>
      <c r="G416" s="5"/>
    </row>
    <row r="417" spans="2:7" ht="13">
      <c r="B417" s="36"/>
      <c r="C417" s="80"/>
      <c r="D417" s="5"/>
      <c r="E417" s="5"/>
      <c r="F417" s="5"/>
      <c r="G417" s="5"/>
    </row>
    <row r="418" spans="2:7" ht="13">
      <c r="B418" s="36"/>
      <c r="C418" s="80"/>
      <c r="D418" s="5"/>
      <c r="E418" s="5"/>
      <c r="F418" s="5"/>
      <c r="G418" s="5"/>
    </row>
    <row r="419" spans="2:7" ht="13">
      <c r="B419" s="36"/>
      <c r="C419" s="80"/>
      <c r="D419" s="5"/>
      <c r="E419" s="5"/>
      <c r="F419" s="5"/>
      <c r="G419" s="5"/>
    </row>
    <row r="420" spans="2:7" ht="13">
      <c r="B420" s="36"/>
      <c r="C420" s="80"/>
      <c r="D420" s="5"/>
      <c r="E420" s="5"/>
      <c r="F420" s="5"/>
      <c r="G420" s="5"/>
    </row>
    <row r="421" spans="2:7" ht="13">
      <c r="B421" s="36"/>
      <c r="C421" s="80"/>
      <c r="D421" s="5"/>
      <c r="E421" s="5"/>
      <c r="F421" s="5"/>
      <c r="G421" s="5"/>
    </row>
    <row r="422" spans="2:7" ht="13">
      <c r="B422" s="36"/>
      <c r="C422" s="80"/>
      <c r="D422" s="5"/>
      <c r="E422" s="5"/>
      <c r="F422" s="5"/>
      <c r="G422" s="5"/>
    </row>
    <row r="423" spans="2:7" ht="13">
      <c r="B423" s="36"/>
      <c r="C423" s="80"/>
      <c r="D423" s="5"/>
      <c r="E423" s="5"/>
      <c r="F423" s="5"/>
      <c r="G423" s="5"/>
    </row>
    <row r="424" spans="2:7" ht="13">
      <c r="B424" s="36"/>
      <c r="C424" s="80"/>
      <c r="D424" s="5"/>
      <c r="E424" s="5"/>
      <c r="F424" s="5"/>
      <c r="G424" s="5"/>
    </row>
    <row r="425" spans="2:7" ht="13">
      <c r="B425" s="36"/>
      <c r="C425" s="80"/>
      <c r="D425" s="5"/>
      <c r="E425" s="5"/>
      <c r="F425" s="5"/>
      <c r="G425" s="5"/>
    </row>
    <row r="426" spans="2:7" ht="13">
      <c r="B426" s="36"/>
      <c r="C426" s="80"/>
      <c r="D426" s="5"/>
      <c r="E426" s="5"/>
      <c r="F426" s="5"/>
      <c r="G426" s="5"/>
    </row>
    <row r="427" spans="2:7" ht="13">
      <c r="B427" s="36"/>
      <c r="C427" s="80"/>
      <c r="D427" s="5"/>
      <c r="E427" s="5"/>
      <c r="F427" s="5"/>
      <c r="G427" s="5"/>
    </row>
    <row r="428" spans="2:7" ht="13">
      <c r="B428" s="36"/>
      <c r="C428" s="80"/>
      <c r="D428" s="5"/>
      <c r="E428" s="5"/>
      <c r="F428" s="5"/>
      <c r="G428" s="5"/>
    </row>
    <row r="429" spans="2:7" ht="13">
      <c r="B429" s="36"/>
      <c r="C429" s="80"/>
      <c r="D429" s="5"/>
      <c r="E429" s="5"/>
      <c r="F429" s="5"/>
      <c r="G429" s="5"/>
    </row>
    <row r="430" spans="2:7" ht="13">
      <c r="B430" s="36"/>
      <c r="C430" s="80"/>
      <c r="D430" s="5"/>
      <c r="E430" s="5"/>
      <c r="F430" s="5"/>
      <c r="G430" s="5"/>
    </row>
    <row r="431" spans="2:7" ht="13">
      <c r="B431" s="36"/>
      <c r="C431" s="80"/>
      <c r="D431" s="5"/>
      <c r="E431" s="5"/>
      <c r="F431" s="5"/>
      <c r="G431" s="5"/>
    </row>
    <row r="432" spans="2:7" ht="13">
      <c r="B432" s="36"/>
      <c r="C432" s="80"/>
      <c r="D432" s="5"/>
      <c r="E432" s="5"/>
      <c r="F432" s="5"/>
      <c r="G432" s="5"/>
    </row>
    <row r="433" spans="2:7" ht="13">
      <c r="B433" s="36"/>
      <c r="C433" s="80"/>
      <c r="D433" s="5"/>
      <c r="E433" s="5"/>
      <c r="F433" s="5"/>
      <c r="G433" s="5"/>
    </row>
    <row r="434" spans="2:7" ht="13">
      <c r="B434" s="36"/>
      <c r="C434" s="80"/>
      <c r="D434" s="5"/>
      <c r="E434" s="5"/>
      <c r="F434" s="5"/>
      <c r="G434" s="5"/>
    </row>
    <row r="435" spans="2:7" ht="13">
      <c r="B435" s="36"/>
      <c r="C435" s="80"/>
      <c r="D435" s="5"/>
      <c r="E435" s="5"/>
      <c r="F435" s="5"/>
      <c r="G435" s="5"/>
    </row>
    <row r="436" spans="2:7" ht="13">
      <c r="B436" s="36"/>
      <c r="C436" s="80"/>
      <c r="D436" s="5"/>
      <c r="E436" s="5"/>
      <c r="F436" s="5"/>
      <c r="G436" s="5"/>
    </row>
    <row r="437" spans="2:7" ht="13">
      <c r="B437" s="36"/>
      <c r="C437" s="80"/>
      <c r="D437" s="5"/>
      <c r="E437" s="5"/>
      <c r="F437" s="5"/>
      <c r="G437" s="5"/>
    </row>
    <row r="438" spans="2:7" ht="13">
      <c r="B438" s="36"/>
      <c r="C438" s="80"/>
      <c r="D438" s="5"/>
      <c r="E438" s="5"/>
      <c r="F438" s="5"/>
      <c r="G438" s="5"/>
    </row>
    <row r="439" spans="2:7" ht="13">
      <c r="B439" s="36"/>
      <c r="C439" s="80"/>
      <c r="D439" s="5"/>
      <c r="E439" s="5"/>
      <c r="F439" s="5"/>
      <c r="G439" s="5"/>
    </row>
    <row r="440" spans="2:7" ht="13">
      <c r="B440" s="36"/>
      <c r="C440" s="80"/>
      <c r="D440" s="5"/>
      <c r="E440" s="5"/>
      <c r="F440" s="5"/>
      <c r="G440" s="5"/>
    </row>
    <row r="441" spans="2:7" ht="13">
      <c r="B441" s="36"/>
      <c r="C441" s="80"/>
      <c r="D441" s="5"/>
      <c r="E441" s="5"/>
      <c r="F441" s="5"/>
      <c r="G441" s="5"/>
    </row>
    <row r="442" spans="2:7" ht="13">
      <c r="B442" s="36"/>
      <c r="C442" s="80"/>
      <c r="D442" s="5"/>
      <c r="E442" s="5"/>
      <c r="F442" s="5"/>
      <c r="G442" s="5"/>
    </row>
    <row r="443" spans="2:7" ht="13">
      <c r="B443" s="36"/>
      <c r="C443" s="80"/>
      <c r="D443" s="5"/>
      <c r="E443" s="5"/>
      <c r="F443" s="5"/>
      <c r="G443" s="5"/>
    </row>
    <row r="444" spans="2:7" ht="13">
      <c r="B444" s="36"/>
      <c r="C444" s="80"/>
      <c r="D444" s="5"/>
      <c r="E444" s="5"/>
      <c r="F444" s="5"/>
      <c r="G444" s="5"/>
    </row>
    <row r="445" spans="2:7" ht="13">
      <c r="B445" s="36"/>
      <c r="C445" s="80"/>
      <c r="D445" s="5"/>
      <c r="E445" s="5"/>
      <c r="F445" s="5"/>
      <c r="G445" s="5"/>
    </row>
    <row r="446" spans="2:7" ht="13">
      <c r="B446" s="36"/>
      <c r="C446" s="80"/>
      <c r="D446" s="5"/>
      <c r="E446" s="5"/>
      <c r="F446" s="5"/>
      <c r="G446" s="5"/>
    </row>
    <row r="447" spans="2:7" ht="13">
      <c r="B447" s="36"/>
      <c r="C447" s="80"/>
      <c r="D447" s="5"/>
      <c r="E447" s="5"/>
      <c r="F447" s="5"/>
      <c r="G447" s="5"/>
    </row>
    <row r="448" spans="2:7" ht="13">
      <c r="B448" s="36"/>
      <c r="C448" s="80"/>
      <c r="D448" s="5"/>
      <c r="E448" s="5"/>
      <c r="F448" s="5"/>
      <c r="G448" s="5"/>
    </row>
    <row r="449" spans="2:7" ht="13">
      <c r="B449" s="36"/>
      <c r="C449" s="80"/>
      <c r="D449" s="5"/>
      <c r="E449" s="5"/>
      <c r="F449" s="5"/>
      <c r="G449" s="5"/>
    </row>
    <row r="450" spans="2:7" ht="13">
      <c r="B450" s="36"/>
      <c r="C450" s="80"/>
      <c r="D450" s="5"/>
      <c r="E450" s="5"/>
      <c r="F450" s="5"/>
      <c r="G450" s="5"/>
    </row>
    <row r="451" spans="2:7" ht="13">
      <c r="B451" s="36"/>
      <c r="C451" s="80"/>
      <c r="D451" s="5"/>
      <c r="E451" s="5"/>
      <c r="F451" s="5"/>
      <c r="G451" s="5"/>
    </row>
    <row r="452" spans="2:7" ht="13">
      <c r="B452" s="36"/>
      <c r="C452" s="80"/>
      <c r="D452" s="5"/>
      <c r="E452" s="5"/>
      <c r="F452" s="5"/>
      <c r="G452" s="5"/>
    </row>
    <row r="453" spans="2:7" ht="13">
      <c r="B453" s="36"/>
      <c r="C453" s="80"/>
      <c r="D453" s="5"/>
      <c r="E453" s="5"/>
      <c r="F453" s="5"/>
      <c r="G453" s="5"/>
    </row>
    <row r="454" spans="2:7" ht="13">
      <c r="B454" s="36"/>
      <c r="C454" s="80"/>
      <c r="D454" s="5"/>
      <c r="E454" s="5"/>
      <c r="F454" s="5"/>
      <c r="G454" s="5"/>
    </row>
    <row r="455" spans="2:7" ht="13">
      <c r="B455" s="36"/>
      <c r="C455" s="80"/>
      <c r="D455" s="5"/>
      <c r="E455" s="5"/>
      <c r="F455" s="5"/>
      <c r="G455" s="5"/>
    </row>
    <row r="456" spans="2:7" ht="13">
      <c r="B456" s="36"/>
      <c r="C456" s="80"/>
      <c r="D456" s="5"/>
      <c r="E456" s="5"/>
      <c r="F456" s="5"/>
      <c r="G456" s="5"/>
    </row>
    <row r="457" spans="2:7" ht="13">
      <c r="B457" s="36"/>
      <c r="C457" s="80"/>
      <c r="D457" s="5"/>
      <c r="E457" s="5"/>
      <c r="F457" s="5"/>
      <c r="G457" s="5"/>
    </row>
    <row r="458" spans="2:7" ht="13">
      <c r="B458" s="36"/>
      <c r="C458" s="80"/>
      <c r="D458" s="5"/>
      <c r="E458" s="5"/>
      <c r="F458" s="5"/>
      <c r="G458" s="5"/>
    </row>
    <row r="459" spans="2:7" ht="13">
      <c r="B459" s="36"/>
      <c r="C459" s="80"/>
      <c r="D459" s="5"/>
      <c r="E459" s="5"/>
      <c r="F459" s="5"/>
      <c r="G459" s="5"/>
    </row>
    <row r="460" spans="2:7" ht="13">
      <c r="B460" s="36"/>
      <c r="C460" s="80"/>
      <c r="D460" s="5"/>
      <c r="E460" s="5"/>
      <c r="F460" s="5"/>
      <c r="G460" s="5"/>
    </row>
    <row r="461" spans="2:7" ht="13">
      <c r="B461" s="36"/>
      <c r="C461" s="80"/>
      <c r="D461" s="5"/>
      <c r="E461" s="5"/>
      <c r="F461" s="5"/>
      <c r="G461" s="5"/>
    </row>
    <row r="462" spans="2:7" ht="13">
      <c r="B462" s="36"/>
      <c r="C462" s="80"/>
      <c r="D462" s="5"/>
      <c r="E462" s="5"/>
      <c r="F462" s="5"/>
      <c r="G462" s="5"/>
    </row>
    <row r="463" spans="2:7" ht="13">
      <c r="B463" s="36"/>
      <c r="C463" s="80"/>
      <c r="D463" s="5"/>
      <c r="E463" s="5"/>
      <c r="F463" s="5"/>
      <c r="G463" s="5"/>
    </row>
    <row r="464" spans="2:7" ht="13">
      <c r="B464" s="36"/>
      <c r="C464" s="80"/>
      <c r="D464" s="5"/>
      <c r="E464" s="5"/>
      <c r="F464" s="5"/>
      <c r="G464" s="5"/>
    </row>
    <row r="465" spans="2:7" ht="13">
      <c r="B465" s="36"/>
      <c r="C465" s="80"/>
      <c r="D465" s="5"/>
      <c r="E465" s="5"/>
      <c r="F465" s="5"/>
      <c r="G465" s="5"/>
    </row>
    <row r="466" spans="2:7" ht="13">
      <c r="B466" s="36"/>
      <c r="C466" s="80"/>
      <c r="D466" s="5"/>
      <c r="E466" s="5"/>
      <c r="F466" s="5"/>
      <c r="G466" s="5"/>
    </row>
    <row r="467" spans="2:7" ht="13">
      <c r="B467" s="36"/>
      <c r="C467" s="80"/>
      <c r="D467" s="5"/>
      <c r="E467" s="5"/>
      <c r="F467" s="5"/>
      <c r="G467" s="5"/>
    </row>
    <row r="468" spans="2:7" ht="13">
      <c r="B468" s="36"/>
      <c r="C468" s="80"/>
      <c r="D468" s="5"/>
      <c r="E468" s="5"/>
      <c r="F468" s="5"/>
      <c r="G468" s="5"/>
    </row>
    <row r="469" spans="2:7" ht="13">
      <c r="B469" s="36"/>
      <c r="C469" s="80"/>
      <c r="D469" s="5"/>
      <c r="E469" s="5"/>
      <c r="F469" s="5"/>
      <c r="G469" s="5"/>
    </row>
    <row r="470" spans="2:7" ht="13">
      <c r="B470" s="36"/>
      <c r="C470" s="80"/>
      <c r="D470" s="5"/>
      <c r="E470" s="5"/>
      <c r="F470" s="5"/>
      <c r="G470" s="5"/>
    </row>
    <row r="471" spans="2:7" ht="13">
      <c r="B471" s="36"/>
      <c r="C471" s="80"/>
      <c r="D471" s="5"/>
      <c r="E471" s="5"/>
      <c r="F471" s="5"/>
      <c r="G471" s="5"/>
    </row>
    <row r="472" spans="2:7" ht="13">
      <c r="B472" s="36"/>
      <c r="C472" s="80"/>
      <c r="D472" s="5"/>
      <c r="E472" s="5"/>
      <c r="F472" s="5"/>
      <c r="G472" s="5"/>
    </row>
    <row r="473" spans="2:7" ht="13">
      <c r="B473" s="36"/>
      <c r="C473" s="80"/>
      <c r="D473" s="5"/>
      <c r="E473" s="5"/>
      <c r="F473" s="5"/>
      <c r="G473" s="5"/>
    </row>
    <row r="474" spans="2:7" ht="13">
      <c r="B474" s="36"/>
      <c r="C474" s="80"/>
      <c r="D474" s="5"/>
      <c r="E474" s="5"/>
      <c r="F474" s="5"/>
      <c r="G474" s="5"/>
    </row>
    <row r="475" spans="2:7" ht="13">
      <c r="B475" s="36"/>
      <c r="C475" s="80"/>
      <c r="D475" s="5"/>
      <c r="E475" s="5"/>
      <c r="F475" s="5"/>
      <c r="G475" s="5"/>
    </row>
    <row r="476" spans="2:7" ht="13">
      <c r="B476" s="36"/>
      <c r="C476" s="80"/>
      <c r="D476" s="5"/>
      <c r="E476" s="5"/>
      <c r="F476" s="5"/>
      <c r="G476" s="5"/>
    </row>
    <row r="477" spans="2:7" ht="13">
      <c r="B477" s="36"/>
      <c r="C477" s="80"/>
      <c r="D477" s="5"/>
      <c r="E477" s="5"/>
      <c r="F477" s="5"/>
      <c r="G477" s="5"/>
    </row>
    <row r="478" spans="2:7" ht="13">
      <c r="B478" s="36"/>
      <c r="C478" s="80"/>
      <c r="D478" s="5"/>
      <c r="E478" s="5"/>
      <c r="F478" s="5"/>
      <c r="G478" s="5"/>
    </row>
    <row r="479" spans="2:7" ht="13">
      <c r="B479" s="36"/>
      <c r="C479" s="80"/>
      <c r="D479" s="5"/>
      <c r="E479" s="5"/>
      <c r="F479" s="5"/>
      <c r="G479" s="5"/>
    </row>
    <row r="480" spans="2:7" ht="13">
      <c r="B480" s="36"/>
      <c r="C480" s="80"/>
      <c r="D480" s="5"/>
      <c r="E480" s="5"/>
      <c r="F480" s="5"/>
      <c r="G480" s="5"/>
    </row>
    <row r="481" spans="2:7" ht="13">
      <c r="B481" s="36"/>
      <c r="C481" s="80"/>
      <c r="D481" s="5"/>
      <c r="E481" s="5"/>
      <c r="F481" s="5"/>
      <c r="G481" s="5"/>
    </row>
    <row r="482" spans="2:7" ht="13">
      <c r="B482" s="36"/>
      <c r="C482" s="80"/>
      <c r="D482" s="5"/>
      <c r="E482" s="5"/>
      <c r="F482" s="5"/>
      <c r="G482" s="5"/>
    </row>
    <row r="483" spans="2:7" ht="13">
      <c r="B483" s="36"/>
      <c r="C483" s="80"/>
      <c r="D483" s="5"/>
      <c r="E483" s="5"/>
      <c r="F483" s="5"/>
      <c r="G483" s="5"/>
    </row>
    <row r="484" spans="2:7" ht="13">
      <c r="B484" s="36"/>
      <c r="C484" s="80"/>
      <c r="D484" s="5"/>
      <c r="E484" s="5"/>
      <c r="F484" s="5"/>
      <c r="G484" s="5"/>
    </row>
    <row r="485" spans="2:7" ht="13">
      <c r="B485" s="36"/>
      <c r="C485" s="80"/>
      <c r="D485" s="5"/>
      <c r="E485" s="5"/>
      <c r="F485" s="5"/>
      <c r="G485" s="5"/>
    </row>
    <row r="486" spans="2:7" ht="13">
      <c r="B486" s="36"/>
      <c r="C486" s="80"/>
      <c r="D486" s="5"/>
      <c r="E486" s="5"/>
      <c r="F486" s="5"/>
      <c r="G486" s="5"/>
    </row>
    <row r="487" spans="2:7" ht="13">
      <c r="B487" s="36"/>
      <c r="C487" s="80"/>
      <c r="D487" s="5"/>
      <c r="E487" s="5"/>
      <c r="F487" s="5"/>
      <c r="G487" s="5"/>
    </row>
    <row r="488" spans="2:7" ht="13">
      <c r="B488" s="36"/>
      <c r="C488" s="80"/>
      <c r="D488" s="5"/>
      <c r="E488" s="5"/>
      <c r="F488" s="5"/>
      <c r="G488" s="5"/>
    </row>
    <row r="489" spans="2:7" ht="13">
      <c r="B489" s="36"/>
      <c r="C489" s="80"/>
      <c r="D489" s="5"/>
      <c r="E489" s="5"/>
      <c r="F489" s="5"/>
      <c r="G489" s="5"/>
    </row>
    <row r="490" spans="2:7" ht="13">
      <c r="B490" s="36"/>
      <c r="C490" s="80"/>
      <c r="D490" s="5"/>
      <c r="E490" s="5"/>
      <c r="F490" s="5"/>
      <c r="G490" s="5"/>
    </row>
    <row r="491" spans="2:7" ht="13">
      <c r="B491" s="36"/>
      <c r="C491" s="80"/>
      <c r="D491" s="5"/>
      <c r="E491" s="5"/>
      <c r="F491" s="5"/>
      <c r="G491" s="5"/>
    </row>
    <row r="492" spans="2:7" ht="13">
      <c r="B492" s="36"/>
      <c r="C492" s="80"/>
      <c r="D492" s="5"/>
      <c r="E492" s="5"/>
      <c r="F492" s="5"/>
      <c r="G492" s="5"/>
    </row>
    <row r="493" spans="2:7" ht="13">
      <c r="B493" s="36"/>
      <c r="C493" s="80"/>
      <c r="D493" s="5"/>
      <c r="E493" s="5"/>
      <c r="F493" s="5"/>
      <c r="G493" s="5"/>
    </row>
    <row r="494" spans="2:7" ht="13">
      <c r="B494" s="36"/>
      <c r="C494" s="80"/>
      <c r="D494" s="5"/>
      <c r="E494" s="5"/>
      <c r="F494" s="5"/>
      <c r="G494" s="5"/>
    </row>
    <row r="495" spans="2:7" ht="13">
      <c r="B495" s="36"/>
      <c r="C495" s="80"/>
      <c r="D495" s="5"/>
      <c r="E495" s="5"/>
      <c r="F495" s="5"/>
      <c r="G495" s="5"/>
    </row>
    <row r="496" spans="2:7" ht="13">
      <c r="B496" s="36"/>
      <c r="C496" s="80"/>
      <c r="D496" s="5"/>
      <c r="E496" s="5"/>
      <c r="F496" s="5"/>
      <c r="G496" s="5"/>
    </row>
    <row r="497" spans="2:7" ht="13">
      <c r="B497" s="36"/>
      <c r="C497" s="80"/>
      <c r="D497" s="5"/>
      <c r="E497" s="5"/>
      <c r="F497" s="5"/>
      <c r="G497" s="5"/>
    </row>
    <row r="498" spans="2:7" ht="13">
      <c r="B498" s="36"/>
      <c r="C498" s="80"/>
      <c r="D498" s="5"/>
      <c r="E498" s="5"/>
      <c r="F498" s="5"/>
      <c r="G498" s="5"/>
    </row>
    <row r="499" spans="2:7" ht="13">
      <c r="B499" s="36"/>
      <c r="C499" s="80"/>
      <c r="D499" s="5"/>
      <c r="E499" s="5"/>
      <c r="F499" s="5"/>
      <c r="G499" s="5"/>
    </row>
    <row r="500" spans="2:7" ht="13">
      <c r="B500" s="36"/>
      <c r="C500" s="80"/>
      <c r="D500" s="5"/>
      <c r="E500" s="5"/>
      <c r="F500" s="5"/>
      <c r="G500" s="5"/>
    </row>
    <row r="501" spans="2:7" ht="13">
      <c r="B501" s="36"/>
      <c r="C501" s="80"/>
      <c r="D501" s="5"/>
      <c r="E501" s="5"/>
      <c r="F501" s="5"/>
      <c r="G501" s="5"/>
    </row>
    <row r="502" spans="2:7" ht="13">
      <c r="B502" s="36"/>
      <c r="C502" s="80"/>
      <c r="D502" s="5"/>
      <c r="E502" s="5"/>
      <c r="F502" s="5"/>
      <c r="G502" s="5"/>
    </row>
    <row r="503" spans="2:7" ht="13">
      <c r="B503" s="36"/>
      <c r="C503" s="80"/>
      <c r="D503" s="5"/>
      <c r="E503" s="5"/>
      <c r="F503" s="5"/>
      <c r="G503" s="5"/>
    </row>
    <row r="504" spans="2:7" ht="13">
      <c r="B504" s="36"/>
      <c r="C504" s="80"/>
      <c r="D504" s="5"/>
      <c r="E504" s="5"/>
      <c r="F504" s="5"/>
      <c r="G504" s="5"/>
    </row>
    <row r="505" spans="2:7" ht="13">
      <c r="B505" s="36"/>
      <c r="C505" s="80"/>
      <c r="D505" s="5"/>
      <c r="E505" s="5"/>
      <c r="F505" s="5"/>
      <c r="G505" s="5"/>
    </row>
    <row r="506" spans="2:7" ht="13">
      <c r="B506" s="36"/>
      <c r="C506" s="80"/>
      <c r="D506" s="5"/>
      <c r="E506" s="5"/>
      <c r="F506" s="5"/>
      <c r="G506" s="5"/>
    </row>
    <row r="507" spans="2:7" ht="13">
      <c r="B507" s="36"/>
      <c r="C507" s="80"/>
      <c r="D507" s="5"/>
      <c r="E507" s="5"/>
      <c r="F507" s="5"/>
      <c r="G507" s="5"/>
    </row>
    <row r="508" spans="2:7" ht="13">
      <c r="B508" s="36"/>
      <c r="C508" s="80"/>
      <c r="D508" s="5"/>
      <c r="E508" s="5"/>
      <c r="F508" s="5"/>
      <c r="G508" s="5"/>
    </row>
    <row r="509" spans="2:7" ht="13">
      <c r="B509" s="36"/>
      <c r="C509" s="80"/>
      <c r="D509" s="5"/>
      <c r="E509" s="5"/>
      <c r="F509" s="5"/>
      <c r="G509" s="5"/>
    </row>
    <row r="510" spans="2:7" ht="13">
      <c r="B510" s="36"/>
      <c r="C510" s="80"/>
      <c r="D510" s="5"/>
      <c r="E510" s="5"/>
      <c r="F510" s="5"/>
      <c r="G510" s="5"/>
    </row>
    <row r="511" spans="2:7" ht="13">
      <c r="B511" s="36"/>
      <c r="C511" s="80"/>
      <c r="D511" s="5"/>
      <c r="E511" s="5"/>
      <c r="F511" s="5"/>
      <c r="G511" s="5"/>
    </row>
    <row r="512" spans="2:7" ht="13">
      <c r="B512" s="36"/>
      <c r="C512" s="80"/>
      <c r="D512" s="5"/>
      <c r="E512" s="5"/>
      <c r="F512" s="5"/>
      <c r="G512" s="5"/>
    </row>
    <row r="513" spans="2:7" ht="13">
      <c r="B513" s="36"/>
      <c r="C513" s="80"/>
      <c r="D513" s="5"/>
      <c r="E513" s="5"/>
      <c r="F513" s="5"/>
      <c r="G513" s="5"/>
    </row>
    <row r="514" spans="2:7" ht="13">
      <c r="B514" s="36"/>
      <c r="C514" s="80"/>
      <c r="D514" s="5"/>
      <c r="E514" s="5"/>
      <c r="F514" s="5"/>
      <c r="G514" s="5"/>
    </row>
    <row r="515" spans="2:7" ht="13">
      <c r="B515" s="36"/>
      <c r="C515" s="80"/>
      <c r="D515" s="5"/>
      <c r="E515" s="5"/>
      <c r="F515" s="5"/>
      <c r="G515" s="5"/>
    </row>
    <row r="516" spans="2:7" ht="13">
      <c r="B516" s="36"/>
      <c r="C516" s="80"/>
      <c r="D516" s="5"/>
      <c r="E516" s="5"/>
      <c r="F516" s="5"/>
      <c r="G516" s="5"/>
    </row>
    <row r="517" spans="2:7" ht="13">
      <c r="B517" s="36"/>
      <c r="C517" s="80"/>
      <c r="D517" s="5"/>
      <c r="E517" s="5"/>
      <c r="F517" s="5"/>
      <c r="G517" s="5"/>
    </row>
    <row r="518" spans="2:7" ht="13">
      <c r="B518" s="36"/>
      <c r="C518" s="80"/>
      <c r="D518" s="5"/>
      <c r="E518" s="5"/>
      <c r="F518" s="5"/>
      <c r="G518" s="5"/>
    </row>
    <row r="519" spans="2:7" ht="13">
      <c r="B519" s="36"/>
      <c r="C519" s="80"/>
      <c r="D519" s="5"/>
      <c r="E519" s="5"/>
      <c r="F519" s="5"/>
      <c r="G519" s="5"/>
    </row>
    <row r="520" spans="2:7" ht="13">
      <c r="B520" s="36"/>
      <c r="C520" s="80"/>
      <c r="D520" s="5"/>
      <c r="E520" s="5"/>
      <c r="F520" s="5"/>
      <c r="G520" s="5"/>
    </row>
    <row r="521" spans="2:7" ht="13">
      <c r="B521" s="36"/>
      <c r="C521" s="80"/>
      <c r="D521" s="5"/>
      <c r="E521" s="5"/>
      <c r="F521" s="5"/>
      <c r="G521" s="5"/>
    </row>
    <row r="522" spans="2:7" ht="13">
      <c r="B522" s="36"/>
      <c r="C522" s="80"/>
      <c r="D522" s="5"/>
      <c r="E522" s="5"/>
      <c r="F522" s="5"/>
      <c r="G522" s="5"/>
    </row>
    <row r="523" spans="2:7" ht="13">
      <c r="B523" s="36"/>
      <c r="C523" s="80"/>
      <c r="D523" s="5"/>
      <c r="E523" s="5"/>
      <c r="F523" s="5"/>
      <c r="G523" s="5"/>
    </row>
    <row r="524" spans="2:7" ht="13">
      <c r="B524" s="36"/>
      <c r="C524" s="80"/>
      <c r="D524" s="5"/>
      <c r="E524" s="5"/>
      <c r="F524" s="5"/>
      <c r="G524" s="5"/>
    </row>
    <row r="525" spans="2:7" ht="13">
      <c r="B525" s="36"/>
      <c r="C525" s="80"/>
      <c r="D525" s="5"/>
      <c r="E525" s="5"/>
      <c r="F525" s="5"/>
      <c r="G525" s="5"/>
    </row>
    <row r="526" spans="2:7" ht="13">
      <c r="B526" s="36"/>
      <c r="C526" s="80"/>
      <c r="D526" s="5"/>
      <c r="E526" s="5"/>
      <c r="F526" s="5"/>
      <c r="G526" s="5"/>
    </row>
    <row r="527" spans="2:7" ht="13">
      <c r="B527" s="36"/>
      <c r="C527" s="80"/>
      <c r="D527" s="5"/>
      <c r="E527" s="5"/>
      <c r="F527" s="5"/>
      <c r="G527" s="5"/>
    </row>
    <row r="528" spans="2:7" ht="13">
      <c r="B528" s="36"/>
      <c r="C528" s="80"/>
      <c r="D528" s="5"/>
      <c r="E528" s="5"/>
      <c r="F528" s="5"/>
      <c r="G528" s="5"/>
    </row>
    <row r="529" spans="2:7" ht="13">
      <c r="B529" s="36"/>
      <c r="C529" s="80"/>
      <c r="D529" s="5"/>
      <c r="E529" s="5"/>
      <c r="F529" s="5"/>
      <c r="G529" s="5"/>
    </row>
    <row r="530" spans="2:7" ht="13">
      <c r="B530" s="36"/>
      <c r="C530" s="80"/>
      <c r="D530" s="5"/>
      <c r="E530" s="5"/>
      <c r="F530" s="5"/>
      <c r="G530" s="5"/>
    </row>
    <row r="531" spans="2:7" ht="13">
      <c r="B531" s="36"/>
      <c r="C531" s="80"/>
      <c r="D531" s="5"/>
      <c r="E531" s="5"/>
      <c r="F531" s="5"/>
      <c r="G531" s="5"/>
    </row>
    <row r="532" spans="2:7" ht="13">
      <c r="B532" s="36"/>
      <c r="C532" s="80"/>
      <c r="D532" s="5"/>
      <c r="E532" s="5"/>
      <c r="F532" s="5"/>
      <c r="G532" s="5"/>
    </row>
    <row r="533" spans="2:7" ht="13">
      <c r="B533" s="36"/>
      <c r="C533" s="80"/>
      <c r="D533" s="5"/>
      <c r="E533" s="5"/>
      <c r="F533" s="5"/>
      <c r="G533" s="5"/>
    </row>
    <row r="534" spans="2:7" ht="13">
      <c r="B534" s="36"/>
      <c r="C534" s="80"/>
      <c r="D534" s="5"/>
      <c r="E534" s="5"/>
      <c r="F534" s="5"/>
      <c r="G534" s="5"/>
    </row>
    <row r="535" spans="2:7" ht="13">
      <c r="B535" s="36"/>
      <c r="C535" s="80"/>
      <c r="D535" s="5"/>
      <c r="E535" s="5"/>
      <c r="F535" s="5"/>
      <c r="G535" s="5"/>
    </row>
    <row r="536" spans="2:7" ht="13">
      <c r="B536" s="36"/>
      <c r="C536" s="80"/>
      <c r="D536" s="5"/>
      <c r="E536" s="5"/>
      <c r="F536" s="5"/>
      <c r="G536" s="5"/>
    </row>
    <row r="537" spans="2:7" ht="13">
      <c r="B537" s="36"/>
      <c r="C537" s="80"/>
      <c r="D537" s="5"/>
      <c r="E537" s="5"/>
      <c r="F537" s="5"/>
      <c r="G537" s="5"/>
    </row>
    <row r="538" spans="2:7" ht="13">
      <c r="B538" s="36"/>
      <c r="C538" s="80"/>
      <c r="D538" s="5"/>
      <c r="E538" s="5"/>
      <c r="F538" s="5"/>
      <c r="G538" s="5"/>
    </row>
    <row r="539" spans="2:7" ht="13">
      <c r="B539" s="36"/>
      <c r="C539" s="80"/>
      <c r="D539" s="5"/>
      <c r="E539" s="5"/>
      <c r="F539" s="5"/>
      <c r="G539" s="5"/>
    </row>
    <row r="540" spans="2:7" ht="13">
      <c r="B540" s="36"/>
      <c r="C540" s="80"/>
      <c r="D540" s="5"/>
      <c r="E540" s="5"/>
      <c r="F540" s="5"/>
      <c r="G540" s="5"/>
    </row>
    <row r="541" spans="2:7" ht="13">
      <c r="B541" s="36"/>
      <c r="C541" s="80"/>
      <c r="D541" s="5"/>
      <c r="E541" s="5"/>
      <c r="F541" s="5"/>
      <c r="G541" s="5"/>
    </row>
    <row r="542" spans="2:7" ht="13">
      <c r="B542" s="36"/>
      <c r="C542" s="80"/>
      <c r="D542" s="5"/>
      <c r="E542" s="5"/>
      <c r="F542" s="5"/>
      <c r="G542" s="5"/>
    </row>
    <row r="543" spans="2:7" ht="13">
      <c r="B543" s="36"/>
      <c r="C543" s="80"/>
      <c r="D543" s="5"/>
      <c r="E543" s="5"/>
      <c r="F543" s="5"/>
      <c r="G543" s="5"/>
    </row>
    <row r="544" spans="2:7" ht="13">
      <c r="B544" s="36"/>
      <c r="C544" s="80"/>
      <c r="D544" s="5"/>
      <c r="E544" s="5"/>
      <c r="F544" s="5"/>
      <c r="G544" s="5"/>
    </row>
    <row r="545" spans="2:7" ht="13">
      <c r="B545" s="36"/>
      <c r="C545" s="80"/>
      <c r="D545" s="5"/>
      <c r="E545" s="5"/>
      <c r="F545" s="5"/>
      <c r="G545" s="5"/>
    </row>
    <row r="546" spans="2:7" ht="13">
      <c r="B546" s="36"/>
      <c r="C546" s="80"/>
      <c r="D546" s="5"/>
      <c r="E546" s="5"/>
      <c r="F546" s="5"/>
      <c r="G546" s="5"/>
    </row>
    <row r="547" spans="2:7" ht="13">
      <c r="B547" s="36"/>
      <c r="C547" s="80"/>
      <c r="D547" s="5"/>
      <c r="E547" s="5"/>
      <c r="F547" s="5"/>
      <c r="G547" s="5"/>
    </row>
    <row r="548" spans="2:7" ht="13">
      <c r="B548" s="36"/>
      <c r="C548" s="80"/>
      <c r="D548" s="5"/>
      <c r="E548" s="5"/>
      <c r="F548" s="5"/>
      <c r="G548" s="5"/>
    </row>
    <row r="549" spans="2:7" ht="13">
      <c r="B549" s="36"/>
      <c r="C549" s="80"/>
      <c r="D549" s="5"/>
      <c r="E549" s="5"/>
      <c r="F549" s="5"/>
      <c r="G549" s="5"/>
    </row>
    <row r="550" spans="2:7" ht="13">
      <c r="B550" s="36"/>
      <c r="C550" s="80"/>
      <c r="D550" s="5"/>
      <c r="E550" s="5"/>
      <c r="F550" s="5"/>
      <c r="G550" s="5"/>
    </row>
    <row r="551" spans="2:7" ht="13">
      <c r="B551" s="36"/>
      <c r="C551" s="80"/>
      <c r="D551" s="5"/>
      <c r="E551" s="5"/>
      <c r="F551" s="5"/>
      <c r="G551" s="5"/>
    </row>
    <row r="552" spans="2:7" ht="13">
      <c r="B552" s="36"/>
      <c r="C552" s="80"/>
      <c r="D552" s="5"/>
      <c r="E552" s="5"/>
      <c r="F552" s="5"/>
      <c r="G552" s="5"/>
    </row>
    <row r="553" spans="2:7" ht="13">
      <c r="B553" s="36"/>
      <c r="C553" s="80"/>
      <c r="D553" s="5"/>
      <c r="E553" s="5"/>
      <c r="F553" s="5"/>
      <c r="G553" s="5"/>
    </row>
    <row r="554" spans="2:7" ht="13">
      <c r="B554" s="36"/>
      <c r="C554" s="80"/>
      <c r="D554" s="5"/>
      <c r="E554" s="5"/>
      <c r="F554" s="5"/>
      <c r="G554" s="5"/>
    </row>
    <row r="555" spans="2:7" ht="13">
      <c r="B555" s="36"/>
      <c r="C555" s="80"/>
      <c r="D555" s="5"/>
      <c r="E555" s="5"/>
      <c r="F555" s="5"/>
      <c r="G555" s="5"/>
    </row>
    <row r="556" spans="2:7" ht="13">
      <c r="B556" s="36"/>
      <c r="C556" s="80"/>
      <c r="D556" s="5"/>
      <c r="E556" s="5"/>
      <c r="F556" s="5"/>
      <c r="G556" s="5"/>
    </row>
    <row r="557" spans="2:7" ht="13">
      <c r="B557" s="36"/>
      <c r="C557" s="80"/>
      <c r="D557" s="5"/>
      <c r="E557" s="5"/>
      <c r="F557" s="5"/>
      <c r="G557" s="5"/>
    </row>
    <row r="558" spans="2:7" ht="13">
      <c r="B558" s="36"/>
      <c r="C558" s="80"/>
      <c r="D558" s="5"/>
      <c r="E558" s="5"/>
      <c r="F558" s="5"/>
      <c r="G558" s="5"/>
    </row>
    <row r="559" spans="2:7" ht="13">
      <c r="B559" s="36"/>
      <c r="C559" s="80"/>
      <c r="D559" s="5"/>
      <c r="E559" s="5"/>
      <c r="F559" s="5"/>
      <c r="G559" s="5"/>
    </row>
    <row r="560" spans="2:7" ht="13">
      <c r="B560" s="36"/>
      <c r="C560" s="80"/>
      <c r="D560" s="5"/>
      <c r="E560" s="5"/>
      <c r="F560" s="5"/>
      <c r="G560" s="5"/>
    </row>
    <row r="561" spans="2:7" ht="13">
      <c r="B561" s="36"/>
      <c r="C561" s="80"/>
      <c r="D561" s="5"/>
      <c r="E561" s="5"/>
      <c r="F561" s="5"/>
      <c r="G561" s="5"/>
    </row>
    <row r="562" spans="2:7" ht="13">
      <c r="B562" s="36"/>
      <c r="C562" s="80"/>
      <c r="D562" s="5"/>
      <c r="E562" s="5"/>
      <c r="F562" s="5"/>
      <c r="G562" s="5"/>
    </row>
    <row r="563" spans="2:7" ht="13">
      <c r="B563" s="36"/>
      <c r="C563" s="80"/>
      <c r="D563" s="5"/>
      <c r="E563" s="5"/>
      <c r="F563" s="5"/>
      <c r="G563" s="5"/>
    </row>
    <row r="564" spans="2:7" ht="13">
      <c r="B564" s="36"/>
      <c r="C564" s="80"/>
      <c r="D564" s="5"/>
      <c r="E564" s="5"/>
      <c r="F564" s="5"/>
      <c r="G564" s="5"/>
    </row>
    <row r="565" spans="2:7" ht="13">
      <c r="B565" s="36"/>
      <c r="C565" s="80"/>
      <c r="D565" s="5"/>
      <c r="E565" s="5"/>
      <c r="F565" s="5"/>
      <c r="G565" s="5"/>
    </row>
    <row r="566" spans="2:7" ht="13">
      <c r="B566" s="36"/>
      <c r="C566" s="80"/>
      <c r="D566" s="5"/>
      <c r="E566" s="5"/>
      <c r="F566" s="5"/>
      <c r="G566" s="5"/>
    </row>
    <row r="567" spans="2:7" ht="13">
      <c r="B567" s="36"/>
      <c r="C567" s="80"/>
      <c r="D567" s="5"/>
      <c r="E567" s="5"/>
      <c r="F567" s="5"/>
      <c r="G567" s="5"/>
    </row>
    <row r="568" spans="2:7" ht="13">
      <c r="B568" s="36"/>
      <c r="C568" s="80"/>
      <c r="D568" s="5"/>
      <c r="E568" s="5"/>
      <c r="F568" s="5"/>
      <c r="G568" s="5"/>
    </row>
    <row r="569" spans="2:7" ht="13">
      <c r="B569" s="36"/>
      <c r="C569" s="80"/>
      <c r="D569" s="5"/>
      <c r="E569" s="5"/>
      <c r="F569" s="5"/>
      <c r="G569" s="5"/>
    </row>
    <row r="570" spans="2:7" ht="13">
      <c r="B570" s="36"/>
      <c r="C570" s="80"/>
      <c r="D570" s="5"/>
      <c r="E570" s="5"/>
      <c r="F570" s="5"/>
      <c r="G570" s="5"/>
    </row>
    <row r="571" spans="2:7" ht="13">
      <c r="B571" s="36"/>
      <c r="C571" s="80"/>
      <c r="D571" s="5"/>
      <c r="E571" s="5"/>
      <c r="F571" s="5"/>
      <c r="G571" s="5"/>
    </row>
    <row r="572" spans="2:7" ht="13">
      <c r="B572" s="36"/>
      <c r="C572" s="80"/>
      <c r="D572" s="5"/>
      <c r="E572" s="5"/>
      <c r="F572" s="5"/>
      <c r="G572" s="5"/>
    </row>
    <row r="573" spans="2:7" ht="13">
      <c r="B573" s="36"/>
      <c r="C573" s="80"/>
      <c r="D573" s="5"/>
      <c r="E573" s="5"/>
      <c r="F573" s="5"/>
      <c r="G573" s="5"/>
    </row>
    <row r="574" spans="2:7" ht="13">
      <c r="B574" s="36"/>
      <c r="C574" s="80"/>
      <c r="D574" s="5"/>
      <c r="E574" s="5"/>
      <c r="F574" s="5"/>
      <c r="G574" s="5"/>
    </row>
    <row r="575" spans="2:7" ht="13">
      <c r="B575" s="36"/>
      <c r="C575" s="80"/>
      <c r="D575" s="5"/>
      <c r="E575" s="5"/>
      <c r="F575" s="5"/>
      <c r="G575" s="5"/>
    </row>
    <row r="576" spans="2:7" ht="13">
      <c r="B576" s="36"/>
      <c r="C576" s="80"/>
      <c r="D576" s="5"/>
      <c r="E576" s="5"/>
      <c r="F576" s="5"/>
      <c r="G576" s="5"/>
    </row>
    <row r="577" spans="2:7" ht="13">
      <c r="B577" s="36"/>
      <c r="C577" s="80"/>
      <c r="D577" s="5"/>
      <c r="E577" s="5"/>
      <c r="F577" s="5"/>
      <c r="G577" s="5"/>
    </row>
    <row r="578" spans="2:7" ht="13">
      <c r="B578" s="36"/>
      <c r="C578" s="80"/>
      <c r="D578" s="5"/>
      <c r="E578" s="5"/>
      <c r="F578" s="5"/>
      <c r="G578" s="5"/>
    </row>
    <row r="579" spans="2:7" ht="13">
      <c r="B579" s="36"/>
      <c r="C579" s="80"/>
      <c r="D579" s="5"/>
      <c r="E579" s="5"/>
      <c r="F579" s="5"/>
      <c r="G579" s="5"/>
    </row>
    <row r="580" spans="2:7" ht="13">
      <c r="B580" s="36"/>
      <c r="C580" s="80"/>
      <c r="D580" s="5"/>
      <c r="E580" s="5"/>
      <c r="F580" s="5"/>
      <c r="G580" s="5"/>
    </row>
    <row r="581" spans="2:7" ht="13">
      <c r="B581" s="36"/>
      <c r="C581" s="80"/>
      <c r="D581" s="5"/>
      <c r="E581" s="5"/>
      <c r="F581" s="5"/>
      <c r="G581" s="5"/>
    </row>
    <row r="582" spans="2:7" ht="13">
      <c r="B582" s="36"/>
      <c r="C582" s="80"/>
      <c r="D582" s="5"/>
      <c r="E582" s="5"/>
      <c r="F582" s="5"/>
      <c r="G582" s="5"/>
    </row>
    <row r="583" spans="2:7" ht="13">
      <c r="B583" s="36"/>
      <c r="C583" s="80"/>
      <c r="D583" s="5"/>
      <c r="E583" s="5"/>
      <c r="F583" s="5"/>
      <c r="G583" s="5"/>
    </row>
    <row r="584" spans="2:7" ht="13">
      <c r="B584" s="36"/>
      <c r="C584" s="80"/>
      <c r="D584" s="5"/>
      <c r="E584" s="5"/>
      <c r="F584" s="5"/>
      <c r="G584" s="5"/>
    </row>
    <row r="585" spans="2:7" ht="13">
      <c r="B585" s="36"/>
      <c r="C585" s="80"/>
      <c r="D585" s="5"/>
      <c r="E585" s="5"/>
      <c r="F585" s="5"/>
      <c r="G585" s="5"/>
    </row>
    <row r="586" spans="2:7" ht="13">
      <c r="B586" s="36"/>
      <c r="C586" s="80"/>
      <c r="D586" s="5"/>
      <c r="E586" s="5"/>
      <c r="F586" s="5"/>
      <c r="G586" s="5"/>
    </row>
    <row r="587" spans="2:7" ht="13">
      <c r="B587" s="36"/>
      <c r="C587" s="80"/>
      <c r="D587" s="5"/>
      <c r="E587" s="5"/>
      <c r="F587" s="5"/>
      <c r="G587" s="5"/>
    </row>
    <row r="588" spans="2:7" ht="13">
      <c r="B588" s="36"/>
      <c r="C588" s="80"/>
      <c r="D588" s="5"/>
      <c r="E588" s="5"/>
      <c r="F588" s="5"/>
      <c r="G588" s="5"/>
    </row>
    <row r="589" spans="2:7" ht="13">
      <c r="B589" s="36"/>
      <c r="C589" s="80"/>
      <c r="D589" s="5"/>
      <c r="E589" s="5"/>
      <c r="F589" s="5"/>
      <c r="G589" s="5"/>
    </row>
    <row r="590" spans="2:7" ht="13">
      <c r="B590" s="36"/>
      <c r="C590" s="80"/>
      <c r="D590" s="5"/>
      <c r="E590" s="5"/>
      <c r="F590" s="5"/>
      <c r="G590" s="5"/>
    </row>
    <row r="591" spans="2:7" ht="13">
      <c r="B591" s="36"/>
      <c r="C591" s="80"/>
      <c r="D591" s="5"/>
      <c r="E591" s="5"/>
      <c r="F591" s="5"/>
      <c r="G591" s="5"/>
    </row>
    <row r="592" spans="2:7" ht="13">
      <c r="B592" s="36"/>
      <c r="C592" s="80"/>
      <c r="D592" s="5"/>
      <c r="E592" s="5"/>
      <c r="F592" s="5"/>
      <c r="G592" s="5"/>
    </row>
    <row r="593" spans="2:7" ht="13">
      <c r="B593" s="36"/>
      <c r="C593" s="80"/>
      <c r="D593" s="5"/>
      <c r="E593" s="5"/>
      <c r="F593" s="5"/>
      <c r="G593" s="5"/>
    </row>
    <row r="594" spans="2:7" ht="13">
      <c r="B594" s="36"/>
      <c r="C594" s="80"/>
      <c r="D594" s="5"/>
      <c r="E594" s="5"/>
      <c r="F594" s="5"/>
      <c r="G594" s="5"/>
    </row>
    <row r="595" spans="2:7" ht="13">
      <c r="B595" s="36"/>
      <c r="C595" s="80"/>
      <c r="D595" s="5"/>
      <c r="E595" s="5"/>
      <c r="F595" s="5"/>
      <c r="G595" s="5"/>
    </row>
    <row r="596" spans="2:7" ht="13">
      <c r="B596" s="36"/>
      <c r="C596" s="80"/>
      <c r="D596" s="5"/>
      <c r="E596" s="5"/>
      <c r="F596" s="5"/>
      <c r="G596" s="5"/>
    </row>
    <row r="597" spans="2:7" ht="13">
      <c r="B597" s="36"/>
      <c r="C597" s="80"/>
      <c r="D597" s="5"/>
      <c r="E597" s="5"/>
      <c r="F597" s="5"/>
      <c r="G597" s="5"/>
    </row>
    <row r="598" spans="2:7" ht="13">
      <c r="B598" s="36"/>
      <c r="C598" s="80"/>
      <c r="D598" s="5"/>
      <c r="E598" s="5"/>
      <c r="F598" s="5"/>
      <c r="G598" s="5"/>
    </row>
    <row r="599" spans="2:7" ht="13">
      <c r="B599" s="36"/>
      <c r="C599" s="80"/>
      <c r="D599" s="5"/>
      <c r="E599" s="5"/>
      <c r="F599" s="5"/>
      <c r="G599" s="5"/>
    </row>
    <row r="600" spans="2:7" ht="13">
      <c r="B600" s="36"/>
      <c r="C600" s="80"/>
      <c r="D600" s="5"/>
      <c r="E600" s="5"/>
      <c r="F600" s="5"/>
      <c r="G600" s="5"/>
    </row>
    <row r="601" spans="2:7" ht="13">
      <c r="B601" s="36"/>
      <c r="C601" s="80"/>
      <c r="D601" s="5"/>
      <c r="E601" s="5"/>
      <c r="F601" s="5"/>
      <c r="G601" s="5"/>
    </row>
    <row r="602" spans="2:7" ht="13">
      <c r="B602" s="36"/>
      <c r="C602" s="80"/>
      <c r="D602" s="5"/>
      <c r="E602" s="5"/>
      <c r="F602" s="5"/>
      <c r="G602" s="5"/>
    </row>
    <row r="603" spans="2:7" ht="13">
      <c r="B603" s="36"/>
      <c r="C603" s="80"/>
      <c r="D603" s="5"/>
      <c r="E603" s="5"/>
      <c r="F603" s="5"/>
      <c r="G603" s="5"/>
    </row>
    <row r="604" spans="2:7" ht="13">
      <c r="B604" s="36"/>
      <c r="C604" s="80"/>
      <c r="D604" s="5"/>
      <c r="E604" s="5"/>
      <c r="F604" s="5"/>
      <c r="G604" s="5"/>
    </row>
    <row r="605" spans="2:7" ht="13">
      <c r="B605" s="36"/>
      <c r="C605" s="80"/>
      <c r="D605" s="5"/>
      <c r="E605" s="5"/>
      <c r="F605" s="5"/>
      <c r="G605" s="5"/>
    </row>
    <row r="606" spans="2:7" ht="13">
      <c r="B606" s="36"/>
      <c r="C606" s="80"/>
      <c r="D606" s="5"/>
      <c r="E606" s="5"/>
      <c r="F606" s="5"/>
      <c r="G606" s="5"/>
    </row>
    <row r="607" spans="2:7" ht="13">
      <c r="B607" s="36"/>
      <c r="C607" s="80"/>
      <c r="D607" s="5"/>
      <c r="E607" s="5"/>
      <c r="F607" s="5"/>
      <c r="G607" s="5"/>
    </row>
    <row r="608" spans="2:7" ht="13">
      <c r="B608" s="36"/>
      <c r="C608" s="80"/>
      <c r="D608" s="5"/>
      <c r="E608" s="5"/>
      <c r="F608" s="5"/>
      <c r="G608" s="5"/>
    </row>
    <row r="609" spans="2:7" ht="13">
      <c r="B609" s="36"/>
      <c r="C609" s="80"/>
      <c r="D609" s="5"/>
      <c r="E609" s="5"/>
      <c r="F609" s="5"/>
      <c r="G609" s="5"/>
    </row>
    <row r="610" spans="2:7" ht="13">
      <c r="B610" s="36"/>
      <c r="C610" s="80"/>
      <c r="D610" s="5"/>
      <c r="E610" s="5"/>
      <c r="F610" s="5"/>
      <c r="G610" s="5"/>
    </row>
    <row r="611" spans="2:7" ht="13">
      <c r="B611" s="36"/>
      <c r="C611" s="80"/>
      <c r="D611" s="5"/>
      <c r="E611" s="5"/>
      <c r="F611" s="5"/>
      <c r="G611" s="5"/>
    </row>
    <row r="612" spans="2:7" ht="13">
      <c r="B612" s="36"/>
      <c r="C612" s="80"/>
      <c r="D612" s="5"/>
      <c r="E612" s="5"/>
      <c r="F612" s="5"/>
      <c r="G612" s="5"/>
    </row>
    <row r="613" spans="2:7" ht="13">
      <c r="B613" s="36"/>
      <c r="C613" s="80"/>
      <c r="D613" s="5"/>
      <c r="E613" s="5"/>
      <c r="F613" s="5"/>
      <c r="G613" s="5"/>
    </row>
    <row r="614" spans="2:7" ht="13">
      <c r="B614" s="36"/>
      <c r="C614" s="80"/>
      <c r="D614" s="5"/>
      <c r="E614" s="5"/>
      <c r="F614" s="5"/>
      <c r="G614" s="5"/>
    </row>
    <row r="615" spans="2:7" ht="13">
      <c r="B615" s="36"/>
      <c r="C615" s="80"/>
      <c r="D615" s="5"/>
      <c r="E615" s="5"/>
      <c r="F615" s="5"/>
      <c r="G615" s="5"/>
    </row>
    <row r="616" spans="2:7" ht="13">
      <c r="B616" s="36"/>
      <c r="C616" s="80"/>
      <c r="D616" s="5"/>
      <c r="E616" s="5"/>
      <c r="F616" s="5"/>
      <c r="G616" s="5"/>
    </row>
    <row r="617" spans="2:7" ht="13">
      <c r="B617" s="36"/>
      <c r="C617" s="80"/>
      <c r="D617" s="5"/>
      <c r="E617" s="5"/>
      <c r="F617" s="5"/>
      <c r="G617" s="5"/>
    </row>
    <row r="618" spans="2:7" ht="13">
      <c r="B618" s="36"/>
      <c r="C618" s="80"/>
      <c r="D618" s="5"/>
      <c r="E618" s="5"/>
      <c r="F618" s="5"/>
      <c r="G618" s="5"/>
    </row>
    <row r="619" spans="2:7" ht="13">
      <c r="B619" s="36"/>
      <c r="C619" s="80"/>
      <c r="D619" s="5"/>
      <c r="E619" s="5"/>
      <c r="F619" s="5"/>
      <c r="G619" s="5"/>
    </row>
    <row r="620" spans="2:7" ht="13">
      <c r="B620" s="36"/>
      <c r="C620" s="80"/>
      <c r="D620" s="5"/>
      <c r="E620" s="5"/>
      <c r="F620" s="5"/>
      <c r="G620" s="5"/>
    </row>
    <row r="621" spans="2:7" ht="13">
      <c r="B621" s="36"/>
      <c r="C621" s="80"/>
      <c r="D621" s="5"/>
      <c r="E621" s="5"/>
      <c r="F621" s="5"/>
      <c r="G621" s="5"/>
    </row>
    <row r="622" spans="2:7" ht="13">
      <c r="B622" s="36"/>
      <c r="C622" s="80"/>
      <c r="D622" s="5"/>
      <c r="E622" s="5"/>
      <c r="F622" s="5"/>
      <c r="G622" s="5"/>
    </row>
    <row r="623" spans="2:7" ht="13">
      <c r="B623" s="36"/>
      <c r="C623" s="80"/>
      <c r="D623" s="5"/>
      <c r="E623" s="5"/>
      <c r="F623" s="5"/>
      <c r="G623" s="5"/>
    </row>
    <row r="624" spans="2:7" ht="13">
      <c r="B624" s="36"/>
      <c r="C624" s="80"/>
      <c r="D624" s="5"/>
      <c r="E624" s="5"/>
      <c r="F624" s="5"/>
      <c r="G624" s="5"/>
    </row>
    <row r="625" spans="2:7" ht="13">
      <c r="B625" s="36"/>
      <c r="C625" s="80"/>
      <c r="D625" s="5"/>
      <c r="E625" s="5"/>
      <c r="F625" s="5"/>
      <c r="G625" s="5"/>
    </row>
    <row r="626" spans="2:7" ht="13">
      <c r="B626" s="36"/>
      <c r="C626" s="80"/>
      <c r="D626" s="5"/>
      <c r="E626" s="5"/>
      <c r="F626" s="5"/>
      <c r="G626" s="5"/>
    </row>
    <row r="627" spans="2:7" ht="13">
      <c r="B627" s="36"/>
      <c r="C627" s="80"/>
      <c r="D627" s="5"/>
      <c r="E627" s="5"/>
      <c r="F627" s="5"/>
      <c r="G627" s="5"/>
    </row>
    <row r="628" spans="2:7" ht="13">
      <c r="B628" s="36"/>
      <c r="C628" s="80"/>
      <c r="D628" s="5"/>
      <c r="E628" s="5"/>
      <c r="F628" s="5"/>
      <c r="G628" s="5"/>
    </row>
    <row r="629" spans="2:7" ht="13">
      <c r="B629" s="36"/>
      <c r="C629" s="80"/>
      <c r="D629" s="5"/>
      <c r="E629" s="5"/>
      <c r="F629" s="5"/>
      <c r="G629" s="5"/>
    </row>
    <row r="630" spans="2:7" ht="13">
      <c r="B630" s="36"/>
      <c r="C630" s="80"/>
      <c r="D630" s="5"/>
      <c r="E630" s="5"/>
      <c r="F630" s="5"/>
      <c r="G630" s="5"/>
    </row>
    <row r="631" spans="2:7" ht="13">
      <c r="B631" s="36"/>
      <c r="C631" s="80"/>
      <c r="D631" s="5"/>
      <c r="E631" s="5"/>
      <c r="F631" s="5"/>
      <c r="G631" s="5"/>
    </row>
    <row r="632" spans="2:7" ht="13">
      <c r="B632" s="36"/>
      <c r="C632" s="80"/>
      <c r="D632" s="5"/>
      <c r="E632" s="5"/>
      <c r="F632" s="5"/>
      <c r="G632" s="5"/>
    </row>
    <row r="633" spans="2:7" ht="13">
      <c r="B633" s="36"/>
      <c r="C633" s="80"/>
      <c r="D633" s="5"/>
      <c r="E633" s="5"/>
      <c r="F633" s="5"/>
      <c r="G633" s="5"/>
    </row>
    <row r="634" spans="2:7" ht="13">
      <c r="B634" s="36"/>
      <c r="C634" s="80"/>
      <c r="D634" s="5"/>
      <c r="E634" s="5"/>
      <c r="F634" s="5"/>
      <c r="G634" s="5"/>
    </row>
    <row r="635" spans="2:7" ht="13">
      <c r="B635" s="36"/>
      <c r="C635" s="80"/>
      <c r="D635" s="5"/>
      <c r="E635" s="5"/>
      <c r="F635" s="5"/>
      <c r="G635" s="5"/>
    </row>
    <row r="636" spans="2:7" ht="13">
      <c r="B636" s="36"/>
      <c r="C636" s="80"/>
      <c r="D636" s="5"/>
      <c r="E636" s="5"/>
      <c r="F636" s="5"/>
      <c r="G636" s="5"/>
    </row>
    <row r="637" spans="2:7" ht="13">
      <c r="B637" s="36"/>
      <c r="C637" s="80"/>
      <c r="D637" s="5"/>
      <c r="E637" s="5"/>
      <c r="F637" s="5"/>
      <c r="G637" s="5"/>
    </row>
    <row r="638" spans="2:7" ht="13">
      <c r="B638" s="36"/>
      <c r="C638" s="80"/>
      <c r="D638" s="5"/>
      <c r="E638" s="5"/>
      <c r="F638" s="5"/>
      <c r="G638" s="5"/>
    </row>
    <row r="639" spans="2:7" ht="13">
      <c r="B639" s="36"/>
      <c r="C639" s="80"/>
      <c r="D639" s="5"/>
      <c r="E639" s="5"/>
      <c r="F639" s="5"/>
      <c r="G639" s="5"/>
    </row>
    <row r="640" spans="2:7" ht="13">
      <c r="B640" s="36"/>
      <c r="C640" s="80"/>
      <c r="D640" s="5"/>
      <c r="E640" s="5"/>
      <c r="F640" s="5"/>
      <c r="G640" s="5"/>
    </row>
    <row r="641" spans="2:7" ht="13">
      <c r="B641" s="36"/>
      <c r="C641" s="80"/>
      <c r="D641" s="5"/>
      <c r="E641" s="5"/>
      <c r="F641" s="5"/>
      <c r="G641" s="5"/>
    </row>
    <row r="642" spans="2:7" ht="13">
      <c r="B642" s="36"/>
      <c r="C642" s="80"/>
      <c r="D642" s="5"/>
      <c r="E642" s="5"/>
      <c r="F642" s="5"/>
      <c r="G642" s="5"/>
    </row>
    <row r="643" spans="2:7" ht="13">
      <c r="B643" s="36"/>
      <c r="C643" s="80"/>
      <c r="D643" s="5"/>
      <c r="E643" s="5"/>
      <c r="F643" s="5"/>
      <c r="G643" s="5"/>
    </row>
    <row r="644" spans="2:7" ht="13">
      <c r="B644" s="36"/>
      <c r="C644" s="80"/>
      <c r="D644" s="5"/>
      <c r="E644" s="5"/>
      <c r="F644" s="5"/>
      <c r="G644" s="5"/>
    </row>
    <row r="645" spans="2:7" ht="13">
      <c r="B645" s="36"/>
      <c r="C645" s="80"/>
      <c r="D645" s="5"/>
      <c r="E645" s="5"/>
      <c r="F645" s="5"/>
      <c r="G645" s="5"/>
    </row>
    <row r="646" spans="2:7" ht="13">
      <c r="B646" s="36"/>
      <c r="C646" s="80"/>
      <c r="D646" s="5"/>
      <c r="E646" s="5"/>
      <c r="F646" s="5"/>
      <c r="G646" s="5"/>
    </row>
    <row r="647" spans="2:7" ht="13">
      <c r="B647" s="36"/>
      <c r="C647" s="80"/>
      <c r="D647" s="5"/>
      <c r="E647" s="5"/>
      <c r="F647" s="5"/>
      <c r="G647" s="5"/>
    </row>
    <row r="648" spans="2:7" ht="13">
      <c r="B648" s="36"/>
      <c r="C648" s="80"/>
      <c r="D648" s="5"/>
      <c r="E648" s="5"/>
      <c r="F648" s="5"/>
      <c r="G648" s="5"/>
    </row>
    <row r="649" spans="2:7" ht="13">
      <c r="B649" s="36"/>
      <c r="C649" s="80"/>
      <c r="D649" s="5"/>
      <c r="E649" s="5"/>
      <c r="F649" s="5"/>
      <c r="G649" s="5"/>
    </row>
    <row r="650" spans="2:7" ht="13">
      <c r="B650" s="36"/>
      <c r="C650" s="80"/>
      <c r="D650" s="5"/>
      <c r="E650" s="5"/>
      <c r="F650" s="5"/>
      <c r="G650" s="5"/>
    </row>
    <row r="651" spans="2:7" ht="13">
      <c r="B651" s="36"/>
      <c r="C651" s="80"/>
      <c r="D651" s="5"/>
      <c r="E651" s="5"/>
      <c r="F651" s="5"/>
      <c r="G651" s="5"/>
    </row>
    <row r="652" spans="2:7" ht="13">
      <c r="B652" s="36"/>
      <c r="C652" s="80"/>
      <c r="D652" s="5"/>
      <c r="E652" s="5"/>
      <c r="F652" s="5"/>
      <c r="G652" s="5"/>
    </row>
    <row r="653" spans="2:7" ht="13">
      <c r="B653" s="36"/>
      <c r="C653" s="80"/>
      <c r="D653" s="5"/>
      <c r="E653" s="5"/>
      <c r="F653" s="5"/>
      <c r="G653" s="5"/>
    </row>
    <row r="654" spans="2:7" ht="13">
      <c r="B654" s="36"/>
      <c r="C654" s="80"/>
      <c r="D654" s="5"/>
      <c r="E654" s="5"/>
      <c r="F654" s="5"/>
      <c r="G654" s="5"/>
    </row>
    <row r="655" spans="2:7" ht="13">
      <c r="B655" s="36"/>
      <c r="C655" s="80"/>
      <c r="D655" s="5"/>
      <c r="E655" s="5"/>
      <c r="F655" s="5"/>
      <c r="G655" s="5"/>
    </row>
    <row r="656" spans="2:7" ht="13">
      <c r="B656" s="36"/>
      <c r="C656" s="80"/>
      <c r="D656" s="5"/>
      <c r="E656" s="5"/>
      <c r="F656" s="5"/>
      <c r="G656" s="5"/>
    </row>
    <row r="657" spans="2:7" ht="13">
      <c r="B657" s="36"/>
      <c r="C657" s="80"/>
      <c r="D657" s="5"/>
      <c r="E657" s="5"/>
      <c r="F657" s="5"/>
      <c r="G657" s="5"/>
    </row>
    <row r="658" spans="2:7" ht="13">
      <c r="B658" s="36"/>
      <c r="C658" s="80"/>
      <c r="D658" s="5"/>
      <c r="E658" s="5"/>
      <c r="F658" s="5"/>
      <c r="G658" s="5"/>
    </row>
    <row r="659" spans="2:7" ht="13">
      <c r="B659" s="36"/>
      <c r="C659" s="80"/>
      <c r="D659" s="5"/>
      <c r="E659" s="5"/>
      <c r="F659" s="5"/>
      <c r="G659" s="5"/>
    </row>
    <row r="660" spans="2:7" ht="13">
      <c r="B660" s="36"/>
      <c r="C660" s="80"/>
      <c r="D660" s="5"/>
      <c r="E660" s="5"/>
      <c r="F660" s="5"/>
      <c r="G660" s="5"/>
    </row>
    <row r="661" spans="2:7" ht="13">
      <c r="B661" s="36"/>
      <c r="C661" s="80"/>
      <c r="D661" s="5"/>
      <c r="E661" s="5"/>
      <c r="F661" s="5"/>
      <c r="G661" s="5"/>
    </row>
    <row r="662" spans="2:7" ht="13">
      <c r="B662" s="36"/>
      <c r="C662" s="80"/>
      <c r="D662" s="5"/>
      <c r="E662" s="5"/>
      <c r="F662" s="5"/>
      <c r="G662" s="5"/>
    </row>
    <row r="663" spans="2:7" ht="13">
      <c r="B663" s="36"/>
      <c r="C663" s="80"/>
      <c r="D663" s="5"/>
      <c r="E663" s="5"/>
      <c r="F663" s="5"/>
      <c r="G663" s="5"/>
    </row>
    <row r="664" spans="2:7" ht="13">
      <c r="B664" s="36"/>
      <c r="C664" s="80"/>
      <c r="D664" s="5"/>
      <c r="E664" s="5"/>
      <c r="F664" s="5"/>
      <c r="G664" s="5"/>
    </row>
    <row r="665" spans="2:7" ht="13">
      <c r="B665" s="36"/>
      <c r="C665" s="80"/>
      <c r="D665" s="5"/>
      <c r="E665" s="5"/>
      <c r="F665" s="5"/>
      <c r="G665" s="5"/>
    </row>
    <row r="666" spans="2:7" ht="13">
      <c r="B666" s="36"/>
      <c r="C666" s="80"/>
      <c r="D666" s="5"/>
      <c r="E666" s="5"/>
      <c r="F666" s="5"/>
      <c r="G666" s="5"/>
    </row>
    <row r="667" spans="2:7" ht="13">
      <c r="B667" s="36"/>
      <c r="C667" s="80"/>
      <c r="D667" s="5"/>
      <c r="E667" s="5"/>
      <c r="F667" s="5"/>
      <c r="G667" s="5"/>
    </row>
    <row r="668" spans="2:7" ht="13">
      <c r="B668" s="36"/>
      <c r="C668" s="80"/>
      <c r="D668" s="5"/>
      <c r="E668" s="5"/>
      <c r="F668" s="5"/>
      <c r="G668" s="5"/>
    </row>
    <row r="669" spans="2:7" ht="13">
      <c r="B669" s="36"/>
      <c r="C669" s="80"/>
      <c r="D669" s="5"/>
      <c r="E669" s="5"/>
      <c r="F669" s="5"/>
      <c r="G669" s="5"/>
    </row>
    <row r="670" spans="2:7" ht="13">
      <c r="B670" s="36"/>
      <c r="C670" s="80"/>
      <c r="D670" s="5"/>
      <c r="E670" s="5"/>
      <c r="F670" s="5"/>
      <c r="G670" s="5"/>
    </row>
    <row r="671" spans="2:7" ht="13">
      <c r="B671" s="36"/>
      <c r="C671" s="80"/>
      <c r="D671" s="5"/>
      <c r="E671" s="5"/>
      <c r="F671" s="5"/>
      <c r="G671" s="5"/>
    </row>
    <row r="672" spans="2:7" ht="13">
      <c r="B672" s="36"/>
      <c r="C672" s="80"/>
      <c r="D672" s="5"/>
      <c r="E672" s="5"/>
      <c r="F672" s="5"/>
      <c r="G672" s="5"/>
    </row>
    <row r="673" spans="2:7" ht="13">
      <c r="B673" s="36"/>
      <c r="C673" s="80"/>
      <c r="D673" s="5"/>
      <c r="E673" s="5"/>
      <c r="F673" s="5"/>
      <c r="G673" s="5"/>
    </row>
    <row r="674" spans="2:7" ht="13">
      <c r="B674" s="36"/>
      <c r="C674" s="80"/>
      <c r="D674" s="5"/>
      <c r="E674" s="5"/>
      <c r="F674" s="5"/>
      <c r="G674" s="5"/>
    </row>
    <row r="675" spans="2:7" ht="13">
      <c r="B675" s="36"/>
      <c r="C675" s="80"/>
      <c r="D675" s="5"/>
      <c r="E675" s="5"/>
      <c r="F675" s="5"/>
      <c r="G675" s="5"/>
    </row>
    <row r="676" spans="2:7" ht="13">
      <c r="B676" s="36"/>
      <c r="C676" s="80"/>
      <c r="D676" s="5"/>
      <c r="E676" s="5"/>
      <c r="F676" s="5"/>
      <c r="G676" s="5"/>
    </row>
    <row r="677" spans="2:7" ht="13">
      <c r="B677" s="36"/>
      <c r="C677" s="80"/>
      <c r="D677" s="5"/>
      <c r="E677" s="5"/>
      <c r="F677" s="5"/>
      <c r="G677" s="5"/>
    </row>
    <row r="678" spans="2:7" ht="13">
      <c r="B678" s="36"/>
      <c r="C678" s="80"/>
      <c r="D678" s="5"/>
      <c r="E678" s="5"/>
      <c r="F678" s="5"/>
      <c r="G678" s="5"/>
    </row>
    <row r="679" spans="2:7" ht="13">
      <c r="B679" s="36"/>
      <c r="C679" s="80"/>
      <c r="D679" s="5"/>
      <c r="E679" s="5"/>
      <c r="F679" s="5"/>
      <c r="G679" s="5"/>
    </row>
    <row r="680" spans="2:7" ht="13">
      <c r="B680" s="36"/>
      <c r="C680" s="80"/>
      <c r="D680" s="5"/>
      <c r="E680" s="5"/>
      <c r="F680" s="5"/>
      <c r="G680" s="5"/>
    </row>
    <row r="681" spans="2:7" ht="13">
      <c r="B681" s="36"/>
      <c r="C681" s="80"/>
      <c r="D681" s="5"/>
      <c r="E681" s="5"/>
      <c r="F681" s="5"/>
      <c r="G681" s="5"/>
    </row>
    <row r="682" spans="2:7" ht="13">
      <c r="B682" s="36"/>
      <c r="C682" s="80"/>
      <c r="D682" s="5"/>
      <c r="E682" s="5"/>
      <c r="F682" s="5"/>
      <c r="G682" s="5"/>
    </row>
    <row r="683" spans="2:7" ht="13">
      <c r="B683" s="36"/>
      <c r="C683" s="80"/>
      <c r="D683" s="5"/>
      <c r="E683" s="5"/>
      <c r="F683" s="5"/>
      <c r="G683" s="5"/>
    </row>
    <row r="684" spans="2:7" ht="13">
      <c r="B684" s="36"/>
      <c r="C684" s="80"/>
      <c r="D684" s="5"/>
      <c r="E684" s="5"/>
      <c r="F684" s="5"/>
      <c r="G684" s="5"/>
    </row>
    <row r="685" spans="2:7" ht="13">
      <c r="B685" s="36"/>
      <c r="C685" s="80"/>
      <c r="D685" s="5"/>
      <c r="E685" s="5"/>
      <c r="F685" s="5"/>
      <c r="G685" s="5"/>
    </row>
    <row r="686" spans="2:7" ht="13">
      <c r="B686" s="36"/>
      <c r="C686" s="80"/>
      <c r="D686" s="5"/>
      <c r="E686" s="5"/>
      <c r="F686" s="5"/>
      <c r="G686" s="5"/>
    </row>
    <row r="687" spans="2:7" ht="13">
      <c r="B687" s="36"/>
      <c r="C687" s="80"/>
      <c r="D687" s="5"/>
      <c r="E687" s="5"/>
      <c r="F687" s="5"/>
      <c r="G687" s="5"/>
    </row>
    <row r="688" spans="2:7" ht="13">
      <c r="B688" s="36"/>
      <c r="C688" s="80"/>
      <c r="D688" s="5"/>
      <c r="E688" s="5"/>
      <c r="F688" s="5"/>
      <c r="G688" s="5"/>
    </row>
    <row r="689" spans="2:7" ht="13">
      <c r="B689" s="36"/>
      <c r="C689" s="80"/>
      <c r="D689" s="5"/>
      <c r="E689" s="5"/>
      <c r="F689" s="5"/>
      <c r="G689" s="5"/>
    </row>
    <row r="690" spans="2:7" ht="13">
      <c r="B690" s="36"/>
      <c r="C690" s="80"/>
      <c r="D690" s="5"/>
      <c r="E690" s="5"/>
      <c r="F690" s="5"/>
      <c r="G690" s="5"/>
    </row>
    <row r="691" spans="2:7" ht="13">
      <c r="B691" s="36"/>
      <c r="C691" s="80"/>
      <c r="D691" s="5"/>
      <c r="E691" s="5"/>
      <c r="F691" s="5"/>
      <c r="G691" s="5"/>
    </row>
    <row r="692" spans="2:7" ht="13">
      <c r="B692" s="36"/>
      <c r="C692" s="80"/>
      <c r="D692" s="5"/>
      <c r="E692" s="5"/>
      <c r="F692" s="5"/>
      <c r="G692" s="5"/>
    </row>
    <row r="693" spans="2:7" ht="13">
      <c r="B693" s="36"/>
      <c r="C693" s="80"/>
      <c r="D693" s="5"/>
      <c r="E693" s="5"/>
      <c r="F693" s="5"/>
      <c r="G693" s="5"/>
    </row>
    <row r="694" spans="2:7" ht="13">
      <c r="B694" s="36"/>
      <c r="C694" s="80"/>
      <c r="D694" s="5"/>
      <c r="E694" s="5"/>
      <c r="F694" s="5"/>
      <c r="G694" s="5"/>
    </row>
    <row r="695" spans="2:7" ht="13">
      <c r="B695" s="36"/>
      <c r="C695" s="80"/>
      <c r="D695" s="5"/>
      <c r="E695" s="5"/>
      <c r="F695" s="5"/>
      <c r="G695" s="5"/>
    </row>
    <row r="696" spans="2:7" ht="13">
      <c r="B696" s="36"/>
      <c r="C696" s="80"/>
      <c r="D696" s="5"/>
      <c r="E696" s="5"/>
      <c r="F696" s="5"/>
      <c r="G696" s="5"/>
    </row>
    <row r="697" spans="2:7" ht="13">
      <c r="B697" s="36"/>
      <c r="C697" s="80"/>
      <c r="D697" s="5"/>
      <c r="E697" s="5"/>
      <c r="F697" s="5"/>
      <c r="G697" s="5"/>
    </row>
    <row r="698" spans="2:7" ht="13">
      <c r="B698" s="36"/>
      <c r="C698" s="80"/>
      <c r="D698" s="5"/>
      <c r="E698" s="5"/>
      <c r="F698" s="5"/>
      <c r="G698" s="5"/>
    </row>
    <row r="699" spans="2:7" ht="13">
      <c r="B699" s="36"/>
      <c r="C699" s="80"/>
      <c r="D699" s="5"/>
      <c r="E699" s="5"/>
      <c r="F699" s="5"/>
      <c r="G699" s="5"/>
    </row>
    <row r="700" spans="2:7" ht="13">
      <c r="B700" s="36"/>
      <c r="C700" s="80"/>
      <c r="D700" s="5"/>
      <c r="E700" s="5"/>
      <c r="F700" s="5"/>
      <c r="G700" s="5"/>
    </row>
    <row r="701" spans="2:7" ht="13">
      <c r="B701" s="36"/>
      <c r="C701" s="80"/>
      <c r="D701" s="5"/>
      <c r="E701" s="5"/>
      <c r="F701" s="5"/>
      <c r="G701" s="5"/>
    </row>
    <row r="702" spans="2:7" ht="13">
      <c r="B702" s="36"/>
      <c r="C702" s="80"/>
      <c r="D702" s="5"/>
      <c r="E702" s="5"/>
      <c r="F702" s="5"/>
      <c r="G702" s="5"/>
    </row>
    <row r="703" spans="2:7" ht="13">
      <c r="B703" s="36"/>
      <c r="C703" s="80"/>
      <c r="D703" s="5"/>
      <c r="E703" s="5"/>
      <c r="F703" s="5"/>
      <c r="G703" s="5"/>
    </row>
    <row r="704" spans="2:7" ht="13">
      <c r="B704" s="36"/>
      <c r="C704" s="80"/>
      <c r="D704" s="5"/>
      <c r="E704" s="5"/>
      <c r="F704" s="5"/>
      <c r="G704" s="5"/>
    </row>
    <row r="705" spans="2:7" ht="13">
      <c r="B705" s="36"/>
      <c r="C705" s="80"/>
      <c r="D705" s="5"/>
      <c r="E705" s="5"/>
      <c r="F705" s="5"/>
      <c r="G705" s="5"/>
    </row>
    <row r="706" spans="2:7" ht="13">
      <c r="B706" s="36"/>
      <c r="C706" s="80"/>
      <c r="D706" s="5"/>
      <c r="E706" s="5"/>
      <c r="F706" s="5"/>
      <c r="G706" s="5"/>
    </row>
    <row r="707" spans="2:7" ht="13">
      <c r="B707" s="36"/>
      <c r="C707" s="80"/>
      <c r="D707" s="5"/>
      <c r="E707" s="5"/>
      <c r="F707" s="5"/>
      <c r="G707" s="5"/>
    </row>
    <row r="708" spans="2:7" ht="13">
      <c r="B708" s="36"/>
      <c r="C708" s="80"/>
      <c r="D708" s="5"/>
      <c r="E708" s="5"/>
      <c r="F708" s="5"/>
      <c r="G708" s="5"/>
    </row>
    <row r="709" spans="2:7" ht="13">
      <c r="B709" s="36"/>
      <c r="C709" s="80"/>
      <c r="D709" s="5"/>
      <c r="E709" s="5"/>
      <c r="F709" s="5"/>
      <c r="G709" s="5"/>
    </row>
    <row r="710" spans="2:7" ht="13">
      <c r="B710" s="36"/>
      <c r="C710" s="80"/>
      <c r="D710" s="5"/>
      <c r="E710" s="5"/>
      <c r="F710" s="5"/>
      <c r="G710" s="5"/>
    </row>
    <row r="711" spans="2:7" ht="13">
      <c r="B711" s="36"/>
      <c r="C711" s="80"/>
      <c r="D711" s="5"/>
      <c r="E711" s="5"/>
      <c r="F711" s="5"/>
      <c r="G711" s="5"/>
    </row>
    <row r="712" spans="2:7" ht="13">
      <c r="B712" s="36"/>
      <c r="C712" s="80"/>
      <c r="D712" s="5"/>
      <c r="E712" s="5"/>
      <c r="F712" s="5"/>
      <c r="G712" s="5"/>
    </row>
    <row r="713" spans="2:7" ht="13">
      <c r="B713" s="36"/>
      <c r="C713" s="80"/>
      <c r="D713" s="5"/>
      <c r="E713" s="5"/>
      <c r="F713" s="5"/>
      <c r="G713" s="5"/>
    </row>
    <row r="714" spans="2:7" ht="13">
      <c r="B714" s="36"/>
      <c r="C714" s="80"/>
      <c r="D714" s="5"/>
      <c r="E714" s="5"/>
      <c r="F714" s="5"/>
      <c r="G714" s="5"/>
    </row>
    <row r="715" spans="2:7" ht="13">
      <c r="B715" s="36"/>
      <c r="C715" s="80"/>
      <c r="D715" s="5"/>
      <c r="E715" s="5"/>
      <c r="F715" s="5"/>
      <c r="G715" s="5"/>
    </row>
    <row r="716" spans="2:7" ht="13">
      <c r="B716" s="36"/>
      <c r="C716" s="80"/>
      <c r="D716" s="5"/>
      <c r="E716" s="5"/>
      <c r="F716" s="5"/>
      <c r="G716" s="5"/>
    </row>
    <row r="717" spans="2:7" ht="13">
      <c r="B717" s="36"/>
      <c r="C717" s="80"/>
      <c r="D717" s="5"/>
      <c r="E717" s="5"/>
      <c r="F717" s="5"/>
      <c r="G717" s="5"/>
    </row>
    <row r="718" spans="2:7" ht="13">
      <c r="B718" s="36"/>
      <c r="C718" s="80"/>
      <c r="D718" s="5"/>
      <c r="E718" s="5"/>
      <c r="F718" s="5"/>
      <c r="G718" s="5"/>
    </row>
    <row r="719" spans="2:7" ht="13">
      <c r="B719" s="36"/>
      <c r="C719" s="80"/>
      <c r="D719" s="5"/>
      <c r="E719" s="5"/>
      <c r="F719" s="5"/>
      <c r="G719" s="5"/>
    </row>
    <row r="720" spans="2:7" ht="13">
      <c r="B720" s="36"/>
      <c r="C720" s="80"/>
      <c r="D720" s="5"/>
      <c r="E720" s="5"/>
      <c r="F720" s="5"/>
      <c r="G720" s="5"/>
    </row>
    <row r="721" spans="2:7" ht="13">
      <c r="B721" s="36"/>
      <c r="C721" s="80"/>
      <c r="D721" s="5"/>
      <c r="E721" s="5"/>
      <c r="F721" s="5"/>
      <c r="G721" s="5"/>
    </row>
    <row r="722" spans="2:7" ht="13">
      <c r="B722" s="36"/>
      <c r="C722" s="80"/>
      <c r="D722" s="5"/>
      <c r="E722" s="5"/>
      <c r="F722" s="5"/>
      <c r="G722" s="5"/>
    </row>
    <row r="723" spans="2:7" ht="13">
      <c r="B723" s="36"/>
      <c r="C723" s="80"/>
      <c r="D723" s="5"/>
      <c r="E723" s="5"/>
      <c r="F723" s="5"/>
      <c r="G723" s="5"/>
    </row>
    <row r="724" spans="2:7" ht="13">
      <c r="B724" s="36"/>
      <c r="C724" s="80"/>
      <c r="D724" s="5"/>
      <c r="E724" s="5"/>
      <c r="F724" s="5"/>
      <c r="G724" s="5"/>
    </row>
    <row r="725" spans="2:7" ht="13">
      <c r="B725" s="36"/>
      <c r="C725" s="80"/>
      <c r="D725" s="5"/>
      <c r="E725" s="5"/>
      <c r="F725" s="5"/>
      <c r="G725" s="5"/>
    </row>
    <row r="726" spans="2:7" ht="13">
      <c r="B726" s="36"/>
      <c r="C726" s="80"/>
      <c r="D726" s="5"/>
      <c r="E726" s="5"/>
      <c r="F726" s="5"/>
      <c r="G726" s="5"/>
    </row>
    <row r="727" spans="2:7" ht="13">
      <c r="B727" s="36"/>
      <c r="C727" s="80"/>
      <c r="D727" s="5"/>
      <c r="E727" s="5"/>
      <c r="F727" s="5"/>
      <c r="G727" s="5"/>
    </row>
    <row r="728" spans="2:7" ht="13">
      <c r="B728" s="36"/>
      <c r="C728" s="80"/>
      <c r="D728" s="5"/>
      <c r="E728" s="5"/>
      <c r="F728" s="5"/>
      <c r="G728" s="5"/>
    </row>
    <row r="729" spans="2:7" ht="13">
      <c r="B729" s="36"/>
      <c r="C729" s="80"/>
      <c r="D729" s="5"/>
      <c r="E729" s="5"/>
      <c r="F729" s="5"/>
      <c r="G729" s="5"/>
    </row>
    <row r="730" spans="2:7" ht="13">
      <c r="B730" s="36"/>
      <c r="C730" s="80"/>
      <c r="D730" s="5"/>
      <c r="E730" s="5"/>
      <c r="F730" s="5"/>
      <c r="G730" s="5"/>
    </row>
    <row r="731" spans="2:7" ht="13">
      <c r="B731" s="36"/>
      <c r="C731" s="80"/>
      <c r="D731" s="5"/>
      <c r="E731" s="5"/>
      <c r="F731" s="5"/>
      <c r="G731" s="5"/>
    </row>
    <row r="732" spans="2:7" ht="13">
      <c r="B732" s="36"/>
      <c r="C732" s="80"/>
      <c r="D732" s="5"/>
      <c r="E732" s="5"/>
      <c r="F732" s="5"/>
      <c r="G732" s="5"/>
    </row>
    <row r="733" spans="2:7" ht="13">
      <c r="B733" s="36"/>
      <c r="C733" s="80"/>
      <c r="D733" s="5"/>
      <c r="E733" s="5"/>
      <c r="F733" s="5"/>
      <c r="G733" s="5"/>
    </row>
    <row r="734" spans="2:7" ht="13">
      <c r="B734" s="36"/>
      <c r="C734" s="80"/>
      <c r="D734" s="5"/>
      <c r="E734" s="5"/>
      <c r="F734" s="5"/>
      <c r="G734" s="5"/>
    </row>
    <row r="735" spans="2:7" ht="13">
      <c r="B735" s="36"/>
      <c r="C735" s="80"/>
      <c r="D735" s="5"/>
      <c r="E735" s="5"/>
      <c r="F735" s="5"/>
      <c r="G735" s="5"/>
    </row>
    <row r="736" spans="2:7" ht="13">
      <c r="B736" s="36"/>
      <c r="C736" s="80"/>
      <c r="D736" s="5"/>
      <c r="E736" s="5"/>
      <c r="F736" s="5"/>
      <c r="G736" s="5"/>
    </row>
    <row r="737" spans="2:7" ht="13">
      <c r="B737" s="36"/>
      <c r="C737" s="80"/>
      <c r="D737" s="5"/>
      <c r="E737" s="5"/>
      <c r="F737" s="5"/>
      <c r="G737" s="5"/>
    </row>
    <row r="738" spans="2:7" ht="13">
      <c r="B738" s="36"/>
      <c r="C738" s="80"/>
      <c r="D738" s="5"/>
      <c r="E738" s="5"/>
      <c r="F738" s="5"/>
      <c r="G738" s="5"/>
    </row>
    <row r="739" spans="2:7" ht="13">
      <c r="B739" s="36"/>
      <c r="C739" s="80"/>
      <c r="D739" s="5"/>
      <c r="E739" s="5"/>
      <c r="F739" s="5"/>
      <c r="G739" s="5"/>
    </row>
    <row r="740" spans="2:7" ht="13">
      <c r="B740" s="36"/>
      <c r="C740" s="80"/>
      <c r="D740" s="5"/>
      <c r="E740" s="5"/>
      <c r="F740" s="5"/>
      <c r="G740" s="5"/>
    </row>
    <row r="741" spans="2:7" ht="13">
      <c r="B741" s="36"/>
      <c r="C741" s="80"/>
      <c r="D741" s="5"/>
      <c r="E741" s="5"/>
      <c r="F741" s="5"/>
      <c r="G741" s="5"/>
    </row>
    <row r="742" spans="2:7" ht="13">
      <c r="B742" s="36"/>
      <c r="C742" s="80"/>
      <c r="D742" s="5"/>
      <c r="E742" s="5"/>
      <c r="F742" s="5"/>
      <c r="G742" s="5"/>
    </row>
    <row r="743" spans="2:7" ht="13">
      <c r="B743" s="36"/>
      <c r="C743" s="80"/>
      <c r="D743" s="5"/>
      <c r="E743" s="5"/>
      <c r="F743" s="5"/>
      <c r="G743" s="5"/>
    </row>
    <row r="744" spans="2:7" ht="13">
      <c r="B744" s="36"/>
      <c r="C744" s="80"/>
      <c r="D744" s="5"/>
      <c r="E744" s="5"/>
      <c r="F744" s="5"/>
      <c r="G744" s="5"/>
    </row>
    <row r="745" spans="2:7" ht="13">
      <c r="B745" s="36"/>
      <c r="C745" s="80"/>
      <c r="D745" s="5"/>
      <c r="E745" s="5"/>
      <c r="F745" s="5"/>
      <c r="G745" s="5"/>
    </row>
    <row r="746" spans="2:7" ht="13">
      <c r="B746" s="36"/>
      <c r="C746" s="80"/>
      <c r="D746" s="5"/>
      <c r="E746" s="5"/>
      <c r="F746" s="5"/>
      <c r="G746" s="5"/>
    </row>
    <row r="747" spans="2:7" ht="13">
      <c r="B747" s="36"/>
      <c r="C747" s="80"/>
      <c r="D747" s="5"/>
      <c r="E747" s="5"/>
      <c r="F747" s="5"/>
      <c r="G747" s="5"/>
    </row>
    <row r="748" spans="2:7" ht="13">
      <c r="B748" s="36"/>
      <c r="C748" s="80"/>
      <c r="D748" s="5"/>
      <c r="E748" s="5"/>
      <c r="F748" s="5"/>
      <c r="G748" s="5"/>
    </row>
    <row r="749" spans="2:7" ht="13">
      <c r="B749" s="36"/>
      <c r="C749" s="80"/>
      <c r="D749" s="5"/>
      <c r="E749" s="5"/>
      <c r="F749" s="5"/>
      <c r="G749" s="5"/>
    </row>
    <row r="750" spans="2:7" ht="13">
      <c r="B750" s="36"/>
      <c r="C750" s="80"/>
      <c r="D750" s="5"/>
      <c r="E750" s="5"/>
      <c r="F750" s="5"/>
      <c r="G750" s="5"/>
    </row>
    <row r="751" spans="2:7" ht="13">
      <c r="B751" s="36"/>
      <c r="C751" s="80"/>
      <c r="D751" s="5"/>
      <c r="E751" s="5"/>
      <c r="F751" s="5"/>
      <c r="G751" s="5"/>
    </row>
    <row r="752" spans="2:7" ht="13">
      <c r="B752" s="36"/>
      <c r="C752" s="80"/>
      <c r="D752" s="5"/>
      <c r="E752" s="5"/>
      <c r="F752" s="5"/>
      <c r="G752" s="5"/>
    </row>
    <row r="753" spans="2:7" ht="13">
      <c r="B753" s="36"/>
      <c r="C753" s="80"/>
      <c r="D753" s="5"/>
      <c r="E753" s="5"/>
      <c r="F753" s="5"/>
      <c r="G753" s="5"/>
    </row>
    <row r="754" spans="2:7" ht="13">
      <c r="B754" s="36"/>
      <c r="C754" s="80"/>
      <c r="D754" s="5"/>
      <c r="E754" s="5"/>
      <c r="F754" s="5"/>
      <c r="G754" s="5"/>
    </row>
    <row r="755" spans="2:7" ht="13">
      <c r="B755" s="36"/>
      <c r="C755" s="80"/>
      <c r="D755" s="5"/>
      <c r="E755" s="5"/>
      <c r="F755" s="5"/>
      <c r="G755" s="5"/>
    </row>
    <row r="756" spans="2:7" ht="13">
      <c r="B756" s="36"/>
      <c r="C756" s="80"/>
      <c r="D756" s="5"/>
      <c r="E756" s="5"/>
      <c r="F756" s="5"/>
      <c r="G756" s="5"/>
    </row>
    <row r="757" spans="2:7" ht="13">
      <c r="B757" s="36"/>
      <c r="C757" s="80"/>
      <c r="D757" s="5"/>
      <c r="E757" s="5"/>
      <c r="F757" s="5"/>
      <c r="G757" s="5"/>
    </row>
    <row r="758" spans="2:7" ht="13">
      <c r="B758" s="36"/>
      <c r="C758" s="80"/>
      <c r="D758" s="5"/>
      <c r="E758" s="5"/>
      <c r="F758" s="5"/>
      <c r="G758" s="5"/>
    </row>
    <row r="759" spans="2:7" ht="13">
      <c r="B759" s="36"/>
      <c r="C759" s="80"/>
      <c r="D759" s="5"/>
      <c r="E759" s="5"/>
      <c r="F759" s="5"/>
      <c r="G759" s="5"/>
    </row>
    <row r="760" spans="2:7" ht="13">
      <c r="B760" s="36"/>
      <c r="C760" s="80"/>
      <c r="D760" s="5"/>
      <c r="E760" s="5"/>
      <c r="F760" s="5"/>
      <c r="G760" s="5"/>
    </row>
    <row r="761" spans="2:7" ht="13">
      <c r="B761" s="36"/>
      <c r="C761" s="80"/>
      <c r="D761" s="5"/>
      <c r="E761" s="5"/>
      <c r="F761" s="5"/>
      <c r="G761" s="5"/>
    </row>
    <row r="762" spans="2:7" ht="13">
      <c r="B762" s="36"/>
      <c r="C762" s="80"/>
      <c r="D762" s="5"/>
      <c r="E762" s="5"/>
      <c r="F762" s="5"/>
      <c r="G762" s="5"/>
    </row>
    <row r="763" spans="2:7" ht="13">
      <c r="B763" s="36"/>
      <c r="C763" s="80"/>
      <c r="D763" s="5"/>
      <c r="E763" s="5"/>
      <c r="F763" s="5"/>
      <c r="G763" s="5"/>
    </row>
    <row r="764" spans="2:7" ht="13">
      <c r="B764" s="36"/>
      <c r="C764" s="80"/>
      <c r="D764" s="5"/>
      <c r="E764" s="5"/>
      <c r="F764" s="5"/>
      <c r="G764" s="5"/>
    </row>
    <row r="765" spans="2:7" ht="13">
      <c r="B765" s="36"/>
      <c r="C765" s="80"/>
      <c r="D765" s="5"/>
      <c r="E765" s="5"/>
      <c r="F765" s="5"/>
      <c r="G765" s="5"/>
    </row>
    <row r="766" spans="2:7" ht="13">
      <c r="B766" s="36"/>
      <c r="C766" s="80"/>
      <c r="D766" s="5"/>
      <c r="E766" s="5"/>
      <c r="F766" s="5"/>
      <c r="G766" s="5"/>
    </row>
    <row r="767" spans="2:7" ht="13">
      <c r="B767" s="36"/>
      <c r="C767" s="80"/>
      <c r="D767" s="5"/>
      <c r="E767" s="5"/>
      <c r="F767" s="5"/>
      <c r="G767" s="5"/>
    </row>
    <row r="768" spans="2:7" ht="13">
      <c r="B768" s="36"/>
      <c r="C768" s="80"/>
      <c r="D768" s="5"/>
      <c r="E768" s="5"/>
      <c r="F768" s="5"/>
      <c r="G768" s="5"/>
    </row>
    <row r="769" spans="2:7" ht="13">
      <c r="B769" s="36"/>
      <c r="C769" s="80"/>
      <c r="D769" s="5"/>
      <c r="E769" s="5"/>
      <c r="F769" s="5"/>
      <c r="G769" s="5"/>
    </row>
    <row r="770" spans="2:7" ht="13">
      <c r="B770" s="36"/>
      <c r="C770" s="80"/>
      <c r="D770" s="5"/>
      <c r="E770" s="5"/>
      <c r="F770" s="5"/>
      <c r="G770" s="5"/>
    </row>
    <row r="771" spans="2:7" ht="13">
      <c r="B771" s="36"/>
      <c r="C771" s="80"/>
      <c r="D771" s="5"/>
      <c r="E771" s="5"/>
      <c r="F771" s="5"/>
      <c r="G771" s="5"/>
    </row>
    <row r="772" spans="2:7" ht="13">
      <c r="B772" s="36"/>
      <c r="C772" s="80"/>
      <c r="D772" s="5"/>
      <c r="E772" s="5"/>
      <c r="F772" s="5"/>
      <c r="G772" s="5"/>
    </row>
    <row r="773" spans="2:7" ht="13">
      <c r="B773" s="36"/>
      <c r="C773" s="80"/>
      <c r="D773" s="5"/>
      <c r="E773" s="5"/>
      <c r="F773" s="5"/>
      <c r="G773" s="5"/>
    </row>
    <row r="774" spans="2:7" ht="13">
      <c r="B774" s="36"/>
      <c r="C774" s="80"/>
      <c r="D774" s="5"/>
      <c r="E774" s="5"/>
      <c r="F774" s="5"/>
      <c r="G774" s="5"/>
    </row>
    <row r="775" spans="2:7" ht="13">
      <c r="B775" s="36"/>
      <c r="C775" s="80"/>
      <c r="D775" s="5"/>
      <c r="E775" s="5"/>
      <c r="F775" s="5"/>
      <c r="G775" s="5"/>
    </row>
    <row r="776" spans="2:7" ht="13">
      <c r="B776" s="36"/>
      <c r="C776" s="80"/>
      <c r="D776" s="5"/>
      <c r="E776" s="5"/>
      <c r="F776" s="5"/>
      <c r="G776" s="5"/>
    </row>
    <row r="777" spans="2:7" ht="13">
      <c r="B777" s="36"/>
      <c r="C777" s="80"/>
      <c r="D777" s="5"/>
      <c r="E777" s="5"/>
      <c r="F777" s="5"/>
      <c r="G777" s="5"/>
    </row>
    <row r="778" spans="2:7" ht="13">
      <c r="B778" s="36"/>
      <c r="C778" s="80"/>
      <c r="D778" s="5"/>
      <c r="E778" s="5"/>
      <c r="F778" s="5"/>
      <c r="G778" s="5"/>
    </row>
    <row r="779" spans="2:7" ht="13">
      <c r="B779" s="36"/>
      <c r="C779" s="80"/>
      <c r="D779" s="5"/>
      <c r="E779" s="5"/>
      <c r="F779" s="5"/>
      <c r="G779" s="5"/>
    </row>
    <row r="780" spans="2:7" ht="13">
      <c r="B780" s="36"/>
      <c r="C780" s="80"/>
      <c r="D780" s="5"/>
      <c r="E780" s="5"/>
      <c r="F780" s="5"/>
      <c r="G780" s="5"/>
    </row>
    <row r="781" spans="2:7" ht="13">
      <c r="B781" s="36"/>
      <c r="C781" s="80"/>
      <c r="D781" s="5"/>
      <c r="E781" s="5"/>
      <c r="F781" s="5"/>
      <c r="G781" s="5"/>
    </row>
    <row r="782" spans="2:7" ht="13">
      <c r="B782" s="36"/>
      <c r="C782" s="80"/>
      <c r="D782" s="5"/>
      <c r="E782" s="5"/>
      <c r="F782" s="5"/>
      <c r="G782" s="5"/>
    </row>
    <row r="783" spans="2:7" ht="13">
      <c r="B783" s="36"/>
      <c r="C783" s="80"/>
      <c r="D783" s="5"/>
      <c r="E783" s="5"/>
      <c r="F783" s="5"/>
      <c r="G783" s="5"/>
    </row>
    <row r="784" spans="2:7" ht="13">
      <c r="B784" s="36"/>
      <c r="C784" s="80"/>
      <c r="D784" s="5"/>
      <c r="E784" s="5"/>
      <c r="F784" s="5"/>
      <c r="G784" s="5"/>
    </row>
    <row r="785" spans="2:7" ht="13">
      <c r="B785" s="36"/>
      <c r="C785" s="80"/>
      <c r="D785" s="5"/>
      <c r="E785" s="5"/>
      <c r="F785" s="5"/>
      <c r="G785" s="5"/>
    </row>
    <row r="786" spans="2:7" ht="13">
      <c r="B786" s="36"/>
      <c r="C786" s="80"/>
      <c r="D786" s="5"/>
      <c r="E786" s="5"/>
      <c r="F786" s="5"/>
      <c r="G786" s="5"/>
    </row>
    <row r="787" spans="2:7" ht="13">
      <c r="B787" s="36"/>
      <c r="C787" s="80"/>
      <c r="D787" s="5"/>
      <c r="E787" s="5"/>
      <c r="F787" s="5"/>
      <c r="G787" s="5"/>
    </row>
    <row r="788" spans="2:7" ht="13">
      <c r="B788" s="36"/>
      <c r="C788" s="80"/>
      <c r="D788" s="5"/>
      <c r="E788" s="5"/>
      <c r="F788" s="5"/>
      <c r="G788" s="5"/>
    </row>
    <row r="789" spans="2:7" ht="13">
      <c r="B789" s="36"/>
      <c r="C789" s="80"/>
      <c r="D789" s="5"/>
      <c r="E789" s="5"/>
      <c r="F789" s="5"/>
      <c r="G789" s="5"/>
    </row>
    <row r="790" spans="2:7" ht="13">
      <c r="B790" s="36"/>
      <c r="C790" s="80"/>
      <c r="D790" s="5"/>
      <c r="E790" s="5"/>
      <c r="F790" s="5"/>
      <c r="G790" s="5"/>
    </row>
    <row r="791" spans="2:7" ht="13">
      <c r="B791" s="36"/>
      <c r="C791" s="80"/>
      <c r="D791" s="5"/>
      <c r="E791" s="5"/>
      <c r="F791" s="5"/>
      <c r="G791" s="5"/>
    </row>
    <row r="792" spans="2:7" ht="13">
      <c r="B792" s="36"/>
      <c r="C792" s="80"/>
      <c r="D792" s="5"/>
      <c r="E792" s="5"/>
      <c r="F792" s="5"/>
      <c r="G792" s="5"/>
    </row>
    <row r="793" spans="2:7" ht="13">
      <c r="B793" s="36"/>
      <c r="C793" s="80"/>
      <c r="D793" s="5"/>
      <c r="E793" s="5"/>
      <c r="F793" s="5"/>
      <c r="G793" s="5"/>
    </row>
    <row r="794" spans="2:7" ht="13">
      <c r="B794" s="36"/>
      <c r="C794" s="80"/>
      <c r="D794" s="5"/>
      <c r="E794" s="5"/>
      <c r="F794" s="5"/>
      <c r="G794" s="5"/>
    </row>
    <row r="795" spans="2:7" ht="13">
      <c r="B795" s="36"/>
      <c r="C795" s="80"/>
      <c r="D795" s="5"/>
      <c r="E795" s="5"/>
      <c r="F795" s="5"/>
      <c r="G795" s="5"/>
    </row>
    <row r="796" spans="2:7" ht="13">
      <c r="B796" s="36"/>
      <c r="C796" s="80"/>
      <c r="D796" s="5"/>
      <c r="E796" s="5"/>
      <c r="F796" s="5"/>
      <c r="G796" s="5"/>
    </row>
    <row r="797" spans="2:7" ht="13">
      <c r="B797" s="36"/>
      <c r="C797" s="80"/>
      <c r="D797" s="5"/>
      <c r="E797" s="5"/>
      <c r="F797" s="5"/>
      <c r="G797" s="5"/>
    </row>
    <row r="798" spans="2:7" ht="13">
      <c r="B798" s="36"/>
      <c r="C798" s="80"/>
      <c r="D798" s="5"/>
      <c r="E798" s="5"/>
      <c r="F798" s="5"/>
      <c r="G798" s="5"/>
    </row>
    <row r="799" spans="2:7" ht="13">
      <c r="B799" s="36"/>
      <c r="C799" s="80"/>
      <c r="D799" s="5"/>
      <c r="E799" s="5"/>
      <c r="F799" s="5"/>
      <c r="G799" s="5"/>
    </row>
    <row r="800" spans="2:7" ht="13">
      <c r="B800" s="36"/>
      <c r="C800" s="80"/>
      <c r="D800" s="5"/>
      <c r="E800" s="5"/>
      <c r="F800" s="5"/>
      <c r="G800" s="5"/>
    </row>
    <row r="801" spans="2:7" ht="13">
      <c r="B801" s="36"/>
      <c r="C801" s="80"/>
      <c r="D801" s="5"/>
      <c r="E801" s="5"/>
      <c r="F801" s="5"/>
      <c r="G801" s="5"/>
    </row>
    <row r="802" spans="2:7" ht="13">
      <c r="B802" s="36"/>
      <c r="C802" s="80"/>
      <c r="D802" s="5"/>
      <c r="E802" s="5"/>
      <c r="F802" s="5"/>
      <c r="G802" s="5"/>
    </row>
    <row r="803" spans="2:7" ht="13">
      <c r="B803" s="36"/>
      <c r="C803" s="80"/>
      <c r="D803" s="5"/>
      <c r="E803" s="5"/>
      <c r="F803" s="5"/>
      <c r="G803" s="5"/>
    </row>
    <row r="804" spans="2:7" ht="13">
      <c r="B804" s="36"/>
      <c r="C804" s="80"/>
      <c r="D804" s="5"/>
      <c r="E804" s="5"/>
      <c r="F804" s="5"/>
      <c r="G804" s="5"/>
    </row>
    <row r="805" spans="2:7" ht="13">
      <c r="B805" s="36"/>
      <c r="C805" s="80"/>
      <c r="D805" s="5"/>
      <c r="E805" s="5"/>
      <c r="F805" s="5"/>
      <c r="G805" s="5"/>
    </row>
    <row r="806" spans="2:7" ht="13">
      <c r="B806" s="36"/>
      <c r="C806" s="80"/>
      <c r="D806" s="5"/>
      <c r="E806" s="5"/>
      <c r="F806" s="5"/>
      <c r="G806" s="5"/>
    </row>
    <row r="807" spans="2:7" ht="13">
      <c r="B807" s="36"/>
      <c r="C807" s="80"/>
      <c r="D807" s="5"/>
      <c r="E807" s="5"/>
      <c r="F807" s="5"/>
      <c r="G807" s="5"/>
    </row>
    <row r="808" spans="2:7" ht="13">
      <c r="B808" s="36"/>
      <c r="C808" s="80"/>
      <c r="D808" s="5"/>
      <c r="E808" s="5"/>
      <c r="F808" s="5"/>
      <c r="G808" s="5"/>
    </row>
    <row r="809" spans="2:7" ht="13">
      <c r="B809" s="36"/>
      <c r="C809" s="80"/>
      <c r="D809" s="5"/>
      <c r="E809" s="5"/>
      <c r="F809" s="5"/>
      <c r="G809" s="5"/>
    </row>
    <row r="810" spans="2:7" ht="13">
      <c r="B810" s="36"/>
      <c r="C810" s="80"/>
      <c r="D810" s="5"/>
      <c r="E810" s="5"/>
      <c r="F810" s="5"/>
      <c r="G810" s="5"/>
    </row>
    <row r="811" spans="2:7" ht="13">
      <c r="B811" s="36"/>
      <c r="C811" s="80"/>
      <c r="D811" s="5"/>
      <c r="E811" s="5"/>
      <c r="F811" s="5"/>
      <c r="G811" s="5"/>
    </row>
    <row r="812" spans="2:7" ht="13">
      <c r="B812" s="36"/>
      <c r="C812" s="80"/>
      <c r="D812" s="5"/>
      <c r="E812" s="5"/>
      <c r="F812" s="5"/>
      <c r="G812" s="5"/>
    </row>
    <row r="813" spans="2:7" ht="13">
      <c r="B813" s="36"/>
      <c r="C813" s="80"/>
      <c r="D813" s="5"/>
      <c r="E813" s="5"/>
      <c r="F813" s="5"/>
      <c r="G813" s="5"/>
    </row>
    <row r="814" spans="2:7" ht="13">
      <c r="B814" s="36"/>
      <c r="C814" s="80"/>
      <c r="D814" s="5"/>
      <c r="E814" s="5"/>
      <c r="F814" s="5"/>
      <c r="G814" s="5"/>
    </row>
    <row r="815" spans="2:7" ht="13">
      <c r="B815" s="36"/>
      <c r="C815" s="80"/>
      <c r="D815" s="5"/>
      <c r="E815" s="5"/>
      <c r="F815" s="5"/>
      <c r="G815" s="5"/>
    </row>
    <row r="816" spans="2:7" ht="13">
      <c r="B816" s="36"/>
      <c r="C816" s="80"/>
      <c r="D816" s="5"/>
      <c r="E816" s="5"/>
      <c r="F816" s="5"/>
      <c r="G816" s="5"/>
    </row>
    <row r="817" spans="2:7" ht="13">
      <c r="B817" s="36"/>
      <c r="C817" s="80"/>
      <c r="D817" s="5"/>
      <c r="E817" s="5"/>
      <c r="F817" s="5"/>
      <c r="G817" s="5"/>
    </row>
    <row r="818" spans="2:7" ht="13">
      <c r="B818" s="36"/>
      <c r="C818" s="80"/>
      <c r="D818" s="5"/>
      <c r="E818" s="5"/>
      <c r="F818" s="5"/>
      <c r="G818" s="5"/>
    </row>
    <row r="819" spans="2:7" ht="13">
      <c r="B819" s="36"/>
      <c r="C819" s="80"/>
      <c r="D819" s="5"/>
      <c r="E819" s="5"/>
      <c r="F819" s="5"/>
      <c r="G819" s="5"/>
    </row>
    <row r="820" spans="2:7" ht="13">
      <c r="B820" s="36"/>
      <c r="C820" s="80"/>
      <c r="D820" s="5"/>
      <c r="E820" s="5"/>
      <c r="F820" s="5"/>
      <c r="G820" s="5"/>
    </row>
    <row r="821" spans="2:7" ht="13">
      <c r="B821" s="36"/>
      <c r="C821" s="80"/>
      <c r="D821" s="5"/>
      <c r="E821" s="5"/>
      <c r="F821" s="5"/>
      <c r="G821" s="5"/>
    </row>
    <row r="822" spans="2:7" ht="13">
      <c r="B822" s="36"/>
      <c r="C822" s="80"/>
      <c r="D822" s="5"/>
      <c r="E822" s="5"/>
      <c r="F822" s="5"/>
      <c r="G822" s="5"/>
    </row>
    <row r="823" spans="2:7" ht="13">
      <c r="B823" s="36"/>
      <c r="C823" s="80"/>
      <c r="D823" s="5"/>
      <c r="E823" s="5"/>
      <c r="F823" s="5"/>
      <c r="G823" s="5"/>
    </row>
    <row r="824" spans="2:7" ht="13">
      <c r="B824" s="36"/>
      <c r="C824" s="80"/>
      <c r="D824" s="5"/>
      <c r="E824" s="5"/>
      <c r="F824" s="5"/>
      <c r="G824" s="5"/>
    </row>
    <row r="825" spans="2:7" ht="13">
      <c r="B825" s="36"/>
      <c r="C825" s="80"/>
      <c r="D825" s="5"/>
      <c r="E825" s="5"/>
      <c r="F825" s="5"/>
      <c r="G825" s="5"/>
    </row>
    <row r="826" spans="2:7" ht="13">
      <c r="B826" s="36"/>
      <c r="C826" s="80"/>
      <c r="D826" s="5"/>
      <c r="E826" s="5"/>
      <c r="F826" s="5"/>
      <c r="G826" s="5"/>
    </row>
    <row r="827" spans="2:7" ht="13">
      <c r="B827" s="36"/>
      <c r="C827" s="80"/>
      <c r="D827" s="5"/>
      <c r="E827" s="5"/>
      <c r="F827" s="5"/>
      <c r="G827" s="5"/>
    </row>
    <row r="828" spans="2:7" ht="13">
      <c r="B828" s="36"/>
      <c r="C828" s="80"/>
      <c r="D828" s="5"/>
      <c r="E828" s="5"/>
      <c r="F828" s="5"/>
      <c r="G828" s="5"/>
    </row>
    <row r="829" spans="2:7" ht="13">
      <c r="B829" s="36"/>
      <c r="C829" s="80"/>
      <c r="D829" s="5"/>
      <c r="E829" s="5"/>
      <c r="F829" s="5"/>
      <c r="G829" s="5"/>
    </row>
    <row r="830" spans="2:7" ht="13">
      <c r="B830" s="36"/>
      <c r="C830" s="80"/>
      <c r="D830" s="5"/>
      <c r="E830" s="5"/>
      <c r="F830" s="5"/>
      <c r="G830" s="5"/>
    </row>
    <row r="831" spans="2:7" ht="13">
      <c r="B831" s="36"/>
      <c r="C831" s="80"/>
      <c r="D831" s="5"/>
      <c r="E831" s="5"/>
      <c r="F831" s="5"/>
      <c r="G831" s="5"/>
    </row>
    <row r="832" spans="2:7" ht="13">
      <c r="B832" s="36"/>
      <c r="C832" s="80"/>
      <c r="D832" s="5"/>
      <c r="E832" s="5"/>
      <c r="F832" s="5"/>
      <c r="G832" s="5"/>
    </row>
    <row r="833" spans="2:7" ht="13">
      <c r="B833" s="36"/>
      <c r="C833" s="80"/>
      <c r="D833" s="5"/>
      <c r="E833" s="5"/>
      <c r="F833" s="5"/>
      <c r="G833" s="5"/>
    </row>
    <row r="834" spans="2:7" ht="13">
      <c r="B834" s="36"/>
      <c r="C834" s="80"/>
      <c r="D834" s="5"/>
      <c r="E834" s="5"/>
      <c r="F834" s="5"/>
      <c r="G834" s="5"/>
    </row>
    <row r="835" spans="2:7" ht="13">
      <c r="B835" s="36"/>
      <c r="C835" s="80"/>
      <c r="D835" s="5"/>
      <c r="E835" s="5"/>
      <c r="F835" s="5"/>
      <c r="G835" s="5"/>
    </row>
    <row r="836" spans="2:7" ht="13">
      <c r="B836" s="36"/>
      <c r="C836" s="80"/>
      <c r="D836" s="5"/>
      <c r="E836" s="5"/>
      <c r="F836" s="5"/>
      <c r="G836" s="5"/>
    </row>
    <row r="837" spans="2:7" ht="13">
      <c r="B837" s="36"/>
      <c r="C837" s="80"/>
      <c r="D837" s="5"/>
      <c r="E837" s="5"/>
      <c r="F837" s="5"/>
      <c r="G837" s="5"/>
    </row>
    <row r="838" spans="2:7" ht="13">
      <c r="B838" s="36"/>
      <c r="C838" s="80"/>
      <c r="D838" s="5"/>
      <c r="E838" s="5"/>
      <c r="F838" s="5"/>
      <c r="G838" s="5"/>
    </row>
    <row r="839" spans="2:7" ht="13">
      <c r="B839" s="36"/>
      <c r="C839" s="80"/>
      <c r="D839" s="5"/>
      <c r="E839" s="5"/>
      <c r="F839" s="5"/>
      <c r="G839" s="5"/>
    </row>
    <row r="840" spans="2:7" ht="13">
      <c r="B840" s="36"/>
      <c r="C840" s="80"/>
      <c r="D840" s="5"/>
      <c r="E840" s="5"/>
      <c r="F840" s="5"/>
      <c r="G840" s="5"/>
    </row>
    <row r="841" spans="2:7" ht="13">
      <c r="B841" s="36"/>
      <c r="C841" s="80"/>
      <c r="D841" s="5"/>
      <c r="E841" s="5"/>
      <c r="F841" s="5"/>
      <c r="G841" s="5"/>
    </row>
    <row r="842" spans="2:7" ht="13">
      <c r="B842" s="36"/>
      <c r="C842" s="80"/>
      <c r="D842" s="5"/>
      <c r="E842" s="5"/>
      <c r="F842" s="5"/>
      <c r="G842" s="5"/>
    </row>
    <row r="843" spans="2:7" ht="13">
      <c r="B843" s="36"/>
      <c r="C843" s="80"/>
      <c r="D843" s="5"/>
      <c r="E843" s="5"/>
      <c r="F843" s="5"/>
      <c r="G843" s="5"/>
    </row>
    <row r="844" spans="2:7" ht="13">
      <c r="B844" s="36"/>
      <c r="C844" s="80"/>
      <c r="D844" s="5"/>
      <c r="E844" s="5"/>
      <c r="F844" s="5"/>
      <c r="G844" s="5"/>
    </row>
    <row r="845" spans="2:7" ht="13">
      <c r="B845" s="36"/>
      <c r="C845" s="80"/>
      <c r="D845" s="5"/>
      <c r="E845" s="5"/>
      <c r="F845" s="5"/>
      <c r="G845" s="5"/>
    </row>
    <row r="846" spans="2:7" ht="13">
      <c r="B846" s="36"/>
      <c r="C846" s="80"/>
      <c r="D846" s="5"/>
      <c r="E846" s="5"/>
      <c r="F846" s="5"/>
      <c r="G846" s="5"/>
    </row>
    <row r="847" spans="2:7" ht="13">
      <c r="B847" s="36"/>
      <c r="C847" s="80"/>
      <c r="D847" s="5"/>
      <c r="E847" s="5"/>
      <c r="F847" s="5"/>
      <c r="G847" s="5"/>
    </row>
    <row r="848" spans="2:7" ht="13">
      <c r="B848" s="36"/>
      <c r="C848" s="80"/>
      <c r="D848" s="5"/>
      <c r="E848" s="5"/>
      <c r="F848" s="5"/>
      <c r="G848" s="5"/>
    </row>
    <row r="849" spans="2:7" ht="13">
      <c r="B849" s="36"/>
      <c r="C849" s="80"/>
      <c r="D849" s="5"/>
      <c r="E849" s="5"/>
      <c r="F849" s="5"/>
      <c r="G849" s="5"/>
    </row>
    <row r="850" spans="2:7" ht="13">
      <c r="B850" s="36"/>
      <c r="C850" s="80"/>
      <c r="D850" s="5"/>
      <c r="E850" s="5"/>
      <c r="F850" s="5"/>
      <c r="G850" s="5"/>
    </row>
    <row r="851" spans="2:7" ht="13">
      <c r="B851" s="36"/>
      <c r="C851" s="80"/>
      <c r="D851" s="5"/>
      <c r="E851" s="5"/>
      <c r="F851" s="5"/>
      <c r="G851" s="5"/>
    </row>
    <row r="852" spans="2:7" ht="13">
      <c r="B852" s="36"/>
      <c r="C852" s="80"/>
      <c r="D852" s="5"/>
      <c r="E852" s="5"/>
      <c r="F852" s="5"/>
      <c r="G852" s="5"/>
    </row>
    <row r="853" spans="2:7" ht="13">
      <c r="B853" s="36"/>
      <c r="C853" s="80"/>
      <c r="D853" s="5"/>
      <c r="E853" s="5"/>
      <c r="F853" s="5"/>
      <c r="G853" s="5"/>
    </row>
    <row r="854" spans="2:7" ht="13">
      <c r="B854" s="36"/>
      <c r="C854" s="80"/>
      <c r="D854" s="5"/>
      <c r="E854" s="5"/>
      <c r="F854" s="5"/>
      <c r="G854" s="5"/>
    </row>
    <row r="855" spans="2:7" ht="13">
      <c r="B855" s="36"/>
      <c r="C855" s="80"/>
      <c r="D855" s="5"/>
      <c r="E855" s="5"/>
      <c r="F855" s="5"/>
      <c r="G855" s="5"/>
    </row>
    <row r="856" spans="2:7" ht="13">
      <c r="B856" s="36"/>
      <c r="C856" s="80"/>
      <c r="D856" s="5"/>
      <c r="E856" s="5"/>
      <c r="F856" s="5"/>
      <c r="G856" s="5"/>
    </row>
    <row r="857" spans="2:7" ht="13">
      <c r="B857" s="36"/>
      <c r="C857" s="80"/>
      <c r="D857" s="5"/>
      <c r="E857" s="5"/>
      <c r="F857" s="5"/>
      <c r="G857" s="5"/>
    </row>
    <row r="858" spans="2:7" ht="13">
      <c r="B858" s="36"/>
      <c r="C858" s="80"/>
      <c r="D858" s="5"/>
      <c r="E858" s="5"/>
      <c r="F858" s="5"/>
      <c r="G858" s="5"/>
    </row>
    <row r="859" spans="2:7" ht="13">
      <c r="B859" s="36"/>
      <c r="C859" s="80"/>
      <c r="D859" s="5"/>
      <c r="E859" s="5"/>
      <c r="F859" s="5"/>
      <c r="G859" s="5"/>
    </row>
    <row r="860" spans="2:7" ht="13">
      <c r="B860" s="36"/>
      <c r="C860" s="80"/>
      <c r="D860" s="5"/>
      <c r="E860" s="5"/>
      <c r="F860" s="5"/>
      <c r="G860" s="5"/>
    </row>
    <row r="861" spans="2:7" ht="13">
      <c r="B861" s="36"/>
      <c r="C861" s="80"/>
      <c r="D861" s="5"/>
      <c r="E861" s="5"/>
      <c r="F861" s="5"/>
      <c r="G861" s="5"/>
    </row>
    <row r="862" spans="2:7" ht="13">
      <c r="B862" s="36"/>
      <c r="C862" s="80"/>
      <c r="D862" s="5"/>
      <c r="E862" s="5"/>
      <c r="F862" s="5"/>
      <c r="G862" s="5"/>
    </row>
    <row r="863" spans="2:7" ht="13">
      <c r="B863" s="36"/>
      <c r="C863" s="80"/>
      <c r="D863" s="5"/>
      <c r="E863" s="5"/>
      <c r="F863" s="5"/>
      <c r="G863" s="5"/>
    </row>
    <row r="864" spans="2:7" ht="13">
      <c r="B864" s="36"/>
      <c r="C864" s="80"/>
      <c r="D864" s="5"/>
      <c r="E864" s="5"/>
      <c r="F864" s="5"/>
      <c r="G864" s="5"/>
    </row>
    <row r="865" spans="2:7" ht="13">
      <c r="B865" s="36"/>
      <c r="C865" s="80"/>
      <c r="D865" s="5"/>
      <c r="E865" s="5"/>
      <c r="F865" s="5"/>
      <c r="G865" s="5"/>
    </row>
    <row r="866" spans="2:7" ht="13">
      <c r="B866" s="36"/>
      <c r="C866" s="80"/>
      <c r="D866" s="5"/>
      <c r="E866" s="5"/>
      <c r="F866" s="5"/>
      <c r="G866" s="5"/>
    </row>
    <row r="867" spans="2:7" ht="13">
      <c r="B867" s="36"/>
      <c r="C867" s="80"/>
      <c r="D867" s="5"/>
      <c r="E867" s="5"/>
      <c r="F867" s="5"/>
      <c r="G867" s="5"/>
    </row>
    <row r="868" spans="2:7" ht="13">
      <c r="B868" s="36"/>
      <c r="C868" s="80"/>
      <c r="D868" s="5"/>
      <c r="E868" s="5"/>
      <c r="F868" s="5"/>
      <c r="G868" s="5"/>
    </row>
    <row r="869" spans="2:7" ht="13">
      <c r="B869" s="36"/>
      <c r="C869" s="80"/>
      <c r="D869" s="5"/>
      <c r="E869" s="5"/>
      <c r="F869" s="5"/>
      <c r="G869" s="5"/>
    </row>
    <row r="870" spans="2:7" ht="13">
      <c r="B870" s="36"/>
      <c r="C870" s="80"/>
      <c r="D870" s="5"/>
      <c r="E870" s="5"/>
      <c r="F870" s="5"/>
      <c r="G870" s="5"/>
    </row>
    <row r="871" spans="2:7" ht="13">
      <c r="B871" s="36"/>
      <c r="C871" s="80"/>
      <c r="D871" s="5"/>
      <c r="E871" s="5"/>
      <c r="F871" s="5"/>
      <c r="G871" s="5"/>
    </row>
    <row r="872" spans="2:7" ht="13">
      <c r="B872" s="36"/>
      <c r="C872" s="80"/>
      <c r="D872" s="5"/>
      <c r="E872" s="5"/>
      <c r="F872" s="5"/>
      <c r="G872" s="5"/>
    </row>
    <row r="873" spans="2:7" ht="13">
      <c r="B873" s="36"/>
      <c r="C873" s="80"/>
      <c r="D873" s="5"/>
      <c r="E873" s="5"/>
      <c r="F873" s="5"/>
      <c r="G873" s="5"/>
    </row>
    <row r="874" spans="2:7" ht="13">
      <c r="B874" s="36"/>
      <c r="C874" s="80"/>
      <c r="D874" s="5"/>
      <c r="E874" s="5"/>
      <c r="F874" s="5"/>
      <c r="G874" s="5"/>
    </row>
    <row r="875" spans="2:7" ht="13">
      <c r="B875" s="36"/>
      <c r="C875" s="80"/>
      <c r="D875" s="5"/>
      <c r="E875" s="5"/>
      <c r="F875" s="5"/>
      <c r="G875" s="5"/>
    </row>
    <row r="876" spans="2:7" ht="13">
      <c r="B876" s="36"/>
      <c r="C876" s="80"/>
      <c r="D876" s="5"/>
      <c r="E876" s="5"/>
      <c r="F876" s="5"/>
      <c r="G876" s="5"/>
    </row>
    <row r="877" spans="2:7" ht="13">
      <c r="B877" s="36"/>
      <c r="C877" s="80"/>
      <c r="D877" s="5"/>
      <c r="E877" s="5"/>
      <c r="F877" s="5"/>
      <c r="G877" s="5"/>
    </row>
    <row r="878" spans="2:7" ht="13">
      <c r="B878" s="36"/>
      <c r="C878" s="80"/>
      <c r="D878" s="5"/>
      <c r="E878" s="5"/>
      <c r="F878" s="5"/>
      <c r="G878" s="5"/>
    </row>
    <row r="879" spans="2:7" ht="13">
      <c r="B879" s="36"/>
      <c r="C879" s="80"/>
      <c r="D879" s="5"/>
      <c r="E879" s="5"/>
      <c r="F879" s="5"/>
      <c r="G879" s="5"/>
    </row>
    <row r="880" spans="2:7" ht="13">
      <c r="B880" s="36"/>
      <c r="C880" s="80"/>
      <c r="D880" s="5"/>
      <c r="E880" s="5"/>
      <c r="F880" s="5"/>
      <c r="G880" s="5"/>
    </row>
    <row r="881" spans="2:7" ht="13">
      <c r="B881" s="36"/>
      <c r="C881" s="80"/>
      <c r="D881" s="5"/>
      <c r="E881" s="5"/>
      <c r="F881" s="5"/>
      <c r="G881" s="5"/>
    </row>
    <row r="882" spans="2:7" ht="13">
      <c r="B882" s="36"/>
      <c r="C882" s="80"/>
      <c r="D882" s="5"/>
      <c r="E882" s="5"/>
      <c r="F882" s="5"/>
      <c r="G882" s="5"/>
    </row>
    <row r="883" spans="2:7" ht="13">
      <c r="B883" s="36"/>
      <c r="C883" s="80"/>
      <c r="D883" s="5"/>
      <c r="E883" s="5"/>
      <c r="F883" s="5"/>
      <c r="G883" s="5"/>
    </row>
    <row r="884" spans="2:7" ht="13">
      <c r="B884" s="36"/>
      <c r="C884" s="80"/>
      <c r="D884" s="5"/>
      <c r="E884" s="5"/>
      <c r="F884" s="5"/>
      <c r="G884" s="5"/>
    </row>
    <row r="885" spans="2:7" ht="13">
      <c r="B885" s="36"/>
      <c r="C885" s="80"/>
      <c r="D885" s="5"/>
      <c r="E885" s="5"/>
      <c r="F885" s="5"/>
      <c r="G885" s="5"/>
    </row>
    <row r="886" spans="2:7" ht="13">
      <c r="B886" s="36"/>
      <c r="C886" s="80"/>
      <c r="D886" s="5"/>
      <c r="E886" s="5"/>
      <c r="F886" s="5"/>
      <c r="G886" s="5"/>
    </row>
    <row r="887" spans="2:7" ht="13">
      <c r="B887" s="36"/>
      <c r="C887" s="80"/>
      <c r="D887" s="5"/>
      <c r="E887" s="5"/>
      <c r="F887" s="5"/>
      <c r="G887" s="5"/>
    </row>
    <row r="888" spans="2:7" ht="13">
      <c r="B888" s="36"/>
      <c r="C888" s="80"/>
      <c r="D888" s="5"/>
      <c r="E888" s="5"/>
      <c r="F888" s="5"/>
      <c r="G888" s="5"/>
    </row>
    <row r="889" spans="2:7" ht="13">
      <c r="B889" s="36"/>
      <c r="C889" s="80"/>
      <c r="D889" s="5"/>
      <c r="E889" s="5"/>
      <c r="F889" s="5"/>
      <c r="G889" s="5"/>
    </row>
    <row r="890" spans="2:7" ht="13">
      <c r="B890" s="36"/>
      <c r="C890" s="80"/>
      <c r="D890" s="5"/>
      <c r="E890" s="5"/>
      <c r="F890" s="5"/>
      <c r="G890" s="5"/>
    </row>
    <row r="891" spans="2:7" ht="13">
      <c r="B891" s="36"/>
      <c r="C891" s="80"/>
      <c r="D891" s="5"/>
      <c r="E891" s="5"/>
      <c r="F891" s="5"/>
      <c r="G891" s="5"/>
    </row>
    <row r="892" spans="2:7" ht="13">
      <c r="B892" s="36"/>
      <c r="C892" s="80"/>
      <c r="D892" s="5"/>
      <c r="E892" s="5"/>
      <c r="F892" s="5"/>
      <c r="G892" s="5"/>
    </row>
    <row r="893" spans="2:7" ht="13">
      <c r="B893" s="36"/>
      <c r="C893" s="80"/>
      <c r="D893" s="5"/>
      <c r="E893" s="5"/>
      <c r="F893" s="5"/>
      <c r="G893" s="5"/>
    </row>
    <row r="894" spans="2:7" ht="13">
      <c r="B894" s="36"/>
      <c r="C894" s="80"/>
      <c r="D894" s="5"/>
      <c r="E894" s="5"/>
      <c r="F894" s="5"/>
      <c r="G894" s="5"/>
    </row>
    <row r="895" spans="2:7" ht="13">
      <c r="B895" s="36"/>
      <c r="C895" s="80"/>
      <c r="D895" s="5"/>
      <c r="E895" s="5"/>
      <c r="F895" s="5"/>
      <c r="G895" s="5"/>
    </row>
    <row r="896" spans="2:7" ht="13">
      <c r="B896" s="36"/>
      <c r="C896" s="80"/>
      <c r="D896" s="5"/>
      <c r="E896" s="5"/>
      <c r="F896" s="5"/>
      <c r="G896" s="5"/>
    </row>
    <row r="897" spans="2:7" ht="13">
      <c r="B897" s="36"/>
      <c r="C897" s="80"/>
      <c r="D897" s="5"/>
      <c r="E897" s="5"/>
      <c r="F897" s="5"/>
      <c r="G897" s="5"/>
    </row>
    <row r="898" spans="2:7" ht="13">
      <c r="B898" s="36"/>
      <c r="C898" s="80"/>
      <c r="D898" s="5"/>
      <c r="E898" s="5"/>
      <c r="F898" s="5"/>
      <c r="G898" s="5"/>
    </row>
    <row r="899" spans="2:7" ht="13">
      <c r="B899" s="36"/>
      <c r="C899" s="80"/>
      <c r="D899" s="5"/>
      <c r="E899" s="5"/>
      <c r="F899" s="5"/>
      <c r="G899" s="5"/>
    </row>
    <row r="900" spans="2:7" ht="13">
      <c r="B900" s="36"/>
      <c r="C900" s="80"/>
      <c r="D900" s="5"/>
      <c r="E900" s="5"/>
      <c r="F900" s="5"/>
      <c r="G900" s="5"/>
    </row>
    <row r="901" spans="2:7" ht="13">
      <c r="B901" s="36"/>
      <c r="C901" s="80"/>
      <c r="D901" s="5"/>
      <c r="E901" s="5"/>
      <c r="F901" s="5"/>
      <c r="G901" s="5"/>
    </row>
    <row r="902" spans="2:7" ht="13">
      <c r="B902" s="36"/>
      <c r="C902" s="80"/>
      <c r="D902" s="5"/>
      <c r="E902" s="5"/>
      <c r="F902" s="5"/>
      <c r="G902" s="5"/>
    </row>
    <row r="903" spans="2:7" ht="13">
      <c r="B903" s="36"/>
      <c r="C903" s="80"/>
      <c r="D903" s="5"/>
      <c r="E903" s="5"/>
      <c r="F903" s="5"/>
      <c r="G903" s="5"/>
    </row>
    <row r="904" spans="2:7" ht="13">
      <c r="B904" s="36"/>
      <c r="C904" s="80"/>
      <c r="D904" s="5"/>
      <c r="E904" s="5"/>
      <c r="F904" s="5"/>
      <c r="G904" s="5"/>
    </row>
    <row r="905" spans="2:7" ht="13">
      <c r="B905" s="36"/>
      <c r="C905" s="80"/>
      <c r="D905" s="5"/>
      <c r="E905" s="5"/>
      <c r="F905" s="5"/>
      <c r="G905" s="5"/>
    </row>
    <row r="906" spans="2:7" ht="13">
      <c r="B906" s="36"/>
      <c r="C906" s="80"/>
      <c r="D906" s="5"/>
      <c r="E906" s="5"/>
      <c r="F906" s="5"/>
      <c r="G906" s="5"/>
    </row>
    <row r="907" spans="2:7" ht="13">
      <c r="B907" s="36"/>
      <c r="C907" s="80"/>
      <c r="D907" s="5"/>
      <c r="E907" s="5"/>
      <c r="F907" s="5"/>
      <c r="G907" s="5"/>
    </row>
    <row r="908" spans="2:7" ht="13">
      <c r="B908" s="36"/>
      <c r="C908" s="80"/>
      <c r="D908" s="5"/>
      <c r="E908" s="5"/>
      <c r="F908" s="5"/>
      <c r="G908" s="5"/>
    </row>
    <row r="909" spans="2:7" ht="13">
      <c r="B909" s="36"/>
      <c r="C909" s="80"/>
      <c r="D909" s="5"/>
      <c r="E909" s="5"/>
      <c r="F909" s="5"/>
      <c r="G909" s="5"/>
    </row>
    <row r="910" spans="2:7" ht="13">
      <c r="B910" s="36"/>
      <c r="C910" s="80"/>
      <c r="D910" s="5"/>
      <c r="E910" s="5"/>
      <c r="F910" s="5"/>
      <c r="G910" s="5"/>
    </row>
    <row r="911" spans="2:7" ht="13">
      <c r="B911" s="36"/>
      <c r="C911" s="80"/>
      <c r="D911" s="5"/>
      <c r="E911" s="5"/>
      <c r="F911" s="5"/>
      <c r="G911" s="5"/>
    </row>
    <row r="912" spans="2:7" ht="13">
      <c r="B912" s="36"/>
      <c r="C912" s="80"/>
      <c r="D912" s="5"/>
      <c r="E912" s="5"/>
      <c r="F912" s="5"/>
      <c r="G912" s="5"/>
    </row>
    <row r="913" spans="2:7" ht="13">
      <c r="B913" s="36"/>
      <c r="C913" s="80"/>
      <c r="D913" s="5"/>
      <c r="E913" s="5"/>
      <c r="F913" s="5"/>
      <c r="G913" s="5"/>
    </row>
    <row r="914" spans="2:7" ht="13">
      <c r="B914" s="36"/>
      <c r="C914" s="80"/>
      <c r="D914" s="5"/>
      <c r="E914" s="5"/>
      <c r="F914" s="5"/>
      <c r="G914" s="5"/>
    </row>
    <row r="915" spans="2:7" ht="13">
      <c r="B915" s="36"/>
      <c r="C915" s="80"/>
      <c r="D915" s="5"/>
      <c r="E915" s="5"/>
      <c r="F915" s="5"/>
      <c r="G915" s="5"/>
    </row>
    <row r="916" spans="2:7" ht="13">
      <c r="B916" s="36"/>
      <c r="C916" s="80"/>
      <c r="D916" s="5"/>
      <c r="E916" s="5"/>
      <c r="F916" s="5"/>
      <c r="G916" s="5"/>
    </row>
    <row r="917" spans="2:7" ht="13">
      <c r="B917" s="36"/>
      <c r="C917" s="80"/>
      <c r="D917" s="5"/>
      <c r="E917" s="5"/>
      <c r="F917" s="5"/>
      <c r="G917" s="5"/>
    </row>
    <row r="918" spans="2:7" ht="13">
      <c r="B918" s="36"/>
      <c r="C918" s="80"/>
      <c r="D918" s="5"/>
      <c r="E918" s="5"/>
      <c r="F918" s="5"/>
      <c r="G918" s="5"/>
    </row>
    <row r="919" spans="2:7" ht="13">
      <c r="B919" s="36"/>
      <c r="C919" s="80"/>
      <c r="D919" s="5"/>
      <c r="E919" s="5"/>
      <c r="F919" s="5"/>
      <c r="G919" s="5"/>
    </row>
    <row r="920" spans="2:7" ht="13">
      <c r="B920" s="36"/>
      <c r="C920" s="80"/>
      <c r="D920" s="5"/>
      <c r="E920" s="5"/>
      <c r="F920" s="5"/>
      <c r="G920" s="5"/>
    </row>
    <row r="921" spans="2:7" ht="13">
      <c r="B921" s="36"/>
      <c r="C921" s="80"/>
      <c r="D921" s="5"/>
      <c r="E921" s="5"/>
      <c r="F921" s="5"/>
      <c r="G921" s="5"/>
    </row>
    <row r="922" spans="2:7" ht="13">
      <c r="B922" s="36"/>
      <c r="C922" s="80"/>
      <c r="D922" s="5"/>
      <c r="E922" s="5"/>
      <c r="F922" s="5"/>
      <c r="G922" s="5"/>
    </row>
    <row r="923" spans="2:7" ht="13">
      <c r="B923" s="36"/>
      <c r="C923" s="80"/>
      <c r="D923" s="5"/>
      <c r="E923" s="5"/>
      <c r="F923" s="5"/>
      <c r="G923" s="5"/>
    </row>
    <row r="924" spans="2:7" ht="13">
      <c r="B924" s="36"/>
      <c r="C924" s="80"/>
      <c r="D924" s="5"/>
      <c r="E924" s="5"/>
      <c r="F924" s="5"/>
      <c r="G924" s="5"/>
    </row>
    <row r="925" spans="2:7" ht="13">
      <c r="B925" s="36"/>
      <c r="C925" s="80"/>
      <c r="D925" s="5"/>
      <c r="E925" s="5"/>
      <c r="F925" s="5"/>
      <c r="G925" s="5"/>
    </row>
    <row r="926" spans="2:7" ht="13">
      <c r="B926" s="36"/>
      <c r="C926" s="80"/>
      <c r="D926" s="5"/>
      <c r="E926" s="5"/>
      <c r="F926" s="5"/>
      <c r="G926" s="5"/>
    </row>
    <row r="927" spans="2:7" ht="13">
      <c r="B927" s="36"/>
      <c r="C927" s="80"/>
      <c r="D927" s="5"/>
      <c r="E927" s="5"/>
      <c r="F927" s="5"/>
      <c r="G927" s="5"/>
    </row>
    <row r="928" spans="2:7" ht="13">
      <c r="B928" s="36"/>
      <c r="C928" s="80"/>
      <c r="D928" s="5"/>
      <c r="E928" s="5"/>
      <c r="F928" s="5"/>
      <c r="G928" s="5"/>
    </row>
    <row r="929" spans="2:7" ht="13">
      <c r="B929" s="36"/>
      <c r="C929" s="80"/>
      <c r="D929" s="5"/>
      <c r="E929" s="5"/>
      <c r="F929" s="5"/>
      <c r="G929" s="5"/>
    </row>
    <row r="930" spans="2:7" ht="13">
      <c r="B930" s="36"/>
      <c r="C930" s="80"/>
      <c r="D930" s="5"/>
      <c r="E930" s="5"/>
      <c r="F930" s="5"/>
      <c r="G930" s="5"/>
    </row>
    <row r="931" spans="2:7" ht="13">
      <c r="B931" s="36"/>
      <c r="C931" s="80"/>
      <c r="D931" s="5"/>
      <c r="E931" s="5"/>
      <c r="F931" s="5"/>
      <c r="G931" s="5"/>
    </row>
    <row r="932" spans="2:7" ht="13">
      <c r="B932" s="36"/>
      <c r="C932" s="80"/>
      <c r="D932" s="5"/>
      <c r="E932" s="5"/>
      <c r="F932" s="5"/>
      <c r="G932" s="5"/>
    </row>
    <row r="933" spans="2:7" ht="13">
      <c r="B933" s="36"/>
      <c r="C933" s="80"/>
      <c r="D933" s="5"/>
      <c r="E933" s="5"/>
      <c r="F933" s="5"/>
      <c r="G933" s="5"/>
    </row>
    <row r="934" spans="2:7" ht="13">
      <c r="B934" s="36"/>
      <c r="C934" s="80"/>
      <c r="D934" s="5"/>
      <c r="E934" s="5"/>
      <c r="F934" s="5"/>
      <c r="G934" s="5"/>
    </row>
    <row r="935" spans="2:7" ht="13">
      <c r="B935" s="36"/>
      <c r="C935" s="80"/>
      <c r="D935" s="5"/>
      <c r="E935" s="5"/>
      <c r="F935" s="5"/>
      <c r="G935" s="5"/>
    </row>
    <row r="936" spans="2:7" ht="13">
      <c r="B936" s="36"/>
      <c r="C936" s="80"/>
      <c r="D936" s="5"/>
      <c r="E936" s="5"/>
      <c r="F936" s="5"/>
      <c r="G936" s="5"/>
    </row>
    <row r="937" spans="2:7" ht="13">
      <c r="B937" s="36"/>
      <c r="C937" s="80"/>
      <c r="D937" s="5"/>
      <c r="E937" s="5"/>
      <c r="F937" s="5"/>
      <c r="G937" s="5"/>
    </row>
    <row r="938" spans="2:7" ht="13">
      <c r="B938" s="36"/>
      <c r="C938" s="80"/>
      <c r="D938" s="5"/>
      <c r="E938" s="5"/>
      <c r="F938" s="5"/>
      <c r="G938" s="5"/>
    </row>
    <row r="939" spans="2:7" ht="13">
      <c r="B939" s="36"/>
      <c r="C939" s="80"/>
      <c r="D939" s="5"/>
      <c r="E939" s="5"/>
      <c r="F939" s="5"/>
      <c r="G939" s="5"/>
    </row>
    <row r="940" spans="2:7" ht="13">
      <c r="B940" s="36"/>
      <c r="C940" s="80"/>
      <c r="D940" s="5"/>
      <c r="E940" s="5"/>
      <c r="F940" s="5"/>
      <c r="G940" s="5"/>
    </row>
    <row r="941" spans="2:7" ht="13">
      <c r="B941" s="36"/>
      <c r="C941" s="80"/>
      <c r="D941" s="5"/>
      <c r="E941" s="5"/>
      <c r="F941" s="5"/>
      <c r="G941" s="5"/>
    </row>
    <row r="942" spans="2:7" ht="13">
      <c r="B942" s="36"/>
      <c r="C942" s="80"/>
      <c r="D942" s="5"/>
      <c r="E942" s="5"/>
      <c r="F942" s="5"/>
      <c r="G942" s="5"/>
    </row>
    <row r="943" spans="2:7" ht="13">
      <c r="B943" s="36"/>
      <c r="C943" s="80"/>
      <c r="D943" s="5"/>
      <c r="E943" s="5"/>
      <c r="F943" s="5"/>
      <c r="G943" s="5"/>
    </row>
    <row r="944" spans="2:7" ht="13">
      <c r="B944" s="36"/>
      <c r="C944" s="80"/>
      <c r="D944" s="5"/>
      <c r="E944" s="5"/>
      <c r="F944" s="5"/>
      <c r="G944" s="5"/>
    </row>
    <row r="945" spans="2:7" ht="13">
      <c r="B945" s="36"/>
      <c r="C945" s="80"/>
      <c r="D945" s="5"/>
      <c r="E945" s="5"/>
      <c r="F945" s="5"/>
      <c r="G945" s="5"/>
    </row>
    <row r="946" spans="2:7" ht="13">
      <c r="B946" s="36"/>
      <c r="C946" s="80"/>
      <c r="D946" s="5"/>
      <c r="E946" s="5"/>
      <c r="F946" s="5"/>
      <c r="G946" s="5"/>
    </row>
    <row r="947" spans="2:7" ht="13">
      <c r="B947" s="36"/>
      <c r="C947" s="80"/>
      <c r="D947" s="5"/>
      <c r="E947" s="5"/>
      <c r="F947" s="5"/>
      <c r="G947" s="5"/>
    </row>
    <row r="948" spans="2:7" ht="13">
      <c r="B948" s="36"/>
      <c r="C948" s="80"/>
      <c r="D948" s="5"/>
      <c r="E948" s="5"/>
      <c r="F948" s="5"/>
      <c r="G948" s="5"/>
    </row>
    <row r="949" spans="2:7" ht="13">
      <c r="B949" s="36"/>
      <c r="C949" s="80"/>
      <c r="D949" s="5"/>
      <c r="E949" s="5"/>
      <c r="F949" s="5"/>
      <c r="G949" s="5"/>
    </row>
    <row r="950" spans="2:7" ht="13">
      <c r="B950" s="36"/>
      <c r="C950" s="80"/>
      <c r="D950" s="5"/>
      <c r="E950" s="5"/>
      <c r="F950" s="5"/>
      <c r="G950" s="5"/>
    </row>
    <row r="951" spans="2:7" ht="13">
      <c r="B951" s="36"/>
      <c r="C951" s="80"/>
      <c r="D951" s="5"/>
      <c r="E951" s="5"/>
      <c r="F951" s="5"/>
      <c r="G951" s="5"/>
    </row>
    <row r="952" spans="2:7" ht="13">
      <c r="B952" s="36"/>
      <c r="C952" s="80"/>
      <c r="D952" s="5"/>
      <c r="E952" s="5"/>
      <c r="F952" s="5"/>
      <c r="G952" s="5"/>
    </row>
    <row r="953" spans="2:7" ht="13">
      <c r="B953" s="36"/>
      <c r="C953" s="80"/>
      <c r="D953" s="5"/>
      <c r="E953" s="5"/>
      <c r="F953" s="5"/>
      <c r="G953" s="5"/>
    </row>
    <row r="954" spans="2:7" ht="13">
      <c r="B954" s="36"/>
      <c r="C954" s="80"/>
      <c r="D954" s="5"/>
      <c r="E954" s="5"/>
      <c r="F954" s="5"/>
      <c r="G954" s="5"/>
    </row>
    <row r="955" spans="2:7" ht="13">
      <c r="B955" s="36"/>
      <c r="C955" s="80"/>
      <c r="D955" s="5"/>
      <c r="E955" s="5"/>
      <c r="F955" s="5"/>
      <c r="G955" s="5"/>
    </row>
    <row r="956" spans="2:7" ht="13">
      <c r="B956" s="36"/>
      <c r="C956" s="80"/>
      <c r="D956" s="5"/>
      <c r="E956" s="5"/>
      <c r="F956" s="5"/>
      <c r="G956" s="5"/>
    </row>
    <row r="957" spans="2:7" ht="13">
      <c r="B957" s="36"/>
      <c r="C957" s="80"/>
      <c r="D957" s="5"/>
      <c r="E957" s="5"/>
      <c r="F957" s="5"/>
      <c r="G957" s="5"/>
    </row>
    <row r="958" spans="2:7" ht="13">
      <c r="B958" s="36"/>
      <c r="C958" s="80"/>
      <c r="D958" s="5"/>
      <c r="E958" s="5"/>
      <c r="F958" s="5"/>
      <c r="G958" s="5"/>
    </row>
    <row r="959" spans="2:7" ht="13">
      <c r="B959" s="36"/>
      <c r="C959" s="80"/>
      <c r="D959" s="5"/>
      <c r="E959" s="5"/>
      <c r="F959" s="5"/>
      <c r="G959" s="5"/>
    </row>
    <row r="960" spans="2:7" ht="13">
      <c r="B960" s="36"/>
      <c r="C960" s="80"/>
      <c r="D960" s="5"/>
      <c r="E960" s="5"/>
      <c r="F960" s="5"/>
      <c r="G960" s="5"/>
    </row>
    <row r="961" spans="2:7" ht="13">
      <c r="B961" s="36"/>
      <c r="C961" s="80"/>
      <c r="D961" s="5"/>
      <c r="E961" s="5"/>
      <c r="F961" s="5"/>
      <c r="G961" s="5"/>
    </row>
    <row r="962" spans="2:7" ht="13">
      <c r="B962" s="36"/>
      <c r="C962" s="80"/>
      <c r="D962" s="5"/>
      <c r="E962" s="5"/>
      <c r="F962" s="5"/>
      <c r="G962" s="5"/>
    </row>
    <row r="963" spans="2:7" ht="13">
      <c r="B963" s="36"/>
      <c r="C963" s="80"/>
      <c r="D963" s="5"/>
      <c r="E963" s="5"/>
      <c r="F963" s="5"/>
      <c r="G963" s="5"/>
    </row>
    <row r="964" spans="2:7" ht="13">
      <c r="B964" s="36"/>
      <c r="C964" s="80"/>
      <c r="D964" s="5"/>
      <c r="E964" s="5"/>
      <c r="F964" s="5"/>
      <c r="G964" s="5"/>
    </row>
    <row r="965" spans="2:7" ht="13">
      <c r="B965" s="36"/>
      <c r="C965" s="80"/>
      <c r="D965" s="5"/>
      <c r="E965" s="5"/>
      <c r="F965" s="5"/>
      <c r="G965" s="5"/>
    </row>
    <row r="966" spans="2:7" ht="13">
      <c r="B966" s="36"/>
      <c r="C966" s="80"/>
      <c r="D966" s="5"/>
      <c r="E966" s="5"/>
      <c r="F966" s="5"/>
      <c r="G966" s="5"/>
    </row>
    <row r="967" spans="2:7" ht="13">
      <c r="B967" s="36"/>
      <c r="C967" s="80"/>
      <c r="D967" s="5"/>
      <c r="E967" s="5"/>
      <c r="F967" s="5"/>
      <c r="G967" s="5"/>
    </row>
    <row r="968" spans="2:7" ht="13">
      <c r="B968" s="36"/>
      <c r="C968" s="80"/>
      <c r="D968" s="5"/>
      <c r="E968" s="5"/>
      <c r="F968" s="5"/>
      <c r="G968" s="5"/>
    </row>
    <row r="969" spans="2:7" ht="13">
      <c r="B969" s="36"/>
      <c r="C969" s="80"/>
      <c r="D969" s="5"/>
      <c r="E969" s="5"/>
      <c r="F969" s="5"/>
      <c r="G969" s="5"/>
    </row>
    <row r="970" spans="2:7" ht="13">
      <c r="B970" s="36"/>
      <c r="C970" s="80"/>
      <c r="D970" s="5"/>
      <c r="E970" s="5"/>
      <c r="F970" s="5"/>
      <c r="G970" s="5"/>
    </row>
    <row r="971" spans="2:7" ht="13">
      <c r="B971" s="36"/>
      <c r="C971" s="80"/>
      <c r="D971" s="5"/>
      <c r="E971" s="5"/>
      <c r="F971" s="5"/>
      <c r="G971" s="5"/>
    </row>
    <row r="972" spans="2:7" ht="13">
      <c r="B972" s="36"/>
      <c r="C972" s="80"/>
      <c r="D972" s="5"/>
      <c r="E972" s="5"/>
      <c r="F972" s="5"/>
      <c r="G972" s="5"/>
    </row>
    <row r="973" spans="2:7" ht="13">
      <c r="B973" s="36"/>
      <c r="C973" s="80"/>
      <c r="D973" s="5"/>
      <c r="E973" s="5"/>
      <c r="F973" s="5"/>
      <c r="G973" s="5"/>
    </row>
    <row r="974" spans="2:7" ht="13">
      <c r="B974" s="36"/>
      <c r="C974" s="80"/>
      <c r="D974" s="5"/>
      <c r="E974" s="5"/>
      <c r="F974" s="5"/>
      <c r="G974" s="5"/>
    </row>
    <row r="975" spans="2:7" ht="13">
      <c r="B975" s="36"/>
      <c r="C975" s="80"/>
      <c r="D975" s="5"/>
      <c r="E975" s="5"/>
      <c r="F975" s="5"/>
      <c r="G975" s="5"/>
    </row>
    <row r="976" spans="2:7" ht="13">
      <c r="B976" s="36"/>
      <c r="C976" s="80"/>
      <c r="D976" s="5"/>
      <c r="E976" s="5"/>
      <c r="F976" s="5"/>
      <c r="G976" s="5"/>
    </row>
    <row r="977" spans="2:7" ht="13">
      <c r="B977" s="36"/>
      <c r="C977" s="80"/>
      <c r="D977" s="5"/>
      <c r="E977" s="5"/>
      <c r="F977" s="5"/>
      <c r="G977" s="5"/>
    </row>
    <row r="978" spans="2:7" ht="13">
      <c r="B978" s="36"/>
      <c r="C978" s="80"/>
      <c r="D978" s="5"/>
      <c r="E978" s="5"/>
      <c r="F978" s="5"/>
      <c r="G978" s="5"/>
    </row>
    <row r="979" spans="2:7" ht="13">
      <c r="B979" s="36"/>
      <c r="C979" s="80"/>
      <c r="D979" s="5"/>
      <c r="E979" s="5"/>
      <c r="F979" s="5"/>
      <c r="G979" s="5"/>
    </row>
    <row r="980" spans="2:7" ht="13">
      <c r="B980" s="36"/>
      <c r="C980" s="80"/>
      <c r="D980" s="5"/>
      <c r="E980" s="5"/>
      <c r="F980" s="5"/>
      <c r="G980" s="5"/>
    </row>
    <row r="981" spans="2:7" ht="13">
      <c r="B981" s="36"/>
      <c r="C981" s="80"/>
      <c r="D981" s="5"/>
      <c r="E981" s="5"/>
      <c r="F981" s="5"/>
      <c r="G981" s="5"/>
    </row>
    <row r="982" spans="2:7" ht="13">
      <c r="B982" s="36"/>
      <c r="C982" s="80"/>
      <c r="D982" s="5"/>
      <c r="E982" s="5"/>
      <c r="F982" s="5"/>
      <c r="G982" s="5"/>
    </row>
    <row r="983" spans="2:7" ht="13">
      <c r="B983" s="36"/>
      <c r="C983" s="80"/>
      <c r="D983" s="5"/>
      <c r="E983" s="5"/>
      <c r="F983" s="5"/>
      <c r="G983" s="5"/>
    </row>
    <row r="984" spans="2:7" ht="13">
      <c r="B984" s="36"/>
      <c r="C984" s="80"/>
      <c r="D984" s="5"/>
      <c r="E984" s="5"/>
      <c r="F984" s="5"/>
      <c r="G984" s="5"/>
    </row>
    <row r="985" spans="2:7" ht="13">
      <c r="B985" s="36"/>
      <c r="C985" s="80"/>
      <c r="D985" s="5"/>
      <c r="E985" s="5"/>
      <c r="F985" s="5"/>
      <c r="G985" s="5"/>
    </row>
    <row r="986" spans="2:7" ht="13">
      <c r="B986" s="36"/>
      <c r="C986" s="80"/>
      <c r="D986" s="5"/>
      <c r="E986" s="5"/>
      <c r="F986" s="5"/>
      <c r="G986" s="5"/>
    </row>
    <row r="987" spans="2:7" ht="13">
      <c r="B987" s="36"/>
      <c r="C987" s="80"/>
      <c r="D987" s="5"/>
      <c r="E987" s="5"/>
      <c r="F987" s="5"/>
      <c r="G987" s="5"/>
    </row>
    <row r="988" spans="2:7" ht="13">
      <c r="B988" s="36"/>
      <c r="C988" s="80"/>
      <c r="D988" s="5"/>
      <c r="E988" s="5"/>
      <c r="F988" s="5"/>
      <c r="G988" s="5"/>
    </row>
    <row r="989" spans="2:7" ht="13">
      <c r="B989" s="36"/>
      <c r="C989" s="80"/>
      <c r="D989" s="5"/>
      <c r="E989" s="5"/>
      <c r="F989" s="5"/>
      <c r="G989" s="5"/>
    </row>
    <row r="990" spans="2:7" ht="13">
      <c r="B990" s="36"/>
      <c r="C990" s="80"/>
      <c r="D990" s="5"/>
      <c r="E990" s="5"/>
      <c r="F990" s="5"/>
      <c r="G990" s="5"/>
    </row>
    <row r="991" spans="2:7" ht="13">
      <c r="B991" s="36"/>
      <c r="C991" s="80"/>
      <c r="D991" s="5"/>
      <c r="E991" s="5"/>
      <c r="F991" s="5"/>
      <c r="G991" s="5"/>
    </row>
    <row r="992" spans="2:7" ht="13">
      <c r="B992" s="36"/>
      <c r="C992" s="80"/>
      <c r="D992" s="5"/>
      <c r="E992" s="5"/>
      <c r="F992" s="5"/>
      <c r="G992" s="5"/>
    </row>
    <row r="993" spans="2:7" ht="13">
      <c r="B993" s="36"/>
      <c r="C993" s="80"/>
      <c r="D993" s="5"/>
      <c r="E993" s="5"/>
      <c r="F993" s="5"/>
      <c r="G993" s="5"/>
    </row>
    <row r="994" spans="2:7" ht="13">
      <c r="B994" s="36"/>
      <c r="C994" s="80"/>
      <c r="D994" s="5"/>
      <c r="E994" s="5"/>
      <c r="F994" s="5"/>
      <c r="G994" s="5"/>
    </row>
    <row r="995" spans="2:7" ht="13">
      <c r="B995" s="36"/>
      <c r="C995" s="80"/>
      <c r="D995" s="5"/>
      <c r="E995" s="5"/>
      <c r="F995" s="5"/>
      <c r="G995" s="5"/>
    </row>
    <row r="996" spans="2:7" ht="13">
      <c r="B996" s="36"/>
      <c r="C996" s="80"/>
      <c r="D996" s="5"/>
      <c r="E996" s="5"/>
      <c r="F996" s="5"/>
      <c r="G996" s="5"/>
    </row>
    <row r="997" spans="2:7" ht="13">
      <c r="B997" s="36"/>
      <c r="C997" s="80"/>
      <c r="D997" s="5"/>
      <c r="E997" s="5"/>
      <c r="F997" s="5"/>
      <c r="G997" s="5"/>
    </row>
    <row r="998" spans="2:7" ht="13">
      <c r="B998" s="36"/>
      <c r="C998" s="80"/>
      <c r="D998" s="5"/>
      <c r="E998" s="5"/>
      <c r="F998" s="5"/>
      <c r="G998" s="5"/>
    </row>
    <row r="999" spans="2:7" ht="13">
      <c r="B999" s="36"/>
      <c r="C999" s="80"/>
      <c r="D999" s="5"/>
      <c r="E999" s="5"/>
      <c r="F999" s="5"/>
      <c r="G999" s="5"/>
    </row>
    <row r="1000" spans="2:7" ht="13">
      <c r="B1000" s="36"/>
      <c r="C1000" s="80"/>
      <c r="D1000" s="5"/>
      <c r="E1000" s="5"/>
      <c r="F1000" s="5"/>
      <c r="G1000" s="5"/>
    </row>
    <row r="1001" spans="2:7" ht="13">
      <c r="B1001" s="36"/>
      <c r="C1001" s="80"/>
      <c r="D1001" s="5"/>
      <c r="E1001" s="5"/>
      <c r="F1001" s="5"/>
      <c r="G1001" s="5"/>
    </row>
    <row r="1002" spans="2:7" ht="13">
      <c r="B1002" s="36"/>
      <c r="C1002" s="80"/>
      <c r="D1002" s="5"/>
      <c r="E1002" s="5"/>
      <c r="F1002" s="5"/>
      <c r="G1002" s="5"/>
    </row>
  </sheetData>
  <hyperlinks>
    <hyperlink ref="B5" r:id="rId1" xr:uid="{00000000-0004-0000-4E00-000000000000}"/>
    <hyperlink ref="B6" r:id="rId2" xr:uid="{00000000-0004-0000-4E00-000001000000}"/>
    <hyperlink ref="B7" r:id="rId3" xr:uid="{00000000-0004-0000-4E00-000002000000}"/>
    <hyperlink ref="B8" r:id="rId4" xr:uid="{00000000-0004-0000-4E00-000003000000}"/>
    <hyperlink ref="B9" r:id="rId5" xr:uid="{00000000-0004-0000-4E00-000004000000}"/>
    <hyperlink ref="B10" r:id="rId6" xr:uid="{00000000-0004-0000-4E00-000005000000}"/>
    <hyperlink ref="B11" r:id="rId7" xr:uid="{00000000-0004-0000-4E00-000006000000}"/>
    <hyperlink ref="B12" r:id="rId8" xr:uid="{00000000-0004-0000-4E00-000007000000}"/>
    <hyperlink ref="B13" r:id="rId9" xr:uid="{00000000-0004-0000-4E00-000008000000}"/>
    <hyperlink ref="B14" r:id="rId10" xr:uid="{00000000-0004-0000-4E00-000009000000}"/>
    <hyperlink ref="B15" r:id="rId11" xr:uid="{00000000-0004-0000-4E00-00000A000000}"/>
    <hyperlink ref="B16" r:id="rId12" xr:uid="{00000000-0004-0000-4E00-00000B000000}"/>
    <hyperlink ref="B17" r:id="rId13" xr:uid="{00000000-0004-0000-4E00-00000C000000}"/>
    <hyperlink ref="B19" r:id="rId14" xr:uid="{00000000-0004-0000-4E00-00000D000000}"/>
    <hyperlink ref="B20" r:id="rId15" xr:uid="{00000000-0004-0000-4E00-00000E000000}"/>
    <hyperlink ref="B21" r:id="rId16" xr:uid="{00000000-0004-0000-4E00-00000F000000}"/>
    <hyperlink ref="B23" r:id="rId17" xr:uid="{00000000-0004-0000-4E00-000010000000}"/>
    <hyperlink ref="B24" r:id="rId18" xr:uid="{00000000-0004-0000-4E00-000011000000}"/>
    <hyperlink ref="B25" r:id="rId19" xr:uid="{00000000-0004-0000-4E00-000012000000}"/>
    <hyperlink ref="B26" r:id="rId20" xr:uid="{00000000-0004-0000-4E00-000013000000}"/>
    <hyperlink ref="B27" r:id="rId21" xr:uid="{00000000-0004-0000-4E00-000014000000}"/>
    <hyperlink ref="B28" r:id="rId22" xr:uid="{00000000-0004-0000-4E00-000015000000}"/>
    <hyperlink ref="B29" r:id="rId23" xr:uid="{00000000-0004-0000-4E00-000016000000}"/>
    <hyperlink ref="B32" r:id="rId24" xr:uid="{00000000-0004-0000-4E00-000017000000}"/>
    <hyperlink ref="B33" r:id="rId25" xr:uid="{00000000-0004-0000-4E00-000018000000}"/>
    <hyperlink ref="B34" r:id="rId26" xr:uid="{00000000-0004-0000-4E00-000019000000}"/>
    <hyperlink ref="B37" r:id="rId27" xr:uid="{00000000-0004-0000-4E00-00001A000000}"/>
    <hyperlink ref="B38" r:id="rId28" xr:uid="{00000000-0004-0000-4E00-00001B000000}"/>
    <hyperlink ref="B39" r:id="rId29" xr:uid="{00000000-0004-0000-4E00-00001C000000}"/>
    <hyperlink ref="B40" r:id="rId30" xr:uid="{00000000-0004-0000-4E00-00001D000000}"/>
    <hyperlink ref="B41" r:id="rId31" xr:uid="{00000000-0004-0000-4E00-00001E000000}"/>
    <hyperlink ref="B42" r:id="rId32" xr:uid="{00000000-0004-0000-4E00-00001F000000}"/>
    <hyperlink ref="B43" r:id="rId33" xr:uid="{00000000-0004-0000-4E00-000020000000}"/>
    <hyperlink ref="B44" r:id="rId34" xr:uid="{00000000-0004-0000-4E00-000021000000}"/>
    <hyperlink ref="B46" r:id="rId35" xr:uid="{00000000-0004-0000-4E00-000022000000}"/>
    <hyperlink ref="B47" r:id="rId36" xr:uid="{00000000-0004-0000-4E00-000023000000}"/>
    <hyperlink ref="B48" r:id="rId37" xr:uid="{00000000-0004-0000-4E00-000024000000}"/>
    <hyperlink ref="B49" r:id="rId38" xr:uid="{00000000-0004-0000-4E00-000025000000}"/>
    <hyperlink ref="B50" r:id="rId39" xr:uid="{00000000-0004-0000-4E00-000026000000}"/>
    <hyperlink ref="B52" r:id="rId40" xr:uid="{00000000-0004-0000-4E00-000027000000}"/>
    <hyperlink ref="B53" r:id="rId41" xr:uid="{00000000-0004-0000-4E00-000028000000}"/>
    <hyperlink ref="B54" r:id="rId42" xr:uid="{00000000-0004-0000-4E00-000029000000}"/>
    <hyperlink ref="B55" r:id="rId43" xr:uid="{00000000-0004-0000-4E00-00002A000000}"/>
    <hyperlink ref="B57" r:id="rId44" xr:uid="{00000000-0004-0000-4E00-00002B000000}"/>
    <hyperlink ref="B58" r:id="rId45" xr:uid="{00000000-0004-0000-4E00-00002C000000}"/>
    <hyperlink ref="B59" r:id="rId46" xr:uid="{00000000-0004-0000-4E00-00002D000000}"/>
    <hyperlink ref="B60" r:id="rId47" xr:uid="{00000000-0004-0000-4E00-00002E000000}"/>
    <hyperlink ref="B61" r:id="rId48" xr:uid="{00000000-0004-0000-4E00-00002F000000}"/>
    <hyperlink ref="B62" r:id="rId49" xr:uid="{00000000-0004-0000-4E00-000030000000}"/>
    <hyperlink ref="B63" r:id="rId50" xr:uid="{00000000-0004-0000-4E00-000031000000}"/>
    <hyperlink ref="B64" r:id="rId51" xr:uid="{00000000-0004-0000-4E00-000032000000}"/>
    <hyperlink ref="B65" r:id="rId52" xr:uid="{00000000-0004-0000-4E00-000033000000}"/>
    <hyperlink ref="B66" r:id="rId53" xr:uid="{00000000-0004-0000-4E00-000034000000}"/>
    <hyperlink ref="B67" r:id="rId54" xr:uid="{00000000-0004-0000-4E00-000035000000}"/>
    <hyperlink ref="B68" r:id="rId55" xr:uid="{00000000-0004-0000-4E00-000036000000}"/>
    <hyperlink ref="B69" r:id="rId56" xr:uid="{00000000-0004-0000-4E00-000037000000}"/>
    <hyperlink ref="B71" r:id="rId57" xr:uid="{00000000-0004-0000-4E00-000038000000}"/>
    <hyperlink ref="B72" r:id="rId58" xr:uid="{00000000-0004-0000-4E00-000039000000}"/>
    <hyperlink ref="B73" r:id="rId59" xr:uid="{00000000-0004-0000-4E00-00003A000000}"/>
    <hyperlink ref="B74" r:id="rId60" xr:uid="{00000000-0004-0000-4E00-00003B000000}"/>
    <hyperlink ref="B75" r:id="rId61" xr:uid="{00000000-0004-0000-4E00-00003C000000}"/>
    <hyperlink ref="B76" r:id="rId62" xr:uid="{00000000-0004-0000-4E00-00003D000000}"/>
    <hyperlink ref="B77" r:id="rId63" xr:uid="{00000000-0004-0000-4E00-00003E000000}"/>
    <hyperlink ref="B79" r:id="rId64" xr:uid="{00000000-0004-0000-4E00-00003F000000}"/>
    <hyperlink ref="B82" r:id="rId65" xr:uid="{00000000-0004-0000-4E00-000040000000}"/>
    <hyperlink ref="B83" r:id="rId66" xr:uid="{00000000-0004-0000-4E00-000041000000}"/>
    <hyperlink ref="B84" r:id="rId67" xr:uid="{00000000-0004-0000-4E00-000042000000}"/>
    <hyperlink ref="B85" r:id="rId68" xr:uid="{00000000-0004-0000-4E00-000043000000}"/>
    <hyperlink ref="B86" r:id="rId69" xr:uid="{00000000-0004-0000-4E00-000044000000}"/>
    <hyperlink ref="B88" r:id="rId70" xr:uid="{00000000-0004-0000-4E00-000045000000}"/>
    <hyperlink ref="B89" r:id="rId71" xr:uid="{00000000-0004-0000-4E00-000046000000}"/>
    <hyperlink ref="B90" r:id="rId72" xr:uid="{00000000-0004-0000-4E00-000047000000}"/>
    <hyperlink ref="B91" r:id="rId73" xr:uid="{00000000-0004-0000-4E00-000048000000}"/>
    <hyperlink ref="B92" r:id="rId74" xr:uid="{00000000-0004-0000-4E00-000049000000}"/>
    <hyperlink ref="B94" r:id="rId75" xr:uid="{00000000-0004-0000-4E00-00004A000000}"/>
    <hyperlink ref="B95" r:id="rId76" xr:uid="{00000000-0004-0000-4E00-00004B000000}"/>
    <hyperlink ref="B97" r:id="rId77" xr:uid="{00000000-0004-0000-4E00-00004C000000}"/>
    <hyperlink ref="B98" r:id="rId78" xr:uid="{00000000-0004-0000-4E00-00004D000000}"/>
    <hyperlink ref="B99" r:id="rId79" xr:uid="{00000000-0004-0000-4E00-00004E000000}"/>
    <hyperlink ref="B100" r:id="rId80" xr:uid="{00000000-0004-0000-4E00-00004F000000}"/>
    <hyperlink ref="B101" r:id="rId81" xr:uid="{00000000-0004-0000-4E00-000050000000}"/>
    <hyperlink ref="B102" r:id="rId82" xr:uid="{00000000-0004-0000-4E00-000051000000}"/>
    <hyperlink ref="B103" r:id="rId83" xr:uid="{00000000-0004-0000-4E00-000052000000}"/>
    <hyperlink ref="B104" r:id="rId84" xr:uid="{00000000-0004-0000-4E00-000053000000}"/>
    <hyperlink ref="B105" r:id="rId85" xr:uid="{00000000-0004-0000-4E00-000054000000}"/>
    <hyperlink ref="B106" r:id="rId86" xr:uid="{00000000-0004-0000-4E00-000055000000}"/>
    <hyperlink ref="B107" r:id="rId87" xr:uid="{00000000-0004-0000-4E00-000056000000}"/>
    <hyperlink ref="B108" r:id="rId88" xr:uid="{00000000-0004-0000-4E00-000057000000}"/>
    <hyperlink ref="B109" r:id="rId89" xr:uid="{00000000-0004-0000-4E00-000058000000}"/>
    <hyperlink ref="B110" r:id="rId90" xr:uid="{00000000-0004-0000-4E00-000059000000}"/>
    <hyperlink ref="B111" r:id="rId91" xr:uid="{00000000-0004-0000-4E00-00005A000000}"/>
    <hyperlink ref="B112" r:id="rId92" xr:uid="{00000000-0004-0000-4E00-00005B000000}"/>
    <hyperlink ref="B113" r:id="rId93" xr:uid="{00000000-0004-0000-4E00-00005C000000}"/>
    <hyperlink ref="B114" r:id="rId94" xr:uid="{00000000-0004-0000-4E00-00005D000000}"/>
    <hyperlink ref="B115" r:id="rId95" xr:uid="{00000000-0004-0000-4E00-00005E000000}"/>
    <hyperlink ref="B116" r:id="rId96" xr:uid="{00000000-0004-0000-4E00-00005F000000}"/>
    <hyperlink ref="B117" r:id="rId97" xr:uid="{00000000-0004-0000-4E00-000060000000}"/>
    <hyperlink ref="B126" r:id="rId98" xr:uid="{00000000-0004-0000-4E00-000061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0">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1" max="1" width="16.5" customWidth="1"/>
    <col min="2" max="2" width="13.1640625" customWidth="1"/>
    <col min="3" max="3" width="13.5" customWidth="1"/>
    <col min="4" max="4" width="14.83203125" customWidth="1"/>
    <col min="5" max="5" width="14.33203125" customWidth="1"/>
  </cols>
  <sheetData>
    <row r="1" spans="1:10" ht="15.75" customHeight="1">
      <c r="A1" s="1" t="s">
        <v>129</v>
      </c>
      <c r="B1" s="36"/>
      <c r="C1" s="80"/>
      <c r="D1" s="81" t="s">
        <v>181</v>
      </c>
      <c r="E1" s="5"/>
      <c r="F1" s="5"/>
      <c r="G1" s="5"/>
    </row>
    <row r="2" spans="1:10" ht="15.75" customHeight="1">
      <c r="A2" s="7" t="s">
        <v>182</v>
      </c>
      <c r="B2" s="38">
        <v>42422</v>
      </c>
      <c r="C2" s="80"/>
      <c r="D2" s="82">
        <f>SUM(D5:G87)</f>
        <v>0</v>
      </c>
      <c r="E2" s="5"/>
      <c r="F2" s="5"/>
      <c r="G2" s="5"/>
    </row>
    <row r="3" spans="1:10" ht="15.75" customHeight="1">
      <c r="B3" s="36"/>
      <c r="C3" s="80"/>
      <c r="D3" s="5"/>
      <c r="E3" s="5"/>
      <c r="F3" s="5"/>
      <c r="G3" s="5"/>
    </row>
    <row r="4" spans="1:10" ht="15.75" customHeight="1">
      <c r="A4" s="42" t="s">
        <v>183</v>
      </c>
      <c r="B4" s="43" t="s">
        <v>184</v>
      </c>
      <c r="C4" s="42" t="s">
        <v>185</v>
      </c>
      <c r="D4" s="83" t="s">
        <v>186</v>
      </c>
      <c r="E4" s="84" t="s">
        <v>187</v>
      </c>
      <c r="F4" s="84" t="s">
        <v>188</v>
      </c>
      <c r="G4" s="85" t="s">
        <v>189</v>
      </c>
      <c r="H4" s="84" t="s">
        <v>190</v>
      </c>
      <c r="I4" s="85"/>
    </row>
    <row r="5" spans="1:10" ht="15.75" customHeight="1">
      <c r="A5" s="64" t="s">
        <v>5899</v>
      </c>
      <c r="B5" s="78" t="str">
        <f>HYPERLINK("https://bulbapedia.bulbagarden.net/wiki/Venusaur-EX_(Generations_1)","VenusaurEX")</f>
        <v>VenusaurEX</v>
      </c>
      <c r="C5" s="64" t="s">
        <v>205</v>
      </c>
      <c r="D5" s="89"/>
      <c r="E5" s="87"/>
      <c r="F5" s="87"/>
      <c r="G5" s="87"/>
      <c r="H5" s="88"/>
      <c r="I5" s="88"/>
      <c r="J5" s="88"/>
    </row>
    <row r="6" spans="1:10" ht="15.75" customHeight="1">
      <c r="A6" s="64" t="s">
        <v>5900</v>
      </c>
      <c r="B6" s="79" t="str">
        <f>HYPERLINK("https://bulbapedia.bulbagarden.net/wiki/M_Venusaur-EX_(Generations_2)","MVenusaurEX")</f>
        <v>MVenusaurEX</v>
      </c>
      <c r="C6" s="64" t="s">
        <v>205</v>
      </c>
      <c r="D6" s="76"/>
      <c r="E6" s="5"/>
      <c r="F6" s="5"/>
      <c r="G6" s="5"/>
      <c r="J6" s="88"/>
    </row>
    <row r="7" spans="1:10" ht="15.75" customHeight="1">
      <c r="A7" s="64" t="s">
        <v>5901</v>
      </c>
      <c r="B7" s="77" t="s">
        <v>277</v>
      </c>
      <c r="C7" s="64" t="s">
        <v>205</v>
      </c>
      <c r="D7" s="76"/>
      <c r="E7" s="5"/>
      <c r="F7" s="5"/>
      <c r="G7" s="5"/>
    </row>
    <row r="8" spans="1:10" ht="15.75" customHeight="1">
      <c r="A8" s="64" t="s">
        <v>5902</v>
      </c>
      <c r="B8" s="77" t="s">
        <v>286</v>
      </c>
      <c r="C8" s="64" t="s">
        <v>205</v>
      </c>
      <c r="D8" s="76"/>
      <c r="E8" s="5"/>
      <c r="F8" s="5"/>
      <c r="G8" s="5"/>
    </row>
    <row r="9" spans="1:10" ht="15.75" customHeight="1">
      <c r="A9" s="64" t="s">
        <v>5903</v>
      </c>
      <c r="B9" s="77" t="s">
        <v>331</v>
      </c>
      <c r="C9" s="64" t="s">
        <v>205</v>
      </c>
      <c r="D9" s="76"/>
      <c r="E9" s="5"/>
      <c r="F9" s="5"/>
      <c r="G9" s="5"/>
    </row>
    <row r="10" spans="1:10" ht="15.75" customHeight="1">
      <c r="A10" s="64" t="s">
        <v>5904</v>
      </c>
      <c r="B10" s="77" t="s">
        <v>353</v>
      </c>
      <c r="C10" s="64" t="s">
        <v>205</v>
      </c>
      <c r="D10" s="76"/>
      <c r="E10" s="5"/>
      <c r="F10" s="5"/>
      <c r="G10" s="5"/>
    </row>
    <row r="11" spans="1:10" ht="15.75" customHeight="1">
      <c r="A11" s="64" t="s">
        <v>5905</v>
      </c>
      <c r="B11" s="77" t="s">
        <v>339</v>
      </c>
      <c r="C11" s="64" t="s">
        <v>205</v>
      </c>
      <c r="D11" s="76"/>
      <c r="E11" s="5"/>
      <c r="F11" s="5"/>
      <c r="G11" s="5"/>
    </row>
    <row r="12" spans="1:10" ht="15.75" customHeight="1">
      <c r="A12" s="64" t="s">
        <v>5906</v>
      </c>
      <c r="B12" s="77" t="s">
        <v>297</v>
      </c>
      <c r="C12" s="64" t="s">
        <v>205</v>
      </c>
      <c r="D12" s="76"/>
      <c r="E12" s="5"/>
      <c r="F12" s="5"/>
      <c r="G12" s="5"/>
    </row>
    <row r="13" spans="1:10" ht="15.75" customHeight="1">
      <c r="A13" s="64" t="s">
        <v>5907</v>
      </c>
      <c r="B13" s="77" t="s">
        <v>325</v>
      </c>
      <c r="C13" s="64" t="s">
        <v>205</v>
      </c>
      <c r="D13" s="76"/>
      <c r="E13" s="5"/>
      <c r="F13" s="5"/>
      <c r="G13" s="5"/>
    </row>
    <row r="14" spans="1:10" ht="15.75" customHeight="1">
      <c r="A14" s="64" t="s">
        <v>5908</v>
      </c>
      <c r="B14" s="78" t="str">
        <f>HYPERLINK("https://bulbapedia.bulbagarden.net/wiki/Leafeon-EX_(Generations_10)","LeafeonEX")</f>
        <v>LeafeonEX</v>
      </c>
      <c r="C14" s="64" t="s">
        <v>205</v>
      </c>
      <c r="D14" s="76"/>
      <c r="E14" s="5"/>
      <c r="F14" s="5"/>
      <c r="G14" s="5"/>
    </row>
    <row r="15" spans="1:10" ht="15.75" customHeight="1">
      <c r="A15" s="64" t="s">
        <v>5909</v>
      </c>
      <c r="B15" s="78" t="str">
        <f>HYPERLINK("https://bulbapedia.bulbagarden.net/wiki/Charizard-EX_(Generations_11)","CharizardEX")</f>
        <v>CharizardEX</v>
      </c>
      <c r="C15" s="64" t="s">
        <v>199</v>
      </c>
      <c r="D15" s="76"/>
      <c r="E15" s="5"/>
      <c r="F15" s="5"/>
      <c r="G15" s="5"/>
    </row>
    <row r="16" spans="1:10" ht="15.75" customHeight="1">
      <c r="A16" s="64" t="s">
        <v>5910</v>
      </c>
      <c r="B16" s="79" t="str">
        <f>HYPERLINK("https://bulbapedia.bulbagarden.net/wiki/M_Charizard-EX_(Generations_12)","MCharizardEX")</f>
        <v>MCharizardEX</v>
      </c>
      <c r="C16" s="64" t="s">
        <v>199</v>
      </c>
      <c r="D16" s="76"/>
      <c r="E16" s="5"/>
      <c r="F16" s="5"/>
      <c r="G16" s="5"/>
    </row>
    <row r="17" spans="1:7" ht="15.75" customHeight="1">
      <c r="A17" s="64" t="s">
        <v>5911</v>
      </c>
      <c r="B17" s="78" t="str">
        <f>HYPERLINK("https://bulbapedia.bulbagarden.net/wiki/Ninetales-EX_(Generations_13)","NinetalesEX")</f>
        <v>NinetalesEX</v>
      </c>
      <c r="C17" s="64" t="s">
        <v>199</v>
      </c>
      <c r="D17" s="76"/>
      <c r="E17" s="5"/>
      <c r="F17" s="5"/>
      <c r="G17" s="5"/>
    </row>
    <row r="18" spans="1:7" ht="15.75" customHeight="1">
      <c r="A18" s="64" t="s">
        <v>5912</v>
      </c>
      <c r="B18" s="77" t="s">
        <v>291</v>
      </c>
      <c r="C18" s="64" t="s">
        <v>199</v>
      </c>
      <c r="D18" s="76"/>
      <c r="E18" s="5"/>
      <c r="F18" s="5"/>
      <c r="G18" s="5"/>
    </row>
    <row r="19" spans="1:7" ht="15.75" customHeight="1">
      <c r="A19" s="64" t="s">
        <v>5913</v>
      </c>
      <c r="B19" s="77" t="s">
        <v>235</v>
      </c>
      <c r="C19" s="64" t="s">
        <v>199</v>
      </c>
      <c r="D19" s="76"/>
      <c r="E19" s="5"/>
      <c r="F19" s="5"/>
      <c r="G19" s="5"/>
    </row>
    <row r="20" spans="1:7" ht="15.75" customHeight="1">
      <c r="A20" s="64" t="s">
        <v>5914</v>
      </c>
      <c r="B20" s="77" t="s">
        <v>231</v>
      </c>
      <c r="C20" s="64" t="s">
        <v>199</v>
      </c>
      <c r="D20" s="76"/>
      <c r="E20" s="5"/>
      <c r="F20" s="5"/>
      <c r="G20" s="5"/>
    </row>
    <row r="21" spans="1:7" ht="15.75" customHeight="1">
      <c r="A21" s="64" t="s">
        <v>5915</v>
      </c>
      <c r="B21" s="78" t="str">
        <f>HYPERLINK("https://bulbapedia.bulbagarden.net/wiki/Blastoise-EX_(Generations_17)","BlastoiseEX")</f>
        <v>BlastoiseEX</v>
      </c>
      <c r="C21" s="64" t="s">
        <v>208</v>
      </c>
      <c r="D21" s="76"/>
      <c r="E21" s="5"/>
      <c r="F21" s="5"/>
      <c r="G21" s="5"/>
    </row>
    <row r="22" spans="1:7" ht="15.75" customHeight="1">
      <c r="A22" s="64" t="s">
        <v>5916</v>
      </c>
      <c r="B22" s="79" t="str">
        <f>HYPERLINK("https://bulbapedia.bulbagarden.net/wiki/M_Blastoise-EX_(Generations_18)","MBlastoiseEX")</f>
        <v>MBlastoiseEX</v>
      </c>
      <c r="C22" s="64" t="s">
        <v>208</v>
      </c>
      <c r="D22" s="76"/>
      <c r="E22" s="5"/>
      <c r="F22" s="5"/>
      <c r="G22" s="5"/>
    </row>
    <row r="23" spans="1:7" ht="15.75" customHeight="1">
      <c r="A23" s="64" t="s">
        <v>5917</v>
      </c>
      <c r="B23" s="77" t="s">
        <v>386</v>
      </c>
      <c r="C23" s="64" t="s">
        <v>208</v>
      </c>
      <c r="D23" s="76"/>
      <c r="E23" s="5"/>
      <c r="F23" s="5"/>
      <c r="G23" s="5"/>
    </row>
    <row r="24" spans="1:7" ht="15.75" customHeight="1">
      <c r="A24" s="64" t="s">
        <v>5918</v>
      </c>
      <c r="B24" s="77" t="s">
        <v>367</v>
      </c>
      <c r="C24" s="64" t="s">
        <v>208</v>
      </c>
      <c r="D24" s="76"/>
      <c r="E24" s="5"/>
      <c r="F24" s="5"/>
      <c r="G24" s="5"/>
    </row>
    <row r="25" spans="1:7" ht="15.75" customHeight="1">
      <c r="A25" s="64" t="s">
        <v>5919</v>
      </c>
      <c r="B25" s="77" t="s">
        <v>384</v>
      </c>
      <c r="C25" s="64" t="s">
        <v>208</v>
      </c>
      <c r="D25" s="76"/>
      <c r="E25" s="5"/>
      <c r="F25" s="5"/>
      <c r="G25" s="5"/>
    </row>
    <row r="26" spans="1:7" ht="15.75" customHeight="1">
      <c r="A26" s="64" t="s">
        <v>5920</v>
      </c>
      <c r="B26" s="77" t="s">
        <v>268</v>
      </c>
      <c r="C26" s="64" t="s">
        <v>208</v>
      </c>
      <c r="D26" s="64"/>
      <c r="E26" s="5"/>
      <c r="F26" s="51"/>
      <c r="G26" s="5"/>
    </row>
    <row r="27" spans="1:7" ht="15.75" customHeight="1">
      <c r="A27" s="64" t="s">
        <v>5921</v>
      </c>
      <c r="B27" s="77" t="s">
        <v>245</v>
      </c>
      <c r="C27" s="64" t="s">
        <v>208</v>
      </c>
      <c r="D27" s="76"/>
      <c r="E27" s="5"/>
      <c r="F27" s="5"/>
      <c r="G27" s="5"/>
    </row>
    <row r="28" spans="1:7" ht="15.75" customHeight="1">
      <c r="A28" s="64" t="s">
        <v>5922</v>
      </c>
      <c r="B28" s="78" t="str">
        <f>HYPERLINK("https://bulbapedia.bulbagarden.net/wiki/Vaporeon-EX_(Generations_24)","VaporeonEX")</f>
        <v>VaporeonEX</v>
      </c>
      <c r="C28" s="64" t="s">
        <v>208</v>
      </c>
      <c r="D28" s="76"/>
      <c r="E28" s="5"/>
      <c r="F28" s="5"/>
      <c r="G28" s="5"/>
    </row>
    <row r="29" spans="1:7" ht="15.75" customHeight="1">
      <c r="A29" s="64" t="s">
        <v>5923</v>
      </c>
      <c r="B29" s="77" t="s">
        <v>210</v>
      </c>
      <c r="C29" s="64" t="s">
        <v>208</v>
      </c>
      <c r="D29" s="76"/>
      <c r="E29" s="5"/>
      <c r="F29" s="5"/>
      <c r="G29" s="5"/>
    </row>
    <row r="30" spans="1:7" ht="15.75" customHeight="1">
      <c r="A30" s="64" t="s">
        <v>5924</v>
      </c>
      <c r="B30" s="77" t="s">
        <v>191</v>
      </c>
      <c r="C30" s="64" t="s">
        <v>192</v>
      </c>
      <c r="D30" s="64"/>
      <c r="E30" s="5"/>
      <c r="F30" s="51"/>
      <c r="G30" s="5"/>
    </row>
    <row r="31" spans="1:7" ht="15.75" customHeight="1">
      <c r="A31" s="64" t="s">
        <v>5925</v>
      </c>
      <c r="B31" s="77" t="s">
        <v>251</v>
      </c>
      <c r="C31" s="64" t="s">
        <v>192</v>
      </c>
      <c r="D31" s="76"/>
      <c r="E31" s="5"/>
      <c r="F31" s="5"/>
      <c r="G31" s="5"/>
    </row>
    <row r="32" spans="1:7" ht="15.75" customHeight="1">
      <c r="A32" s="64" t="s">
        <v>5926</v>
      </c>
      <c r="B32" s="78" t="str">
        <f>HYPERLINK("https://bulbapedia.bulbagarden.net/wiki/Jolteon-EX_(Generations_28)","JolteonEX")</f>
        <v>JolteonEX</v>
      </c>
      <c r="C32" s="64" t="s">
        <v>192</v>
      </c>
      <c r="D32" s="76"/>
      <c r="E32" s="5"/>
      <c r="F32" s="5"/>
      <c r="G32" s="5"/>
    </row>
    <row r="33" spans="1:7" ht="15.75" customHeight="1">
      <c r="A33" s="64" t="s">
        <v>5927</v>
      </c>
      <c r="B33" s="77" t="s">
        <v>211</v>
      </c>
      <c r="C33" s="64" t="s">
        <v>192</v>
      </c>
      <c r="D33" s="76"/>
      <c r="E33" s="5"/>
      <c r="F33" s="5"/>
      <c r="G33" s="5"/>
    </row>
    <row r="34" spans="1:7" ht="15.75" customHeight="1">
      <c r="A34" s="64" t="s">
        <v>5928</v>
      </c>
      <c r="B34" s="77" t="s">
        <v>389</v>
      </c>
      <c r="C34" s="64" t="s">
        <v>195</v>
      </c>
      <c r="D34" s="76"/>
      <c r="E34" s="5"/>
      <c r="F34" s="5"/>
      <c r="G34" s="5"/>
    </row>
    <row r="35" spans="1:7" ht="15.75" customHeight="1">
      <c r="A35" s="64" t="s">
        <v>5929</v>
      </c>
      <c r="B35" s="77" t="s">
        <v>368</v>
      </c>
      <c r="C35" s="64" t="s">
        <v>195</v>
      </c>
      <c r="D35" s="76"/>
      <c r="E35" s="5"/>
      <c r="F35" s="5"/>
      <c r="G35" s="5"/>
    </row>
    <row r="36" spans="1:7" ht="15.75" customHeight="1">
      <c r="A36" s="64" t="s">
        <v>5930</v>
      </c>
      <c r="B36" s="77" t="s">
        <v>387</v>
      </c>
      <c r="C36" s="64" t="s">
        <v>195</v>
      </c>
      <c r="D36" s="76"/>
      <c r="E36" s="5"/>
      <c r="F36" s="5"/>
      <c r="G36" s="5"/>
    </row>
    <row r="37" spans="1:7" ht="15.75" customHeight="1">
      <c r="A37" s="64" t="s">
        <v>5931</v>
      </c>
      <c r="B37" s="77" t="s">
        <v>282</v>
      </c>
      <c r="C37" s="64" t="s">
        <v>195</v>
      </c>
      <c r="D37" s="76"/>
      <c r="E37" s="5"/>
      <c r="F37" s="5"/>
      <c r="G37" s="5"/>
    </row>
    <row r="38" spans="1:7" ht="15.75" customHeight="1">
      <c r="A38" s="64" t="s">
        <v>5932</v>
      </c>
      <c r="B38" s="77" t="s">
        <v>263</v>
      </c>
      <c r="C38" s="64" t="s">
        <v>195</v>
      </c>
      <c r="D38" s="76"/>
      <c r="E38" s="5"/>
      <c r="F38" s="5"/>
      <c r="G38" s="5"/>
    </row>
    <row r="39" spans="1:7" ht="15.75" customHeight="1">
      <c r="A39" s="64" t="s">
        <v>5933</v>
      </c>
      <c r="B39" s="77" t="s">
        <v>360</v>
      </c>
      <c r="C39" s="64" t="s">
        <v>195</v>
      </c>
      <c r="D39" s="76"/>
      <c r="E39" s="5"/>
      <c r="F39" s="5"/>
      <c r="G39" s="5"/>
    </row>
    <row r="40" spans="1:7" ht="15.75" customHeight="1">
      <c r="A40" s="64" t="s">
        <v>5934</v>
      </c>
      <c r="B40" s="77" t="s">
        <v>265</v>
      </c>
      <c r="C40" s="64" t="s">
        <v>195</v>
      </c>
      <c r="D40" s="76"/>
      <c r="E40" s="5"/>
      <c r="F40" s="5"/>
      <c r="G40" s="5"/>
    </row>
    <row r="41" spans="1:7" ht="15.75" customHeight="1">
      <c r="A41" s="64" t="s">
        <v>5935</v>
      </c>
      <c r="B41" s="78" t="str">
        <f>HYPERLINK("https://bulbapedia.bulbagarden.net/wiki/Meowstic-EX_(Generations_37)","MeowsticEX")</f>
        <v>MeowsticEX</v>
      </c>
      <c r="C41" s="64" t="s">
        <v>195</v>
      </c>
      <c r="D41" s="76"/>
      <c r="E41" s="5"/>
      <c r="F41" s="5"/>
      <c r="G41" s="5"/>
    </row>
    <row r="42" spans="1:7" ht="15.75" customHeight="1">
      <c r="A42" s="64" t="s">
        <v>5936</v>
      </c>
      <c r="B42" s="77" t="s">
        <v>279</v>
      </c>
      <c r="C42" s="64" t="s">
        <v>225</v>
      </c>
      <c r="D42" s="76"/>
      <c r="E42" s="5"/>
      <c r="F42" s="5"/>
      <c r="G42" s="5"/>
    </row>
    <row r="43" spans="1:7" ht="15.75" customHeight="1">
      <c r="A43" s="64" t="s">
        <v>5937</v>
      </c>
      <c r="B43" s="77" t="s">
        <v>255</v>
      </c>
      <c r="C43" s="64" t="s">
        <v>225</v>
      </c>
      <c r="D43" s="76"/>
      <c r="E43" s="5"/>
      <c r="F43" s="5"/>
      <c r="G43" s="5"/>
    </row>
    <row r="44" spans="1:7" ht="15.75" customHeight="1">
      <c r="A44" s="64" t="s">
        <v>5938</v>
      </c>
      <c r="B44" s="77" t="s">
        <v>284</v>
      </c>
      <c r="C44" s="64" t="s">
        <v>225</v>
      </c>
      <c r="D44" s="76"/>
      <c r="E44" s="5"/>
      <c r="F44" s="5"/>
      <c r="G44" s="5"/>
    </row>
    <row r="45" spans="1:7" ht="15.75" customHeight="1">
      <c r="A45" s="64" t="s">
        <v>5939</v>
      </c>
      <c r="B45" s="77" t="s">
        <v>267</v>
      </c>
      <c r="C45" s="64" t="s">
        <v>225</v>
      </c>
      <c r="D45" s="76"/>
      <c r="E45" s="5"/>
      <c r="F45" s="5"/>
      <c r="G45" s="5"/>
    </row>
    <row r="46" spans="1:7" ht="15.75" customHeight="1">
      <c r="A46" s="64" t="s">
        <v>5940</v>
      </c>
      <c r="B46" s="77" t="s">
        <v>230</v>
      </c>
      <c r="C46" s="64" t="s">
        <v>225</v>
      </c>
      <c r="D46" s="76"/>
      <c r="E46" s="5"/>
      <c r="F46" s="5"/>
      <c r="G46" s="5"/>
    </row>
    <row r="47" spans="1:7" ht="15.75" customHeight="1">
      <c r="A47" s="64" t="s">
        <v>5941</v>
      </c>
      <c r="B47" s="77" t="s">
        <v>380</v>
      </c>
      <c r="C47" s="64" t="s">
        <v>225</v>
      </c>
      <c r="D47" s="76"/>
      <c r="E47" s="5"/>
      <c r="F47" s="5"/>
      <c r="G47" s="5"/>
    </row>
    <row r="48" spans="1:7" ht="15.75" customHeight="1">
      <c r="A48" s="64" t="s">
        <v>5942</v>
      </c>
      <c r="B48" s="77" t="s">
        <v>371</v>
      </c>
      <c r="C48" s="64" t="s">
        <v>225</v>
      </c>
      <c r="D48" s="76"/>
      <c r="E48" s="5"/>
      <c r="F48" s="5"/>
      <c r="G48" s="5"/>
    </row>
    <row r="49" spans="1:7" ht="15.75" customHeight="1">
      <c r="A49" s="64" t="s">
        <v>5943</v>
      </c>
      <c r="B49" s="77" t="s">
        <v>370</v>
      </c>
      <c r="C49" s="64" t="s">
        <v>225</v>
      </c>
      <c r="D49" s="76"/>
      <c r="E49" s="5"/>
      <c r="F49" s="5"/>
      <c r="G49" s="5"/>
    </row>
    <row r="50" spans="1:7" ht="15.75" customHeight="1">
      <c r="A50" s="64" t="s">
        <v>5944</v>
      </c>
      <c r="B50" s="78" t="str">
        <f>HYPERLINK("https://bulbapedia.bulbagarden.net/wiki/Golem-EX_(Generations_46)","GolemEX")</f>
        <v>GolemEX</v>
      </c>
      <c r="C50" s="64" t="s">
        <v>225</v>
      </c>
      <c r="D50" s="76"/>
      <c r="E50" s="5"/>
      <c r="F50" s="5"/>
      <c r="G50" s="5"/>
    </row>
    <row r="51" spans="1:7" ht="15.75" customHeight="1">
      <c r="A51" s="64" t="s">
        <v>5945</v>
      </c>
      <c r="B51" s="77" t="s">
        <v>361</v>
      </c>
      <c r="C51" s="64" t="s">
        <v>225</v>
      </c>
      <c r="D51" s="76"/>
      <c r="E51" s="5"/>
      <c r="F51" s="5"/>
      <c r="G51" s="5"/>
    </row>
    <row r="52" spans="1:7" ht="15.75" customHeight="1">
      <c r="A52" s="64" t="s">
        <v>5946</v>
      </c>
      <c r="B52" s="77" t="s">
        <v>246</v>
      </c>
      <c r="C52" s="64" t="s">
        <v>225</v>
      </c>
      <c r="D52" s="76"/>
      <c r="E52" s="5"/>
      <c r="F52" s="5"/>
      <c r="G52" s="5"/>
    </row>
    <row r="53" spans="1:7" ht="13">
      <c r="A53" s="64" t="s">
        <v>5947</v>
      </c>
      <c r="B53" s="77" t="s">
        <v>354</v>
      </c>
      <c r="C53" s="64" t="s">
        <v>225</v>
      </c>
      <c r="D53" s="76"/>
      <c r="E53" s="5"/>
      <c r="F53" s="5"/>
      <c r="G53" s="5"/>
    </row>
    <row r="54" spans="1:7" ht="13">
      <c r="A54" s="64" t="s">
        <v>5948</v>
      </c>
      <c r="B54" s="77" t="s">
        <v>244</v>
      </c>
      <c r="C54" s="64" t="s">
        <v>4743</v>
      </c>
      <c r="D54" s="76"/>
      <c r="E54" s="5"/>
      <c r="F54" s="5"/>
      <c r="G54" s="5"/>
    </row>
    <row r="55" spans="1:7" ht="13">
      <c r="A55" s="64" t="s">
        <v>5949</v>
      </c>
      <c r="B55" s="77" t="s">
        <v>318</v>
      </c>
      <c r="C55" s="64" t="s">
        <v>4743</v>
      </c>
      <c r="D55" s="76"/>
      <c r="E55" s="5"/>
      <c r="F55" s="5"/>
      <c r="G55" s="5"/>
    </row>
    <row r="56" spans="1:7" ht="13">
      <c r="A56" s="64" t="s">
        <v>5950</v>
      </c>
      <c r="B56" s="77" t="s">
        <v>322</v>
      </c>
      <c r="C56" s="64" t="s">
        <v>4743</v>
      </c>
      <c r="D56" s="76"/>
      <c r="E56" s="5"/>
      <c r="F56" s="5"/>
      <c r="G56" s="5"/>
    </row>
    <row r="57" spans="1:7" ht="13">
      <c r="A57" s="64" t="s">
        <v>5951</v>
      </c>
      <c r="B57" s="77" t="s">
        <v>202</v>
      </c>
      <c r="C57" s="64" t="s">
        <v>197</v>
      </c>
      <c r="D57" s="76"/>
      <c r="E57" s="5"/>
      <c r="F57" s="5"/>
      <c r="G57" s="5"/>
    </row>
    <row r="58" spans="1:7" ht="13">
      <c r="A58" s="64" t="s">
        <v>5952</v>
      </c>
      <c r="B58" s="77" t="s">
        <v>340</v>
      </c>
      <c r="C58" s="64" t="s">
        <v>197</v>
      </c>
      <c r="D58" s="76"/>
      <c r="E58" s="5"/>
      <c r="F58" s="5"/>
      <c r="G58" s="5"/>
    </row>
    <row r="59" spans="1:7" ht="13">
      <c r="A59" s="64" t="s">
        <v>5953</v>
      </c>
      <c r="B59" s="77" t="s">
        <v>280</v>
      </c>
      <c r="C59" s="64" t="s">
        <v>197</v>
      </c>
      <c r="D59" s="76"/>
      <c r="E59" s="5"/>
      <c r="F59" s="5"/>
      <c r="G59" s="5"/>
    </row>
    <row r="60" spans="1:7" ht="13">
      <c r="A60" s="64" t="s">
        <v>5954</v>
      </c>
      <c r="B60" s="77" t="s">
        <v>332</v>
      </c>
      <c r="C60" s="64" t="s">
        <v>197</v>
      </c>
      <c r="D60" s="76"/>
      <c r="E60" s="5"/>
      <c r="F60" s="5"/>
      <c r="G60" s="5"/>
    </row>
    <row r="61" spans="1:7" ht="13">
      <c r="A61" s="64" t="s">
        <v>5955</v>
      </c>
      <c r="B61" s="77" t="s">
        <v>344</v>
      </c>
      <c r="C61" s="64" t="s">
        <v>197</v>
      </c>
      <c r="D61" s="76"/>
      <c r="E61" s="5"/>
      <c r="F61" s="5"/>
      <c r="G61" s="5"/>
    </row>
    <row r="62" spans="1:7" ht="13">
      <c r="A62" s="64" t="s">
        <v>5956</v>
      </c>
      <c r="B62" s="77" t="s">
        <v>233</v>
      </c>
      <c r="C62" s="64" t="s">
        <v>197</v>
      </c>
      <c r="D62" s="76"/>
      <c r="E62" s="5"/>
      <c r="F62" s="5"/>
      <c r="G62" s="5"/>
    </row>
    <row r="63" spans="1:7" ht="13">
      <c r="A63" s="64" t="s">
        <v>5957</v>
      </c>
      <c r="B63" s="77" t="s">
        <v>5958</v>
      </c>
      <c r="C63" s="64" t="s">
        <v>1013</v>
      </c>
      <c r="D63" s="76"/>
      <c r="E63" s="5"/>
      <c r="F63" s="5"/>
      <c r="G63" s="5"/>
    </row>
    <row r="64" spans="1:7" ht="13">
      <c r="A64" s="64" t="s">
        <v>5959</v>
      </c>
      <c r="B64" s="77" t="s">
        <v>4704</v>
      </c>
      <c r="C64" s="64" t="s">
        <v>4114</v>
      </c>
      <c r="D64" s="76"/>
      <c r="E64" s="5"/>
      <c r="F64" s="5"/>
      <c r="G64" s="5"/>
    </row>
    <row r="65" spans="1:7" ht="13">
      <c r="A65" s="64" t="s">
        <v>5960</v>
      </c>
      <c r="B65" s="77" t="s">
        <v>1140</v>
      </c>
      <c r="C65" s="64" t="s">
        <v>4114</v>
      </c>
      <c r="D65" s="66"/>
      <c r="E65" s="5"/>
      <c r="F65" s="5"/>
      <c r="G65" s="5"/>
    </row>
    <row r="66" spans="1:7" ht="13">
      <c r="A66" s="64" t="s">
        <v>5961</v>
      </c>
      <c r="B66" s="77" t="s">
        <v>5051</v>
      </c>
      <c r="C66" s="64" t="s">
        <v>4114</v>
      </c>
      <c r="D66" s="76"/>
      <c r="E66" s="5"/>
      <c r="F66" s="5"/>
      <c r="G66" s="5"/>
    </row>
    <row r="67" spans="1:7" ht="13">
      <c r="A67" s="64" t="s">
        <v>5962</v>
      </c>
      <c r="B67" s="77" t="s">
        <v>5963</v>
      </c>
      <c r="C67" s="64" t="s">
        <v>1013</v>
      </c>
      <c r="D67" s="76"/>
      <c r="E67" s="5"/>
      <c r="F67" s="5"/>
      <c r="G67" s="5"/>
    </row>
    <row r="68" spans="1:7" ht="13">
      <c r="A68" s="64" t="s">
        <v>5964</v>
      </c>
      <c r="B68" s="77" t="s">
        <v>309</v>
      </c>
      <c r="C68" s="64" t="s">
        <v>4114</v>
      </c>
      <c r="D68" s="76"/>
      <c r="E68" s="5"/>
      <c r="F68" s="5"/>
      <c r="G68" s="5"/>
    </row>
    <row r="69" spans="1:7" ht="13">
      <c r="A69" s="64" t="s">
        <v>5965</v>
      </c>
      <c r="B69" s="77" t="s">
        <v>659</v>
      </c>
      <c r="C69" s="64" t="s">
        <v>4114</v>
      </c>
      <c r="D69" s="76"/>
      <c r="E69" s="5"/>
      <c r="F69" s="5"/>
      <c r="G69" s="5"/>
    </row>
    <row r="70" spans="1:7" ht="13">
      <c r="A70" s="64" t="s">
        <v>5966</v>
      </c>
      <c r="B70" s="77" t="s">
        <v>5967</v>
      </c>
      <c r="C70" s="64" t="s">
        <v>1013</v>
      </c>
      <c r="D70" s="76"/>
      <c r="E70" s="5"/>
      <c r="F70" s="5"/>
      <c r="G70" s="5"/>
    </row>
    <row r="71" spans="1:7" ht="13">
      <c r="A71" s="64" t="s">
        <v>5968</v>
      </c>
      <c r="B71" s="77" t="s">
        <v>357</v>
      </c>
      <c r="C71" s="64" t="s">
        <v>4114</v>
      </c>
      <c r="D71" s="76"/>
      <c r="E71" s="5"/>
      <c r="F71" s="5"/>
      <c r="G71" s="5"/>
    </row>
    <row r="72" spans="1:7" ht="13">
      <c r="A72" s="64" t="s">
        <v>5969</v>
      </c>
      <c r="B72" s="77" t="s">
        <v>5109</v>
      </c>
      <c r="C72" s="64" t="s">
        <v>1013</v>
      </c>
      <c r="D72" s="76"/>
      <c r="E72" s="5"/>
      <c r="F72" s="5"/>
      <c r="G72" s="5"/>
    </row>
    <row r="73" spans="1:7" ht="13">
      <c r="A73" s="64" t="s">
        <v>5970</v>
      </c>
      <c r="B73" s="77" t="s">
        <v>1152</v>
      </c>
      <c r="C73" s="64" t="s">
        <v>1013</v>
      </c>
      <c r="D73" s="76"/>
      <c r="E73" s="5"/>
      <c r="F73" s="5"/>
      <c r="G73" s="5"/>
    </row>
    <row r="74" spans="1:7" ht="13">
      <c r="A74" s="64" t="s">
        <v>5971</v>
      </c>
      <c r="B74" s="77" t="s">
        <v>5972</v>
      </c>
      <c r="C74" s="64" t="s">
        <v>4114</v>
      </c>
      <c r="D74" s="76"/>
      <c r="E74" s="5"/>
      <c r="F74" s="5"/>
      <c r="G74" s="5"/>
    </row>
    <row r="75" spans="1:7" ht="13">
      <c r="A75" s="64" t="s">
        <v>5973</v>
      </c>
      <c r="B75" s="77" t="s">
        <v>5057</v>
      </c>
      <c r="C75" s="64" t="s">
        <v>4114</v>
      </c>
      <c r="D75" s="76"/>
      <c r="E75" s="5"/>
      <c r="F75" s="5"/>
      <c r="G75" s="5"/>
    </row>
    <row r="76" spans="1:7" ht="13">
      <c r="A76" s="64" t="s">
        <v>5974</v>
      </c>
      <c r="B76" s="77" t="s">
        <v>5060</v>
      </c>
      <c r="C76" s="64" t="s">
        <v>1013</v>
      </c>
      <c r="D76" s="76"/>
      <c r="E76" s="5"/>
      <c r="F76" s="5"/>
      <c r="G76" s="5"/>
    </row>
    <row r="77" spans="1:7" ht="13">
      <c r="A77" s="64" t="s">
        <v>5975</v>
      </c>
      <c r="B77" s="77" t="s">
        <v>5061</v>
      </c>
      <c r="C77" s="64" t="s">
        <v>1013</v>
      </c>
      <c r="D77" s="76"/>
      <c r="E77" s="5"/>
      <c r="F77" s="5"/>
      <c r="G77" s="5"/>
    </row>
    <row r="78" spans="1:7" ht="13">
      <c r="A78" s="64" t="s">
        <v>5976</v>
      </c>
      <c r="B78" s="77" t="s">
        <v>316</v>
      </c>
      <c r="C78" s="64" t="s">
        <v>317</v>
      </c>
      <c r="D78" s="76"/>
      <c r="E78" s="5"/>
      <c r="F78" s="5"/>
      <c r="G78" s="5"/>
    </row>
    <row r="79" spans="1:7" ht="13">
      <c r="A79" s="64" t="s">
        <v>5977</v>
      </c>
      <c r="B79" s="77" t="s">
        <v>5062</v>
      </c>
      <c r="C79" s="64" t="s">
        <v>317</v>
      </c>
      <c r="D79" s="76"/>
      <c r="E79" s="5"/>
      <c r="F79" s="5"/>
      <c r="G79" s="5"/>
    </row>
    <row r="80" spans="1:7" ht="13">
      <c r="A80" s="64" t="s">
        <v>5978</v>
      </c>
      <c r="B80" s="77" t="s">
        <v>5063</v>
      </c>
      <c r="C80" s="64" t="s">
        <v>317</v>
      </c>
      <c r="D80" s="76"/>
      <c r="E80" s="5"/>
      <c r="F80" s="5"/>
      <c r="G80" s="5"/>
    </row>
    <row r="81" spans="1:7" ht="13">
      <c r="A81" s="64" t="s">
        <v>5979</v>
      </c>
      <c r="B81" s="77" t="s">
        <v>5064</v>
      </c>
      <c r="C81" s="64" t="s">
        <v>317</v>
      </c>
      <c r="D81" s="76"/>
      <c r="E81" s="5"/>
      <c r="F81" s="5"/>
      <c r="G81" s="5"/>
    </row>
    <row r="82" spans="1:7" ht="13">
      <c r="A82" s="64" t="s">
        <v>5980</v>
      </c>
      <c r="B82" s="77" t="s">
        <v>5065</v>
      </c>
      <c r="C82" s="64" t="s">
        <v>317</v>
      </c>
      <c r="D82" s="76"/>
      <c r="E82" s="5"/>
      <c r="F82" s="5"/>
      <c r="G82" s="5"/>
    </row>
    <row r="83" spans="1:7" ht="13">
      <c r="A83" s="64" t="s">
        <v>5981</v>
      </c>
      <c r="B83" s="77" t="s">
        <v>5066</v>
      </c>
      <c r="C83" s="64" t="s">
        <v>317</v>
      </c>
      <c r="D83" s="76"/>
      <c r="E83" s="5"/>
      <c r="F83" s="5"/>
      <c r="G83" s="5"/>
    </row>
    <row r="84" spans="1:7" ht="13">
      <c r="A84" s="64" t="s">
        <v>5982</v>
      </c>
      <c r="B84" s="77" t="s">
        <v>5067</v>
      </c>
      <c r="C84" s="64" t="s">
        <v>317</v>
      </c>
      <c r="D84" s="76"/>
      <c r="E84" s="5"/>
      <c r="F84" s="5"/>
      <c r="G84" s="5"/>
    </row>
    <row r="85" spans="1:7" ht="13">
      <c r="A85" s="64" t="s">
        <v>5983</v>
      </c>
      <c r="B85" s="77" t="s">
        <v>933</v>
      </c>
      <c r="C85" s="64" t="s">
        <v>317</v>
      </c>
      <c r="D85" s="76"/>
      <c r="E85" s="5"/>
      <c r="F85" s="5"/>
      <c r="G85" s="5"/>
    </row>
    <row r="86" spans="1:7" ht="13">
      <c r="A86" s="64" t="s">
        <v>5984</v>
      </c>
      <c r="B86" s="77" t="s">
        <v>798</v>
      </c>
      <c r="C86" s="64" t="s">
        <v>317</v>
      </c>
      <c r="D86" s="76"/>
      <c r="E86" s="5"/>
      <c r="F86" s="5"/>
      <c r="G86" s="5"/>
    </row>
    <row r="87" spans="1:7" ht="13">
      <c r="A87" s="64" t="s">
        <v>5985</v>
      </c>
      <c r="B87" s="77" t="s">
        <v>5068</v>
      </c>
      <c r="C87" s="64" t="s">
        <v>317</v>
      </c>
      <c r="D87" s="76"/>
      <c r="E87" s="5"/>
      <c r="F87" s="5"/>
      <c r="G87" s="5"/>
    </row>
    <row r="88" spans="1:7" ht="13">
      <c r="A88" s="64"/>
      <c r="B88" s="65"/>
      <c r="C88" s="64"/>
      <c r="D88" s="76"/>
      <c r="E88" s="5"/>
      <c r="F88" s="5"/>
      <c r="G88" s="5"/>
    </row>
    <row r="89" spans="1:7" ht="13">
      <c r="A89" s="62" t="s">
        <v>4706</v>
      </c>
      <c r="B89" s="67"/>
      <c r="C89" s="64"/>
      <c r="D89" s="76"/>
      <c r="E89" s="5"/>
      <c r="F89" s="5"/>
      <c r="G89" s="5"/>
    </row>
    <row r="90" spans="1:7" ht="13">
      <c r="A90" s="48" t="s">
        <v>5986</v>
      </c>
      <c r="B90" s="49" t="s">
        <v>857</v>
      </c>
      <c r="C90" s="51" t="s">
        <v>205</v>
      </c>
      <c r="D90" s="54"/>
      <c r="E90" s="5"/>
      <c r="F90" s="5"/>
      <c r="G90" s="5"/>
    </row>
    <row r="91" spans="1:7" ht="13">
      <c r="A91" s="48" t="s">
        <v>5987</v>
      </c>
      <c r="B91" s="49" t="s">
        <v>1311</v>
      </c>
      <c r="C91" s="51" t="s">
        <v>205</v>
      </c>
      <c r="D91" s="54"/>
      <c r="E91" s="5"/>
      <c r="F91" s="5"/>
      <c r="G91" s="5"/>
    </row>
    <row r="92" spans="1:7" ht="13">
      <c r="A92" s="48" t="s">
        <v>5988</v>
      </c>
      <c r="B92" s="49" t="s">
        <v>278</v>
      </c>
      <c r="C92" s="51" t="s">
        <v>199</v>
      </c>
      <c r="D92" s="54"/>
      <c r="E92" s="5"/>
      <c r="F92" s="5"/>
      <c r="G92" s="5"/>
    </row>
    <row r="93" spans="1:7" ht="13">
      <c r="A93" s="48" t="s">
        <v>5989</v>
      </c>
      <c r="B93" s="49" t="s">
        <v>258</v>
      </c>
      <c r="C93" s="51" t="s">
        <v>199</v>
      </c>
      <c r="D93" s="54"/>
      <c r="E93" s="5"/>
      <c r="F93" s="5"/>
      <c r="G93" s="5"/>
    </row>
    <row r="94" spans="1:7" ht="13">
      <c r="A94" s="48" t="s">
        <v>5990</v>
      </c>
      <c r="B94" s="49" t="s">
        <v>243</v>
      </c>
      <c r="C94" s="51" t="s">
        <v>199</v>
      </c>
      <c r="D94" s="54"/>
      <c r="E94" s="5"/>
      <c r="F94" s="5"/>
      <c r="G94" s="5"/>
    </row>
    <row r="95" spans="1:7" ht="13">
      <c r="A95" s="48" t="s">
        <v>5991</v>
      </c>
      <c r="B95" s="58" t="str">
        <f>HYPERLINK("https://bulbapedia.bulbagarden.net/wiki/Flareon-EX_(Generations_RC6)","FlareonEX")</f>
        <v>FlareonEX</v>
      </c>
      <c r="C95" s="51" t="s">
        <v>199</v>
      </c>
      <c r="D95" s="54"/>
      <c r="E95" s="5"/>
      <c r="F95" s="5"/>
      <c r="G95" s="5"/>
    </row>
    <row r="96" spans="1:7" ht="13">
      <c r="A96" s="48" t="s">
        <v>5992</v>
      </c>
      <c r="B96" s="49" t="s">
        <v>1550</v>
      </c>
      <c r="C96" s="51" t="s">
        <v>208</v>
      </c>
      <c r="D96" s="5"/>
      <c r="E96" s="5"/>
      <c r="F96" s="5"/>
      <c r="G96" s="5"/>
    </row>
    <row r="97" spans="1:7" ht="13">
      <c r="A97" s="48" t="s">
        <v>5993</v>
      </c>
      <c r="B97" s="49" t="s">
        <v>3372</v>
      </c>
      <c r="C97" s="51" t="s">
        <v>208</v>
      </c>
      <c r="D97" s="54"/>
      <c r="E97" s="5"/>
      <c r="F97" s="5"/>
      <c r="G97" s="5"/>
    </row>
    <row r="98" spans="1:7" ht="13">
      <c r="A98" s="48" t="s">
        <v>5994</v>
      </c>
      <c r="B98" s="49" t="s">
        <v>251</v>
      </c>
      <c r="C98" s="51" t="s">
        <v>192</v>
      </c>
      <c r="D98" s="54"/>
      <c r="E98" s="5"/>
      <c r="F98" s="5"/>
      <c r="G98" s="5"/>
    </row>
    <row r="99" spans="1:7" ht="13">
      <c r="A99" s="48" t="s">
        <v>5995</v>
      </c>
      <c r="B99" s="49" t="s">
        <v>5120</v>
      </c>
      <c r="C99" s="51" t="s">
        <v>192</v>
      </c>
      <c r="D99" s="54"/>
      <c r="E99" s="5"/>
      <c r="F99" s="5"/>
      <c r="G99" s="5"/>
    </row>
    <row r="100" spans="1:7" ht="13">
      <c r="A100" s="48" t="s">
        <v>5996</v>
      </c>
      <c r="B100" s="49" t="s">
        <v>945</v>
      </c>
      <c r="C100" s="51" t="s">
        <v>195</v>
      </c>
      <c r="D100" s="54"/>
      <c r="E100" s="5"/>
      <c r="F100" s="5"/>
      <c r="G100" s="5"/>
    </row>
    <row r="101" spans="1:7" ht="13">
      <c r="A101" s="48" t="s">
        <v>5997</v>
      </c>
      <c r="B101" s="49" t="s">
        <v>1875</v>
      </c>
      <c r="C101" s="51" t="s">
        <v>195</v>
      </c>
      <c r="D101" s="54"/>
      <c r="E101" s="5"/>
      <c r="F101" s="5"/>
      <c r="G101" s="5"/>
    </row>
    <row r="102" spans="1:7" ht="13">
      <c r="A102" s="48" t="s">
        <v>5998</v>
      </c>
      <c r="B102" s="49" t="s">
        <v>1196</v>
      </c>
      <c r="C102" s="51" t="s">
        <v>195</v>
      </c>
      <c r="D102" s="54"/>
      <c r="E102" s="5"/>
      <c r="F102" s="51"/>
      <c r="G102" s="5"/>
    </row>
    <row r="103" spans="1:7" ht="13">
      <c r="A103" s="48" t="s">
        <v>5999</v>
      </c>
      <c r="B103" s="49" t="s">
        <v>5094</v>
      </c>
      <c r="C103" s="51" t="s">
        <v>195</v>
      </c>
      <c r="D103" s="54"/>
      <c r="E103" s="5"/>
      <c r="F103" s="5"/>
      <c r="G103" s="5"/>
    </row>
    <row r="104" spans="1:7" ht="13">
      <c r="A104" s="48" t="s">
        <v>6000</v>
      </c>
      <c r="B104" s="49" t="s">
        <v>4799</v>
      </c>
      <c r="C104" s="51" t="s">
        <v>195</v>
      </c>
      <c r="D104" s="54"/>
      <c r="E104" s="5"/>
      <c r="F104" s="5"/>
      <c r="G104" s="5"/>
    </row>
    <row r="105" spans="1:7" ht="13">
      <c r="A105" s="48" t="s">
        <v>6001</v>
      </c>
      <c r="B105" s="49" t="s">
        <v>4747</v>
      </c>
      <c r="C105" s="51" t="s">
        <v>808</v>
      </c>
      <c r="D105" s="54"/>
      <c r="E105" s="5"/>
      <c r="F105" s="5"/>
      <c r="G105" s="5"/>
    </row>
    <row r="106" spans="1:7" ht="13">
      <c r="A106" s="48" t="s">
        <v>6002</v>
      </c>
      <c r="B106" s="49" t="s">
        <v>5098</v>
      </c>
      <c r="C106" s="51" t="s">
        <v>4743</v>
      </c>
      <c r="D106" s="54"/>
      <c r="E106" s="5"/>
      <c r="F106" s="5"/>
      <c r="G106" s="5"/>
    </row>
    <row r="107" spans="1:7" ht="13">
      <c r="A107" s="48" t="s">
        <v>6003</v>
      </c>
      <c r="B107" s="49" t="s">
        <v>4898</v>
      </c>
      <c r="C107" s="51" t="s">
        <v>4743</v>
      </c>
      <c r="D107" s="5"/>
      <c r="E107" s="5"/>
      <c r="F107" s="5"/>
      <c r="G107" s="5"/>
    </row>
    <row r="108" spans="1:7" ht="13">
      <c r="A108" s="48" t="s">
        <v>6004</v>
      </c>
      <c r="B108" s="49" t="s">
        <v>5018</v>
      </c>
      <c r="C108" s="51" t="s">
        <v>4743</v>
      </c>
      <c r="D108" s="5"/>
      <c r="E108" s="5"/>
      <c r="F108" s="5"/>
      <c r="G108" s="5"/>
    </row>
    <row r="109" spans="1:7" ht="13">
      <c r="A109" s="48" t="s">
        <v>6005</v>
      </c>
      <c r="B109" s="49" t="s">
        <v>4760</v>
      </c>
      <c r="C109" s="51" t="s">
        <v>4743</v>
      </c>
      <c r="D109" s="54"/>
      <c r="E109" s="5"/>
      <c r="F109" s="5"/>
      <c r="G109" s="5"/>
    </row>
    <row r="110" spans="1:7" ht="13">
      <c r="A110" s="48" t="s">
        <v>6006</v>
      </c>
      <c r="B110" s="58" t="str">
        <f>HYPERLINK("https://bulbapedia.bulbagarden.net/wiki/Sylveon-EX_(Generations_RC21)","SylveonEX")</f>
        <v>SylveonEX</v>
      </c>
      <c r="C110" s="51" t="s">
        <v>4743</v>
      </c>
      <c r="D110" s="51"/>
      <c r="E110" s="5"/>
      <c r="F110" s="5"/>
      <c r="G110" s="5"/>
    </row>
    <row r="111" spans="1:7" ht="13">
      <c r="A111" s="48" t="s">
        <v>6007</v>
      </c>
      <c r="B111" s="49" t="s">
        <v>5210</v>
      </c>
      <c r="C111" s="51" t="s">
        <v>4743</v>
      </c>
      <c r="D111" s="54"/>
      <c r="E111" s="5"/>
      <c r="F111" s="5"/>
      <c r="G111" s="5"/>
    </row>
    <row r="112" spans="1:7" ht="13">
      <c r="A112" s="48" t="s">
        <v>6008</v>
      </c>
      <c r="B112" s="49" t="s">
        <v>1587</v>
      </c>
      <c r="C112" s="51" t="s">
        <v>197</v>
      </c>
      <c r="D112" s="54"/>
      <c r="E112" s="5"/>
      <c r="F112" s="5"/>
      <c r="G112" s="5"/>
    </row>
    <row r="113" spans="1:7" ht="13">
      <c r="A113" s="48" t="s">
        <v>6009</v>
      </c>
      <c r="B113" s="49" t="s">
        <v>1493</v>
      </c>
      <c r="C113" s="51" t="s">
        <v>197</v>
      </c>
      <c r="D113" s="54"/>
      <c r="E113" s="5"/>
      <c r="F113" s="5"/>
      <c r="G113" s="5"/>
    </row>
    <row r="114" spans="1:7" ht="13">
      <c r="A114" s="48" t="s">
        <v>6010</v>
      </c>
      <c r="B114" s="49" t="s">
        <v>5027</v>
      </c>
      <c r="C114" s="51" t="s">
        <v>197</v>
      </c>
      <c r="D114" s="54"/>
      <c r="E114" s="5"/>
      <c r="F114" s="5"/>
      <c r="G114" s="5"/>
    </row>
    <row r="115" spans="1:7" ht="13">
      <c r="A115" s="48" t="s">
        <v>6011</v>
      </c>
      <c r="B115" s="49" t="s">
        <v>6012</v>
      </c>
      <c r="C115" s="51" t="s">
        <v>4114</v>
      </c>
      <c r="D115" s="54"/>
      <c r="E115" s="5"/>
      <c r="F115" s="5"/>
      <c r="G115" s="5"/>
    </row>
    <row r="116" spans="1:7" ht="13">
      <c r="A116" s="48" t="s">
        <v>6013</v>
      </c>
      <c r="B116" s="49" t="s">
        <v>5469</v>
      </c>
      <c r="C116" s="51" t="s">
        <v>1013</v>
      </c>
      <c r="D116" s="54"/>
      <c r="E116" s="5"/>
      <c r="F116" s="5"/>
      <c r="G116" s="5"/>
    </row>
    <row r="117" spans="1:7" ht="13">
      <c r="A117" s="48" t="s">
        <v>6014</v>
      </c>
      <c r="B117" s="58" t="str">
        <f>HYPERLINK("https://bulbapedia.bulbagarden.net/wiki/Flareon-EX_(Generations_RC28)","FlareonEX")</f>
        <v>FlareonEX</v>
      </c>
      <c r="C117" s="51" t="s">
        <v>199</v>
      </c>
      <c r="D117" s="54"/>
      <c r="E117" s="5"/>
      <c r="F117" s="5"/>
      <c r="G117" s="5"/>
    </row>
    <row r="118" spans="1:7" ht="13">
      <c r="A118" s="48" t="s">
        <v>6015</v>
      </c>
      <c r="B118" s="49" t="s">
        <v>191</v>
      </c>
      <c r="C118" s="51" t="s">
        <v>192</v>
      </c>
      <c r="D118" s="54"/>
      <c r="E118" s="5"/>
      <c r="F118" s="5"/>
      <c r="G118" s="5"/>
    </row>
    <row r="119" spans="1:7" ht="13">
      <c r="A119" s="48" t="s">
        <v>6016</v>
      </c>
      <c r="B119" s="58" t="str">
        <f>HYPERLINK("https://bulbapedia.bulbagarden.net/wiki/Gardevoir-EX_(Generations_RC30)","GardevoirEX")</f>
        <v>GardevoirEX</v>
      </c>
      <c r="C119" s="51" t="s">
        <v>4743</v>
      </c>
      <c r="D119" s="54"/>
      <c r="E119" s="5"/>
      <c r="F119" s="5"/>
      <c r="G119" s="5"/>
    </row>
    <row r="120" spans="1:7" ht="13">
      <c r="A120" s="48" t="s">
        <v>6017</v>
      </c>
      <c r="B120" s="58" t="str">
        <f>HYPERLINK("https://bulbapedia.bulbagarden.net/wiki/M_Gardevoir-EX_(Generations_RC31)","MGardevoirEX")</f>
        <v>MGardevoirEX</v>
      </c>
      <c r="C120" s="51" t="s">
        <v>4743</v>
      </c>
      <c r="D120" s="54"/>
      <c r="E120" s="5"/>
      <c r="F120" s="5"/>
      <c r="G120" s="5"/>
    </row>
    <row r="121" spans="1:7" ht="13">
      <c r="A121" s="48" t="s">
        <v>6018</v>
      </c>
      <c r="B121" s="58" t="str">
        <f>HYPERLINK("https://bulbapedia.bulbagarden.net/wiki/Sylveon-EX_(Generations_RC32)","SylveonEX")</f>
        <v>SylveonEX</v>
      </c>
      <c r="C121" s="51" t="s">
        <v>4743</v>
      </c>
      <c r="D121" s="54"/>
      <c r="E121" s="5"/>
      <c r="F121" s="5"/>
      <c r="G121" s="5"/>
    </row>
    <row r="123" spans="1:7" ht="13">
      <c r="A123" s="64"/>
      <c r="B123" s="67"/>
      <c r="C123" s="64"/>
      <c r="D123" s="76"/>
      <c r="E123" s="5"/>
      <c r="F123" s="5"/>
      <c r="G123" s="5"/>
    </row>
    <row r="124" spans="1:7" ht="13">
      <c r="A124" s="64"/>
      <c r="B124" s="65"/>
      <c r="C124" s="64"/>
      <c r="D124" s="76"/>
      <c r="E124" s="5"/>
      <c r="F124" s="5"/>
      <c r="G124" s="5"/>
    </row>
    <row r="125" spans="1:7" ht="13">
      <c r="A125" s="64"/>
      <c r="B125" s="65"/>
      <c r="C125" s="64"/>
      <c r="D125" s="76"/>
      <c r="E125" s="5"/>
      <c r="F125" s="5"/>
      <c r="G125" s="5"/>
    </row>
    <row r="126" spans="1:7" ht="13">
      <c r="A126" s="64"/>
      <c r="B126" s="67"/>
      <c r="C126" s="64"/>
      <c r="D126" s="76"/>
      <c r="E126" s="5"/>
      <c r="F126" s="5"/>
      <c r="G126" s="5"/>
    </row>
    <row r="127" spans="1:7" ht="13">
      <c r="A127" s="64"/>
      <c r="B127" s="65"/>
      <c r="C127" s="64"/>
      <c r="D127" s="76"/>
      <c r="E127" s="5"/>
      <c r="F127" s="5"/>
      <c r="G127" s="5"/>
    </row>
    <row r="128" spans="1:7" ht="13">
      <c r="A128" s="64"/>
      <c r="B128" s="65"/>
      <c r="C128" s="64"/>
      <c r="D128" s="76"/>
      <c r="E128" s="5"/>
      <c r="F128" s="5"/>
      <c r="G128" s="5"/>
    </row>
    <row r="129" spans="1:7" ht="13">
      <c r="A129" s="64"/>
      <c r="B129" s="68"/>
      <c r="C129" s="64"/>
      <c r="D129" s="76"/>
      <c r="E129" s="5"/>
      <c r="F129" s="5"/>
      <c r="G129" s="5"/>
    </row>
    <row r="130" spans="1:7" ht="13">
      <c r="A130" s="64"/>
      <c r="B130" s="65"/>
      <c r="C130" s="64"/>
      <c r="D130" s="66"/>
      <c r="E130" s="5"/>
      <c r="F130" s="5"/>
      <c r="G130" s="5"/>
    </row>
    <row r="131" spans="1:7" ht="13">
      <c r="A131" s="64"/>
      <c r="B131" s="90"/>
      <c r="C131" s="76"/>
      <c r="D131" s="47"/>
      <c r="E131" s="5"/>
      <c r="F131" s="5"/>
      <c r="G131" s="5"/>
    </row>
    <row r="132" spans="1:7" ht="13">
      <c r="A132" s="64"/>
      <c r="B132" s="91"/>
      <c r="C132" s="64"/>
      <c r="D132" s="92"/>
      <c r="E132" s="5"/>
      <c r="F132" s="5"/>
      <c r="G132" s="5"/>
    </row>
    <row r="133" spans="1:7" ht="13">
      <c r="A133" s="64"/>
      <c r="B133" s="91"/>
      <c r="C133" s="64"/>
      <c r="D133" s="64"/>
      <c r="E133" s="5"/>
      <c r="F133" s="5"/>
      <c r="G133" s="5"/>
    </row>
    <row r="134" spans="1:7" ht="13">
      <c r="A134" s="48"/>
      <c r="B134" s="71"/>
      <c r="C134" s="48"/>
      <c r="D134" s="47"/>
      <c r="E134" s="5"/>
      <c r="F134" s="5"/>
      <c r="G134" s="5"/>
    </row>
    <row r="135" spans="1:7" ht="13">
      <c r="A135" s="48"/>
      <c r="B135" s="71"/>
      <c r="C135" s="48"/>
      <c r="D135" s="47"/>
      <c r="E135" s="5"/>
      <c r="F135" s="5"/>
      <c r="G135" s="5"/>
    </row>
    <row r="136" spans="1:7" ht="13">
      <c r="A136" s="48"/>
      <c r="B136" s="71"/>
      <c r="C136" s="48"/>
      <c r="D136" s="47"/>
      <c r="E136" s="5"/>
      <c r="F136" s="5"/>
      <c r="G136" s="5"/>
    </row>
    <row r="137" spans="1:7" ht="13">
      <c r="A137" s="48"/>
      <c r="B137" s="69"/>
      <c r="C137" s="48"/>
      <c r="D137" s="47"/>
      <c r="E137" s="5"/>
      <c r="F137" s="5"/>
      <c r="G137" s="5"/>
    </row>
    <row r="138" spans="1:7" ht="13">
      <c r="A138" s="48"/>
      <c r="B138" s="69"/>
      <c r="C138" s="48"/>
      <c r="D138" s="47"/>
      <c r="E138" s="5"/>
      <c r="F138" s="5"/>
      <c r="G138" s="5"/>
    </row>
    <row r="139" spans="1:7" ht="13">
      <c r="A139" s="48"/>
      <c r="B139" s="69"/>
      <c r="C139" s="48"/>
      <c r="D139" s="47"/>
      <c r="E139" s="5"/>
      <c r="F139" s="5"/>
      <c r="G139" s="5"/>
    </row>
    <row r="140" spans="1:7" ht="13">
      <c r="A140" s="48"/>
      <c r="B140" s="69"/>
      <c r="C140" s="48"/>
      <c r="D140" s="47"/>
      <c r="E140" s="5"/>
      <c r="F140" s="5"/>
      <c r="G140" s="5"/>
    </row>
    <row r="141" spans="1:7" ht="13">
      <c r="A141" s="48"/>
      <c r="B141" s="69"/>
      <c r="C141" s="48"/>
      <c r="D141" s="47"/>
      <c r="E141" s="5"/>
      <c r="F141" s="5"/>
      <c r="G141" s="5"/>
    </row>
    <row r="142" spans="1:7" ht="13">
      <c r="A142" s="48"/>
      <c r="B142" s="69"/>
      <c r="C142" s="48"/>
      <c r="D142" s="47"/>
      <c r="E142" s="5"/>
      <c r="F142" s="5"/>
      <c r="G142" s="5"/>
    </row>
    <row r="143" spans="1:7" ht="13">
      <c r="A143" s="48"/>
      <c r="B143" s="69"/>
      <c r="C143" s="48"/>
      <c r="D143" s="47"/>
      <c r="E143" s="5"/>
      <c r="F143" s="5"/>
      <c r="G143" s="5"/>
    </row>
    <row r="144" spans="1:7" ht="13">
      <c r="A144" s="48"/>
      <c r="B144" s="69"/>
      <c r="C144" s="48"/>
      <c r="D144" s="47"/>
      <c r="E144" s="5"/>
      <c r="F144" s="5"/>
      <c r="G144" s="5"/>
    </row>
    <row r="145" spans="1:7" ht="13">
      <c r="A145" s="48"/>
      <c r="B145" s="69"/>
      <c r="C145" s="48"/>
      <c r="D145" s="47"/>
      <c r="E145" s="5"/>
      <c r="F145" s="5"/>
      <c r="G145" s="5"/>
    </row>
    <row r="146" spans="1:7" ht="13">
      <c r="A146" s="48"/>
      <c r="B146" s="71"/>
      <c r="C146" s="48"/>
      <c r="D146" s="47"/>
      <c r="E146" s="5"/>
      <c r="F146" s="5"/>
      <c r="G146" s="5"/>
    </row>
    <row r="147" spans="1:7" ht="13">
      <c r="A147" s="48"/>
      <c r="B147" s="71"/>
      <c r="C147" s="48"/>
      <c r="D147" s="47"/>
      <c r="E147" s="5"/>
      <c r="F147" s="5"/>
      <c r="G147" s="5"/>
    </row>
    <row r="148" spans="1:7" ht="13">
      <c r="A148" s="48"/>
      <c r="B148" s="71"/>
      <c r="C148" s="48"/>
      <c r="D148" s="47"/>
      <c r="E148" s="5"/>
      <c r="F148" s="5"/>
      <c r="G148" s="5"/>
    </row>
    <row r="149" spans="1:7" ht="13">
      <c r="A149" s="48"/>
      <c r="B149" s="71"/>
      <c r="C149" s="48"/>
      <c r="D149" s="47"/>
      <c r="E149" s="5"/>
      <c r="F149" s="5"/>
      <c r="G149" s="5"/>
    </row>
    <row r="150" spans="1:7" ht="13">
      <c r="A150" s="48"/>
      <c r="B150" s="71"/>
      <c r="C150" s="48"/>
      <c r="D150" s="47"/>
      <c r="E150" s="5"/>
      <c r="F150" s="5"/>
      <c r="G150" s="5"/>
    </row>
    <row r="151" spans="1:7" ht="13">
      <c r="A151" s="48"/>
      <c r="B151" s="71"/>
      <c r="C151" s="48"/>
      <c r="D151" s="47"/>
      <c r="E151" s="5"/>
      <c r="F151" s="5"/>
      <c r="G151" s="5"/>
    </row>
    <row r="152" spans="1:7" ht="13">
      <c r="A152" s="48"/>
      <c r="B152" s="69"/>
      <c r="C152" s="48"/>
      <c r="D152" s="47"/>
      <c r="E152" s="5"/>
      <c r="F152" s="5"/>
      <c r="G152" s="5"/>
    </row>
    <row r="153" spans="1:7" ht="13">
      <c r="A153" s="48"/>
      <c r="B153" s="71"/>
      <c r="C153" s="48"/>
      <c r="D153" s="47"/>
      <c r="E153" s="5"/>
      <c r="F153" s="5"/>
      <c r="G153" s="5"/>
    </row>
    <row r="154" spans="1:7" ht="13">
      <c r="A154" s="48"/>
      <c r="B154" s="71"/>
      <c r="C154" s="48"/>
      <c r="D154" s="47"/>
      <c r="E154" s="5"/>
      <c r="F154" s="5"/>
      <c r="G154" s="5"/>
    </row>
    <row r="155" spans="1:7" ht="13">
      <c r="A155" s="48"/>
      <c r="B155" s="71"/>
      <c r="C155" s="48"/>
      <c r="D155" s="47"/>
      <c r="E155" s="5"/>
      <c r="F155" s="5"/>
      <c r="G155" s="5"/>
    </row>
    <row r="156" spans="1:7" ht="13">
      <c r="A156" s="48"/>
      <c r="B156" s="71"/>
      <c r="C156" s="48"/>
      <c r="D156" s="47"/>
      <c r="E156" s="5"/>
      <c r="F156" s="5"/>
      <c r="G156" s="5"/>
    </row>
    <row r="157" spans="1:7" ht="13">
      <c r="A157" s="48"/>
      <c r="B157" s="71"/>
      <c r="C157" s="48"/>
      <c r="D157" s="47"/>
      <c r="E157" s="5"/>
      <c r="F157" s="5"/>
      <c r="G157" s="5"/>
    </row>
    <row r="158" spans="1:7" ht="13">
      <c r="A158" s="48"/>
      <c r="B158" s="71"/>
      <c r="C158" s="48"/>
      <c r="D158" s="47"/>
      <c r="E158" s="5"/>
      <c r="F158" s="5"/>
      <c r="G158" s="5"/>
    </row>
    <row r="159" spans="1:7" ht="13">
      <c r="A159" s="48"/>
      <c r="B159" s="71"/>
      <c r="C159" s="48"/>
      <c r="D159" s="47"/>
      <c r="E159" s="5"/>
      <c r="F159" s="5"/>
      <c r="G159" s="5"/>
    </row>
    <row r="160" spans="1:7" ht="13">
      <c r="A160" s="48"/>
      <c r="B160" s="71"/>
      <c r="C160" s="48"/>
      <c r="D160" s="47"/>
      <c r="E160" s="5"/>
      <c r="F160" s="5"/>
      <c r="G160" s="5"/>
    </row>
    <row r="161" spans="1:7" ht="13">
      <c r="A161" s="48"/>
      <c r="B161" s="71"/>
      <c r="C161" s="48"/>
      <c r="D161" s="47"/>
      <c r="E161" s="5"/>
      <c r="F161" s="5"/>
      <c r="G161" s="5"/>
    </row>
    <row r="162" spans="1:7" ht="13">
      <c r="A162" s="48"/>
      <c r="B162" s="69"/>
      <c r="C162" s="48"/>
      <c r="D162" s="47"/>
      <c r="E162" s="5"/>
      <c r="F162" s="5"/>
      <c r="G162" s="5"/>
    </row>
    <row r="163" spans="1:7" ht="13">
      <c r="A163" s="48"/>
      <c r="B163" s="69"/>
      <c r="C163" s="48"/>
      <c r="D163" s="47"/>
      <c r="E163" s="5"/>
      <c r="F163" s="5"/>
      <c r="G163" s="5"/>
    </row>
    <row r="164" spans="1:7" ht="13">
      <c r="A164" s="48"/>
      <c r="B164" s="69"/>
      <c r="C164" s="48"/>
      <c r="D164" s="47"/>
      <c r="E164" s="5"/>
      <c r="F164" s="5"/>
      <c r="G164" s="5"/>
    </row>
    <row r="165" spans="1:7" ht="13">
      <c r="A165" s="48"/>
      <c r="B165" s="69"/>
      <c r="C165" s="48"/>
      <c r="D165" s="47"/>
      <c r="E165" s="5"/>
      <c r="F165" s="5"/>
      <c r="G165" s="5"/>
    </row>
    <row r="166" spans="1:7" ht="13">
      <c r="A166" s="48"/>
      <c r="B166" s="69"/>
      <c r="C166" s="48"/>
      <c r="D166" s="47"/>
      <c r="E166" s="5"/>
      <c r="F166" s="5"/>
      <c r="G166" s="5"/>
    </row>
    <row r="167" spans="1:7" ht="13">
      <c r="A167" s="48"/>
      <c r="B167" s="69"/>
      <c r="C167" s="48"/>
      <c r="D167" s="47"/>
      <c r="E167" s="5"/>
      <c r="F167" s="5"/>
      <c r="G167" s="5"/>
    </row>
    <row r="168" spans="1:7" ht="13">
      <c r="A168" s="48"/>
      <c r="B168" s="69"/>
      <c r="C168" s="48"/>
      <c r="D168" s="47"/>
      <c r="E168" s="5"/>
      <c r="F168" s="5"/>
      <c r="G168" s="5"/>
    </row>
    <row r="169" spans="1:7" ht="13">
      <c r="A169" s="48"/>
      <c r="B169" s="69"/>
      <c r="C169" s="48"/>
      <c r="D169" s="47"/>
      <c r="E169" s="5"/>
      <c r="F169" s="5"/>
      <c r="G169" s="5"/>
    </row>
    <row r="170" spans="1:7" ht="13">
      <c r="A170" s="48"/>
      <c r="B170" s="69"/>
      <c r="C170" s="48"/>
      <c r="D170" s="47"/>
      <c r="E170" s="5"/>
      <c r="F170" s="5"/>
      <c r="G170" s="5"/>
    </row>
    <row r="171" spans="1:7" ht="13">
      <c r="A171" s="48"/>
      <c r="B171" s="71"/>
      <c r="C171" s="48"/>
      <c r="D171" s="47"/>
      <c r="E171" s="5"/>
      <c r="F171" s="5"/>
      <c r="G171" s="5"/>
    </row>
    <row r="172" spans="1:7" ht="13">
      <c r="A172" s="48"/>
      <c r="B172" s="71"/>
      <c r="C172" s="48"/>
      <c r="D172" s="47"/>
      <c r="E172" s="5"/>
      <c r="F172" s="5"/>
      <c r="G172" s="5"/>
    </row>
    <row r="173" spans="1:7" ht="13">
      <c r="A173" s="48"/>
      <c r="B173" s="71"/>
      <c r="C173" s="48"/>
      <c r="D173" s="47"/>
      <c r="E173" s="5"/>
      <c r="F173" s="5"/>
      <c r="G173" s="5"/>
    </row>
    <row r="174" spans="1:7" ht="13">
      <c r="A174" s="48"/>
      <c r="B174" s="71"/>
      <c r="C174" s="48"/>
      <c r="D174" s="47"/>
      <c r="E174" s="5"/>
      <c r="F174" s="5"/>
      <c r="G174" s="5"/>
    </row>
    <row r="175" spans="1:7" ht="13">
      <c r="A175" s="48"/>
      <c r="B175" s="71"/>
      <c r="C175" s="48"/>
      <c r="D175" s="47"/>
      <c r="E175" s="5"/>
      <c r="F175" s="5"/>
      <c r="G175" s="5"/>
    </row>
    <row r="176" spans="1:7" ht="13">
      <c r="A176" s="48"/>
      <c r="B176" s="71"/>
      <c r="C176" s="48"/>
      <c r="D176" s="47"/>
      <c r="E176" s="5"/>
      <c r="F176" s="5"/>
      <c r="G176" s="5"/>
    </row>
    <row r="177" spans="1:7" ht="13">
      <c r="A177" s="48"/>
      <c r="B177" s="69"/>
      <c r="C177" s="48"/>
      <c r="D177" s="47"/>
      <c r="E177" s="5"/>
      <c r="F177" s="5"/>
      <c r="G177" s="5"/>
    </row>
    <row r="178" spans="1:7" ht="13">
      <c r="A178" s="48"/>
      <c r="B178" s="69"/>
      <c r="C178" s="48"/>
      <c r="D178" s="47"/>
      <c r="E178" s="5"/>
      <c r="F178" s="5"/>
      <c r="G178" s="5"/>
    </row>
    <row r="179" spans="1:7" ht="13">
      <c r="B179" s="36"/>
      <c r="C179" s="80"/>
      <c r="D179" s="5"/>
      <c r="E179" s="5"/>
      <c r="F179" s="5"/>
      <c r="G179" s="5"/>
    </row>
    <row r="180" spans="1:7" ht="13">
      <c r="B180" s="36"/>
      <c r="C180" s="80"/>
      <c r="D180" s="5"/>
      <c r="E180" s="5"/>
      <c r="F180" s="5"/>
      <c r="G180" s="5"/>
    </row>
    <row r="181" spans="1:7" ht="13">
      <c r="B181" s="36"/>
      <c r="C181" s="80"/>
      <c r="D181" s="5"/>
      <c r="E181" s="5"/>
      <c r="F181" s="5"/>
      <c r="G181" s="5"/>
    </row>
    <row r="182" spans="1:7" ht="13">
      <c r="B182" s="36"/>
      <c r="C182" s="80"/>
      <c r="D182" s="5"/>
      <c r="E182" s="5"/>
      <c r="F182" s="5"/>
      <c r="G182" s="5"/>
    </row>
    <row r="183" spans="1:7" ht="13">
      <c r="B183" s="36"/>
      <c r="C183" s="80"/>
      <c r="D183" s="5"/>
      <c r="E183" s="5"/>
      <c r="F183" s="5"/>
      <c r="G183" s="5"/>
    </row>
    <row r="184" spans="1:7" ht="13">
      <c r="B184" s="36"/>
      <c r="C184" s="80"/>
      <c r="D184" s="5"/>
      <c r="E184" s="5"/>
      <c r="F184" s="5"/>
      <c r="G184" s="5"/>
    </row>
    <row r="185" spans="1:7" ht="13">
      <c r="B185" s="36"/>
      <c r="C185" s="80"/>
      <c r="D185" s="5"/>
      <c r="E185" s="5"/>
      <c r="F185" s="5"/>
      <c r="G185" s="5"/>
    </row>
    <row r="186" spans="1:7" ht="13">
      <c r="B186" s="36"/>
      <c r="C186" s="80"/>
      <c r="D186" s="5"/>
      <c r="E186" s="5"/>
      <c r="F186" s="5"/>
      <c r="G186" s="5"/>
    </row>
    <row r="187" spans="1:7" ht="13">
      <c r="B187" s="36"/>
      <c r="C187" s="80"/>
      <c r="D187" s="5"/>
      <c r="E187" s="5"/>
      <c r="F187" s="5"/>
      <c r="G187" s="5"/>
    </row>
    <row r="188" spans="1:7" ht="13">
      <c r="B188" s="36"/>
      <c r="C188" s="80"/>
      <c r="D188" s="5"/>
      <c r="E188" s="5"/>
      <c r="F188" s="5"/>
      <c r="G188" s="5"/>
    </row>
    <row r="189" spans="1:7" ht="13">
      <c r="B189" s="36"/>
      <c r="C189" s="80"/>
      <c r="D189" s="5"/>
      <c r="E189" s="5"/>
      <c r="F189" s="5"/>
      <c r="G189" s="5"/>
    </row>
    <row r="190" spans="1:7" ht="13">
      <c r="B190" s="36"/>
      <c r="C190" s="80"/>
      <c r="D190" s="5"/>
      <c r="E190" s="5"/>
      <c r="F190" s="5"/>
      <c r="G190" s="5"/>
    </row>
    <row r="191" spans="1:7" ht="13">
      <c r="B191" s="36"/>
      <c r="C191" s="80"/>
      <c r="D191" s="5"/>
      <c r="E191" s="5"/>
      <c r="F191" s="5"/>
      <c r="G191" s="5"/>
    </row>
    <row r="192" spans="1:7" ht="13">
      <c r="B192" s="36"/>
      <c r="C192" s="80"/>
      <c r="D192" s="5"/>
      <c r="E192" s="5"/>
      <c r="F192" s="5"/>
      <c r="G192" s="5"/>
    </row>
    <row r="193" spans="2:7" ht="13">
      <c r="B193" s="36"/>
      <c r="C193" s="80"/>
      <c r="D193" s="5"/>
      <c r="E193" s="5"/>
      <c r="F193" s="5"/>
      <c r="G193" s="5"/>
    </row>
    <row r="194" spans="2:7" ht="13">
      <c r="B194" s="36"/>
      <c r="C194" s="80"/>
      <c r="D194" s="5"/>
      <c r="E194" s="5"/>
      <c r="F194" s="5"/>
      <c r="G194" s="5"/>
    </row>
    <row r="195" spans="2:7" ht="13">
      <c r="B195" s="36"/>
      <c r="C195" s="80"/>
      <c r="D195" s="5"/>
      <c r="E195" s="5"/>
      <c r="F195" s="5"/>
      <c r="G195" s="5"/>
    </row>
    <row r="196" spans="2:7" ht="13">
      <c r="B196" s="36"/>
      <c r="C196" s="80"/>
      <c r="D196" s="5"/>
      <c r="E196" s="5"/>
      <c r="F196" s="5"/>
      <c r="G196" s="5"/>
    </row>
    <row r="197" spans="2:7" ht="13">
      <c r="B197" s="36"/>
      <c r="C197" s="80"/>
      <c r="D197" s="5"/>
      <c r="E197" s="5"/>
      <c r="F197" s="5"/>
      <c r="G197" s="5"/>
    </row>
    <row r="198" spans="2:7" ht="13">
      <c r="B198" s="36"/>
      <c r="C198" s="80"/>
      <c r="D198" s="5"/>
      <c r="E198" s="5"/>
      <c r="F198" s="5"/>
      <c r="G198" s="5"/>
    </row>
    <row r="199" spans="2:7" ht="13">
      <c r="B199" s="36"/>
      <c r="C199" s="80"/>
      <c r="D199" s="5"/>
      <c r="E199" s="5"/>
      <c r="F199" s="5"/>
      <c r="G199" s="5"/>
    </row>
    <row r="200" spans="2:7" ht="13">
      <c r="B200" s="36"/>
      <c r="C200" s="80"/>
      <c r="D200" s="5"/>
      <c r="E200" s="5"/>
      <c r="F200" s="5"/>
      <c r="G200" s="5"/>
    </row>
    <row r="201" spans="2:7" ht="13">
      <c r="B201" s="36"/>
      <c r="C201" s="80"/>
      <c r="D201" s="5"/>
      <c r="E201" s="5"/>
      <c r="F201" s="5"/>
      <c r="G201" s="5"/>
    </row>
    <row r="202" spans="2:7" ht="13">
      <c r="B202" s="36"/>
      <c r="C202" s="80"/>
      <c r="D202" s="5"/>
      <c r="E202" s="5"/>
      <c r="F202" s="5"/>
      <c r="G202" s="5"/>
    </row>
    <row r="203" spans="2:7" ht="13">
      <c r="B203" s="36"/>
      <c r="C203" s="80"/>
      <c r="D203" s="5"/>
      <c r="E203" s="5"/>
      <c r="F203" s="5"/>
      <c r="G203" s="5"/>
    </row>
    <row r="204" spans="2:7" ht="13">
      <c r="B204" s="36"/>
      <c r="C204" s="80"/>
      <c r="D204" s="5"/>
      <c r="E204" s="5"/>
      <c r="F204" s="5"/>
      <c r="G204" s="5"/>
    </row>
    <row r="205" spans="2:7" ht="13">
      <c r="B205" s="36"/>
      <c r="C205" s="80"/>
      <c r="D205" s="5"/>
      <c r="E205" s="5"/>
      <c r="F205" s="5"/>
      <c r="G205" s="5"/>
    </row>
    <row r="206" spans="2:7" ht="13">
      <c r="B206" s="36"/>
      <c r="C206" s="80"/>
      <c r="D206" s="5"/>
      <c r="E206" s="5"/>
      <c r="F206" s="5"/>
      <c r="G206" s="5"/>
    </row>
    <row r="207" spans="2:7" ht="13">
      <c r="B207" s="36"/>
      <c r="C207" s="80"/>
      <c r="D207" s="5"/>
      <c r="E207" s="5"/>
      <c r="F207" s="5"/>
      <c r="G207" s="5"/>
    </row>
    <row r="208" spans="2:7" ht="13">
      <c r="B208" s="36"/>
      <c r="C208" s="80"/>
      <c r="D208" s="5"/>
      <c r="E208" s="5"/>
      <c r="F208" s="5"/>
      <c r="G208" s="5"/>
    </row>
    <row r="209" spans="2:7" ht="13">
      <c r="B209" s="36"/>
      <c r="C209" s="80"/>
      <c r="D209" s="5"/>
      <c r="E209" s="5"/>
      <c r="F209" s="5"/>
      <c r="G209" s="5"/>
    </row>
    <row r="210" spans="2:7" ht="13">
      <c r="B210" s="36"/>
      <c r="C210" s="80"/>
      <c r="D210" s="5"/>
      <c r="E210" s="5"/>
      <c r="F210" s="5"/>
      <c r="G210" s="5"/>
    </row>
    <row r="211" spans="2:7" ht="13">
      <c r="B211" s="36"/>
      <c r="C211" s="80"/>
      <c r="D211" s="5"/>
      <c r="E211" s="5"/>
      <c r="F211" s="5"/>
      <c r="G211" s="5"/>
    </row>
    <row r="212" spans="2:7" ht="13">
      <c r="B212" s="36"/>
      <c r="C212" s="80"/>
      <c r="D212" s="5"/>
      <c r="E212" s="5"/>
      <c r="F212" s="5"/>
      <c r="G212" s="5"/>
    </row>
    <row r="213" spans="2:7" ht="13">
      <c r="B213" s="36"/>
      <c r="C213" s="80"/>
      <c r="D213" s="5"/>
      <c r="E213" s="5"/>
      <c r="F213" s="5"/>
      <c r="G213" s="5"/>
    </row>
    <row r="214" spans="2:7" ht="13">
      <c r="B214" s="36"/>
      <c r="C214" s="80"/>
      <c r="D214" s="5"/>
      <c r="E214" s="5"/>
      <c r="F214" s="5"/>
      <c r="G214" s="5"/>
    </row>
    <row r="215" spans="2:7" ht="13">
      <c r="B215" s="36"/>
      <c r="C215" s="80"/>
      <c r="D215" s="5"/>
      <c r="E215" s="5"/>
      <c r="F215" s="5"/>
      <c r="G215" s="5"/>
    </row>
    <row r="216" spans="2:7" ht="13">
      <c r="B216" s="36"/>
      <c r="C216" s="80"/>
      <c r="D216" s="5"/>
      <c r="E216" s="5"/>
      <c r="F216" s="5"/>
      <c r="G216" s="5"/>
    </row>
    <row r="217" spans="2:7" ht="13">
      <c r="B217" s="36"/>
      <c r="C217" s="80"/>
      <c r="D217" s="5"/>
      <c r="E217" s="5"/>
      <c r="F217" s="5"/>
      <c r="G217" s="5"/>
    </row>
    <row r="218" spans="2:7" ht="13">
      <c r="B218" s="36"/>
      <c r="C218" s="80"/>
      <c r="D218" s="5"/>
      <c r="E218" s="5"/>
      <c r="F218" s="5"/>
      <c r="G218" s="5"/>
    </row>
    <row r="219" spans="2:7" ht="13">
      <c r="B219" s="36"/>
      <c r="C219" s="80"/>
      <c r="D219" s="5"/>
      <c r="E219" s="5"/>
      <c r="F219" s="5"/>
      <c r="G219" s="5"/>
    </row>
    <row r="220" spans="2:7" ht="13">
      <c r="B220" s="36"/>
      <c r="C220" s="80"/>
      <c r="D220" s="5"/>
      <c r="E220" s="5"/>
      <c r="F220" s="5"/>
      <c r="G220" s="5"/>
    </row>
    <row r="221" spans="2:7" ht="13">
      <c r="B221" s="36"/>
      <c r="C221" s="80"/>
      <c r="D221" s="5"/>
      <c r="E221" s="5"/>
      <c r="F221" s="5"/>
      <c r="G221" s="5"/>
    </row>
    <row r="222" spans="2:7" ht="13">
      <c r="B222" s="36"/>
      <c r="C222" s="80"/>
      <c r="D222" s="5"/>
      <c r="E222" s="5"/>
      <c r="F222" s="5"/>
      <c r="G222" s="5"/>
    </row>
    <row r="223" spans="2:7" ht="13">
      <c r="B223" s="36"/>
      <c r="C223" s="80"/>
      <c r="D223" s="5"/>
      <c r="E223" s="5"/>
      <c r="F223" s="5"/>
      <c r="G223" s="5"/>
    </row>
    <row r="224" spans="2:7" ht="13">
      <c r="B224" s="36"/>
      <c r="C224" s="80"/>
      <c r="D224" s="5"/>
      <c r="E224" s="5"/>
      <c r="F224" s="5"/>
      <c r="G224" s="5"/>
    </row>
    <row r="225" spans="2:7" ht="13">
      <c r="B225" s="36"/>
      <c r="C225" s="80"/>
      <c r="D225" s="5"/>
      <c r="E225" s="5"/>
      <c r="F225" s="5"/>
      <c r="G225" s="5"/>
    </row>
    <row r="226" spans="2:7" ht="13">
      <c r="B226" s="36"/>
      <c r="C226" s="80"/>
      <c r="D226" s="5"/>
      <c r="E226" s="5"/>
      <c r="F226" s="5"/>
      <c r="G226" s="5"/>
    </row>
    <row r="227" spans="2:7" ht="13">
      <c r="B227" s="36"/>
      <c r="C227" s="80"/>
      <c r="D227" s="5"/>
      <c r="E227" s="5"/>
      <c r="F227" s="5"/>
      <c r="G227" s="5"/>
    </row>
    <row r="228" spans="2:7" ht="13">
      <c r="B228" s="36"/>
      <c r="C228" s="80"/>
      <c r="D228" s="5"/>
      <c r="E228" s="5"/>
      <c r="F228" s="5"/>
      <c r="G228" s="5"/>
    </row>
    <row r="229" spans="2:7" ht="13">
      <c r="B229" s="36"/>
      <c r="C229" s="80"/>
      <c r="D229" s="5"/>
      <c r="E229" s="5"/>
      <c r="F229" s="5"/>
      <c r="G229" s="5"/>
    </row>
    <row r="230" spans="2:7" ht="13">
      <c r="B230" s="36"/>
      <c r="C230" s="80"/>
      <c r="D230" s="5"/>
      <c r="E230" s="5"/>
      <c r="F230" s="5"/>
      <c r="G230" s="5"/>
    </row>
    <row r="231" spans="2:7" ht="13">
      <c r="B231" s="36"/>
      <c r="C231" s="80"/>
      <c r="D231" s="5"/>
      <c r="E231" s="5"/>
      <c r="F231" s="5"/>
      <c r="G231" s="5"/>
    </row>
    <row r="232" spans="2:7" ht="13">
      <c r="B232" s="36"/>
      <c r="C232" s="80"/>
      <c r="D232" s="5"/>
      <c r="E232" s="5"/>
      <c r="F232" s="5"/>
      <c r="G232" s="5"/>
    </row>
    <row r="233" spans="2:7" ht="13">
      <c r="B233" s="36"/>
      <c r="C233" s="80"/>
      <c r="D233" s="5"/>
      <c r="E233" s="5"/>
      <c r="F233" s="5"/>
      <c r="G233" s="5"/>
    </row>
    <row r="234" spans="2:7" ht="13">
      <c r="B234" s="36"/>
      <c r="C234" s="80"/>
      <c r="D234" s="5"/>
      <c r="E234" s="5"/>
      <c r="F234" s="5"/>
      <c r="G234" s="5"/>
    </row>
    <row r="235" spans="2:7" ht="13">
      <c r="B235" s="36"/>
      <c r="C235" s="80"/>
      <c r="D235" s="5"/>
      <c r="E235" s="5"/>
      <c r="F235" s="5"/>
      <c r="G235" s="5"/>
    </row>
    <row r="236" spans="2:7" ht="13">
      <c r="B236" s="36"/>
      <c r="C236" s="80"/>
      <c r="D236" s="5"/>
      <c r="E236" s="5"/>
      <c r="F236" s="5"/>
      <c r="G236" s="5"/>
    </row>
    <row r="237" spans="2:7" ht="13">
      <c r="B237" s="36"/>
      <c r="C237" s="80"/>
      <c r="D237" s="5"/>
      <c r="E237" s="5"/>
      <c r="F237" s="5"/>
      <c r="G237" s="5"/>
    </row>
    <row r="238" spans="2:7" ht="13">
      <c r="B238" s="36"/>
      <c r="C238" s="80"/>
      <c r="D238" s="5"/>
      <c r="E238" s="5"/>
      <c r="F238" s="5"/>
      <c r="G238" s="5"/>
    </row>
    <row r="239" spans="2:7" ht="13">
      <c r="B239" s="36"/>
      <c r="C239" s="80"/>
      <c r="D239" s="5"/>
      <c r="E239" s="5"/>
      <c r="F239" s="5"/>
      <c r="G239" s="5"/>
    </row>
    <row r="240" spans="2:7" ht="13">
      <c r="B240" s="36"/>
      <c r="C240" s="80"/>
      <c r="D240" s="5"/>
      <c r="E240" s="5"/>
      <c r="F240" s="5"/>
      <c r="G240" s="5"/>
    </row>
    <row r="241" spans="2:7" ht="13">
      <c r="B241" s="36"/>
      <c r="C241" s="80"/>
      <c r="D241" s="5"/>
      <c r="E241" s="5"/>
      <c r="F241" s="5"/>
      <c r="G241" s="5"/>
    </row>
    <row r="242" spans="2:7" ht="13">
      <c r="B242" s="36"/>
      <c r="C242" s="80"/>
      <c r="D242" s="5"/>
      <c r="E242" s="5"/>
      <c r="F242" s="5"/>
      <c r="G242" s="5"/>
    </row>
    <row r="243" spans="2:7" ht="13">
      <c r="B243" s="36"/>
      <c r="C243" s="80"/>
      <c r="D243" s="5"/>
      <c r="E243" s="5"/>
      <c r="F243" s="5"/>
      <c r="G243" s="5"/>
    </row>
    <row r="244" spans="2:7" ht="13">
      <c r="B244" s="36"/>
      <c r="C244" s="80"/>
      <c r="D244" s="5"/>
      <c r="E244" s="5"/>
      <c r="F244" s="5"/>
      <c r="G244" s="5"/>
    </row>
    <row r="245" spans="2:7" ht="13">
      <c r="B245" s="36"/>
      <c r="C245" s="80"/>
      <c r="D245" s="5"/>
      <c r="E245" s="5"/>
      <c r="F245" s="5"/>
      <c r="G245" s="5"/>
    </row>
    <row r="246" spans="2:7" ht="13">
      <c r="B246" s="36"/>
      <c r="C246" s="80"/>
      <c r="D246" s="5"/>
      <c r="E246" s="5"/>
      <c r="F246" s="5"/>
      <c r="G246" s="5"/>
    </row>
    <row r="247" spans="2:7" ht="13">
      <c r="B247" s="36"/>
      <c r="C247" s="80"/>
      <c r="D247" s="5"/>
      <c r="E247" s="5"/>
      <c r="F247" s="5"/>
      <c r="G247" s="5"/>
    </row>
    <row r="248" spans="2:7" ht="13">
      <c r="B248" s="36"/>
      <c r="C248" s="80"/>
      <c r="D248" s="5"/>
      <c r="E248" s="5"/>
      <c r="F248" s="5"/>
      <c r="G248" s="5"/>
    </row>
    <row r="249" spans="2:7" ht="13">
      <c r="B249" s="36"/>
      <c r="C249" s="80"/>
      <c r="D249" s="5"/>
      <c r="E249" s="5"/>
      <c r="F249" s="5"/>
      <c r="G249" s="5"/>
    </row>
    <row r="250" spans="2:7" ht="13">
      <c r="B250" s="36"/>
      <c r="C250" s="80"/>
      <c r="D250" s="5"/>
      <c r="E250" s="5"/>
      <c r="F250" s="5"/>
      <c r="G250" s="5"/>
    </row>
    <row r="251" spans="2:7" ht="13">
      <c r="B251" s="36"/>
      <c r="C251" s="80"/>
      <c r="D251" s="5"/>
      <c r="E251" s="5"/>
      <c r="F251" s="5"/>
      <c r="G251" s="5"/>
    </row>
    <row r="252" spans="2:7" ht="13">
      <c r="B252" s="36"/>
      <c r="C252" s="80"/>
      <c r="D252" s="5"/>
      <c r="E252" s="5"/>
      <c r="F252" s="5"/>
      <c r="G252" s="5"/>
    </row>
    <row r="253" spans="2:7" ht="13">
      <c r="B253" s="36"/>
      <c r="C253" s="80"/>
      <c r="D253" s="5"/>
      <c r="E253" s="5"/>
      <c r="F253" s="5"/>
      <c r="G253" s="5"/>
    </row>
    <row r="254" spans="2:7" ht="13">
      <c r="B254" s="36"/>
      <c r="C254" s="80"/>
      <c r="D254" s="5"/>
      <c r="E254" s="5"/>
      <c r="F254" s="5"/>
      <c r="G254" s="5"/>
    </row>
    <row r="255" spans="2:7" ht="13">
      <c r="B255" s="36"/>
      <c r="C255" s="80"/>
      <c r="D255" s="5"/>
      <c r="E255" s="5"/>
      <c r="F255" s="5"/>
      <c r="G255" s="5"/>
    </row>
    <row r="256" spans="2:7" ht="13">
      <c r="B256" s="36"/>
      <c r="C256" s="80"/>
      <c r="D256" s="5"/>
      <c r="E256" s="5"/>
      <c r="F256" s="5"/>
      <c r="G256" s="5"/>
    </row>
    <row r="257" spans="2:7" ht="13">
      <c r="B257" s="36"/>
      <c r="C257" s="80"/>
      <c r="D257" s="5"/>
      <c r="E257" s="5"/>
      <c r="F257" s="5"/>
      <c r="G257" s="5"/>
    </row>
    <row r="258" spans="2:7" ht="13">
      <c r="B258" s="36"/>
      <c r="C258" s="80"/>
      <c r="D258" s="5"/>
      <c r="E258" s="5"/>
      <c r="F258" s="5"/>
      <c r="G258" s="5"/>
    </row>
    <row r="259" spans="2:7" ht="13">
      <c r="B259" s="36"/>
      <c r="C259" s="80"/>
      <c r="D259" s="5"/>
      <c r="E259" s="5"/>
      <c r="F259" s="5"/>
      <c r="G259" s="5"/>
    </row>
    <row r="260" spans="2:7" ht="13">
      <c r="B260" s="36"/>
      <c r="C260" s="80"/>
      <c r="D260" s="5"/>
      <c r="E260" s="5"/>
      <c r="F260" s="5"/>
      <c r="G260" s="5"/>
    </row>
    <row r="261" spans="2:7" ht="13">
      <c r="B261" s="36"/>
      <c r="C261" s="80"/>
      <c r="D261" s="5"/>
      <c r="E261" s="5"/>
      <c r="F261" s="5"/>
      <c r="G261" s="5"/>
    </row>
    <row r="262" spans="2:7" ht="13">
      <c r="B262" s="36"/>
      <c r="C262" s="80"/>
      <c r="D262" s="5"/>
      <c r="E262" s="5"/>
      <c r="F262" s="5"/>
      <c r="G262" s="5"/>
    </row>
    <row r="263" spans="2:7" ht="13">
      <c r="B263" s="36"/>
      <c r="C263" s="80"/>
      <c r="D263" s="5"/>
      <c r="E263" s="5"/>
      <c r="F263" s="5"/>
      <c r="G263" s="5"/>
    </row>
    <row r="264" spans="2:7" ht="13">
      <c r="B264" s="36"/>
      <c r="C264" s="80"/>
      <c r="D264" s="5"/>
      <c r="E264" s="5"/>
      <c r="F264" s="5"/>
      <c r="G264" s="5"/>
    </row>
    <row r="265" spans="2:7" ht="13">
      <c r="B265" s="36"/>
      <c r="C265" s="80"/>
      <c r="D265" s="5"/>
      <c r="E265" s="5"/>
      <c r="F265" s="5"/>
      <c r="G265" s="5"/>
    </row>
    <row r="266" spans="2:7" ht="13">
      <c r="B266" s="36"/>
      <c r="C266" s="80"/>
      <c r="D266" s="5"/>
      <c r="E266" s="5"/>
      <c r="F266" s="5"/>
      <c r="G266" s="5"/>
    </row>
    <row r="267" spans="2:7" ht="13">
      <c r="B267" s="36"/>
      <c r="C267" s="80"/>
      <c r="D267" s="5"/>
      <c r="E267" s="5"/>
      <c r="F267" s="5"/>
      <c r="G267" s="5"/>
    </row>
    <row r="268" spans="2:7" ht="13">
      <c r="B268" s="36"/>
      <c r="C268" s="80"/>
      <c r="D268" s="5"/>
      <c r="E268" s="5"/>
      <c r="F268" s="5"/>
      <c r="G268" s="5"/>
    </row>
    <row r="269" spans="2:7" ht="13">
      <c r="B269" s="36"/>
      <c r="C269" s="80"/>
      <c r="D269" s="5"/>
      <c r="E269" s="5"/>
      <c r="F269" s="5"/>
      <c r="G269" s="5"/>
    </row>
    <row r="270" spans="2:7" ht="13">
      <c r="B270" s="36"/>
      <c r="C270" s="80"/>
      <c r="D270" s="5"/>
      <c r="E270" s="5"/>
      <c r="F270" s="5"/>
      <c r="G270" s="5"/>
    </row>
    <row r="271" spans="2:7" ht="13">
      <c r="B271" s="36"/>
      <c r="C271" s="80"/>
      <c r="D271" s="5"/>
      <c r="E271" s="5"/>
      <c r="F271" s="5"/>
      <c r="G271" s="5"/>
    </row>
    <row r="272" spans="2:7" ht="13">
      <c r="B272" s="36"/>
      <c r="C272" s="80"/>
      <c r="D272" s="5"/>
      <c r="E272" s="5"/>
      <c r="F272" s="5"/>
      <c r="G272" s="5"/>
    </row>
    <row r="273" spans="2:7" ht="13">
      <c r="B273" s="36"/>
      <c r="C273" s="80"/>
      <c r="D273" s="5"/>
      <c r="E273" s="5"/>
      <c r="F273" s="5"/>
      <c r="G273" s="5"/>
    </row>
    <row r="274" spans="2:7" ht="13">
      <c r="B274" s="36"/>
      <c r="C274" s="80"/>
      <c r="D274" s="5"/>
      <c r="E274" s="5"/>
      <c r="F274" s="5"/>
      <c r="G274" s="5"/>
    </row>
    <row r="275" spans="2:7" ht="13">
      <c r="B275" s="36"/>
      <c r="C275" s="80"/>
      <c r="D275" s="5"/>
      <c r="E275" s="5"/>
      <c r="F275" s="5"/>
      <c r="G275" s="5"/>
    </row>
    <row r="276" spans="2:7" ht="13">
      <c r="B276" s="36"/>
      <c r="C276" s="80"/>
      <c r="D276" s="5"/>
      <c r="E276" s="5"/>
      <c r="F276" s="5"/>
      <c r="G276" s="5"/>
    </row>
    <row r="277" spans="2:7" ht="13">
      <c r="B277" s="36"/>
      <c r="C277" s="80"/>
      <c r="D277" s="5"/>
      <c r="E277" s="5"/>
      <c r="F277" s="5"/>
      <c r="G277" s="5"/>
    </row>
    <row r="278" spans="2:7" ht="13">
      <c r="B278" s="36"/>
      <c r="C278" s="80"/>
      <c r="D278" s="5"/>
      <c r="E278" s="5"/>
      <c r="F278" s="5"/>
      <c r="G278" s="5"/>
    </row>
    <row r="279" spans="2:7" ht="13">
      <c r="B279" s="36"/>
      <c r="C279" s="80"/>
      <c r="D279" s="5"/>
      <c r="E279" s="5"/>
      <c r="F279" s="5"/>
      <c r="G279" s="5"/>
    </row>
    <row r="280" spans="2:7" ht="13">
      <c r="B280" s="36"/>
      <c r="C280" s="80"/>
      <c r="D280" s="5"/>
      <c r="E280" s="5"/>
      <c r="F280" s="5"/>
      <c r="G280" s="5"/>
    </row>
    <row r="281" spans="2:7" ht="13">
      <c r="B281" s="36"/>
      <c r="C281" s="80"/>
      <c r="D281" s="5"/>
      <c r="E281" s="5"/>
      <c r="F281" s="5"/>
      <c r="G281" s="5"/>
    </row>
    <row r="282" spans="2:7" ht="13">
      <c r="B282" s="36"/>
      <c r="C282" s="80"/>
      <c r="D282" s="5"/>
      <c r="E282" s="5"/>
      <c r="F282" s="5"/>
      <c r="G282" s="5"/>
    </row>
    <row r="283" spans="2:7" ht="13">
      <c r="B283" s="36"/>
      <c r="C283" s="80"/>
      <c r="D283" s="5"/>
      <c r="E283" s="5"/>
      <c r="F283" s="5"/>
      <c r="G283" s="5"/>
    </row>
    <row r="284" spans="2:7" ht="13">
      <c r="B284" s="36"/>
      <c r="C284" s="80"/>
      <c r="D284" s="5"/>
      <c r="E284" s="5"/>
      <c r="F284" s="5"/>
      <c r="G284" s="5"/>
    </row>
    <row r="285" spans="2:7" ht="13">
      <c r="B285" s="36"/>
      <c r="C285" s="80"/>
      <c r="D285" s="5"/>
      <c r="E285" s="5"/>
      <c r="F285" s="5"/>
      <c r="G285" s="5"/>
    </row>
    <row r="286" spans="2:7" ht="13">
      <c r="B286" s="36"/>
      <c r="C286" s="80"/>
      <c r="D286" s="5"/>
      <c r="E286" s="5"/>
      <c r="F286" s="5"/>
      <c r="G286" s="5"/>
    </row>
    <row r="287" spans="2:7" ht="13">
      <c r="B287" s="36"/>
      <c r="C287" s="80"/>
      <c r="D287" s="5"/>
      <c r="E287" s="5"/>
      <c r="F287" s="5"/>
      <c r="G287" s="5"/>
    </row>
    <row r="288" spans="2:7" ht="13">
      <c r="B288" s="36"/>
      <c r="C288" s="80"/>
      <c r="D288" s="5"/>
      <c r="E288" s="5"/>
      <c r="F288" s="5"/>
      <c r="G288" s="5"/>
    </row>
    <row r="289" spans="2:7" ht="13">
      <c r="B289" s="36"/>
      <c r="C289" s="80"/>
      <c r="D289" s="5"/>
      <c r="E289" s="5"/>
      <c r="F289" s="5"/>
      <c r="G289" s="5"/>
    </row>
    <row r="290" spans="2:7" ht="13">
      <c r="B290" s="36"/>
      <c r="C290" s="80"/>
      <c r="D290" s="5"/>
      <c r="E290" s="5"/>
      <c r="F290" s="5"/>
      <c r="G290" s="5"/>
    </row>
    <row r="291" spans="2:7" ht="13">
      <c r="B291" s="36"/>
      <c r="C291" s="80"/>
      <c r="D291" s="5"/>
      <c r="E291" s="5"/>
      <c r="F291" s="5"/>
      <c r="G291" s="5"/>
    </row>
    <row r="292" spans="2:7" ht="13">
      <c r="B292" s="36"/>
      <c r="C292" s="80"/>
      <c r="D292" s="5"/>
      <c r="E292" s="5"/>
      <c r="F292" s="5"/>
      <c r="G292" s="5"/>
    </row>
    <row r="293" spans="2:7" ht="13">
      <c r="B293" s="36"/>
      <c r="C293" s="80"/>
      <c r="D293" s="5"/>
      <c r="E293" s="5"/>
      <c r="F293" s="5"/>
      <c r="G293" s="5"/>
    </row>
    <row r="294" spans="2:7" ht="13">
      <c r="B294" s="36"/>
      <c r="C294" s="80"/>
      <c r="D294" s="5"/>
      <c r="E294" s="5"/>
      <c r="F294" s="5"/>
      <c r="G294" s="5"/>
    </row>
    <row r="295" spans="2:7" ht="13">
      <c r="B295" s="36"/>
      <c r="C295" s="80"/>
      <c r="D295" s="5"/>
      <c r="E295" s="5"/>
      <c r="F295" s="5"/>
      <c r="G295" s="5"/>
    </row>
    <row r="296" spans="2:7" ht="13">
      <c r="B296" s="36"/>
      <c r="C296" s="80"/>
      <c r="D296" s="5"/>
      <c r="E296" s="5"/>
      <c r="F296" s="5"/>
      <c r="G296" s="5"/>
    </row>
    <row r="297" spans="2:7" ht="13">
      <c r="B297" s="36"/>
      <c r="C297" s="80"/>
      <c r="D297" s="5"/>
      <c r="E297" s="5"/>
      <c r="F297" s="5"/>
      <c r="G297" s="5"/>
    </row>
    <row r="298" spans="2:7" ht="13">
      <c r="B298" s="36"/>
      <c r="C298" s="80"/>
      <c r="D298" s="5"/>
      <c r="E298" s="5"/>
      <c r="F298" s="5"/>
      <c r="G298" s="5"/>
    </row>
    <row r="299" spans="2:7" ht="13">
      <c r="B299" s="36"/>
      <c r="C299" s="80"/>
      <c r="D299" s="5"/>
      <c r="E299" s="5"/>
      <c r="F299" s="5"/>
      <c r="G299" s="5"/>
    </row>
    <row r="300" spans="2:7" ht="13">
      <c r="B300" s="36"/>
      <c r="C300" s="80"/>
      <c r="D300" s="5"/>
      <c r="E300" s="5"/>
      <c r="F300" s="5"/>
      <c r="G300" s="5"/>
    </row>
    <row r="301" spans="2:7" ht="13">
      <c r="B301" s="36"/>
      <c r="C301" s="80"/>
      <c r="D301" s="5"/>
      <c r="E301" s="5"/>
      <c r="F301" s="5"/>
      <c r="G301" s="5"/>
    </row>
    <row r="302" spans="2:7" ht="13">
      <c r="B302" s="36"/>
      <c r="C302" s="80"/>
      <c r="D302" s="5"/>
      <c r="E302" s="5"/>
      <c r="F302" s="5"/>
      <c r="G302" s="5"/>
    </row>
    <row r="303" spans="2:7" ht="13">
      <c r="B303" s="36"/>
      <c r="C303" s="80"/>
      <c r="D303" s="5"/>
      <c r="E303" s="5"/>
      <c r="F303" s="5"/>
      <c r="G303" s="5"/>
    </row>
    <row r="304" spans="2:7" ht="13">
      <c r="B304" s="36"/>
      <c r="C304" s="80"/>
      <c r="D304" s="5"/>
      <c r="E304" s="5"/>
      <c r="F304" s="5"/>
      <c r="G304" s="5"/>
    </row>
    <row r="305" spans="2:7" ht="13">
      <c r="B305" s="36"/>
      <c r="C305" s="80"/>
      <c r="D305" s="5"/>
      <c r="E305" s="5"/>
      <c r="F305" s="5"/>
      <c r="G305" s="5"/>
    </row>
    <row r="306" spans="2:7" ht="13">
      <c r="B306" s="36"/>
      <c r="C306" s="80"/>
      <c r="D306" s="5"/>
      <c r="E306" s="5"/>
      <c r="F306" s="5"/>
      <c r="G306" s="5"/>
    </row>
    <row r="307" spans="2:7" ht="13">
      <c r="B307" s="36"/>
      <c r="C307" s="80"/>
      <c r="D307" s="5"/>
      <c r="E307" s="5"/>
      <c r="F307" s="5"/>
      <c r="G307" s="5"/>
    </row>
    <row r="308" spans="2:7" ht="13">
      <c r="B308" s="36"/>
      <c r="C308" s="80"/>
      <c r="D308" s="5"/>
      <c r="E308" s="5"/>
      <c r="F308" s="5"/>
      <c r="G308" s="5"/>
    </row>
    <row r="309" spans="2:7" ht="13">
      <c r="B309" s="36"/>
      <c r="C309" s="80"/>
      <c r="D309" s="5"/>
      <c r="E309" s="5"/>
      <c r="F309" s="5"/>
      <c r="G309" s="5"/>
    </row>
    <row r="310" spans="2:7" ht="13">
      <c r="B310" s="36"/>
      <c r="C310" s="80"/>
      <c r="D310" s="5"/>
      <c r="E310" s="5"/>
      <c r="F310" s="5"/>
      <c r="G310" s="5"/>
    </row>
    <row r="311" spans="2:7" ht="13">
      <c r="B311" s="36"/>
      <c r="C311" s="80"/>
      <c r="D311" s="5"/>
      <c r="E311" s="5"/>
      <c r="F311" s="5"/>
      <c r="G311" s="5"/>
    </row>
    <row r="312" spans="2:7" ht="13">
      <c r="B312" s="36"/>
      <c r="C312" s="80"/>
      <c r="D312" s="5"/>
      <c r="E312" s="5"/>
      <c r="F312" s="5"/>
      <c r="G312" s="5"/>
    </row>
    <row r="313" spans="2:7" ht="13">
      <c r="B313" s="36"/>
      <c r="C313" s="80"/>
      <c r="D313" s="5"/>
      <c r="E313" s="5"/>
      <c r="F313" s="5"/>
      <c r="G313" s="5"/>
    </row>
    <row r="314" spans="2:7" ht="13">
      <c r="B314" s="36"/>
      <c r="C314" s="80"/>
      <c r="D314" s="5"/>
      <c r="E314" s="5"/>
      <c r="F314" s="5"/>
      <c r="G314" s="5"/>
    </row>
    <row r="315" spans="2:7" ht="13">
      <c r="B315" s="36"/>
      <c r="C315" s="80"/>
      <c r="D315" s="5"/>
      <c r="E315" s="5"/>
      <c r="F315" s="5"/>
      <c r="G315" s="5"/>
    </row>
    <row r="316" spans="2:7" ht="13">
      <c r="B316" s="36"/>
      <c r="C316" s="80"/>
      <c r="D316" s="5"/>
      <c r="E316" s="5"/>
      <c r="F316" s="5"/>
      <c r="G316" s="5"/>
    </row>
    <row r="317" spans="2:7" ht="13">
      <c r="B317" s="36"/>
      <c r="C317" s="80"/>
      <c r="D317" s="5"/>
      <c r="E317" s="5"/>
      <c r="F317" s="5"/>
      <c r="G317" s="5"/>
    </row>
    <row r="318" spans="2:7" ht="13">
      <c r="B318" s="36"/>
      <c r="C318" s="80"/>
      <c r="D318" s="5"/>
      <c r="E318" s="5"/>
      <c r="F318" s="5"/>
      <c r="G318" s="5"/>
    </row>
    <row r="319" spans="2:7" ht="13">
      <c r="B319" s="36"/>
      <c r="C319" s="80"/>
      <c r="D319" s="5"/>
      <c r="E319" s="5"/>
      <c r="F319" s="5"/>
      <c r="G319" s="5"/>
    </row>
    <row r="320" spans="2:7" ht="13">
      <c r="B320" s="36"/>
      <c r="C320" s="80"/>
      <c r="D320" s="5"/>
      <c r="E320" s="5"/>
      <c r="F320" s="5"/>
      <c r="G320" s="5"/>
    </row>
    <row r="321" spans="2:7" ht="13">
      <c r="B321" s="36"/>
      <c r="C321" s="80"/>
      <c r="D321" s="5"/>
      <c r="E321" s="5"/>
      <c r="F321" s="5"/>
      <c r="G321" s="5"/>
    </row>
    <row r="322" spans="2:7" ht="13">
      <c r="B322" s="36"/>
      <c r="C322" s="80"/>
      <c r="D322" s="5"/>
      <c r="E322" s="5"/>
      <c r="F322" s="5"/>
      <c r="G322" s="5"/>
    </row>
    <row r="323" spans="2:7" ht="13">
      <c r="B323" s="36"/>
      <c r="C323" s="80"/>
      <c r="D323" s="5"/>
      <c r="E323" s="5"/>
      <c r="F323" s="5"/>
      <c r="G323" s="5"/>
    </row>
    <row r="324" spans="2:7" ht="13">
      <c r="B324" s="36"/>
      <c r="C324" s="80"/>
      <c r="D324" s="5"/>
      <c r="E324" s="5"/>
      <c r="F324" s="5"/>
      <c r="G324" s="5"/>
    </row>
    <row r="325" spans="2:7" ht="13">
      <c r="B325" s="36"/>
      <c r="C325" s="80"/>
      <c r="D325" s="5"/>
      <c r="E325" s="5"/>
      <c r="F325" s="5"/>
      <c r="G325" s="5"/>
    </row>
    <row r="326" spans="2:7" ht="13">
      <c r="B326" s="36"/>
      <c r="C326" s="80"/>
      <c r="D326" s="5"/>
      <c r="E326" s="5"/>
      <c r="F326" s="5"/>
      <c r="G326" s="5"/>
    </row>
    <row r="327" spans="2:7" ht="13">
      <c r="B327" s="36"/>
      <c r="C327" s="80"/>
      <c r="D327" s="5"/>
      <c r="E327" s="5"/>
      <c r="F327" s="5"/>
      <c r="G327" s="5"/>
    </row>
    <row r="328" spans="2:7" ht="13">
      <c r="B328" s="36"/>
      <c r="C328" s="80"/>
      <c r="D328" s="5"/>
      <c r="E328" s="5"/>
      <c r="F328" s="5"/>
      <c r="G328" s="5"/>
    </row>
    <row r="329" spans="2:7" ht="13">
      <c r="B329" s="36"/>
      <c r="C329" s="80"/>
      <c r="D329" s="5"/>
      <c r="E329" s="5"/>
      <c r="F329" s="5"/>
      <c r="G329" s="5"/>
    </row>
    <row r="330" spans="2:7" ht="13">
      <c r="B330" s="36"/>
      <c r="C330" s="80"/>
      <c r="D330" s="5"/>
      <c r="E330" s="5"/>
      <c r="F330" s="5"/>
      <c r="G330" s="5"/>
    </row>
    <row r="331" spans="2:7" ht="13">
      <c r="B331" s="36"/>
      <c r="C331" s="80"/>
      <c r="D331" s="5"/>
      <c r="E331" s="5"/>
      <c r="F331" s="5"/>
      <c r="G331" s="5"/>
    </row>
    <row r="332" spans="2:7" ht="13">
      <c r="B332" s="36"/>
      <c r="C332" s="80"/>
      <c r="D332" s="5"/>
      <c r="E332" s="5"/>
      <c r="F332" s="5"/>
      <c r="G332" s="5"/>
    </row>
    <row r="333" spans="2:7" ht="13">
      <c r="B333" s="36"/>
      <c r="C333" s="80"/>
      <c r="D333" s="5"/>
      <c r="E333" s="5"/>
      <c r="F333" s="5"/>
      <c r="G333" s="5"/>
    </row>
    <row r="334" spans="2:7" ht="13">
      <c r="B334" s="36"/>
      <c r="C334" s="80"/>
      <c r="D334" s="5"/>
      <c r="E334" s="5"/>
      <c r="F334" s="5"/>
      <c r="G334" s="5"/>
    </row>
    <row r="335" spans="2:7" ht="13">
      <c r="B335" s="36"/>
      <c r="C335" s="80"/>
      <c r="D335" s="5"/>
      <c r="E335" s="5"/>
      <c r="F335" s="5"/>
      <c r="G335" s="5"/>
    </row>
    <row r="336" spans="2:7" ht="13">
      <c r="B336" s="36"/>
      <c r="C336" s="80"/>
      <c r="D336" s="5"/>
      <c r="E336" s="5"/>
      <c r="F336" s="5"/>
      <c r="G336" s="5"/>
    </row>
    <row r="337" spans="2:7" ht="13">
      <c r="B337" s="36"/>
      <c r="C337" s="80"/>
      <c r="D337" s="5"/>
      <c r="E337" s="5"/>
      <c r="F337" s="5"/>
      <c r="G337" s="5"/>
    </row>
    <row r="338" spans="2:7" ht="13">
      <c r="B338" s="36"/>
      <c r="C338" s="80"/>
      <c r="D338" s="5"/>
      <c r="E338" s="5"/>
      <c r="F338" s="5"/>
      <c r="G338" s="5"/>
    </row>
    <row r="339" spans="2:7" ht="13">
      <c r="B339" s="36"/>
      <c r="C339" s="80"/>
      <c r="D339" s="5"/>
      <c r="E339" s="5"/>
      <c r="F339" s="5"/>
      <c r="G339" s="5"/>
    </row>
    <row r="340" spans="2:7" ht="13">
      <c r="B340" s="36"/>
      <c r="C340" s="80"/>
      <c r="D340" s="5"/>
      <c r="E340" s="5"/>
      <c r="F340" s="5"/>
      <c r="G340" s="5"/>
    </row>
    <row r="341" spans="2:7" ht="13">
      <c r="B341" s="36"/>
      <c r="C341" s="80"/>
      <c r="D341" s="5"/>
      <c r="E341" s="5"/>
      <c r="F341" s="5"/>
      <c r="G341" s="5"/>
    </row>
    <row r="342" spans="2:7" ht="13">
      <c r="B342" s="36"/>
      <c r="C342" s="80"/>
      <c r="D342" s="5"/>
      <c r="E342" s="5"/>
      <c r="F342" s="5"/>
      <c r="G342" s="5"/>
    </row>
    <row r="343" spans="2:7" ht="13">
      <c r="B343" s="36"/>
      <c r="C343" s="80"/>
      <c r="D343" s="5"/>
      <c r="E343" s="5"/>
      <c r="F343" s="5"/>
      <c r="G343" s="5"/>
    </row>
    <row r="344" spans="2:7" ht="13">
      <c r="B344" s="36"/>
      <c r="C344" s="80"/>
      <c r="D344" s="5"/>
      <c r="E344" s="5"/>
      <c r="F344" s="5"/>
      <c r="G344" s="5"/>
    </row>
    <row r="345" spans="2:7" ht="13">
      <c r="B345" s="36"/>
      <c r="C345" s="80"/>
      <c r="D345" s="5"/>
      <c r="E345" s="5"/>
      <c r="F345" s="5"/>
      <c r="G345" s="5"/>
    </row>
    <row r="346" spans="2:7" ht="13">
      <c r="B346" s="36"/>
      <c r="C346" s="80"/>
      <c r="D346" s="5"/>
      <c r="E346" s="5"/>
      <c r="F346" s="5"/>
      <c r="G346" s="5"/>
    </row>
    <row r="347" spans="2:7" ht="13">
      <c r="B347" s="36"/>
      <c r="C347" s="80"/>
      <c r="D347" s="5"/>
      <c r="E347" s="5"/>
      <c r="F347" s="5"/>
      <c r="G347" s="5"/>
    </row>
    <row r="348" spans="2:7" ht="13">
      <c r="B348" s="36"/>
      <c r="C348" s="80"/>
      <c r="D348" s="5"/>
      <c r="E348" s="5"/>
      <c r="F348" s="5"/>
      <c r="G348" s="5"/>
    </row>
    <row r="349" spans="2:7" ht="13">
      <c r="B349" s="36"/>
      <c r="C349" s="80"/>
      <c r="D349" s="5"/>
      <c r="E349" s="5"/>
      <c r="F349" s="5"/>
      <c r="G349" s="5"/>
    </row>
    <row r="350" spans="2:7" ht="13">
      <c r="B350" s="36"/>
      <c r="C350" s="80"/>
      <c r="D350" s="5"/>
      <c r="E350" s="5"/>
      <c r="F350" s="5"/>
      <c r="G350" s="5"/>
    </row>
    <row r="351" spans="2:7" ht="13">
      <c r="B351" s="36"/>
      <c r="C351" s="80"/>
      <c r="D351" s="5"/>
      <c r="E351" s="5"/>
      <c r="F351" s="5"/>
      <c r="G351" s="5"/>
    </row>
    <row r="352" spans="2:7" ht="13">
      <c r="B352" s="36"/>
      <c r="C352" s="80"/>
      <c r="D352" s="5"/>
      <c r="E352" s="5"/>
      <c r="F352" s="5"/>
      <c r="G352" s="5"/>
    </row>
    <row r="353" spans="2:7" ht="13">
      <c r="B353" s="36"/>
      <c r="C353" s="80"/>
      <c r="D353" s="5"/>
      <c r="E353" s="5"/>
      <c r="F353" s="5"/>
      <c r="G353" s="5"/>
    </row>
    <row r="354" spans="2:7" ht="13">
      <c r="B354" s="36"/>
      <c r="C354" s="80"/>
      <c r="D354" s="5"/>
      <c r="E354" s="5"/>
      <c r="F354" s="5"/>
      <c r="G354" s="5"/>
    </row>
    <row r="355" spans="2:7" ht="13">
      <c r="B355" s="36"/>
      <c r="C355" s="80"/>
      <c r="D355" s="5"/>
      <c r="E355" s="5"/>
      <c r="F355" s="5"/>
      <c r="G355" s="5"/>
    </row>
    <row r="356" spans="2:7" ht="13">
      <c r="B356" s="36"/>
      <c r="C356" s="80"/>
      <c r="D356" s="5"/>
      <c r="E356" s="5"/>
      <c r="F356" s="5"/>
      <c r="G356" s="5"/>
    </row>
    <row r="357" spans="2:7" ht="13">
      <c r="B357" s="36"/>
      <c r="C357" s="80"/>
      <c r="D357" s="5"/>
      <c r="E357" s="5"/>
      <c r="F357" s="5"/>
      <c r="G357" s="5"/>
    </row>
    <row r="358" spans="2:7" ht="13">
      <c r="B358" s="36"/>
      <c r="C358" s="80"/>
      <c r="D358" s="5"/>
      <c r="E358" s="5"/>
      <c r="F358" s="5"/>
      <c r="G358" s="5"/>
    </row>
    <row r="359" spans="2:7" ht="13">
      <c r="B359" s="36"/>
      <c r="C359" s="80"/>
      <c r="D359" s="5"/>
      <c r="E359" s="5"/>
      <c r="F359" s="5"/>
      <c r="G359" s="5"/>
    </row>
    <row r="360" spans="2:7" ht="13">
      <c r="B360" s="36"/>
      <c r="C360" s="80"/>
      <c r="D360" s="5"/>
      <c r="E360" s="5"/>
      <c r="F360" s="5"/>
      <c r="G360" s="5"/>
    </row>
    <row r="361" spans="2:7" ht="13">
      <c r="B361" s="36"/>
      <c r="C361" s="80"/>
      <c r="D361" s="5"/>
      <c r="E361" s="5"/>
      <c r="F361" s="5"/>
      <c r="G361" s="5"/>
    </row>
    <row r="362" spans="2:7" ht="13">
      <c r="B362" s="36"/>
      <c r="C362" s="80"/>
      <c r="D362" s="5"/>
      <c r="E362" s="5"/>
      <c r="F362" s="5"/>
      <c r="G362" s="5"/>
    </row>
    <row r="363" spans="2:7" ht="13">
      <c r="B363" s="36"/>
      <c r="C363" s="80"/>
      <c r="D363" s="5"/>
      <c r="E363" s="5"/>
      <c r="F363" s="5"/>
      <c r="G363" s="5"/>
    </row>
    <row r="364" spans="2:7" ht="13">
      <c r="B364" s="36"/>
      <c r="C364" s="80"/>
      <c r="D364" s="5"/>
      <c r="E364" s="5"/>
      <c r="F364" s="5"/>
      <c r="G364" s="5"/>
    </row>
    <row r="365" spans="2:7" ht="13">
      <c r="B365" s="36"/>
      <c r="C365" s="80"/>
      <c r="D365" s="5"/>
      <c r="E365" s="5"/>
      <c r="F365" s="5"/>
      <c r="G365" s="5"/>
    </row>
    <row r="366" spans="2:7" ht="13">
      <c r="B366" s="36"/>
      <c r="C366" s="80"/>
      <c r="D366" s="5"/>
      <c r="E366" s="5"/>
      <c r="F366" s="5"/>
      <c r="G366" s="5"/>
    </row>
    <row r="367" spans="2:7" ht="13">
      <c r="B367" s="36"/>
      <c r="C367" s="80"/>
      <c r="D367" s="5"/>
      <c r="E367" s="5"/>
      <c r="F367" s="5"/>
      <c r="G367" s="5"/>
    </row>
    <row r="368" spans="2:7" ht="13">
      <c r="B368" s="36"/>
      <c r="C368" s="80"/>
      <c r="D368" s="5"/>
      <c r="E368" s="5"/>
      <c r="F368" s="5"/>
      <c r="G368" s="5"/>
    </row>
    <row r="369" spans="2:7" ht="13">
      <c r="B369" s="36"/>
      <c r="C369" s="80"/>
      <c r="D369" s="5"/>
      <c r="E369" s="5"/>
      <c r="F369" s="5"/>
      <c r="G369" s="5"/>
    </row>
    <row r="370" spans="2:7" ht="13">
      <c r="B370" s="36"/>
      <c r="C370" s="80"/>
      <c r="D370" s="5"/>
      <c r="E370" s="5"/>
      <c r="F370" s="5"/>
      <c r="G370" s="5"/>
    </row>
    <row r="371" spans="2:7" ht="13">
      <c r="B371" s="36"/>
      <c r="C371" s="80"/>
      <c r="D371" s="5"/>
      <c r="E371" s="5"/>
      <c r="F371" s="5"/>
      <c r="G371" s="5"/>
    </row>
    <row r="372" spans="2:7" ht="13">
      <c r="B372" s="36"/>
      <c r="C372" s="80"/>
      <c r="D372" s="5"/>
      <c r="E372" s="5"/>
      <c r="F372" s="5"/>
      <c r="G372" s="5"/>
    </row>
    <row r="373" spans="2:7" ht="13">
      <c r="B373" s="36"/>
      <c r="C373" s="80"/>
      <c r="D373" s="5"/>
      <c r="E373" s="5"/>
      <c r="F373" s="5"/>
      <c r="G373" s="5"/>
    </row>
    <row r="374" spans="2:7" ht="13">
      <c r="B374" s="36"/>
      <c r="C374" s="80"/>
      <c r="D374" s="5"/>
      <c r="E374" s="5"/>
      <c r="F374" s="5"/>
      <c r="G374" s="5"/>
    </row>
    <row r="375" spans="2:7" ht="13">
      <c r="B375" s="36"/>
      <c r="C375" s="80"/>
      <c r="D375" s="5"/>
      <c r="E375" s="5"/>
      <c r="F375" s="5"/>
      <c r="G375" s="5"/>
    </row>
    <row r="376" spans="2:7" ht="13">
      <c r="B376" s="36"/>
      <c r="C376" s="80"/>
      <c r="D376" s="5"/>
      <c r="E376" s="5"/>
      <c r="F376" s="5"/>
      <c r="G376" s="5"/>
    </row>
    <row r="377" spans="2:7" ht="13">
      <c r="B377" s="36"/>
      <c r="C377" s="80"/>
      <c r="D377" s="5"/>
      <c r="E377" s="5"/>
      <c r="F377" s="5"/>
      <c r="G377" s="5"/>
    </row>
    <row r="378" spans="2:7" ht="13">
      <c r="B378" s="36"/>
      <c r="C378" s="80"/>
      <c r="D378" s="5"/>
      <c r="E378" s="5"/>
      <c r="F378" s="5"/>
      <c r="G378" s="5"/>
    </row>
    <row r="379" spans="2:7" ht="13">
      <c r="B379" s="36"/>
      <c r="C379" s="80"/>
      <c r="D379" s="5"/>
      <c r="E379" s="5"/>
      <c r="F379" s="5"/>
      <c r="G379" s="5"/>
    </row>
    <row r="380" spans="2:7" ht="13">
      <c r="B380" s="36"/>
      <c r="C380" s="80"/>
      <c r="D380" s="5"/>
      <c r="E380" s="5"/>
      <c r="F380" s="5"/>
      <c r="G380" s="5"/>
    </row>
    <row r="381" spans="2:7" ht="13">
      <c r="B381" s="36"/>
      <c r="C381" s="80"/>
      <c r="D381" s="5"/>
      <c r="E381" s="5"/>
      <c r="F381" s="5"/>
      <c r="G381" s="5"/>
    </row>
    <row r="382" spans="2:7" ht="13">
      <c r="B382" s="36"/>
      <c r="C382" s="80"/>
      <c r="D382" s="5"/>
      <c r="E382" s="5"/>
      <c r="F382" s="5"/>
      <c r="G382" s="5"/>
    </row>
    <row r="383" spans="2:7" ht="13">
      <c r="B383" s="36"/>
      <c r="C383" s="80"/>
      <c r="D383" s="5"/>
      <c r="E383" s="5"/>
      <c r="F383" s="5"/>
      <c r="G383" s="5"/>
    </row>
    <row r="384" spans="2:7" ht="13">
      <c r="B384" s="36"/>
      <c r="C384" s="80"/>
      <c r="D384" s="5"/>
      <c r="E384" s="5"/>
      <c r="F384" s="5"/>
      <c r="G384" s="5"/>
    </row>
    <row r="385" spans="2:7" ht="13">
      <c r="B385" s="36"/>
      <c r="C385" s="80"/>
      <c r="D385" s="5"/>
      <c r="E385" s="5"/>
      <c r="F385" s="5"/>
      <c r="G385" s="5"/>
    </row>
    <row r="386" spans="2:7" ht="13">
      <c r="B386" s="36"/>
      <c r="C386" s="80"/>
      <c r="D386" s="5"/>
      <c r="E386" s="5"/>
      <c r="F386" s="5"/>
      <c r="G386" s="5"/>
    </row>
    <row r="387" spans="2:7" ht="13">
      <c r="B387" s="36"/>
      <c r="C387" s="80"/>
      <c r="D387" s="5"/>
      <c r="E387" s="5"/>
      <c r="F387" s="5"/>
      <c r="G387" s="5"/>
    </row>
    <row r="388" spans="2:7" ht="13">
      <c r="B388" s="36"/>
      <c r="C388" s="80"/>
      <c r="D388" s="5"/>
      <c r="E388" s="5"/>
      <c r="F388" s="5"/>
      <c r="G388" s="5"/>
    </row>
    <row r="389" spans="2:7" ht="13">
      <c r="B389" s="36"/>
      <c r="C389" s="80"/>
      <c r="D389" s="5"/>
      <c r="E389" s="5"/>
      <c r="F389" s="5"/>
      <c r="G389" s="5"/>
    </row>
    <row r="390" spans="2:7" ht="13">
      <c r="B390" s="36"/>
      <c r="C390" s="80"/>
      <c r="D390" s="5"/>
      <c r="E390" s="5"/>
      <c r="F390" s="5"/>
      <c r="G390" s="5"/>
    </row>
    <row r="391" spans="2:7" ht="13">
      <c r="B391" s="36"/>
      <c r="C391" s="80"/>
      <c r="D391" s="5"/>
      <c r="E391" s="5"/>
      <c r="F391" s="5"/>
      <c r="G391" s="5"/>
    </row>
    <row r="392" spans="2:7" ht="13">
      <c r="B392" s="36"/>
      <c r="C392" s="80"/>
      <c r="D392" s="5"/>
      <c r="E392" s="5"/>
      <c r="F392" s="5"/>
      <c r="G392" s="5"/>
    </row>
    <row r="393" spans="2:7" ht="13">
      <c r="B393" s="36"/>
      <c r="C393" s="80"/>
      <c r="D393" s="5"/>
      <c r="E393" s="5"/>
      <c r="F393" s="5"/>
      <c r="G393" s="5"/>
    </row>
    <row r="394" spans="2:7" ht="13">
      <c r="B394" s="36"/>
      <c r="C394" s="80"/>
      <c r="D394" s="5"/>
      <c r="E394" s="5"/>
      <c r="F394" s="5"/>
      <c r="G394" s="5"/>
    </row>
    <row r="395" spans="2:7" ht="13">
      <c r="B395" s="36"/>
      <c r="C395" s="80"/>
      <c r="D395" s="5"/>
      <c r="E395" s="5"/>
      <c r="F395" s="5"/>
      <c r="G395" s="5"/>
    </row>
    <row r="396" spans="2:7" ht="13">
      <c r="B396" s="36"/>
      <c r="C396" s="80"/>
      <c r="D396" s="5"/>
      <c r="E396" s="5"/>
      <c r="F396" s="5"/>
      <c r="G396" s="5"/>
    </row>
    <row r="397" spans="2:7" ht="13">
      <c r="B397" s="36"/>
      <c r="C397" s="80"/>
      <c r="D397" s="5"/>
      <c r="E397" s="5"/>
      <c r="F397" s="5"/>
      <c r="G397" s="5"/>
    </row>
    <row r="398" spans="2:7" ht="13">
      <c r="B398" s="36"/>
      <c r="C398" s="80"/>
      <c r="D398" s="5"/>
      <c r="E398" s="5"/>
      <c r="F398" s="5"/>
      <c r="G398" s="5"/>
    </row>
    <row r="399" spans="2:7" ht="13">
      <c r="B399" s="36"/>
      <c r="C399" s="80"/>
      <c r="D399" s="5"/>
      <c r="E399" s="5"/>
      <c r="F399" s="5"/>
      <c r="G399" s="5"/>
    </row>
    <row r="400" spans="2:7" ht="13">
      <c r="B400" s="36"/>
      <c r="C400" s="80"/>
      <c r="D400" s="5"/>
      <c r="E400" s="5"/>
      <c r="F400" s="5"/>
      <c r="G400" s="5"/>
    </row>
    <row r="401" spans="2:7" ht="13">
      <c r="B401" s="36"/>
      <c r="C401" s="80"/>
      <c r="D401" s="5"/>
      <c r="E401" s="5"/>
      <c r="F401" s="5"/>
      <c r="G401" s="5"/>
    </row>
    <row r="402" spans="2:7" ht="13">
      <c r="B402" s="36"/>
      <c r="C402" s="80"/>
      <c r="D402" s="5"/>
      <c r="E402" s="5"/>
      <c r="F402" s="5"/>
      <c r="G402" s="5"/>
    </row>
    <row r="403" spans="2:7" ht="13">
      <c r="B403" s="36"/>
      <c r="C403" s="80"/>
      <c r="D403" s="5"/>
      <c r="E403" s="5"/>
      <c r="F403" s="5"/>
      <c r="G403" s="5"/>
    </row>
    <row r="404" spans="2:7" ht="13">
      <c r="B404" s="36"/>
      <c r="C404" s="80"/>
      <c r="D404" s="5"/>
      <c r="E404" s="5"/>
      <c r="F404" s="5"/>
      <c r="G404" s="5"/>
    </row>
    <row r="405" spans="2:7" ht="13">
      <c r="B405" s="36"/>
      <c r="C405" s="80"/>
      <c r="D405" s="5"/>
      <c r="E405" s="5"/>
      <c r="F405" s="5"/>
      <c r="G405" s="5"/>
    </row>
    <row r="406" spans="2:7" ht="13">
      <c r="B406" s="36"/>
      <c r="C406" s="80"/>
      <c r="D406" s="5"/>
      <c r="E406" s="5"/>
      <c r="F406" s="5"/>
      <c r="G406" s="5"/>
    </row>
    <row r="407" spans="2:7" ht="13">
      <c r="B407" s="36"/>
      <c r="C407" s="80"/>
      <c r="D407" s="5"/>
      <c r="E407" s="5"/>
      <c r="F407" s="5"/>
      <c r="G407" s="5"/>
    </row>
    <row r="408" spans="2:7" ht="13">
      <c r="B408" s="36"/>
      <c r="C408" s="80"/>
      <c r="D408" s="5"/>
      <c r="E408" s="5"/>
      <c r="F408" s="5"/>
      <c r="G408" s="5"/>
    </row>
    <row r="409" spans="2:7" ht="13">
      <c r="B409" s="36"/>
      <c r="C409" s="80"/>
      <c r="D409" s="5"/>
      <c r="E409" s="5"/>
      <c r="F409" s="5"/>
      <c r="G409" s="5"/>
    </row>
    <row r="410" spans="2:7" ht="13">
      <c r="B410" s="36"/>
      <c r="C410" s="80"/>
      <c r="D410" s="5"/>
      <c r="E410" s="5"/>
      <c r="F410" s="5"/>
      <c r="G410" s="5"/>
    </row>
    <row r="411" spans="2:7" ht="13">
      <c r="B411" s="36"/>
      <c r="C411" s="80"/>
      <c r="D411" s="5"/>
      <c r="E411" s="5"/>
      <c r="F411" s="5"/>
      <c r="G411" s="5"/>
    </row>
    <row r="412" spans="2:7" ht="13">
      <c r="B412" s="36"/>
      <c r="C412" s="80"/>
      <c r="D412" s="5"/>
      <c r="E412" s="5"/>
      <c r="F412" s="5"/>
      <c r="G412" s="5"/>
    </row>
    <row r="413" spans="2:7" ht="13">
      <c r="B413" s="36"/>
      <c r="C413" s="80"/>
      <c r="D413" s="5"/>
      <c r="E413" s="5"/>
      <c r="F413" s="5"/>
      <c r="G413" s="5"/>
    </row>
    <row r="414" spans="2:7" ht="13">
      <c r="B414" s="36"/>
      <c r="C414" s="80"/>
      <c r="D414" s="5"/>
      <c r="E414" s="5"/>
      <c r="F414" s="5"/>
      <c r="G414" s="5"/>
    </row>
    <row r="415" spans="2:7" ht="13">
      <c r="B415" s="36"/>
      <c r="C415" s="80"/>
      <c r="D415" s="5"/>
      <c r="E415" s="5"/>
      <c r="F415" s="5"/>
      <c r="G415" s="5"/>
    </row>
    <row r="416" spans="2:7" ht="13">
      <c r="B416" s="36"/>
      <c r="C416" s="80"/>
      <c r="D416" s="5"/>
      <c r="E416" s="5"/>
      <c r="F416" s="5"/>
      <c r="G416" s="5"/>
    </row>
    <row r="417" spans="2:7" ht="13">
      <c r="B417" s="36"/>
      <c r="C417" s="80"/>
      <c r="D417" s="5"/>
      <c r="E417" s="5"/>
      <c r="F417" s="5"/>
      <c r="G417" s="5"/>
    </row>
    <row r="418" spans="2:7" ht="13">
      <c r="B418" s="36"/>
      <c r="C418" s="80"/>
      <c r="D418" s="5"/>
      <c r="E418" s="5"/>
      <c r="F418" s="5"/>
      <c r="G418" s="5"/>
    </row>
    <row r="419" spans="2:7" ht="13">
      <c r="B419" s="36"/>
      <c r="C419" s="80"/>
      <c r="D419" s="5"/>
      <c r="E419" s="5"/>
      <c r="F419" s="5"/>
      <c r="G419" s="5"/>
    </row>
    <row r="420" spans="2:7" ht="13">
      <c r="B420" s="36"/>
      <c r="C420" s="80"/>
      <c r="D420" s="5"/>
      <c r="E420" s="5"/>
      <c r="F420" s="5"/>
      <c r="G420" s="5"/>
    </row>
    <row r="421" spans="2:7" ht="13">
      <c r="B421" s="36"/>
      <c r="C421" s="80"/>
      <c r="D421" s="5"/>
      <c r="E421" s="5"/>
      <c r="F421" s="5"/>
      <c r="G421" s="5"/>
    </row>
    <row r="422" spans="2:7" ht="13">
      <c r="B422" s="36"/>
      <c r="C422" s="80"/>
      <c r="D422" s="5"/>
      <c r="E422" s="5"/>
      <c r="F422" s="5"/>
      <c r="G422" s="5"/>
    </row>
    <row r="423" spans="2:7" ht="13">
      <c r="B423" s="36"/>
      <c r="C423" s="80"/>
      <c r="D423" s="5"/>
      <c r="E423" s="5"/>
      <c r="F423" s="5"/>
      <c r="G423" s="5"/>
    </row>
    <row r="424" spans="2:7" ht="13">
      <c r="B424" s="36"/>
      <c r="C424" s="80"/>
      <c r="D424" s="5"/>
      <c r="E424" s="5"/>
      <c r="F424" s="5"/>
      <c r="G424" s="5"/>
    </row>
    <row r="425" spans="2:7" ht="13">
      <c r="B425" s="36"/>
      <c r="C425" s="80"/>
      <c r="D425" s="5"/>
      <c r="E425" s="5"/>
      <c r="F425" s="5"/>
      <c r="G425" s="5"/>
    </row>
    <row r="426" spans="2:7" ht="13">
      <c r="B426" s="36"/>
      <c r="C426" s="80"/>
      <c r="D426" s="5"/>
      <c r="E426" s="5"/>
      <c r="F426" s="5"/>
      <c r="G426" s="5"/>
    </row>
    <row r="427" spans="2:7" ht="13">
      <c r="B427" s="36"/>
      <c r="C427" s="80"/>
      <c r="D427" s="5"/>
      <c r="E427" s="5"/>
      <c r="F427" s="5"/>
      <c r="G427" s="5"/>
    </row>
    <row r="428" spans="2:7" ht="13">
      <c r="B428" s="36"/>
      <c r="C428" s="80"/>
      <c r="D428" s="5"/>
      <c r="E428" s="5"/>
      <c r="F428" s="5"/>
      <c r="G428" s="5"/>
    </row>
    <row r="429" spans="2:7" ht="13">
      <c r="B429" s="36"/>
      <c r="C429" s="80"/>
      <c r="D429" s="5"/>
      <c r="E429" s="5"/>
      <c r="F429" s="5"/>
      <c r="G429" s="5"/>
    </row>
    <row r="430" spans="2:7" ht="13">
      <c r="B430" s="36"/>
      <c r="C430" s="80"/>
      <c r="D430" s="5"/>
      <c r="E430" s="5"/>
      <c r="F430" s="5"/>
      <c r="G430" s="5"/>
    </row>
    <row r="431" spans="2:7" ht="13">
      <c r="B431" s="36"/>
      <c r="C431" s="80"/>
      <c r="D431" s="5"/>
      <c r="E431" s="5"/>
      <c r="F431" s="5"/>
      <c r="G431" s="5"/>
    </row>
    <row r="432" spans="2:7" ht="13">
      <c r="B432" s="36"/>
      <c r="C432" s="80"/>
      <c r="D432" s="5"/>
      <c r="E432" s="5"/>
      <c r="F432" s="5"/>
      <c r="G432" s="5"/>
    </row>
    <row r="433" spans="2:7" ht="13">
      <c r="B433" s="36"/>
      <c r="C433" s="80"/>
      <c r="D433" s="5"/>
      <c r="E433" s="5"/>
      <c r="F433" s="5"/>
      <c r="G433" s="5"/>
    </row>
    <row r="434" spans="2:7" ht="13">
      <c r="B434" s="36"/>
      <c r="C434" s="80"/>
      <c r="D434" s="5"/>
      <c r="E434" s="5"/>
      <c r="F434" s="5"/>
      <c r="G434" s="5"/>
    </row>
    <row r="435" spans="2:7" ht="13">
      <c r="B435" s="36"/>
      <c r="C435" s="80"/>
      <c r="D435" s="5"/>
      <c r="E435" s="5"/>
      <c r="F435" s="5"/>
      <c r="G435" s="5"/>
    </row>
    <row r="436" spans="2:7" ht="13">
      <c r="B436" s="36"/>
      <c r="C436" s="80"/>
      <c r="D436" s="5"/>
      <c r="E436" s="5"/>
      <c r="F436" s="5"/>
      <c r="G436" s="5"/>
    </row>
    <row r="437" spans="2:7" ht="13">
      <c r="B437" s="36"/>
      <c r="C437" s="80"/>
      <c r="D437" s="5"/>
      <c r="E437" s="5"/>
      <c r="F437" s="5"/>
      <c r="G437" s="5"/>
    </row>
    <row r="438" spans="2:7" ht="13">
      <c r="B438" s="36"/>
      <c r="C438" s="80"/>
      <c r="D438" s="5"/>
      <c r="E438" s="5"/>
      <c r="F438" s="5"/>
      <c r="G438" s="5"/>
    </row>
    <row r="439" spans="2:7" ht="13">
      <c r="B439" s="36"/>
      <c r="C439" s="80"/>
      <c r="D439" s="5"/>
      <c r="E439" s="5"/>
      <c r="F439" s="5"/>
      <c r="G439" s="5"/>
    </row>
    <row r="440" spans="2:7" ht="13">
      <c r="B440" s="36"/>
      <c r="C440" s="80"/>
      <c r="D440" s="5"/>
      <c r="E440" s="5"/>
      <c r="F440" s="5"/>
      <c r="G440" s="5"/>
    </row>
    <row r="441" spans="2:7" ht="13">
      <c r="B441" s="36"/>
      <c r="C441" s="80"/>
      <c r="D441" s="5"/>
      <c r="E441" s="5"/>
      <c r="F441" s="5"/>
      <c r="G441" s="5"/>
    </row>
    <row r="442" spans="2:7" ht="13">
      <c r="B442" s="36"/>
      <c r="C442" s="80"/>
      <c r="D442" s="5"/>
      <c r="E442" s="5"/>
      <c r="F442" s="5"/>
      <c r="G442" s="5"/>
    </row>
    <row r="443" spans="2:7" ht="13">
      <c r="B443" s="36"/>
      <c r="C443" s="80"/>
      <c r="D443" s="5"/>
      <c r="E443" s="5"/>
      <c r="F443" s="5"/>
      <c r="G443" s="5"/>
    </row>
    <row r="444" spans="2:7" ht="13">
      <c r="B444" s="36"/>
      <c r="C444" s="80"/>
      <c r="D444" s="5"/>
      <c r="E444" s="5"/>
      <c r="F444" s="5"/>
      <c r="G444" s="5"/>
    </row>
    <row r="445" spans="2:7" ht="13">
      <c r="B445" s="36"/>
      <c r="C445" s="80"/>
      <c r="D445" s="5"/>
      <c r="E445" s="5"/>
      <c r="F445" s="5"/>
      <c r="G445" s="5"/>
    </row>
    <row r="446" spans="2:7" ht="13">
      <c r="B446" s="36"/>
      <c r="C446" s="80"/>
      <c r="D446" s="5"/>
      <c r="E446" s="5"/>
      <c r="F446" s="5"/>
      <c r="G446" s="5"/>
    </row>
    <row r="447" spans="2:7" ht="13">
      <c r="B447" s="36"/>
      <c r="C447" s="80"/>
      <c r="D447" s="5"/>
      <c r="E447" s="5"/>
      <c r="F447" s="5"/>
      <c r="G447" s="5"/>
    </row>
    <row r="448" spans="2:7" ht="13">
      <c r="B448" s="36"/>
      <c r="C448" s="80"/>
      <c r="D448" s="5"/>
      <c r="E448" s="5"/>
      <c r="F448" s="5"/>
      <c r="G448" s="5"/>
    </row>
    <row r="449" spans="2:7" ht="13">
      <c r="B449" s="36"/>
      <c r="C449" s="80"/>
      <c r="D449" s="5"/>
      <c r="E449" s="5"/>
      <c r="F449" s="5"/>
      <c r="G449" s="5"/>
    </row>
    <row r="450" spans="2:7" ht="13">
      <c r="B450" s="36"/>
      <c r="C450" s="80"/>
      <c r="D450" s="5"/>
      <c r="E450" s="5"/>
      <c r="F450" s="5"/>
      <c r="G450" s="5"/>
    </row>
    <row r="451" spans="2:7" ht="13">
      <c r="B451" s="36"/>
      <c r="C451" s="80"/>
      <c r="D451" s="5"/>
      <c r="E451" s="5"/>
      <c r="F451" s="5"/>
      <c r="G451" s="5"/>
    </row>
    <row r="452" spans="2:7" ht="13">
      <c r="B452" s="36"/>
      <c r="C452" s="80"/>
      <c r="D452" s="5"/>
      <c r="E452" s="5"/>
      <c r="F452" s="5"/>
      <c r="G452" s="5"/>
    </row>
    <row r="453" spans="2:7" ht="13">
      <c r="B453" s="36"/>
      <c r="C453" s="80"/>
      <c r="D453" s="5"/>
      <c r="E453" s="5"/>
      <c r="F453" s="5"/>
      <c r="G453" s="5"/>
    </row>
    <row r="454" spans="2:7" ht="13">
      <c r="B454" s="36"/>
      <c r="C454" s="80"/>
      <c r="D454" s="5"/>
      <c r="E454" s="5"/>
      <c r="F454" s="5"/>
      <c r="G454" s="5"/>
    </row>
    <row r="455" spans="2:7" ht="13">
      <c r="B455" s="36"/>
      <c r="C455" s="80"/>
      <c r="D455" s="5"/>
      <c r="E455" s="5"/>
      <c r="F455" s="5"/>
      <c r="G455" s="5"/>
    </row>
    <row r="456" spans="2:7" ht="13">
      <c r="B456" s="36"/>
      <c r="C456" s="80"/>
      <c r="D456" s="5"/>
      <c r="E456" s="5"/>
      <c r="F456" s="5"/>
      <c r="G456" s="5"/>
    </row>
    <row r="457" spans="2:7" ht="13">
      <c r="B457" s="36"/>
      <c r="C457" s="80"/>
      <c r="D457" s="5"/>
      <c r="E457" s="5"/>
      <c r="F457" s="5"/>
      <c r="G457" s="5"/>
    </row>
    <row r="458" spans="2:7" ht="13">
      <c r="B458" s="36"/>
      <c r="C458" s="80"/>
      <c r="D458" s="5"/>
      <c r="E458" s="5"/>
      <c r="F458" s="5"/>
      <c r="G458" s="5"/>
    </row>
    <row r="459" spans="2:7" ht="13">
      <c r="B459" s="36"/>
      <c r="C459" s="80"/>
      <c r="D459" s="5"/>
      <c r="E459" s="5"/>
      <c r="F459" s="5"/>
      <c r="G459" s="5"/>
    </row>
    <row r="460" spans="2:7" ht="13">
      <c r="B460" s="36"/>
      <c r="C460" s="80"/>
      <c r="D460" s="5"/>
      <c r="E460" s="5"/>
      <c r="F460" s="5"/>
      <c r="G460" s="5"/>
    </row>
    <row r="461" spans="2:7" ht="13">
      <c r="B461" s="36"/>
      <c r="C461" s="80"/>
      <c r="D461" s="5"/>
      <c r="E461" s="5"/>
      <c r="F461" s="5"/>
      <c r="G461" s="5"/>
    </row>
    <row r="462" spans="2:7" ht="13">
      <c r="B462" s="36"/>
      <c r="C462" s="80"/>
      <c r="D462" s="5"/>
      <c r="E462" s="5"/>
      <c r="F462" s="5"/>
      <c r="G462" s="5"/>
    </row>
    <row r="463" spans="2:7" ht="13">
      <c r="B463" s="36"/>
      <c r="C463" s="80"/>
      <c r="D463" s="5"/>
      <c r="E463" s="5"/>
      <c r="F463" s="5"/>
      <c r="G463" s="5"/>
    </row>
    <row r="464" spans="2:7" ht="13">
      <c r="B464" s="36"/>
      <c r="C464" s="80"/>
      <c r="D464" s="5"/>
      <c r="E464" s="5"/>
      <c r="F464" s="5"/>
      <c r="G464" s="5"/>
    </row>
    <row r="465" spans="2:7" ht="13">
      <c r="B465" s="36"/>
      <c r="C465" s="80"/>
      <c r="D465" s="5"/>
      <c r="E465" s="5"/>
      <c r="F465" s="5"/>
      <c r="G465" s="5"/>
    </row>
    <row r="466" spans="2:7" ht="13">
      <c r="B466" s="36"/>
      <c r="C466" s="80"/>
      <c r="D466" s="5"/>
      <c r="E466" s="5"/>
      <c r="F466" s="5"/>
      <c r="G466" s="5"/>
    </row>
    <row r="467" spans="2:7" ht="13">
      <c r="B467" s="36"/>
      <c r="C467" s="80"/>
      <c r="D467" s="5"/>
      <c r="E467" s="5"/>
      <c r="F467" s="5"/>
      <c r="G467" s="5"/>
    </row>
    <row r="468" spans="2:7" ht="13">
      <c r="B468" s="36"/>
      <c r="C468" s="80"/>
      <c r="D468" s="5"/>
      <c r="E468" s="5"/>
      <c r="F468" s="5"/>
      <c r="G468" s="5"/>
    </row>
    <row r="469" spans="2:7" ht="13">
      <c r="B469" s="36"/>
      <c r="C469" s="80"/>
      <c r="D469" s="5"/>
      <c r="E469" s="5"/>
      <c r="F469" s="5"/>
      <c r="G469" s="5"/>
    </row>
    <row r="470" spans="2:7" ht="13">
      <c r="B470" s="36"/>
      <c r="C470" s="80"/>
      <c r="D470" s="5"/>
      <c r="E470" s="5"/>
      <c r="F470" s="5"/>
      <c r="G470" s="5"/>
    </row>
    <row r="471" spans="2:7" ht="13">
      <c r="B471" s="36"/>
      <c r="C471" s="80"/>
      <c r="D471" s="5"/>
      <c r="E471" s="5"/>
      <c r="F471" s="5"/>
      <c r="G471" s="5"/>
    </row>
    <row r="472" spans="2:7" ht="13">
      <c r="B472" s="36"/>
      <c r="C472" s="80"/>
      <c r="D472" s="5"/>
      <c r="E472" s="5"/>
      <c r="F472" s="5"/>
      <c r="G472" s="5"/>
    </row>
    <row r="473" spans="2:7" ht="13">
      <c r="B473" s="36"/>
      <c r="C473" s="80"/>
      <c r="D473" s="5"/>
      <c r="E473" s="5"/>
      <c r="F473" s="5"/>
      <c r="G473" s="5"/>
    </row>
    <row r="474" spans="2:7" ht="13">
      <c r="B474" s="36"/>
      <c r="C474" s="80"/>
      <c r="D474" s="5"/>
      <c r="E474" s="5"/>
      <c r="F474" s="5"/>
      <c r="G474" s="5"/>
    </row>
    <row r="475" spans="2:7" ht="13">
      <c r="B475" s="36"/>
      <c r="C475" s="80"/>
      <c r="D475" s="5"/>
      <c r="E475" s="5"/>
      <c r="F475" s="5"/>
      <c r="G475" s="5"/>
    </row>
    <row r="476" spans="2:7" ht="13">
      <c r="B476" s="36"/>
      <c r="C476" s="80"/>
      <c r="D476" s="5"/>
      <c r="E476" s="5"/>
      <c r="F476" s="5"/>
      <c r="G476" s="5"/>
    </row>
    <row r="477" spans="2:7" ht="13">
      <c r="B477" s="36"/>
      <c r="C477" s="80"/>
      <c r="D477" s="5"/>
      <c r="E477" s="5"/>
      <c r="F477" s="5"/>
      <c r="G477" s="5"/>
    </row>
    <row r="478" spans="2:7" ht="13">
      <c r="B478" s="36"/>
      <c r="C478" s="80"/>
      <c r="D478" s="5"/>
      <c r="E478" s="5"/>
      <c r="F478" s="5"/>
      <c r="G478" s="5"/>
    </row>
    <row r="479" spans="2:7" ht="13">
      <c r="B479" s="36"/>
      <c r="C479" s="80"/>
      <c r="D479" s="5"/>
      <c r="E479" s="5"/>
      <c r="F479" s="5"/>
      <c r="G479" s="5"/>
    </row>
    <row r="480" spans="2:7" ht="13">
      <c r="B480" s="36"/>
      <c r="C480" s="80"/>
      <c r="D480" s="5"/>
      <c r="E480" s="5"/>
      <c r="F480" s="5"/>
      <c r="G480" s="5"/>
    </row>
    <row r="481" spans="2:7" ht="13">
      <c r="B481" s="36"/>
      <c r="C481" s="80"/>
      <c r="D481" s="5"/>
      <c r="E481" s="5"/>
      <c r="F481" s="5"/>
      <c r="G481" s="5"/>
    </row>
    <row r="482" spans="2:7" ht="13">
      <c r="B482" s="36"/>
      <c r="C482" s="80"/>
      <c r="D482" s="5"/>
      <c r="E482" s="5"/>
      <c r="F482" s="5"/>
      <c r="G482" s="5"/>
    </row>
    <row r="483" spans="2:7" ht="13">
      <c r="B483" s="36"/>
      <c r="C483" s="80"/>
      <c r="D483" s="5"/>
      <c r="E483" s="5"/>
      <c r="F483" s="5"/>
      <c r="G483" s="5"/>
    </row>
    <row r="484" spans="2:7" ht="13">
      <c r="B484" s="36"/>
      <c r="C484" s="80"/>
      <c r="D484" s="5"/>
      <c r="E484" s="5"/>
      <c r="F484" s="5"/>
      <c r="G484" s="5"/>
    </row>
    <row r="485" spans="2:7" ht="13">
      <c r="B485" s="36"/>
      <c r="C485" s="80"/>
      <c r="D485" s="5"/>
      <c r="E485" s="5"/>
      <c r="F485" s="5"/>
      <c r="G485" s="5"/>
    </row>
    <row r="486" spans="2:7" ht="13">
      <c r="B486" s="36"/>
      <c r="C486" s="80"/>
      <c r="D486" s="5"/>
      <c r="E486" s="5"/>
      <c r="F486" s="5"/>
      <c r="G486" s="5"/>
    </row>
    <row r="487" spans="2:7" ht="13">
      <c r="B487" s="36"/>
      <c r="C487" s="80"/>
      <c r="D487" s="5"/>
      <c r="E487" s="5"/>
      <c r="F487" s="5"/>
      <c r="G487" s="5"/>
    </row>
    <row r="488" spans="2:7" ht="13">
      <c r="B488" s="36"/>
      <c r="C488" s="80"/>
      <c r="D488" s="5"/>
      <c r="E488" s="5"/>
      <c r="F488" s="5"/>
      <c r="G488" s="5"/>
    </row>
    <row r="489" spans="2:7" ht="13">
      <c r="B489" s="36"/>
      <c r="C489" s="80"/>
      <c r="D489" s="5"/>
      <c r="E489" s="5"/>
      <c r="F489" s="5"/>
      <c r="G489" s="5"/>
    </row>
    <row r="490" spans="2:7" ht="13">
      <c r="B490" s="36"/>
      <c r="C490" s="80"/>
      <c r="D490" s="5"/>
      <c r="E490" s="5"/>
      <c r="F490" s="5"/>
      <c r="G490" s="5"/>
    </row>
    <row r="491" spans="2:7" ht="13">
      <c r="B491" s="36"/>
      <c r="C491" s="80"/>
      <c r="D491" s="5"/>
      <c r="E491" s="5"/>
      <c r="F491" s="5"/>
      <c r="G491" s="5"/>
    </row>
    <row r="492" spans="2:7" ht="13">
      <c r="B492" s="36"/>
      <c r="C492" s="80"/>
      <c r="D492" s="5"/>
      <c r="E492" s="5"/>
      <c r="F492" s="5"/>
      <c r="G492" s="5"/>
    </row>
    <row r="493" spans="2:7" ht="13">
      <c r="B493" s="36"/>
      <c r="C493" s="80"/>
      <c r="D493" s="5"/>
      <c r="E493" s="5"/>
      <c r="F493" s="5"/>
      <c r="G493" s="5"/>
    </row>
    <row r="494" spans="2:7" ht="13">
      <c r="B494" s="36"/>
      <c r="C494" s="80"/>
      <c r="D494" s="5"/>
      <c r="E494" s="5"/>
      <c r="F494" s="5"/>
      <c r="G494" s="5"/>
    </row>
    <row r="495" spans="2:7" ht="13">
      <c r="B495" s="36"/>
      <c r="C495" s="80"/>
      <c r="D495" s="5"/>
      <c r="E495" s="5"/>
      <c r="F495" s="5"/>
      <c r="G495" s="5"/>
    </row>
    <row r="496" spans="2:7" ht="13">
      <c r="B496" s="36"/>
      <c r="C496" s="80"/>
      <c r="D496" s="5"/>
      <c r="E496" s="5"/>
      <c r="F496" s="5"/>
      <c r="G496" s="5"/>
    </row>
    <row r="497" spans="2:7" ht="13">
      <c r="B497" s="36"/>
      <c r="C497" s="80"/>
      <c r="D497" s="5"/>
      <c r="E497" s="5"/>
      <c r="F497" s="5"/>
      <c r="G497" s="5"/>
    </row>
    <row r="498" spans="2:7" ht="13">
      <c r="B498" s="36"/>
      <c r="C498" s="80"/>
      <c r="D498" s="5"/>
      <c r="E498" s="5"/>
      <c r="F498" s="5"/>
      <c r="G498" s="5"/>
    </row>
    <row r="499" spans="2:7" ht="13">
      <c r="B499" s="36"/>
      <c r="C499" s="80"/>
      <c r="D499" s="5"/>
      <c r="E499" s="5"/>
      <c r="F499" s="5"/>
      <c r="G499" s="5"/>
    </row>
    <row r="500" spans="2:7" ht="13">
      <c r="B500" s="36"/>
      <c r="C500" s="80"/>
      <c r="D500" s="5"/>
      <c r="E500" s="5"/>
      <c r="F500" s="5"/>
      <c r="G500" s="5"/>
    </row>
    <row r="501" spans="2:7" ht="13">
      <c r="B501" s="36"/>
      <c r="C501" s="80"/>
      <c r="D501" s="5"/>
      <c r="E501" s="5"/>
      <c r="F501" s="5"/>
      <c r="G501" s="5"/>
    </row>
    <row r="502" spans="2:7" ht="13">
      <c r="B502" s="36"/>
      <c r="C502" s="80"/>
      <c r="D502" s="5"/>
      <c r="E502" s="5"/>
      <c r="F502" s="5"/>
      <c r="G502" s="5"/>
    </row>
    <row r="503" spans="2:7" ht="13">
      <c r="B503" s="36"/>
      <c r="C503" s="80"/>
      <c r="D503" s="5"/>
      <c r="E503" s="5"/>
      <c r="F503" s="5"/>
      <c r="G503" s="5"/>
    </row>
    <row r="504" spans="2:7" ht="13">
      <c r="B504" s="36"/>
      <c r="C504" s="80"/>
      <c r="D504" s="5"/>
      <c r="E504" s="5"/>
      <c r="F504" s="5"/>
      <c r="G504" s="5"/>
    </row>
    <row r="505" spans="2:7" ht="13">
      <c r="B505" s="36"/>
      <c r="C505" s="80"/>
      <c r="D505" s="5"/>
      <c r="E505" s="5"/>
      <c r="F505" s="5"/>
      <c r="G505" s="5"/>
    </row>
    <row r="506" spans="2:7" ht="13">
      <c r="B506" s="36"/>
      <c r="C506" s="80"/>
      <c r="D506" s="5"/>
      <c r="E506" s="5"/>
      <c r="F506" s="5"/>
      <c r="G506" s="5"/>
    </row>
    <row r="507" spans="2:7" ht="13">
      <c r="B507" s="36"/>
      <c r="C507" s="80"/>
      <c r="D507" s="5"/>
      <c r="E507" s="5"/>
      <c r="F507" s="5"/>
      <c r="G507" s="5"/>
    </row>
    <row r="508" spans="2:7" ht="13">
      <c r="B508" s="36"/>
      <c r="C508" s="80"/>
      <c r="D508" s="5"/>
      <c r="E508" s="5"/>
      <c r="F508" s="5"/>
      <c r="G508" s="5"/>
    </row>
    <row r="509" spans="2:7" ht="13">
      <c r="B509" s="36"/>
      <c r="C509" s="80"/>
      <c r="D509" s="5"/>
      <c r="E509" s="5"/>
      <c r="F509" s="5"/>
      <c r="G509" s="5"/>
    </row>
    <row r="510" spans="2:7" ht="13">
      <c r="B510" s="36"/>
      <c r="C510" s="80"/>
      <c r="D510" s="5"/>
      <c r="E510" s="5"/>
      <c r="F510" s="5"/>
      <c r="G510" s="5"/>
    </row>
    <row r="511" spans="2:7" ht="13">
      <c r="B511" s="36"/>
      <c r="C511" s="80"/>
      <c r="D511" s="5"/>
      <c r="E511" s="5"/>
      <c r="F511" s="5"/>
      <c r="G511" s="5"/>
    </row>
    <row r="512" spans="2:7" ht="13">
      <c r="B512" s="36"/>
      <c r="C512" s="80"/>
      <c r="D512" s="5"/>
      <c r="E512" s="5"/>
      <c r="F512" s="5"/>
      <c r="G512" s="5"/>
    </row>
    <row r="513" spans="2:7" ht="13">
      <c r="B513" s="36"/>
      <c r="C513" s="80"/>
      <c r="D513" s="5"/>
      <c r="E513" s="5"/>
      <c r="F513" s="5"/>
      <c r="G513" s="5"/>
    </row>
    <row r="514" spans="2:7" ht="13">
      <c r="B514" s="36"/>
      <c r="C514" s="80"/>
      <c r="D514" s="5"/>
      <c r="E514" s="5"/>
      <c r="F514" s="5"/>
      <c r="G514" s="5"/>
    </row>
    <row r="515" spans="2:7" ht="13">
      <c r="B515" s="36"/>
      <c r="C515" s="80"/>
      <c r="D515" s="5"/>
      <c r="E515" s="5"/>
      <c r="F515" s="5"/>
      <c r="G515" s="5"/>
    </row>
    <row r="516" spans="2:7" ht="13">
      <c r="B516" s="36"/>
      <c r="C516" s="80"/>
      <c r="D516" s="5"/>
      <c r="E516" s="5"/>
      <c r="F516" s="5"/>
      <c r="G516" s="5"/>
    </row>
    <row r="517" spans="2:7" ht="13">
      <c r="B517" s="36"/>
      <c r="C517" s="80"/>
      <c r="D517" s="5"/>
      <c r="E517" s="5"/>
      <c r="F517" s="5"/>
      <c r="G517" s="5"/>
    </row>
    <row r="518" spans="2:7" ht="13">
      <c r="B518" s="36"/>
      <c r="C518" s="80"/>
      <c r="D518" s="5"/>
      <c r="E518" s="5"/>
      <c r="F518" s="5"/>
      <c r="G518" s="5"/>
    </row>
    <row r="519" spans="2:7" ht="13">
      <c r="B519" s="36"/>
      <c r="C519" s="80"/>
      <c r="D519" s="5"/>
      <c r="E519" s="5"/>
      <c r="F519" s="5"/>
      <c r="G519" s="5"/>
    </row>
    <row r="520" spans="2:7" ht="13">
      <c r="B520" s="36"/>
      <c r="C520" s="80"/>
      <c r="D520" s="5"/>
      <c r="E520" s="5"/>
      <c r="F520" s="5"/>
      <c r="G520" s="5"/>
    </row>
    <row r="521" spans="2:7" ht="13">
      <c r="B521" s="36"/>
      <c r="C521" s="80"/>
      <c r="D521" s="5"/>
      <c r="E521" s="5"/>
      <c r="F521" s="5"/>
      <c r="G521" s="5"/>
    </row>
    <row r="522" spans="2:7" ht="13">
      <c r="B522" s="36"/>
      <c r="C522" s="80"/>
      <c r="D522" s="5"/>
      <c r="E522" s="5"/>
      <c r="F522" s="5"/>
      <c r="G522" s="5"/>
    </row>
    <row r="523" spans="2:7" ht="13">
      <c r="B523" s="36"/>
      <c r="C523" s="80"/>
      <c r="D523" s="5"/>
      <c r="E523" s="5"/>
      <c r="F523" s="5"/>
      <c r="G523" s="5"/>
    </row>
    <row r="524" spans="2:7" ht="13">
      <c r="B524" s="36"/>
      <c r="C524" s="80"/>
      <c r="D524" s="5"/>
      <c r="E524" s="5"/>
      <c r="F524" s="5"/>
      <c r="G524" s="5"/>
    </row>
    <row r="525" spans="2:7" ht="13">
      <c r="B525" s="36"/>
      <c r="C525" s="80"/>
      <c r="D525" s="5"/>
      <c r="E525" s="5"/>
      <c r="F525" s="5"/>
      <c r="G525" s="5"/>
    </row>
    <row r="526" spans="2:7" ht="13">
      <c r="B526" s="36"/>
      <c r="C526" s="80"/>
      <c r="D526" s="5"/>
      <c r="E526" s="5"/>
      <c r="F526" s="5"/>
      <c r="G526" s="5"/>
    </row>
    <row r="527" spans="2:7" ht="13">
      <c r="B527" s="36"/>
      <c r="C527" s="80"/>
      <c r="D527" s="5"/>
      <c r="E527" s="5"/>
      <c r="F527" s="5"/>
      <c r="G527" s="5"/>
    </row>
    <row r="528" spans="2:7" ht="13">
      <c r="B528" s="36"/>
      <c r="C528" s="80"/>
      <c r="D528" s="5"/>
      <c r="E528" s="5"/>
      <c r="F528" s="5"/>
      <c r="G528" s="5"/>
    </row>
    <row r="529" spans="2:7" ht="13">
      <c r="B529" s="36"/>
      <c r="C529" s="80"/>
      <c r="D529" s="5"/>
      <c r="E529" s="5"/>
      <c r="F529" s="5"/>
      <c r="G529" s="5"/>
    </row>
    <row r="530" spans="2:7" ht="13">
      <c r="B530" s="36"/>
      <c r="C530" s="80"/>
      <c r="D530" s="5"/>
      <c r="E530" s="5"/>
      <c r="F530" s="5"/>
      <c r="G530" s="5"/>
    </row>
    <row r="531" spans="2:7" ht="13">
      <c r="B531" s="36"/>
      <c r="C531" s="80"/>
      <c r="D531" s="5"/>
      <c r="E531" s="5"/>
      <c r="F531" s="5"/>
      <c r="G531" s="5"/>
    </row>
    <row r="532" spans="2:7" ht="13">
      <c r="B532" s="36"/>
      <c r="C532" s="80"/>
      <c r="D532" s="5"/>
      <c r="E532" s="5"/>
      <c r="F532" s="5"/>
      <c r="G532" s="5"/>
    </row>
    <row r="533" spans="2:7" ht="13">
      <c r="B533" s="36"/>
      <c r="C533" s="80"/>
      <c r="D533" s="5"/>
      <c r="E533" s="5"/>
      <c r="F533" s="5"/>
      <c r="G533" s="5"/>
    </row>
    <row r="534" spans="2:7" ht="13">
      <c r="B534" s="36"/>
      <c r="C534" s="80"/>
      <c r="D534" s="5"/>
      <c r="E534" s="5"/>
      <c r="F534" s="5"/>
      <c r="G534" s="5"/>
    </row>
    <row r="535" spans="2:7" ht="13">
      <c r="B535" s="36"/>
      <c r="C535" s="80"/>
      <c r="D535" s="5"/>
      <c r="E535" s="5"/>
      <c r="F535" s="5"/>
      <c r="G535" s="5"/>
    </row>
    <row r="536" spans="2:7" ht="13">
      <c r="B536" s="36"/>
      <c r="C536" s="80"/>
      <c r="D536" s="5"/>
      <c r="E536" s="5"/>
      <c r="F536" s="5"/>
      <c r="G536" s="5"/>
    </row>
    <row r="537" spans="2:7" ht="13">
      <c r="B537" s="36"/>
      <c r="C537" s="80"/>
      <c r="D537" s="5"/>
      <c r="E537" s="5"/>
      <c r="F537" s="5"/>
      <c r="G537" s="5"/>
    </row>
    <row r="538" spans="2:7" ht="13">
      <c r="B538" s="36"/>
      <c r="C538" s="80"/>
      <c r="D538" s="5"/>
      <c r="E538" s="5"/>
      <c r="F538" s="5"/>
      <c r="G538" s="5"/>
    </row>
    <row r="539" spans="2:7" ht="13">
      <c r="B539" s="36"/>
      <c r="C539" s="80"/>
      <c r="D539" s="5"/>
      <c r="E539" s="5"/>
      <c r="F539" s="5"/>
      <c r="G539" s="5"/>
    </row>
    <row r="540" spans="2:7" ht="13">
      <c r="B540" s="36"/>
      <c r="C540" s="80"/>
      <c r="D540" s="5"/>
      <c r="E540" s="5"/>
      <c r="F540" s="5"/>
      <c r="G540" s="5"/>
    </row>
    <row r="541" spans="2:7" ht="13">
      <c r="B541" s="36"/>
      <c r="C541" s="80"/>
      <c r="D541" s="5"/>
      <c r="E541" s="5"/>
      <c r="F541" s="5"/>
      <c r="G541" s="5"/>
    </row>
    <row r="542" spans="2:7" ht="13">
      <c r="B542" s="36"/>
      <c r="C542" s="80"/>
      <c r="D542" s="5"/>
      <c r="E542" s="5"/>
      <c r="F542" s="5"/>
      <c r="G542" s="5"/>
    </row>
    <row r="543" spans="2:7" ht="13">
      <c r="B543" s="36"/>
      <c r="C543" s="80"/>
      <c r="D543" s="5"/>
      <c r="E543" s="5"/>
      <c r="F543" s="5"/>
      <c r="G543" s="5"/>
    </row>
    <row r="544" spans="2:7" ht="13">
      <c r="B544" s="36"/>
      <c r="C544" s="80"/>
      <c r="D544" s="5"/>
      <c r="E544" s="5"/>
      <c r="F544" s="5"/>
      <c r="G544" s="5"/>
    </row>
    <row r="545" spans="2:7" ht="13">
      <c r="B545" s="36"/>
      <c r="C545" s="80"/>
      <c r="D545" s="5"/>
      <c r="E545" s="5"/>
      <c r="F545" s="5"/>
      <c r="G545" s="5"/>
    </row>
    <row r="546" spans="2:7" ht="13">
      <c r="B546" s="36"/>
      <c r="C546" s="80"/>
      <c r="D546" s="5"/>
      <c r="E546" s="5"/>
      <c r="F546" s="5"/>
      <c r="G546" s="5"/>
    </row>
    <row r="547" spans="2:7" ht="13">
      <c r="B547" s="36"/>
      <c r="C547" s="80"/>
      <c r="D547" s="5"/>
      <c r="E547" s="5"/>
      <c r="F547" s="5"/>
      <c r="G547" s="5"/>
    </row>
    <row r="548" spans="2:7" ht="13">
      <c r="B548" s="36"/>
      <c r="C548" s="80"/>
      <c r="D548" s="5"/>
      <c r="E548" s="5"/>
      <c r="F548" s="5"/>
      <c r="G548" s="5"/>
    </row>
    <row r="549" spans="2:7" ht="13">
      <c r="B549" s="36"/>
      <c r="C549" s="80"/>
      <c r="D549" s="5"/>
      <c r="E549" s="5"/>
      <c r="F549" s="5"/>
      <c r="G549" s="5"/>
    </row>
    <row r="550" spans="2:7" ht="13">
      <c r="B550" s="36"/>
      <c r="C550" s="80"/>
      <c r="D550" s="5"/>
      <c r="E550" s="5"/>
      <c r="F550" s="5"/>
      <c r="G550" s="5"/>
    </row>
    <row r="551" spans="2:7" ht="13">
      <c r="B551" s="36"/>
      <c r="C551" s="80"/>
      <c r="D551" s="5"/>
      <c r="E551" s="5"/>
      <c r="F551" s="5"/>
      <c r="G551" s="5"/>
    </row>
    <row r="552" spans="2:7" ht="13">
      <c r="B552" s="36"/>
      <c r="C552" s="80"/>
      <c r="D552" s="5"/>
      <c r="E552" s="5"/>
      <c r="F552" s="5"/>
      <c r="G552" s="5"/>
    </row>
    <row r="553" spans="2:7" ht="13">
      <c r="B553" s="36"/>
      <c r="C553" s="80"/>
      <c r="D553" s="5"/>
      <c r="E553" s="5"/>
      <c r="F553" s="5"/>
      <c r="G553" s="5"/>
    </row>
    <row r="554" spans="2:7" ht="13">
      <c r="B554" s="36"/>
      <c r="C554" s="80"/>
      <c r="D554" s="5"/>
      <c r="E554" s="5"/>
      <c r="F554" s="5"/>
      <c r="G554" s="5"/>
    </row>
    <row r="555" spans="2:7" ht="13">
      <c r="B555" s="36"/>
      <c r="C555" s="80"/>
      <c r="D555" s="5"/>
      <c r="E555" s="5"/>
      <c r="F555" s="5"/>
      <c r="G555" s="5"/>
    </row>
    <row r="556" spans="2:7" ht="13">
      <c r="B556" s="36"/>
      <c r="C556" s="80"/>
      <c r="D556" s="5"/>
      <c r="E556" s="5"/>
      <c r="F556" s="5"/>
      <c r="G556" s="5"/>
    </row>
    <row r="557" spans="2:7" ht="13">
      <c r="B557" s="36"/>
      <c r="C557" s="80"/>
      <c r="D557" s="5"/>
      <c r="E557" s="5"/>
      <c r="F557" s="5"/>
      <c r="G557" s="5"/>
    </row>
    <row r="558" spans="2:7" ht="13">
      <c r="B558" s="36"/>
      <c r="C558" s="80"/>
      <c r="D558" s="5"/>
      <c r="E558" s="5"/>
      <c r="F558" s="5"/>
      <c r="G558" s="5"/>
    </row>
    <row r="559" spans="2:7" ht="13">
      <c r="B559" s="36"/>
      <c r="C559" s="80"/>
      <c r="D559" s="5"/>
      <c r="E559" s="5"/>
      <c r="F559" s="5"/>
      <c r="G559" s="5"/>
    </row>
    <row r="560" spans="2:7" ht="13">
      <c r="B560" s="36"/>
      <c r="C560" s="80"/>
      <c r="D560" s="5"/>
      <c r="E560" s="5"/>
      <c r="F560" s="5"/>
      <c r="G560" s="5"/>
    </row>
    <row r="561" spans="2:7" ht="13">
      <c r="B561" s="36"/>
      <c r="C561" s="80"/>
      <c r="D561" s="5"/>
      <c r="E561" s="5"/>
      <c r="F561" s="5"/>
      <c r="G561" s="5"/>
    </row>
    <row r="562" spans="2:7" ht="13">
      <c r="B562" s="36"/>
      <c r="C562" s="80"/>
      <c r="D562" s="5"/>
      <c r="E562" s="5"/>
      <c r="F562" s="5"/>
      <c r="G562" s="5"/>
    </row>
    <row r="563" spans="2:7" ht="13">
      <c r="B563" s="36"/>
      <c r="C563" s="80"/>
      <c r="D563" s="5"/>
      <c r="E563" s="5"/>
      <c r="F563" s="5"/>
      <c r="G563" s="5"/>
    </row>
    <row r="564" spans="2:7" ht="13">
      <c r="B564" s="36"/>
      <c r="C564" s="80"/>
      <c r="D564" s="5"/>
      <c r="E564" s="5"/>
      <c r="F564" s="5"/>
      <c r="G564" s="5"/>
    </row>
    <row r="565" spans="2:7" ht="13">
      <c r="B565" s="36"/>
      <c r="C565" s="80"/>
      <c r="D565" s="5"/>
      <c r="E565" s="5"/>
      <c r="F565" s="5"/>
      <c r="G565" s="5"/>
    </row>
    <row r="566" spans="2:7" ht="13">
      <c r="B566" s="36"/>
      <c r="C566" s="80"/>
      <c r="D566" s="5"/>
      <c r="E566" s="5"/>
      <c r="F566" s="5"/>
      <c r="G566" s="5"/>
    </row>
    <row r="567" spans="2:7" ht="13">
      <c r="B567" s="36"/>
      <c r="C567" s="80"/>
      <c r="D567" s="5"/>
      <c r="E567" s="5"/>
      <c r="F567" s="5"/>
      <c r="G567" s="5"/>
    </row>
    <row r="568" spans="2:7" ht="13">
      <c r="B568" s="36"/>
      <c r="C568" s="80"/>
      <c r="D568" s="5"/>
      <c r="E568" s="5"/>
      <c r="F568" s="5"/>
      <c r="G568" s="5"/>
    </row>
    <row r="569" spans="2:7" ht="13">
      <c r="B569" s="36"/>
      <c r="C569" s="80"/>
      <c r="D569" s="5"/>
      <c r="E569" s="5"/>
      <c r="F569" s="5"/>
      <c r="G569" s="5"/>
    </row>
    <row r="570" spans="2:7" ht="13">
      <c r="B570" s="36"/>
      <c r="C570" s="80"/>
      <c r="D570" s="5"/>
      <c r="E570" s="5"/>
      <c r="F570" s="5"/>
      <c r="G570" s="5"/>
    </row>
    <row r="571" spans="2:7" ht="13">
      <c r="B571" s="36"/>
      <c r="C571" s="80"/>
      <c r="D571" s="5"/>
      <c r="E571" s="5"/>
      <c r="F571" s="5"/>
      <c r="G571" s="5"/>
    </row>
    <row r="572" spans="2:7" ht="13">
      <c r="B572" s="36"/>
      <c r="C572" s="80"/>
      <c r="D572" s="5"/>
      <c r="E572" s="5"/>
      <c r="F572" s="5"/>
      <c r="G572" s="5"/>
    </row>
    <row r="573" spans="2:7" ht="13">
      <c r="B573" s="36"/>
      <c r="C573" s="80"/>
      <c r="D573" s="5"/>
      <c r="E573" s="5"/>
      <c r="F573" s="5"/>
      <c r="G573" s="5"/>
    </row>
    <row r="574" spans="2:7" ht="13">
      <c r="B574" s="36"/>
      <c r="C574" s="80"/>
      <c r="D574" s="5"/>
      <c r="E574" s="5"/>
      <c r="F574" s="5"/>
      <c r="G574" s="5"/>
    </row>
    <row r="575" spans="2:7" ht="13">
      <c r="B575" s="36"/>
      <c r="C575" s="80"/>
      <c r="D575" s="5"/>
      <c r="E575" s="5"/>
      <c r="F575" s="5"/>
      <c r="G575" s="5"/>
    </row>
    <row r="576" spans="2:7" ht="13">
      <c r="B576" s="36"/>
      <c r="C576" s="80"/>
      <c r="D576" s="5"/>
      <c r="E576" s="5"/>
      <c r="F576" s="5"/>
      <c r="G576" s="5"/>
    </row>
    <row r="577" spans="2:7" ht="13">
      <c r="B577" s="36"/>
      <c r="C577" s="80"/>
      <c r="D577" s="5"/>
      <c r="E577" s="5"/>
      <c r="F577" s="5"/>
      <c r="G577" s="5"/>
    </row>
    <row r="578" spans="2:7" ht="13">
      <c r="B578" s="36"/>
      <c r="C578" s="80"/>
      <c r="D578" s="5"/>
      <c r="E578" s="5"/>
      <c r="F578" s="5"/>
      <c r="G578" s="5"/>
    </row>
    <row r="579" spans="2:7" ht="13">
      <c r="B579" s="36"/>
      <c r="C579" s="80"/>
      <c r="D579" s="5"/>
      <c r="E579" s="5"/>
      <c r="F579" s="5"/>
      <c r="G579" s="5"/>
    </row>
    <row r="580" spans="2:7" ht="13">
      <c r="B580" s="36"/>
      <c r="C580" s="80"/>
      <c r="D580" s="5"/>
      <c r="E580" s="5"/>
      <c r="F580" s="5"/>
      <c r="G580" s="5"/>
    </row>
    <row r="581" spans="2:7" ht="13">
      <c r="B581" s="36"/>
      <c r="C581" s="80"/>
      <c r="D581" s="5"/>
      <c r="E581" s="5"/>
      <c r="F581" s="5"/>
      <c r="G581" s="5"/>
    </row>
    <row r="582" spans="2:7" ht="13">
      <c r="B582" s="36"/>
      <c r="C582" s="80"/>
      <c r="D582" s="5"/>
      <c r="E582" s="5"/>
      <c r="F582" s="5"/>
      <c r="G582" s="5"/>
    </row>
    <row r="583" spans="2:7" ht="13">
      <c r="B583" s="36"/>
      <c r="C583" s="80"/>
      <c r="D583" s="5"/>
      <c r="E583" s="5"/>
      <c r="F583" s="5"/>
      <c r="G583" s="5"/>
    </row>
    <row r="584" spans="2:7" ht="13">
      <c r="B584" s="36"/>
      <c r="C584" s="80"/>
      <c r="D584" s="5"/>
      <c r="E584" s="5"/>
      <c r="F584" s="5"/>
      <c r="G584" s="5"/>
    </row>
    <row r="585" spans="2:7" ht="13">
      <c r="B585" s="36"/>
      <c r="C585" s="80"/>
      <c r="D585" s="5"/>
      <c r="E585" s="5"/>
      <c r="F585" s="5"/>
      <c r="G585" s="5"/>
    </row>
    <row r="586" spans="2:7" ht="13">
      <c r="B586" s="36"/>
      <c r="C586" s="80"/>
      <c r="D586" s="5"/>
      <c r="E586" s="5"/>
      <c r="F586" s="5"/>
      <c r="G586" s="5"/>
    </row>
    <row r="587" spans="2:7" ht="13">
      <c r="B587" s="36"/>
      <c r="C587" s="80"/>
      <c r="D587" s="5"/>
      <c r="E587" s="5"/>
      <c r="F587" s="5"/>
      <c r="G587" s="5"/>
    </row>
    <row r="588" spans="2:7" ht="13">
      <c r="B588" s="36"/>
      <c r="C588" s="80"/>
      <c r="D588" s="5"/>
      <c r="E588" s="5"/>
      <c r="F588" s="5"/>
      <c r="G588" s="5"/>
    </row>
    <row r="589" spans="2:7" ht="13">
      <c r="B589" s="36"/>
      <c r="C589" s="80"/>
      <c r="D589" s="5"/>
      <c r="E589" s="5"/>
      <c r="F589" s="5"/>
      <c r="G589" s="5"/>
    </row>
    <row r="590" spans="2:7" ht="13">
      <c r="B590" s="36"/>
      <c r="C590" s="80"/>
      <c r="D590" s="5"/>
      <c r="E590" s="5"/>
      <c r="F590" s="5"/>
      <c r="G590" s="5"/>
    </row>
    <row r="591" spans="2:7" ht="13">
      <c r="B591" s="36"/>
      <c r="C591" s="80"/>
      <c r="D591" s="5"/>
      <c r="E591" s="5"/>
      <c r="F591" s="5"/>
      <c r="G591" s="5"/>
    </row>
    <row r="592" spans="2:7" ht="13">
      <c r="B592" s="36"/>
      <c r="C592" s="80"/>
      <c r="D592" s="5"/>
      <c r="E592" s="5"/>
      <c r="F592" s="5"/>
      <c r="G592" s="5"/>
    </row>
    <row r="593" spans="2:7" ht="13">
      <c r="B593" s="36"/>
      <c r="C593" s="80"/>
      <c r="D593" s="5"/>
      <c r="E593" s="5"/>
      <c r="F593" s="5"/>
      <c r="G593" s="5"/>
    </row>
    <row r="594" spans="2:7" ht="13">
      <c r="B594" s="36"/>
      <c r="C594" s="80"/>
      <c r="D594" s="5"/>
      <c r="E594" s="5"/>
      <c r="F594" s="5"/>
      <c r="G594" s="5"/>
    </row>
    <row r="595" spans="2:7" ht="13">
      <c r="B595" s="36"/>
      <c r="C595" s="80"/>
      <c r="D595" s="5"/>
      <c r="E595" s="5"/>
      <c r="F595" s="5"/>
      <c r="G595" s="5"/>
    </row>
    <row r="596" spans="2:7" ht="13">
      <c r="B596" s="36"/>
      <c r="C596" s="80"/>
      <c r="D596" s="5"/>
      <c r="E596" s="5"/>
      <c r="F596" s="5"/>
      <c r="G596" s="5"/>
    </row>
    <row r="597" spans="2:7" ht="13">
      <c r="B597" s="36"/>
      <c r="C597" s="80"/>
      <c r="D597" s="5"/>
      <c r="E597" s="5"/>
      <c r="F597" s="5"/>
      <c r="G597" s="5"/>
    </row>
    <row r="598" spans="2:7" ht="13">
      <c r="B598" s="36"/>
      <c r="C598" s="80"/>
      <c r="D598" s="5"/>
      <c r="E598" s="5"/>
      <c r="F598" s="5"/>
      <c r="G598" s="5"/>
    </row>
    <row r="599" spans="2:7" ht="13">
      <c r="B599" s="36"/>
      <c r="C599" s="80"/>
      <c r="D599" s="5"/>
      <c r="E599" s="5"/>
      <c r="F599" s="5"/>
      <c r="G599" s="5"/>
    </row>
    <row r="600" spans="2:7" ht="13">
      <c r="B600" s="36"/>
      <c r="C600" s="80"/>
      <c r="D600" s="5"/>
      <c r="E600" s="5"/>
      <c r="F600" s="5"/>
      <c r="G600" s="5"/>
    </row>
    <row r="601" spans="2:7" ht="13">
      <c r="B601" s="36"/>
      <c r="C601" s="80"/>
      <c r="D601" s="5"/>
      <c r="E601" s="5"/>
      <c r="F601" s="5"/>
      <c r="G601" s="5"/>
    </row>
    <row r="602" spans="2:7" ht="13">
      <c r="B602" s="36"/>
      <c r="C602" s="80"/>
      <c r="D602" s="5"/>
      <c r="E602" s="5"/>
      <c r="F602" s="5"/>
      <c r="G602" s="5"/>
    </row>
    <row r="603" spans="2:7" ht="13">
      <c r="B603" s="36"/>
      <c r="C603" s="80"/>
      <c r="D603" s="5"/>
      <c r="E603" s="5"/>
      <c r="F603" s="5"/>
      <c r="G603" s="5"/>
    </row>
    <row r="604" spans="2:7" ht="13">
      <c r="B604" s="36"/>
      <c r="C604" s="80"/>
      <c r="D604" s="5"/>
      <c r="E604" s="5"/>
      <c r="F604" s="5"/>
      <c r="G604" s="5"/>
    </row>
    <row r="605" spans="2:7" ht="13">
      <c r="B605" s="36"/>
      <c r="C605" s="80"/>
      <c r="D605" s="5"/>
      <c r="E605" s="5"/>
      <c r="F605" s="5"/>
      <c r="G605" s="5"/>
    </row>
    <row r="606" spans="2:7" ht="13">
      <c r="B606" s="36"/>
      <c r="C606" s="80"/>
      <c r="D606" s="5"/>
      <c r="E606" s="5"/>
      <c r="F606" s="5"/>
      <c r="G606" s="5"/>
    </row>
    <row r="607" spans="2:7" ht="13">
      <c r="B607" s="36"/>
      <c r="C607" s="80"/>
      <c r="D607" s="5"/>
      <c r="E607" s="5"/>
      <c r="F607" s="5"/>
      <c r="G607" s="5"/>
    </row>
    <row r="608" spans="2:7" ht="13">
      <c r="B608" s="36"/>
      <c r="C608" s="80"/>
      <c r="D608" s="5"/>
      <c r="E608" s="5"/>
      <c r="F608" s="5"/>
      <c r="G608" s="5"/>
    </row>
    <row r="609" spans="2:7" ht="13">
      <c r="B609" s="36"/>
      <c r="C609" s="80"/>
      <c r="D609" s="5"/>
      <c r="E609" s="5"/>
      <c r="F609" s="5"/>
      <c r="G609" s="5"/>
    </row>
    <row r="610" spans="2:7" ht="13">
      <c r="B610" s="36"/>
      <c r="C610" s="80"/>
      <c r="D610" s="5"/>
      <c r="E610" s="5"/>
      <c r="F610" s="5"/>
      <c r="G610" s="5"/>
    </row>
    <row r="611" spans="2:7" ht="13">
      <c r="B611" s="36"/>
      <c r="C611" s="80"/>
      <c r="D611" s="5"/>
      <c r="E611" s="5"/>
      <c r="F611" s="5"/>
      <c r="G611" s="5"/>
    </row>
    <row r="612" spans="2:7" ht="13">
      <c r="B612" s="36"/>
      <c r="C612" s="80"/>
      <c r="D612" s="5"/>
      <c r="E612" s="5"/>
      <c r="F612" s="5"/>
      <c r="G612" s="5"/>
    </row>
    <row r="613" spans="2:7" ht="13">
      <c r="B613" s="36"/>
      <c r="C613" s="80"/>
      <c r="D613" s="5"/>
      <c r="E613" s="5"/>
      <c r="F613" s="5"/>
      <c r="G613" s="5"/>
    </row>
    <row r="614" spans="2:7" ht="13">
      <c r="B614" s="36"/>
      <c r="C614" s="80"/>
      <c r="D614" s="5"/>
      <c r="E614" s="5"/>
      <c r="F614" s="5"/>
      <c r="G614" s="5"/>
    </row>
    <row r="615" spans="2:7" ht="13">
      <c r="B615" s="36"/>
      <c r="C615" s="80"/>
      <c r="D615" s="5"/>
      <c r="E615" s="5"/>
      <c r="F615" s="5"/>
      <c r="G615" s="5"/>
    </row>
    <row r="616" spans="2:7" ht="13">
      <c r="B616" s="36"/>
      <c r="C616" s="80"/>
      <c r="D616" s="5"/>
      <c r="E616" s="5"/>
      <c r="F616" s="5"/>
      <c r="G616" s="5"/>
    </row>
    <row r="617" spans="2:7" ht="13">
      <c r="B617" s="36"/>
      <c r="C617" s="80"/>
      <c r="D617" s="5"/>
      <c r="E617" s="5"/>
      <c r="F617" s="5"/>
      <c r="G617" s="5"/>
    </row>
    <row r="618" spans="2:7" ht="13">
      <c r="B618" s="36"/>
      <c r="C618" s="80"/>
      <c r="D618" s="5"/>
      <c r="E618" s="5"/>
      <c r="F618" s="5"/>
      <c r="G618" s="5"/>
    </row>
    <row r="619" spans="2:7" ht="13">
      <c r="B619" s="36"/>
      <c r="C619" s="80"/>
      <c r="D619" s="5"/>
      <c r="E619" s="5"/>
      <c r="F619" s="5"/>
      <c r="G619" s="5"/>
    </row>
    <row r="620" spans="2:7" ht="13">
      <c r="B620" s="36"/>
      <c r="C620" s="80"/>
      <c r="D620" s="5"/>
      <c r="E620" s="5"/>
      <c r="F620" s="5"/>
      <c r="G620" s="5"/>
    </row>
    <row r="621" spans="2:7" ht="13">
      <c r="B621" s="36"/>
      <c r="C621" s="80"/>
      <c r="D621" s="5"/>
      <c r="E621" s="5"/>
      <c r="F621" s="5"/>
      <c r="G621" s="5"/>
    </row>
    <row r="622" spans="2:7" ht="13">
      <c r="B622" s="36"/>
      <c r="C622" s="80"/>
      <c r="D622" s="5"/>
      <c r="E622" s="5"/>
      <c r="F622" s="5"/>
      <c r="G622" s="5"/>
    </row>
    <row r="623" spans="2:7" ht="13">
      <c r="B623" s="36"/>
      <c r="C623" s="80"/>
      <c r="D623" s="5"/>
      <c r="E623" s="5"/>
      <c r="F623" s="5"/>
      <c r="G623" s="5"/>
    </row>
    <row r="624" spans="2:7" ht="13">
      <c r="B624" s="36"/>
      <c r="C624" s="80"/>
      <c r="D624" s="5"/>
      <c r="E624" s="5"/>
      <c r="F624" s="5"/>
      <c r="G624" s="5"/>
    </row>
    <row r="625" spans="2:7" ht="13">
      <c r="B625" s="36"/>
      <c r="C625" s="80"/>
      <c r="D625" s="5"/>
      <c r="E625" s="5"/>
      <c r="F625" s="5"/>
      <c r="G625" s="5"/>
    </row>
    <row r="626" spans="2:7" ht="13">
      <c r="B626" s="36"/>
      <c r="C626" s="80"/>
      <c r="D626" s="5"/>
      <c r="E626" s="5"/>
      <c r="F626" s="5"/>
      <c r="G626" s="5"/>
    </row>
    <row r="627" spans="2:7" ht="13">
      <c r="B627" s="36"/>
      <c r="C627" s="80"/>
      <c r="D627" s="5"/>
      <c r="E627" s="5"/>
      <c r="F627" s="5"/>
      <c r="G627" s="5"/>
    </row>
    <row r="628" spans="2:7" ht="13">
      <c r="B628" s="36"/>
      <c r="C628" s="80"/>
      <c r="D628" s="5"/>
      <c r="E628" s="5"/>
      <c r="F628" s="5"/>
      <c r="G628" s="5"/>
    </row>
    <row r="629" spans="2:7" ht="13">
      <c r="B629" s="36"/>
      <c r="C629" s="80"/>
      <c r="D629" s="5"/>
      <c r="E629" s="5"/>
      <c r="F629" s="5"/>
      <c r="G629" s="5"/>
    </row>
    <row r="630" spans="2:7" ht="13">
      <c r="B630" s="36"/>
      <c r="C630" s="80"/>
      <c r="D630" s="5"/>
      <c r="E630" s="5"/>
      <c r="F630" s="5"/>
      <c r="G630" s="5"/>
    </row>
    <row r="631" spans="2:7" ht="13">
      <c r="B631" s="36"/>
      <c r="C631" s="80"/>
      <c r="D631" s="5"/>
      <c r="E631" s="5"/>
      <c r="F631" s="5"/>
      <c r="G631" s="5"/>
    </row>
    <row r="632" spans="2:7" ht="13">
      <c r="B632" s="36"/>
      <c r="C632" s="80"/>
      <c r="D632" s="5"/>
      <c r="E632" s="5"/>
      <c r="F632" s="5"/>
      <c r="G632" s="5"/>
    </row>
    <row r="633" spans="2:7" ht="13">
      <c r="B633" s="36"/>
      <c r="C633" s="80"/>
      <c r="D633" s="5"/>
      <c r="E633" s="5"/>
      <c r="F633" s="5"/>
      <c r="G633" s="5"/>
    </row>
    <row r="634" spans="2:7" ht="13">
      <c r="B634" s="36"/>
      <c r="C634" s="80"/>
      <c r="D634" s="5"/>
      <c r="E634" s="5"/>
      <c r="F634" s="5"/>
      <c r="G634" s="5"/>
    </row>
    <row r="635" spans="2:7" ht="13">
      <c r="B635" s="36"/>
      <c r="C635" s="80"/>
      <c r="D635" s="5"/>
      <c r="E635" s="5"/>
      <c r="F635" s="5"/>
      <c r="G635" s="5"/>
    </row>
    <row r="636" spans="2:7" ht="13">
      <c r="B636" s="36"/>
      <c r="C636" s="80"/>
      <c r="D636" s="5"/>
      <c r="E636" s="5"/>
      <c r="F636" s="5"/>
      <c r="G636" s="5"/>
    </row>
    <row r="637" spans="2:7" ht="13">
      <c r="B637" s="36"/>
      <c r="C637" s="80"/>
      <c r="D637" s="5"/>
      <c r="E637" s="5"/>
      <c r="F637" s="5"/>
      <c r="G637" s="5"/>
    </row>
    <row r="638" spans="2:7" ht="13">
      <c r="B638" s="36"/>
      <c r="C638" s="80"/>
      <c r="D638" s="5"/>
      <c r="E638" s="5"/>
      <c r="F638" s="5"/>
      <c r="G638" s="5"/>
    </row>
    <row r="639" spans="2:7" ht="13">
      <c r="B639" s="36"/>
      <c r="C639" s="80"/>
      <c r="D639" s="5"/>
      <c r="E639" s="5"/>
      <c r="F639" s="5"/>
      <c r="G639" s="5"/>
    </row>
    <row r="640" spans="2:7" ht="13">
      <c r="B640" s="36"/>
      <c r="C640" s="80"/>
      <c r="D640" s="5"/>
      <c r="E640" s="5"/>
      <c r="F640" s="5"/>
      <c r="G640" s="5"/>
    </row>
    <row r="641" spans="2:7" ht="13">
      <c r="B641" s="36"/>
      <c r="C641" s="80"/>
      <c r="D641" s="5"/>
      <c r="E641" s="5"/>
      <c r="F641" s="5"/>
      <c r="G641" s="5"/>
    </row>
    <row r="642" spans="2:7" ht="13">
      <c r="B642" s="36"/>
      <c r="C642" s="80"/>
      <c r="D642" s="5"/>
      <c r="E642" s="5"/>
      <c r="F642" s="5"/>
      <c r="G642" s="5"/>
    </row>
    <row r="643" spans="2:7" ht="13">
      <c r="B643" s="36"/>
      <c r="C643" s="80"/>
      <c r="D643" s="5"/>
      <c r="E643" s="5"/>
      <c r="F643" s="5"/>
      <c r="G643" s="5"/>
    </row>
    <row r="644" spans="2:7" ht="13">
      <c r="B644" s="36"/>
      <c r="C644" s="80"/>
      <c r="D644" s="5"/>
      <c r="E644" s="5"/>
      <c r="F644" s="5"/>
      <c r="G644" s="5"/>
    </row>
    <row r="645" spans="2:7" ht="13">
      <c r="B645" s="36"/>
      <c r="C645" s="80"/>
      <c r="D645" s="5"/>
      <c r="E645" s="5"/>
      <c r="F645" s="5"/>
      <c r="G645" s="5"/>
    </row>
    <row r="646" spans="2:7" ht="13">
      <c r="B646" s="36"/>
      <c r="C646" s="80"/>
      <c r="D646" s="5"/>
      <c r="E646" s="5"/>
      <c r="F646" s="5"/>
      <c r="G646" s="5"/>
    </row>
    <row r="647" spans="2:7" ht="13">
      <c r="B647" s="36"/>
      <c r="C647" s="80"/>
      <c r="D647" s="5"/>
      <c r="E647" s="5"/>
      <c r="F647" s="5"/>
      <c r="G647" s="5"/>
    </row>
    <row r="648" spans="2:7" ht="13">
      <c r="B648" s="36"/>
      <c r="C648" s="80"/>
      <c r="D648" s="5"/>
      <c r="E648" s="5"/>
      <c r="F648" s="5"/>
      <c r="G648" s="5"/>
    </row>
    <row r="649" spans="2:7" ht="13">
      <c r="B649" s="36"/>
      <c r="C649" s="80"/>
      <c r="D649" s="5"/>
      <c r="E649" s="5"/>
      <c r="F649" s="5"/>
      <c r="G649" s="5"/>
    </row>
    <row r="650" spans="2:7" ht="13">
      <c r="B650" s="36"/>
      <c r="C650" s="80"/>
      <c r="D650" s="5"/>
      <c r="E650" s="5"/>
      <c r="F650" s="5"/>
      <c r="G650" s="5"/>
    </row>
    <row r="651" spans="2:7" ht="13">
      <c r="B651" s="36"/>
      <c r="C651" s="80"/>
      <c r="D651" s="5"/>
      <c r="E651" s="5"/>
      <c r="F651" s="5"/>
      <c r="G651" s="5"/>
    </row>
    <row r="652" spans="2:7" ht="13">
      <c r="B652" s="36"/>
      <c r="C652" s="80"/>
      <c r="D652" s="5"/>
      <c r="E652" s="5"/>
      <c r="F652" s="5"/>
      <c r="G652" s="5"/>
    </row>
    <row r="653" spans="2:7" ht="13">
      <c r="B653" s="36"/>
      <c r="C653" s="80"/>
      <c r="D653" s="5"/>
      <c r="E653" s="5"/>
      <c r="F653" s="5"/>
      <c r="G653" s="5"/>
    </row>
    <row r="654" spans="2:7" ht="13">
      <c r="B654" s="36"/>
      <c r="C654" s="80"/>
      <c r="D654" s="5"/>
      <c r="E654" s="5"/>
      <c r="F654" s="5"/>
      <c r="G654" s="5"/>
    </row>
    <row r="655" spans="2:7" ht="13">
      <c r="B655" s="36"/>
      <c r="C655" s="80"/>
      <c r="D655" s="5"/>
      <c r="E655" s="5"/>
      <c r="F655" s="5"/>
      <c r="G655" s="5"/>
    </row>
    <row r="656" spans="2:7" ht="13">
      <c r="B656" s="36"/>
      <c r="C656" s="80"/>
      <c r="D656" s="5"/>
      <c r="E656" s="5"/>
      <c r="F656" s="5"/>
      <c r="G656" s="5"/>
    </row>
    <row r="657" spans="2:7" ht="13">
      <c r="B657" s="36"/>
      <c r="C657" s="80"/>
      <c r="D657" s="5"/>
      <c r="E657" s="5"/>
      <c r="F657" s="5"/>
      <c r="G657" s="5"/>
    </row>
    <row r="658" spans="2:7" ht="13">
      <c r="B658" s="36"/>
      <c r="C658" s="80"/>
      <c r="D658" s="5"/>
      <c r="E658" s="5"/>
      <c r="F658" s="5"/>
      <c r="G658" s="5"/>
    </row>
    <row r="659" spans="2:7" ht="13">
      <c r="B659" s="36"/>
      <c r="C659" s="80"/>
      <c r="D659" s="5"/>
      <c r="E659" s="5"/>
      <c r="F659" s="5"/>
      <c r="G659" s="5"/>
    </row>
    <row r="660" spans="2:7" ht="13">
      <c r="B660" s="36"/>
      <c r="C660" s="80"/>
      <c r="D660" s="5"/>
      <c r="E660" s="5"/>
      <c r="F660" s="5"/>
      <c r="G660" s="5"/>
    </row>
    <row r="661" spans="2:7" ht="13">
      <c r="B661" s="36"/>
      <c r="C661" s="80"/>
      <c r="D661" s="5"/>
      <c r="E661" s="5"/>
      <c r="F661" s="5"/>
      <c r="G661" s="5"/>
    </row>
    <row r="662" spans="2:7" ht="13">
      <c r="B662" s="36"/>
      <c r="C662" s="80"/>
      <c r="D662" s="5"/>
      <c r="E662" s="5"/>
      <c r="F662" s="5"/>
      <c r="G662" s="5"/>
    </row>
    <row r="663" spans="2:7" ht="13">
      <c r="B663" s="36"/>
      <c r="C663" s="80"/>
      <c r="D663" s="5"/>
      <c r="E663" s="5"/>
      <c r="F663" s="5"/>
      <c r="G663" s="5"/>
    </row>
    <row r="664" spans="2:7" ht="13">
      <c r="B664" s="36"/>
      <c r="C664" s="80"/>
      <c r="D664" s="5"/>
      <c r="E664" s="5"/>
      <c r="F664" s="5"/>
      <c r="G664" s="5"/>
    </row>
    <row r="665" spans="2:7" ht="13">
      <c r="B665" s="36"/>
      <c r="C665" s="80"/>
      <c r="D665" s="5"/>
      <c r="E665" s="5"/>
      <c r="F665" s="5"/>
      <c r="G665" s="5"/>
    </row>
    <row r="666" spans="2:7" ht="13">
      <c r="B666" s="36"/>
      <c r="C666" s="80"/>
      <c r="D666" s="5"/>
      <c r="E666" s="5"/>
      <c r="F666" s="5"/>
      <c r="G666" s="5"/>
    </row>
    <row r="667" spans="2:7" ht="13">
      <c r="B667" s="36"/>
      <c r="C667" s="80"/>
      <c r="D667" s="5"/>
      <c r="E667" s="5"/>
      <c r="F667" s="5"/>
      <c r="G667" s="5"/>
    </row>
    <row r="668" spans="2:7" ht="13">
      <c r="B668" s="36"/>
      <c r="C668" s="80"/>
      <c r="D668" s="5"/>
      <c r="E668" s="5"/>
      <c r="F668" s="5"/>
      <c r="G668" s="5"/>
    </row>
    <row r="669" spans="2:7" ht="13">
      <c r="B669" s="36"/>
      <c r="C669" s="80"/>
      <c r="D669" s="5"/>
      <c r="E669" s="5"/>
      <c r="F669" s="5"/>
      <c r="G669" s="5"/>
    </row>
    <row r="670" spans="2:7" ht="13">
      <c r="B670" s="36"/>
      <c r="C670" s="80"/>
      <c r="D670" s="5"/>
      <c r="E670" s="5"/>
      <c r="F670" s="5"/>
      <c r="G670" s="5"/>
    </row>
    <row r="671" spans="2:7" ht="13">
      <c r="B671" s="36"/>
      <c r="C671" s="80"/>
      <c r="D671" s="5"/>
      <c r="E671" s="5"/>
      <c r="F671" s="5"/>
      <c r="G671" s="5"/>
    </row>
    <row r="672" spans="2:7" ht="13">
      <c r="B672" s="36"/>
      <c r="C672" s="80"/>
      <c r="D672" s="5"/>
      <c r="E672" s="5"/>
      <c r="F672" s="5"/>
      <c r="G672" s="5"/>
    </row>
    <row r="673" spans="2:7" ht="13">
      <c r="B673" s="36"/>
      <c r="C673" s="80"/>
      <c r="D673" s="5"/>
      <c r="E673" s="5"/>
      <c r="F673" s="5"/>
      <c r="G673" s="5"/>
    </row>
    <row r="674" spans="2:7" ht="13">
      <c r="B674" s="36"/>
      <c r="C674" s="80"/>
      <c r="D674" s="5"/>
      <c r="E674" s="5"/>
      <c r="F674" s="5"/>
      <c r="G674" s="5"/>
    </row>
    <row r="675" spans="2:7" ht="13">
      <c r="B675" s="36"/>
      <c r="C675" s="80"/>
      <c r="D675" s="5"/>
      <c r="E675" s="5"/>
      <c r="F675" s="5"/>
      <c r="G675" s="5"/>
    </row>
    <row r="676" spans="2:7" ht="13">
      <c r="B676" s="36"/>
      <c r="C676" s="80"/>
      <c r="D676" s="5"/>
      <c r="E676" s="5"/>
      <c r="F676" s="5"/>
      <c r="G676" s="5"/>
    </row>
    <row r="677" spans="2:7" ht="13">
      <c r="B677" s="36"/>
      <c r="C677" s="80"/>
      <c r="D677" s="5"/>
      <c r="E677" s="5"/>
      <c r="F677" s="5"/>
      <c r="G677" s="5"/>
    </row>
    <row r="678" spans="2:7" ht="13">
      <c r="B678" s="36"/>
      <c r="C678" s="80"/>
      <c r="D678" s="5"/>
      <c r="E678" s="5"/>
      <c r="F678" s="5"/>
      <c r="G678" s="5"/>
    </row>
    <row r="679" spans="2:7" ht="13">
      <c r="B679" s="36"/>
      <c r="C679" s="80"/>
      <c r="D679" s="5"/>
      <c r="E679" s="5"/>
      <c r="F679" s="5"/>
      <c r="G679" s="5"/>
    </row>
    <row r="680" spans="2:7" ht="13">
      <c r="B680" s="36"/>
      <c r="C680" s="80"/>
      <c r="D680" s="5"/>
      <c r="E680" s="5"/>
      <c r="F680" s="5"/>
      <c r="G680" s="5"/>
    </row>
    <row r="681" spans="2:7" ht="13">
      <c r="B681" s="36"/>
      <c r="C681" s="80"/>
      <c r="D681" s="5"/>
      <c r="E681" s="5"/>
      <c r="F681" s="5"/>
      <c r="G681" s="5"/>
    </row>
    <row r="682" spans="2:7" ht="13">
      <c r="B682" s="36"/>
      <c r="C682" s="80"/>
      <c r="D682" s="5"/>
      <c r="E682" s="5"/>
      <c r="F682" s="5"/>
      <c r="G682" s="5"/>
    </row>
    <row r="683" spans="2:7" ht="13">
      <c r="B683" s="36"/>
      <c r="C683" s="80"/>
      <c r="D683" s="5"/>
      <c r="E683" s="5"/>
      <c r="F683" s="5"/>
      <c r="G683" s="5"/>
    </row>
    <row r="684" spans="2:7" ht="13">
      <c r="B684" s="36"/>
      <c r="C684" s="80"/>
      <c r="D684" s="5"/>
      <c r="E684" s="5"/>
      <c r="F684" s="5"/>
      <c r="G684" s="5"/>
    </row>
    <row r="685" spans="2:7" ht="13">
      <c r="B685" s="36"/>
      <c r="C685" s="80"/>
      <c r="D685" s="5"/>
      <c r="E685" s="5"/>
      <c r="F685" s="5"/>
      <c r="G685" s="5"/>
    </row>
    <row r="686" spans="2:7" ht="13">
      <c r="B686" s="36"/>
      <c r="C686" s="80"/>
      <c r="D686" s="5"/>
      <c r="E686" s="5"/>
      <c r="F686" s="5"/>
      <c r="G686" s="5"/>
    </row>
    <row r="687" spans="2:7" ht="13">
      <c r="B687" s="36"/>
      <c r="C687" s="80"/>
      <c r="D687" s="5"/>
      <c r="E687" s="5"/>
      <c r="F687" s="5"/>
      <c r="G687" s="5"/>
    </row>
    <row r="688" spans="2:7" ht="13">
      <c r="B688" s="36"/>
      <c r="C688" s="80"/>
      <c r="D688" s="5"/>
      <c r="E688" s="5"/>
      <c r="F688" s="5"/>
      <c r="G688" s="5"/>
    </row>
    <row r="689" spans="2:7" ht="13">
      <c r="B689" s="36"/>
      <c r="C689" s="80"/>
      <c r="D689" s="5"/>
      <c r="E689" s="5"/>
      <c r="F689" s="5"/>
      <c r="G689" s="5"/>
    </row>
    <row r="690" spans="2:7" ht="13">
      <c r="B690" s="36"/>
      <c r="C690" s="80"/>
      <c r="D690" s="5"/>
      <c r="E690" s="5"/>
      <c r="F690" s="5"/>
      <c r="G690" s="5"/>
    </row>
    <row r="691" spans="2:7" ht="13">
      <c r="B691" s="36"/>
      <c r="C691" s="80"/>
      <c r="D691" s="5"/>
      <c r="E691" s="5"/>
      <c r="F691" s="5"/>
      <c r="G691" s="5"/>
    </row>
    <row r="692" spans="2:7" ht="13">
      <c r="B692" s="36"/>
      <c r="C692" s="80"/>
      <c r="D692" s="5"/>
      <c r="E692" s="5"/>
      <c r="F692" s="5"/>
      <c r="G692" s="5"/>
    </row>
    <row r="693" spans="2:7" ht="13">
      <c r="B693" s="36"/>
      <c r="C693" s="80"/>
      <c r="D693" s="5"/>
      <c r="E693" s="5"/>
      <c r="F693" s="5"/>
      <c r="G693" s="5"/>
    </row>
    <row r="694" spans="2:7" ht="13">
      <c r="B694" s="36"/>
      <c r="C694" s="80"/>
      <c r="D694" s="5"/>
      <c r="E694" s="5"/>
      <c r="F694" s="5"/>
      <c r="G694" s="5"/>
    </row>
    <row r="695" spans="2:7" ht="13">
      <c r="B695" s="36"/>
      <c r="C695" s="80"/>
      <c r="D695" s="5"/>
      <c r="E695" s="5"/>
      <c r="F695" s="5"/>
      <c r="G695" s="5"/>
    </row>
    <row r="696" spans="2:7" ht="13">
      <c r="B696" s="36"/>
      <c r="C696" s="80"/>
      <c r="D696" s="5"/>
      <c r="E696" s="5"/>
      <c r="F696" s="5"/>
      <c r="G696" s="5"/>
    </row>
    <row r="697" spans="2:7" ht="13">
      <c r="B697" s="36"/>
      <c r="C697" s="80"/>
      <c r="D697" s="5"/>
      <c r="E697" s="5"/>
      <c r="F697" s="5"/>
      <c r="G697" s="5"/>
    </row>
    <row r="698" spans="2:7" ht="13">
      <c r="B698" s="36"/>
      <c r="C698" s="80"/>
      <c r="D698" s="5"/>
      <c r="E698" s="5"/>
      <c r="F698" s="5"/>
      <c r="G698" s="5"/>
    </row>
    <row r="699" spans="2:7" ht="13">
      <c r="B699" s="36"/>
      <c r="C699" s="80"/>
      <c r="D699" s="5"/>
      <c r="E699" s="5"/>
      <c r="F699" s="5"/>
      <c r="G699" s="5"/>
    </row>
    <row r="700" spans="2:7" ht="13">
      <c r="B700" s="36"/>
      <c r="C700" s="80"/>
      <c r="D700" s="5"/>
      <c r="E700" s="5"/>
      <c r="F700" s="5"/>
      <c r="G700" s="5"/>
    </row>
    <row r="701" spans="2:7" ht="13">
      <c r="B701" s="36"/>
      <c r="C701" s="80"/>
      <c r="D701" s="5"/>
      <c r="E701" s="5"/>
      <c r="F701" s="5"/>
      <c r="G701" s="5"/>
    </row>
    <row r="702" spans="2:7" ht="13">
      <c r="B702" s="36"/>
      <c r="C702" s="80"/>
      <c r="D702" s="5"/>
      <c r="E702" s="5"/>
      <c r="F702" s="5"/>
      <c r="G702" s="5"/>
    </row>
    <row r="703" spans="2:7" ht="13">
      <c r="B703" s="36"/>
      <c r="C703" s="80"/>
      <c r="D703" s="5"/>
      <c r="E703" s="5"/>
      <c r="F703" s="5"/>
      <c r="G703" s="5"/>
    </row>
    <row r="704" spans="2:7" ht="13">
      <c r="B704" s="36"/>
      <c r="C704" s="80"/>
      <c r="D704" s="5"/>
      <c r="E704" s="5"/>
      <c r="F704" s="5"/>
      <c r="G704" s="5"/>
    </row>
    <row r="705" spans="2:7" ht="13">
      <c r="B705" s="36"/>
      <c r="C705" s="80"/>
      <c r="D705" s="5"/>
      <c r="E705" s="5"/>
      <c r="F705" s="5"/>
      <c r="G705" s="5"/>
    </row>
    <row r="706" spans="2:7" ht="13">
      <c r="B706" s="36"/>
      <c r="C706" s="80"/>
      <c r="D706" s="5"/>
      <c r="E706" s="5"/>
      <c r="F706" s="5"/>
      <c r="G706" s="5"/>
    </row>
    <row r="707" spans="2:7" ht="13">
      <c r="B707" s="36"/>
      <c r="C707" s="80"/>
      <c r="D707" s="5"/>
      <c r="E707" s="5"/>
      <c r="F707" s="5"/>
      <c r="G707" s="5"/>
    </row>
    <row r="708" spans="2:7" ht="13">
      <c r="B708" s="36"/>
      <c r="C708" s="80"/>
      <c r="D708" s="5"/>
      <c r="E708" s="5"/>
      <c r="F708" s="5"/>
      <c r="G708" s="5"/>
    </row>
    <row r="709" spans="2:7" ht="13">
      <c r="B709" s="36"/>
      <c r="C709" s="80"/>
      <c r="D709" s="5"/>
      <c r="E709" s="5"/>
      <c r="F709" s="5"/>
      <c r="G709" s="5"/>
    </row>
    <row r="710" spans="2:7" ht="13">
      <c r="B710" s="36"/>
      <c r="C710" s="80"/>
      <c r="D710" s="5"/>
      <c r="E710" s="5"/>
      <c r="F710" s="5"/>
      <c r="G710" s="5"/>
    </row>
    <row r="711" spans="2:7" ht="13">
      <c r="B711" s="36"/>
      <c r="C711" s="80"/>
      <c r="D711" s="5"/>
      <c r="E711" s="5"/>
      <c r="F711" s="5"/>
      <c r="G711" s="5"/>
    </row>
    <row r="712" spans="2:7" ht="13">
      <c r="B712" s="36"/>
      <c r="C712" s="80"/>
      <c r="D712" s="5"/>
      <c r="E712" s="5"/>
      <c r="F712" s="5"/>
      <c r="G712" s="5"/>
    </row>
    <row r="713" spans="2:7" ht="13">
      <c r="B713" s="36"/>
      <c r="C713" s="80"/>
      <c r="D713" s="5"/>
      <c r="E713" s="5"/>
      <c r="F713" s="5"/>
      <c r="G713" s="5"/>
    </row>
    <row r="714" spans="2:7" ht="13">
      <c r="B714" s="36"/>
      <c r="C714" s="80"/>
      <c r="D714" s="5"/>
      <c r="E714" s="5"/>
      <c r="F714" s="5"/>
      <c r="G714" s="5"/>
    </row>
    <row r="715" spans="2:7" ht="13">
      <c r="B715" s="36"/>
      <c r="C715" s="80"/>
      <c r="D715" s="5"/>
      <c r="E715" s="5"/>
      <c r="F715" s="5"/>
      <c r="G715" s="5"/>
    </row>
    <row r="716" spans="2:7" ht="13">
      <c r="B716" s="36"/>
      <c r="C716" s="80"/>
      <c r="D716" s="5"/>
      <c r="E716" s="5"/>
      <c r="F716" s="5"/>
      <c r="G716" s="5"/>
    </row>
    <row r="717" spans="2:7" ht="13">
      <c r="B717" s="36"/>
      <c r="C717" s="80"/>
      <c r="D717" s="5"/>
      <c r="E717" s="5"/>
      <c r="F717" s="5"/>
      <c r="G717" s="5"/>
    </row>
    <row r="718" spans="2:7" ht="13">
      <c r="B718" s="36"/>
      <c r="C718" s="80"/>
      <c r="D718" s="5"/>
      <c r="E718" s="5"/>
      <c r="F718" s="5"/>
      <c r="G718" s="5"/>
    </row>
    <row r="719" spans="2:7" ht="13">
      <c r="B719" s="36"/>
      <c r="C719" s="80"/>
      <c r="D719" s="5"/>
      <c r="E719" s="5"/>
      <c r="F719" s="5"/>
      <c r="G719" s="5"/>
    </row>
    <row r="720" spans="2:7" ht="13">
      <c r="B720" s="36"/>
      <c r="C720" s="80"/>
      <c r="D720" s="5"/>
      <c r="E720" s="5"/>
      <c r="F720" s="5"/>
      <c r="G720" s="5"/>
    </row>
    <row r="721" spans="2:7" ht="13">
      <c r="B721" s="36"/>
      <c r="C721" s="80"/>
      <c r="D721" s="5"/>
      <c r="E721" s="5"/>
      <c r="F721" s="5"/>
      <c r="G721" s="5"/>
    </row>
    <row r="722" spans="2:7" ht="13">
      <c r="B722" s="36"/>
      <c r="C722" s="80"/>
      <c r="D722" s="5"/>
      <c r="E722" s="5"/>
      <c r="F722" s="5"/>
      <c r="G722" s="5"/>
    </row>
    <row r="723" spans="2:7" ht="13">
      <c r="B723" s="36"/>
      <c r="C723" s="80"/>
      <c r="D723" s="5"/>
      <c r="E723" s="5"/>
      <c r="F723" s="5"/>
      <c r="G723" s="5"/>
    </row>
    <row r="724" spans="2:7" ht="13">
      <c r="B724" s="36"/>
      <c r="C724" s="80"/>
      <c r="D724" s="5"/>
      <c r="E724" s="5"/>
      <c r="F724" s="5"/>
      <c r="G724" s="5"/>
    </row>
    <row r="725" spans="2:7" ht="13">
      <c r="B725" s="36"/>
      <c r="C725" s="80"/>
      <c r="D725" s="5"/>
      <c r="E725" s="5"/>
      <c r="F725" s="5"/>
      <c r="G725" s="5"/>
    </row>
    <row r="726" spans="2:7" ht="13">
      <c r="B726" s="36"/>
      <c r="C726" s="80"/>
      <c r="D726" s="5"/>
      <c r="E726" s="5"/>
      <c r="F726" s="5"/>
      <c r="G726" s="5"/>
    </row>
    <row r="727" spans="2:7" ht="13">
      <c r="B727" s="36"/>
      <c r="C727" s="80"/>
      <c r="D727" s="5"/>
      <c r="E727" s="5"/>
      <c r="F727" s="5"/>
      <c r="G727" s="5"/>
    </row>
    <row r="728" spans="2:7" ht="13">
      <c r="B728" s="36"/>
      <c r="C728" s="80"/>
      <c r="D728" s="5"/>
      <c r="E728" s="5"/>
      <c r="F728" s="5"/>
      <c r="G728" s="5"/>
    </row>
    <row r="729" spans="2:7" ht="13">
      <c r="B729" s="36"/>
      <c r="C729" s="80"/>
      <c r="D729" s="5"/>
      <c r="E729" s="5"/>
      <c r="F729" s="5"/>
      <c r="G729" s="5"/>
    </row>
    <row r="730" spans="2:7" ht="13">
      <c r="B730" s="36"/>
      <c r="C730" s="80"/>
      <c r="D730" s="5"/>
      <c r="E730" s="5"/>
      <c r="F730" s="5"/>
      <c r="G730" s="5"/>
    </row>
    <row r="731" spans="2:7" ht="13">
      <c r="B731" s="36"/>
      <c r="C731" s="80"/>
      <c r="D731" s="5"/>
      <c r="E731" s="5"/>
      <c r="F731" s="5"/>
      <c r="G731" s="5"/>
    </row>
    <row r="732" spans="2:7" ht="13">
      <c r="B732" s="36"/>
      <c r="C732" s="80"/>
      <c r="D732" s="5"/>
      <c r="E732" s="5"/>
      <c r="F732" s="5"/>
      <c r="G732" s="5"/>
    </row>
    <row r="733" spans="2:7" ht="13">
      <c r="B733" s="36"/>
      <c r="C733" s="80"/>
      <c r="D733" s="5"/>
      <c r="E733" s="5"/>
      <c r="F733" s="5"/>
      <c r="G733" s="5"/>
    </row>
    <row r="734" spans="2:7" ht="13">
      <c r="B734" s="36"/>
      <c r="C734" s="80"/>
      <c r="D734" s="5"/>
      <c r="E734" s="5"/>
      <c r="F734" s="5"/>
      <c r="G734" s="5"/>
    </row>
    <row r="735" spans="2:7" ht="13">
      <c r="B735" s="36"/>
      <c r="C735" s="80"/>
      <c r="D735" s="5"/>
      <c r="E735" s="5"/>
      <c r="F735" s="5"/>
      <c r="G735" s="5"/>
    </row>
    <row r="736" spans="2:7" ht="13">
      <c r="B736" s="36"/>
      <c r="C736" s="80"/>
      <c r="D736" s="5"/>
      <c r="E736" s="5"/>
      <c r="F736" s="5"/>
      <c r="G736" s="5"/>
    </row>
    <row r="737" spans="2:7" ht="13">
      <c r="B737" s="36"/>
      <c r="C737" s="80"/>
      <c r="D737" s="5"/>
      <c r="E737" s="5"/>
      <c r="F737" s="5"/>
      <c r="G737" s="5"/>
    </row>
    <row r="738" spans="2:7" ht="13">
      <c r="B738" s="36"/>
      <c r="C738" s="80"/>
      <c r="D738" s="5"/>
      <c r="E738" s="5"/>
      <c r="F738" s="5"/>
      <c r="G738" s="5"/>
    </row>
    <row r="739" spans="2:7" ht="13">
      <c r="B739" s="36"/>
      <c r="C739" s="80"/>
      <c r="D739" s="5"/>
      <c r="E739" s="5"/>
      <c r="F739" s="5"/>
      <c r="G739" s="5"/>
    </row>
    <row r="740" spans="2:7" ht="13">
      <c r="B740" s="36"/>
      <c r="C740" s="80"/>
      <c r="D740" s="5"/>
      <c r="E740" s="5"/>
      <c r="F740" s="5"/>
      <c r="G740" s="5"/>
    </row>
    <row r="741" spans="2:7" ht="13">
      <c r="B741" s="36"/>
      <c r="C741" s="80"/>
      <c r="D741" s="5"/>
      <c r="E741" s="5"/>
      <c r="F741" s="5"/>
      <c r="G741" s="5"/>
    </row>
    <row r="742" spans="2:7" ht="13">
      <c r="B742" s="36"/>
      <c r="C742" s="80"/>
      <c r="D742" s="5"/>
      <c r="E742" s="5"/>
      <c r="F742" s="5"/>
      <c r="G742" s="5"/>
    </row>
    <row r="743" spans="2:7" ht="13">
      <c r="B743" s="36"/>
      <c r="C743" s="80"/>
      <c r="D743" s="5"/>
      <c r="E743" s="5"/>
      <c r="F743" s="5"/>
      <c r="G743" s="5"/>
    </row>
    <row r="744" spans="2:7" ht="13">
      <c r="B744" s="36"/>
      <c r="C744" s="80"/>
      <c r="D744" s="5"/>
      <c r="E744" s="5"/>
      <c r="F744" s="5"/>
      <c r="G744" s="5"/>
    </row>
    <row r="745" spans="2:7" ht="13">
      <c r="B745" s="36"/>
      <c r="C745" s="80"/>
      <c r="D745" s="5"/>
      <c r="E745" s="5"/>
      <c r="F745" s="5"/>
      <c r="G745" s="5"/>
    </row>
    <row r="746" spans="2:7" ht="13">
      <c r="B746" s="36"/>
      <c r="C746" s="80"/>
      <c r="D746" s="5"/>
      <c r="E746" s="5"/>
      <c r="F746" s="5"/>
      <c r="G746" s="5"/>
    </row>
    <row r="747" spans="2:7" ht="13">
      <c r="B747" s="36"/>
      <c r="C747" s="80"/>
      <c r="D747" s="5"/>
      <c r="E747" s="5"/>
      <c r="F747" s="5"/>
      <c r="G747" s="5"/>
    </row>
    <row r="748" spans="2:7" ht="13">
      <c r="B748" s="36"/>
      <c r="C748" s="80"/>
      <c r="D748" s="5"/>
      <c r="E748" s="5"/>
      <c r="F748" s="5"/>
      <c r="G748" s="5"/>
    </row>
    <row r="749" spans="2:7" ht="13">
      <c r="B749" s="36"/>
      <c r="C749" s="80"/>
      <c r="D749" s="5"/>
      <c r="E749" s="5"/>
      <c r="F749" s="5"/>
      <c r="G749" s="5"/>
    </row>
    <row r="750" spans="2:7" ht="13">
      <c r="B750" s="36"/>
      <c r="C750" s="80"/>
      <c r="D750" s="5"/>
      <c r="E750" s="5"/>
      <c r="F750" s="5"/>
      <c r="G750" s="5"/>
    </row>
    <row r="751" spans="2:7" ht="13">
      <c r="B751" s="36"/>
      <c r="C751" s="80"/>
      <c r="D751" s="5"/>
      <c r="E751" s="5"/>
      <c r="F751" s="5"/>
      <c r="G751" s="5"/>
    </row>
    <row r="752" spans="2:7" ht="13">
      <c r="B752" s="36"/>
      <c r="C752" s="80"/>
      <c r="D752" s="5"/>
      <c r="E752" s="5"/>
      <c r="F752" s="5"/>
      <c r="G752" s="5"/>
    </row>
    <row r="753" spans="2:7" ht="13">
      <c r="B753" s="36"/>
      <c r="C753" s="80"/>
      <c r="D753" s="5"/>
      <c r="E753" s="5"/>
      <c r="F753" s="5"/>
      <c r="G753" s="5"/>
    </row>
    <row r="754" spans="2:7" ht="13">
      <c r="B754" s="36"/>
      <c r="C754" s="80"/>
      <c r="D754" s="5"/>
      <c r="E754" s="5"/>
      <c r="F754" s="5"/>
      <c r="G754" s="5"/>
    </row>
    <row r="755" spans="2:7" ht="13">
      <c r="B755" s="36"/>
      <c r="C755" s="80"/>
      <c r="D755" s="5"/>
      <c r="E755" s="5"/>
      <c r="F755" s="5"/>
      <c r="G755" s="5"/>
    </row>
    <row r="756" spans="2:7" ht="13">
      <c r="B756" s="36"/>
      <c r="C756" s="80"/>
      <c r="D756" s="5"/>
      <c r="E756" s="5"/>
      <c r="F756" s="5"/>
      <c r="G756" s="5"/>
    </row>
    <row r="757" spans="2:7" ht="13">
      <c r="B757" s="36"/>
      <c r="C757" s="80"/>
      <c r="D757" s="5"/>
      <c r="E757" s="5"/>
      <c r="F757" s="5"/>
      <c r="G757" s="5"/>
    </row>
    <row r="758" spans="2:7" ht="13">
      <c r="B758" s="36"/>
      <c r="C758" s="80"/>
      <c r="D758" s="5"/>
      <c r="E758" s="5"/>
      <c r="F758" s="5"/>
      <c r="G758" s="5"/>
    </row>
    <row r="759" spans="2:7" ht="13">
      <c r="B759" s="36"/>
      <c r="C759" s="80"/>
      <c r="D759" s="5"/>
      <c r="E759" s="5"/>
      <c r="F759" s="5"/>
      <c r="G759" s="5"/>
    </row>
    <row r="760" spans="2:7" ht="13">
      <c r="B760" s="36"/>
      <c r="C760" s="80"/>
      <c r="D760" s="5"/>
      <c r="E760" s="5"/>
      <c r="F760" s="5"/>
      <c r="G760" s="5"/>
    </row>
    <row r="761" spans="2:7" ht="13">
      <c r="B761" s="36"/>
      <c r="C761" s="80"/>
      <c r="D761" s="5"/>
      <c r="E761" s="5"/>
      <c r="F761" s="5"/>
      <c r="G761" s="5"/>
    </row>
    <row r="762" spans="2:7" ht="13">
      <c r="B762" s="36"/>
      <c r="C762" s="80"/>
      <c r="D762" s="5"/>
      <c r="E762" s="5"/>
      <c r="F762" s="5"/>
      <c r="G762" s="5"/>
    </row>
    <row r="763" spans="2:7" ht="13">
      <c r="B763" s="36"/>
      <c r="C763" s="80"/>
      <c r="D763" s="5"/>
      <c r="E763" s="5"/>
      <c r="F763" s="5"/>
      <c r="G763" s="5"/>
    </row>
    <row r="764" spans="2:7" ht="13">
      <c r="B764" s="36"/>
      <c r="C764" s="80"/>
      <c r="D764" s="5"/>
      <c r="E764" s="5"/>
      <c r="F764" s="5"/>
      <c r="G764" s="5"/>
    </row>
    <row r="765" spans="2:7" ht="13">
      <c r="B765" s="36"/>
      <c r="C765" s="80"/>
      <c r="D765" s="5"/>
      <c r="E765" s="5"/>
      <c r="F765" s="5"/>
      <c r="G765" s="5"/>
    </row>
    <row r="766" spans="2:7" ht="13">
      <c r="B766" s="36"/>
      <c r="C766" s="80"/>
      <c r="D766" s="5"/>
      <c r="E766" s="5"/>
      <c r="F766" s="5"/>
      <c r="G766" s="5"/>
    </row>
    <row r="767" spans="2:7" ht="13">
      <c r="B767" s="36"/>
      <c r="C767" s="80"/>
      <c r="D767" s="5"/>
      <c r="E767" s="5"/>
      <c r="F767" s="5"/>
      <c r="G767" s="5"/>
    </row>
    <row r="768" spans="2:7" ht="13">
      <c r="B768" s="36"/>
      <c r="C768" s="80"/>
      <c r="D768" s="5"/>
      <c r="E768" s="5"/>
      <c r="F768" s="5"/>
      <c r="G768" s="5"/>
    </row>
    <row r="769" spans="2:7" ht="13">
      <c r="B769" s="36"/>
      <c r="C769" s="80"/>
      <c r="D769" s="5"/>
      <c r="E769" s="5"/>
      <c r="F769" s="5"/>
      <c r="G769" s="5"/>
    </row>
    <row r="770" spans="2:7" ht="13">
      <c r="B770" s="36"/>
      <c r="C770" s="80"/>
      <c r="D770" s="5"/>
      <c r="E770" s="5"/>
      <c r="F770" s="5"/>
      <c r="G770" s="5"/>
    </row>
    <row r="771" spans="2:7" ht="13">
      <c r="B771" s="36"/>
      <c r="C771" s="80"/>
      <c r="D771" s="5"/>
      <c r="E771" s="5"/>
      <c r="F771" s="5"/>
      <c r="G771" s="5"/>
    </row>
    <row r="772" spans="2:7" ht="13">
      <c r="B772" s="36"/>
      <c r="C772" s="80"/>
      <c r="D772" s="5"/>
      <c r="E772" s="5"/>
      <c r="F772" s="5"/>
      <c r="G772" s="5"/>
    </row>
    <row r="773" spans="2:7" ht="13">
      <c r="B773" s="36"/>
      <c r="C773" s="80"/>
      <c r="D773" s="5"/>
      <c r="E773" s="5"/>
      <c r="F773" s="5"/>
      <c r="G773" s="5"/>
    </row>
    <row r="774" spans="2:7" ht="13">
      <c r="B774" s="36"/>
      <c r="C774" s="80"/>
      <c r="D774" s="5"/>
      <c r="E774" s="5"/>
      <c r="F774" s="5"/>
      <c r="G774" s="5"/>
    </row>
    <row r="775" spans="2:7" ht="13">
      <c r="B775" s="36"/>
      <c r="C775" s="80"/>
      <c r="D775" s="5"/>
      <c r="E775" s="5"/>
      <c r="F775" s="5"/>
      <c r="G775" s="5"/>
    </row>
    <row r="776" spans="2:7" ht="13">
      <c r="B776" s="36"/>
      <c r="C776" s="80"/>
      <c r="D776" s="5"/>
      <c r="E776" s="5"/>
      <c r="F776" s="5"/>
      <c r="G776" s="5"/>
    </row>
    <row r="777" spans="2:7" ht="13">
      <c r="B777" s="36"/>
      <c r="C777" s="80"/>
      <c r="D777" s="5"/>
      <c r="E777" s="5"/>
      <c r="F777" s="5"/>
      <c r="G777" s="5"/>
    </row>
    <row r="778" spans="2:7" ht="13">
      <c r="B778" s="36"/>
      <c r="C778" s="80"/>
      <c r="D778" s="5"/>
      <c r="E778" s="5"/>
      <c r="F778" s="5"/>
      <c r="G778" s="5"/>
    </row>
    <row r="779" spans="2:7" ht="13">
      <c r="B779" s="36"/>
      <c r="C779" s="80"/>
      <c r="D779" s="5"/>
      <c r="E779" s="5"/>
      <c r="F779" s="5"/>
      <c r="G779" s="5"/>
    </row>
    <row r="780" spans="2:7" ht="13">
      <c r="B780" s="36"/>
      <c r="C780" s="80"/>
      <c r="D780" s="5"/>
      <c r="E780" s="5"/>
      <c r="F780" s="5"/>
      <c r="G780" s="5"/>
    </row>
    <row r="781" spans="2:7" ht="13">
      <c r="B781" s="36"/>
      <c r="C781" s="80"/>
      <c r="D781" s="5"/>
      <c r="E781" s="5"/>
      <c r="F781" s="5"/>
      <c r="G781" s="5"/>
    </row>
    <row r="782" spans="2:7" ht="13">
      <c r="B782" s="36"/>
      <c r="C782" s="80"/>
      <c r="D782" s="5"/>
      <c r="E782" s="5"/>
      <c r="F782" s="5"/>
      <c r="G782" s="5"/>
    </row>
    <row r="783" spans="2:7" ht="13">
      <c r="B783" s="36"/>
      <c r="C783" s="80"/>
      <c r="D783" s="5"/>
      <c r="E783" s="5"/>
      <c r="F783" s="5"/>
      <c r="G783" s="5"/>
    </row>
    <row r="784" spans="2:7" ht="13">
      <c r="B784" s="36"/>
      <c r="C784" s="80"/>
      <c r="D784" s="5"/>
      <c r="E784" s="5"/>
      <c r="F784" s="5"/>
      <c r="G784" s="5"/>
    </row>
    <row r="785" spans="2:7" ht="13">
      <c r="B785" s="36"/>
      <c r="C785" s="80"/>
      <c r="D785" s="5"/>
      <c r="E785" s="5"/>
      <c r="F785" s="5"/>
      <c r="G785" s="5"/>
    </row>
    <row r="786" spans="2:7" ht="13">
      <c r="B786" s="36"/>
      <c r="C786" s="80"/>
      <c r="D786" s="5"/>
      <c r="E786" s="5"/>
      <c r="F786" s="5"/>
      <c r="G786" s="5"/>
    </row>
    <row r="787" spans="2:7" ht="13">
      <c r="B787" s="36"/>
      <c r="C787" s="80"/>
      <c r="D787" s="5"/>
      <c r="E787" s="5"/>
      <c r="F787" s="5"/>
      <c r="G787" s="5"/>
    </row>
    <row r="788" spans="2:7" ht="13">
      <c r="B788" s="36"/>
      <c r="C788" s="80"/>
      <c r="D788" s="5"/>
      <c r="E788" s="5"/>
      <c r="F788" s="5"/>
      <c r="G788" s="5"/>
    </row>
    <row r="789" spans="2:7" ht="13">
      <c r="B789" s="36"/>
      <c r="C789" s="80"/>
      <c r="D789" s="5"/>
      <c r="E789" s="5"/>
      <c r="F789" s="5"/>
      <c r="G789" s="5"/>
    </row>
    <row r="790" spans="2:7" ht="13">
      <c r="B790" s="36"/>
      <c r="C790" s="80"/>
      <c r="D790" s="5"/>
      <c r="E790" s="5"/>
      <c r="F790" s="5"/>
      <c r="G790" s="5"/>
    </row>
    <row r="791" spans="2:7" ht="13">
      <c r="B791" s="36"/>
      <c r="C791" s="80"/>
      <c r="D791" s="5"/>
      <c r="E791" s="5"/>
      <c r="F791" s="5"/>
      <c r="G791" s="5"/>
    </row>
    <row r="792" spans="2:7" ht="13">
      <c r="B792" s="36"/>
      <c r="C792" s="80"/>
      <c r="D792" s="5"/>
      <c r="E792" s="5"/>
      <c r="F792" s="5"/>
      <c r="G792" s="5"/>
    </row>
    <row r="793" spans="2:7" ht="13">
      <c r="B793" s="36"/>
      <c r="C793" s="80"/>
      <c r="D793" s="5"/>
      <c r="E793" s="5"/>
      <c r="F793" s="5"/>
      <c r="G793" s="5"/>
    </row>
    <row r="794" spans="2:7" ht="13">
      <c r="B794" s="36"/>
      <c r="C794" s="80"/>
      <c r="D794" s="5"/>
      <c r="E794" s="5"/>
      <c r="F794" s="5"/>
      <c r="G794" s="5"/>
    </row>
    <row r="795" spans="2:7" ht="13">
      <c r="B795" s="36"/>
      <c r="C795" s="80"/>
      <c r="D795" s="5"/>
      <c r="E795" s="5"/>
      <c r="F795" s="5"/>
      <c r="G795" s="5"/>
    </row>
    <row r="796" spans="2:7" ht="13">
      <c r="B796" s="36"/>
      <c r="C796" s="80"/>
      <c r="D796" s="5"/>
      <c r="E796" s="5"/>
      <c r="F796" s="5"/>
      <c r="G796" s="5"/>
    </row>
    <row r="797" spans="2:7" ht="13">
      <c r="B797" s="36"/>
      <c r="C797" s="80"/>
      <c r="D797" s="5"/>
      <c r="E797" s="5"/>
      <c r="F797" s="5"/>
      <c r="G797" s="5"/>
    </row>
    <row r="798" spans="2:7" ht="13">
      <c r="B798" s="36"/>
      <c r="C798" s="80"/>
      <c r="D798" s="5"/>
      <c r="E798" s="5"/>
      <c r="F798" s="5"/>
      <c r="G798" s="5"/>
    </row>
    <row r="799" spans="2:7" ht="13">
      <c r="B799" s="36"/>
      <c r="C799" s="80"/>
      <c r="D799" s="5"/>
      <c r="E799" s="5"/>
      <c r="F799" s="5"/>
      <c r="G799" s="5"/>
    </row>
    <row r="800" spans="2:7" ht="13">
      <c r="B800" s="36"/>
      <c r="C800" s="80"/>
      <c r="D800" s="5"/>
      <c r="E800" s="5"/>
      <c r="F800" s="5"/>
      <c r="G800" s="5"/>
    </row>
    <row r="801" spans="2:7" ht="13">
      <c r="B801" s="36"/>
      <c r="C801" s="80"/>
      <c r="D801" s="5"/>
      <c r="E801" s="5"/>
      <c r="F801" s="5"/>
      <c r="G801" s="5"/>
    </row>
    <row r="802" spans="2:7" ht="13">
      <c r="B802" s="36"/>
      <c r="C802" s="80"/>
      <c r="D802" s="5"/>
      <c r="E802" s="5"/>
      <c r="F802" s="5"/>
      <c r="G802" s="5"/>
    </row>
    <row r="803" spans="2:7" ht="13">
      <c r="B803" s="36"/>
      <c r="C803" s="80"/>
      <c r="D803" s="5"/>
      <c r="E803" s="5"/>
      <c r="F803" s="5"/>
      <c r="G803" s="5"/>
    </row>
    <row r="804" spans="2:7" ht="13">
      <c r="B804" s="36"/>
      <c r="C804" s="80"/>
      <c r="D804" s="5"/>
      <c r="E804" s="5"/>
      <c r="F804" s="5"/>
      <c r="G804" s="5"/>
    </row>
    <row r="805" spans="2:7" ht="13">
      <c r="B805" s="36"/>
      <c r="C805" s="80"/>
      <c r="D805" s="5"/>
      <c r="E805" s="5"/>
      <c r="F805" s="5"/>
      <c r="G805" s="5"/>
    </row>
    <row r="806" spans="2:7" ht="13">
      <c r="B806" s="36"/>
      <c r="C806" s="80"/>
      <c r="D806" s="5"/>
      <c r="E806" s="5"/>
      <c r="F806" s="5"/>
      <c r="G806" s="5"/>
    </row>
    <row r="807" spans="2:7" ht="13">
      <c r="B807" s="36"/>
      <c r="C807" s="80"/>
      <c r="D807" s="5"/>
      <c r="E807" s="5"/>
      <c r="F807" s="5"/>
      <c r="G807" s="5"/>
    </row>
    <row r="808" spans="2:7" ht="13">
      <c r="B808" s="36"/>
      <c r="C808" s="80"/>
      <c r="D808" s="5"/>
      <c r="E808" s="5"/>
      <c r="F808" s="5"/>
      <c r="G808" s="5"/>
    </row>
    <row r="809" spans="2:7" ht="13">
      <c r="B809" s="36"/>
      <c r="C809" s="80"/>
      <c r="D809" s="5"/>
      <c r="E809" s="5"/>
      <c r="F809" s="5"/>
      <c r="G809" s="5"/>
    </row>
    <row r="810" spans="2:7" ht="13">
      <c r="B810" s="36"/>
      <c r="C810" s="80"/>
      <c r="D810" s="5"/>
      <c r="E810" s="5"/>
      <c r="F810" s="5"/>
      <c r="G810" s="5"/>
    </row>
    <row r="811" spans="2:7" ht="13">
      <c r="B811" s="36"/>
      <c r="C811" s="80"/>
      <c r="D811" s="5"/>
      <c r="E811" s="5"/>
      <c r="F811" s="5"/>
      <c r="G811" s="5"/>
    </row>
    <row r="812" spans="2:7" ht="13">
      <c r="B812" s="36"/>
      <c r="C812" s="80"/>
      <c r="D812" s="5"/>
      <c r="E812" s="5"/>
      <c r="F812" s="5"/>
      <c r="G812" s="5"/>
    </row>
    <row r="813" spans="2:7" ht="13">
      <c r="B813" s="36"/>
      <c r="C813" s="80"/>
      <c r="D813" s="5"/>
      <c r="E813" s="5"/>
      <c r="F813" s="5"/>
      <c r="G813" s="5"/>
    </row>
    <row r="814" spans="2:7" ht="13">
      <c r="B814" s="36"/>
      <c r="C814" s="80"/>
      <c r="D814" s="5"/>
      <c r="E814" s="5"/>
      <c r="F814" s="5"/>
      <c r="G814" s="5"/>
    </row>
    <row r="815" spans="2:7" ht="13">
      <c r="B815" s="36"/>
      <c r="C815" s="80"/>
      <c r="D815" s="5"/>
      <c r="E815" s="5"/>
      <c r="F815" s="5"/>
      <c r="G815" s="5"/>
    </row>
    <row r="816" spans="2:7" ht="13">
      <c r="B816" s="36"/>
      <c r="C816" s="80"/>
      <c r="D816" s="5"/>
      <c r="E816" s="5"/>
      <c r="F816" s="5"/>
      <c r="G816" s="5"/>
    </row>
    <row r="817" spans="2:7" ht="13">
      <c r="B817" s="36"/>
      <c r="C817" s="80"/>
      <c r="D817" s="5"/>
      <c r="E817" s="5"/>
      <c r="F817" s="5"/>
      <c r="G817" s="5"/>
    </row>
    <row r="818" spans="2:7" ht="13">
      <c r="B818" s="36"/>
      <c r="C818" s="80"/>
      <c r="D818" s="5"/>
      <c r="E818" s="5"/>
      <c r="F818" s="5"/>
      <c r="G818" s="5"/>
    </row>
    <row r="819" spans="2:7" ht="13">
      <c r="B819" s="36"/>
      <c r="C819" s="80"/>
      <c r="D819" s="5"/>
      <c r="E819" s="5"/>
      <c r="F819" s="5"/>
      <c r="G819" s="5"/>
    </row>
    <row r="820" spans="2:7" ht="13">
      <c r="B820" s="36"/>
      <c r="C820" s="80"/>
      <c r="D820" s="5"/>
      <c r="E820" s="5"/>
      <c r="F820" s="5"/>
      <c r="G820" s="5"/>
    </row>
    <row r="821" spans="2:7" ht="13">
      <c r="B821" s="36"/>
      <c r="C821" s="80"/>
      <c r="D821" s="5"/>
      <c r="E821" s="5"/>
      <c r="F821" s="5"/>
      <c r="G821" s="5"/>
    </row>
    <row r="822" spans="2:7" ht="13">
      <c r="B822" s="36"/>
      <c r="C822" s="80"/>
      <c r="D822" s="5"/>
      <c r="E822" s="5"/>
      <c r="F822" s="5"/>
      <c r="G822" s="5"/>
    </row>
    <row r="823" spans="2:7" ht="13">
      <c r="B823" s="36"/>
      <c r="C823" s="80"/>
      <c r="D823" s="5"/>
      <c r="E823" s="5"/>
      <c r="F823" s="5"/>
      <c r="G823" s="5"/>
    </row>
    <row r="824" spans="2:7" ht="13">
      <c r="B824" s="36"/>
      <c r="C824" s="80"/>
      <c r="D824" s="5"/>
      <c r="E824" s="5"/>
      <c r="F824" s="5"/>
      <c r="G824" s="5"/>
    </row>
    <row r="825" spans="2:7" ht="13">
      <c r="B825" s="36"/>
      <c r="C825" s="80"/>
      <c r="D825" s="5"/>
      <c r="E825" s="5"/>
      <c r="F825" s="5"/>
      <c r="G825" s="5"/>
    </row>
    <row r="826" spans="2:7" ht="13">
      <c r="B826" s="36"/>
      <c r="C826" s="80"/>
      <c r="D826" s="5"/>
      <c r="E826" s="5"/>
      <c r="F826" s="5"/>
      <c r="G826" s="5"/>
    </row>
    <row r="827" spans="2:7" ht="13">
      <c r="B827" s="36"/>
      <c r="C827" s="80"/>
      <c r="D827" s="5"/>
      <c r="E827" s="5"/>
      <c r="F827" s="5"/>
      <c r="G827" s="5"/>
    </row>
    <row r="828" spans="2:7" ht="13">
      <c r="B828" s="36"/>
      <c r="C828" s="80"/>
      <c r="D828" s="5"/>
      <c r="E828" s="5"/>
      <c r="F828" s="5"/>
      <c r="G828" s="5"/>
    </row>
    <row r="829" spans="2:7" ht="13">
      <c r="B829" s="36"/>
      <c r="C829" s="80"/>
      <c r="D829" s="5"/>
      <c r="E829" s="5"/>
      <c r="F829" s="5"/>
      <c r="G829" s="5"/>
    </row>
    <row r="830" spans="2:7" ht="13">
      <c r="B830" s="36"/>
      <c r="C830" s="80"/>
      <c r="D830" s="5"/>
      <c r="E830" s="5"/>
      <c r="F830" s="5"/>
      <c r="G830" s="5"/>
    </row>
    <row r="831" spans="2:7" ht="13">
      <c r="B831" s="36"/>
      <c r="C831" s="80"/>
      <c r="D831" s="5"/>
      <c r="E831" s="5"/>
      <c r="F831" s="5"/>
      <c r="G831" s="5"/>
    </row>
    <row r="832" spans="2:7" ht="13">
      <c r="B832" s="36"/>
      <c r="C832" s="80"/>
      <c r="D832" s="5"/>
      <c r="E832" s="5"/>
      <c r="F832" s="5"/>
      <c r="G832" s="5"/>
    </row>
    <row r="833" spans="2:7" ht="13">
      <c r="B833" s="36"/>
      <c r="C833" s="80"/>
      <c r="D833" s="5"/>
      <c r="E833" s="5"/>
      <c r="F833" s="5"/>
      <c r="G833" s="5"/>
    </row>
    <row r="834" spans="2:7" ht="13">
      <c r="B834" s="36"/>
      <c r="C834" s="80"/>
      <c r="D834" s="5"/>
      <c r="E834" s="5"/>
      <c r="F834" s="5"/>
      <c r="G834" s="5"/>
    </row>
    <row r="835" spans="2:7" ht="13">
      <c r="B835" s="36"/>
      <c r="C835" s="80"/>
      <c r="D835" s="5"/>
      <c r="E835" s="5"/>
      <c r="F835" s="5"/>
      <c r="G835" s="5"/>
    </row>
    <row r="836" spans="2:7" ht="13">
      <c r="B836" s="36"/>
      <c r="C836" s="80"/>
      <c r="D836" s="5"/>
      <c r="E836" s="5"/>
      <c r="F836" s="5"/>
      <c r="G836" s="5"/>
    </row>
    <row r="837" spans="2:7" ht="13">
      <c r="B837" s="36"/>
      <c r="C837" s="80"/>
      <c r="D837" s="5"/>
      <c r="E837" s="5"/>
      <c r="F837" s="5"/>
      <c r="G837" s="5"/>
    </row>
    <row r="838" spans="2:7" ht="13">
      <c r="B838" s="36"/>
      <c r="C838" s="80"/>
      <c r="D838" s="5"/>
      <c r="E838" s="5"/>
      <c r="F838" s="5"/>
      <c r="G838" s="5"/>
    </row>
    <row r="839" spans="2:7" ht="13">
      <c r="B839" s="36"/>
      <c r="C839" s="80"/>
      <c r="D839" s="5"/>
      <c r="E839" s="5"/>
      <c r="F839" s="5"/>
      <c r="G839" s="5"/>
    </row>
    <row r="840" spans="2:7" ht="13">
      <c r="B840" s="36"/>
      <c r="C840" s="80"/>
      <c r="D840" s="5"/>
      <c r="E840" s="5"/>
      <c r="F840" s="5"/>
      <c r="G840" s="5"/>
    </row>
    <row r="841" spans="2:7" ht="13">
      <c r="B841" s="36"/>
      <c r="C841" s="80"/>
      <c r="D841" s="5"/>
      <c r="E841" s="5"/>
      <c r="F841" s="5"/>
      <c r="G841" s="5"/>
    </row>
    <row r="842" spans="2:7" ht="13">
      <c r="B842" s="36"/>
      <c r="C842" s="80"/>
      <c r="D842" s="5"/>
      <c r="E842" s="5"/>
      <c r="F842" s="5"/>
      <c r="G842" s="5"/>
    </row>
    <row r="843" spans="2:7" ht="13">
      <c r="B843" s="36"/>
      <c r="C843" s="80"/>
      <c r="D843" s="5"/>
      <c r="E843" s="5"/>
      <c r="F843" s="5"/>
      <c r="G843" s="5"/>
    </row>
    <row r="844" spans="2:7" ht="13">
      <c r="B844" s="36"/>
      <c r="C844" s="80"/>
      <c r="D844" s="5"/>
      <c r="E844" s="5"/>
      <c r="F844" s="5"/>
      <c r="G844" s="5"/>
    </row>
    <row r="845" spans="2:7" ht="13">
      <c r="B845" s="36"/>
      <c r="C845" s="80"/>
      <c r="D845" s="5"/>
      <c r="E845" s="5"/>
      <c r="F845" s="5"/>
      <c r="G845" s="5"/>
    </row>
    <row r="846" spans="2:7" ht="13">
      <c r="B846" s="36"/>
      <c r="C846" s="80"/>
      <c r="D846" s="5"/>
      <c r="E846" s="5"/>
      <c r="F846" s="5"/>
      <c r="G846" s="5"/>
    </row>
    <row r="847" spans="2:7" ht="13">
      <c r="B847" s="36"/>
      <c r="C847" s="80"/>
      <c r="D847" s="5"/>
      <c r="E847" s="5"/>
      <c r="F847" s="5"/>
      <c r="G847" s="5"/>
    </row>
    <row r="848" spans="2:7" ht="13">
      <c r="B848" s="36"/>
      <c r="C848" s="80"/>
      <c r="D848" s="5"/>
      <c r="E848" s="5"/>
      <c r="F848" s="5"/>
      <c r="G848" s="5"/>
    </row>
    <row r="849" spans="2:7" ht="13">
      <c r="B849" s="36"/>
      <c r="C849" s="80"/>
      <c r="D849" s="5"/>
      <c r="E849" s="5"/>
      <c r="F849" s="5"/>
      <c r="G849" s="5"/>
    </row>
    <row r="850" spans="2:7" ht="13">
      <c r="B850" s="36"/>
      <c r="C850" s="80"/>
      <c r="D850" s="5"/>
      <c r="E850" s="5"/>
      <c r="F850" s="5"/>
      <c r="G850" s="5"/>
    </row>
    <row r="851" spans="2:7" ht="13">
      <c r="B851" s="36"/>
      <c r="C851" s="80"/>
      <c r="D851" s="5"/>
      <c r="E851" s="5"/>
      <c r="F851" s="5"/>
      <c r="G851" s="5"/>
    </row>
    <row r="852" spans="2:7" ht="13">
      <c r="B852" s="36"/>
      <c r="C852" s="80"/>
      <c r="D852" s="5"/>
      <c r="E852" s="5"/>
      <c r="F852" s="5"/>
      <c r="G852" s="5"/>
    </row>
    <row r="853" spans="2:7" ht="13">
      <c r="B853" s="36"/>
      <c r="C853" s="80"/>
      <c r="D853" s="5"/>
      <c r="E853" s="5"/>
      <c r="F853" s="5"/>
      <c r="G853" s="5"/>
    </row>
    <row r="854" spans="2:7" ht="13">
      <c r="B854" s="36"/>
      <c r="C854" s="80"/>
      <c r="D854" s="5"/>
      <c r="E854" s="5"/>
      <c r="F854" s="5"/>
      <c r="G854" s="5"/>
    </row>
    <row r="855" spans="2:7" ht="13">
      <c r="B855" s="36"/>
      <c r="C855" s="80"/>
      <c r="D855" s="5"/>
      <c r="E855" s="5"/>
      <c r="F855" s="5"/>
      <c r="G855" s="5"/>
    </row>
    <row r="856" spans="2:7" ht="13">
      <c r="B856" s="36"/>
      <c r="C856" s="80"/>
      <c r="D856" s="5"/>
      <c r="E856" s="5"/>
      <c r="F856" s="5"/>
      <c r="G856" s="5"/>
    </row>
    <row r="857" spans="2:7" ht="13">
      <c r="B857" s="36"/>
      <c r="C857" s="80"/>
      <c r="D857" s="5"/>
      <c r="E857" s="5"/>
      <c r="F857" s="5"/>
      <c r="G857" s="5"/>
    </row>
    <row r="858" spans="2:7" ht="13">
      <c r="B858" s="36"/>
      <c r="C858" s="80"/>
      <c r="D858" s="5"/>
      <c r="E858" s="5"/>
      <c r="F858" s="5"/>
      <c r="G858" s="5"/>
    </row>
    <row r="859" spans="2:7" ht="13">
      <c r="B859" s="36"/>
      <c r="C859" s="80"/>
      <c r="D859" s="5"/>
      <c r="E859" s="5"/>
      <c r="F859" s="5"/>
      <c r="G859" s="5"/>
    </row>
    <row r="860" spans="2:7" ht="13">
      <c r="B860" s="36"/>
      <c r="C860" s="80"/>
      <c r="D860" s="5"/>
      <c r="E860" s="5"/>
      <c r="F860" s="5"/>
      <c r="G860" s="5"/>
    </row>
    <row r="861" spans="2:7" ht="13">
      <c r="B861" s="36"/>
      <c r="C861" s="80"/>
      <c r="D861" s="5"/>
      <c r="E861" s="5"/>
      <c r="F861" s="5"/>
      <c r="G861" s="5"/>
    </row>
    <row r="862" spans="2:7" ht="13">
      <c r="B862" s="36"/>
      <c r="C862" s="80"/>
      <c r="D862" s="5"/>
      <c r="E862" s="5"/>
      <c r="F862" s="5"/>
      <c r="G862" s="5"/>
    </row>
    <row r="863" spans="2:7" ht="13">
      <c r="B863" s="36"/>
      <c r="C863" s="80"/>
      <c r="D863" s="5"/>
      <c r="E863" s="5"/>
      <c r="F863" s="5"/>
      <c r="G863" s="5"/>
    </row>
    <row r="864" spans="2:7" ht="13">
      <c r="B864" s="36"/>
      <c r="C864" s="80"/>
      <c r="D864" s="5"/>
      <c r="E864" s="5"/>
      <c r="F864" s="5"/>
      <c r="G864" s="5"/>
    </row>
    <row r="865" spans="2:7" ht="13">
      <c r="B865" s="36"/>
      <c r="C865" s="80"/>
      <c r="D865" s="5"/>
      <c r="E865" s="5"/>
      <c r="F865" s="5"/>
      <c r="G865" s="5"/>
    </row>
    <row r="866" spans="2:7" ht="13">
      <c r="B866" s="36"/>
      <c r="C866" s="80"/>
      <c r="D866" s="5"/>
      <c r="E866" s="5"/>
      <c r="F866" s="5"/>
      <c r="G866" s="5"/>
    </row>
    <row r="867" spans="2:7" ht="13">
      <c r="B867" s="36"/>
      <c r="C867" s="80"/>
      <c r="D867" s="5"/>
      <c r="E867" s="5"/>
      <c r="F867" s="5"/>
      <c r="G867" s="5"/>
    </row>
    <row r="868" spans="2:7" ht="13">
      <c r="B868" s="36"/>
      <c r="C868" s="80"/>
      <c r="D868" s="5"/>
      <c r="E868" s="5"/>
      <c r="F868" s="5"/>
      <c r="G868" s="5"/>
    </row>
    <row r="869" spans="2:7" ht="13">
      <c r="B869" s="36"/>
      <c r="C869" s="80"/>
      <c r="D869" s="5"/>
      <c r="E869" s="5"/>
      <c r="F869" s="5"/>
      <c r="G869" s="5"/>
    </row>
    <row r="870" spans="2:7" ht="13">
      <c r="B870" s="36"/>
      <c r="C870" s="80"/>
      <c r="D870" s="5"/>
      <c r="E870" s="5"/>
      <c r="F870" s="5"/>
      <c r="G870" s="5"/>
    </row>
    <row r="871" spans="2:7" ht="13">
      <c r="B871" s="36"/>
      <c r="C871" s="80"/>
      <c r="D871" s="5"/>
      <c r="E871" s="5"/>
      <c r="F871" s="5"/>
      <c r="G871" s="5"/>
    </row>
    <row r="872" spans="2:7" ht="13">
      <c r="B872" s="36"/>
      <c r="C872" s="80"/>
      <c r="D872" s="5"/>
      <c r="E872" s="5"/>
      <c r="F872" s="5"/>
      <c r="G872" s="5"/>
    </row>
    <row r="873" spans="2:7" ht="13">
      <c r="B873" s="36"/>
      <c r="C873" s="80"/>
      <c r="D873" s="5"/>
      <c r="E873" s="5"/>
      <c r="F873" s="5"/>
      <c r="G873" s="5"/>
    </row>
    <row r="874" spans="2:7" ht="13">
      <c r="B874" s="36"/>
      <c r="C874" s="80"/>
      <c r="D874" s="5"/>
      <c r="E874" s="5"/>
      <c r="F874" s="5"/>
      <c r="G874" s="5"/>
    </row>
    <row r="875" spans="2:7" ht="13">
      <c r="B875" s="36"/>
      <c r="C875" s="80"/>
      <c r="D875" s="5"/>
      <c r="E875" s="5"/>
      <c r="F875" s="5"/>
      <c r="G875" s="5"/>
    </row>
    <row r="876" spans="2:7" ht="13">
      <c r="B876" s="36"/>
      <c r="C876" s="80"/>
      <c r="D876" s="5"/>
      <c r="E876" s="5"/>
      <c r="F876" s="5"/>
      <c r="G876" s="5"/>
    </row>
    <row r="877" spans="2:7" ht="13">
      <c r="B877" s="36"/>
      <c r="C877" s="80"/>
      <c r="D877" s="5"/>
      <c r="E877" s="5"/>
      <c r="F877" s="5"/>
      <c r="G877" s="5"/>
    </row>
    <row r="878" spans="2:7" ht="13">
      <c r="B878" s="36"/>
      <c r="C878" s="80"/>
      <c r="D878" s="5"/>
      <c r="E878" s="5"/>
      <c r="F878" s="5"/>
      <c r="G878" s="5"/>
    </row>
    <row r="879" spans="2:7" ht="13">
      <c r="B879" s="36"/>
      <c r="C879" s="80"/>
      <c r="D879" s="5"/>
      <c r="E879" s="5"/>
      <c r="F879" s="5"/>
      <c r="G879" s="5"/>
    </row>
    <row r="880" spans="2:7" ht="13">
      <c r="B880" s="36"/>
      <c r="C880" s="80"/>
      <c r="D880" s="5"/>
      <c r="E880" s="5"/>
      <c r="F880" s="5"/>
      <c r="G880" s="5"/>
    </row>
    <row r="881" spans="2:7" ht="13">
      <c r="B881" s="36"/>
      <c r="C881" s="80"/>
      <c r="D881" s="5"/>
      <c r="E881" s="5"/>
      <c r="F881" s="5"/>
      <c r="G881" s="5"/>
    </row>
    <row r="882" spans="2:7" ht="13">
      <c r="B882" s="36"/>
      <c r="C882" s="80"/>
      <c r="D882" s="5"/>
      <c r="E882" s="5"/>
      <c r="F882" s="5"/>
      <c r="G882" s="5"/>
    </row>
    <row r="883" spans="2:7" ht="13">
      <c r="B883" s="36"/>
      <c r="C883" s="80"/>
      <c r="D883" s="5"/>
      <c r="E883" s="5"/>
      <c r="F883" s="5"/>
      <c r="G883" s="5"/>
    </row>
    <row r="884" spans="2:7" ht="13">
      <c r="B884" s="36"/>
      <c r="C884" s="80"/>
      <c r="D884" s="5"/>
      <c r="E884" s="5"/>
      <c r="F884" s="5"/>
      <c r="G884" s="5"/>
    </row>
    <row r="885" spans="2:7" ht="13">
      <c r="B885" s="36"/>
      <c r="C885" s="80"/>
      <c r="D885" s="5"/>
      <c r="E885" s="5"/>
      <c r="F885" s="5"/>
      <c r="G885" s="5"/>
    </row>
    <row r="886" spans="2:7" ht="13">
      <c r="B886" s="36"/>
      <c r="C886" s="80"/>
      <c r="D886" s="5"/>
      <c r="E886" s="5"/>
      <c r="F886" s="5"/>
      <c r="G886" s="5"/>
    </row>
    <row r="887" spans="2:7" ht="13">
      <c r="B887" s="36"/>
      <c r="C887" s="80"/>
      <c r="D887" s="5"/>
      <c r="E887" s="5"/>
      <c r="F887" s="5"/>
      <c r="G887" s="5"/>
    </row>
    <row r="888" spans="2:7" ht="13">
      <c r="B888" s="36"/>
      <c r="C888" s="80"/>
      <c r="D888" s="5"/>
      <c r="E888" s="5"/>
      <c r="F888" s="5"/>
      <c r="G888" s="5"/>
    </row>
    <row r="889" spans="2:7" ht="13">
      <c r="B889" s="36"/>
      <c r="C889" s="80"/>
      <c r="D889" s="5"/>
      <c r="E889" s="5"/>
      <c r="F889" s="5"/>
      <c r="G889" s="5"/>
    </row>
    <row r="890" spans="2:7" ht="13">
      <c r="B890" s="36"/>
      <c r="C890" s="80"/>
      <c r="D890" s="5"/>
      <c r="E890" s="5"/>
      <c r="F890" s="5"/>
      <c r="G890" s="5"/>
    </row>
    <row r="891" spans="2:7" ht="13">
      <c r="B891" s="36"/>
      <c r="C891" s="80"/>
      <c r="D891" s="5"/>
      <c r="E891" s="5"/>
      <c r="F891" s="5"/>
      <c r="G891" s="5"/>
    </row>
    <row r="892" spans="2:7" ht="13">
      <c r="B892" s="36"/>
      <c r="C892" s="80"/>
      <c r="D892" s="5"/>
      <c r="E892" s="5"/>
      <c r="F892" s="5"/>
      <c r="G892" s="5"/>
    </row>
    <row r="893" spans="2:7" ht="13">
      <c r="B893" s="36"/>
      <c r="C893" s="80"/>
      <c r="D893" s="5"/>
      <c r="E893" s="5"/>
      <c r="F893" s="5"/>
      <c r="G893" s="5"/>
    </row>
    <row r="894" spans="2:7" ht="13">
      <c r="B894" s="36"/>
      <c r="C894" s="80"/>
      <c r="D894" s="5"/>
      <c r="E894" s="5"/>
      <c r="F894" s="5"/>
      <c r="G894" s="5"/>
    </row>
    <row r="895" spans="2:7" ht="13">
      <c r="B895" s="36"/>
      <c r="C895" s="80"/>
      <c r="D895" s="5"/>
      <c r="E895" s="5"/>
      <c r="F895" s="5"/>
      <c r="G895" s="5"/>
    </row>
    <row r="896" spans="2:7" ht="13">
      <c r="B896" s="36"/>
      <c r="C896" s="80"/>
      <c r="D896" s="5"/>
      <c r="E896" s="5"/>
      <c r="F896" s="5"/>
      <c r="G896" s="5"/>
    </row>
    <row r="897" spans="2:7" ht="13">
      <c r="B897" s="36"/>
      <c r="C897" s="80"/>
      <c r="D897" s="5"/>
      <c r="E897" s="5"/>
      <c r="F897" s="5"/>
      <c r="G897" s="5"/>
    </row>
    <row r="898" spans="2:7" ht="13">
      <c r="B898" s="36"/>
      <c r="C898" s="80"/>
      <c r="D898" s="5"/>
      <c r="E898" s="5"/>
      <c r="F898" s="5"/>
      <c r="G898" s="5"/>
    </row>
    <row r="899" spans="2:7" ht="13">
      <c r="B899" s="36"/>
      <c r="C899" s="80"/>
      <c r="D899" s="5"/>
      <c r="E899" s="5"/>
      <c r="F899" s="5"/>
      <c r="G899" s="5"/>
    </row>
    <row r="900" spans="2:7" ht="13">
      <c r="B900" s="36"/>
      <c r="C900" s="80"/>
      <c r="D900" s="5"/>
      <c r="E900" s="5"/>
      <c r="F900" s="5"/>
      <c r="G900" s="5"/>
    </row>
    <row r="901" spans="2:7" ht="13">
      <c r="B901" s="36"/>
      <c r="C901" s="80"/>
      <c r="D901" s="5"/>
      <c r="E901" s="5"/>
      <c r="F901" s="5"/>
      <c r="G901" s="5"/>
    </row>
    <row r="902" spans="2:7" ht="13">
      <c r="B902" s="36"/>
      <c r="C902" s="80"/>
      <c r="D902" s="5"/>
      <c r="E902" s="5"/>
      <c r="F902" s="5"/>
      <c r="G902" s="5"/>
    </row>
    <row r="903" spans="2:7" ht="13">
      <c r="B903" s="36"/>
      <c r="C903" s="80"/>
      <c r="D903" s="5"/>
      <c r="E903" s="5"/>
      <c r="F903" s="5"/>
      <c r="G903" s="5"/>
    </row>
    <row r="904" spans="2:7" ht="13">
      <c r="B904" s="36"/>
      <c r="C904" s="80"/>
      <c r="D904" s="5"/>
      <c r="E904" s="5"/>
      <c r="F904" s="5"/>
      <c r="G904" s="5"/>
    </row>
    <row r="905" spans="2:7" ht="13">
      <c r="B905" s="36"/>
      <c r="C905" s="80"/>
      <c r="D905" s="5"/>
      <c r="E905" s="5"/>
      <c r="F905" s="5"/>
      <c r="G905" s="5"/>
    </row>
    <row r="906" spans="2:7" ht="13">
      <c r="B906" s="36"/>
      <c r="C906" s="80"/>
      <c r="D906" s="5"/>
      <c r="E906" s="5"/>
      <c r="F906" s="5"/>
      <c r="G906" s="5"/>
    </row>
    <row r="907" spans="2:7" ht="13">
      <c r="B907" s="36"/>
      <c r="C907" s="80"/>
      <c r="D907" s="5"/>
      <c r="E907" s="5"/>
      <c r="F907" s="5"/>
      <c r="G907" s="5"/>
    </row>
    <row r="908" spans="2:7" ht="13">
      <c r="B908" s="36"/>
      <c r="C908" s="80"/>
      <c r="D908" s="5"/>
      <c r="E908" s="5"/>
      <c r="F908" s="5"/>
      <c r="G908" s="5"/>
    </row>
    <row r="909" spans="2:7" ht="13">
      <c r="B909" s="36"/>
      <c r="C909" s="80"/>
      <c r="D909" s="5"/>
      <c r="E909" s="5"/>
      <c r="F909" s="5"/>
      <c r="G909" s="5"/>
    </row>
    <row r="910" spans="2:7" ht="13">
      <c r="B910" s="36"/>
      <c r="C910" s="80"/>
      <c r="D910" s="5"/>
      <c r="E910" s="5"/>
      <c r="F910" s="5"/>
      <c r="G910" s="5"/>
    </row>
    <row r="911" spans="2:7" ht="13">
      <c r="B911" s="36"/>
      <c r="C911" s="80"/>
      <c r="D911" s="5"/>
      <c r="E911" s="5"/>
      <c r="F911" s="5"/>
      <c r="G911" s="5"/>
    </row>
    <row r="912" spans="2:7" ht="13">
      <c r="B912" s="36"/>
      <c r="C912" s="80"/>
      <c r="D912" s="5"/>
      <c r="E912" s="5"/>
      <c r="F912" s="5"/>
      <c r="G912" s="5"/>
    </row>
    <row r="913" spans="2:7" ht="13">
      <c r="B913" s="36"/>
      <c r="C913" s="80"/>
      <c r="D913" s="5"/>
      <c r="E913" s="5"/>
      <c r="F913" s="5"/>
      <c r="G913" s="5"/>
    </row>
    <row r="914" spans="2:7" ht="13">
      <c r="B914" s="36"/>
      <c r="C914" s="80"/>
      <c r="D914" s="5"/>
      <c r="E914" s="5"/>
      <c r="F914" s="5"/>
      <c r="G914" s="5"/>
    </row>
    <row r="915" spans="2:7" ht="13">
      <c r="B915" s="36"/>
      <c r="C915" s="80"/>
      <c r="D915" s="5"/>
      <c r="E915" s="5"/>
      <c r="F915" s="5"/>
      <c r="G915" s="5"/>
    </row>
    <row r="916" spans="2:7" ht="13">
      <c r="B916" s="36"/>
      <c r="C916" s="80"/>
      <c r="D916" s="5"/>
      <c r="E916" s="5"/>
      <c r="F916" s="5"/>
      <c r="G916" s="5"/>
    </row>
    <row r="917" spans="2:7" ht="13">
      <c r="B917" s="36"/>
      <c r="C917" s="80"/>
      <c r="D917" s="5"/>
      <c r="E917" s="5"/>
      <c r="F917" s="5"/>
      <c r="G917" s="5"/>
    </row>
    <row r="918" spans="2:7" ht="13">
      <c r="B918" s="36"/>
      <c r="C918" s="80"/>
      <c r="D918" s="5"/>
      <c r="E918" s="5"/>
      <c r="F918" s="5"/>
      <c r="G918" s="5"/>
    </row>
    <row r="919" spans="2:7" ht="13">
      <c r="B919" s="36"/>
      <c r="C919" s="80"/>
      <c r="D919" s="5"/>
      <c r="E919" s="5"/>
      <c r="F919" s="5"/>
      <c r="G919" s="5"/>
    </row>
    <row r="920" spans="2:7" ht="13">
      <c r="B920" s="36"/>
      <c r="C920" s="80"/>
      <c r="D920" s="5"/>
      <c r="E920" s="5"/>
      <c r="F920" s="5"/>
      <c r="G920" s="5"/>
    </row>
    <row r="921" spans="2:7" ht="13">
      <c r="B921" s="36"/>
      <c r="C921" s="80"/>
      <c r="D921" s="5"/>
      <c r="E921" s="5"/>
      <c r="F921" s="5"/>
      <c r="G921" s="5"/>
    </row>
    <row r="922" spans="2:7" ht="13">
      <c r="B922" s="36"/>
      <c r="C922" s="80"/>
      <c r="D922" s="5"/>
      <c r="E922" s="5"/>
      <c r="F922" s="5"/>
      <c r="G922" s="5"/>
    </row>
    <row r="923" spans="2:7" ht="13">
      <c r="B923" s="36"/>
      <c r="C923" s="80"/>
      <c r="D923" s="5"/>
      <c r="E923" s="5"/>
      <c r="F923" s="5"/>
      <c r="G923" s="5"/>
    </row>
    <row r="924" spans="2:7" ht="13">
      <c r="B924" s="36"/>
      <c r="C924" s="80"/>
      <c r="D924" s="5"/>
      <c r="E924" s="5"/>
      <c r="F924" s="5"/>
      <c r="G924" s="5"/>
    </row>
    <row r="925" spans="2:7" ht="13">
      <c r="B925" s="36"/>
      <c r="C925" s="80"/>
      <c r="D925" s="5"/>
      <c r="E925" s="5"/>
      <c r="F925" s="5"/>
      <c r="G925" s="5"/>
    </row>
    <row r="926" spans="2:7" ht="13">
      <c r="B926" s="36"/>
      <c r="C926" s="80"/>
      <c r="D926" s="5"/>
      <c r="E926" s="5"/>
      <c r="F926" s="5"/>
      <c r="G926" s="5"/>
    </row>
    <row r="927" spans="2:7" ht="13">
      <c r="B927" s="36"/>
      <c r="C927" s="80"/>
      <c r="D927" s="5"/>
      <c r="E927" s="5"/>
      <c r="F927" s="5"/>
      <c r="G927" s="5"/>
    </row>
    <row r="928" spans="2:7" ht="13">
      <c r="B928" s="36"/>
      <c r="C928" s="80"/>
      <c r="D928" s="5"/>
      <c r="E928" s="5"/>
      <c r="F928" s="5"/>
      <c r="G928" s="5"/>
    </row>
    <row r="929" spans="2:7" ht="13">
      <c r="B929" s="36"/>
      <c r="C929" s="80"/>
      <c r="D929" s="5"/>
      <c r="E929" s="5"/>
      <c r="F929" s="5"/>
      <c r="G929" s="5"/>
    </row>
    <row r="930" spans="2:7" ht="13">
      <c r="B930" s="36"/>
      <c r="C930" s="80"/>
      <c r="D930" s="5"/>
      <c r="E930" s="5"/>
      <c r="F930" s="5"/>
      <c r="G930" s="5"/>
    </row>
    <row r="931" spans="2:7" ht="13">
      <c r="B931" s="36"/>
      <c r="C931" s="80"/>
      <c r="D931" s="5"/>
      <c r="E931" s="5"/>
      <c r="F931" s="5"/>
      <c r="G931" s="5"/>
    </row>
    <row r="932" spans="2:7" ht="13">
      <c r="B932" s="36"/>
      <c r="C932" s="80"/>
      <c r="D932" s="5"/>
      <c r="E932" s="5"/>
      <c r="F932" s="5"/>
      <c r="G932" s="5"/>
    </row>
    <row r="933" spans="2:7" ht="13">
      <c r="B933" s="36"/>
      <c r="C933" s="80"/>
      <c r="D933" s="5"/>
      <c r="E933" s="5"/>
      <c r="F933" s="5"/>
      <c r="G933" s="5"/>
    </row>
    <row r="934" spans="2:7" ht="13">
      <c r="B934" s="36"/>
      <c r="C934" s="80"/>
      <c r="D934" s="5"/>
      <c r="E934" s="5"/>
      <c r="F934" s="5"/>
      <c r="G934" s="5"/>
    </row>
    <row r="935" spans="2:7" ht="13">
      <c r="B935" s="36"/>
      <c r="C935" s="80"/>
      <c r="D935" s="5"/>
      <c r="E935" s="5"/>
      <c r="F935" s="5"/>
      <c r="G935" s="5"/>
    </row>
    <row r="936" spans="2:7" ht="13">
      <c r="B936" s="36"/>
      <c r="C936" s="80"/>
      <c r="D936" s="5"/>
      <c r="E936" s="5"/>
      <c r="F936" s="5"/>
      <c r="G936" s="5"/>
    </row>
    <row r="937" spans="2:7" ht="13">
      <c r="B937" s="36"/>
      <c r="C937" s="80"/>
      <c r="D937" s="5"/>
      <c r="E937" s="5"/>
      <c r="F937" s="5"/>
      <c r="G937" s="5"/>
    </row>
    <row r="938" spans="2:7" ht="13">
      <c r="B938" s="36"/>
      <c r="C938" s="80"/>
      <c r="D938" s="5"/>
      <c r="E938" s="5"/>
      <c r="F938" s="5"/>
      <c r="G938" s="5"/>
    </row>
    <row r="939" spans="2:7" ht="13">
      <c r="B939" s="36"/>
      <c r="C939" s="80"/>
      <c r="D939" s="5"/>
      <c r="E939" s="5"/>
      <c r="F939" s="5"/>
      <c r="G939" s="5"/>
    </row>
    <row r="940" spans="2:7" ht="13">
      <c r="B940" s="36"/>
      <c r="C940" s="80"/>
      <c r="D940" s="5"/>
      <c r="E940" s="5"/>
      <c r="F940" s="5"/>
      <c r="G940" s="5"/>
    </row>
    <row r="941" spans="2:7" ht="13">
      <c r="B941" s="36"/>
      <c r="C941" s="80"/>
      <c r="D941" s="5"/>
      <c r="E941" s="5"/>
      <c r="F941" s="5"/>
      <c r="G941" s="5"/>
    </row>
    <row r="942" spans="2:7" ht="13">
      <c r="B942" s="36"/>
      <c r="C942" s="80"/>
      <c r="D942" s="5"/>
      <c r="E942" s="5"/>
      <c r="F942" s="5"/>
      <c r="G942" s="5"/>
    </row>
    <row r="943" spans="2:7" ht="13">
      <c r="B943" s="36"/>
      <c r="C943" s="80"/>
      <c r="D943" s="5"/>
      <c r="E943" s="5"/>
      <c r="F943" s="5"/>
      <c r="G943" s="5"/>
    </row>
    <row r="944" spans="2:7" ht="13">
      <c r="B944" s="36"/>
      <c r="C944" s="80"/>
      <c r="D944" s="5"/>
      <c r="E944" s="5"/>
      <c r="F944" s="5"/>
      <c r="G944" s="5"/>
    </row>
    <row r="945" spans="2:7" ht="13">
      <c r="B945" s="36"/>
      <c r="C945" s="80"/>
      <c r="D945" s="5"/>
      <c r="E945" s="5"/>
      <c r="F945" s="5"/>
      <c r="G945" s="5"/>
    </row>
    <row r="946" spans="2:7" ht="13">
      <c r="B946" s="36"/>
      <c r="C946" s="80"/>
      <c r="D946" s="5"/>
      <c r="E946" s="5"/>
      <c r="F946" s="5"/>
      <c r="G946" s="5"/>
    </row>
    <row r="947" spans="2:7" ht="13">
      <c r="B947" s="36"/>
      <c r="C947" s="80"/>
      <c r="D947" s="5"/>
      <c r="E947" s="5"/>
      <c r="F947" s="5"/>
      <c r="G947" s="5"/>
    </row>
    <row r="948" spans="2:7" ht="13">
      <c r="B948" s="36"/>
      <c r="C948" s="80"/>
      <c r="D948" s="5"/>
      <c r="E948" s="5"/>
      <c r="F948" s="5"/>
      <c r="G948" s="5"/>
    </row>
    <row r="949" spans="2:7" ht="13">
      <c r="B949" s="36"/>
      <c r="C949" s="80"/>
      <c r="D949" s="5"/>
      <c r="E949" s="5"/>
      <c r="F949" s="5"/>
      <c r="G949" s="5"/>
    </row>
    <row r="950" spans="2:7" ht="13">
      <c r="B950" s="36"/>
      <c r="C950" s="80"/>
      <c r="D950" s="5"/>
      <c r="E950" s="5"/>
      <c r="F950" s="5"/>
      <c r="G950" s="5"/>
    </row>
    <row r="951" spans="2:7" ht="13">
      <c r="B951" s="36"/>
      <c r="C951" s="80"/>
      <c r="D951" s="5"/>
      <c r="E951" s="5"/>
      <c r="F951" s="5"/>
      <c r="G951" s="5"/>
    </row>
    <row r="952" spans="2:7" ht="13">
      <c r="B952" s="36"/>
      <c r="C952" s="80"/>
      <c r="D952" s="5"/>
      <c r="E952" s="5"/>
      <c r="F952" s="5"/>
      <c r="G952" s="5"/>
    </row>
    <row r="953" spans="2:7" ht="13">
      <c r="B953" s="36"/>
      <c r="C953" s="80"/>
      <c r="D953" s="5"/>
      <c r="E953" s="5"/>
      <c r="F953" s="5"/>
      <c r="G953" s="5"/>
    </row>
    <row r="954" spans="2:7" ht="13">
      <c r="B954" s="36"/>
      <c r="C954" s="80"/>
      <c r="D954" s="5"/>
      <c r="E954" s="5"/>
      <c r="F954" s="5"/>
      <c r="G954" s="5"/>
    </row>
    <row r="955" spans="2:7" ht="13">
      <c r="B955" s="36"/>
      <c r="C955" s="80"/>
      <c r="D955" s="5"/>
      <c r="E955" s="5"/>
      <c r="F955" s="5"/>
      <c r="G955" s="5"/>
    </row>
    <row r="956" spans="2:7" ht="13">
      <c r="B956" s="36"/>
      <c r="C956" s="80"/>
      <c r="D956" s="5"/>
      <c r="E956" s="5"/>
      <c r="F956" s="5"/>
      <c r="G956" s="5"/>
    </row>
    <row r="957" spans="2:7" ht="13">
      <c r="B957" s="36"/>
      <c r="C957" s="80"/>
      <c r="D957" s="5"/>
      <c r="E957" s="5"/>
      <c r="F957" s="5"/>
      <c r="G957" s="5"/>
    </row>
    <row r="958" spans="2:7" ht="13">
      <c r="B958" s="36"/>
      <c r="C958" s="80"/>
      <c r="D958" s="5"/>
      <c r="E958" s="5"/>
      <c r="F958" s="5"/>
      <c r="G958" s="5"/>
    </row>
    <row r="959" spans="2:7" ht="13">
      <c r="B959" s="36"/>
      <c r="C959" s="80"/>
      <c r="D959" s="5"/>
      <c r="E959" s="5"/>
      <c r="F959" s="5"/>
      <c r="G959" s="5"/>
    </row>
    <row r="960" spans="2:7" ht="13">
      <c r="B960" s="36"/>
      <c r="C960" s="80"/>
      <c r="D960" s="5"/>
      <c r="E960" s="5"/>
      <c r="F960" s="5"/>
      <c r="G960" s="5"/>
    </row>
    <row r="961" spans="2:7" ht="13">
      <c r="B961" s="36"/>
      <c r="C961" s="80"/>
      <c r="D961" s="5"/>
      <c r="E961" s="5"/>
      <c r="F961" s="5"/>
      <c r="G961" s="5"/>
    </row>
    <row r="962" spans="2:7" ht="13">
      <c r="B962" s="36"/>
      <c r="C962" s="80"/>
      <c r="D962" s="5"/>
      <c r="E962" s="5"/>
      <c r="F962" s="5"/>
      <c r="G962" s="5"/>
    </row>
    <row r="963" spans="2:7" ht="13">
      <c r="B963" s="36"/>
      <c r="C963" s="80"/>
      <c r="D963" s="5"/>
      <c r="E963" s="5"/>
      <c r="F963" s="5"/>
      <c r="G963" s="5"/>
    </row>
    <row r="964" spans="2:7" ht="13">
      <c r="B964" s="36"/>
      <c r="C964" s="80"/>
      <c r="D964" s="5"/>
      <c r="E964" s="5"/>
      <c r="F964" s="5"/>
      <c r="G964" s="5"/>
    </row>
    <row r="965" spans="2:7" ht="13">
      <c r="B965" s="36"/>
      <c r="C965" s="80"/>
      <c r="D965" s="5"/>
      <c r="E965" s="5"/>
      <c r="F965" s="5"/>
      <c r="G965" s="5"/>
    </row>
    <row r="966" spans="2:7" ht="13">
      <c r="B966" s="36"/>
      <c r="C966" s="80"/>
      <c r="D966" s="5"/>
      <c r="E966" s="5"/>
      <c r="F966" s="5"/>
      <c r="G966" s="5"/>
    </row>
    <row r="967" spans="2:7" ht="13">
      <c r="B967" s="36"/>
      <c r="C967" s="80"/>
      <c r="D967" s="5"/>
      <c r="E967" s="5"/>
      <c r="F967" s="5"/>
      <c r="G967" s="5"/>
    </row>
    <row r="968" spans="2:7" ht="13">
      <c r="B968" s="36"/>
      <c r="C968" s="80"/>
      <c r="D968" s="5"/>
      <c r="E968" s="5"/>
      <c r="F968" s="5"/>
      <c r="G968" s="5"/>
    </row>
    <row r="969" spans="2:7" ht="13">
      <c r="B969" s="36"/>
      <c r="C969" s="80"/>
      <c r="D969" s="5"/>
      <c r="E969" s="5"/>
      <c r="F969" s="5"/>
      <c r="G969" s="5"/>
    </row>
    <row r="970" spans="2:7" ht="13">
      <c r="B970" s="36"/>
      <c r="C970" s="80"/>
      <c r="D970" s="5"/>
      <c r="E970" s="5"/>
      <c r="F970" s="5"/>
      <c r="G970" s="5"/>
    </row>
    <row r="971" spans="2:7" ht="13">
      <c r="B971" s="36"/>
      <c r="C971" s="80"/>
      <c r="D971" s="5"/>
      <c r="E971" s="5"/>
      <c r="F971" s="5"/>
      <c r="G971" s="5"/>
    </row>
    <row r="972" spans="2:7" ht="13">
      <c r="B972" s="36"/>
      <c r="C972" s="80"/>
      <c r="D972" s="5"/>
      <c r="E972" s="5"/>
      <c r="F972" s="5"/>
      <c r="G972" s="5"/>
    </row>
    <row r="973" spans="2:7" ht="13">
      <c r="B973" s="36"/>
      <c r="C973" s="80"/>
      <c r="D973" s="5"/>
      <c r="E973" s="5"/>
      <c r="F973" s="5"/>
      <c r="G973" s="5"/>
    </row>
    <row r="974" spans="2:7" ht="13">
      <c r="B974" s="36"/>
      <c r="C974" s="80"/>
      <c r="D974" s="5"/>
      <c r="E974" s="5"/>
      <c r="F974" s="5"/>
      <c r="G974" s="5"/>
    </row>
    <row r="975" spans="2:7" ht="13">
      <c r="B975" s="36"/>
      <c r="C975" s="80"/>
      <c r="D975" s="5"/>
      <c r="E975" s="5"/>
      <c r="F975" s="5"/>
      <c r="G975" s="5"/>
    </row>
    <row r="976" spans="2:7" ht="13">
      <c r="B976" s="36"/>
      <c r="C976" s="80"/>
      <c r="D976" s="5"/>
      <c r="E976" s="5"/>
      <c r="F976" s="5"/>
      <c r="G976" s="5"/>
    </row>
    <row r="977" spans="2:7" ht="13">
      <c r="B977" s="36"/>
      <c r="C977" s="80"/>
      <c r="D977" s="5"/>
      <c r="E977" s="5"/>
      <c r="F977" s="5"/>
      <c r="G977" s="5"/>
    </row>
    <row r="978" spans="2:7" ht="13">
      <c r="B978" s="36"/>
      <c r="C978" s="80"/>
      <c r="D978" s="5"/>
      <c r="E978" s="5"/>
      <c r="F978" s="5"/>
      <c r="G978" s="5"/>
    </row>
    <row r="979" spans="2:7" ht="13">
      <c r="B979" s="36"/>
      <c r="C979" s="80"/>
      <c r="D979" s="5"/>
      <c r="E979" s="5"/>
      <c r="F979" s="5"/>
      <c r="G979" s="5"/>
    </row>
    <row r="980" spans="2:7" ht="13">
      <c r="B980" s="36"/>
      <c r="C980" s="80"/>
      <c r="D980" s="5"/>
      <c r="E980" s="5"/>
      <c r="F980" s="5"/>
      <c r="G980" s="5"/>
    </row>
    <row r="981" spans="2:7" ht="13">
      <c r="B981" s="36"/>
      <c r="C981" s="80"/>
      <c r="D981" s="5"/>
      <c r="E981" s="5"/>
      <c r="F981" s="5"/>
      <c r="G981" s="5"/>
    </row>
    <row r="982" spans="2:7" ht="13">
      <c r="B982" s="36"/>
      <c r="C982" s="80"/>
      <c r="D982" s="5"/>
      <c r="E982" s="5"/>
      <c r="F982" s="5"/>
      <c r="G982" s="5"/>
    </row>
    <row r="983" spans="2:7" ht="13">
      <c r="B983" s="36"/>
      <c r="C983" s="80"/>
      <c r="D983" s="5"/>
      <c r="E983" s="5"/>
      <c r="F983" s="5"/>
      <c r="G983" s="5"/>
    </row>
    <row r="984" spans="2:7" ht="13">
      <c r="B984" s="36"/>
      <c r="C984" s="80"/>
      <c r="D984" s="5"/>
      <c r="E984" s="5"/>
      <c r="F984" s="5"/>
      <c r="G984" s="5"/>
    </row>
    <row r="985" spans="2:7" ht="13">
      <c r="B985" s="36"/>
      <c r="C985" s="80"/>
      <c r="D985" s="5"/>
      <c r="E985" s="5"/>
      <c r="F985" s="5"/>
      <c r="G985" s="5"/>
    </row>
    <row r="986" spans="2:7" ht="13">
      <c r="B986" s="36"/>
      <c r="C986" s="80"/>
      <c r="D986" s="5"/>
      <c r="E986" s="5"/>
      <c r="F986" s="5"/>
      <c r="G986" s="5"/>
    </row>
    <row r="987" spans="2:7" ht="13">
      <c r="B987" s="36"/>
      <c r="C987" s="80"/>
      <c r="D987" s="5"/>
      <c r="E987" s="5"/>
      <c r="F987" s="5"/>
      <c r="G987" s="5"/>
    </row>
    <row r="988" spans="2:7" ht="13">
      <c r="B988" s="36"/>
      <c r="C988" s="80"/>
      <c r="D988" s="5"/>
      <c r="E988" s="5"/>
      <c r="F988" s="5"/>
      <c r="G988" s="5"/>
    </row>
    <row r="989" spans="2:7" ht="13">
      <c r="B989" s="36"/>
      <c r="C989" s="80"/>
      <c r="D989" s="5"/>
      <c r="E989" s="5"/>
      <c r="F989" s="5"/>
      <c r="G989" s="5"/>
    </row>
    <row r="990" spans="2:7" ht="13">
      <c r="B990" s="36"/>
      <c r="C990" s="80"/>
      <c r="D990" s="5"/>
      <c r="E990" s="5"/>
      <c r="F990" s="5"/>
      <c r="G990" s="5"/>
    </row>
    <row r="991" spans="2:7" ht="13">
      <c r="B991" s="36"/>
      <c r="C991" s="80"/>
      <c r="D991" s="5"/>
      <c r="E991" s="5"/>
      <c r="F991" s="5"/>
      <c r="G991" s="5"/>
    </row>
    <row r="992" spans="2:7" ht="13">
      <c r="B992" s="36"/>
      <c r="C992" s="80"/>
      <c r="D992" s="5"/>
      <c r="E992" s="5"/>
      <c r="F992" s="5"/>
      <c r="G992" s="5"/>
    </row>
    <row r="993" spans="2:7" ht="13">
      <c r="B993" s="36"/>
      <c r="C993" s="80"/>
      <c r="D993" s="5"/>
      <c r="E993" s="5"/>
      <c r="F993" s="5"/>
      <c r="G993" s="5"/>
    </row>
    <row r="994" spans="2:7" ht="13">
      <c r="B994" s="36"/>
      <c r="C994" s="80"/>
      <c r="D994" s="5"/>
      <c r="E994" s="5"/>
      <c r="F994" s="5"/>
      <c r="G994" s="5"/>
    </row>
    <row r="995" spans="2:7" ht="13">
      <c r="B995" s="36"/>
      <c r="C995" s="80"/>
      <c r="D995" s="5"/>
      <c r="E995" s="5"/>
      <c r="F995" s="5"/>
      <c r="G995" s="5"/>
    </row>
    <row r="996" spans="2:7" ht="13">
      <c r="B996" s="36"/>
      <c r="C996" s="80"/>
      <c r="D996" s="5"/>
      <c r="E996" s="5"/>
      <c r="F996" s="5"/>
      <c r="G996" s="5"/>
    </row>
    <row r="997" spans="2:7" ht="13">
      <c r="B997" s="36"/>
      <c r="C997" s="80"/>
      <c r="D997" s="5"/>
      <c r="E997" s="5"/>
      <c r="F997" s="5"/>
      <c r="G997" s="5"/>
    </row>
    <row r="998" spans="2:7" ht="13">
      <c r="B998" s="36"/>
      <c r="C998" s="80"/>
      <c r="D998" s="5"/>
      <c r="E998" s="5"/>
      <c r="F998" s="5"/>
      <c r="G998" s="5"/>
    </row>
    <row r="999" spans="2:7" ht="13">
      <c r="B999" s="36"/>
      <c r="C999" s="80"/>
      <c r="D999" s="5"/>
      <c r="E999" s="5"/>
      <c r="F999" s="5"/>
      <c r="G999" s="5"/>
    </row>
    <row r="1000" spans="2:7" ht="13">
      <c r="B1000" s="36"/>
      <c r="C1000" s="80"/>
      <c r="D1000" s="5"/>
      <c r="E1000" s="5"/>
      <c r="F1000" s="5"/>
      <c r="G1000" s="5"/>
    </row>
    <row r="1001" spans="2:7" ht="13">
      <c r="B1001" s="36"/>
      <c r="C1001" s="80"/>
      <c r="D1001" s="5"/>
      <c r="E1001" s="5"/>
      <c r="F1001" s="5"/>
      <c r="G1001" s="5"/>
    </row>
    <row r="1002" spans="2:7" ht="13">
      <c r="B1002" s="36"/>
      <c r="C1002" s="80"/>
      <c r="D1002" s="5"/>
      <c r="E1002" s="5"/>
      <c r="F1002" s="5"/>
      <c r="G1002" s="5"/>
    </row>
  </sheetData>
  <hyperlinks>
    <hyperlink ref="B7" r:id="rId1" xr:uid="{00000000-0004-0000-4F00-000000000000}"/>
    <hyperlink ref="B8" r:id="rId2" xr:uid="{00000000-0004-0000-4F00-000001000000}"/>
    <hyperlink ref="B9" r:id="rId3" xr:uid="{00000000-0004-0000-4F00-000002000000}"/>
    <hyperlink ref="B10" r:id="rId4" xr:uid="{00000000-0004-0000-4F00-000003000000}"/>
    <hyperlink ref="B11" r:id="rId5" xr:uid="{00000000-0004-0000-4F00-000004000000}"/>
    <hyperlink ref="B12" r:id="rId6" xr:uid="{00000000-0004-0000-4F00-000005000000}"/>
    <hyperlink ref="B13" r:id="rId7" xr:uid="{00000000-0004-0000-4F00-000006000000}"/>
    <hyperlink ref="B18" r:id="rId8" xr:uid="{00000000-0004-0000-4F00-000007000000}"/>
    <hyperlink ref="B19" r:id="rId9" xr:uid="{00000000-0004-0000-4F00-000008000000}"/>
    <hyperlink ref="B20" r:id="rId10" xr:uid="{00000000-0004-0000-4F00-000009000000}"/>
    <hyperlink ref="B23" r:id="rId11" xr:uid="{00000000-0004-0000-4F00-00000A000000}"/>
    <hyperlink ref="B24" r:id="rId12" xr:uid="{00000000-0004-0000-4F00-00000B000000}"/>
    <hyperlink ref="B25" r:id="rId13" xr:uid="{00000000-0004-0000-4F00-00000C000000}"/>
    <hyperlink ref="B26" r:id="rId14" xr:uid="{00000000-0004-0000-4F00-00000D000000}"/>
    <hyperlink ref="B27" r:id="rId15" xr:uid="{00000000-0004-0000-4F00-00000E000000}"/>
    <hyperlink ref="B29" r:id="rId16" xr:uid="{00000000-0004-0000-4F00-00000F000000}"/>
    <hyperlink ref="B30" r:id="rId17" xr:uid="{00000000-0004-0000-4F00-000010000000}"/>
    <hyperlink ref="B31" r:id="rId18" xr:uid="{00000000-0004-0000-4F00-000011000000}"/>
    <hyperlink ref="B33" r:id="rId19" xr:uid="{00000000-0004-0000-4F00-000012000000}"/>
    <hyperlink ref="B34" r:id="rId20" xr:uid="{00000000-0004-0000-4F00-000013000000}"/>
    <hyperlink ref="B35" r:id="rId21" xr:uid="{00000000-0004-0000-4F00-000014000000}"/>
    <hyperlink ref="B36" r:id="rId22" xr:uid="{00000000-0004-0000-4F00-000015000000}"/>
    <hyperlink ref="B37" r:id="rId23" xr:uid="{00000000-0004-0000-4F00-000016000000}"/>
    <hyperlink ref="B38" r:id="rId24" xr:uid="{00000000-0004-0000-4F00-000017000000}"/>
    <hyperlink ref="B39" r:id="rId25" xr:uid="{00000000-0004-0000-4F00-000018000000}"/>
    <hyperlink ref="B40" r:id="rId26" xr:uid="{00000000-0004-0000-4F00-000019000000}"/>
    <hyperlink ref="B42" r:id="rId27" xr:uid="{00000000-0004-0000-4F00-00001A000000}"/>
    <hyperlink ref="B43" r:id="rId28" xr:uid="{00000000-0004-0000-4F00-00001B000000}"/>
    <hyperlink ref="B44" r:id="rId29" xr:uid="{00000000-0004-0000-4F00-00001C000000}"/>
    <hyperlink ref="B45" r:id="rId30" xr:uid="{00000000-0004-0000-4F00-00001D000000}"/>
    <hyperlink ref="B46" r:id="rId31" xr:uid="{00000000-0004-0000-4F00-00001E000000}"/>
    <hyperlink ref="B47" r:id="rId32" xr:uid="{00000000-0004-0000-4F00-00001F000000}"/>
    <hyperlink ref="B48" r:id="rId33" xr:uid="{00000000-0004-0000-4F00-000020000000}"/>
    <hyperlink ref="B49" r:id="rId34" xr:uid="{00000000-0004-0000-4F00-000021000000}"/>
    <hyperlink ref="B51" r:id="rId35" xr:uid="{00000000-0004-0000-4F00-000022000000}"/>
    <hyperlink ref="B52" r:id="rId36" xr:uid="{00000000-0004-0000-4F00-000023000000}"/>
    <hyperlink ref="B53" r:id="rId37" xr:uid="{00000000-0004-0000-4F00-000024000000}"/>
    <hyperlink ref="B54" r:id="rId38" xr:uid="{00000000-0004-0000-4F00-000025000000}"/>
    <hyperlink ref="B55" r:id="rId39" xr:uid="{00000000-0004-0000-4F00-000026000000}"/>
    <hyperlink ref="B56" r:id="rId40" xr:uid="{00000000-0004-0000-4F00-000027000000}"/>
    <hyperlink ref="B57" r:id="rId41" xr:uid="{00000000-0004-0000-4F00-000028000000}"/>
    <hyperlink ref="B58" r:id="rId42" xr:uid="{00000000-0004-0000-4F00-000029000000}"/>
    <hyperlink ref="B59" r:id="rId43" xr:uid="{00000000-0004-0000-4F00-00002A000000}"/>
    <hyperlink ref="B60" r:id="rId44" xr:uid="{00000000-0004-0000-4F00-00002B000000}"/>
    <hyperlink ref="B61" r:id="rId45" xr:uid="{00000000-0004-0000-4F00-00002C000000}"/>
    <hyperlink ref="B62" r:id="rId46" xr:uid="{00000000-0004-0000-4F00-00002D000000}"/>
    <hyperlink ref="B63" r:id="rId47" xr:uid="{00000000-0004-0000-4F00-00002E000000}"/>
    <hyperlink ref="B64" r:id="rId48" xr:uid="{00000000-0004-0000-4F00-00002F000000}"/>
    <hyperlink ref="B65" r:id="rId49" xr:uid="{00000000-0004-0000-4F00-000030000000}"/>
    <hyperlink ref="B66" r:id="rId50" xr:uid="{00000000-0004-0000-4F00-000031000000}"/>
    <hyperlink ref="B67" r:id="rId51" xr:uid="{00000000-0004-0000-4F00-000032000000}"/>
    <hyperlink ref="B68" r:id="rId52" xr:uid="{00000000-0004-0000-4F00-000033000000}"/>
    <hyperlink ref="B69" r:id="rId53" xr:uid="{00000000-0004-0000-4F00-000034000000}"/>
    <hyperlink ref="B70" r:id="rId54" xr:uid="{00000000-0004-0000-4F00-000035000000}"/>
    <hyperlink ref="B71" r:id="rId55" xr:uid="{00000000-0004-0000-4F00-000036000000}"/>
    <hyperlink ref="B72" r:id="rId56" xr:uid="{00000000-0004-0000-4F00-000037000000}"/>
    <hyperlink ref="B73" r:id="rId57" xr:uid="{00000000-0004-0000-4F00-000038000000}"/>
    <hyperlink ref="B74" r:id="rId58" xr:uid="{00000000-0004-0000-4F00-000039000000}"/>
    <hyperlink ref="B75" r:id="rId59" xr:uid="{00000000-0004-0000-4F00-00003A000000}"/>
    <hyperlink ref="B76" r:id="rId60" xr:uid="{00000000-0004-0000-4F00-00003B000000}"/>
    <hyperlink ref="B77" r:id="rId61" xr:uid="{00000000-0004-0000-4F00-00003C000000}"/>
    <hyperlink ref="B78" r:id="rId62" xr:uid="{00000000-0004-0000-4F00-00003D000000}"/>
    <hyperlink ref="B79" r:id="rId63" xr:uid="{00000000-0004-0000-4F00-00003E000000}"/>
    <hyperlink ref="B80" r:id="rId64" xr:uid="{00000000-0004-0000-4F00-00003F000000}"/>
    <hyperlink ref="B81" r:id="rId65" xr:uid="{00000000-0004-0000-4F00-000040000000}"/>
    <hyperlink ref="B82" r:id="rId66" xr:uid="{00000000-0004-0000-4F00-000041000000}"/>
    <hyperlink ref="B83" r:id="rId67" xr:uid="{00000000-0004-0000-4F00-000042000000}"/>
    <hyperlink ref="B84" r:id="rId68" xr:uid="{00000000-0004-0000-4F00-000043000000}"/>
    <hyperlink ref="B85" r:id="rId69" xr:uid="{00000000-0004-0000-4F00-000044000000}"/>
    <hyperlink ref="B86" r:id="rId70" xr:uid="{00000000-0004-0000-4F00-000045000000}"/>
    <hyperlink ref="B87" r:id="rId71" xr:uid="{00000000-0004-0000-4F00-000046000000}"/>
    <hyperlink ref="B90" r:id="rId72" xr:uid="{00000000-0004-0000-4F00-000047000000}"/>
    <hyperlink ref="B91" r:id="rId73" xr:uid="{00000000-0004-0000-4F00-000048000000}"/>
    <hyperlink ref="B92" r:id="rId74" xr:uid="{00000000-0004-0000-4F00-000049000000}"/>
    <hyperlink ref="B93" r:id="rId75" xr:uid="{00000000-0004-0000-4F00-00004A000000}"/>
    <hyperlink ref="B94" r:id="rId76" xr:uid="{00000000-0004-0000-4F00-00004B000000}"/>
    <hyperlink ref="B96" r:id="rId77" xr:uid="{00000000-0004-0000-4F00-00004C000000}"/>
    <hyperlink ref="B97" r:id="rId78" xr:uid="{00000000-0004-0000-4F00-00004D000000}"/>
    <hyperlink ref="B98" r:id="rId79" xr:uid="{00000000-0004-0000-4F00-00004E000000}"/>
    <hyperlink ref="B99" r:id="rId80" xr:uid="{00000000-0004-0000-4F00-00004F000000}"/>
    <hyperlink ref="B100" r:id="rId81" xr:uid="{00000000-0004-0000-4F00-000050000000}"/>
    <hyperlink ref="B101" r:id="rId82" xr:uid="{00000000-0004-0000-4F00-000051000000}"/>
    <hyperlink ref="B102" r:id="rId83" xr:uid="{00000000-0004-0000-4F00-000052000000}"/>
    <hyperlink ref="B103" r:id="rId84" xr:uid="{00000000-0004-0000-4F00-000053000000}"/>
    <hyperlink ref="B104" r:id="rId85" xr:uid="{00000000-0004-0000-4F00-000054000000}"/>
    <hyperlink ref="B105" r:id="rId86" xr:uid="{00000000-0004-0000-4F00-000055000000}"/>
    <hyperlink ref="B106" r:id="rId87" xr:uid="{00000000-0004-0000-4F00-000056000000}"/>
    <hyperlink ref="B107" r:id="rId88" xr:uid="{00000000-0004-0000-4F00-000057000000}"/>
    <hyperlink ref="B108" r:id="rId89" xr:uid="{00000000-0004-0000-4F00-000058000000}"/>
    <hyperlink ref="B109" r:id="rId90" xr:uid="{00000000-0004-0000-4F00-000059000000}"/>
    <hyperlink ref="B111" r:id="rId91" xr:uid="{00000000-0004-0000-4F00-00005A000000}"/>
    <hyperlink ref="B112" r:id="rId92" xr:uid="{00000000-0004-0000-4F00-00005B000000}"/>
    <hyperlink ref="B113" r:id="rId93" xr:uid="{00000000-0004-0000-4F00-00005C000000}"/>
    <hyperlink ref="B114" r:id="rId94" xr:uid="{00000000-0004-0000-4F00-00005D000000}"/>
    <hyperlink ref="B115" r:id="rId95" xr:uid="{00000000-0004-0000-4F00-00005E000000}"/>
    <hyperlink ref="B116" r:id="rId96" xr:uid="{00000000-0004-0000-4F00-00005F000000}"/>
    <hyperlink ref="B118" r:id="rId97" xr:uid="{00000000-0004-0000-4F00-00006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1">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0.33203125" customWidth="1"/>
    <col min="3" max="3" width="13.5" customWidth="1"/>
    <col min="4" max="4" width="14.83203125" customWidth="1"/>
    <col min="5" max="5" width="14.33203125" customWidth="1"/>
  </cols>
  <sheetData>
    <row r="1" spans="1:10" ht="15.75" customHeight="1">
      <c r="A1" s="1" t="s">
        <v>131</v>
      </c>
      <c r="B1" s="36"/>
      <c r="C1" s="80"/>
      <c r="D1" s="81" t="s">
        <v>181</v>
      </c>
      <c r="E1" s="5"/>
      <c r="F1" s="5"/>
      <c r="G1" s="5"/>
    </row>
    <row r="2" spans="1:10" ht="15.75" customHeight="1">
      <c r="A2" s="7" t="s">
        <v>182</v>
      </c>
      <c r="B2" s="38">
        <v>42492</v>
      </c>
      <c r="C2" s="80"/>
      <c r="D2" s="82">
        <f>SUM(D5:G129)</f>
        <v>0</v>
      </c>
      <c r="E2" s="5"/>
      <c r="F2" s="5"/>
      <c r="G2" s="5"/>
    </row>
    <row r="3" spans="1:10" ht="15.75" customHeight="1">
      <c r="B3" s="36"/>
      <c r="C3" s="80"/>
      <c r="D3" s="5"/>
      <c r="E3" s="5"/>
      <c r="F3" s="5"/>
      <c r="G3" s="5"/>
    </row>
    <row r="4" spans="1:10" ht="15.75" customHeight="1">
      <c r="A4" s="42" t="s">
        <v>183</v>
      </c>
      <c r="B4" s="43" t="s">
        <v>184</v>
      </c>
      <c r="C4" s="42" t="s">
        <v>185</v>
      </c>
      <c r="D4" s="83" t="s">
        <v>186</v>
      </c>
      <c r="E4" s="84" t="s">
        <v>187</v>
      </c>
      <c r="F4" s="84" t="s">
        <v>188</v>
      </c>
      <c r="G4" s="85" t="s">
        <v>189</v>
      </c>
      <c r="H4" s="84" t="s">
        <v>190</v>
      </c>
      <c r="I4" s="85"/>
    </row>
    <row r="5" spans="1:10" ht="15.75" customHeight="1">
      <c r="A5" s="64" t="s">
        <v>4189</v>
      </c>
      <c r="B5" s="77" t="s">
        <v>888</v>
      </c>
      <c r="C5" s="64" t="s">
        <v>205</v>
      </c>
      <c r="D5" s="86"/>
      <c r="E5" s="87"/>
      <c r="F5" s="87"/>
      <c r="G5" s="87"/>
      <c r="H5" s="88"/>
      <c r="I5" s="88"/>
      <c r="J5" s="88"/>
    </row>
    <row r="6" spans="1:10" ht="15.75" customHeight="1">
      <c r="A6" s="64" t="s">
        <v>4190</v>
      </c>
      <c r="B6" s="77" t="s">
        <v>6019</v>
      </c>
      <c r="C6" s="64" t="s">
        <v>205</v>
      </c>
      <c r="D6" s="72"/>
      <c r="E6" s="5"/>
      <c r="F6" s="5"/>
      <c r="G6" s="5"/>
      <c r="J6" s="88"/>
    </row>
    <row r="7" spans="1:10" ht="15.75" customHeight="1">
      <c r="A7" s="64" t="s">
        <v>4191</v>
      </c>
      <c r="B7" s="77" t="s">
        <v>6020</v>
      </c>
      <c r="C7" s="64" t="s">
        <v>205</v>
      </c>
      <c r="D7" s="72"/>
      <c r="E7" s="5"/>
      <c r="F7" s="5"/>
      <c r="G7" s="5"/>
    </row>
    <row r="8" spans="1:10" ht="15.75" customHeight="1">
      <c r="A8" s="64" t="s">
        <v>4192</v>
      </c>
      <c r="B8" s="77" t="s">
        <v>3318</v>
      </c>
      <c r="C8" s="64" t="s">
        <v>205</v>
      </c>
      <c r="D8" s="76"/>
      <c r="E8" s="5"/>
      <c r="F8" s="5"/>
      <c r="G8" s="5"/>
    </row>
    <row r="9" spans="1:10" ht="15.75" customHeight="1">
      <c r="A9" s="64" t="s">
        <v>4193</v>
      </c>
      <c r="B9" s="77" t="s">
        <v>4028</v>
      </c>
      <c r="C9" s="64" t="s">
        <v>205</v>
      </c>
      <c r="D9" s="72"/>
      <c r="E9" s="5"/>
      <c r="F9" s="5"/>
      <c r="G9" s="5"/>
    </row>
    <row r="10" spans="1:10" ht="15.75" customHeight="1">
      <c r="A10" s="64" t="s">
        <v>4194</v>
      </c>
      <c r="B10" s="77" t="s">
        <v>4185</v>
      </c>
      <c r="C10" s="64" t="s">
        <v>205</v>
      </c>
      <c r="D10" s="72"/>
      <c r="E10" s="5"/>
      <c r="F10" s="5"/>
      <c r="G10" s="5"/>
    </row>
    <row r="11" spans="1:10" ht="15.75" customHeight="1">
      <c r="A11" s="64" t="s">
        <v>4195</v>
      </c>
      <c r="B11" s="77" t="s">
        <v>4337</v>
      </c>
      <c r="C11" s="64" t="s">
        <v>205</v>
      </c>
      <c r="D11" s="72"/>
      <c r="E11" s="51"/>
      <c r="F11" s="5"/>
      <c r="G11" s="5"/>
    </row>
    <row r="12" spans="1:10" ht="15.75" customHeight="1">
      <c r="A12" s="64" t="s">
        <v>4196</v>
      </c>
      <c r="B12" s="77" t="s">
        <v>6021</v>
      </c>
      <c r="C12" s="64" t="s">
        <v>205</v>
      </c>
      <c r="D12" s="72"/>
      <c r="E12" s="5"/>
      <c r="F12" s="5"/>
      <c r="G12" s="5"/>
    </row>
    <row r="13" spans="1:10" ht="15.75" customHeight="1">
      <c r="A13" s="64" t="s">
        <v>4197</v>
      </c>
      <c r="B13" s="77" t="s">
        <v>209</v>
      </c>
      <c r="C13" s="64" t="s">
        <v>199</v>
      </c>
      <c r="D13" s="76"/>
      <c r="E13" s="5"/>
      <c r="F13" s="5"/>
      <c r="G13" s="5"/>
    </row>
    <row r="14" spans="1:10" ht="15.75" customHeight="1">
      <c r="A14" s="64" t="s">
        <v>4198</v>
      </c>
      <c r="B14" s="77" t="s">
        <v>4738</v>
      </c>
      <c r="C14" s="64" t="s">
        <v>199</v>
      </c>
      <c r="D14" s="72"/>
      <c r="E14" s="5"/>
      <c r="F14" s="5"/>
      <c r="G14" s="5"/>
    </row>
    <row r="15" spans="1:10" ht="15.75" customHeight="1">
      <c r="A15" s="64" t="s">
        <v>4199</v>
      </c>
      <c r="B15" s="77" t="s">
        <v>4738</v>
      </c>
      <c r="C15" s="64" t="s">
        <v>199</v>
      </c>
      <c r="D15" s="72"/>
      <c r="E15" s="5"/>
      <c r="F15" s="5"/>
      <c r="G15" s="5"/>
    </row>
    <row r="16" spans="1:10" ht="15.75" customHeight="1">
      <c r="A16" s="64" t="s">
        <v>4200</v>
      </c>
      <c r="B16" s="77" t="s">
        <v>4924</v>
      </c>
      <c r="C16" s="64" t="s">
        <v>199</v>
      </c>
      <c r="D16" s="76"/>
      <c r="E16" s="5"/>
      <c r="F16" s="5"/>
      <c r="G16" s="5"/>
    </row>
    <row r="17" spans="1:7" ht="15.75" customHeight="1">
      <c r="A17" s="64" t="s">
        <v>4201</v>
      </c>
      <c r="B17" s="77" t="s">
        <v>5000</v>
      </c>
      <c r="C17" s="64" t="s">
        <v>199</v>
      </c>
      <c r="D17" s="76"/>
      <c r="E17" s="5"/>
      <c r="F17" s="5"/>
      <c r="G17" s="5"/>
    </row>
    <row r="18" spans="1:7" ht="15.75" customHeight="1">
      <c r="A18" s="64" t="s">
        <v>4202</v>
      </c>
      <c r="B18" s="78" t="str">
        <f>HYPERLINK("https://bulbapedia.bulbagarden.net/wiki/Delphox_BREAK_(Fates_Collide_14)","DelphoxBREAK")</f>
        <v>DelphoxBREAK</v>
      </c>
      <c r="C18" s="64" t="s">
        <v>199</v>
      </c>
      <c r="D18" s="76"/>
      <c r="E18" s="5"/>
      <c r="F18" s="5"/>
      <c r="G18" s="5"/>
    </row>
    <row r="19" spans="1:7" ht="15.75" customHeight="1">
      <c r="A19" s="64" t="s">
        <v>4203</v>
      </c>
      <c r="B19" s="77" t="s">
        <v>273</v>
      </c>
      <c r="C19" s="64" t="s">
        <v>208</v>
      </c>
      <c r="D19" s="72"/>
      <c r="E19" s="5"/>
      <c r="F19" s="5"/>
      <c r="G19" s="5"/>
    </row>
    <row r="20" spans="1:7" ht="15.75" customHeight="1">
      <c r="A20" s="64" t="s">
        <v>4204</v>
      </c>
      <c r="B20" s="77" t="s">
        <v>259</v>
      </c>
      <c r="C20" s="64" t="s">
        <v>208</v>
      </c>
      <c r="D20" s="72"/>
      <c r="E20" s="5"/>
      <c r="F20" s="5"/>
      <c r="G20" s="5"/>
    </row>
    <row r="21" spans="1:7" ht="15.75" customHeight="1">
      <c r="A21" s="64" t="s">
        <v>4205</v>
      </c>
      <c r="B21" s="77" t="s">
        <v>385</v>
      </c>
      <c r="C21" s="64" t="s">
        <v>208</v>
      </c>
      <c r="D21" s="76"/>
      <c r="E21" s="5"/>
      <c r="F21" s="5"/>
      <c r="G21" s="5"/>
    </row>
    <row r="22" spans="1:7" ht="15.75" customHeight="1">
      <c r="A22" s="64" t="s">
        <v>4206</v>
      </c>
      <c r="B22" s="77" t="s">
        <v>373</v>
      </c>
      <c r="C22" s="64" t="s">
        <v>208</v>
      </c>
      <c r="D22" s="72"/>
      <c r="E22" s="5"/>
      <c r="F22" s="5"/>
      <c r="G22" s="5"/>
    </row>
    <row r="23" spans="1:7" ht="15.75" customHeight="1">
      <c r="A23" s="64" t="s">
        <v>4207</v>
      </c>
      <c r="B23" s="78" t="str">
        <f>HYPERLINK("https://bulbapedia.bulbagarden.net/wiki/Omastar_BREAK_(Fates_Collide_19)","OmastarBREAK")</f>
        <v>OmastarBREAK</v>
      </c>
      <c r="C23" s="64" t="s">
        <v>208</v>
      </c>
      <c r="D23" s="76"/>
      <c r="E23" s="5"/>
      <c r="F23" s="5"/>
      <c r="G23" s="5"/>
    </row>
    <row r="24" spans="1:7" ht="15.75" customHeight="1">
      <c r="A24" s="64" t="s">
        <v>4208</v>
      </c>
      <c r="B24" s="78" t="str">
        <f>HYPERLINK("https://bulbapedia.bulbagarden.net/wiki/Glaceon-EX_(Fates_Collide_20)","GlaceonEX")</f>
        <v>GlaceonEX</v>
      </c>
      <c r="C24" s="64" t="s">
        <v>208</v>
      </c>
      <c r="D24" s="76"/>
      <c r="E24" s="5"/>
      <c r="F24" s="5"/>
      <c r="G24" s="5"/>
    </row>
    <row r="25" spans="1:7" ht="15.75" customHeight="1">
      <c r="A25" s="64" t="s">
        <v>4209</v>
      </c>
      <c r="B25" s="77" t="s">
        <v>4460</v>
      </c>
      <c r="C25" s="64" t="s">
        <v>208</v>
      </c>
      <c r="D25" s="76"/>
      <c r="E25" s="5"/>
      <c r="F25" s="5"/>
      <c r="G25" s="5"/>
    </row>
    <row r="26" spans="1:7" ht="15.75" customHeight="1">
      <c r="A26" s="64" t="s">
        <v>4210</v>
      </c>
      <c r="B26" s="77" t="s">
        <v>5096</v>
      </c>
      <c r="C26" s="64" t="s">
        <v>208</v>
      </c>
      <c r="D26" s="76"/>
      <c r="E26" s="5"/>
      <c r="F26" s="5"/>
      <c r="G26" s="5"/>
    </row>
    <row r="27" spans="1:7" ht="15.75" customHeight="1">
      <c r="A27" s="64" t="s">
        <v>4212</v>
      </c>
      <c r="B27" s="77" t="s">
        <v>5097</v>
      </c>
      <c r="C27" s="64" t="s">
        <v>208</v>
      </c>
      <c r="D27" s="76"/>
      <c r="E27" s="5"/>
      <c r="F27" s="5"/>
      <c r="G27" s="5"/>
    </row>
    <row r="28" spans="1:7" ht="15.75" customHeight="1">
      <c r="A28" s="64" t="s">
        <v>4213</v>
      </c>
      <c r="B28" s="77" t="s">
        <v>3338</v>
      </c>
      <c r="C28" s="64" t="s">
        <v>192</v>
      </c>
      <c r="D28" s="76"/>
      <c r="E28" s="5"/>
      <c r="F28" s="5"/>
      <c r="G28" s="5"/>
    </row>
    <row r="29" spans="1:7" ht="15.75" customHeight="1">
      <c r="A29" s="64" t="s">
        <v>4214</v>
      </c>
      <c r="B29" s="78" t="str">
        <f>HYPERLINK("https://bulbapedia.bulbagarden.net/wiki/Alakazam-EX_(Fates_Collide_25)","AlakazamEX")</f>
        <v>AlakazamEX</v>
      </c>
      <c r="C29" s="64" t="s">
        <v>195</v>
      </c>
      <c r="D29" s="76"/>
      <c r="E29" s="5"/>
      <c r="F29" s="5"/>
      <c r="G29" s="5"/>
    </row>
    <row r="30" spans="1:7" ht="15.75" customHeight="1">
      <c r="A30" s="64" t="s">
        <v>4215</v>
      </c>
      <c r="B30" s="79" t="str">
        <f>HYPERLINK("https://bulbapedia.bulbagarden.net/wiki/M_Alakazam-EX_(Fates_Collide_26)","MAlakazamEX")</f>
        <v>MAlakazamEX</v>
      </c>
      <c r="C30" s="64" t="s">
        <v>195</v>
      </c>
      <c r="D30" s="76"/>
      <c r="E30" s="5"/>
      <c r="F30" s="5"/>
      <c r="G30" s="5"/>
    </row>
    <row r="31" spans="1:7" ht="15.75" customHeight="1">
      <c r="A31" s="64" t="s">
        <v>4216</v>
      </c>
      <c r="B31" s="77" t="s">
        <v>283</v>
      </c>
      <c r="C31" s="64" t="s">
        <v>195</v>
      </c>
      <c r="D31" s="72"/>
      <c r="E31" s="5"/>
      <c r="F31" s="5"/>
      <c r="G31" s="5"/>
    </row>
    <row r="32" spans="1:7" ht="15.75" customHeight="1">
      <c r="A32" s="64" t="s">
        <v>4217</v>
      </c>
      <c r="B32" s="77" t="s">
        <v>378</v>
      </c>
      <c r="C32" s="64" t="s">
        <v>195</v>
      </c>
      <c r="D32" s="76"/>
      <c r="E32" s="5"/>
      <c r="F32" s="5"/>
      <c r="G32" s="5"/>
    </row>
    <row r="33" spans="1:7" ht="15.75" customHeight="1">
      <c r="A33" s="64" t="s">
        <v>4218</v>
      </c>
      <c r="B33" s="77" t="s">
        <v>201</v>
      </c>
      <c r="C33" s="64" t="s">
        <v>195</v>
      </c>
      <c r="D33" s="76"/>
      <c r="E33" s="5"/>
      <c r="F33" s="5"/>
      <c r="G33" s="5"/>
    </row>
    <row r="34" spans="1:7" ht="15.75" customHeight="1">
      <c r="A34" s="64" t="s">
        <v>4219</v>
      </c>
      <c r="B34" s="77" t="s">
        <v>1584</v>
      </c>
      <c r="C34" s="64" t="s">
        <v>195</v>
      </c>
      <c r="D34" s="72"/>
      <c r="E34" s="5"/>
      <c r="F34" s="5"/>
      <c r="G34" s="5"/>
    </row>
    <row r="35" spans="1:7" ht="15.75" customHeight="1">
      <c r="A35" s="64" t="s">
        <v>4220</v>
      </c>
      <c r="B35" s="77" t="s">
        <v>1499</v>
      </c>
      <c r="C35" s="64" t="s">
        <v>195</v>
      </c>
      <c r="D35" s="72"/>
      <c r="E35" s="5"/>
      <c r="F35" s="5"/>
      <c r="G35" s="5"/>
    </row>
    <row r="36" spans="1:7" ht="15.75" customHeight="1">
      <c r="A36" s="64" t="s">
        <v>4221</v>
      </c>
      <c r="B36" s="77" t="s">
        <v>4247</v>
      </c>
      <c r="C36" s="64" t="s">
        <v>195</v>
      </c>
      <c r="D36" s="76"/>
      <c r="E36" s="5"/>
      <c r="F36" s="5"/>
      <c r="G36" s="5"/>
    </row>
    <row r="37" spans="1:7" ht="15.75" customHeight="1">
      <c r="A37" s="64" t="s">
        <v>4222</v>
      </c>
      <c r="B37" s="77" t="s">
        <v>4081</v>
      </c>
      <c r="C37" s="64" t="s">
        <v>195</v>
      </c>
      <c r="D37" s="72"/>
      <c r="E37" s="51"/>
      <c r="F37" s="5"/>
      <c r="G37" s="5"/>
    </row>
    <row r="38" spans="1:7" ht="15.75" customHeight="1">
      <c r="A38" s="64" t="s">
        <v>4223</v>
      </c>
      <c r="B38" s="77" t="s">
        <v>4082</v>
      </c>
      <c r="C38" s="64" t="s">
        <v>195</v>
      </c>
      <c r="D38" s="76"/>
      <c r="E38" s="5"/>
      <c r="F38" s="5"/>
      <c r="G38" s="5"/>
    </row>
    <row r="39" spans="1:7" ht="15.75" customHeight="1">
      <c r="A39" s="64" t="s">
        <v>4224</v>
      </c>
      <c r="B39" s="77" t="s">
        <v>4083</v>
      </c>
      <c r="C39" s="64" t="s">
        <v>195</v>
      </c>
      <c r="D39" s="76"/>
      <c r="E39" s="5"/>
      <c r="F39" s="5"/>
      <c r="G39" s="5"/>
    </row>
    <row r="40" spans="1:7" ht="15.75" customHeight="1">
      <c r="A40" s="64" t="s">
        <v>4225</v>
      </c>
      <c r="B40" s="77" t="s">
        <v>279</v>
      </c>
      <c r="C40" s="64" t="s">
        <v>225</v>
      </c>
      <c r="D40" s="72"/>
      <c r="E40" s="5"/>
      <c r="F40" s="5"/>
      <c r="G40" s="5"/>
    </row>
    <row r="41" spans="1:7" ht="15.75" customHeight="1">
      <c r="A41" s="64" t="s">
        <v>4226</v>
      </c>
      <c r="B41" s="77" t="s">
        <v>337</v>
      </c>
      <c r="C41" s="64" t="s">
        <v>225</v>
      </c>
      <c r="D41" s="76"/>
      <c r="E41" s="5"/>
      <c r="F41" s="5"/>
      <c r="G41" s="5"/>
    </row>
    <row r="42" spans="1:7" ht="15.75" customHeight="1">
      <c r="A42" s="64" t="s">
        <v>4227</v>
      </c>
      <c r="B42" s="77" t="s">
        <v>383</v>
      </c>
      <c r="C42" s="64" t="s">
        <v>225</v>
      </c>
      <c r="D42" s="76"/>
      <c r="E42" s="5"/>
      <c r="F42" s="5"/>
      <c r="G42" s="5"/>
    </row>
    <row r="43" spans="1:7" ht="15.75" customHeight="1">
      <c r="A43" s="64" t="s">
        <v>4228</v>
      </c>
      <c r="B43" s="77" t="s">
        <v>363</v>
      </c>
      <c r="C43" s="64" t="s">
        <v>225</v>
      </c>
      <c r="D43" s="76"/>
      <c r="E43" s="5"/>
      <c r="F43" s="5"/>
      <c r="G43" s="5"/>
    </row>
    <row r="44" spans="1:7" ht="15.75" customHeight="1">
      <c r="A44" s="64" t="s">
        <v>4229</v>
      </c>
      <c r="B44" s="77" t="s">
        <v>955</v>
      </c>
      <c r="C44" s="64" t="s">
        <v>225</v>
      </c>
      <c r="D44" s="72"/>
      <c r="E44" s="5"/>
      <c r="F44" s="5"/>
      <c r="G44" s="5"/>
    </row>
    <row r="45" spans="1:7" ht="15.75" customHeight="1">
      <c r="A45" s="64" t="s">
        <v>4230</v>
      </c>
      <c r="B45" s="77" t="s">
        <v>955</v>
      </c>
      <c r="C45" s="64" t="s">
        <v>225</v>
      </c>
      <c r="D45" s="72"/>
      <c r="E45" s="5"/>
      <c r="F45" s="5"/>
      <c r="G45" s="5"/>
    </row>
    <row r="46" spans="1:7" ht="15.75" customHeight="1">
      <c r="A46" s="64" t="s">
        <v>4231</v>
      </c>
      <c r="B46" s="77" t="s">
        <v>948</v>
      </c>
      <c r="C46" s="64" t="s">
        <v>225</v>
      </c>
      <c r="D46" s="72"/>
      <c r="E46" s="5"/>
      <c r="F46" s="5"/>
      <c r="G46" s="5"/>
    </row>
    <row r="47" spans="1:7" ht="15.75" customHeight="1">
      <c r="A47" s="64" t="s">
        <v>4232</v>
      </c>
      <c r="B47" s="78" t="str">
        <f>HYPERLINK("https://bulbapedia.bulbagarden.net/wiki/Regirock-EX_(Fates_Collide_43)","RegirockEX")</f>
        <v>RegirockEX</v>
      </c>
      <c r="C47" s="64" t="s">
        <v>225</v>
      </c>
      <c r="D47" s="76"/>
      <c r="E47" s="5"/>
      <c r="F47" s="5"/>
      <c r="G47" s="5"/>
    </row>
    <row r="48" spans="1:7" ht="15.75" customHeight="1">
      <c r="A48" s="64" t="s">
        <v>4233</v>
      </c>
      <c r="B48" s="77" t="s">
        <v>6020</v>
      </c>
      <c r="C48" s="64" t="s">
        <v>225</v>
      </c>
      <c r="D48" s="72"/>
      <c r="E48" s="5"/>
      <c r="F48" s="5"/>
      <c r="G48" s="5"/>
    </row>
    <row r="49" spans="1:7" ht="15.75" customHeight="1">
      <c r="A49" s="64" t="s">
        <v>4234</v>
      </c>
      <c r="B49" s="77" t="s">
        <v>3141</v>
      </c>
      <c r="C49" s="64" t="s">
        <v>225</v>
      </c>
      <c r="D49" s="76"/>
      <c r="E49" s="51"/>
      <c r="F49" s="5"/>
      <c r="G49" s="5"/>
    </row>
    <row r="50" spans="1:7" ht="15.75" customHeight="1">
      <c r="A50" s="64" t="s">
        <v>4235</v>
      </c>
      <c r="B50" s="77" t="s">
        <v>3141</v>
      </c>
      <c r="C50" s="64" t="s">
        <v>225</v>
      </c>
      <c r="D50" s="72"/>
      <c r="E50" s="5"/>
      <c r="F50" s="5"/>
      <c r="G50" s="5"/>
    </row>
    <row r="51" spans="1:7" ht="15.75" customHeight="1">
      <c r="A51" s="64" t="s">
        <v>4237</v>
      </c>
      <c r="B51" s="77" t="s">
        <v>3113</v>
      </c>
      <c r="C51" s="64" t="s">
        <v>225</v>
      </c>
      <c r="D51" s="72"/>
      <c r="E51" s="5"/>
      <c r="F51" s="5"/>
      <c r="G51" s="5"/>
    </row>
    <row r="52" spans="1:7" ht="15.75" customHeight="1">
      <c r="A52" s="64" t="s">
        <v>4238</v>
      </c>
      <c r="B52" s="77" t="s">
        <v>5124</v>
      </c>
      <c r="C52" s="64" t="s">
        <v>225</v>
      </c>
      <c r="D52" s="72"/>
      <c r="E52" s="5"/>
      <c r="F52" s="5"/>
      <c r="G52" s="5"/>
    </row>
    <row r="53" spans="1:7" ht="13">
      <c r="A53" s="64" t="s">
        <v>4239</v>
      </c>
      <c r="B53" s="77" t="s">
        <v>5100</v>
      </c>
      <c r="C53" s="64" t="s">
        <v>225</v>
      </c>
      <c r="D53" s="72"/>
      <c r="E53" s="5"/>
      <c r="F53" s="5"/>
      <c r="G53" s="5"/>
    </row>
    <row r="54" spans="1:7" ht="13">
      <c r="A54" s="64" t="s">
        <v>4240</v>
      </c>
      <c r="B54" s="77" t="s">
        <v>5100</v>
      </c>
      <c r="C54" s="64" t="s">
        <v>225</v>
      </c>
      <c r="D54" s="72"/>
      <c r="E54" s="5"/>
      <c r="F54" s="5"/>
      <c r="G54" s="5"/>
    </row>
    <row r="55" spans="1:7" ht="13">
      <c r="A55" s="64" t="s">
        <v>4241</v>
      </c>
      <c r="B55" s="78" t="str">
        <f>HYPERLINK("https://bulbapedia.bulbagarden.net/wiki/Carbink_BREAK_(Fates_Collide_51)","CarbinkBREAK")</f>
        <v>CarbinkBREAK</v>
      </c>
      <c r="C55" s="64" t="s">
        <v>225</v>
      </c>
      <c r="D55" s="76"/>
      <c r="E55" s="5"/>
      <c r="F55" s="5"/>
      <c r="G55" s="5"/>
    </row>
    <row r="56" spans="1:7" ht="13">
      <c r="A56" s="64" t="s">
        <v>4242</v>
      </c>
      <c r="B56" s="77" t="s">
        <v>4913</v>
      </c>
      <c r="C56" s="64" t="s">
        <v>225</v>
      </c>
      <c r="D56" s="72"/>
      <c r="E56" s="5"/>
      <c r="F56" s="5"/>
      <c r="G56" s="5"/>
    </row>
    <row r="57" spans="1:7" ht="13">
      <c r="A57" s="64" t="s">
        <v>4244</v>
      </c>
      <c r="B57" s="77" t="s">
        <v>4913</v>
      </c>
      <c r="C57" s="64" t="s">
        <v>225</v>
      </c>
      <c r="D57" s="72"/>
      <c r="E57" s="5"/>
      <c r="F57" s="51"/>
      <c r="G57" s="5"/>
    </row>
    <row r="58" spans="1:7" ht="13">
      <c r="A58" s="64" t="s">
        <v>4245</v>
      </c>
      <c r="B58" s="78" t="str">
        <f>HYPERLINK("https://bulbapedia.bulbagarden.net/wiki/Zygarde-EX_(Fates_Collide_54)","ZygardeEX")</f>
        <v>ZygardeEX</v>
      </c>
      <c r="C58" s="64" t="s">
        <v>225</v>
      </c>
      <c r="D58" s="76"/>
      <c r="E58" s="5"/>
      <c r="F58" s="5"/>
      <c r="G58" s="5"/>
    </row>
    <row r="59" spans="1:7" ht="13">
      <c r="A59" s="64" t="s">
        <v>4246</v>
      </c>
      <c r="B59" s="78" t="str">
        <f>HYPERLINK("https://bulbapedia.bulbagarden.net/wiki/Umbreon-EX_(Fates_Collide_55)","UmbreonEX")</f>
        <v>UmbreonEX</v>
      </c>
      <c r="C59" s="64" t="s">
        <v>808</v>
      </c>
      <c r="D59" s="76"/>
      <c r="E59" s="5"/>
      <c r="F59" s="5"/>
      <c r="G59" s="5"/>
    </row>
    <row r="60" spans="1:7" ht="13">
      <c r="A60" s="64" t="s">
        <v>4248</v>
      </c>
      <c r="B60" s="77" t="s">
        <v>941</v>
      </c>
      <c r="C60" s="64" t="s">
        <v>808</v>
      </c>
      <c r="D60" s="76"/>
      <c r="E60" s="5"/>
      <c r="F60" s="5"/>
      <c r="G60" s="5"/>
    </row>
    <row r="61" spans="1:7" ht="13">
      <c r="A61" s="64" t="s">
        <v>4250</v>
      </c>
      <c r="B61" s="77" t="s">
        <v>4158</v>
      </c>
      <c r="C61" s="64" t="s">
        <v>808</v>
      </c>
      <c r="D61" s="72"/>
      <c r="E61" s="5"/>
      <c r="F61" s="5"/>
      <c r="G61" s="5"/>
    </row>
    <row r="62" spans="1:7" ht="13">
      <c r="A62" s="64" t="s">
        <v>4252</v>
      </c>
      <c r="B62" s="77" t="s">
        <v>4448</v>
      </c>
      <c r="C62" s="64" t="s">
        <v>808</v>
      </c>
      <c r="D62" s="76"/>
      <c r="E62" s="5"/>
      <c r="F62" s="5"/>
      <c r="G62" s="5"/>
    </row>
    <row r="63" spans="1:7" ht="13">
      <c r="A63" s="64" t="s">
        <v>4253</v>
      </c>
      <c r="B63" s="77" t="s">
        <v>6020</v>
      </c>
      <c r="C63" s="64" t="s">
        <v>220</v>
      </c>
      <c r="D63" s="76"/>
      <c r="E63" s="5"/>
      <c r="F63" s="5"/>
      <c r="G63" s="5"/>
    </row>
    <row r="64" spans="1:7" ht="13">
      <c r="A64" s="64" t="s">
        <v>4254</v>
      </c>
      <c r="B64" s="77" t="s">
        <v>3245</v>
      </c>
      <c r="C64" s="64" t="s">
        <v>220</v>
      </c>
      <c r="D64" s="72"/>
      <c r="E64" s="5"/>
      <c r="F64" s="5"/>
      <c r="G64" s="5"/>
    </row>
    <row r="65" spans="1:7" ht="13">
      <c r="A65" s="64" t="s">
        <v>4255</v>
      </c>
      <c r="B65" s="77" t="s">
        <v>3163</v>
      </c>
      <c r="C65" s="64" t="s">
        <v>220</v>
      </c>
      <c r="D65" s="66"/>
      <c r="E65" s="5"/>
      <c r="F65" s="5"/>
      <c r="G65" s="5"/>
    </row>
    <row r="66" spans="1:7" ht="13">
      <c r="A66" s="64" t="s">
        <v>4256</v>
      </c>
      <c r="B66" s="78" t="str">
        <f>HYPERLINK("https://bulbapedia.bulbagarden.net/wiki/Bronzong_BREAK_(Fates_Collide_62)","BronzongBREAK")</f>
        <v>BronzongBREAK</v>
      </c>
      <c r="C66" s="64" t="s">
        <v>220</v>
      </c>
      <c r="D66" s="76"/>
      <c r="E66" s="5"/>
      <c r="F66" s="5"/>
      <c r="G66" s="5"/>
    </row>
    <row r="67" spans="1:7" ht="13">
      <c r="A67" s="64" t="s">
        <v>4257</v>
      </c>
      <c r="B67" s="77" t="s">
        <v>3113</v>
      </c>
      <c r="C67" s="64" t="s">
        <v>220</v>
      </c>
      <c r="D67" s="76"/>
      <c r="E67" s="5"/>
      <c r="F67" s="5"/>
      <c r="G67" s="5"/>
    </row>
    <row r="68" spans="1:7" ht="13">
      <c r="A68" s="64" t="s">
        <v>4258</v>
      </c>
      <c r="B68" s="78" t="str">
        <f>HYPERLINK("https://bulbapedia.bulbagarden.net/wiki/Genesect-EX_(Fates_Collide_64)","GenesectEX")</f>
        <v>GenesectEX</v>
      </c>
      <c r="C68" s="64" t="s">
        <v>220</v>
      </c>
      <c r="D68" s="76"/>
      <c r="E68" s="5"/>
      <c r="F68" s="5"/>
      <c r="G68" s="5"/>
    </row>
    <row r="69" spans="1:7" ht="13">
      <c r="A69" s="64" t="s">
        <v>4259</v>
      </c>
      <c r="B69" s="77" t="s">
        <v>200</v>
      </c>
      <c r="C69" s="64" t="s">
        <v>4743</v>
      </c>
      <c r="D69" s="72"/>
      <c r="E69" s="5"/>
      <c r="F69" s="5"/>
      <c r="G69" s="5"/>
    </row>
    <row r="70" spans="1:7" ht="13">
      <c r="A70" s="64" t="s">
        <v>4261</v>
      </c>
      <c r="B70" s="77" t="s">
        <v>330</v>
      </c>
      <c r="C70" s="64" t="s">
        <v>4743</v>
      </c>
      <c r="D70" s="76"/>
      <c r="E70" s="5"/>
      <c r="F70" s="5"/>
      <c r="G70" s="5"/>
    </row>
    <row r="71" spans="1:7" ht="13">
      <c r="A71" s="64" t="s">
        <v>4263</v>
      </c>
      <c r="B71" s="77" t="s">
        <v>322</v>
      </c>
      <c r="C71" s="64" t="s">
        <v>4743</v>
      </c>
      <c r="D71" s="76"/>
      <c r="E71" s="5"/>
      <c r="F71" s="5"/>
      <c r="G71" s="5"/>
    </row>
    <row r="72" spans="1:7" ht="13">
      <c r="A72" s="64" t="s">
        <v>4264</v>
      </c>
      <c r="B72" s="77" t="s">
        <v>891</v>
      </c>
      <c r="C72" s="64" t="s">
        <v>4743</v>
      </c>
      <c r="D72" s="72"/>
      <c r="E72" s="5"/>
      <c r="F72" s="5"/>
      <c r="G72" s="5"/>
    </row>
    <row r="73" spans="1:7" ht="13">
      <c r="A73" s="64" t="s">
        <v>4266</v>
      </c>
      <c r="B73" s="79" t="str">
        <f>HYPERLINK("https://bulbapedia.bulbagarden.net/wiki/M_Altaria-EX_(Fates_Collide_69)","MAltariaEX")</f>
        <v>MAltariaEX</v>
      </c>
      <c r="C73" s="64" t="s">
        <v>4743</v>
      </c>
      <c r="D73" s="72"/>
      <c r="E73" s="5"/>
      <c r="F73" s="5"/>
      <c r="G73" s="5"/>
    </row>
    <row r="74" spans="1:7" ht="13">
      <c r="A74" s="64" t="s">
        <v>4268</v>
      </c>
      <c r="B74" s="77" t="s">
        <v>4356</v>
      </c>
      <c r="C74" s="64" t="s">
        <v>4743</v>
      </c>
      <c r="D74" s="72"/>
      <c r="E74" s="5"/>
      <c r="F74" s="5"/>
      <c r="G74" s="5"/>
    </row>
    <row r="75" spans="1:7" ht="13">
      <c r="A75" s="64" t="s">
        <v>4269</v>
      </c>
      <c r="B75" s="77" t="s">
        <v>4358</v>
      </c>
      <c r="C75" s="64" t="s">
        <v>4743</v>
      </c>
      <c r="D75" s="76"/>
      <c r="E75" s="5"/>
      <c r="F75" s="5"/>
      <c r="G75" s="5"/>
    </row>
    <row r="76" spans="1:7" ht="13">
      <c r="A76" s="64" t="s">
        <v>4271</v>
      </c>
      <c r="B76" s="78" t="str">
        <f>HYPERLINK("https://bulbapedia.bulbagarden.net/wiki/Diancie-EX_(Fates_Collide_72)","DiancieEX")</f>
        <v>DiancieEX</v>
      </c>
      <c r="C76" s="64" t="s">
        <v>4743</v>
      </c>
      <c r="D76" s="76"/>
      <c r="E76" s="5"/>
      <c r="F76" s="5"/>
      <c r="G76" s="5"/>
    </row>
    <row r="77" spans="1:7" ht="13">
      <c r="A77" s="64" t="s">
        <v>4272</v>
      </c>
      <c r="B77" s="78" t="str">
        <f>HYPERLINK("https://bulbapedia.bulbagarden.net/wiki/Kingdra-EX_(Fates_Collide_73)","KingdraEX")</f>
        <v>KingdraEX</v>
      </c>
      <c r="C77" s="64" t="s">
        <v>4285</v>
      </c>
      <c r="D77" s="76"/>
      <c r="E77" s="5"/>
      <c r="F77" s="5"/>
      <c r="G77" s="5"/>
    </row>
    <row r="78" spans="1:7" ht="13">
      <c r="A78" s="64" t="s">
        <v>4273</v>
      </c>
      <c r="B78" s="77" t="s">
        <v>202</v>
      </c>
      <c r="C78" s="64" t="s">
        <v>197</v>
      </c>
      <c r="D78" s="72"/>
      <c r="E78" s="5"/>
      <c r="F78" s="5"/>
      <c r="G78" s="5"/>
    </row>
    <row r="79" spans="1:7" ht="13">
      <c r="A79" s="64" t="s">
        <v>4274</v>
      </c>
      <c r="B79" s="77" t="s">
        <v>321</v>
      </c>
      <c r="C79" s="64" t="s">
        <v>197</v>
      </c>
      <c r="D79" s="72"/>
      <c r="E79" s="5"/>
      <c r="F79" s="5"/>
      <c r="G79" s="5"/>
    </row>
    <row r="80" spans="1:7" ht="13">
      <c r="A80" s="64" t="s">
        <v>4275</v>
      </c>
      <c r="B80" s="77" t="s">
        <v>358</v>
      </c>
      <c r="C80" s="64" t="s">
        <v>197</v>
      </c>
      <c r="D80" s="76"/>
      <c r="E80" s="5"/>
      <c r="F80" s="5"/>
      <c r="G80" s="5"/>
    </row>
    <row r="81" spans="1:7" ht="13">
      <c r="A81" s="64" t="s">
        <v>4276</v>
      </c>
      <c r="B81" s="77" t="s">
        <v>233</v>
      </c>
      <c r="C81" s="64" t="s">
        <v>197</v>
      </c>
      <c r="D81" s="76"/>
      <c r="E81" s="5"/>
      <c r="F81" s="5"/>
      <c r="G81" s="5"/>
    </row>
    <row r="82" spans="1:7" ht="13">
      <c r="A82" s="64" t="s">
        <v>4277</v>
      </c>
      <c r="B82" s="77" t="s">
        <v>781</v>
      </c>
      <c r="C82" s="64" t="s">
        <v>197</v>
      </c>
      <c r="D82" s="76"/>
      <c r="E82" s="5"/>
      <c r="F82" s="5"/>
      <c r="G82" s="5"/>
    </row>
    <row r="83" spans="1:7" ht="13">
      <c r="A83" s="64" t="s">
        <v>4278</v>
      </c>
      <c r="B83" s="78" t="str">
        <f>HYPERLINK("https://bulbapedia.bulbagarden.net/wiki/Lugia_BREAK_(Fates_Collide_79)","LugiaBREAK")</f>
        <v>LugiaBREAK</v>
      </c>
      <c r="C83" s="64" t="s">
        <v>197</v>
      </c>
      <c r="D83" s="76"/>
      <c r="E83" s="5"/>
      <c r="F83" s="5"/>
      <c r="G83" s="5"/>
    </row>
    <row r="84" spans="1:7" ht="13">
      <c r="A84" s="64" t="s">
        <v>4279</v>
      </c>
      <c r="B84" s="77" t="s">
        <v>1898</v>
      </c>
      <c r="C84" s="64" t="s">
        <v>197</v>
      </c>
      <c r="D84" s="76"/>
      <c r="E84" s="5"/>
      <c r="F84" s="5"/>
      <c r="G84" s="5"/>
    </row>
    <row r="85" spans="1:7" ht="13">
      <c r="A85" s="64" t="s">
        <v>4280</v>
      </c>
      <c r="B85" s="77" t="s">
        <v>1845</v>
      </c>
      <c r="C85" s="64" t="s">
        <v>197</v>
      </c>
      <c r="D85" s="76"/>
      <c r="E85" s="5"/>
      <c r="F85" s="5"/>
      <c r="G85" s="5"/>
    </row>
    <row r="86" spans="1:7" ht="13">
      <c r="A86" s="64" t="s">
        <v>4282</v>
      </c>
      <c r="B86" s="77" t="s">
        <v>1796</v>
      </c>
      <c r="C86" s="64" t="s">
        <v>197</v>
      </c>
      <c r="D86" s="76"/>
      <c r="E86" s="5"/>
      <c r="F86" s="5"/>
      <c r="G86" s="5"/>
    </row>
    <row r="87" spans="1:7" ht="13">
      <c r="A87" s="64" t="s">
        <v>4283</v>
      </c>
      <c r="B87" s="78" t="str">
        <f>HYPERLINK("https://bulbapedia.bulbagarden.net/wiki/Altaria-EX_(Fates_Collide_83)","AltariaEX")</f>
        <v>AltariaEX</v>
      </c>
      <c r="C87" s="64" t="s">
        <v>197</v>
      </c>
      <c r="D87" s="72"/>
      <c r="E87" s="5"/>
      <c r="F87" s="5"/>
      <c r="G87" s="5"/>
    </row>
    <row r="88" spans="1:7" ht="13">
      <c r="A88" s="64" t="s">
        <v>4284</v>
      </c>
      <c r="B88" s="78" t="str">
        <f>HYPERLINK("https://bulbapedia.bulbagarden.net/wiki/Audino-EX_(Fates_Collide_84)","AudinoEX")</f>
        <v>AudinoEX</v>
      </c>
      <c r="C88" s="64" t="s">
        <v>197</v>
      </c>
      <c r="D88" s="76"/>
      <c r="E88" s="5"/>
      <c r="F88" s="5"/>
      <c r="G88" s="5"/>
    </row>
    <row r="89" spans="1:7" ht="13">
      <c r="A89" s="64" t="s">
        <v>4286</v>
      </c>
      <c r="B89" s="79" t="str">
        <f>HYPERLINK("https://bulbapedia.bulbagarden.net/wiki/M_Audino-EX_(Fates_Collide_85)","MAudinoEX")</f>
        <v>MAudinoEX</v>
      </c>
      <c r="C89" s="64" t="s">
        <v>197</v>
      </c>
      <c r="D89" s="76"/>
      <c r="E89" s="5"/>
      <c r="F89" s="5"/>
      <c r="G89" s="5"/>
    </row>
    <row r="90" spans="1:7" ht="13">
      <c r="A90" s="64" t="s">
        <v>4288</v>
      </c>
      <c r="B90" s="77" t="s">
        <v>4135</v>
      </c>
      <c r="C90" s="64" t="s">
        <v>197</v>
      </c>
      <c r="D90" s="76"/>
      <c r="E90" s="5"/>
      <c r="F90" s="5"/>
      <c r="G90" s="5"/>
    </row>
    <row r="91" spans="1:7" ht="13">
      <c r="A91" s="64" t="s">
        <v>4289</v>
      </c>
      <c r="B91" s="77" t="s">
        <v>4135</v>
      </c>
      <c r="C91" s="64" t="s">
        <v>197</v>
      </c>
      <c r="D91" s="72"/>
      <c r="E91" s="5"/>
      <c r="F91" s="5"/>
      <c r="G91" s="5"/>
    </row>
    <row r="92" spans="1:7" ht="13">
      <c r="A92" s="64" t="s">
        <v>4290</v>
      </c>
      <c r="B92" s="77" t="s">
        <v>4136</v>
      </c>
      <c r="C92" s="64" t="s">
        <v>197</v>
      </c>
      <c r="D92" s="76"/>
      <c r="E92" s="5"/>
      <c r="F92" s="5"/>
      <c r="G92" s="5"/>
    </row>
    <row r="93" spans="1:7" ht="13">
      <c r="A93" s="64" t="s">
        <v>4291</v>
      </c>
      <c r="B93" s="77" t="s">
        <v>4136</v>
      </c>
      <c r="C93" s="64" t="s">
        <v>197</v>
      </c>
      <c r="D93" s="72"/>
      <c r="E93" s="5"/>
      <c r="F93" s="5"/>
      <c r="G93" s="5"/>
    </row>
    <row r="94" spans="1:7" ht="13">
      <c r="A94" s="64" t="s">
        <v>4292</v>
      </c>
      <c r="B94" s="77" t="s">
        <v>6022</v>
      </c>
      <c r="C94" s="64" t="s">
        <v>4114</v>
      </c>
      <c r="D94" s="76"/>
      <c r="E94" s="5"/>
      <c r="F94" s="5"/>
      <c r="G94" s="5"/>
    </row>
    <row r="95" spans="1:7" ht="13">
      <c r="A95" s="64" t="s">
        <v>4293</v>
      </c>
      <c r="B95" s="77" t="s">
        <v>6023</v>
      </c>
      <c r="C95" s="64" t="s">
        <v>4114</v>
      </c>
      <c r="D95" s="72"/>
      <c r="E95" s="5"/>
      <c r="F95" s="5"/>
      <c r="G95" s="5"/>
    </row>
    <row r="96" spans="1:7" ht="13">
      <c r="A96" s="64" t="s">
        <v>4294</v>
      </c>
      <c r="B96" s="77" t="s">
        <v>6024</v>
      </c>
      <c r="C96" s="64" t="s">
        <v>4114</v>
      </c>
      <c r="D96" s="66"/>
      <c r="E96" s="5"/>
      <c r="F96" s="5"/>
      <c r="G96" s="5"/>
    </row>
    <row r="97" spans="1:7" ht="13">
      <c r="A97" s="64" t="s">
        <v>4296</v>
      </c>
      <c r="B97" s="77" t="s">
        <v>6025</v>
      </c>
      <c r="C97" s="64" t="s">
        <v>4114</v>
      </c>
      <c r="D97" s="72"/>
      <c r="E97" s="5"/>
      <c r="F97" s="5"/>
      <c r="G97" s="5"/>
    </row>
    <row r="98" spans="1:7" ht="13">
      <c r="A98" s="64" t="s">
        <v>4297</v>
      </c>
      <c r="B98" s="77" t="s">
        <v>6026</v>
      </c>
      <c r="C98" s="64" t="s">
        <v>229</v>
      </c>
      <c r="D98" s="76"/>
      <c r="E98" s="5"/>
      <c r="F98" s="5"/>
      <c r="G98" s="5"/>
    </row>
    <row r="99" spans="1:7" ht="13">
      <c r="A99" s="64" t="s">
        <v>4298</v>
      </c>
      <c r="B99" s="77" t="s">
        <v>302</v>
      </c>
      <c r="C99" s="64" t="s">
        <v>4114</v>
      </c>
      <c r="D99" s="76"/>
      <c r="E99" s="5"/>
      <c r="F99" s="5"/>
      <c r="G99" s="5"/>
    </row>
    <row r="100" spans="1:7" ht="13">
      <c r="A100" s="64" t="s">
        <v>4299</v>
      </c>
      <c r="B100" s="77" t="s">
        <v>6027</v>
      </c>
      <c r="C100" s="64" t="s">
        <v>4114</v>
      </c>
      <c r="D100" s="72"/>
      <c r="E100" s="5"/>
      <c r="F100" s="5"/>
      <c r="G100" s="5"/>
    </row>
    <row r="101" spans="1:7" ht="13">
      <c r="A101" s="64" t="s">
        <v>4300</v>
      </c>
      <c r="B101" s="77" t="s">
        <v>6028</v>
      </c>
      <c r="C101" s="64" t="s">
        <v>4114</v>
      </c>
      <c r="D101" s="72"/>
      <c r="E101" s="51"/>
      <c r="F101" s="5"/>
      <c r="G101" s="5"/>
    </row>
    <row r="102" spans="1:7" ht="13">
      <c r="A102" s="64" t="s">
        <v>4301</v>
      </c>
      <c r="B102" s="77" t="s">
        <v>6029</v>
      </c>
      <c r="C102" s="64" t="s">
        <v>4114</v>
      </c>
      <c r="D102" s="76"/>
      <c r="E102" s="51"/>
      <c r="F102" s="5"/>
      <c r="G102" s="5"/>
    </row>
    <row r="103" spans="1:7" ht="13">
      <c r="A103" s="64" t="s">
        <v>4302</v>
      </c>
      <c r="B103" s="77" t="s">
        <v>6030</v>
      </c>
      <c r="C103" s="64" t="s">
        <v>4114</v>
      </c>
      <c r="D103" s="76"/>
      <c r="E103" s="51"/>
      <c r="F103" s="5"/>
      <c r="G103" s="5"/>
    </row>
    <row r="104" spans="1:7" ht="13">
      <c r="A104" s="64" t="s">
        <v>4303</v>
      </c>
      <c r="B104" s="77" t="s">
        <v>5052</v>
      </c>
      <c r="C104" s="64" t="s">
        <v>229</v>
      </c>
      <c r="D104" s="76"/>
      <c r="E104" s="5"/>
      <c r="F104" s="5"/>
      <c r="G104" s="5"/>
    </row>
    <row r="105" spans="1:7" ht="13">
      <c r="A105" s="64" t="s">
        <v>4304</v>
      </c>
      <c r="B105" s="77" t="s">
        <v>6031</v>
      </c>
      <c r="C105" s="64" t="s">
        <v>4114</v>
      </c>
      <c r="D105" s="76"/>
      <c r="E105" s="5"/>
      <c r="F105" s="5"/>
      <c r="G105" s="5"/>
    </row>
    <row r="106" spans="1:7" ht="13">
      <c r="A106" s="64" t="s">
        <v>4305</v>
      </c>
      <c r="B106" s="77" t="s">
        <v>6032</v>
      </c>
      <c r="C106" s="64" t="s">
        <v>4114</v>
      </c>
      <c r="D106" s="76"/>
      <c r="E106" s="5"/>
      <c r="F106" s="5"/>
      <c r="G106" s="5"/>
    </row>
    <row r="107" spans="1:7" ht="13">
      <c r="A107" s="64" t="s">
        <v>4306</v>
      </c>
      <c r="B107" s="77" t="s">
        <v>6033</v>
      </c>
      <c r="C107" s="64" t="s">
        <v>1013</v>
      </c>
      <c r="D107" s="72"/>
      <c r="E107" s="5"/>
      <c r="F107" s="5"/>
      <c r="G107" s="5"/>
    </row>
    <row r="108" spans="1:7" ht="13">
      <c r="A108" s="64" t="s">
        <v>4307</v>
      </c>
      <c r="B108" s="77" t="s">
        <v>6034</v>
      </c>
      <c r="C108" s="64" t="s">
        <v>4114</v>
      </c>
      <c r="D108" s="66"/>
      <c r="E108" s="5"/>
      <c r="F108" s="5"/>
      <c r="G108" s="5"/>
    </row>
    <row r="109" spans="1:7" ht="13">
      <c r="A109" s="64" t="s">
        <v>4308</v>
      </c>
      <c r="B109" s="77" t="s">
        <v>4116</v>
      </c>
      <c r="C109" s="64" t="s">
        <v>1013</v>
      </c>
      <c r="D109" s="72"/>
      <c r="E109" s="5"/>
      <c r="F109" s="5"/>
      <c r="G109" s="5"/>
    </row>
    <row r="110" spans="1:7" ht="13">
      <c r="A110" s="64" t="s">
        <v>4309</v>
      </c>
      <c r="B110" s="77" t="s">
        <v>4169</v>
      </c>
      <c r="C110" s="64" t="s">
        <v>4114</v>
      </c>
      <c r="D110" s="72"/>
      <c r="E110" s="5"/>
      <c r="F110" s="5"/>
      <c r="G110" s="5"/>
    </row>
    <row r="111" spans="1:7" ht="13">
      <c r="A111" s="64" t="s">
        <v>4310</v>
      </c>
      <c r="B111" s="77" t="s">
        <v>1152</v>
      </c>
      <c r="C111" s="64" t="s">
        <v>1013</v>
      </c>
      <c r="D111" s="72"/>
      <c r="E111" s="5"/>
      <c r="F111" s="5"/>
      <c r="G111" s="5"/>
    </row>
    <row r="112" spans="1:7" ht="13">
      <c r="A112" s="64" t="s">
        <v>4311</v>
      </c>
      <c r="B112" s="77" t="s">
        <v>6035</v>
      </c>
      <c r="C112" s="64" t="s">
        <v>4114</v>
      </c>
      <c r="D112" s="76"/>
      <c r="E112" s="5"/>
      <c r="F112" s="5"/>
      <c r="G112" s="5"/>
    </row>
    <row r="113" spans="1:7" ht="13">
      <c r="A113" s="64" t="s">
        <v>4312</v>
      </c>
      <c r="B113" s="77" t="s">
        <v>4171</v>
      </c>
      <c r="C113" s="64" t="s">
        <v>4114</v>
      </c>
      <c r="D113" s="76"/>
      <c r="E113" s="5"/>
      <c r="F113" s="5"/>
      <c r="G113" s="5"/>
    </row>
    <row r="114" spans="1:7" ht="13">
      <c r="A114" s="64" t="s">
        <v>4313</v>
      </c>
      <c r="B114" s="77" t="s">
        <v>5427</v>
      </c>
      <c r="C114" s="64" t="s">
        <v>229</v>
      </c>
      <c r="D114" s="72"/>
      <c r="E114" s="5"/>
      <c r="F114" s="5"/>
      <c r="G114" s="5"/>
    </row>
    <row r="115" spans="1:7" ht="13">
      <c r="A115" s="64" t="s">
        <v>4315</v>
      </c>
      <c r="B115" s="77" t="s">
        <v>5060</v>
      </c>
      <c r="C115" s="64" t="s">
        <v>1013</v>
      </c>
      <c r="D115" s="72"/>
      <c r="E115" s="5"/>
      <c r="F115" s="5"/>
      <c r="G115" s="5"/>
    </row>
    <row r="116" spans="1:7" ht="13">
      <c r="A116" s="64" t="s">
        <v>4317</v>
      </c>
      <c r="B116" s="77" t="s">
        <v>6036</v>
      </c>
      <c r="C116" s="64" t="s">
        <v>1013</v>
      </c>
      <c r="D116" s="76"/>
      <c r="E116" s="5"/>
      <c r="F116" s="5"/>
      <c r="G116" s="5"/>
    </row>
    <row r="117" spans="1:7" ht="13">
      <c r="A117" s="64" t="s">
        <v>4319</v>
      </c>
      <c r="B117" s="77" t="s">
        <v>4173</v>
      </c>
      <c r="C117" s="64" t="s">
        <v>4114</v>
      </c>
      <c r="D117" s="76"/>
      <c r="E117" s="5"/>
      <c r="F117" s="5"/>
      <c r="G117" s="5"/>
    </row>
    <row r="118" spans="1:7" ht="13">
      <c r="A118" s="64" t="s">
        <v>4320</v>
      </c>
      <c r="B118" s="77" t="s">
        <v>316</v>
      </c>
      <c r="C118" s="64" t="s">
        <v>317</v>
      </c>
      <c r="D118" s="76"/>
      <c r="E118" s="5"/>
      <c r="F118" s="5"/>
      <c r="G118" s="5"/>
    </row>
    <row r="119" spans="1:7" ht="13">
      <c r="A119" s="64" t="s">
        <v>4322</v>
      </c>
      <c r="B119" s="77" t="s">
        <v>5138</v>
      </c>
      <c r="C119" s="64" t="s">
        <v>317</v>
      </c>
      <c r="D119" s="76"/>
      <c r="E119" s="5"/>
      <c r="F119" s="5"/>
      <c r="G119" s="5"/>
    </row>
    <row r="120" spans="1:7" ht="13">
      <c r="A120" s="64" t="s">
        <v>4324</v>
      </c>
      <c r="B120" s="78" t="str">
        <f>HYPERLINK("https://bulbapedia.bulbagarden.net/wiki/Glaceon-EX_(Fates_Collide_116)","GlaceonEX")</f>
        <v>GlaceonEX</v>
      </c>
      <c r="C120" s="64" t="s">
        <v>208</v>
      </c>
      <c r="D120" s="76"/>
      <c r="E120" s="5"/>
      <c r="F120" s="5"/>
      <c r="G120" s="5"/>
    </row>
    <row r="121" spans="1:7" ht="13">
      <c r="A121" s="64" t="s">
        <v>4326</v>
      </c>
      <c r="B121" s="78" t="str">
        <f>HYPERLINK("https://bulbapedia.bulbagarden.net/wiki/Alakazam-EX_(Fates_Collide_117)","AlakazamEX")</f>
        <v>AlakazamEX</v>
      </c>
      <c r="C121" s="64" t="s">
        <v>195</v>
      </c>
      <c r="D121" s="76"/>
      <c r="E121" s="5"/>
      <c r="F121" s="5"/>
      <c r="G121" s="5"/>
    </row>
    <row r="122" spans="1:7" ht="13">
      <c r="A122" s="64" t="s">
        <v>4328</v>
      </c>
      <c r="B122" s="79" t="str">
        <f>HYPERLINK("https://bulbapedia.bulbagarden.net/wiki/M_Alakazam-EX_(Fates_Collide_118)","MAlakazamEX")</f>
        <v>MAlakazamEX</v>
      </c>
      <c r="C122" s="64" t="s">
        <v>195</v>
      </c>
      <c r="D122" s="76"/>
      <c r="E122" s="5"/>
      <c r="F122" s="5"/>
      <c r="G122" s="5"/>
    </row>
    <row r="123" spans="1:7" ht="13">
      <c r="A123" s="64" t="s">
        <v>4330</v>
      </c>
      <c r="B123" s="78" t="str">
        <f>HYPERLINK("https://bulbapedia.bulbagarden.net/wiki/Umbreon-EX_(Fates_Collide_119)","UmbreonEX")</f>
        <v>UmbreonEX</v>
      </c>
      <c r="C123" s="64" t="s">
        <v>808</v>
      </c>
      <c r="D123" s="76"/>
      <c r="E123" s="5"/>
      <c r="F123" s="5"/>
      <c r="G123" s="5"/>
    </row>
    <row r="124" spans="1:7" ht="13">
      <c r="A124" s="64" t="s">
        <v>4331</v>
      </c>
      <c r="B124" s="78" t="str">
        <f>HYPERLINK("https://bulbapedia.bulbagarden.net/wiki/Genesect-EX_(Fates_Collide_120)","GenesectEX")</f>
        <v>GenesectEX</v>
      </c>
      <c r="C124" s="64" t="s">
        <v>220</v>
      </c>
      <c r="D124" s="76"/>
      <c r="E124" s="5"/>
      <c r="F124" s="5"/>
      <c r="G124" s="5"/>
    </row>
    <row r="125" spans="1:7" ht="13">
      <c r="A125" s="64" t="s">
        <v>4332</v>
      </c>
      <c r="B125" s="79" t="str">
        <f>HYPERLINK("https://bulbapedia.bulbagarden.net/wiki/M_Altaria-EX_(Fates_Collide_121)","MAltariaEX")</f>
        <v>MAltariaEX</v>
      </c>
      <c r="C125" s="64" t="s">
        <v>4743</v>
      </c>
      <c r="D125" s="76"/>
      <c r="E125" s="5"/>
      <c r="F125" s="5"/>
      <c r="G125" s="5"/>
    </row>
    <row r="126" spans="1:7" ht="13">
      <c r="A126" s="64" t="s">
        <v>4333</v>
      </c>
      <c r="B126" s="78" t="str">
        <f>HYPERLINK("https://bulbapedia.bulbagarden.net/wiki/Kingdra-EX_(Fates_Collide_122)","KingdraEX")</f>
        <v>KingdraEX</v>
      </c>
      <c r="C126" s="64" t="s">
        <v>4285</v>
      </c>
      <c r="D126" s="76"/>
      <c r="E126" s="5"/>
      <c r="F126" s="5"/>
      <c r="G126" s="5"/>
    </row>
    <row r="127" spans="1:7" ht="13">
      <c r="A127" s="64" t="s">
        <v>4334</v>
      </c>
      <c r="B127" s="78" t="str">
        <f>HYPERLINK("https://bulbapedia.bulbagarden.net/wiki/Altaria-EX_(Fates_Collide_123)","AltariaEX")</f>
        <v>AltariaEX</v>
      </c>
      <c r="C127" s="64" t="s">
        <v>4743</v>
      </c>
      <c r="D127" s="76"/>
      <c r="E127" s="5"/>
      <c r="F127" s="5"/>
      <c r="G127" s="5"/>
    </row>
    <row r="128" spans="1:7" ht="13">
      <c r="A128" s="64" t="s">
        <v>4335</v>
      </c>
      <c r="B128" s="77" t="s">
        <v>6036</v>
      </c>
      <c r="C128" s="64" t="s">
        <v>1013</v>
      </c>
      <c r="D128" s="76"/>
      <c r="E128" s="5"/>
      <c r="F128" s="5"/>
      <c r="G128" s="5"/>
    </row>
    <row r="129" spans="1:7" ht="13">
      <c r="A129" s="64" t="s">
        <v>4336</v>
      </c>
      <c r="B129" s="78" t="str">
        <f>HYPERLINK("https://bulbapedia.bulbagarden.net/wiki/Alakazam-EX_(Fates_Collide_125)","AlakazamEX")</f>
        <v>AlakazamEX</v>
      </c>
      <c r="C129" s="64" t="s">
        <v>195</v>
      </c>
      <c r="D129" s="66"/>
      <c r="E129" s="5"/>
      <c r="F129" s="5"/>
      <c r="G129" s="5"/>
    </row>
    <row r="131" spans="1:7" ht="13">
      <c r="A131" s="64"/>
      <c r="B131" s="90"/>
      <c r="C131" s="76"/>
      <c r="D131" s="47"/>
      <c r="E131" s="5"/>
      <c r="F131" s="5"/>
      <c r="G131" s="5"/>
    </row>
    <row r="132" spans="1:7" ht="13">
      <c r="A132" s="64"/>
      <c r="B132" s="91"/>
      <c r="C132" s="64"/>
      <c r="D132" s="92"/>
      <c r="E132" s="5"/>
      <c r="F132" s="5"/>
      <c r="G132" s="5"/>
    </row>
    <row r="133" spans="1:7" ht="13">
      <c r="A133" s="64"/>
      <c r="B133" s="91"/>
      <c r="C133" s="64"/>
      <c r="D133" s="64"/>
      <c r="E133" s="5"/>
      <c r="F133" s="5"/>
      <c r="G133" s="5"/>
    </row>
    <row r="134" spans="1:7" ht="13">
      <c r="A134" s="48"/>
      <c r="B134" s="71"/>
      <c r="C134" s="48"/>
      <c r="D134" s="47"/>
      <c r="E134" s="5"/>
      <c r="F134" s="5"/>
      <c r="G134" s="5"/>
    </row>
    <row r="135" spans="1:7" ht="13">
      <c r="A135" s="48"/>
      <c r="B135" s="71"/>
      <c r="C135" s="48"/>
      <c r="D135" s="47"/>
      <c r="E135" s="5"/>
      <c r="F135" s="5"/>
      <c r="G135" s="5"/>
    </row>
    <row r="136" spans="1:7" ht="13">
      <c r="A136" s="48"/>
      <c r="B136" s="71"/>
      <c r="C136" s="48"/>
      <c r="D136" s="47"/>
      <c r="E136" s="5"/>
      <c r="F136" s="5"/>
      <c r="G136" s="5"/>
    </row>
    <row r="137" spans="1:7" ht="13">
      <c r="A137" s="48"/>
      <c r="B137" s="69"/>
      <c r="C137" s="48"/>
      <c r="D137" s="47"/>
      <c r="E137" s="5"/>
      <c r="F137" s="5"/>
      <c r="G137" s="5"/>
    </row>
    <row r="138" spans="1:7" ht="13">
      <c r="A138" s="48"/>
      <c r="B138" s="69"/>
      <c r="C138" s="48"/>
      <c r="D138" s="47"/>
      <c r="E138" s="5"/>
      <c r="F138" s="5"/>
      <c r="G138" s="5"/>
    </row>
    <row r="139" spans="1:7" ht="13">
      <c r="A139" s="48"/>
      <c r="B139" s="69"/>
      <c r="C139" s="48"/>
      <c r="D139" s="47"/>
      <c r="E139" s="5"/>
      <c r="F139" s="5"/>
      <c r="G139" s="5"/>
    </row>
    <row r="140" spans="1:7" ht="13">
      <c r="A140" s="48"/>
      <c r="B140" s="69"/>
      <c r="C140" s="48"/>
      <c r="D140" s="47"/>
      <c r="E140" s="5"/>
      <c r="F140" s="5"/>
      <c r="G140" s="5"/>
    </row>
    <row r="141" spans="1:7" ht="13">
      <c r="A141" s="48"/>
      <c r="B141" s="69"/>
      <c r="C141" s="48"/>
      <c r="D141" s="47"/>
      <c r="E141" s="5"/>
      <c r="F141" s="5"/>
      <c r="G141" s="5"/>
    </row>
    <row r="142" spans="1:7" ht="13">
      <c r="A142" s="48"/>
      <c r="B142" s="69"/>
      <c r="C142" s="48"/>
      <c r="D142" s="47"/>
      <c r="E142" s="5"/>
      <c r="F142" s="5"/>
      <c r="G142" s="5"/>
    </row>
    <row r="143" spans="1:7" ht="13">
      <c r="A143" s="48"/>
      <c r="B143" s="69"/>
      <c r="C143" s="48"/>
      <c r="D143" s="47"/>
      <c r="E143" s="5"/>
      <c r="F143" s="5"/>
      <c r="G143" s="5"/>
    </row>
    <row r="144" spans="1:7" ht="13">
      <c r="A144" s="48"/>
      <c r="B144" s="69"/>
      <c r="C144" s="48"/>
      <c r="D144" s="47"/>
      <c r="E144" s="5"/>
      <c r="F144" s="5"/>
      <c r="G144" s="5"/>
    </row>
    <row r="145" spans="1:7" ht="13">
      <c r="A145" s="48"/>
      <c r="B145" s="69"/>
      <c r="C145" s="48"/>
      <c r="D145" s="47"/>
      <c r="E145" s="5"/>
      <c r="F145" s="5"/>
      <c r="G145" s="5"/>
    </row>
    <row r="146" spans="1:7" ht="13">
      <c r="A146" s="48"/>
      <c r="B146" s="71"/>
      <c r="C146" s="48"/>
      <c r="D146" s="47"/>
      <c r="E146" s="5"/>
      <c r="F146" s="5"/>
      <c r="G146" s="5"/>
    </row>
    <row r="147" spans="1:7" ht="13">
      <c r="A147" s="48"/>
      <c r="B147" s="71"/>
      <c r="C147" s="48"/>
      <c r="D147" s="47"/>
      <c r="E147" s="5"/>
      <c r="F147" s="5"/>
      <c r="G147" s="5"/>
    </row>
    <row r="148" spans="1:7" ht="13">
      <c r="A148" s="48"/>
      <c r="B148" s="71"/>
      <c r="C148" s="48"/>
      <c r="D148" s="47"/>
      <c r="E148" s="5"/>
      <c r="F148" s="5"/>
      <c r="G148" s="5"/>
    </row>
    <row r="149" spans="1:7" ht="13">
      <c r="A149" s="48"/>
      <c r="B149" s="71"/>
      <c r="C149" s="48"/>
      <c r="D149" s="47"/>
      <c r="E149" s="5"/>
      <c r="F149" s="5"/>
      <c r="G149" s="5"/>
    </row>
    <row r="150" spans="1:7" ht="13">
      <c r="A150" s="48"/>
      <c r="B150" s="71"/>
      <c r="C150" s="48"/>
      <c r="D150" s="47"/>
      <c r="E150" s="5"/>
      <c r="F150" s="5"/>
      <c r="G150" s="5"/>
    </row>
    <row r="151" spans="1:7" ht="13">
      <c r="A151" s="48"/>
      <c r="B151" s="71"/>
      <c r="C151" s="48"/>
      <c r="D151" s="47"/>
      <c r="E151" s="5"/>
      <c r="F151" s="5"/>
      <c r="G151" s="5"/>
    </row>
    <row r="152" spans="1:7" ht="13">
      <c r="A152" s="48"/>
      <c r="B152" s="69"/>
      <c r="C152" s="48"/>
      <c r="D152" s="47"/>
      <c r="E152" s="5"/>
      <c r="F152" s="5"/>
      <c r="G152" s="5"/>
    </row>
    <row r="153" spans="1:7" ht="13">
      <c r="A153" s="48"/>
      <c r="B153" s="71"/>
      <c r="C153" s="48"/>
      <c r="D153" s="47"/>
      <c r="E153" s="5"/>
      <c r="F153" s="5"/>
      <c r="G153" s="5"/>
    </row>
    <row r="154" spans="1:7" ht="13">
      <c r="A154" s="48"/>
      <c r="B154" s="71"/>
      <c r="C154" s="48"/>
      <c r="D154" s="47"/>
      <c r="E154" s="5"/>
      <c r="F154" s="5"/>
      <c r="G154" s="5"/>
    </row>
    <row r="155" spans="1:7" ht="13">
      <c r="A155" s="48"/>
      <c r="B155" s="71"/>
      <c r="C155" s="48"/>
      <c r="D155" s="47"/>
      <c r="E155" s="5"/>
      <c r="F155" s="5"/>
      <c r="G155" s="5"/>
    </row>
    <row r="156" spans="1:7" ht="13">
      <c r="A156" s="48"/>
      <c r="B156" s="71"/>
      <c r="C156" s="48"/>
      <c r="D156" s="47"/>
      <c r="E156" s="5"/>
      <c r="F156" s="5"/>
      <c r="G156" s="5"/>
    </row>
    <row r="157" spans="1:7" ht="13">
      <c r="A157" s="48"/>
      <c r="B157" s="71"/>
      <c r="C157" s="48"/>
      <c r="D157" s="47"/>
      <c r="E157" s="5"/>
      <c r="F157" s="5"/>
      <c r="G157" s="5"/>
    </row>
    <row r="158" spans="1:7" ht="13">
      <c r="A158" s="48"/>
      <c r="B158" s="71"/>
      <c r="C158" s="48"/>
      <c r="D158" s="47"/>
      <c r="E158" s="5"/>
      <c r="F158" s="5"/>
      <c r="G158" s="5"/>
    </row>
    <row r="159" spans="1:7" ht="13">
      <c r="A159" s="48"/>
      <c r="B159" s="71"/>
      <c r="C159" s="48"/>
      <c r="D159" s="47"/>
      <c r="E159" s="5"/>
      <c r="F159" s="5"/>
      <c r="G159" s="5"/>
    </row>
    <row r="160" spans="1:7" ht="13">
      <c r="A160" s="48"/>
      <c r="B160" s="71"/>
      <c r="C160" s="48"/>
      <c r="D160" s="47"/>
      <c r="E160" s="5"/>
      <c r="F160" s="5"/>
      <c r="G160" s="5"/>
    </row>
    <row r="161" spans="1:7" ht="13">
      <c r="A161" s="48"/>
      <c r="B161" s="71"/>
      <c r="C161" s="48"/>
      <c r="D161" s="47"/>
      <c r="E161" s="5"/>
      <c r="F161" s="5"/>
      <c r="G161" s="5"/>
    </row>
    <row r="162" spans="1:7" ht="13">
      <c r="A162" s="48"/>
      <c r="B162" s="69"/>
      <c r="C162" s="48"/>
      <c r="D162" s="47"/>
      <c r="E162" s="5"/>
      <c r="F162" s="5"/>
      <c r="G162" s="5"/>
    </row>
    <row r="163" spans="1:7" ht="13">
      <c r="A163" s="48"/>
      <c r="B163" s="69"/>
      <c r="C163" s="48"/>
      <c r="D163" s="47"/>
      <c r="E163" s="5"/>
      <c r="F163" s="5"/>
      <c r="G163" s="5"/>
    </row>
    <row r="164" spans="1:7" ht="13">
      <c r="A164" s="48"/>
      <c r="B164" s="69"/>
      <c r="C164" s="48"/>
      <c r="D164" s="47"/>
      <c r="E164" s="5"/>
      <c r="F164" s="5"/>
      <c r="G164" s="5"/>
    </row>
    <row r="165" spans="1:7" ht="13">
      <c r="A165" s="48"/>
      <c r="B165" s="69"/>
      <c r="C165" s="48"/>
      <c r="D165" s="47"/>
      <c r="E165" s="5"/>
      <c r="F165" s="5"/>
      <c r="G165" s="5"/>
    </row>
    <row r="166" spans="1:7" ht="13">
      <c r="A166" s="48"/>
      <c r="B166" s="69"/>
      <c r="C166" s="48"/>
      <c r="D166" s="47"/>
      <c r="E166" s="5"/>
      <c r="F166" s="5"/>
      <c r="G166" s="5"/>
    </row>
    <row r="167" spans="1:7" ht="13">
      <c r="A167" s="48"/>
      <c r="B167" s="69"/>
      <c r="C167" s="48"/>
      <c r="D167" s="47"/>
      <c r="E167" s="5"/>
      <c r="F167" s="5"/>
      <c r="G167" s="5"/>
    </row>
    <row r="168" spans="1:7" ht="13">
      <c r="A168" s="48"/>
      <c r="B168" s="69"/>
      <c r="C168" s="48"/>
      <c r="D168" s="47"/>
      <c r="E168" s="5"/>
      <c r="F168" s="5"/>
      <c r="G168" s="5"/>
    </row>
    <row r="169" spans="1:7" ht="13">
      <c r="A169" s="48"/>
      <c r="B169" s="69"/>
      <c r="C169" s="48"/>
      <c r="D169" s="47"/>
      <c r="E169" s="5"/>
      <c r="F169" s="5"/>
      <c r="G169" s="5"/>
    </row>
    <row r="170" spans="1:7" ht="13">
      <c r="A170" s="48"/>
      <c r="B170" s="69"/>
      <c r="C170" s="48"/>
      <c r="D170" s="47"/>
      <c r="E170" s="5"/>
      <c r="F170" s="5"/>
      <c r="G170" s="5"/>
    </row>
    <row r="171" spans="1:7" ht="13">
      <c r="A171" s="48"/>
      <c r="B171" s="71"/>
      <c r="C171" s="48"/>
      <c r="D171" s="47"/>
      <c r="E171" s="5"/>
      <c r="F171" s="5"/>
      <c r="G171" s="5"/>
    </row>
    <row r="172" spans="1:7" ht="13">
      <c r="A172" s="48"/>
      <c r="B172" s="71"/>
      <c r="C172" s="48"/>
      <c r="D172" s="47"/>
      <c r="E172" s="5"/>
      <c r="F172" s="5"/>
      <c r="G172" s="5"/>
    </row>
    <row r="173" spans="1:7" ht="13">
      <c r="A173" s="48"/>
      <c r="B173" s="71"/>
      <c r="C173" s="48"/>
      <c r="D173" s="47"/>
      <c r="E173" s="5"/>
      <c r="F173" s="5"/>
      <c r="G173" s="5"/>
    </row>
    <row r="174" spans="1:7" ht="13">
      <c r="A174" s="48"/>
      <c r="B174" s="71"/>
      <c r="C174" s="48"/>
      <c r="D174" s="47"/>
      <c r="E174" s="5"/>
      <c r="F174" s="5"/>
      <c r="G174" s="5"/>
    </row>
    <row r="175" spans="1:7" ht="13">
      <c r="A175" s="48"/>
      <c r="B175" s="71"/>
      <c r="C175" s="48"/>
      <c r="D175" s="47"/>
      <c r="E175" s="5"/>
      <c r="F175" s="5"/>
      <c r="G175" s="5"/>
    </row>
    <row r="176" spans="1:7" ht="13">
      <c r="A176" s="48"/>
      <c r="B176" s="71"/>
      <c r="C176" s="48"/>
      <c r="D176" s="47"/>
      <c r="E176" s="5"/>
      <c r="F176" s="5"/>
      <c r="G176" s="5"/>
    </row>
    <row r="177" spans="1:7" ht="13">
      <c r="A177" s="48"/>
      <c r="B177" s="69"/>
      <c r="C177" s="48"/>
      <c r="D177" s="47"/>
      <c r="E177" s="5"/>
      <c r="F177" s="5"/>
      <c r="G177" s="5"/>
    </row>
    <row r="178" spans="1:7" ht="13">
      <c r="A178" s="48"/>
      <c r="B178" s="69"/>
      <c r="C178" s="48"/>
      <c r="D178" s="47"/>
      <c r="E178" s="5"/>
      <c r="F178" s="5"/>
      <c r="G178" s="5"/>
    </row>
    <row r="179" spans="1:7" ht="13">
      <c r="B179" s="36"/>
      <c r="C179" s="80"/>
      <c r="D179" s="5"/>
      <c r="E179" s="5"/>
      <c r="F179" s="5"/>
      <c r="G179" s="5"/>
    </row>
    <row r="180" spans="1:7" ht="13">
      <c r="B180" s="36"/>
      <c r="C180" s="80"/>
      <c r="D180" s="5"/>
      <c r="E180" s="5"/>
      <c r="F180" s="5"/>
      <c r="G180" s="5"/>
    </row>
    <row r="181" spans="1:7" ht="13">
      <c r="B181" s="36"/>
      <c r="C181" s="80"/>
      <c r="D181" s="5"/>
      <c r="E181" s="5"/>
      <c r="F181" s="5"/>
      <c r="G181" s="5"/>
    </row>
    <row r="182" spans="1:7" ht="13">
      <c r="B182" s="36"/>
      <c r="C182" s="80"/>
      <c r="D182" s="5"/>
      <c r="E182" s="5"/>
      <c r="F182" s="5"/>
      <c r="G182" s="5"/>
    </row>
    <row r="183" spans="1:7" ht="13">
      <c r="B183" s="36"/>
      <c r="C183" s="80"/>
      <c r="D183" s="5"/>
      <c r="E183" s="5"/>
      <c r="F183" s="5"/>
      <c r="G183" s="5"/>
    </row>
    <row r="184" spans="1:7" ht="13">
      <c r="B184" s="36"/>
      <c r="C184" s="80"/>
      <c r="D184" s="5"/>
      <c r="E184" s="5"/>
      <c r="F184" s="5"/>
      <c r="G184" s="5"/>
    </row>
    <row r="185" spans="1:7" ht="13">
      <c r="B185" s="36"/>
      <c r="C185" s="80"/>
      <c r="D185" s="5"/>
      <c r="E185" s="5"/>
      <c r="F185" s="5"/>
      <c r="G185" s="5"/>
    </row>
    <row r="186" spans="1:7" ht="13">
      <c r="B186" s="36"/>
      <c r="C186" s="80"/>
      <c r="D186" s="5"/>
      <c r="E186" s="5"/>
      <c r="F186" s="5"/>
      <c r="G186" s="5"/>
    </row>
    <row r="187" spans="1:7" ht="13">
      <c r="B187" s="36"/>
      <c r="C187" s="80"/>
      <c r="D187" s="5"/>
      <c r="E187" s="5"/>
      <c r="F187" s="5"/>
      <c r="G187" s="5"/>
    </row>
    <row r="188" spans="1:7" ht="13">
      <c r="B188" s="36"/>
      <c r="C188" s="80"/>
      <c r="D188" s="5"/>
      <c r="E188" s="5"/>
      <c r="F188" s="5"/>
      <c r="G188" s="5"/>
    </row>
    <row r="189" spans="1:7" ht="13">
      <c r="B189" s="36"/>
      <c r="C189" s="80"/>
      <c r="D189" s="5"/>
      <c r="E189" s="5"/>
      <c r="F189" s="5"/>
      <c r="G189" s="5"/>
    </row>
    <row r="190" spans="1:7" ht="13">
      <c r="B190" s="36"/>
      <c r="C190" s="80"/>
      <c r="D190" s="5"/>
      <c r="E190" s="5"/>
      <c r="F190" s="5"/>
      <c r="G190" s="5"/>
    </row>
    <row r="191" spans="1:7" ht="13">
      <c r="B191" s="36"/>
      <c r="C191" s="80"/>
      <c r="D191" s="5"/>
      <c r="E191" s="5"/>
      <c r="F191" s="5"/>
      <c r="G191" s="5"/>
    </row>
    <row r="192" spans="1:7" ht="13">
      <c r="B192" s="36"/>
      <c r="C192" s="80"/>
      <c r="D192" s="5"/>
      <c r="E192" s="5"/>
      <c r="F192" s="5"/>
      <c r="G192" s="5"/>
    </row>
    <row r="193" spans="2:7" ht="13">
      <c r="B193" s="36"/>
      <c r="C193" s="80"/>
      <c r="D193" s="5"/>
      <c r="E193" s="5"/>
      <c r="F193" s="5"/>
      <c r="G193" s="5"/>
    </row>
    <row r="194" spans="2:7" ht="13">
      <c r="B194" s="36"/>
      <c r="C194" s="80"/>
      <c r="D194" s="5"/>
      <c r="E194" s="5"/>
      <c r="F194" s="5"/>
      <c r="G194" s="5"/>
    </row>
    <row r="195" spans="2:7" ht="13">
      <c r="B195" s="36"/>
      <c r="C195" s="80"/>
      <c r="D195" s="5"/>
      <c r="E195" s="5"/>
      <c r="F195" s="5"/>
      <c r="G195" s="5"/>
    </row>
    <row r="196" spans="2:7" ht="13">
      <c r="B196" s="36"/>
      <c r="C196" s="80"/>
      <c r="D196" s="5"/>
      <c r="E196" s="5"/>
      <c r="F196" s="5"/>
      <c r="G196" s="5"/>
    </row>
    <row r="197" spans="2:7" ht="13">
      <c r="B197" s="36"/>
      <c r="C197" s="80"/>
      <c r="D197" s="5"/>
      <c r="E197" s="5"/>
      <c r="F197" s="5"/>
      <c r="G197" s="5"/>
    </row>
    <row r="198" spans="2:7" ht="13">
      <c r="B198" s="36"/>
      <c r="C198" s="80"/>
      <c r="D198" s="5"/>
      <c r="E198" s="5"/>
      <c r="F198" s="5"/>
      <c r="G198" s="5"/>
    </row>
    <row r="199" spans="2:7" ht="13">
      <c r="B199" s="36"/>
      <c r="C199" s="80"/>
      <c r="D199" s="5"/>
      <c r="E199" s="5"/>
      <c r="F199" s="5"/>
      <c r="G199" s="5"/>
    </row>
    <row r="200" spans="2:7" ht="13">
      <c r="B200" s="36"/>
      <c r="C200" s="80"/>
      <c r="D200" s="5"/>
      <c r="E200" s="5"/>
      <c r="F200" s="5"/>
      <c r="G200" s="5"/>
    </row>
    <row r="201" spans="2:7" ht="13">
      <c r="B201" s="36"/>
      <c r="C201" s="80"/>
      <c r="D201" s="5"/>
      <c r="E201" s="5"/>
      <c r="F201" s="5"/>
      <c r="G201" s="5"/>
    </row>
    <row r="202" spans="2:7" ht="13">
      <c r="B202" s="36"/>
      <c r="C202" s="80"/>
      <c r="D202" s="5"/>
      <c r="E202" s="5"/>
      <c r="F202" s="5"/>
      <c r="G202" s="5"/>
    </row>
    <row r="203" spans="2:7" ht="13">
      <c r="B203" s="36"/>
      <c r="C203" s="80"/>
      <c r="D203" s="5"/>
      <c r="E203" s="5"/>
      <c r="F203" s="5"/>
      <c r="G203" s="5"/>
    </row>
    <row r="204" spans="2:7" ht="13">
      <c r="B204" s="36"/>
      <c r="C204" s="80"/>
      <c r="D204" s="5"/>
      <c r="E204" s="5"/>
      <c r="F204" s="5"/>
      <c r="G204" s="5"/>
    </row>
    <row r="205" spans="2:7" ht="13">
      <c r="B205" s="36"/>
      <c r="C205" s="80"/>
      <c r="D205" s="5"/>
      <c r="E205" s="5"/>
      <c r="F205" s="5"/>
      <c r="G205" s="5"/>
    </row>
    <row r="206" spans="2:7" ht="13">
      <c r="B206" s="36"/>
      <c r="C206" s="80"/>
      <c r="D206" s="5"/>
      <c r="E206" s="5"/>
      <c r="F206" s="5"/>
      <c r="G206" s="5"/>
    </row>
    <row r="207" spans="2:7" ht="13">
      <c r="B207" s="36"/>
      <c r="C207" s="80"/>
      <c r="D207" s="5"/>
      <c r="E207" s="5"/>
      <c r="F207" s="5"/>
      <c r="G207" s="5"/>
    </row>
    <row r="208" spans="2:7" ht="13">
      <c r="B208" s="36"/>
      <c r="C208" s="80"/>
      <c r="D208" s="5"/>
      <c r="E208" s="5"/>
      <c r="F208" s="5"/>
      <c r="G208" s="5"/>
    </row>
    <row r="209" spans="2:7" ht="13">
      <c r="B209" s="36"/>
      <c r="C209" s="80"/>
      <c r="D209" s="5"/>
      <c r="E209" s="5"/>
      <c r="F209" s="5"/>
      <c r="G209" s="5"/>
    </row>
    <row r="210" spans="2:7" ht="13">
      <c r="B210" s="36"/>
      <c r="C210" s="80"/>
      <c r="D210" s="5"/>
      <c r="E210" s="5"/>
      <c r="F210" s="5"/>
      <c r="G210" s="5"/>
    </row>
    <row r="211" spans="2:7" ht="13">
      <c r="B211" s="36"/>
      <c r="C211" s="80"/>
      <c r="D211" s="5"/>
      <c r="E211" s="5"/>
      <c r="F211" s="5"/>
      <c r="G211" s="5"/>
    </row>
    <row r="212" spans="2:7" ht="13">
      <c r="B212" s="36"/>
      <c r="C212" s="80"/>
      <c r="D212" s="5"/>
      <c r="E212" s="5"/>
      <c r="F212" s="5"/>
      <c r="G212" s="5"/>
    </row>
    <row r="213" spans="2:7" ht="13">
      <c r="B213" s="36"/>
      <c r="C213" s="80"/>
      <c r="D213" s="5"/>
      <c r="E213" s="5"/>
      <c r="F213" s="5"/>
      <c r="G213" s="5"/>
    </row>
    <row r="214" spans="2:7" ht="13">
      <c r="B214" s="36"/>
      <c r="C214" s="80"/>
      <c r="D214" s="5"/>
      <c r="E214" s="5"/>
      <c r="F214" s="5"/>
      <c r="G214" s="5"/>
    </row>
    <row r="215" spans="2:7" ht="13">
      <c r="B215" s="36"/>
      <c r="C215" s="80"/>
      <c r="D215" s="5"/>
      <c r="E215" s="5"/>
      <c r="F215" s="5"/>
      <c r="G215" s="5"/>
    </row>
    <row r="216" spans="2:7" ht="13">
      <c r="B216" s="36"/>
      <c r="C216" s="80"/>
      <c r="D216" s="5"/>
      <c r="E216" s="5"/>
      <c r="F216" s="5"/>
      <c r="G216" s="5"/>
    </row>
    <row r="217" spans="2:7" ht="13">
      <c r="B217" s="36"/>
      <c r="C217" s="80"/>
      <c r="D217" s="5"/>
      <c r="E217" s="5"/>
      <c r="F217" s="5"/>
      <c r="G217" s="5"/>
    </row>
    <row r="218" spans="2:7" ht="13">
      <c r="B218" s="36"/>
      <c r="C218" s="80"/>
      <c r="D218" s="5"/>
      <c r="E218" s="5"/>
      <c r="F218" s="5"/>
      <c r="G218" s="5"/>
    </row>
    <row r="219" spans="2:7" ht="13">
      <c r="B219" s="36"/>
      <c r="C219" s="80"/>
      <c r="D219" s="5"/>
      <c r="E219" s="5"/>
      <c r="F219" s="5"/>
      <c r="G219" s="5"/>
    </row>
    <row r="220" spans="2:7" ht="13">
      <c r="B220" s="36"/>
      <c r="C220" s="80"/>
      <c r="D220" s="5"/>
      <c r="E220" s="5"/>
      <c r="F220" s="5"/>
      <c r="G220" s="5"/>
    </row>
    <row r="221" spans="2:7" ht="13">
      <c r="B221" s="36"/>
      <c r="C221" s="80"/>
      <c r="D221" s="5"/>
      <c r="E221" s="5"/>
      <c r="F221" s="5"/>
      <c r="G221" s="5"/>
    </row>
    <row r="222" spans="2:7" ht="13">
      <c r="B222" s="36"/>
      <c r="C222" s="80"/>
      <c r="D222" s="5"/>
      <c r="E222" s="5"/>
      <c r="F222" s="5"/>
      <c r="G222" s="5"/>
    </row>
    <row r="223" spans="2:7" ht="13">
      <c r="B223" s="36"/>
      <c r="C223" s="80"/>
      <c r="D223" s="5"/>
      <c r="E223" s="5"/>
      <c r="F223" s="5"/>
      <c r="G223" s="5"/>
    </row>
    <row r="224" spans="2:7" ht="13">
      <c r="B224" s="36"/>
      <c r="C224" s="80"/>
      <c r="D224" s="5"/>
      <c r="E224" s="5"/>
      <c r="F224" s="5"/>
      <c r="G224" s="5"/>
    </row>
    <row r="225" spans="2:7" ht="13">
      <c r="B225" s="36"/>
      <c r="C225" s="80"/>
      <c r="D225" s="5"/>
      <c r="E225" s="5"/>
      <c r="F225" s="5"/>
      <c r="G225" s="5"/>
    </row>
    <row r="226" spans="2:7" ht="13">
      <c r="B226" s="36"/>
      <c r="C226" s="80"/>
      <c r="D226" s="5"/>
      <c r="E226" s="5"/>
      <c r="F226" s="5"/>
      <c r="G226" s="5"/>
    </row>
    <row r="227" spans="2:7" ht="13">
      <c r="B227" s="36"/>
      <c r="C227" s="80"/>
      <c r="D227" s="5"/>
      <c r="E227" s="5"/>
      <c r="F227" s="5"/>
      <c r="G227" s="5"/>
    </row>
    <row r="228" spans="2:7" ht="13">
      <c r="B228" s="36"/>
      <c r="C228" s="80"/>
      <c r="D228" s="5"/>
      <c r="E228" s="5"/>
      <c r="F228" s="5"/>
      <c r="G228" s="5"/>
    </row>
    <row r="229" spans="2:7" ht="13">
      <c r="B229" s="36"/>
      <c r="C229" s="80"/>
      <c r="D229" s="5"/>
      <c r="E229" s="5"/>
      <c r="F229" s="5"/>
      <c r="G229" s="5"/>
    </row>
    <row r="230" spans="2:7" ht="13">
      <c r="B230" s="36"/>
      <c r="C230" s="80"/>
      <c r="D230" s="5"/>
      <c r="E230" s="5"/>
      <c r="F230" s="5"/>
      <c r="G230" s="5"/>
    </row>
    <row r="231" spans="2:7" ht="13">
      <c r="B231" s="36"/>
      <c r="C231" s="80"/>
      <c r="D231" s="5"/>
      <c r="E231" s="5"/>
      <c r="F231" s="5"/>
      <c r="G231" s="5"/>
    </row>
    <row r="232" spans="2:7" ht="13">
      <c r="B232" s="36"/>
      <c r="C232" s="80"/>
      <c r="D232" s="5"/>
      <c r="E232" s="5"/>
      <c r="F232" s="5"/>
      <c r="G232" s="5"/>
    </row>
    <row r="233" spans="2:7" ht="13">
      <c r="B233" s="36"/>
      <c r="C233" s="80"/>
      <c r="D233" s="5"/>
      <c r="E233" s="5"/>
      <c r="F233" s="5"/>
      <c r="G233" s="5"/>
    </row>
    <row r="234" spans="2:7" ht="13">
      <c r="B234" s="36"/>
      <c r="C234" s="80"/>
      <c r="D234" s="5"/>
      <c r="E234" s="5"/>
      <c r="F234" s="5"/>
      <c r="G234" s="5"/>
    </row>
    <row r="235" spans="2:7" ht="13">
      <c r="B235" s="36"/>
      <c r="C235" s="80"/>
      <c r="D235" s="5"/>
      <c r="E235" s="5"/>
      <c r="F235" s="5"/>
      <c r="G235" s="5"/>
    </row>
    <row r="236" spans="2:7" ht="13">
      <c r="B236" s="36"/>
      <c r="C236" s="80"/>
      <c r="D236" s="5"/>
      <c r="E236" s="5"/>
      <c r="F236" s="5"/>
      <c r="G236" s="5"/>
    </row>
    <row r="237" spans="2:7" ht="13">
      <c r="B237" s="36"/>
      <c r="C237" s="80"/>
      <c r="D237" s="5"/>
      <c r="E237" s="5"/>
      <c r="F237" s="5"/>
      <c r="G237" s="5"/>
    </row>
    <row r="238" spans="2:7" ht="13">
      <c r="B238" s="36"/>
      <c r="C238" s="80"/>
      <c r="D238" s="5"/>
      <c r="E238" s="5"/>
      <c r="F238" s="5"/>
      <c r="G238" s="5"/>
    </row>
    <row r="239" spans="2:7" ht="13">
      <c r="B239" s="36"/>
      <c r="C239" s="80"/>
      <c r="D239" s="5"/>
      <c r="E239" s="5"/>
      <c r="F239" s="5"/>
      <c r="G239" s="5"/>
    </row>
    <row r="240" spans="2:7" ht="13">
      <c r="B240" s="36"/>
      <c r="C240" s="80"/>
      <c r="D240" s="5"/>
      <c r="E240" s="5"/>
      <c r="F240" s="5"/>
      <c r="G240" s="5"/>
    </row>
    <row r="241" spans="2:7" ht="13">
      <c r="B241" s="36"/>
      <c r="C241" s="80"/>
      <c r="D241" s="5"/>
      <c r="E241" s="5"/>
      <c r="F241" s="5"/>
      <c r="G241" s="5"/>
    </row>
    <row r="242" spans="2:7" ht="13">
      <c r="B242" s="36"/>
      <c r="C242" s="80"/>
      <c r="D242" s="5"/>
      <c r="E242" s="5"/>
      <c r="F242" s="5"/>
      <c r="G242" s="5"/>
    </row>
    <row r="243" spans="2:7" ht="13">
      <c r="B243" s="36"/>
      <c r="C243" s="80"/>
      <c r="D243" s="5"/>
      <c r="E243" s="5"/>
      <c r="F243" s="5"/>
      <c r="G243" s="5"/>
    </row>
    <row r="244" spans="2:7" ht="13">
      <c r="B244" s="36"/>
      <c r="C244" s="80"/>
      <c r="D244" s="5"/>
      <c r="E244" s="5"/>
      <c r="F244" s="5"/>
      <c r="G244" s="5"/>
    </row>
    <row r="245" spans="2:7" ht="13">
      <c r="B245" s="36"/>
      <c r="C245" s="80"/>
      <c r="D245" s="5"/>
      <c r="E245" s="5"/>
      <c r="F245" s="5"/>
      <c r="G245" s="5"/>
    </row>
    <row r="246" spans="2:7" ht="13">
      <c r="B246" s="36"/>
      <c r="C246" s="80"/>
      <c r="D246" s="5"/>
      <c r="E246" s="5"/>
      <c r="F246" s="5"/>
      <c r="G246" s="5"/>
    </row>
    <row r="247" spans="2:7" ht="13">
      <c r="B247" s="36"/>
      <c r="C247" s="80"/>
      <c r="D247" s="5"/>
      <c r="E247" s="5"/>
      <c r="F247" s="5"/>
      <c r="G247" s="5"/>
    </row>
    <row r="248" spans="2:7" ht="13">
      <c r="B248" s="36"/>
      <c r="C248" s="80"/>
      <c r="D248" s="5"/>
      <c r="E248" s="5"/>
      <c r="F248" s="5"/>
      <c r="G248" s="5"/>
    </row>
    <row r="249" spans="2:7" ht="13">
      <c r="B249" s="36"/>
      <c r="C249" s="80"/>
      <c r="D249" s="5"/>
      <c r="E249" s="5"/>
      <c r="F249" s="5"/>
      <c r="G249" s="5"/>
    </row>
    <row r="250" spans="2:7" ht="13">
      <c r="B250" s="36"/>
      <c r="C250" s="80"/>
      <c r="D250" s="5"/>
      <c r="E250" s="5"/>
      <c r="F250" s="5"/>
      <c r="G250" s="5"/>
    </row>
    <row r="251" spans="2:7" ht="13">
      <c r="B251" s="36"/>
      <c r="C251" s="80"/>
      <c r="D251" s="5"/>
      <c r="E251" s="5"/>
      <c r="F251" s="5"/>
      <c r="G251" s="5"/>
    </row>
    <row r="252" spans="2:7" ht="13">
      <c r="B252" s="36"/>
      <c r="C252" s="80"/>
      <c r="D252" s="5"/>
      <c r="E252" s="5"/>
      <c r="F252" s="5"/>
      <c r="G252" s="5"/>
    </row>
    <row r="253" spans="2:7" ht="13">
      <c r="B253" s="36"/>
      <c r="C253" s="80"/>
      <c r="D253" s="5"/>
      <c r="E253" s="5"/>
      <c r="F253" s="5"/>
      <c r="G253" s="5"/>
    </row>
    <row r="254" spans="2:7" ht="13">
      <c r="B254" s="36"/>
      <c r="C254" s="80"/>
      <c r="D254" s="5"/>
      <c r="E254" s="5"/>
      <c r="F254" s="5"/>
      <c r="G254" s="5"/>
    </row>
    <row r="255" spans="2:7" ht="13">
      <c r="B255" s="36"/>
      <c r="C255" s="80"/>
      <c r="D255" s="5"/>
      <c r="E255" s="5"/>
      <c r="F255" s="5"/>
      <c r="G255" s="5"/>
    </row>
    <row r="256" spans="2:7" ht="13">
      <c r="B256" s="36"/>
      <c r="C256" s="80"/>
      <c r="D256" s="5"/>
      <c r="E256" s="5"/>
      <c r="F256" s="5"/>
      <c r="G256" s="5"/>
    </row>
    <row r="257" spans="2:7" ht="13">
      <c r="B257" s="36"/>
      <c r="C257" s="80"/>
      <c r="D257" s="5"/>
      <c r="E257" s="5"/>
      <c r="F257" s="5"/>
      <c r="G257" s="5"/>
    </row>
    <row r="258" spans="2:7" ht="13">
      <c r="B258" s="36"/>
      <c r="C258" s="80"/>
      <c r="D258" s="5"/>
      <c r="E258" s="5"/>
      <c r="F258" s="5"/>
      <c r="G258" s="5"/>
    </row>
    <row r="259" spans="2:7" ht="13">
      <c r="B259" s="36"/>
      <c r="C259" s="80"/>
      <c r="D259" s="5"/>
      <c r="E259" s="5"/>
      <c r="F259" s="5"/>
      <c r="G259" s="5"/>
    </row>
    <row r="260" spans="2:7" ht="13">
      <c r="B260" s="36"/>
      <c r="C260" s="80"/>
      <c r="D260" s="5"/>
      <c r="E260" s="5"/>
      <c r="F260" s="5"/>
      <c r="G260" s="5"/>
    </row>
    <row r="261" spans="2:7" ht="13">
      <c r="B261" s="36"/>
      <c r="C261" s="80"/>
      <c r="D261" s="5"/>
      <c r="E261" s="5"/>
      <c r="F261" s="5"/>
      <c r="G261" s="5"/>
    </row>
    <row r="262" spans="2:7" ht="13">
      <c r="B262" s="36"/>
      <c r="C262" s="80"/>
      <c r="D262" s="5"/>
      <c r="E262" s="5"/>
      <c r="F262" s="5"/>
      <c r="G262" s="5"/>
    </row>
    <row r="263" spans="2:7" ht="13">
      <c r="B263" s="36"/>
      <c r="C263" s="80"/>
      <c r="D263" s="5"/>
      <c r="E263" s="5"/>
      <c r="F263" s="5"/>
      <c r="G263" s="5"/>
    </row>
    <row r="264" spans="2:7" ht="13">
      <c r="B264" s="36"/>
      <c r="C264" s="80"/>
      <c r="D264" s="5"/>
      <c r="E264" s="5"/>
      <c r="F264" s="5"/>
      <c r="G264" s="5"/>
    </row>
    <row r="265" spans="2:7" ht="13">
      <c r="B265" s="36"/>
      <c r="C265" s="80"/>
      <c r="D265" s="5"/>
      <c r="E265" s="5"/>
      <c r="F265" s="5"/>
      <c r="G265" s="5"/>
    </row>
    <row r="266" spans="2:7" ht="13">
      <c r="B266" s="36"/>
      <c r="C266" s="80"/>
      <c r="D266" s="5"/>
      <c r="E266" s="5"/>
      <c r="F266" s="5"/>
      <c r="G266" s="5"/>
    </row>
    <row r="267" spans="2:7" ht="13">
      <c r="B267" s="36"/>
      <c r="C267" s="80"/>
      <c r="D267" s="5"/>
      <c r="E267" s="5"/>
      <c r="F267" s="5"/>
      <c r="G267" s="5"/>
    </row>
    <row r="268" spans="2:7" ht="13">
      <c r="B268" s="36"/>
      <c r="C268" s="80"/>
      <c r="D268" s="5"/>
      <c r="E268" s="5"/>
      <c r="F268" s="5"/>
      <c r="G268" s="5"/>
    </row>
    <row r="269" spans="2:7" ht="13">
      <c r="B269" s="36"/>
      <c r="C269" s="80"/>
      <c r="D269" s="5"/>
      <c r="E269" s="5"/>
      <c r="F269" s="5"/>
      <c r="G269" s="5"/>
    </row>
    <row r="270" spans="2:7" ht="13">
      <c r="B270" s="36"/>
      <c r="C270" s="80"/>
      <c r="D270" s="5"/>
      <c r="E270" s="5"/>
      <c r="F270" s="5"/>
      <c r="G270" s="5"/>
    </row>
    <row r="271" spans="2:7" ht="13">
      <c r="B271" s="36"/>
      <c r="C271" s="80"/>
      <c r="D271" s="5"/>
      <c r="E271" s="5"/>
      <c r="F271" s="5"/>
      <c r="G271" s="5"/>
    </row>
    <row r="272" spans="2:7" ht="13">
      <c r="B272" s="36"/>
      <c r="C272" s="80"/>
      <c r="D272" s="5"/>
      <c r="E272" s="5"/>
      <c r="F272" s="5"/>
      <c r="G272" s="5"/>
    </row>
    <row r="273" spans="2:7" ht="13">
      <c r="B273" s="36"/>
      <c r="C273" s="80"/>
      <c r="D273" s="5"/>
      <c r="E273" s="5"/>
      <c r="F273" s="5"/>
      <c r="G273" s="5"/>
    </row>
    <row r="274" spans="2:7" ht="13">
      <c r="B274" s="36"/>
      <c r="C274" s="80"/>
      <c r="D274" s="5"/>
      <c r="E274" s="5"/>
      <c r="F274" s="5"/>
      <c r="G274" s="5"/>
    </row>
    <row r="275" spans="2:7" ht="13">
      <c r="B275" s="36"/>
      <c r="C275" s="80"/>
      <c r="D275" s="5"/>
      <c r="E275" s="5"/>
      <c r="F275" s="5"/>
      <c r="G275" s="5"/>
    </row>
    <row r="276" spans="2:7" ht="13">
      <c r="B276" s="36"/>
      <c r="C276" s="80"/>
      <c r="D276" s="5"/>
      <c r="E276" s="5"/>
      <c r="F276" s="5"/>
      <c r="G276" s="5"/>
    </row>
    <row r="277" spans="2:7" ht="13">
      <c r="B277" s="36"/>
      <c r="C277" s="80"/>
      <c r="D277" s="5"/>
      <c r="E277" s="5"/>
      <c r="F277" s="5"/>
      <c r="G277" s="5"/>
    </row>
    <row r="278" spans="2:7" ht="13">
      <c r="B278" s="36"/>
      <c r="C278" s="80"/>
      <c r="D278" s="5"/>
      <c r="E278" s="5"/>
      <c r="F278" s="5"/>
      <c r="G278" s="5"/>
    </row>
    <row r="279" spans="2:7" ht="13">
      <c r="B279" s="36"/>
      <c r="C279" s="80"/>
      <c r="D279" s="5"/>
      <c r="E279" s="5"/>
      <c r="F279" s="5"/>
      <c r="G279" s="5"/>
    </row>
    <row r="280" spans="2:7" ht="13">
      <c r="B280" s="36"/>
      <c r="C280" s="80"/>
      <c r="D280" s="5"/>
      <c r="E280" s="5"/>
      <c r="F280" s="5"/>
      <c r="G280" s="5"/>
    </row>
    <row r="281" spans="2:7" ht="13">
      <c r="B281" s="36"/>
      <c r="C281" s="80"/>
      <c r="D281" s="5"/>
      <c r="E281" s="5"/>
      <c r="F281" s="5"/>
      <c r="G281" s="5"/>
    </row>
    <row r="282" spans="2:7" ht="13">
      <c r="B282" s="36"/>
      <c r="C282" s="80"/>
      <c r="D282" s="5"/>
      <c r="E282" s="5"/>
      <c r="F282" s="5"/>
      <c r="G282" s="5"/>
    </row>
    <row r="283" spans="2:7" ht="13">
      <c r="B283" s="36"/>
      <c r="C283" s="80"/>
      <c r="D283" s="5"/>
      <c r="E283" s="5"/>
      <c r="F283" s="5"/>
      <c r="G283" s="5"/>
    </row>
    <row r="284" spans="2:7" ht="13">
      <c r="B284" s="36"/>
      <c r="C284" s="80"/>
      <c r="D284" s="5"/>
      <c r="E284" s="5"/>
      <c r="F284" s="5"/>
      <c r="G284" s="5"/>
    </row>
    <row r="285" spans="2:7" ht="13">
      <c r="B285" s="36"/>
      <c r="C285" s="80"/>
      <c r="D285" s="5"/>
      <c r="E285" s="5"/>
      <c r="F285" s="5"/>
      <c r="G285" s="5"/>
    </row>
    <row r="286" spans="2:7" ht="13">
      <c r="B286" s="36"/>
      <c r="C286" s="80"/>
      <c r="D286" s="5"/>
      <c r="E286" s="5"/>
      <c r="F286" s="5"/>
      <c r="G286" s="5"/>
    </row>
    <row r="287" spans="2:7" ht="13">
      <c r="B287" s="36"/>
      <c r="C287" s="80"/>
      <c r="D287" s="5"/>
      <c r="E287" s="5"/>
      <c r="F287" s="5"/>
      <c r="G287" s="5"/>
    </row>
    <row r="288" spans="2:7" ht="13">
      <c r="B288" s="36"/>
      <c r="C288" s="80"/>
      <c r="D288" s="5"/>
      <c r="E288" s="5"/>
      <c r="F288" s="5"/>
      <c r="G288" s="5"/>
    </row>
    <row r="289" spans="2:7" ht="13">
      <c r="B289" s="36"/>
      <c r="C289" s="80"/>
      <c r="D289" s="5"/>
      <c r="E289" s="5"/>
      <c r="F289" s="5"/>
      <c r="G289" s="5"/>
    </row>
    <row r="290" spans="2:7" ht="13">
      <c r="B290" s="36"/>
      <c r="C290" s="80"/>
      <c r="D290" s="5"/>
      <c r="E290" s="5"/>
      <c r="F290" s="5"/>
      <c r="G290" s="5"/>
    </row>
    <row r="291" spans="2:7" ht="13">
      <c r="B291" s="36"/>
      <c r="C291" s="80"/>
      <c r="D291" s="5"/>
      <c r="E291" s="5"/>
      <c r="F291" s="5"/>
      <c r="G291" s="5"/>
    </row>
    <row r="292" spans="2:7" ht="13">
      <c r="B292" s="36"/>
      <c r="C292" s="80"/>
      <c r="D292" s="5"/>
      <c r="E292" s="5"/>
      <c r="F292" s="5"/>
      <c r="G292" s="5"/>
    </row>
    <row r="293" spans="2:7" ht="13">
      <c r="B293" s="36"/>
      <c r="C293" s="80"/>
      <c r="D293" s="5"/>
      <c r="E293" s="5"/>
      <c r="F293" s="5"/>
      <c r="G293" s="5"/>
    </row>
    <row r="294" spans="2:7" ht="13">
      <c r="B294" s="36"/>
      <c r="C294" s="80"/>
      <c r="D294" s="5"/>
      <c r="E294" s="5"/>
      <c r="F294" s="5"/>
      <c r="G294" s="5"/>
    </row>
    <row r="295" spans="2:7" ht="13">
      <c r="B295" s="36"/>
      <c r="C295" s="80"/>
      <c r="D295" s="5"/>
      <c r="E295" s="5"/>
      <c r="F295" s="5"/>
      <c r="G295" s="5"/>
    </row>
    <row r="296" spans="2:7" ht="13">
      <c r="B296" s="36"/>
      <c r="C296" s="80"/>
      <c r="D296" s="5"/>
      <c r="E296" s="5"/>
      <c r="F296" s="5"/>
      <c r="G296" s="5"/>
    </row>
    <row r="297" spans="2:7" ht="13">
      <c r="B297" s="36"/>
      <c r="C297" s="80"/>
      <c r="D297" s="5"/>
      <c r="E297" s="5"/>
      <c r="F297" s="5"/>
      <c r="G297" s="5"/>
    </row>
    <row r="298" spans="2:7" ht="13">
      <c r="B298" s="36"/>
      <c r="C298" s="80"/>
      <c r="D298" s="5"/>
      <c r="E298" s="5"/>
      <c r="F298" s="5"/>
      <c r="G298" s="5"/>
    </row>
    <row r="299" spans="2:7" ht="13">
      <c r="B299" s="36"/>
      <c r="C299" s="80"/>
      <c r="D299" s="5"/>
      <c r="E299" s="5"/>
      <c r="F299" s="5"/>
      <c r="G299" s="5"/>
    </row>
    <row r="300" spans="2:7" ht="13">
      <c r="B300" s="36"/>
      <c r="C300" s="80"/>
      <c r="D300" s="5"/>
      <c r="E300" s="5"/>
      <c r="F300" s="5"/>
      <c r="G300" s="5"/>
    </row>
    <row r="301" spans="2:7" ht="13">
      <c r="B301" s="36"/>
      <c r="C301" s="80"/>
      <c r="D301" s="5"/>
      <c r="E301" s="5"/>
      <c r="F301" s="5"/>
      <c r="G301" s="5"/>
    </row>
    <row r="302" spans="2:7" ht="13">
      <c r="B302" s="36"/>
      <c r="C302" s="80"/>
      <c r="D302" s="5"/>
      <c r="E302" s="5"/>
      <c r="F302" s="5"/>
      <c r="G302" s="5"/>
    </row>
    <row r="303" spans="2:7" ht="13">
      <c r="B303" s="36"/>
      <c r="C303" s="80"/>
      <c r="D303" s="5"/>
      <c r="E303" s="5"/>
      <c r="F303" s="5"/>
      <c r="G303" s="5"/>
    </row>
    <row r="304" spans="2:7" ht="13">
      <c r="B304" s="36"/>
      <c r="C304" s="80"/>
      <c r="D304" s="5"/>
      <c r="E304" s="5"/>
      <c r="F304" s="5"/>
      <c r="G304" s="5"/>
    </row>
    <row r="305" spans="2:7" ht="13">
      <c r="B305" s="36"/>
      <c r="C305" s="80"/>
      <c r="D305" s="5"/>
      <c r="E305" s="5"/>
      <c r="F305" s="5"/>
      <c r="G305" s="5"/>
    </row>
    <row r="306" spans="2:7" ht="13">
      <c r="B306" s="36"/>
      <c r="C306" s="80"/>
      <c r="D306" s="5"/>
      <c r="E306" s="5"/>
      <c r="F306" s="5"/>
      <c r="G306" s="5"/>
    </row>
    <row r="307" spans="2:7" ht="13">
      <c r="B307" s="36"/>
      <c r="C307" s="80"/>
      <c r="D307" s="5"/>
      <c r="E307" s="5"/>
      <c r="F307" s="5"/>
      <c r="G307" s="5"/>
    </row>
    <row r="308" spans="2:7" ht="13">
      <c r="B308" s="36"/>
      <c r="C308" s="80"/>
      <c r="D308" s="5"/>
      <c r="E308" s="5"/>
      <c r="F308" s="5"/>
      <c r="G308" s="5"/>
    </row>
    <row r="309" spans="2:7" ht="13">
      <c r="B309" s="36"/>
      <c r="C309" s="80"/>
      <c r="D309" s="5"/>
      <c r="E309" s="5"/>
      <c r="F309" s="5"/>
      <c r="G309" s="5"/>
    </row>
    <row r="310" spans="2:7" ht="13">
      <c r="B310" s="36"/>
      <c r="C310" s="80"/>
      <c r="D310" s="5"/>
      <c r="E310" s="5"/>
      <c r="F310" s="5"/>
      <c r="G310" s="5"/>
    </row>
    <row r="311" spans="2:7" ht="13">
      <c r="B311" s="36"/>
      <c r="C311" s="80"/>
      <c r="D311" s="5"/>
      <c r="E311" s="5"/>
      <c r="F311" s="5"/>
      <c r="G311" s="5"/>
    </row>
    <row r="312" spans="2:7" ht="13">
      <c r="B312" s="36"/>
      <c r="C312" s="80"/>
      <c r="D312" s="5"/>
      <c r="E312" s="5"/>
      <c r="F312" s="5"/>
      <c r="G312" s="5"/>
    </row>
    <row r="313" spans="2:7" ht="13">
      <c r="B313" s="36"/>
      <c r="C313" s="80"/>
      <c r="D313" s="5"/>
      <c r="E313" s="5"/>
      <c r="F313" s="5"/>
      <c r="G313" s="5"/>
    </row>
    <row r="314" spans="2:7" ht="13">
      <c r="B314" s="36"/>
      <c r="C314" s="80"/>
      <c r="D314" s="5"/>
      <c r="E314" s="5"/>
      <c r="F314" s="5"/>
      <c r="G314" s="5"/>
    </row>
    <row r="315" spans="2:7" ht="13">
      <c r="B315" s="36"/>
      <c r="C315" s="80"/>
      <c r="D315" s="5"/>
      <c r="E315" s="5"/>
      <c r="F315" s="5"/>
      <c r="G315" s="5"/>
    </row>
    <row r="316" spans="2:7" ht="13">
      <c r="B316" s="36"/>
      <c r="C316" s="80"/>
      <c r="D316" s="5"/>
      <c r="E316" s="5"/>
      <c r="F316" s="5"/>
      <c r="G316" s="5"/>
    </row>
    <row r="317" spans="2:7" ht="13">
      <c r="B317" s="36"/>
      <c r="C317" s="80"/>
      <c r="D317" s="5"/>
      <c r="E317" s="5"/>
      <c r="F317" s="5"/>
      <c r="G317" s="5"/>
    </row>
    <row r="318" spans="2:7" ht="13">
      <c r="B318" s="36"/>
      <c r="C318" s="80"/>
      <c r="D318" s="5"/>
      <c r="E318" s="5"/>
      <c r="F318" s="5"/>
      <c r="G318" s="5"/>
    </row>
    <row r="319" spans="2:7" ht="13">
      <c r="B319" s="36"/>
      <c r="C319" s="80"/>
      <c r="D319" s="5"/>
      <c r="E319" s="5"/>
      <c r="F319" s="5"/>
      <c r="G319" s="5"/>
    </row>
    <row r="320" spans="2:7" ht="13">
      <c r="B320" s="36"/>
      <c r="C320" s="80"/>
      <c r="D320" s="5"/>
      <c r="E320" s="5"/>
      <c r="F320" s="5"/>
      <c r="G320" s="5"/>
    </row>
    <row r="321" spans="2:7" ht="13">
      <c r="B321" s="36"/>
      <c r="C321" s="80"/>
      <c r="D321" s="5"/>
      <c r="E321" s="5"/>
      <c r="F321" s="5"/>
      <c r="G321" s="5"/>
    </row>
    <row r="322" spans="2:7" ht="13">
      <c r="B322" s="36"/>
      <c r="C322" s="80"/>
      <c r="D322" s="5"/>
      <c r="E322" s="5"/>
      <c r="F322" s="5"/>
      <c r="G322" s="5"/>
    </row>
    <row r="323" spans="2:7" ht="13">
      <c r="B323" s="36"/>
      <c r="C323" s="80"/>
      <c r="D323" s="5"/>
      <c r="E323" s="5"/>
      <c r="F323" s="5"/>
      <c r="G323" s="5"/>
    </row>
    <row r="324" spans="2:7" ht="13">
      <c r="B324" s="36"/>
      <c r="C324" s="80"/>
      <c r="D324" s="5"/>
      <c r="E324" s="5"/>
      <c r="F324" s="5"/>
      <c r="G324" s="5"/>
    </row>
    <row r="325" spans="2:7" ht="13">
      <c r="B325" s="36"/>
      <c r="C325" s="80"/>
      <c r="D325" s="5"/>
      <c r="E325" s="5"/>
      <c r="F325" s="5"/>
      <c r="G325" s="5"/>
    </row>
    <row r="326" spans="2:7" ht="13">
      <c r="B326" s="36"/>
      <c r="C326" s="80"/>
      <c r="D326" s="5"/>
      <c r="E326" s="5"/>
      <c r="F326" s="5"/>
      <c r="G326" s="5"/>
    </row>
    <row r="327" spans="2:7" ht="13">
      <c r="B327" s="36"/>
      <c r="C327" s="80"/>
      <c r="D327" s="5"/>
      <c r="E327" s="5"/>
      <c r="F327" s="5"/>
      <c r="G327" s="5"/>
    </row>
    <row r="328" spans="2:7" ht="13">
      <c r="B328" s="36"/>
      <c r="C328" s="80"/>
      <c r="D328" s="5"/>
      <c r="E328" s="5"/>
      <c r="F328" s="5"/>
      <c r="G328" s="5"/>
    </row>
    <row r="329" spans="2:7" ht="13">
      <c r="B329" s="36"/>
      <c r="C329" s="80"/>
      <c r="D329" s="5"/>
      <c r="E329" s="5"/>
      <c r="F329" s="5"/>
      <c r="G329" s="5"/>
    </row>
    <row r="330" spans="2:7" ht="13">
      <c r="B330" s="36"/>
      <c r="C330" s="80"/>
      <c r="D330" s="5"/>
      <c r="E330" s="5"/>
      <c r="F330" s="5"/>
      <c r="G330" s="5"/>
    </row>
    <row r="331" spans="2:7" ht="13">
      <c r="B331" s="36"/>
      <c r="C331" s="80"/>
      <c r="D331" s="5"/>
      <c r="E331" s="5"/>
      <c r="F331" s="5"/>
      <c r="G331" s="5"/>
    </row>
    <row r="332" spans="2:7" ht="13">
      <c r="B332" s="36"/>
      <c r="C332" s="80"/>
      <c r="D332" s="5"/>
      <c r="E332" s="5"/>
      <c r="F332" s="5"/>
      <c r="G332" s="5"/>
    </row>
    <row r="333" spans="2:7" ht="13">
      <c r="B333" s="36"/>
      <c r="C333" s="80"/>
      <c r="D333" s="5"/>
      <c r="E333" s="5"/>
      <c r="F333" s="5"/>
      <c r="G333" s="5"/>
    </row>
    <row r="334" spans="2:7" ht="13">
      <c r="B334" s="36"/>
      <c r="C334" s="80"/>
      <c r="D334" s="5"/>
      <c r="E334" s="5"/>
      <c r="F334" s="5"/>
      <c r="G334" s="5"/>
    </row>
    <row r="335" spans="2:7" ht="13">
      <c r="B335" s="36"/>
      <c r="C335" s="80"/>
      <c r="D335" s="5"/>
      <c r="E335" s="5"/>
      <c r="F335" s="5"/>
      <c r="G335" s="5"/>
    </row>
    <row r="336" spans="2:7" ht="13">
      <c r="B336" s="36"/>
      <c r="C336" s="80"/>
      <c r="D336" s="5"/>
      <c r="E336" s="5"/>
      <c r="F336" s="5"/>
      <c r="G336" s="5"/>
    </row>
    <row r="337" spans="2:7" ht="13">
      <c r="B337" s="36"/>
      <c r="C337" s="80"/>
      <c r="D337" s="5"/>
      <c r="E337" s="5"/>
      <c r="F337" s="5"/>
      <c r="G337" s="5"/>
    </row>
    <row r="338" spans="2:7" ht="13">
      <c r="B338" s="36"/>
      <c r="C338" s="80"/>
      <c r="D338" s="5"/>
      <c r="E338" s="5"/>
      <c r="F338" s="5"/>
      <c r="G338" s="5"/>
    </row>
    <row r="339" spans="2:7" ht="13">
      <c r="B339" s="36"/>
      <c r="C339" s="80"/>
      <c r="D339" s="5"/>
      <c r="E339" s="5"/>
      <c r="F339" s="5"/>
      <c r="G339" s="5"/>
    </row>
    <row r="340" spans="2:7" ht="13">
      <c r="B340" s="36"/>
      <c r="C340" s="80"/>
      <c r="D340" s="5"/>
      <c r="E340" s="5"/>
      <c r="F340" s="5"/>
      <c r="G340" s="5"/>
    </row>
    <row r="341" spans="2:7" ht="13">
      <c r="B341" s="36"/>
      <c r="C341" s="80"/>
      <c r="D341" s="5"/>
      <c r="E341" s="5"/>
      <c r="F341" s="5"/>
      <c r="G341" s="5"/>
    </row>
    <row r="342" spans="2:7" ht="13">
      <c r="B342" s="36"/>
      <c r="C342" s="80"/>
      <c r="D342" s="5"/>
      <c r="E342" s="5"/>
      <c r="F342" s="5"/>
      <c r="G342" s="5"/>
    </row>
    <row r="343" spans="2:7" ht="13">
      <c r="B343" s="36"/>
      <c r="C343" s="80"/>
      <c r="D343" s="5"/>
      <c r="E343" s="5"/>
      <c r="F343" s="5"/>
      <c r="G343" s="5"/>
    </row>
    <row r="344" spans="2:7" ht="13">
      <c r="B344" s="36"/>
      <c r="C344" s="80"/>
      <c r="D344" s="5"/>
      <c r="E344" s="5"/>
      <c r="F344" s="5"/>
      <c r="G344" s="5"/>
    </row>
    <row r="345" spans="2:7" ht="13">
      <c r="B345" s="36"/>
      <c r="C345" s="80"/>
      <c r="D345" s="5"/>
      <c r="E345" s="5"/>
      <c r="F345" s="5"/>
      <c r="G345" s="5"/>
    </row>
    <row r="346" spans="2:7" ht="13">
      <c r="B346" s="36"/>
      <c r="C346" s="80"/>
      <c r="D346" s="5"/>
      <c r="E346" s="5"/>
      <c r="F346" s="5"/>
      <c r="G346" s="5"/>
    </row>
    <row r="347" spans="2:7" ht="13">
      <c r="B347" s="36"/>
      <c r="C347" s="80"/>
      <c r="D347" s="5"/>
      <c r="E347" s="5"/>
      <c r="F347" s="5"/>
      <c r="G347" s="5"/>
    </row>
    <row r="348" spans="2:7" ht="13">
      <c r="B348" s="36"/>
      <c r="C348" s="80"/>
      <c r="D348" s="5"/>
      <c r="E348" s="5"/>
      <c r="F348" s="5"/>
      <c r="G348" s="5"/>
    </row>
    <row r="349" spans="2:7" ht="13">
      <c r="B349" s="36"/>
      <c r="C349" s="80"/>
      <c r="D349" s="5"/>
      <c r="E349" s="5"/>
      <c r="F349" s="5"/>
      <c r="G349" s="5"/>
    </row>
    <row r="350" spans="2:7" ht="13">
      <c r="B350" s="36"/>
      <c r="C350" s="80"/>
      <c r="D350" s="5"/>
      <c r="E350" s="5"/>
      <c r="F350" s="5"/>
      <c r="G350" s="5"/>
    </row>
    <row r="351" spans="2:7" ht="13">
      <c r="B351" s="36"/>
      <c r="C351" s="80"/>
      <c r="D351" s="5"/>
      <c r="E351" s="5"/>
      <c r="F351" s="5"/>
      <c r="G351" s="5"/>
    </row>
    <row r="352" spans="2:7" ht="13">
      <c r="B352" s="36"/>
      <c r="C352" s="80"/>
      <c r="D352" s="5"/>
      <c r="E352" s="5"/>
      <c r="F352" s="5"/>
      <c r="G352" s="5"/>
    </row>
    <row r="353" spans="2:7" ht="13">
      <c r="B353" s="36"/>
      <c r="C353" s="80"/>
      <c r="D353" s="5"/>
      <c r="E353" s="5"/>
      <c r="F353" s="5"/>
      <c r="G353" s="5"/>
    </row>
    <row r="354" spans="2:7" ht="13">
      <c r="B354" s="36"/>
      <c r="C354" s="80"/>
      <c r="D354" s="5"/>
      <c r="E354" s="5"/>
      <c r="F354" s="5"/>
      <c r="G354" s="5"/>
    </row>
    <row r="355" spans="2:7" ht="13">
      <c r="B355" s="36"/>
      <c r="C355" s="80"/>
      <c r="D355" s="5"/>
      <c r="E355" s="5"/>
      <c r="F355" s="5"/>
      <c r="G355" s="5"/>
    </row>
    <row r="356" spans="2:7" ht="13">
      <c r="B356" s="36"/>
      <c r="C356" s="80"/>
      <c r="D356" s="5"/>
      <c r="E356" s="5"/>
      <c r="F356" s="5"/>
      <c r="G356" s="5"/>
    </row>
    <row r="357" spans="2:7" ht="13">
      <c r="B357" s="36"/>
      <c r="C357" s="80"/>
      <c r="D357" s="5"/>
      <c r="E357" s="5"/>
      <c r="F357" s="5"/>
      <c r="G357" s="5"/>
    </row>
    <row r="358" spans="2:7" ht="13">
      <c r="B358" s="36"/>
      <c r="C358" s="80"/>
      <c r="D358" s="5"/>
      <c r="E358" s="5"/>
      <c r="F358" s="5"/>
      <c r="G358" s="5"/>
    </row>
    <row r="359" spans="2:7" ht="13">
      <c r="B359" s="36"/>
      <c r="C359" s="80"/>
      <c r="D359" s="5"/>
      <c r="E359" s="5"/>
      <c r="F359" s="5"/>
      <c r="G359" s="5"/>
    </row>
    <row r="360" spans="2:7" ht="13">
      <c r="B360" s="36"/>
      <c r="C360" s="80"/>
      <c r="D360" s="5"/>
      <c r="E360" s="5"/>
      <c r="F360" s="5"/>
      <c r="G360" s="5"/>
    </row>
    <row r="361" spans="2:7" ht="13">
      <c r="B361" s="36"/>
      <c r="C361" s="80"/>
      <c r="D361" s="5"/>
      <c r="E361" s="5"/>
      <c r="F361" s="5"/>
      <c r="G361" s="5"/>
    </row>
    <row r="362" spans="2:7" ht="13">
      <c r="B362" s="36"/>
      <c r="C362" s="80"/>
      <c r="D362" s="5"/>
      <c r="E362" s="5"/>
      <c r="F362" s="5"/>
      <c r="G362" s="5"/>
    </row>
    <row r="363" spans="2:7" ht="13">
      <c r="B363" s="36"/>
      <c r="C363" s="80"/>
      <c r="D363" s="5"/>
      <c r="E363" s="5"/>
      <c r="F363" s="5"/>
      <c r="G363" s="5"/>
    </row>
    <row r="364" spans="2:7" ht="13">
      <c r="B364" s="36"/>
      <c r="C364" s="80"/>
      <c r="D364" s="5"/>
      <c r="E364" s="5"/>
      <c r="F364" s="5"/>
      <c r="G364" s="5"/>
    </row>
    <row r="365" spans="2:7" ht="13">
      <c r="B365" s="36"/>
      <c r="C365" s="80"/>
      <c r="D365" s="5"/>
      <c r="E365" s="5"/>
      <c r="F365" s="5"/>
      <c r="G365" s="5"/>
    </row>
    <row r="366" spans="2:7" ht="13">
      <c r="B366" s="36"/>
      <c r="C366" s="80"/>
      <c r="D366" s="5"/>
      <c r="E366" s="5"/>
      <c r="F366" s="5"/>
      <c r="G366" s="5"/>
    </row>
    <row r="367" spans="2:7" ht="13">
      <c r="B367" s="36"/>
      <c r="C367" s="80"/>
      <c r="D367" s="5"/>
      <c r="E367" s="5"/>
      <c r="F367" s="5"/>
      <c r="G367" s="5"/>
    </row>
    <row r="368" spans="2:7" ht="13">
      <c r="B368" s="36"/>
      <c r="C368" s="80"/>
      <c r="D368" s="5"/>
      <c r="E368" s="5"/>
      <c r="F368" s="5"/>
      <c r="G368" s="5"/>
    </row>
    <row r="369" spans="2:7" ht="13">
      <c r="B369" s="36"/>
      <c r="C369" s="80"/>
      <c r="D369" s="5"/>
      <c r="E369" s="5"/>
      <c r="F369" s="5"/>
      <c r="G369" s="5"/>
    </row>
    <row r="370" spans="2:7" ht="13">
      <c r="B370" s="36"/>
      <c r="C370" s="80"/>
      <c r="D370" s="5"/>
      <c r="E370" s="5"/>
      <c r="F370" s="5"/>
      <c r="G370" s="5"/>
    </row>
    <row r="371" spans="2:7" ht="13">
      <c r="B371" s="36"/>
      <c r="C371" s="80"/>
      <c r="D371" s="5"/>
      <c r="E371" s="5"/>
      <c r="F371" s="5"/>
      <c r="G371" s="5"/>
    </row>
    <row r="372" spans="2:7" ht="13">
      <c r="B372" s="36"/>
      <c r="C372" s="80"/>
      <c r="D372" s="5"/>
      <c r="E372" s="5"/>
      <c r="F372" s="5"/>
      <c r="G372" s="5"/>
    </row>
    <row r="373" spans="2:7" ht="13">
      <c r="B373" s="36"/>
      <c r="C373" s="80"/>
      <c r="D373" s="5"/>
      <c r="E373" s="5"/>
      <c r="F373" s="5"/>
      <c r="G373" s="5"/>
    </row>
    <row r="374" spans="2:7" ht="13">
      <c r="B374" s="36"/>
      <c r="C374" s="80"/>
      <c r="D374" s="5"/>
      <c r="E374" s="5"/>
      <c r="F374" s="5"/>
      <c r="G374" s="5"/>
    </row>
    <row r="375" spans="2:7" ht="13">
      <c r="B375" s="36"/>
      <c r="C375" s="80"/>
      <c r="D375" s="5"/>
      <c r="E375" s="5"/>
      <c r="F375" s="5"/>
      <c r="G375" s="5"/>
    </row>
    <row r="376" spans="2:7" ht="13">
      <c r="B376" s="36"/>
      <c r="C376" s="80"/>
      <c r="D376" s="5"/>
      <c r="E376" s="5"/>
      <c r="F376" s="5"/>
      <c r="G376" s="5"/>
    </row>
    <row r="377" spans="2:7" ht="13">
      <c r="B377" s="36"/>
      <c r="C377" s="80"/>
      <c r="D377" s="5"/>
      <c r="E377" s="5"/>
      <c r="F377" s="5"/>
      <c r="G377" s="5"/>
    </row>
    <row r="378" spans="2:7" ht="13">
      <c r="B378" s="36"/>
      <c r="C378" s="80"/>
      <c r="D378" s="5"/>
      <c r="E378" s="5"/>
      <c r="F378" s="5"/>
      <c r="G378" s="5"/>
    </row>
    <row r="379" spans="2:7" ht="13">
      <c r="B379" s="36"/>
      <c r="C379" s="80"/>
      <c r="D379" s="5"/>
      <c r="E379" s="5"/>
      <c r="F379" s="5"/>
      <c r="G379" s="5"/>
    </row>
    <row r="380" spans="2:7" ht="13">
      <c r="B380" s="36"/>
      <c r="C380" s="80"/>
      <c r="D380" s="5"/>
      <c r="E380" s="5"/>
      <c r="F380" s="5"/>
      <c r="G380" s="5"/>
    </row>
    <row r="381" spans="2:7" ht="13">
      <c r="B381" s="36"/>
      <c r="C381" s="80"/>
      <c r="D381" s="5"/>
      <c r="E381" s="5"/>
      <c r="F381" s="5"/>
      <c r="G381" s="5"/>
    </row>
    <row r="382" spans="2:7" ht="13">
      <c r="B382" s="36"/>
      <c r="C382" s="80"/>
      <c r="D382" s="5"/>
      <c r="E382" s="5"/>
      <c r="F382" s="5"/>
      <c r="G382" s="5"/>
    </row>
    <row r="383" spans="2:7" ht="13">
      <c r="B383" s="36"/>
      <c r="C383" s="80"/>
      <c r="D383" s="5"/>
      <c r="E383" s="5"/>
      <c r="F383" s="5"/>
      <c r="G383" s="5"/>
    </row>
    <row r="384" spans="2:7" ht="13">
      <c r="B384" s="36"/>
      <c r="C384" s="80"/>
      <c r="D384" s="5"/>
      <c r="E384" s="5"/>
      <c r="F384" s="5"/>
      <c r="G384" s="5"/>
    </row>
    <row r="385" spans="2:7" ht="13">
      <c r="B385" s="36"/>
      <c r="C385" s="80"/>
      <c r="D385" s="5"/>
      <c r="E385" s="5"/>
      <c r="F385" s="5"/>
      <c r="G385" s="5"/>
    </row>
    <row r="386" spans="2:7" ht="13">
      <c r="B386" s="36"/>
      <c r="C386" s="80"/>
      <c r="D386" s="5"/>
      <c r="E386" s="5"/>
      <c r="F386" s="5"/>
      <c r="G386" s="5"/>
    </row>
    <row r="387" spans="2:7" ht="13">
      <c r="B387" s="36"/>
      <c r="C387" s="80"/>
      <c r="D387" s="5"/>
      <c r="E387" s="5"/>
      <c r="F387" s="5"/>
      <c r="G387" s="5"/>
    </row>
    <row r="388" spans="2:7" ht="13">
      <c r="B388" s="36"/>
      <c r="C388" s="80"/>
      <c r="D388" s="5"/>
      <c r="E388" s="5"/>
      <c r="F388" s="5"/>
      <c r="G388" s="5"/>
    </row>
    <row r="389" spans="2:7" ht="13">
      <c r="B389" s="36"/>
      <c r="C389" s="80"/>
      <c r="D389" s="5"/>
      <c r="E389" s="5"/>
      <c r="F389" s="5"/>
      <c r="G389" s="5"/>
    </row>
    <row r="390" spans="2:7" ht="13">
      <c r="B390" s="36"/>
      <c r="C390" s="80"/>
      <c r="D390" s="5"/>
      <c r="E390" s="5"/>
      <c r="F390" s="5"/>
      <c r="G390" s="5"/>
    </row>
    <row r="391" spans="2:7" ht="13">
      <c r="B391" s="36"/>
      <c r="C391" s="80"/>
      <c r="D391" s="5"/>
      <c r="E391" s="5"/>
      <c r="F391" s="5"/>
      <c r="G391" s="5"/>
    </row>
    <row r="392" spans="2:7" ht="13">
      <c r="B392" s="36"/>
      <c r="C392" s="80"/>
      <c r="D392" s="5"/>
      <c r="E392" s="5"/>
      <c r="F392" s="5"/>
      <c r="G392" s="5"/>
    </row>
    <row r="393" spans="2:7" ht="13">
      <c r="B393" s="36"/>
      <c r="C393" s="80"/>
      <c r="D393" s="5"/>
      <c r="E393" s="5"/>
      <c r="F393" s="5"/>
      <c r="G393" s="5"/>
    </row>
    <row r="394" spans="2:7" ht="13">
      <c r="B394" s="36"/>
      <c r="C394" s="80"/>
      <c r="D394" s="5"/>
      <c r="E394" s="5"/>
      <c r="F394" s="5"/>
      <c r="G394" s="5"/>
    </row>
    <row r="395" spans="2:7" ht="13">
      <c r="B395" s="36"/>
      <c r="C395" s="80"/>
      <c r="D395" s="5"/>
      <c r="E395" s="5"/>
      <c r="F395" s="5"/>
      <c r="G395" s="5"/>
    </row>
    <row r="396" spans="2:7" ht="13">
      <c r="B396" s="36"/>
      <c r="C396" s="80"/>
      <c r="D396" s="5"/>
      <c r="E396" s="5"/>
      <c r="F396" s="5"/>
      <c r="G396" s="5"/>
    </row>
    <row r="397" spans="2:7" ht="13">
      <c r="B397" s="36"/>
      <c r="C397" s="80"/>
      <c r="D397" s="5"/>
      <c r="E397" s="5"/>
      <c r="F397" s="5"/>
      <c r="G397" s="5"/>
    </row>
    <row r="398" spans="2:7" ht="13">
      <c r="B398" s="36"/>
      <c r="C398" s="80"/>
      <c r="D398" s="5"/>
      <c r="E398" s="5"/>
      <c r="F398" s="5"/>
      <c r="G398" s="5"/>
    </row>
    <row r="399" spans="2:7" ht="13">
      <c r="B399" s="36"/>
      <c r="C399" s="80"/>
      <c r="D399" s="5"/>
      <c r="E399" s="5"/>
      <c r="F399" s="5"/>
      <c r="G399" s="5"/>
    </row>
    <row r="400" spans="2:7" ht="13">
      <c r="B400" s="36"/>
      <c r="C400" s="80"/>
      <c r="D400" s="5"/>
      <c r="E400" s="5"/>
      <c r="F400" s="5"/>
      <c r="G400" s="5"/>
    </row>
    <row r="401" spans="2:7" ht="13">
      <c r="B401" s="36"/>
      <c r="C401" s="80"/>
      <c r="D401" s="5"/>
      <c r="E401" s="5"/>
      <c r="F401" s="5"/>
      <c r="G401" s="5"/>
    </row>
    <row r="402" spans="2:7" ht="13">
      <c r="B402" s="36"/>
      <c r="C402" s="80"/>
      <c r="D402" s="5"/>
      <c r="E402" s="5"/>
      <c r="F402" s="5"/>
      <c r="G402" s="5"/>
    </row>
    <row r="403" spans="2:7" ht="13">
      <c r="B403" s="36"/>
      <c r="C403" s="80"/>
      <c r="D403" s="5"/>
      <c r="E403" s="5"/>
      <c r="F403" s="5"/>
      <c r="G403" s="5"/>
    </row>
    <row r="404" spans="2:7" ht="13">
      <c r="B404" s="36"/>
      <c r="C404" s="80"/>
      <c r="D404" s="5"/>
      <c r="E404" s="5"/>
      <c r="F404" s="5"/>
      <c r="G404" s="5"/>
    </row>
    <row r="405" spans="2:7" ht="13">
      <c r="B405" s="36"/>
      <c r="C405" s="80"/>
      <c r="D405" s="5"/>
      <c r="E405" s="5"/>
      <c r="F405" s="5"/>
      <c r="G405" s="5"/>
    </row>
    <row r="406" spans="2:7" ht="13">
      <c r="B406" s="36"/>
      <c r="C406" s="80"/>
      <c r="D406" s="5"/>
      <c r="E406" s="5"/>
      <c r="F406" s="5"/>
      <c r="G406" s="5"/>
    </row>
    <row r="407" spans="2:7" ht="13">
      <c r="B407" s="36"/>
      <c r="C407" s="80"/>
      <c r="D407" s="5"/>
      <c r="E407" s="5"/>
      <c r="F407" s="5"/>
      <c r="G407" s="5"/>
    </row>
    <row r="408" spans="2:7" ht="13">
      <c r="B408" s="36"/>
      <c r="C408" s="80"/>
      <c r="D408" s="5"/>
      <c r="E408" s="5"/>
      <c r="F408" s="5"/>
      <c r="G408" s="5"/>
    </row>
    <row r="409" spans="2:7" ht="13">
      <c r="B409" s="36"/>
      <c r="C409" s="80"/>
      <c r="D409" s="5"/>
      <c r="E409" s="5"/>
      <c r="F409" s="5"/>
      <c r="G409" s="5"/>
    </row>
    <row r="410" spans="2:7" ht="13">
      <c r="B410" s="36"/>
      <c r="C410" s="80"/>
      <c r="D410" s="5"/>
      <c r="E410" s="5"/>
      <c r="F410" s="5"/>
      <c r="G410" s="5"/>
    </row>
    <row r="411" spans="2:7" ht="13">
      <c r="B411" s="36"/>
      <c r="C411" s="80"/>
      <c r="D411" s="5"/>
      <c r="E411" s="5"/>
      <c r="F411" s="5"/>
      <c r="G411" s="5"/>
    </row>
    <row r="412" spans="2:7" ht="13">
      <c r="B412" s="36"/>
      <c r="C412" s="80"/>
      <c r="D412" s="5"/>
      <c r="E412" s="5"/>
      <c r="F412" s="5"/>
      <c r="G412" s="5"/>
    </row>
    <row r="413" spans="2:7" ht="13">
      <c r="B413" s="36"/>
      <c r="C413" s="80"/>
      <c r="D413" s="5"/>
      <c r="E413" s="5"/>
      <c r="F413" s="5"/>
      <c r="G413" s="5"/>
    </row>
    <row r="414" spans="2:7" ht="13">
      <c r="B414" s="36"/>
      <c r="C414" s="80"/>
      <c r="D414" s="5"/>
      <c r="E414" s="5"/>
      <c r="F414" s="5"/>
      <c r="G414" s="5"/>
    </row>
    <row r="415" spans="2:7" ht="13">
      <c r="B415" s="36"/>
      <c r="C415" s="80"/>
      <c r="D415" s="5"/>
      <c r="E415" s="5"/>
      <c r="F415" s="5"/>
      <c r="G415" s="5"/>
    </row>
    <row r="416" spans="2:7" ht="13">
      <c r="B416" s="36"/>
      <c r="C416" s="80"/>
      <c r="D416" s="5"/>
      <c r="E416" s="5"/>
      <c r="F416" s="5"/>
      <c r="G416" s="5"/>
    </row>
    <row r="417" spans="2:7" ht="13">
      <c r="B417" s="36"/>
      <c r="C417" s="80"/>
      <c r="D417" s="5"/>
      <c r="E417" s="5"/>
      <c r="F417" s="5"/>
      <c r="G417" s="5"/>
    </row>
    <row r="418" spans="2:7" ht="13">
      <c r="B418" s="36"/>
      <c r="C418" s="80"/>
      <c r="D418" s="5"/>
      <c r="E418" s="5"/>
      <c r="F418" s="5"/>
      <c r="G418" s="5"/>
    </row>
    <row r="419" spans="2:7" ht="13">
      <c r="B419" s="36"/>
      <c r="C419" s="80"/>
      <c r="D419" s="5"/>
      <c r="E419" s="5"/>
      <c r="F419" s="5"/>
      <c r="G419" s="5"/>
    </row>
    <row r="420" spans="2:7" ht="13">
      <c r="B420" s="36"/>
      <c r="C420" s="80"/>
      <c r="D420" s="5"/>
      <c r="E420" s="5"/>
      <c r="F420" s="5"/>
      <c r="G420" s="5"/>
    </row>
    <row r="421" spans="2:7" ht="13">
      <c r="B421" s="36"/>
      <c r="C421" s="80"/>
      <c r="D421" s="5"/>
      <c r="E421" s="5"/>
      <c r="F421" s="5"/>
      <c r="G421" s="5"/>
    </row>
    <row r="422" spans="2:7" ht="13">
      <c r="B422" s="36"/>
      <c r="C422" s="80"/>
      <c r="D422" s="5"/>
      <c r="E422" s="5"/>
      <c r="F422" s="5"/>
      <c r="G422" s="5"/>
    </row>
    <row r="423" spans="2:7" ht="13">
      <c r="B423" s="36"/>
      <c r="C423" s="80"/>
      <c r="D423" s="5"/>
      <c r="E423" s="5"/>
      <c r="F423" s="5"/>
      <c r="G423" s="5"/>
    </row>
    <row r="424" spans="2:7" ht="13">
      <c r="B424" s="36"/>
      <c r="C424" s="80"/>
      <c r="D424" s="5"/>
      <c r="E424" s="5"/>
      <c r="F424" s="5"/>
      <c r="G424" s="5"/>
    </row>
    <row r="425" spans="2:7" ht="13">
      <c r="B425" s="36"/>
      <c r="C425" s="80"/>
      <c r="D425" s="5"/>
      <c r="E425" s="5"/>
      <c r="F425" s="5"/>
      <c r="G425" s="5"/>
    </row>
    <row r="426" spans="2:7" ht="13">
      <c r="B426" s="36"/>
      <c r="C426" s="80"/>
      <c r="D426" s="5"/>
      <c r="E426" s="5"/>
      <c r="F426" s="5"/>
      <c r="G426" s="5"/>
    </row>
    <row r="427" spans="2:7" ht="13">
      <c r="B427" s="36"/>
      <c r="C427" s="80"/>
      <c r="D427" s="5"/>
      <c r="E427" s="5"/>
      <c r="F427" s="5"/>
      <c r="G427" s="5"/>
    </row>
    <row r="428" spans="2:7" ht="13">
      <c r="B428" s="36"/>
      <c r="C428" s="80"/>
      <c r="D428" s="5"/>
      <c r="E428" s="5"/>
      <c r="F428" s="5"/>
      <c r="G428" s="5"/>
    </row>
    <row r="429" spans="2:7" ht="13">
      <c r="B429" s="36"/>
      <c r="C429" s="80"/>
      <c r="D429" s="5"/>
      <c r="E429" s="5"/>
      <c r="F429" s="5"/>
      <c r="G429" s="5"/>
    </row>
    <row r="430" spans="2:7" ht="13">
      <c r="B430" s="36"/>
      <c r="C430" s="80"/>
      <c r="D430" s="5"/>
      <c r="E430" s="5"/>
      <c r="F430" s="5"/>
      <c r="G430" s="5"/>
    </row>
    <row r="431" spans="2:7" ht="13">
      <c r="B431" s="36"/>
      <c r="C431" s="80"/>
      <c r="D431" s="5"/>
      <c r="E431" s="5"/>
      <c r="F431" s="5"/>
      <c r="G431" s="5"/>
    </row>
    <row r="432" spans="2:7" ht="13">
      <c r="B432" s="36"/>
      <c r="C432" s="80"/>
      <c r="D432" s="5"/>
      <c r="E432" s="5"/>
      <c r="F432" s="5"/>
      <c r="G432" s="5"/>
    </row>
    <row r="433" spans="2:7" ht="13">
      <c r="B433" s="36"/>
      <c r="C433" s="80"/>
      <c r="D433" s="5"/>
      <c r="E433" s="5"/>
      <c r="F433" s="5"/>
      <c r="G433" s="5"/>
    </row>
    <row r="434" spans="2:7" ht="13">
      <c r="B434" s="36"/>
      <c r="C434" s="80"/>
      <c r="D434" s="5"/>
      <c r="E434" s="5"/>
      <c r="F434" s="5"/>
      <c r="G434" s="5"/>
    </row>
    <row r="435" spans="2:7" ht="13">
      <c r="B435" s="36"/>
      <c r="C435" s="80"/>
      <c r="D435" s="5"/>
      <c r="E435" s="5"/>
      <c r="F435" s="5"/>
      <c r="G435" s="5"/>
    </row>
    <row r="436" spans="2:7" ht="13">
      <c r="B436" s="36"/>
      <c r="C436" s="80"/>
      <c r="D436" s="5"/>
      <c r="E436" s="5"/>
      <c r="F436" s="5"/>
      <c r="G436" s="5"/>
    </row>
    <row r="437" spans="2:7" ht="13">
      <c r="B437" s="36"/>
      <c r="C437" s="80"/>
      <c r="D437" s="5"/>
      <c r="E437" s="5"/>
      <c r="F437" s="5"/>
      <c r="G437" s="5"/>
    </row>
    <row r="438" spans="2:7" ht="13">
      <c r="B438" s="36"/>
      <c r="C438" s="80"/>
      <c r="D438" s="5"/>
      <c r="E438" s="5"/>
      <c r="F438" s="5"/>
      <c r="G438" s="5"/>
    </row>
    <row r="439" spans="2:7" ht="13">
      <c r="B439" s="36"/>
      <c r="C439" s="80"/>
      <c r="D439" s="5"/>
      <c r="E439" s="5"/>
      <c r="F439" s="5"/>
      <c r="G439" s="5"/>
    </row>
    <row r="440" spans="2:7" ht="13">
      <c r="B440" s="36"/>
      <c r="C440" s="80"/>
      <c r="D440" s="5"/>
      <c r="E440" s="5"/>
      <c r="F440" s="5"/>
      <c r="G440" s="5"/>
    </row>
    <row r="441" spans="2:7" ht="13">
      <c r="B441" s="36"/>
      <c r="C441" s="80"/>
      <c r="D441" s="5"/>
      <c r="E441" s="5"/>
      <c r="F441" s="5"/>
      <c r="G441" s="5"/>
    </row>
    <row r="442" spans="2:7" ht="13">
      <c r="B442" s="36"/>
      <c r="C442" s="80"/>
      <c r="D442" s="5"/>
      <c r="E442" s="5"/>
      <c r="F442" s="5"/>
      <c r="G442" s="5"/>
    </row>
    <row r="443" spans="2:7" ht="13">
      <c r="B443" s="36"/>
      <c r="C443" s="80"/>
      <c r="D443" s="5"/>
      <c r="E443" s="5"/>
      <c r="F443" s="5"/>
      <c r="G443" s="5"/>
    </row>
    <row r="444" spans="2:7" ht="13">
      <c r="B444" s="36"/>
      <c r="C444" s="80"/>
      <c r="D444" s="5"/>
      <c r="E444" s="5"/>
      <c r="F444" s="5"/>
      <c r="G444" s="5"/>
    </row>
    <row r="445" spans="2:7" ht="13">
      <c r="B445" s="36"/>
      <c r="C445" s="80"/>
      <c r="D445" s="5"/>
      <c r="E445" s="5"/>
      <c r="F445" s="5"/>
      <c r="G445" s="5"/>
    </row>
    <row r="446" spans="2:7" ht="13">
      <c r="B446" s="36"/>
      <c r="C446" s="80"/>
      <c r="D446" s="5"/>
      <c r="E446" s="5"/>
      <c r="F446" s="5"/>
      <c r="G446" s="5"/>
    </row>
    <row r="447" spans="2:7" ht="13">
      <c r="B447" s="36"/>
      <c r="C447" s="80"/>
      <c r="D447" s="5"/>
      <c r="E447" s="5"/>
      <c r="F447" s="5"/>
      <c r="G447" s="5"/>
    </row>
    <row r="448" spans="2:7" ht="13">
      <c r="B448" s="36"/>
      <c r="C448" s="80"/>
      <c r="D448" s="5"/>
      <c r="E448" s="5"/>
      <c r="F448" s="5"/>
      <c r="G448" s="5"/>
    </row>
    <row r="449" spans="2:7" ht="13">
      <c r="B449" s="36"/>
      <c r="C449" s="80"/>
      <c r="D449" s="5"/>
      <c r="E449" s="5"/>
      <c r="F449" s="5"/>
      <c r="G449" s="5"/>
    </row>
    <row r="450" spans="2:7" ht="13">
      <c r="B450" s="36"/>
      <c r="C450" s="80"/>
      <c r="D450" s="5"/>
      <c r="E450" s="5"/>
      <c r="F450" s="5"/>
      <c r="G450" s="5"/>
    </row>
    <row r="451" spans="2:7" ht="13">
      <c r="B451" s="36"/>
      <c r="C451" s="80"/>
      <c r="D451" s="5"/>
      <c r="E451" s="5"/>
      <c r="F451" s="5"/>
      <c r="G451" s="5"/>
    </row>
    <row r="452" spans="2:7" ht="13">
      <c r="B452" s="36"/>
      <c r="C452" s="80"/>
      <c r="D452" s="5"/>
      <c r="E452" s="5"/>
      <c r="F452" s="5"/>
      <c r="G452" s="5"/>
    </row>
    <row r="453" spans="2:7" ht="13">
      <c r="B453" s="36"/>
      <c r="C453" s="80"/>
      <c r="D453" s="5"/>
      <c r="E453" s="5"/>
      <c r="F453" s="5"/>
      <c r="G453" s="5"/>
    </row>
    <row r="454" spans="2:7" ht="13">
      <c r="B454" s="36"/>
      <c r="C454" s="80"/>
      <c r="D454" s="5"/>
      <c r="E454" s="5"/>
      <c r="F454" s="5"/>
      <c r="G454" s="5"/>
    </row>
    <row r="455" spans="2:7" ht="13">
      <c r="B455" s="36"/>
      <c r="C455" s="80"/>
      <c r="D455" s="5"/>
      <c r="E455" s="5"/>
      <c r="F455" s="5"/>
      <c r="G455" s="5"/>
    </row>
    <row r="456" spans="2:7" ht="13">
      <c r="B456" s="36"/>
      <c r="C456" s="80"/>
      <c r="D456" s="5"/>
      <c r="E456" s="5"/>
      <c r="F456" s="5"/>
      <c r="G456" s="5"/>
    </row>
    <row r="457" spans="2:7" ht="13">
      <c r="B457" s="36"/>
      <c r="C457" s="80"/>
      <c r="D457" s="5"/>
      <c r="E457" s="5"/>
      <c r="F457" s="5"/>
      <c r="G457" s="5"/>
    </row>
    <row r="458" spans="2:7" ht="13">
      <c r="B458" s="36"/>
      <c r="C458" s="80"/>
      <c r="D458" s="5"/>
      <c r="E458" s="5"/>
      <c r="F458" s="5"/>
      <c r="G458" s="5"/>
    </row>
    <row r="459" spans="2:7" ht="13">
      <c r="B459" s="36"/>
      <c r="C459" s="80"/>
      <c r="D459" s="5"/>
      <c r="E459" s="5"/>
      <c r="F459" s="5"/>
      <c r="G459" s="5"/>
    </row>
    <row r="460" spans="2:7" ht="13">
      <c r="B460" s="36"/>
      <c r="C460" s="80"/>
      <c r="D460" s="5"/>
      <c r="E460" s="5"/>
      <c r="F460" s="5"/>
      <c r="G460" s="5"/>
    </row>
    <row r="461" spans="2:7" ht="13">
      <c r="B461" s="36"/>
      <c r="C461" s="80"/>
      <c r="D461" s="5"/>
      <c r="E461" s="5"/>
      <c r="F461" s="5"/>
      <c r="G461" s="5"/>
    </row>
    <row r="462" spans="2:7" ht="13">
      <c r="B462" s="36"/>
      <c r="C462" s="80"/>
      <c r="D462" s="5"/>
      <c r="E462" s="5"/>
      <c r="F462" s="5"/>
      <c r="G462" s="5"/>
    </row>
    <row r="463" spans="2:7" ht="13">
      <c r="B463" s="36"/>
      <c r="C463" s="80"/>
      <c r="D463" s="5"/>
      <c r="E463" s="5"/>
      <c r="F463" s="5"/>
      <c r="G463" s="5"/>
    </row>
    <row r="464" spans="2:7" ht="13">
      <c r="B464" s="36"/>
      <c r="C464" s="80"/>
      <c r="D464" s="5"/>
      <c r="E464" s="5"/>
      <c r="F464" s="5"/>
      <c r="G464" s="5"/>
    </row>
    <row r="465" spans="2:7" ht="13">
      <c r="B465" s="36"/>
      <c r="C465" s="80"/>
      <c r="D465" s="5"/>
      <c r="E465" s="5"/>
      <c r="F465" s="5"/>
      <c r="G465" s="5"/>
    </row>
    <row r="466" spans="2:7" ht="13">
      <c r="B466" s="36"/>
      <c r="C466" s="80"/>
      <c r="D466" s="5"/>
      <c r="E466" s="5"/>
      <c r="F466" s="5"/>
      <c r="G466" s="5"/>
    </row>
    <row r="467" spans="2:7" ht="13">
      <c r="B467" s="36"/>
      <c r="C467" s="80"/>
      <c r="D467" s="5"/>
      <c r="E467" s="5"/>
      <c r="F467" s="5"/>
      <c r="G467" s="5"/>
    </row>
    <row r="468" spans="2:7" ht="13">
      <c r="B468" s="36"/>
      <c r="C468" s="80"/>
      <c r="D468" s="5"/>
      <c r="E468" s="5"/>
      <c r="F468" s="5"/>
      <c r="G468" s="5"/>
    </row>
    <row r="469" spans="2:7" ht="13">
      <c r="B469" s="36"/>
      <c r="C469" s="80"/>
      <c r="D469" s="5"/>
      <c r="E469" s="5"/>
      <c r="F469" s="5"/>
      <c r="G469" s="5"/>
    </row>
    <row r="470" spans="2:7" ht="13">
      <c r="B470" s="36"/>
      <c r="C470" s="80"/>
      <c r="D470" s="5"/>
      <c r="E470" s="5"/>
      <c r="F470" s="5"/>
      <c r="G470" s="5"/>
    </row>
    <row r="471" spans="2:7" ht="13">
      <c r="B471" s="36"/>
      <c r="C471" s="80"/>
      <c r="D471" s="5"/>
      <c r="E471" s="5"/>
      <c r="F471" s="5"/>
      <c r="G471" s="5"/>
    </row>
    <row r="472" spans="2:7" ht="13">
      <c r="B472" s="36"/>
      <c r="C472" s="80"/>
      <c r="D472" s="5"/>
      <c r="E472" s="5"/>
      <c r="F472" s="5"/>
      <c r="G472" s="5"/>
    </row>
    <row r="473" spans="2:7" ht="13">
      <c r="B473" s="36"/>
      <c r="C473" s="80"/>
      <c r="D473" s="5"/>
      <c r="E473" s="5"/>
      <c r="F473" s="5"/>
      <c r="G473" s="5"/>
    </row>
    <row r="474" spans="2:7" ht="13">
      <c r="B474" s="36"/>
      <c r="C474" s="80"/>
      <c r="D474" s="5"/>
      <c r="E474" s="5"/>
      <c r="F474" s="5"/>
      <c r="G474" s="5"/>
    </row>
    <row r="475" spans="2:7" ht="13">
      <c r="B475" s="36"/>
      <c r="C475" s="80"/>
      <c r="D475" s="5"/>
      <c r="E475" s="5"/>
      <c r="F475" s="5"/>
      <c r="G475" s="5"/>
    </row>
    <row r="476" spans="2:7" ht="13">
      <c r="B476" s="36"/>
      <c r="C476" s="80"/>
      <c r="D476" s="5"/>
      <c r="E476" s="5"/>
      <c r="F476" s="5"/>
      <c r="G476" s="5"/>
    </row>
    <row r="477" spans="2:7" ht="13">
      <c r="B477" s="36"/>
      <c r="C477" s="80"/>
      <c r="D477" s="5"/>
      <c r="E477" s="5"/>
      <c r="F477" s="5"/>
      <c r="G477" s="5"/>
    </row>
    <row r="478" spans="2:7" ht="13">
      <c r="B478" s="36"/>
      <c r="C478" s="80"/>
      <c r="D478" s="5"/>
      <c r="E478" s="5"/>
      <c r="F478" s="5"/>
      <c r="G478" s="5"/>
    </row>
    <row r="479" spans="2:7" ht="13">
      <c r="B479" s="36"/>
      <c r="C479" s="80"/>
      <c r="D479" s="5"/>
      <c r="E479" s="5"/>
      <c r="F479" s="5"/>
      <c r="G479" s="5"/>
    </row>
    <row r="480" spans="2:7" ht="13">
      <c r="B480" s="36"/>
      <c r="C480" s="80"/>
      <c r="D480" s="5"/>
      <c r="E480" s="5"/>
      <c r="F480" s="5"/>
      <c r="G480" s="5"/>
    </row>
    <row r="481" spans="2:7" ht="13">
      <c r="B481" s="36"/>
      <c r="C481" s="80"/>
      <c r="D481" s="5"/>
      <c r="E481" s="5"/>
      <c r="F481" s="5"/>
      <c r="G481" s="5"/>
    </row>
    <row r="482" spans="2:7" ht="13">
      <c r="B482" s="36"/>
      <c r="C482" s="80"/>
      <c r="D482" s="5"/>
      <c r="E482" s="5"/>
      <c r="F482" s="5"/>
      <c r="G482" s="5"/>
    </row>
    <row r="483" spans="2:7" ht="13">
      <c r="B483" s="36"/>
      <c r="C483" s="80"/>
      <c r="D483" s="5"/>
      <c r="E483" s="5"/>
      <c r="F483" s="5"/>
      <c r="G483" s="5"/>
    </row>
    <row r="484" spans="2:7" ht="13">
      <c r="B484" s="36"/>
      <c r="C484" s="80"/>
      <c r="D484" s="5"/>
      <c r="E484" s="5"/>
      <c r="F484" s="5"/>
      <c r="G484" s="5"/>
    </row>
    <row r="485" spans="2:7" ht="13">
      <c r="B485" s="36"/>
      <c r="C485" s="80"/>
      <c r="D485" s="5"/>
      <c r="E485" s="5"/>
      <c r="F485" s="5"/>
      <c r="G485" s="5"/>
    </row>
    <row r="486" spans="2:7" ht="13">
      <c r="B486" s="36"/>
      <c r="C486" s="80"/>
      <c r="D486" s="5"/>
      <c r="E486" s="5"/>
      <c r="F486" s="5"/>
      <c r="G486" s="5"/>
    </row>
    <row r="487" spans="2:7" ht="13">
      <c r="B487" s="36"/>
      <c r="C487" s="80"/>
      <c r="D487" s="5"/>
      <c r="E487" s="5"/>
      <c r="F487" s="5"/>
      <c r="G487" s="5"/>
    </row>
    <row r="488" spans="2:7" ht="13">
      <c r="B488" s="36"/>
      <c r="C488" s="80"/>
      <c r="D488" s="5"/>
      <c r="E488" s="5"/>
      <c r="F488" s="5"/>
      <c r="G488" s="5"/>
    </row>
    <row r="489" spans="2:7" ht="13">
      <c r="B489" s="36"/>
      <c r="C489" s="80"/>
      <c r="D489" s="5"/>
      <c r="E489" s="5"/>
      <c r="F489" s="5"/>
      <c r="G489" s="5"/>
    </row>
    <row r="490" spans="2:7" ht="13">
      <c r="B490" s="36"/>
      <c r="C490" s="80"/>
      <c r="D490" s="5"/>
      <c r="E490" s="5"/>
      <c r="F490" s="5"/>
      <c r="G490" s="5"/>
    </row>
    <row r="491" spans="2:7" ht="13">
      <c r="B491" s="36"/>
      <c r="C491" s="80"/>
      <c r="D491" s="5"/>
      <c r="E491" s="5"/>
      <c r="F491" s="5"/>
      <c r="G491" s="5"/>
    </row>
    <row r="492" spans="2:7" ht="13">
      <c r="B492" s="36"/>
      <c r="C492" s="80"/>
      <c r="D492" s="5"/>
      <c r="E492" s="5"/>
      <c r="F492" s="5"/>
      <c r="G492" s="5"/>
    </row>
    <row r="493" spans="2:7" ht="13">
      <c r="B493" s="36"/>
      <c r="C493" s="80"/>
      <c r="D493" s="5"/>
      <c r="E493" s="5"/>
      <c r="F493" s="5"/>
      <c r="G493" s="5"/>
    </row>
    <row r="494" spans="2:7" ht="13">
      <c r="B494" s="36"/>
      <c r="C494" s="80"/>
      <c r="D494" s="5"/>
      <c r="E494" s="5"/>
      <c r="F494" s="5"/>
      <c r="G494" s="5"/>
    </row>
    <row r="495" spans="2:7" ht="13">
      <c r="B495" s="36"/>
      <c r="C495" s="80"/>
      <c r="D495" s="5"/>
      <c r="E495" s="5"/>
      <c r="F495" s="5"/>
      <c r="G495" s="5"/>
    </row>
    <row r="496" spans="2:7" ht="13">
      <c r="B496" s="36"/>
      <c r="C496" s="80"/>
      <c r="D496" s="5"/>
      <c r="E496" s="5"/>
      <c r="F496" s="5"/>
      <c r="G496" s="5"/>
    </row>
    <row r="497" spans="2:7" ht="13">
      <c r="B497" s="36"/>
      <c r="C497" s="80"/>
      <c r="D497" s="5"/>
      <c r="E497" s="5"/>
      <c r="F497" s="5"/>
      <c r="G497" s="5"/>
    </row>
    <row r="498" spans="2:7" ht="13">
      <c r="B498" s="36"/>
      <c r="C498" s="80"/>
      <c r="D498" s="5"/>
      <c r="E498" s="5"/>
      <c r="F498" s="5"/>
      <c r="G498" s="5"/>
    </row>
    <row r="499" spans="2:7" ht="13">
      <c r="B499" s="36"/>
      <c r="C499" s="80"/>
      <c r="D499" s="5"/>
      <c r="E499" s="5"/>
      <c r="F499" s="5"/>
      <c r="G499" s="5"/>
    </row>
    <row r="500" spans="2:7" ht="13">
      <c r="B500" s="36"/>
      <c r="C500" s="80"/>
      <c r="D500" s="5"/>
      <c r="E500" s="5"/>
      <c r="F500" s="5"/>
      <c r="G500" s="5"/>
    </row>
    <row r="501" spans="2:7" ht="13">
      <c r="B501" s="36"/>
      <c r="C501" s="80"/>
      <c r="D501" s="5"/>
      <c r="E501" s="5"/>
      <c r="F501" s="5"/>
      <c r="G501" s="5"/>
    </row>
    <row r="502" spans="2:7" ht="13">
      <c r="B502" s="36"/>
      <c r="C502" s="80"/>
      <c r="D502" s="5"/>
      <c r="E502" s="5"/>
      <c r="F502" s="5"/>
      <c r="G502" s="5"/>
    </row>
    <row r="503" spans="2:7" ht="13">
      <c r="B503" s="36"/>
      <c r="C503" s="80"/>
      <c r="D503" s="5"/>
      <c r="E503" s="5"/>
      <c r="F503" s="5"/>
      <c r="G503" s="5"/>
    </row>
    <row r="504" spans="2:7" ht="13">
      <c r="B504" s="36"/>
      <c r="C504" s="80"/>
      <c r="D504" s="5"/>
      <c r="E504" s="5"/>
      <c r="F504" s="5"/>
      <c r="G504" s="5"/>
    </row>
    <row r="505" spans="2:7" ht="13">
      <c r="B505" s="36"/>
      <c r="C505" s="80"/>
      <c r="D505" s="5"/>
      <c r="E505" s="5"/>
      <c r="F505" s="5"/>
      <c r="G505" s="5"/>
    </row>
    <row r="506" spans="2:7" ht="13">
      <c r="B506" s="36"/>
      <c r="C506" s="80"/>
      <c r="D506" s="5"/>
      <c r="E506" s="5"/>
      <c r="F506" s="5"/>
      <c r="G506" s="5"/>
    </row>
    <row r="507" spans="2:7" ht="13">
      <c r="B507" s="36"/>
      <c r="C507" s="80"/>
      <c r="D507" s="5"/>
      <c r="E507" s="5"/>
      <c r="F507" s="5"/>
      <c r="G507" s="5"/>
    </row>
    <row r="508" spans="2:7" ht="13">
      <c r="B508" s="36"/>
      <c r="C508" s="80"/>
      <c r="D508" s="5"/>
      <c r="E508" s="5"/>
      <c r="F508" s="5"/>
      <c r="G508" s="5"/>
    </row>
    <row r="509" spans="2:7" ht="13">
      <c r="B509" s="36"/>
      <c r="C509" s="80"/>
      <c r="D509" s="5"/>
      <c r="E509" s="5"/>
      <c r="F509" s="5"/>
      <c r="G509" s="5"/>
    </row>
    <row r="510" spans="2:7" ht="13">
      <c r="B510" s="36"/>
      <c r="C510" s="80"/>
      <c r="D510" s="5"/>
      <c r="E510" s="5"/>
      <c r="F510" s="5"/>
      <c r="G510" s="5"/>
    </row>
    <row r="511" spans="2:7" ht="13">
      <c r="B511" s="36"/>
      <c r="C511" s="80"/>
      <c r="D511" s="5"/>
      <c r="E511" s="5"/>
      <c r="F511" s="5"/>
      <c r="G511" s="5"/>
    </row>
    <row r="512" spans="2:7" ht="13">
      <c r="B512" s="36"/>
      <c r="C512" s="80"/>
      <c r="D512" s="5"/>
      <c r="E512" s="5"/>
      <c r="F512" s="5"/>
      <c r="G512" s="5"/>
    </row>
    <row r="513" spans="2:7" ht="13">
      <c r="B513" s="36"/>
      <c r="C513" s="80"/>
      <c r="D513" s="5"/>
      <c r="E513" s="5"/>
      <c r="F513" s="5"/>
      <c r="G513" s="5"/>
    </row>
    <row r="514" spans="2:7" ht="13">
      <c r="B514" s="36"/>
      <c r="C514" s="80"/>
      <c r="D514" s="5"/>
      <c r="E514" s="5"/>
      <c r="F514" s="5"/>
      <c r="G514" s="5"/>
    </row>
    <row r="515" spans="2:7" ht="13">
      <c r="B515" s="36"/>
      <c r="C515" s="80"/>
      <c r="D515" s="5"/>
      <c r="E515" s="5"/>
      <c r="F515" s="5"/>
      <c r="G515" s="5"/>
    </row>
    <row r="516" spans="2:7" ht="13">
      <c r="B516" s="36"/>
      <c r="C516" s="80"/>
      <c r="D516" s="5"/>
      <c r="E516" s="5"/>
      <c r="F516" s="5"/>
      <c r="G516" s="5"/>
    </row>
    <row r="517" spans="2:7" ht="13">
      <c r="B517" s="36"/>
      <c r="C517" s="80"/>
      <c r="D517" s="5"/>
      <c r="E517" s="5"/>
      <c r="F517" s="5"/>
      <c r="G517" s="5"/>
    </row>
    <row r="518" spans="2:7" ht="13">
      <c r="B518" s="36"/>
      <c r="C518" s="80"/>
      <c r="D518" s="5"/>
      <c r="E518" s="5"/>
      <c r="F518" s="5"/>
      <c r="G518" s="5"/>
    </row>
    <row r="519" spans="2:7" ht="13">
      <c r="B519" s="36"/>
      <c r="C519" s="80"/>
      <c r="D519" s="5"/>
      <c r="E519" s="5"/>
      <c r="F519" s="5"/>
      <c r="G519" s="5"/>
    </row>
    <row r="520" spans="2:7" ht="13">
      <c r="B520" s="36"/>
      <c r="C520" s="80"/>
      <c r="D520" s="5"/>
      <c r="E520" s="5"/>
      <c r="F520" s="5"/>
      <c r="G520" s="5"/>
    </row>
    <row r="521" spans="2:7" ht="13">
      <c r="B521" s="36"/>
      <c r="C521" s="80"/>
      <c r="D521" s="5"/>
      <c r="E521" s="5"/>
      <c r="F521" s="5"/>
      <c r="G521" s="5"/>
    </row>
    <row r="522" spans="2:7" ht="13">
      <c r="B522" s="36"/>
      <c r="C522" s="80"/>
      <c r="D522" s="5"/>
      <c r="E522" s="5"/>
      <c r="F522" s="5"/>
      <c r="G522" s="5"/>
    </row>
    <row r="523" spans="2:7" ht="13">
      <c r="B523" s="36"/>
      <c r="C523" s="80"/>
      <c r="D523" s="5"/>
      <c r="E523" s="5"/>
      <c r="F523" s="5"/>
      <c r="G523" s="5"/>
    </row>
    <row r="524" spans="2:7" ht="13">
      <c r="B524" s="36"/>
      <c r="C524" s="80"/>
      <c r="D524" s="5"/>
      <c r="E524" s="5"/>
      <c r="F524" s="5"/>
      <c r="G524" s="5"/>
    </row>
    <row r="525" spans="2:7" ht="13">
      <c r="B525" s="36"/>
      <c r="C525" s="80"/>
      <c r="D525" s="5"/>
      <c r="E525" s="5"/>
      <c r="F525" s="5"/>
      <c r="G525" s="5"/>
    </row>
    <row r="526" spans="2:7" ht="13">
      <c r="B526" s="36"/>
      <c r="C526" s="80"/>
      <c r="D526" s="5"/>
      <c r="E526" s="5"/>
      <c r="F526" s="5"/>
      <c r="G526" s="5"/>
    </row>
    <row r="527" spans="2:7" ht="13">
      <c r="B527" s="36"/>
      <c r="C527" s="80"/>
      <c r="D527" s="5"/>
      <c r="E527" s="5"/>
      <c r="F527" s="5"/>
      <c r="G527" s="5"/>
    </row>
    <row r="528" spans="2:7" ht="13">
      <c r="B528" s="36"/>
      <c r="C528" s="80"/>
      <c r="D528" s="5"/>
      <c r="E528" s="5"/>
      <c r="F528" s="5"/>
      <c r="G528" s="5"/>
    </row>
    <row r="529" spans="2:7" ht="13">
      <c r="B529" s="36"/>
      <c r="C529" s="80"/>
      <c r="D529" s="5"/>
      <c r="E529" s="5"/>
      <c r="F529" s="5"/>
      <c r="G529" s="5"/>
    </row>
    <row r="530" spans="2:7" ht="13">
      <c r="B530" s="36"/>
      <c r="C530" s="80"/>
      <c r="D530" s="5"/>
      <c r="E530" s="5"/>
      <c r="F530" s="5"/>
      <c r="G530" s="5"/>
    </row>
    <row r="531" spans="2:7" ht="13">
      <c r="B531" s="36"/>
      <c r="C531" s="80"/>
      <c r="D531" s="5"/>
      <c r="E531" s="5"/>
      <c r="F531" s="5"/>
      <c r="G531" s="5"/>
    </row>
    <row r="532" spans="2:7" ht="13">
      <c r="B532" s="36"/>
      <c r="C532" s="80"/>
      <c r="D532" s="5"/>
      <c r="E532" s="5"/>
      <c r="F532" s="5"/>
      <c r="G532" s="5"/>
    </row>
    <row r="533" spans="2:7" ht="13">
      <c r="B533" s="36"/>
      <c r="C533" s="80"/>
      <c r="D533" s="5"/>
      <c r="E533" s="5"/>
      <c r="F533" s="5"/>
      <c r="G533" s="5"/>
    </row>
    <row r="534" spans="2:7" ht="13">
      <c r="B534" s="36"/>
      <c r="C534" s="80"/>
      <c r="D534" s="5"/>
      <c r="E534" s="5"/>
      <c r="F534" s="5"/>
      <c r="G534" s="5"/>
    </row>
    <row r="535" spans="2:7" ht="13">
      <c r="B535" s="36"/>
      <c r="C535" s="80"/>
      <c r="D535" s="5"/>
      <c r="E535" s="5"/>
      <c r="F535" s="5"/>
      <c r="G535" s="5"/>
    </row>
    <row r="536" spans="2:7" ht="13">
      <c r="B536" s="36"/>
      <c r="C536" s="80"/>
      <c r="D536" s="5"/>
      <c r="E536" s="5"/>
      <c r="F536" s="5"/>
      <c r="G536" s="5"/>
    </row>
    <row r="537" spans="2:7" ht="13">
      <c r="B537" s="36"/>
      <c r="C537" s="80"/>
      <c r="D537" s="5"/>
      <c r="E537" s="5"/>
      <c r="F537" s="5"/>
      <c r="G537" s="5"/>
    </row>
    <row r="538" spans="2:7" ht="13">
      <c r="B538" s="36"/>
      <c r="C538" s="80"/>
      <c r="D538" s="5"/>
      <c r="E538" s="5"/>
      <c r="F538" s="5"/>
      <c r="G538" s="5"/>
    </row>
    <row r="539" spans="2:7" ht="13">
      <c r="B539" s="36"/>
      <c r="C539" s="80"/>
      <c r="D539" s="5"/>
      <c r="E539" s="5"/>
      <c r="F539" s="5"/>
      <c r="G539" s="5"/>
    </row>
    <row r="540" spans="2:7" ht="13">
      <c r="B540" s="36"/>
      <c r="C540" s="80"/>
      <c r="D540" s="5"/>
      <c r="E540" s="5"/>
      <c r="F540" s="5"/>
      <c r="G540" s="5"/>
    </row>
    <row r="541" spans="2:7" ht="13">
      <c r="B541" s="36"/>
      <c r="C541" s="80"/>
      <c r="D541" s="5"/>
      <c r="E541" s="5"/>
      <c r="F541" s="5"/>
      <c r="G541" s="5"/>
    </row>
    <row r="542" spans="2:7" ht="13">
      <c r="B542" s="36"/>
      <c r="C542" s="80"/>
      <c r="D542" s="5"/>
      <c r="E542" s="5"/>
      <c r="F542" s="5"/>
      <c r="G542" s="5"/>
    </row>
    <row r="543" spans="2:7" ht="13">
      <c r="B543" s="36"/>
      <c r="C543" s="80"/>
      <c r="D543" s="5"/>
      <c r="E543" s="5"/>
      <c r="F543" s="5"/>
      <c r="G543" s="5"/>
    </row>
    <row r="544" spans="2:7" ht="13">
      <c r="B544" s="36"/>
      <c r="C544" s="80"/>
      <c r="D544" s="5"/>
      <c r="E544" s="5"/>
      <c r="F544" s="5"/>
      <c r="G544" s="5"/>
    </row>
    <row r="545" spans="2:7" ht="13">
      <c r="B545" s="36"/>
      <c r="C545" s="80"/>
      <c r="D545" s="5"/>
      <c r="E545" s="5"/>
      <c r="F545" s="5"/>
      <c r="G545" s="5"/>
    </row>
    <row r="546" spans="2:7" ht="13">
      <c r="B546" s="36"/>
      <c r="C546" s="80"/>
      <c r="D546" s="5"/>
      <c r="E546" s="5"/>
      <c r="F546" s="5"/>
      <c r="G546" s="5"/>
    </row>
    <row r="547" spans="2:7" ht="13">
      <c r="B547" s="36"/>
      <c r="C547" s="80"/>
      <c r="D547" s="5"/>
      <c r="E547" s="5"/>
      <c r="F547" s="5"/>
      <c r="G547" s="5"/>
    </row>
    <row r="548" spans="2:7" ht="13">
      <c r="B548" s="36"/>
      <c r="C548" s="80"/>
      <c r="D548" s="5"/>
      <c r="E548" s="5"/>
      <c r="F548" s="5"/>
      <c r="G548" s="5"/>
    </row>
    <row r="549" spans="2:7" ht="13">
      <c r="B549" s="36"/>
      <c r="C549" s="80"/>
      <c r="D549" s="5"/>
      <c r="E549" s="5"/>
      <c r="F549" s="5"/>
      <c r="G549" s="5"/>
    </row>
    <row r="550" spans="2:7" ht="13">
      <c r="B550" s="36"/>
      <c r="C550" s="80"/>
      <c r="D550" s="5"/>
      <c r="E550" s="5"/>
      <c r="F550" s="5"/>
      <c r="G550" s="5"/>
    </row>
    <row r="551" spans="2:7" ht="13">
      <c r="B551" s="36"/>
      <c r="C551" s="80"/>
      <c r="D551" s="5"/>
      <c r="E551" s="5"/>
      <c r="F551" s="5"/>
      <c r="G551" s="5"/>
    </row>
    <row r="552" spans="2:7" ht="13">
      <c r="B552" s="36"/>
      <c r="C552" s="80"/>
      <c r="D552" s="5"/>
      <c r="E552" s="5"/>
      <c r="F552" s="5"/>
      <c r="G552" s="5"/>
    </row>
    <row r="553" spans="2:7" ht="13">
      <c r="B553" s="36"/>
      <c r="C553" s="80"/>
      <c r="D553" s="5"/>
      <c r="E553" s="5"/>
      <c r="F553" s="5"/>
      <c r="G553" s="5"/>
    </row>
    <row r="554" spans="2:7" ht="13">
      <c r="B554" s="36"/>
      <c r="C554" s="80"/>
      <c r="D554" s="5"/>
      <c r="E554" s="5"/>
      <c r="F554" s="5"/>
      <c r="G554" s="5"/>
    </row>
    <row r="555" spans="2:7" ht="13">
      <c r="B555" s="36"/>
      <c r="C555" s="80"/>
      <c r="D555" s="5"/>
      <c r="E555" s="5"/>
      <c r="F555" s="5"/>
      <c r="G555" s="5"/>
    </row>
    <row r="556" spans="2:7" ht="13">
      <c r="B556" s="36"/>
      <c r="C556" s="80"/>
      <c r="D556" s="5"/>
      <c r="E556" s="5"/>
      <c r="F556" s="5"/>
      <c r="G556" s="5"/>
    </row>
    <row r="557" spans="2:7" ht="13">
      <c r="B557" s="36"/>
      <c r="C557" s="80"/>
      <c r="D557" s="5"/>
      <c r="E557" s="5"/>
      <c r="F557" s="5"/>
      <c r="G557" s="5"/>
    </row>
    <row r="558" spans="2:7" ht="13">
      <c r="B558" s="36"/>
      <c r="C558" s="80"/>
      <c r="D558" s="5"/>
      <c r="E558" s="5"/>
      <c r="F558" s="5"/>
      <c r="G558" s="5"/>
    </row>
    <row r="559" spans="2:7" ht="13">
      <c r="B559" s="36"/>
      <c r="C559" s="80"/>
      <c r="D559" s="5"/>
      <c r="E559" s="5"/>
      <c r="F559" s="5"/>
      <c r="G559" s="5"/>
    </row>
    <row r="560" spans="2:7" ht="13">
      <c r="B560" s="36"/>
      <c r="C560" s="80"/>
      <c r="D560" s="5"/>
      <c r="E560" s="5"/>
      <c r="F560" s="5"/>
      <c r="G560" s="5"/>
    </row>
    <row r="561" spans="2:7" ht="13">
      <c r="B561" s="36"/>
      <c r="C561" s="80"/>
      <c r="D561" s="5"/>
      <c r="E561" s="5"/>
      <c r="F561" s="5"/>
      <c r="G561" s="5"/>
    </row>
    <row r="562" spans="2:7" ht="13">
      <c r="B562" s="36"/>
      <c r="C562" s="80"/>
      <c r="D562" s="5"/>
      <c r="E562" s="5"/>
      <c r="F562" s="5"/>
      <c r="G562" s="5"/>
    </row>
    <row r="563" spans="2:7" ht="13">
      <c r="B563" s="36"/>
      <c r="C563" s="80"/>
      <c r="D563" s="5"/>
      <c r="E563" s="5"/>
      <c r="F563" s="5"/>
      <c r="G563" s="5"/>
    </row>
    <row r="564" spans="2:7" ht="13">
      <c r="B564" s="36"/>
      <c r="C564" s="80"/>
      <c r="D564" s="5"/>
      <c r="E564" s="5"/>
      <c r="F564" s="5"/>
      <c r="G564" s="5"/>
    </row>
    <row r="565" spans="2:7" ht="13">
      <c r="B565" s="36"/>
      <c r="C565" s="80"/>
      <c r="D565" s="5"/>
      <c r="E565" s="5"/>
      <c r="F565" s="5"/>
      <c r="G565" s="5"/>
    </row>
    <row r="566" spans="2:7" ht="13">
      <c r="B566" s="36"/>
      <c r="C566" s="80"/>
      <c r="D566" s="5"/>
      <c r="E566" s="5"/>
      <c r="F566" s="5"/>
      <c r="G566" s="5"/>
    </row>
    <row r="567" spans="2:7" ht="13">
      <c r="B567" s="36"/>
      <c r="C567" s="80"/>
      <c r="D567" s="5"/>
      <c r="E567" s="5"/>
      <c r="F567" s="5"/>
      <c r="G567" s="5"/>
    </row>
    <row r="568" spans="2:7" ht="13">
      <c r="B568" s="36"/>
      <c r="C568" s="80"/>
      <c r="D568" s="5"/>
      <c r="E568" s="5"/>
      <c r="F568" s="5"/>
      <c r="G568" s="5"/>
    </row>
    <row r="569" spans="2:7" ht="13">
      <c r="B569" s="36"/>
      <c r="C569" s="80"/>
      <c r="D569" s="5"/>
      <c r="E569" s="5"/>
      <c r="F569" s="5"/>
      <c r="G569" s="5"/>
    </row>
    <row r="570" spans="2:7" ht="13">
      <c r="B570" s="36"/>
      <c r="C570" s="80"/>
      <c r="D570" s="5"/>
      <c r="E570" s="5"/>
      <c r="F570" s="5"/>
      <c r="G570" s="5"/>
    </row>
    <row r="571" spans="2:7" ht="13">
      <c r="B571" s="36"/>
      <c r="C571" s="80"/>
      <c r="D571" s="5"/>
      <c r="E571" s="5"/>
      <c r="F571" s="5"/>
      <c r="G571" s="5"/>
    </row>
    <row r="572" spans="2:7" ht="13">
      <c r="B572" s="36"/>
      <c r="C572" s="80"/>
      <c r="D572" s="5"/>
      <c r="E572" s="5"/>
      <c r="F572" s="5"/>
      <c r="G572" s="5"/>
    </row>
    <row r="573" spans="2:7" ht="13">
      <c r="B573" s="36"/>
      <c r="C573" s="80"/>
      <c r="D573" s="5"/>
      <c r="E573" s="5"/>
      <c r="F573" s="5"/>
      <c r="G573" s="5"/>
    </row>
    <row r="574" spans="2:7" ht="13">
      <c r="B574" s="36"/>
      <c r="C574" s="80"/>
      <c r="D574" s="5"/>
      <c r="E574" s="5"/>
      <c r="F574" s="5"/>
      <c r="G574" s="5"/>
    </row>
    <row r="575" spans="2:7" ht="13">
      <c r="B575" s="36"/>
      <c r="C575" s="80"/>
      <c r="D575" s="5"/>
      <c r="E575" s="5"/>
      <c r="F575" s="5"/>
      <c r="G575" s="5"/>
    </row>
    <row r="576" spans="2:7" ht="13">
      <c r="B576" s="36"/>
      <c r="C576" s="80"/>
      <c r="D576" s="5"/>
      <c r="E576" s="5"/>
      <c r="F576" s="5"/>
      <c r="G576" s="5"/>
    </row>
    <row r="577" spans="2:7" ht="13">
      <c r="B577" s="36"/>
      <c r="C577" s="80"/>
      <c r="D577" s="5"/>
      <c r="E577" s="5"/>
      <c r="F577" s="5"/>
      <c r="G577" s="5"/>
    </row>
    <row r="578" spans="2:7" ht="13">
      <c r="B578" s="36"/>
      <c r="C578" s="80"/>
      <c r="D578" s="5"/>
      <c r="E578" s="5"/>
      <c r="F578" s="5"/>
      <c r="G578" s="5"/>
    </row>
    <row r="579" spans="2:7" ht="13">
      <c r="B579" s="36"/>
      <c r="C579" s="80"/>
      <c r="D579" s="5"/>
      <c r="E579" s="5"/>
      <c r="F579" s="5"/>
      <c r="G579" s="5"/>
    </row>
    <row r="580" spans="2:7" ht="13">
      <c r="B580" s="36"/>
      <c r="C580" s="80"/>
      <c r="D580" s="5"/>
      <c r="E580" s="5"/>
      <c r="F580" s="5"/>
      <c r="G580" s="5"/>
    </row>
    <row r="581" spans="2:7" ht="13">
      <c r="B581" s="36"/>
      <c r="C581" s="80"/>
      <c r="D581" s="5"/>
      <c r="E581" s="5"/>
      <c r="F581" s="5"/>
      <c r="G581" s="5"/>
    </row>
    <row r="582" spans="2:7" ht="13">
      <c r="B582" s="36"/>
      <c r="C582" s="80"/>
      <c r="D582" s="5"/>
      <c r="E582" s="5"/>
      <c r="F582" s="5"/>
      <c r="G582" s="5"/>
    </row>
    <row r="583" spans="2:7" ht="13">
      <c r="B583" s="36"/>
      <c r="C583" s="80"/>
      <c r="D583" s="5"/>
      <c r="E583" s="5"/>
      <c r="F583" s="5"/>
      <c r="G583" s="5"/>
    </row>
    <row r="584" spans="2:7" ht="13">
      <c r="B584" s="36"/>
      <c r="C584" s="80"/>
      <c r="D584" s="5"/>
      <c r="E584" s="5"/>
      <c r="F584" s="5"/>
      <c r="G584" s="5"/>
    </row>
    <row r="585" spans="2:7" ht="13">
      <c r="B585" s="36"/>
      <c r="C585" s="80"/>
      <c r="D585" s="5"/>
      <c r="E585" s="5"/>
      <c r="F585" s="5"/>
      <c r="G585" s="5"/>
    </row>
    <row r="586" spans="2:7" ht="13">
      <c r="B586" s="36"/>
      <c r="C586" s="80"/>
      <c r="D586" s="5"/>
      <c r="E586" s="5"/>
      <c r="F586" s="5"/>
      <c r="G586" s="5"/>
    </row>
    <row r="587" spans="2:7" ht="13">
      <c r="B587" s="36"/>
      <c r="C587" s="80"/>
      <c r="D587" s="5"/>
      <c r="E587" s="5"/>
      <c r="F587" s="5"/>
      <c r="G587" s="5"/>
    </row>
    <row r="588" spans="2:7" ht="13">
      <c r="B588" s="36"/>
      <c r="C588" s="80"/>
      <c r="D588" s="5"/>
      <c r="E588" s="5"/>
      <c r="F588" s="5"/>
      <c r="G588" s="5"/>
    </row>
    <row r="589" spans="2:7" ht="13">
      <c r="B589" s="36"/>
      <c r="C589" s="80"/>
      <c r="D589" s="5"/>
      <c r="E589" s="5"/>
      <c r="F589" s="5"/>
      <c r="G589" s="5"/>
    </row>
    <row r="590" spans="2:7" ht="13">
      <c r="B590" s="36"/>
      <c r="C590" s="80"/>
      <c r="D590" s="5"/>
      <c r="E590" s="5"/>
      <c r="F590" s="5"/>
      <c r="G590" s="5"/>
    </row>
    <row r="591" spans="2:7" ht="13">
      <c r="B591" s="36"/>
      <c r="C591" s="80"/>
      <c r="D591" s="5"/>
      <c r="E591" s="5"/>
      <c r="F591" s="5"/>
      <c r="G591" s="5"/>
    </row>
    <row r="592" spans="2:7" ht="13">
      <c r="B592" s="36"/>
      <c r="C592" s="80"/>
      <c r="D592" s="5"/>
      <c r="E592" s="5"/>
      <c r="F592" s="5"/>
      <c r="G592" s="5"/>
    </row>
    <row r="593" spans="2:7" ht="13">
      <c r="B593" s="36"/>
      <c r="C593" s="80"/>
      <c r="D593" s="5"/>
      <c r="E593" s="5"/>
      <c r="F593" s="5"/>
      <c r="G593" s="5"/>
    </row>
    <row r="594" spans="2:7" ht="13">
      <c r="B594" s="36"/>
      <c r="C594" s="80"/>
      <c r="D594" s="5"/>
      <c r="E594" s="5"/>
      <c r="F594" s="5"/>
      <c r="G594" s="5"/>
    </row>
    <row r="595" spans="2:7" ht="13">
      <c r="B595" s="36"/>
      <c r="C595" s="80"/>
      <c r="D595" s="5"/>
      <c r="E595" s="5"/>
      <c r="F595" s="5"/>
      <c r="G595" s="5"/>
    </row>
    <row r="596" spans="2:7" ht="13">
      <c r="B596" s="36"/>
      <c r="C596" s="80"/>
      <c r="D596" s="5"/>
      <c r="E596" s="5"/>
      <c r="F596" s="5"/>
      <c r="G596" s="5"/>
    </row>
    <row r="597" spans="2:7" ht="13">
      <c r="B597" s="36"/>
      <c r="C597" s="80"/>
      <c r="D597" s="5"/>
      <c r="E597" s="5"/>
      <c r="F597" s="5"/>
      <c r="G597" s="5"/>
    </row>
    <row r="598" spans="2:7" ht="13">
      <c r="B598" s="36"/>
      <c r="C598" s="80"/>
      <c r="D598" s="5"/>
      <c r="E598" s="5"/>
      <c r="F598" s="5"/>
      <c r="G598" s="5"/>
    </row>
    <row r="599" spans="2:7" ht="13">
      <c r="B599" s="36"/>
      <c r="C599" s="80"/>
      <c r="D599" s="5"/>
      <c r="E599" s="5"/>
      <c r="F599" s="5"/>
      <c r="G599" s="5"/>
    </row>
    <row r="600" spans="2:7" ht="13">
      <c r="B600" s="36"/>
      <c r="C600" s="80"/>
      <c r="D600" s="5"/>
      <c r="E600" s="5"/>
      <c r="F600" s="5"/>
      <c r="G600" s="5"/>
    </row>
    <row r="601" spans="2:7" ht="13">
      <c r="B601" s="36"/>
      <c r="C601" s="80"/>
      <c r="D601" s="5"/>
      <c r="E601" s="5"/>
      <c r="F601" s="5"/>
      <c r="G601" s="5"/>
    </row>
    <row r="602" spans="2:7" ht="13">
      <c r="B602" s="36"/>
      <c r="C602" s="80"/>
      <c r="D602" s="5"/>
      <c r="E602" s="5"/>
      <c r="F602" s="5"/>
      <c r="G602" s="5"/>
    </row>
    <row r="603" spans="2:7" ht="13">
      <c r="B603" s="36"/>
      <c r="C603" s="80"/>
      <c r="D603" s="5"/>
      <c r="E603" s="5"/>
      <c r="F603" s="5"/>
      <c r="G603" s="5"/>
    </row>
    <row r="604" spans="2:7" ht="13">
      <c r="B604" s="36"/>
      <c r="C604" s="80"/>
      <c r="D604" s="5"/>
      <c r="E604" s="5"/>
      <c r="F604" s="5"/>
      <c r="G604" s="5"/>
    </row>
    <row r="605" spans="2:7" ht="13">
      <c r="B605" s="36"/>
      <c r="C605" s="80"/>
      <c r="D605" s="5"/>
      <c r="E605" s="5"/>
      <c r="F605" s="5"/>
      <c r="G605" s="5"/>
    </row>
    <row r="606" spans="2:7" ht="13">
      <c r="B606" s="36"/>
      <c r="C606" s="80"/>
      <c r="D606" s="5"/>
      <c r="E606" s="5"/>
      <c r="F606" s="5"/>
      <c r="G606" s="5"/>
    </row>
    <row r="607" spans="2:7" ht="13">
      <c r="B607" s="36"/>
      <c r="C607" s="80"/>
      <c r="D607" s="5"/>
      <c r="E607" s="5"/>
      <c r="F607" s="5"/>
      <c r="G607" s="5"/>
    </row>
    <row r="608" spans="2:7" ht="13">
      <c r="B608" s="36"/>
      <c r="C608" s="80"/>
      <c r="D608" s="5"/>
      <c r="E608" s="5"/>
      <c r="F608" s="5"/>
      <c r="G608" s="5"/>
    </row>
    <row r="609" spans="2:7" ht="13">
      <c r="B609" s="36"/>
      <c r="C609" s="80"/>
      <c r="D609" s="5"/>
      <c r="E609" s="5"/>
      <c r="F609" s="5"/>
      <c r="G609" s="5"/>
    </row>
    <row r="610" spans="2:7" ht="13">
      <c r="B610" s="36"/>
      <c r="C610" s="80"/>
      <c r="D610" s="5"/>
      <c r="E610" s="5"/>
      <c r="F610" s="5"/>
      <c r="G610" s="5"/>
    </row>
    <row r="611" spans="2:7" ht="13">
      <c r="B611" s="36"/>
      <c r="C611" s="80"/>
      <c r="D611" s="5"/>
      <c r="E611" s="5"/>
      <c r="F611" s="5"/>
      <c r="G611" s="5"/>
    </row>
    <row r="612" spans="2:7" ht="13">
      <c r="B612" s="36"/>
      <c r="C612" s="80"/>
      <c r="D612" s="5"/>
      <c r="E612" s="5"/>
      <c r="F612" s="5"/>
      <c r="G612" s="5"/>
    </row>
    <row r="613" spans="2:7" ht="13">
      <c r="B613" s="36"/>
      <c r="C613" s="80"/>
      <c r="D613" s="5"/>
      <c r="E613" s="5"/>
      <c r="F613" s="5"/>
      <c r="G613" s="5"/>
    </row>
    <row r="614" spans="2:7" ht="13">
      <c r="B614" s="36"/>
      <c r="C614" s="80"/>
      <c r="D614" s="5"/>
      <c r="E614" s="5"/>
      <c r="F614" s="5"/>
      <c r="G614" s="5"/>
    </row>
    <row r="615" spans="2:7" ht="13">
      <c r="B615" s="36"/>
      <c r="C615" s="80"/>
      <c r="D615" s="5"/>
      <c r="E615" s="5"/>
      <c r="F615" s="5"/>
      <c r="G615" s="5"/>
    </row>
    <row r="616" spans="2:7" ht="13">
      <c r="B616" s="36"/>
      <c r="C616" s="80"/>
      <c r="D616" s="5"/>
      <c r="E616" s="5"/>
      <c r="F616" s="5"/>
      <c r="G616" s="5"/>
    </row>
    <row r="617" spans="2:7" ht="13">
      <c r="B617" s="36"/>
      <c r="C617" s="80"/>
      <c r="D617" s="5"/>
      <c r="E617" s="5"/>
      <c r="F617" s="5"/>
      <c r="G617" s="5"/>
    </row>
    <row r="618" spans="2:7" ht="13">
      <c r="B618" s="36"/>
      <c r="C618" s="80"/>
      <c r="D618" s="5"/>
      <c r="E618" s="5"/>
      <c r="F618" s="5"/>
      <c r="G618" s="5"/>
    </row>
    <row r="619" spans="2:7" ht="13">
      <c r="B619" s="36"/>
      <c r="C619" s="80"/>
      <c r="D619" s="5"/>
      <c r="E619" s="5"/>
      <c r="F619" s="5"/>
      <c r="G619" s="5"/>
    </row>
    <row r="620" spans="2:7" ht="13">
      <c r="B620" s="36"/>
      <c r="C620" s="80"/>
      <c r="D620" s="5"/>
      <c r="E620" s="5"/>
      <c r="F620" s="5"/>
      <c r="G620" s="5"/>
    </row>
    <row r="621" spans="2:7" ht="13">
      <c r="B621" s="36"/>
      <c r="C621" s="80"/>
      <c r="D621" s="5"/>
      <c r="E621" s="5"/>
      <c r="F621" s="5"/>
      <c r="G621" s="5"/>
    </row>
    <row r="622" spans="2:7" ht="13">
      <c r="B622" s="36"/>
      <c r="C622" s="80"/>
      <c r="D622" s="5"/>
      <c r="E622" s="5"/>
      <c r="F622" s="5"/>
      <c r="G622" s="5"/>
    </row>
    <row r="623" spans="2:7" ht="13">
      <c r="B623" s="36"/>
      <c r="C623" s="80"/>
      <c r="D623" s="5"/>
      <c r="E623" s="5"/>
      <c r="F623" s="5"/>
      <c r="G623" s="5"/>
    </row>
    <row r="624" spans="2:7" ht="13">
      <c r="B624" s="36"/>
      <c r="C624" s="80"/>
      <c r="D624" s="5"/>
      <c r="E624" s="5"/>
      <c r="F624" s="5"/>
      <c r="G624" s="5"/>
    </row>
    <row r="625" spans="2:7" ht="13">
      <c r="B625" s="36"/>
      <c r="C625" s="80"/>
      <c r="D625" s="5"/>
      <c r="E625" s="5"/>
      <c r="F625" s="5"/>
      <c r="G625" s="5"/>
    </row>
    <row r="626" spans="2:7" ht="13">
      <c r="B626" s="36"/>
      <c r="C626" s="80"/>
      <c r="D626" s="5"/>
      <c r="E626" s="5"/>
      <c r="F626" s="5"/>
      <c r="G626" s="5"/>
    </row>
    <row r="627" spans="2:7" ht="13">
      <c r="B627" s="36"/>
      <c r="C627" s="80"/>
      <c r="D627" s="5"/>
      <c r="E627" s="5"/>
      <c r="F627" s="5"/>
      <c r="G627" s="5"/>
    </row>
    <row r="628" spans="2:7" ht="13">
      <c r="B628" s="36"/>
      <c r="C628" s="80"/>
      <c r="D628" s="5"/>
      <c r="E628" s="5"/>
      <c r="F628" s="5"/>
      <c r="G628" s="5"/>
    </row>
    <row r="629" spans="2:7" ht="13">
      <c r="B629" s="36"/>
      <c r="C629" s="80"/>
      <c r="D629" s="5"/>
      <c r="E629" s="5"/>
      <c r="F629" s="5"/>
      <c r="G629" s="5"/>
    </row>
    <row r="630" spans="2:7" ht="13">
      <c r="B630" s="36"/>
      <c r="C630" s="80"/>
      <c r="D630" s="5"/>
      <c r="E630" s="5"/>
      <c r="F630" s="5"/>
      <c r="G630" s="5"/>
    </row>
    <row r="631" spans="2:7" ht="13">
      <c r="B631" s="36"/>
      <c r="C631" s="80"/>
      <c r="D631" s="5"/>
      <c r="E631" s="5"/>
      <c r="F631" s="5"/>
      <c r="G631" s="5"/>
    </row>
    <row r="632" spans="2:7" ht="13">
      <c r="B632" s="36"/>
      <c r="C632" s="80"/>
      <c r="D632" s="5"/>
      <c r="E632" s="5"/>
      <c r="F632" s="5"/>
      <c r="G632" s="5"/>
    </row>
    <row r="633" spans="2:7" ht="13">
      <c r="B633" s="36"/>
      <c r="C633" s="80"/>
      <c r="D633" s="5"/>
      <c r="E633" s="5"/>
      <c r="F633" s="5"/>
      <c r="G633" s="5"/>
    </row>
    <row r="634" spans="2:7" ht="13">
      <c r="B634" s="36"/>
      <c r="C634" s="80"/>
      <c r="D634" s="5"/>
      <c r="E634" s="5"/>
      <c r="F634" s="5"/>
      <c r="G634" s="5"/>
    </row>
    <row r="635" spans="2:7" ht="13">
      <c r="B635" s="36"/>
      <c r="C635" s="80"/>
      <c r="D635" s="5"/>
      <c r="E635" s="5"/>
      <c r="F635" s="5"/>
      <c r="G635" s="5"/>
    </row>
    <row r="636" spans="2:7" ht="13">
      <c r="B636" s="36"/>
      <c r="C636" s="80"/>
      <c r="D636" s="5"/>
      <c r="E636" s="5"/>
      <c r="F636" s="5"/>
      <c r="G636" s="5"/>
    </row>
    <row r="637" spans="2:7" ht="13">
      <c r="B637" s="36"/>
      <c r="C637" s="80"/>
      <c r="D637" s="5"/>
      <c r="E637" s="5"/>
      <c r="F637" s="5"/>
      <c r="G637" s="5"/>
    </row>
    <row r="638" spans="2:7" ht="13">
      <c r="B638" s="36"/>
      <c r="C638" s="80"/>
      <c r="D638" s="5"/>
      <c r="E638" s="5"/>
      <c r="F638" s="5"/>
      <c r="G638" s="5"/>
    </row>
    <row r="639" spans="2:7" ht="13">
      <c r="B639" s="36"/>
      <c r="C639" s="80"/>
      <c r="D639" s="5"/>
      <c r="E639" s="5"/>
      <c r="F639" s="5"/>
      <c r="G639" s="5"/>
    </row>
    <row r="640" spans="2:7" ht="13">
      <c r="B640" s="36"/>
      <c r="C640" s="80"/>
      <c r="D640" s="5"/>
      <c r="E640" s="5"/>
      <c r="F640" s="5"/>
      <c r="G640" s="5"/>
    </row>
    <row r="641" spans="2:7" ht="13">
      <c r="B641" s="36"/>
      <c r="C641" s="80"/>
      <c r="D641" s="5"/>
      <c r="E641" s="5"/>
      <c r="F641" s="5"/>
      <c r="G641" s="5"/>
    </row>
    <row r="642" spans="2:7" ht="13">
      <c r="B642" s="36"/>
      <c r="C642" s="80"/>
      <c r="D642" s="5"/>
      <c r="E642" s="5"/>
      <c r="F642" s="5"/>
      <c r="G642" s="5"/>
    </row>
    <row r="643" spans="2:7" ht="13">
      <c r="B643" s="36"/>
      <c r="C643" s="80"/>
      <c r="D643" s="5"/>
      <c r="E643" s="5"/>
      <c r="F643" s="5"/>
      <c r="G643" s="5"/>
    </row>
    <row r="644" spans="2:7" ht="13">
      <c r="B644" s="36"/>
      <c r="C644" s="80"/>
      <c r="D644" s="5"/>
      <c r="E644" s="5"/>
      <c r="F644" s="5"/>
      <c r="G644" s="5"/>
    </row>
    <row r="645" spans="2:7" ht="13">
      <c r="B645" s="36"/>
      <c r="C645" s="80"/>
      <c r="D645" s="5"/>
      <c r="E645" s="5"/>
      <c r="F645" s="5"/>
      <c r="G645" s="5"/>
    </row>
    <row r="646" spans="2:7" ht="13">
      <c r="B646" s="36"/>
      <c r="C646" s="80"/>
      <c r="D646" s="5"/>
      <c r="E646" s="5"/>
      <c r="F646" s="5"/>
      <c r="G646" s="5"/>
    </row>
    <row r="647" spans="2:7" ht="13">
      <c r="B647" s="36"/>
      <c r="C647" s="80"/>
      <c r="D647" s="5"/>
      <c r="E647" s="5"/>
      <c r="F647" s="5"/>
      <c r="G647" s="5"/>
    </row>
    <row r="648" spans="2:7" ht="13">
      <c r="B648" s="36"/>
      <c r="C648" s="80"/>
      <c r="D648" s="5"/>
      <c r="E648" s="5"/>
      <c r="F648" s="5"/>
      <c r="G648" s="5"/>
    </row>
    <row r="649" spans="2:7" ht="13">
      <c r="B649" s="36"/>
      <c r="C649" s="80"/>
      <c r="D649" s="5"/>
      <c r="E649" s="5"/>
      <c r="F649" s="5"/>
      <c r="G649" s="5"/>
    </row>
    <row r="650" spans="2:7" ht="13">
      <c r="B650" s="36"/>
      <c r="C650" s="80"/>
      <c r="D650" s="5"/>
      <c r="E650" s="5"/>
      <c r="F650" s="5"/>
      <c r="G650" s="5"/>
    </row>
    <row r="651" spans="2:7" ht="13">
      <c r="B651" s="36"/>
      <c r="C651" s="80"/>
      <c r="D651" s="5"/>
      <c r="E651" s="5"/>
      <c r="F651" s="5"/>
      <c r="G651" s="5"/>
    </row>
    <row r="652" spans="2:7" ht="13">
      <c r="B652" s="36"/>
      <c r="C652" s="80"/>
      <c r="D652" s="5"/>
      <c r="E652" s="5"/>
      <c r="F652" s="5"/>
      <c r="G652" s="5"/>
    </row>
    <row r="653" spans="2:7" ht="13">
      <c r="B653" s="36"/>
      <c r="C653" s="80"/>
      <c r="D653" s="5"/>
      <c r="E653" s="5"/>
      <c r="F653" s="5"/>
      <c r="G653" s="5"/>
    </row>
    <row r="654" spans="2:7" ht="13">
      <c r="B654" s="36"/>
      <c r="C654" s="80"/>
      <c r="D654" s="5"/>
      <c r="E654" s="5"/>
      <c r="F654" s="5"/>
      <c r="G654" s="5"/>
    </row>
    <row r="655" spans="2:7" ht="13">
      <c r="B655" s="36"/>
      <c r="C655" s="80"/>
      <c r="D655" s="5"/>
      <c r="E655" s="5"/>
      <c r="F655" s="5"/>
      <c r="G655" s="5"/>
    </row>
    <row r="656" spans="2:7" ht="13">
      <c r="B656" s="36"/>
      <c r="C656" s="80"/>
      <c r="D656" s="5"/>
      <c r="E656" s="5"/>
      <c r="F656" s="5"/>
      <c r="G656" s="5"/>
    </row>
    <row r="657" spans="2:7" ht="13">
      <c r="B657" s="36"/>
      <c r="C657" s="80"/>
      <c r="D657" s="5"/>
      <c r="E657" s="5"/>
      <c r="F657" s="5"/>
      <c r="G657" s="5"/>
    </row>
    <row r="658" spans="2:7" ht="13">
      <c r="B658" s="36"/>
      <c r="C658" s="80"/>
      <c r="D658" s="5"/>
      <c r="E658" s="5"/>
      <c r="F658" s="5"/>
      <c r="G658" s="5"/>
    </row>
    <row r="659" spans="2:7" ht="13">
      <c r="B659" s="36"/>
      <c r="C659" s="80"/>
      <c r="D659" s="5"/>
      <c r="E659" s="5"/>
      <c r="F659" s="5"/>
      <c r="G659" s="5"/>
    </row>
    <row r="660" spans="2:7" ht="13">
      <c r="B660" s="36"/>
      <c r="C660" s="80"/>
      <c r="D660" s="5"/>
      <c r="E660" s="5"/>
      <c r="F660" s="5"/>
      <c r="G660" s="5"/>
    </row>
    <row r="661" spans="2:7" ht="13">
      <c r="B661" s="36"/>
      <c r="C661" s="80"/>
      <c r="D661" s="5"/>
      <c r="E661" s="5"/>
      <c r="F661" s="5"/>
      <c r="G661" s="5"/>
    </row>
    <row r="662" spans="2:7" ht="13">
      <c r="B662" s="36"/>
      <c r="C662" s="80"/>
      <c r="D662" s="5"/>
      <c r="E662" s="5"/>
      <c r="F662" s="5"/>
      <c r="G662" s="5"/>
    </row>
    <row r="663" spans="2:7" ht="13">
      <c r="B663" s="36"/>
      <c r="C663" s="80"/>
      <c r="D663" s="5"/>
      <c r="E663" s="5"/>
      <c r="F663" s="5"/>
      <c r="G663" s="5"/>
    </row>
    <row r="664" spans="2:7" ht="13">
      <c r="B664" s="36"/>
      <c r="C664" s="80"/>
      <c r="D664" s="5"/>
      <c r="E664" s="5"/>
      <c r="F664" s="5"/>
      <c r="G664" s="5"/>
    </row>
    <row r="665" spans="2:7" ht="13">
      <c r="B665" s="36"/>
      <c r="C665" s="80"/>
      <c r="D665" s="5"/>
      <c r="E665" s="5"/>
      <c r="F665" s="5"/>
      <c r="G665" s="5"/>
    </row>
    <row r="666" spans="2:7" ht="13">
      <c r="B666" s="36"/>
      <c r="C666" s="80"/>
      <c r="D666" s="5"/>
      <c r="E666" s="5"/>
      <c r="F666" s="5"/>
      <c r="G666" s="5"/>
    </row>
    <row r="667" spans="2:7" ht="13">
      <c r="B667" s="36"/>
      <c r="C667" s="80"/>
      <c r="D667" s="5"/>
      <c r="E667" s="5"/>
      <c r="F667" s="5"/>
      <c r="G667" s="5"/>
    </row>
    <row r="668" spans="2:7" ht="13">
      <c r="B668" s="36"/>
      <c r="C668" s="80"/>
      <c r="D668" s="5"/>
      <c r="E668" s="5"/>
      <c r="F668" s="5"/>
      <c r="G668" s="5"/>
    </row>
    <row r="669" spans="2:7" ht="13">
      <c r="B669" s="36"/>
      <c r="C669" s="80"/>
      <c r="D669" s="5"/>
      <c r="E669" s="5"/>
      <c r="F669" s="5"/>
      <c r="G669" s="5"/>
    </row>
    <row r="670" spans="2:7" ht="13">
      <c r="B670" s="36"/>
      <c r="C670" s="80"/>
      <c r="D670" s="5"/>
      <c r="E670" s="5"/>
      <c r="F670" s="5"/>
      <c r="G670" s="5"/>
    </row>
    <row r="671" spans="2:7" ht="13">
      <c r="B671" s="36"/>
      <c r="C671" s="80"/>
      <c r="D671" s="5"/>
      <c r="E671" s="5"/>
      <c r="F671" s="5"/>
      <c r="G671" s="5"/>
    </row>
    <row r="672" spans="2:7" ht="13">
      <c r="B672" s="36"/>
      <c r="C672" s="80"/>
      <c r="D672" s="5"/>
      <c r="E672" s="5"/>
      <c r="F672" s="5"/>
      <c r="G672" s="5"/>
    </row>
    <row r="673" spans="2:7" ht="13">
      <c r="B673" s="36"/>
      <c r="C673" s="80"/>
      <c r="D673" s="5"/>
      <c r="E673" s="5"/>
      <c r="F673" s="5"/>
      <c r="G673" s="5"/>
    </row>
    <row r="674" spans="2:7" ht="13">
      <c r="B674" s="36"/>
      <c r="C674" s="80"/>
      <c r="D674" s="5"/>
      <c r="E674" s="5"/>
      <c r="F674" s="5"/>
      <c r="G674" s="5"/>
    </row>
    <row r="675" spans="2:7" ht="13">
      <c r="B675" s="36"/>
      <c r="C675" s="80"/>
      <c r="D675" s="5"/>
      <c r="E675" s="5"/>
      <c r="F675" s="5"/>
      <c r="G675" s="5"/>
    </row>
    <row r="676" spans="2:7" ht="13">
      <c r="B676" s="36"/>
      <c r="C676" s="80"/>
      <c r="D676" s="5"/>
      <c r="E676" s="5"/>
      <c r="F676" s="5"/>
      <c r="G676" s="5"/>
    </row>
    <row r="677" spans="2:7" ht="13">
      <c r="B677" s="36"/>
      <c r="C677" s="80"/>
      <c r="D677" s="5"/>
      <c r="E677" s="5"/>
      <c r="F677" s="5"/>
      <c r="G677" s="5"/>
    </row>
    <row r="678" spans="2:7" ht="13">
      <c r="B678" s="36"/>
      <c r="C678" s="80"/>
      <c r="D678" s="5"/>
      <c r="E678" s="5"/>
      <c r="F678" s="5"/>
      <c r="G678" s="5"/>
    </row>
    <row r="679" spans="2:7" ht="13">
      <c r="B679" s="36"/>
      <c r="C679" s="80"/>
      <c r="D679" s="5"/>
      <c r="E679" s="5"/>
      <c r="F679" s="5"/>
      <c r="G679" s="5"/>
    </row>
    <row r="680" spans="2:7" ht="13">
      <c r="B680" s="36"/>
      <c r="C680" s="80"/>
      <c r="D680" s="5"/>
      <c r="E680" s="5"/>
      <c r="F680" s="5"/>
      <c r="G680" s="5"/>
    </row>
    <row r="681" spans="2:7" ht="13">
      <c r="B681" s="36"/>
      <c r="C681" s="80"/>
      <c r="D681" s="5"/>
      <c r="E681" s="5"/>
      <c r="F681" s="5"/>
      <c r="G681" s="5"/>
    </row>
    <row r="682" spans="2:7" ht="13">
      <c r="B682" s="36"/>
      <c r="C682" s="80"/>
      <c r="D682" s="5"/>
      <c r="E682" s="5"/>
      <c r="F682" s="5"/>
      <c r="G682" s="5"/>
    </row>
    <row r="683" spans="2:7" ht="13">
      <c r="B683" s="36"/>
      <c r="C683" s="80"/>
      <c r="D683" s="5"/>
      <c r="E683" s="5"/>
      <c r="F683" s="5"/>
      <c r="G683" s="5"/>
    </row>
    <row r="684" spans="2:7" ht="13">
      <c r="B684" s="36"/>
      <c r="C684" s="80"/>
      <c r="D684" s="5"/>
      <c r="E684" s="5"/>
      <c r="F684" s="5"/>
      <c r="G684" s="5"/>
    </row>
    <row r="685" spans="2:7" ht="13">
      <c r="B685" s="36"/>
      <c r="C685" s="80"/>
      <c r="D685" s="5"/>
      <c r="E685" s="5"/>
      <c r="F685" s="5"/>
      <c r="G685" s="5"/>
    </row>
    <row r="686" spans="2:7" ht="13">
      <c r="B686" s="36"/>
      <c r="C686" s="80"/>
      <c r="D686" s="5"/>
      <c r="E686" s="5"/>
      <c r="F686" s="5"/>
      <c r="G686" s="5"/>
    </row>
    <row r="687" spans="2:7" ht="13">
      <c r="B687" s="36"/>
      <c r="C687" s="80"/>
      <c r="D687" s="5"/>
      <c r="E687" s="5"/>
      <c r="F687" s="5"/>
      <c r="G687" s="5"/>
    </row>
    <row r="688" spans="2:7" ht="13">
      <c r="B688" s="36"/>
      <c r="C688" s="80"/>
      <c r="D688" s="5"/>
      <c r="E688" s="5"/>
      <c r="F688" s="5"/>
      <c r="G688" s="5"/>
    </row>
    <row r="689" spans="2:7" ht="13">
      <c r="B689" s="36"/>
      <c r="C689" s="80"/>
      <c r="D689" s="5"/>
      <c r="E689" s="5"/>
      <c r="F689" s="5"/>
      <c r="G689" s="5"/>
    </row>
    <row r="690" spans="2:7" ht="13">
      <c r="B690" s="36"/>
      <c r="C690" s="80"/>
      <c r="D690" s="5"/>
      <c r="E690" s="5"/>
      <c r="F690" s="5"/>
      <c r="G690" s="5"/>
    </row>
    <row r="691" spans="2:7" ht="13">
      <c r="B691" s="36"/>
      <c r="C691" s="80"/>
      <c r="D691" s="5"/>
      <c r="E691" s="5"/>
      <c r="F691" s="5"/>
      <c r="G691" s="5"/>
    </row>
    <row r="692" spans="2:7" ht="13">
      <c r="B692" s="36"/>
      <c r="C692" s="80"/>
      <c r="D692" s="5"/>
      <c r="E692" s="5"/>
      <c r="F692" s="5"/>
      <c r="G692" s="5"/>
    </row>
    <row r="693" spans="2:7" ht="13">
      <c r="B693" s="36"/>
      <c r="C693" s="80"/>
      <c r="D693" s="5"/>
      <c r="E693" s="5"/>
      <c r="F693" s="5"/>
      <c r="G693" s="5"/>
    </row>
    <row r="694" spans="2:7" ht="13">
      <c r="B694" s="36"/>
      <c r="C694" s="80"/>
      <c r="D694" s="5"/>
      <c r="E694" s="5"/>
      <c r="F694" s="5"/>
      <c r="G694" s="5"/>
    </row>
    <row r="695" spans="2:7" ht="13">
      <c r="B695" s="36"/>
      <c r="C695" s="80"/>
      <c r="D695" s="5"/>
      <c r="E695" s="5"/>
      <c r="F695" s="5"/>
      <c r="G695" s="5"/>
    </row>
    <row r="696" spans="2:7" ht="13">
      <c r="B696" s="36"/>
      <c r="C696" s="80"/>
      <c r="D696" s="5"/>
      <c r="E696" s="5"/>
      <c r="F696" s="5"/>
      <c r="G696" s="5"/>
    </row>
    <row r="697" spans="2:7" ht="13">
      <c r="B697" s="36"/>
      <c r="C697" s="80"/>
      <c r="D697" s="5"/>
      <c r="E697" s="5"/>
      <c r="F697" s="5"/>
      <c r="G697" s="5"/>
    </row>
    <row r="698" spans="2:7" ht="13">
      <c r="B698" s="36"/>
      <c r="C698" s="80"/>
      <c r="D698" s="5"/>
      <c r="E698" s="5"/>
      <c r="F698" s="5"/>
      <c r="G698" s="5"/>
    </row>
    <row r="699" spans="2:7" ht="13">
      <c r="B699" s="36"/>
      <c r="C699" s="80"/>
      <c r="D699" s="5"/>
      <c r="E699" s="5"/>
      <c r="F699" s="5"/>
      <c r="G699" s="5"/>
    </row>
    <row r="700" spans="2:7" ht="13">
      <c r="B700" s="36"/>
      <c r="C700" s="80"/>
      <c r="D700" s="5"/>
      <c r="E700" s="5"/>
      <c r="F700" s="5"/>
      <c r="G700" s="5"/>
    </row>
    <row r="701" spans="2:7" ht="13">
      <c r="B701" s="36"/>
      <c r="C701" s="80"/>
      <c r="D701" s="5"/>
      <c r="E701" s="5"/>
      <c r="F701" s="5"/>
      <c r="G701" s="5"/>
    </row>
    <row r="702" spans="2:7" ht="13">
      <c r="B702" s="36"/>
      <c r="C702" s="80"/>
      <c r="D702" s="5"/>
      <c r="E702" s="5"/>
      <c r="F702" s="5"/>
      <c r="G702" s="5"/>
    </row>
    <row r="703" spans="2:7" ht="13">
      <c r="B703" s="36"/>
      <c r="C703" s="80"/>
      <c r="D703" s="5"/>
      <c r="E703" s="5"/>
      <c r="F703" s="5"/>
      <c r="G703" s="5"/>
    </row>
    <row r="704" spans="2:7" ht="13">
      <c r="B704" s="36"/>
      <c r="C704" s="80"/>
      <c r="D704" s="5"/>
      <c r="E704" s="5"/>
      <c r="F704" s="5"/>
      <c r="G704" s="5"/>
    </row>
    <row r="705" spans="2:7" ht="13">
      <c r="B705" s="36"/>
      <c r="C705" s="80"/>
      <c r="D705" s="5"/>
      <c r="E705" s="5"/>
      <c r="F705" s="5"/>
      <c r="G705" s="5"/>
    </row>
    <row r="706" spans="2:7" ht="13">
      <c r="B706" s="36"/>
      <c r="C706" s="80"/>
      <c r="D706" s="5"/>
      <c r="E706" s="5"/>
      <c r="F706" s="5"/>
      <c r="G706" s="5"/>
    </row>
    <row r="707" spans="2:7" ht="13">
      <c r="B707" s="36"/>
      <c r="C707" s="80"/>
      <c r="D707" s="5"/>
      <c r="E707" s="5"/>
      <c r="F707" s="5"/>
      <c r="G707" s="5"/>
    </row>
    <row r="708" spans="2:7" ht="13">
      <c r="B708" s="36"/>
      <c r="C708" s="80"/>
      <c r="D708" s="5"/>
      <c r="E708" s="5"/>
      <c r="F708" s="5"/>
      <c r="G708" s="5"/>
    </row>
    <row r="709" spans="2:7" ht="13">
      <c r="B709" s="36"/>
      <c r="C709" s="80"/>
      <c r="D709" s="5"/>
      <c r="E709" s="5"/>
      <c r="F709" s="5"/>
      <c r="G709" s="5"/>
    </row>
    <row r="710" spans="2:7" ht="13">
      <c r="B710" s="36"/>
      <c r="C710" s="80"/>
      <c r="D710" s="5"/>
      <c r="E710" s="5"/>
      <c r="F710" s="5"/>
      <c r="G710" s="5"/>
    </row>
    <row r="711" spans="2:7" ht="13">
      <c r="B711" s="36"/>
      <c r="C711" s="80"/>
      <c r="D711" s="5"/>
      <c r="E711" s="5"/>
      <c r="F711" s="5"/>
      <c r="G711" s="5"/>
    </row>
    <row r="712" spans="2:7" ht="13">
      <c r="B712" s="36"/>
      <c r="C712" s="80"/>
      <c r="D712" s="5"/>
      <c r="E712" s="5"/>
      <c r="F712" s="5"/>
      <c r="G712" s="5"/>
    </row>
    <row r="713" spans="2:7" ht="13">
      <c r="B713" s="36"/>
      <c r="C713" s="80"/>
      <c r="D713" s="5"/>
      <c r="E713" s="5"/>
      <c r="F713" s="5"/>
      <c r="G713" s="5"/>
    </row>
    <row r="714" spans="2:7" ht="13">
      <c r="B714" s="36"/>
      <c r="C714" s="80"/>
      <c r="D714" s="5"/>
      <c r="E714" s="5"/>
      <c r="F714" s="5"/>
      <c r="G714" s="5"/>
    </row>
    <row r="715" spans="2:7" ht="13">
      <c r="B715" s="36"/>
      <c r="C715" s="80"/>
      <c r="D715" s="5"/>
      <c r="E715" s="5"/>
      <c r="F715" s="5"/>
      <c r="G715" s="5"/>
    </row>
    <row r="716" spans="2:7" ht="13">
      <c r="B716" s="36"/>
      <c r="C716" s="80"/>
      <c r="D716" s="5"/>
      <c r="E716" s="5"/>
      <c r="F716" s="5"/>
      <c r="G716" s="5"/>
    </row>
    <row r="717" spans="2:7" ht="13">
      <c r="B717" s="36"/>
      <c r="C717" s="80"/>
      <c r="D717" s="5"/>
      <c r="E717" s="5"/>
      <c r="F717" s="5"/>
      <c r="G717" s="5"/>
    </row>
    <row r="718" spans="2:7" ht="13">
      <c r="B718" s="36"/>
      <c r="C718" s="80"/>
      <c r="D718" s="5"/>
      <c r="E718" s="5"/>
      <c r="F718" s="5"/>
      <c r="G718" s="5"/>
    </row>
    <row r="719" spans="2:7" ht="13">
      <c r="B719" s="36"/>
      <c r="C719" s="80"/>
      <c r="D719" s="5"/>
      <c r="E719" s="5"/>
      <c r="F719" s="5"/>
      <c r="G719" s="5"/>
    </row>
    <row r="720" spans="2:7" ht="13">
      <c r="B720" s="36"/>
      <c r="C720" s="80"/>
      <c r="D720" s="5"/>
      <c r="E720" s="5"/>
      <c r="F720" s="5"/>
      <c r="G720" s="5"/>
    </row>
    <row r="721" spans="2:7" ht="13">
      <c r="B721" s="36"/>
      <c r="C721" s="80"/>
      <c r="D721" s="5"/>
      <c r="E721" s="5"/>
      <c r="F721" s="5"/>
      <c r="G721" s="5"/>
    </row>
    <row r="722" spans="2:7" ht="13">
      <c r="B722" s="36"/>
      <c r="C722" s="80"/>
      <c r="D722" s="5"/>
      <c r="E722" s="5"/>
      <c r="F722" s="5"/>
      <c r="G722" s="5"/>
    </row>
    <row r="723" spans="2:7" ht="13">
      <c r="B723" s="36"/>
      <c r="C723" s="80"/>
      <c r="D723" s="5"/>
      <c r="E723" s="5"/>
      <c r="F723" s="5"/>
      <c r="G723" s="5"/>
    </row>
    <row r="724" spans="2:7" ht="13">
      <c r="B724" s="36"/>
      <c r="C724" s="80"/>
      <c r="D724" s="5"/>
      <c r="E724" s="5"/>
      <c r="F724" s="5"/>
      <c r="G724" s="5"/>
    </row>
    <row r="725" spans="2:7" ht="13">
      <c r="B725" s="36"/>
      <c r="C725" s="80"/>
      <c r="D725" s="5"/>
      <c r="E725" s="5"/>
      <c r="F725" s="5"/>
      <c r="G725" s="5"/>
    </row>
    <row r="726" spans="2:7" ht="13">
      <c r="B726" s="36"/>
      <c r="C726" s="80"/>
      <c r="D726" s="5"/>
      <c r="E726" s="5"/>
      <c r="F726" s="5"/>
      <c r="G726" s="5"/>
    </row>
    <row r="727" spans="2:7" ht="13">
      <c r="B727" s="36"/>
      <c r="C727" s="80"/>
      <c r="D727" s="5"/>
      <c r="E727" s="5"/>
      <c r="F727" s="5"/>
      <c r="G727" s="5"/>
    </row>
    <row r="728" spans="2:7" ht="13">
      <c r="B728" s="36"/>
      <c r="C728" s="80"/>
      <c r="D728" s="5"/>
      <c r="E728" s="5"/>
      <c r="F728" s="5"/>
      <c r="G728" s="5"/>
    </row>
    <row r="729" spans="2:7" ht="13">
      <c r="B729" s="36"/>
      <c r="C729" s="80"/>
      <c r="D729" s="5"/>
      <c r="E729" s="5"/>
      <c r="F729" s="5"/>
      <c r="G729" s="5"/>
    </row>
    <row r="730" spans="2:7" ht="13">
      <c r="B730" s="36"/>
      <c r="C730" s="80"/>
      <c r="D730" s="5"/>
      <c r="E730" s="5"/>
      <c r="F730" s="5"/>
      <c r="G730" s="5"/>
    </row>
    <row r="731" spans="2:7" ht="13">
      <c r="B731" s="36"/>
      <c r="C731" s="80"/>
      <c r="D731" s="5"/>
      <c r="E731" s="5"/>
      <c r="F731" s="5"/>
      <c r="G731" s="5"/>
    </row>
    <row r="732" spans="2:7" ht="13">
      <c r="B732" s="36"/>
      <c r="C732" s="80"/>
      <c r="D732" s="5"/>
      <c r="E732" s="5"/>
      <c r="F732" s="5"/>
      <c r="G732" s="5"/>
    </row>
    <row r="733" spans="2:7" ht="13">
      <c r="B733" s="36"/>
      <c r="C733" s="80"/>
      <c r="D733" s="5"/>
      <c r="E733" s="5"/>
      <c r="F733" s="5"/>
      <c r="G733" s="5"/>
    </row>
    <row r="734" spans="2:7" ht="13">
      <c r="B734" s="36"/>
      <c r="C734" s="80"/>
      <c r="D734" s="5"/>
      <c r="E734" s="5"/>
      <c r="F734" s="5"/>
      <c r="G734" s="5"/>
    </row>
    <row r="735" spans="2:7" ht="13">
      <c r="B735" s="36"/>
      <c r="C735" s="80"/>
      <c r="D735" s="5"/>
      <c r="E735" s="5"/>
      <c r="F735" s="5"/>
      <c r="G735" s="5"/>
    </row>
    <row r="736" spans="2:7" ht="13">
      <c r="B736" s="36"/>
      <c r="C736" s="80"/>
      <c r="D736" s="5"/>
      <c r="E736" s="5"/>
      <c r="F736" s="5"/>
      <c r="G736" s="5"/>
    </row>
    <row r="737" spans="2:7" ht="13">
      <c r="B737" s="36"/>
      <c r="C737" s="80"/>
      <c r="D737" s="5"/>
      <c r="E737" s="5"/>
      <c r="F737" s="5"/>
      <c r="G737" s="5"/>
    </row>
    <row r="738" spans="2:7" ht="13">
      <c r="B738" s="36"/>
      <c r="C738" s="80"/>
      <c r="D738" s="5"/>
      <c r="E738" s="5"/>
      <c r="F738" s="5"/>
      <c r="G738" s="5"/>
    </row>
    <row r="739" spans="2:7" ht="13">
      <c r="B739" s="36"/>
      <c r="C739" s="80"/>
      <c r="D739" s="5"/>
      <c r="E739" s="5"/>
      <c r="F739" s="5"/>
      <c r="G739" s="5"/>
    </row>
    <row r="740" spans="2:7" ht="13">
      <c r="B740" s="36"/>
      <c r="C740" s="80"/>
      <c r="D740" s="5"/>
      <c r="E740" s="5"/>
      <c r="F740" s="5"/>
      <c r="G740" s="5"/>
    </row>
    <row r="741" spans="2:7" ht="13">
      <c r="B741" s="36"/>
      <c r="C741" s="80"/>
      <c r="D741" s="5"/>
      <c r="E741" s="5"/>
      <c r="F741" s="5"/>
      <c r="G741" s="5"/>
    </row>
    <row r="742" spans="2:7" ht="13">
      <c r="B742" s="36"/>
      <c r="C742" s="80"/>
      <c r="D742" s="5"/>
      <c r="E742" s="5"/>
      <c r="F742" s="5"/>
      <c r="G742" s="5"/>
    </row>
    <row r="743" spans="2:7" ht="13">
      <c r="B743" s="36"/>
      <c r="C743" s="80"/>
      <c r="D743" s="5"/>
      <c r="E743" s="5"/>
      <c r="F743" s="5"/>
      <c r="G743" s="5"/>
    </row>
    <row r="744" spans="2:7" ht="13">
      <c r="B744" s="36"/>
      <c r="C744" s="80"/>
      <c r="D744" s="5"/>
      <c r="E744" s="5"/>
      <c r="F744" s="5"/>
      <c r="G744" s="5"/>
    </row>
    <row r="745" spans="2:7" ht="13">
      <c r="B745" s="36"/>
      <c r="C745" s="80"/>
      <c r="D745" s="5"/>
      <c r="E745" s="5"/>
      <c r="F745" s="5"/>
      <c r="G745" s="5"/>
    </row>
    <row r="746" spans="2:7" ht="13">
      <c r="B746" s="36"/>
      <c r="C746" s="80"/>
      <c r="D746" s="5"/>
      <c r="E746" s="5"/>
      <c r="F746" s="5"/>
      <c r="G746" s="5"/>
    </row>
    <row r="747" spans="2:7" ht="13">
      <c r="B747" s="36"/>
      <c r="C747" s="80"/>
      <c r="D747" s="5"/>
      <c r="E747" s="5"/>
      <c r="F747" s="5"/>
      <c r="G747" s="5"/>
    </row>
    <row r="748" spans="2:7" ht="13">
      <c r="B748" s="36"/>
      <c r="C748" s="80"/>
      <c r="D748" s="5"/>
      <c r="E748" s="5"/>
      <c r="F748" s="5"/>
      <c r="G748" s="5"/>
    </row>
    <row r="749" spans="2:7" ht="13">
      <c r="B749" s="36"/>
      <c r="C749" s="80"/>
      <c r="D749" s="5"/>
      <c r="E749" s="5"/>
      <c r="F749" s="5"/>
      <c r="G749" s="5"/>
    </row>
    <row r="750" spans="2:7" ht="13">
      <c r="B750" s="36"/>
      <c r="C750" s="80"/>
      <c r="D750" s="5"/>
      <c r="E750" s="5"/>
      <c r="F750" s="5"/>
      <c r="G750" s="5"/>
    </row>
    <row r="751" spans="2:7" ht="13">
      <c r="B751" s="36"/>
      <c r="C751" s="80"/>
      <c r="D751" s="5"/>
      <c r="E751" s="5"/>
      <c r="F751" s="5"/>
      <c r="G751" s="5"/>
    </row>
    <row r="752" spans="2:7" ht="13">
      <c r="B752" s="36"/>
      <c r="C752" s="80"/>
      <c r="D752" s="5"/>
      <c r="E752" s="5"/>
      <c r="F752" s="5"/>
      <c r="G752" s="5"/>
    </row>
    <row r="753" spans="2:7" ht="13">
      <c r="B753" s="36"/>
      <c r="C753" s="80"/>
      <c r="D753" s="5"/>
      <c r="E753" s="5"/>
      <c r="F753" s="5"/>
      <c r="G753" s="5"/>
    </row>
    <row r="754" spans="2:7" ht="13">
      <c r="B754" s="36"/>
      <c r="C754" s="80"/>
      <c r="D754" s="5"/>
      <c r="E754" s="5"/>
      <c r="F754" s="5"/>
      <c r="G754" s="5"/>
    </row>
    <row r="755" spans="2:7" ht="13">
      <c r="B755" s="36"/>
      <c r="C755" s="80"/>
      <c r="D755" s="5"/>
      <c r="E755" s="5"/>
      <c r="F755" s="5"/>
      <c r="G755" s="5"/>
    </row>
    <row r="756" spans="2:7" ht="13">
      <c r="B756" s="36"/>
      <c r="C756" s="80"/>
      <c r="D756" s="5"/>
      <c r="E756" s="5"/>
      <c r="F756" s="5"/>
      <c r="G756" s="5"/>
    </row>
    <row r="757" spans="2:7" ht="13">
      <c r="B757" s="36"/>
      <c r="C757" s="80"/>
      <c r="D757" s="5"/>
      <c r="E757" s="5"/>
      <c r="F757" s="5"/>
      <c r="G757" s="5"/>
    </row>
    <row r="758" spans="2:7" ht="13">
      <c r="B758" s="36"/>
      <c r="C758" s="80"/>
      <c r="D758" s="5"/>
      <c r="E758" s="5"/>
      <c r="F758" s="5"/>
      <c r="G758" s="5"/>
    </row>
    <row r="759" spans="2:7" ht="13">
      <c r="B759" s="36"/>
      <c r="C759" s="80"/>
      <c r="D759" s="5"/>
      <c r="E759" s="5"/>
      <c r="F759" s="5"/>
      <c r="G759" s="5"/>
    </row>
    <row r="760" spans="2:7" ht="13">
      <c r="B760" s="36"/>
      <c r="C760" s="80"/>
      <c r="D760" s="5"/>
      <c r="E760" s="5"/>
      <c r="F760" s="5"/>
      <c r="G760" s="5"/>
    </row>
    <row r="761" spans="2:7" ht="13">
      <c r="B761" s="36"/>
      <c r="C761" s="80"/>
      <c r="D761" s="5"/>
      <c r="E761" s="5"/>
      <c r="F761" s="5"/>
      <c r="G761" s="5"/>
    </row>
    <row r="762" spans="2:7" ht="13">
      <c r="B762" s="36"/>
      <c r="C762" s="80"/>
      <c r="D762" s="5"/>
      <c r="E762" s="5"/>
      <c r="F762" s="5"/>
      <c r="G762" s="5"/>
    </row>
    <row r="763" spans="2:7" ht="13">
      <c r="B763" s="36"/>
      <c r="C763" s="80"/>
      <c r="D763" s="5"/>
      <c r="E763" s="5"/>
      <c r="F763" s="5"/>
      <c r="G763" s="5"/>
    </row>
    <row r="764" spans="2:7" ht="13">
      <c r="B764" s="36"/>
      <c r="C764" s="80"/>
      <c r="D764" s="5"/>
      <c r="E764" s="5"/>
      <c r="F764" s="5"/>
      <c r="G764" s="5"/>
    </row>
    <row r="765" spans="2:7" ht="13">
      <c r="B765" s="36"/>
      <c r="C765" s="80"/>
      <c r="D765" s="5"/>
      <c r="E765" s="5"/>
      <c r="F765" s="5"/>
      <c r="G765" s="5"/>
    </row>
    <row r="766" spans="2:7" ht="13">
      <c r="B766" s="36"/>
      <c r="C766" s="80"/>
      <c r="D766" s="5"/>
      <c r="E766" s="5"/>
      <c r="F766" s="5"/>
      <c r="G766" s="5"/>
    </row>
    <row r="767" spans="2:7" ht="13">
      <c r="B767" s="36"/>
      <c r="C767" s="80"/>
      <c r="D767" s="5"/>
      <c r="E767" s="5"/>
      <c r="F767" s="5"/>
      <c r="G767" s="5"/>
    </row>
    <row r="768" spans="2:7" ht="13">
      <c r="B768" s="36"/>
      <c r="C768" s="80"/>
      <c r="D768" s="5"/>
      <c r="E768" s="5"/>
      <c r="F768" s="5"/>
      <c r="G768" s="5"/>
    </row>
    <row r="769" spans="2:7" ht="13">
      <c r="B769" s="36"/>
      <c r="C769" s="80"/>
      <c r="D769" s="5"/>
      <c r="E769" s="5"/>
      <c r="F769" s="5"/>
      <c r="G769" s="5"/>
    </row>
    <row r="770" spans="2:7" ht="13">
      <c r="B770" s="36"/>
      <c r="C770" s="80"/>
      <c r="D770" s="5"/>
      <c r="E770" s="5"/>
      <c r="F770" s="5"/>
      <c r="G770" s="5"/>
    </row>
    <row r="771" spans="2:7" ht="13">
      <c r="B771" s="36"/>
      <c r="C771" s="80"/>
      <c r="D771" s="5"/>
      <c r="E771" s="5"/>
      <c r="F771" s="5"/>
      <c r="G771" s="5"/>
    </row>
    <row r="772" spans="2:7" ht="13">
      <c r="B772" s="36"/>
      <c r="C772" s="80"/>
      <c r="D772" s="5"/>
      <c r="E772" s="5"/>
      <c r="F772" s="5"/>
      <c r="G772" s="5"/>
    </row>
    <row r="773" spans="2:7" ht="13">
      <c r="B773" s="36"/>
      <c r="C773" s="80"/>
      <c r="D773" s="5"/>
      <c r="E773" s="5"/>
      <c r="F773" s="5"/>
      <c r="G773" s="5"/>
    </row>
    <row r="774" spans="2:7" ht="13">
      <c r="B774" s="36"/>
      <c r="C774" s="80"/>
      <c r="D774" s="5"/>
      <c r="E774" s="5"/>
      <c r="F774" s="5"/>
      <c r="G774" s="5"/>
    </row>
    <row r="775" spans="2:7" ht="13">
      <c r="B775" s="36"/>
      <c r="C775" s="80"/>
      <c r="D775" s="5"/>
      <c r="E775" s="5"/>
      <c r="F775" s="5"/>
      <c r="G775" s="5"/>
    </row>
    <row r="776" spans="2:7" ht="13">
      <c r="B776" s="36"/>
      <c r="C776" s="80"/>
      <c r="D776" s="5"/>
      <c r="E776" s="5"/>
      <c r="F776" s="5"/>
      <c r="G776" s="5"/>
    </row>
    <row r="777" spans="2:7" ht="13">
      <c r="B777" s="36"/>
      <c r="C777" s="80"/>
      <c r="D777" s="5"/>
      <c r="E777" s="5"/>
      <c r="F777" s="5"/>
      <c r="G777" s="5"/>
    </row>
    <row r="778" spans="2:7" ht="13">
      <c r="B778" s="36"/>
      <c r="C778" s="80"/>
      <c r="D778" s="5"/>
      <c r="E778" s="5"/>
      <c r="F778" s="5"/>
      <c r="G778" s="5"/>
    </row>
    <row r="779" spans="2:7" ht="13">
      <c r="B779" s="36"/>
      <c r="C779" s="80"/>
      <c r="D779" s="5"/>
      <c r="E779" s="5"/>
      <c r="F779" s="5"/>
      <c r="G779" s="5"/>
    </row>
    <row r="780" spans="2:7" ht="13">
      <c r="B780" s="36"/>
      <c r="C780" s="80"/>
      <c r="D780" s="5"/>
      <c r="E780" s="5"/>
      <c r="F780" s="5"/>
      <c r="G780" s="5"/>
    </row>
    <row r="781" spans="2:7" ht="13">
      <c r="B781" s="36"/>
      <c r="C781" s="80"/>
      <c r="D781" s="5"/>
      <c r="E781" s="5"/>
      <c r="F781" s="5"/>
      <c r="G781" s="5"/>
    </row>
    <row r="782" spans="2:7" ht="13">
      <c r="B782" s="36"/>
      <c r="C782" s="80"/>
      <c r="D782" s="5"/>
      <c r="E782" s="5"/>
      <c r="F782" s="5"/>
      <c r="G782" s="5"/>
    </row>
    <row r="783" spans="2:7" ht="13">
      <c r="B783" s="36"/>
      <c r="C783" s="80"/>
      <c r="D783" s="5"/>
      <c r="E783" s="5"/>
      <c r="F783" s="5"/>
      <c r="G783" s="5"/>
    </row>
    <row r="784" spans="2:7" ht="13">
      <c r="B784" s="36"/>
      <c r="C784" s="80"/>
      <c r="D784" s="5"/>
      <c r="E784" s="5"/>
      <c r="F784" s="5"/>
      <c r="G784" s="5"/>
    </row>
    <row r="785" spans="2:7" ht="13">
      <c r="B785" s="36"/>
      <c r="C785" s="80"/>
      <c r="D785" s="5"/>
      <c r="E785" s="5"/>
      <c r="F785" s="5"/>
      <c r="G785" s="5"/>
    </row>
    <row r="786" spans="2:7" ht="13">
      <c r="B786" s="36"/>
      <c r="C786" s="80"/>
      <c r="D786" s="5"/>
      <c r="E786" s="5"/>
      <c r="F786" s="5"/>
      <c r="G786" s="5"/>
    </row>
    <row r="787" spans="2:7" ht="13">
      <c r="B787" s="36"/>
      <c r="C787" s="80"/>
      <c r="D787" s="5"/>
      <c r="E787" s="5"/>
      <c r="F787" s="5"/>
      <c r="G787" s="5"/>
    </row>
    <row r="788" spans="2:7" ht="13">
      <c r="B788" s="36"/>
      <c r="C788" s="80"/>
      <c r="D788" s="5"/>
      <c r="E788" s="5"/>
      <c r="F788" s="5"/>
      <c r="G788" s="5"/>
    </row>
    <row r="789" spans="2:7" ht="13">
      <c r="B789" s="36"/>
      <c r="C789" s="80"/>
      <c r="D789" s="5"/>
      <c r="E789" s="5"/>
      <c r="F789" s="5"/>
      <c r="G789" s="5"/>
    </row>
    <row r="790" spans="2:7" ht="13">
      <c r="B790" s="36"/>
      <c r="C790" s="80"/>
      <c r="D790" s="5"/>
      <c r="E790" s="5"/>
      <c r="F790" s="5"/>
      <c r="G790" s="5"/>
    </row>
    <row r="791" spans="2:7" ht="13">
      <c r="B791" s="36"/>
      <c r="C791" s="80"/>
      <c r="D791" s="5"/>
      <c r="E791" s="5"/>
      <c r="F791" s="5"/>
      <c r="G791" s="5"/>
    </row>
    <row r="792" spans="2:7" ht="13">
      <c r="B792" s="36"/>
      <c r="C792" s="80"/>
      <c r="D792" s="5"/>
      <c r="E792" s="5"/>
      <c r="F792" s="5"/>
      <c r="G792" s="5"/>
    </row>
    <row r="793" spans="2:7" ht="13">
      <c r="B793" s="36"/>
      <c r="C793" s="80"/>
      <c r="D793" s="5"/>
      <c r="E793" s="5"/>
      <c r="F793" s="5"/>
      <c r="G793" s="5"/>
    </row>
    <row r="794" spans="2:7" ht="13">
      <c r="B794" s="36"/>
      <c r="C794" s="80"/>
      <c r="D794" s="5"/>
      <c r="E794" s="5"/>
      <c r="F794" s="5"/>
      <c r="G794" s="5"/>
    </row>
    <row r="795" spans="2:7" ht="13">
      <c r="B795" s="36"/>
      <c r="C795" s="80"/>
      <c r="D795" s="5"/>
      <c r="E795" s="5"/>
      <c r="F795" s="5"/>
      <c r="G795" s="5"/>
    </row>
    <row r="796" spans="2:7" ht="13">
      <c r="B796" s="36"/>
      <c r="C796" s="80"/>
      <c r="D796" s="5"/>
      <c r="E796" s="5"/>
      <c r="F796" s="5"/>
      <c r="G796" s="5"/>
    </row>
    <row r="797" spans="2:7" ht="13">
      <c r="B797" s="36"/>
      <c r="C797" s="80"/>
      <c r="D797" s="5"/>
      <c r="E797" s="5"/>
      <c r="F797" s="5"/>
      <c r="G797" s="5"/>
    </row>
    <row r="798" spans="2:7" ht="13">
      <c r="B798" s="36"/>
      <c r="C798" s="80"/>
      <c r="D798" s="5"/>
      <c r="E798" s="5"/>
      <c r="F798" s="5"/>
      <c r="G798" s="5"/>
    </row>
    <row r="799" spans="2:7" ht="13">
      <c r="B799" s="36"/>
      <c r="C799" s="80"/>
      <c r="D799" s="5"/>
      <c r="E799" s="5"/>
      <c r="F799" s="5"/>
      <c r="G799" s="5"/>
    </row>
    <row r="800" spans="2:7" ht="13">
      <c r="B800" s="36"/>
      <c r="C800" s="80"/>
      <c r="D800" s="5"/>
      <c r="E800" s="5"/>
      <c r="F800" s="5"/>
      <c r="G800" s="5"/>
    </row>
    <row r="801" spans="2:7" ht="13">
      <c r="B801" s="36"/>
      <c r="C801" s="80"/>
      <c r="D801" s="5"/>
      <c r="E801" s="5"/>
      <c r="F801" s="5"/>
      <c r="G801" s="5"/>
    </row>
    <row r="802" spans="2:7" ht="13">
      <c r="B802" s="36"/>
      <c r="C802" s="80"/>
      <c r="D802" s="5"/>
      <c r="E802" s="5"/>
      <c r="F802" s="5"/>
      <c r="G802" s="5"/>
    </row>
    <row r="803" spans="2:7" ht="13">
      <c r="B803" s="36"/>
      <c r="C803" s="80"/>
      <c r="D803" s="5"/>
      <c r="E803" s="5"/>
      <c r="F803" s="5"/>
      <c r="G803" s="5"/>
    </row>
    <row r="804" spans="2:7" ht="13">
      <c r="B804" s="36"/>
      <c r="C804" s="80"/>
      <c r="D804" s="5"/>
      <c r="E804" s="5"/>
      <c r="F804" s="5"/>
      <c r="G804" s="5"/>
    </row>
    <row r="805" spans="2:7" ht="13">
      <c r="B805" s="36"/>
      <c r="C805" s="80"/>
      <c r="D805" s="5"/>
      <c r="E805" s="5"/>
      <c r="F805" s="5"/>
      <c r="G805" s="5"/>
    </row>
    <row r="806" spans="2:7" ht="13">
      <c r="B806" s="36"/>
      <c r="C806" s="80"/>
      <c r="D806" s="5"/>
      <c r="E806" s="5"/>
      <c r="F806" s="5"/>
      <c r="G806" s="5"/>
    </row>
    <row r="807" spans="2:7" ht="13">
      <c r="B807" s="36"/>
      <c r="C807" s="80"/>
      <c r="D807" s="5"/>
      <c r="E807" s="5"/>
      <c r="F807" s="5"/>
      <c r="G807" s="5"/>
    </row>
    <row r="808" spans="2:7" ht="13">
      <c r="B808" s="36"/>
      <c r="C808" s="80"/>
      <c r="D808" s="5"/>
      <c r="E808" s="5"/>
      <c r="F808" s="5"/>
      <c r="G808" s="5"/>
    </row>
    <row r="809" spans="2:7" ht="13">
      <c r="B809" s="36"/>
      <c r="C809" s="80"/>
      <c r="D809" s="5"/>
      <c r="E809" s="5"/>
      <c r="F809" s="5"/>
      <c r="G809" s="5"/>
    </row>
    <row r="810" spans="2:7" ht="13">
      <c r="B810" s="36"/>
      <c r="C810" s="80"/>
      <c r="D810" s="5"/>
      <c r="E810" s="5"/>
      <c r="F810" s="5"/>
      <c r="G810" s="5"/>
    </row>
    <row r="811" spans="2:7" ht="13">
      <c r="B811" s="36"/>
      <c r="C811" s="80"/>
      <c r="D811" s="5"/>
      <c r="E811" s="5"/>
      <c r="F811" s="5"/>
      <c r="G811" s="5"/>
    </row>
    <row r="812" spans="2:7" ht="13">
      <c r="B812" s="36"/>
      <c r="C812" s="80"/>
      <c r="D812" s="5"/>
      <c r="E812" s="5"/>
      <c r="F812" s="5"/>
      <c r="G812" s="5"/>
    </row>
    <row r="813" spans="2:7" ht="13">
      <c r="B813" s="36"/>
      <c r="C813" s="80"/>
      <c r="D813" s="5"/>
      <c r="E813" s="5"/>
      <c r="F813" s="5"/>
      <c r="G813" s="5"/>
    </row>
    <row r="814" spans="2:7" ht="13">
      <c r="B814" s="36"/>
      <c r="C814" s="80"/>
      <c r="D814" s="5"/>
      <c r="E814" s="5"/>
      <c r="F814" s="5"/>
      <c r="G814" s="5"/>
    </row>
    <row r="815" spans="2:7" ht="13">
      <c r="B815" s="36"/>
      <c r="C815" s="80"/>
      <c r="D815" s="5"/>
      <c r="E815" s="5"/>
      <c r="F815" s="5"/>
      <c r="G815" s="5"/>
    </row>
    <row r="816" spans="2:7" ht="13">
      <c r="B816" s="36"/>
      <c r="C816" s="80"/>
      <c r="D816" s="5"/>
      <c r="E816" s="5"/>
      <c r="F816" s="5"/>
      <c r="G816" s="5"/>
    </row>
    <row r="817" spans="2:7" ht="13">
      <c r="B817" s="36"/>
      <c r="C817" s="80"/>
      <c r="D817" s="5"/>
      <c r="E817" s="5"/>
      <c r="F817" s="5"/>
      <c r="G817" s="5"/>
    </row>
    <row r="818" spans="2:7" ht="13">
      <c r="B818" s="36"/>
      <c r="C818" s="80"/>
      <c r="D818" s="5"/>
      <c r="E818" s="5"/>
      <c r="F818" s="5"/>
      <c r="G818" s="5"/>
    </row>
    <row r="819" spans="2:7" ht="13">
      <c r="B819" s="36"/>
      <c r="C819" s="80"/>
      <c r="D819" s="5"/>
      <c r="E819" s="5"/>
      <c r="F819" s="5"/>
      <c r="G819" s="5"/>
    </row>
    <row r="820" spans="2:7" ht="13">
      <c r="B820" s="36"/>
      <c r="C820" s="80"/>
      <c r="D820" s="5"/>
      <c r="E820" s="5"/>
      <c r="F820" s="5"/>
      <c r="G820" s="5"/>
    </row>
    <row r="821" spans="2:7" ht="13">
      <c r="B821" s="36"/>
      <c r="C821" s="80"/>
      <c r="D821" s="5"/>
      <c r="E821" s="5"/>
      <c r="F821" s="5"/>
      <c r="G821" s="5"/>
    </row>
    <row r="822" spans="2:7" ht="13">
      <c r="B822" s="36"/>
      <c r="C822" s="80"/>
      <c r="D822" s="5"/>
      <c r="E822" s="5"/>
      <c r="F822" s="5"/>
      <c r="G822" s="5"/>
    </row>
    <row r="823" spans="2:7" ht="13">
      <c r="B823" s="36"/>
      <c r="C823" s="80"/>
      <c r="D823" s="5"/>
      <c r="E823" s="5"/>
      <c r="F823" s="5"/>
      <c r="G823" s="5"/>
    </row>
    <row r="824" spans="2:7" ht="13">
      <c r="B824" s="36"/>
      <c r="C824" s="80"/>
      <c r="D824" s="5"/>
      <c r="E824" s="5"/>
      <c r="F824" s="5"/>
      <c r="G824" s="5"/>
    </row>
    <row r="825" spans="2:7" ht="13">
      <c r="B825" s="36"/>
      <c r="C825" s="80"/>
      <c r="D825" s="5"/>
      <c r="E825" s="5"/>
      <c r="F825" s="5"/>
      <c r="G825" s="5"/>
    </row>
    <row r="826" spans="2:7" ht="13">
      <c r="B826" s="36"/>
      <c r="C826" s="80"/>
      <c r="D826" s="5"/>
      <c r="E826" s="5"/>
      <c r="F826" s="5"/>
      <c r="G826" s="5"/>
    </row>
    <row r="827" spans="2:7" ht="13">
      <c r="B827" s="36"/>
      <c r="C827" s="80"/>
      <c r="D827" s="5"/>
      <c r="E827" s="5"/>
      <c r="F827" s="5"/>
      <c r="G827" s="5"/>
    </row>
    <row r="828" spans="2:7" ht="13">
      <c r="B828" s="36"/>
      <c r="C828" s="80"/>
      <c r="D828" s="5"/>
      <c r="E828" s="5"/>
      <c r="F828" s="5"/>
      <c r="G828" s="5"/>
    </row>
    <row r="829" spans="2:7" ht="13">
      <c r="B829" s="36"/>
      <c r="C829" s="80"/>
      <c r="D829" s="5"/>
      <c r="E829" s="5"/>
      <c r="F829" s="5"/>
      <c r="G829" s="5"/>
    </row>
    <row r="830" spans="2:7" ht="13">
      <c r="B830" s="36"/>
      <c r="C830" s="80"/>
      <c r="D830" s="5"/>
      <c r="E830" s="5"/>
      <c r="F830" s="5"/>
      <c r="G830" s="5"/>
    </row>
    <row r="831" spans="2:7" ht="13">
      <c r="B831" s="36"/>
      <c r="C831" s="80"/>
      <c r="D831" s="5"/>
      <c r="E831" s="5"/>
      <c r="F831" s="5"/>
      <c r="G831" s="5"/>
    </row>
    <row r="832" spans="2:7" ht="13">
      <c r="B832" s="36"/>
      <c r="C832" s="80"/>
      <c r="D832" s="5"/>
      <c r="E832" s="5"/>
      <c r="F832" s="5"/>
      <c r="G832" s="5"/>
    </row>
    <row r="833" spans="2:7" ht="13">
      <c r="B833" s="36"/>
      <c r="C833" s="80"/>
      <c r="D833" s="5"/>
      <c r="E833" s="5"/>
      <c r="F833" s="5"/>
      <c r="G833" s="5"/>
    </row>
    <row r="834" spans="2:7" ht="13">
      <c r="B834" s="36"/>
      <c r="C834" s="80"/>
      <c r="D834" s="5"/>
      <c r="E834" s="5"/>
      <c r="F834" s="5"/>
      <c r="G834" s="5"/>
    </row>
    <row r="835" spans="2:7" ht="13">
      <c r="B835" s="36"/>
      <c r="C835" s="80"/>
      <c r="D835" s="5"/>
      <c r="E835" s="5"/>
      <c r="F835" s="5"/>
      <c r="G835" s="5"/>
    </row>
    <row r="836" spans="2:7" ht="13">
      <c r="B836" s="36"/>
      <c r="C836" s="80"/>
      <c r="D836" s="5"/>
      <c r="E836" s="5"/>
      <c r="F836" s="5"/>
      <c r="G836" s="5"/>
    </row>
    <row r="837" spans="2:7" ht="13">
      <c r="B837" s="36"/>
      <c r="C837" s="80"/>
      <c r="D837" s="5"/>
      <c r="E837" s="5"/>
      <c r="F837" s="5"/>
      <c r="G837" s="5"/>
    </row>
    <row r="838" spans="2:7" ht="13">
      <c r="B838" s="36"/>
      <c r="C838" s="80"/>
      <c r="D838" s="5"/>
      <c r="E838" s="5"/>
      <c r="F838" s="5"/>
      <c r="G838" s="5"/>
    </row>
    <row r="839" spans="2:7" ht="13">
      <c r="B839" s="36"/>
      <c r="C839" s="80"/>
      <c r="D839" s="5"/>
      <c r="E839" s="5"/>
      <c r="F839" s="5"/>
      <c r="G839" s="5"/>
    </row>
    <row r="840" spans="2:7" ht="13">
      <c r="B840" s="36"/>
      <c r="C840" s="80"/>
      <c r="D840" s="5"/>
      <c r="E840" s="5"/>
      <c r="F840" s="5"/>
      <c r="G840" s="5"/>
    </row>
    <row r="841" spans="2:7" ht="13">
      <c r="B841" s="36"/>
      <c r="C841" s="80"/>
      <c r="D841" s="5"/>
      <c r="E841" s="5"/>
      <c r="F841" s="5"/>
      <c r="G841" s="5"/>
    </row>
    <row r="842" spans="2:7" ht="13">
      <c r="B842" s="36"/>
      <c r="C842" s="80"/>
      <c r="D842" s="5"/>
      <c r="E842" s="5"/>
      <c r="F842" s="5"/>
      <c r="G842" s="5"/>
    </row>
    <row r="843" spans="2:7" ht="13">
      <c r="B843" s="36"/>
      <c r="C843" s="80"/>
      <c r="D843" s="5"/>
      <c r="E843" s="5"/>
      <c r="F843" s="5"/>
      <c r="G843" s="5"/>
    </row>
    <row r="844" spans="2:7" ht="13">
      <c r="B844" s="36"/>
      <c r="C844" s="80"/>
      <c r="D844" s="5"/>
      <c r="E844" s="5"/>
      <c r="F844" s="5"/>
      <c r="G844" s="5"/>
    </row>
    <row r="845" spans="2:7" ht="13">
      <c r="B845" s="36"/>
      <c r="C845" s="80"/>
      <c r="D845" s="5"/>
      <c r="E845" s="5"/>
      <c r="F845" s="5"/>
      <c r="G845" s="5"/>
    </row>
    <row r="846" spans="2:7" ht="13">
      <c r="B846" s="36"/>
      <c r="C846" s="80"/>
      <c r="D846" s="5"/>
      <c r="E846" s="5"/>
      <c r="F846" s="5"/>
      <c r="G846" s="5"/>
    </row>
    <row r="847" spans="2:7" ht="13">
      <c r="B847" s="36"/>
      <c r="C847" s="80"/>
      <c r="D847" s="5"/>
      <c r="E847" s="5"/>
      <c r="F847" s="5"/>
      <c r="G847" s="5"/>
    </row>
    <row r="848" spans="2:7" ht="13">
      <c r="B848" s="36"/>
      <c r="C848" s="80"/>
      <c r="D848" s="5"/>
      <c r="E848" s="5"/>
      <c r="F848" s="5"/>
      <c r="G848" s="5"/>
    </row>
    <row r="849" spans="2:7" ht="13">
      <c r="B849" s="36"/>
      <c r="C849" s="80"/>
      <c r="D849" s="5"/>
      <c r="E849" s="5"/>
      <c r="F849" s="5"/>
      <c r="G849" s="5"/>
    </row>
    <row r="850" spans="2:7" ht="13">
      <c r="B850" s="36"/>
      <c r="C850" s="80"/>
      <c r="D850" s="5"/>
      <c r="E850" s="5"/>
      <c r="F850" s="5"/>
      <c r="G850" s="5"/>
    </row>
    <row r="851" spans="2:7" ht="13">
      <c r="B851" s="36"/>
      <c r="C851" s="80"/>
      <c r="D851" s="5"/>
      <c r="E851" s="5"/>
      <c r="F851" s="5"/>
      <c r="G851" s="5"/>
    </row>
    <row r="852" spans="2:7" ht="13">
      <c r="B852" s="36"/>
      <c r="C852" s="80"/>
      <c r="D852" s="5"/>
      <c r="E852" s="5"/>
      <c r="F852" s="5"/>
      <c r="G852" s="5"/>
    </row>
    <row r="853" spans="2:7" ht="13">
      <c r="B853" s="36"/>
      <c r="C853" s="80"/>
      <c r="D853" s="5"/>
      <c r="E853" s="5"/>
      <c r="F853" s="5"/>
      <c r="G853" s="5"/>
    </row>
    <row r="854" spans="2:7" ht="13">
      <c r="B854" s="36"/>
      <c r="C854" s="80"/>
      <c r="D854" s="5"/>
      <c r="E854" s="5"/>
      <c r="F854" s="5"/>
      <c r="G854" s="5"/>
    </row>
    <row r="855" spans="2:7" ht="13">
      <c r="B855" s="36"/>
      <c r="C855" s="80"/>
      <c r="D855" s="5"/>
      <c r="E855" s="5"/>
      <c r="F855" s="5"/>
      <c r="G855" s="5"/>
    </row>
    <row r="856" spans="2:7" ht="13">
      <c r="B856" s="36"/>
      <c r="C856" s="80"/>
      <c r="D856" s="5"/>
      <c r="E856" s="5"/>
      <c r="F856" s="5"/>
      <c r="G856" s="5"/>
    </row>
    <row r="857" spans="2:7" ht="13">
      <c r="B857" s="36"/>
      <c r="C857" s="80"/>
      <c r="D857" s="5"/>
      <c r="E857" s="5"/>
      <c r="F857" s="5"/>
      <c r="G857" s="5"/>
    </row>
    <row r="858" spans="2:7" ht="13">
      <c r="B858" s="36"/>
      <c r="C858" s="80"/>
      <c r="D858" s="5"/>
      <c r="E858" s="5"/>
      <c r="F858" s="5"/>
      <c r="G858" s="5"/>
    </row>
    <row r="859" spans="2:7" ht="13">
      <c r="B859" s="36"/>
      <c r="C859" s="80"/>
      <c r="D859" s="5"/>
      <c r="E859" s="5"/>
      <c r="F859" s="5"/>
      <c r="G859" s="5"/>
    </row>
    <row r="860" spans="2:7" ht="13">
      <c r="B860" s="36"/>
      <c r="C860" s="80"/>
      <c r="D860" s="5"/>
      <c r="E860" s="5"/>
      <c r="F860" s="5"/>
      <c r="G860" s="5"/>
    </row>
    <row r="861" spans="2:7" ht="13">
      <c r="B861" s="36"/>
      <c r="C861" s="80"/>
      <c r="D861" s="5"/>
      <c r="E861" s="5"/>
      <c r="F861" s="5"/>
      <c r="G861" s="5"/>
    </row>
    <row r="862" spans="2:7" ht="13">
      <c r="B862" s="36"/>
      <c r="C862" s="80"/>
      <c r="D862" s="5"/>
      <c r="E862" s="5"/>
      <c r="F862" s="5"/>
      <c r="G862" s="5"/>
    </row>
    <row r="863" spans="2:7" ht="13">
      <c r="B863" s="36"/>
      <c r="C863" s="80"/>
      <c r="D863" s="5"/>
      <c r="E863" s="5"/>
      <c r="F863" s="5"/>
      <c r="G863" s="5"/>
    </row>
    <row r="864" spans="2:7" ht="13">
      <c r="B864" s="36"/>
      <c r="C864" s="80"/>
      <c r="D864" s="5"/>
      <c r="E864" s="5"/>
      <c r="F864" s="5"/>
      <c r="G864" s="5"/>
    </row>
    <row r="865" spans="2:7" ht="13">
      <c r="B865" s="36"/>
      <c r="C865" s="80"/>
      <c r="D865" s="5"/>
      <c r="E865" s="5"/>
      <c r="F865" s="5"/>
      <c r="G865" s="5"/>
    </row>
    <row r="866" spans="2:7" ht="13">
      <c r="B866" s="36"/>
      <c r="C866" s="80"/>
      <c r="D866" s="5"/>
      <c r="E866" s="5"/>
      <c r="F866" s="5"/>
      <c r="G866" s="5"/>
    </row>
    <row r="867" spans="2:7" ht="13">
      <c r="B867" s="36"/>
      <c r="C867" s="80"/>
      <c r="D867" s="5"/>
      <c r="E867" s="5"/>
      <c r="F867" s="5"/>
      <c r="G867" s="5"/>
    </row>
    <row r="868" spans="2:7" ht="13">
      <c r="B868" s="36"/>
      <c r="C868" s="80"/>
      <c r="D868" s="5"/>
      <c r="E868" s="5"/>
      <c r="F868" s="5"/>
      <c r="G868" s="5"/>
    </row>
    <row r="869" spans="2:7" ht="13">
      <c r="B869" s="36"/>
      <c r="C869" s="80"/>
      <c r="D869" s="5"/>
      <c r="E869" s="5"/>
      <c r="F869" s="5"/>
      <c r="G869" s="5"/>
    </row>
    <row r="870" spans="2:7" ht="13">
      <c r="B870" s="36"/>
      <c r="C870" s="80"/>
      <c r="D870" s="5"/>
      <c r="E870" s="5"/>
      <c r="F870" s="5"/>
      <c r="G870" s="5"/>
    </row>
    <row r="871" spans="2:7" ht="13">
      <c r="B871" s="36"/>
      <c r="C871" s="80"/>
      <c r="D871" s="5"/>
      <c r="E871" s="5"/>
      <c r="F871" s="5"/>
      <c r="G871" s="5"/>
    </row>
    <row r="872" spans="2:7" ht="13">
      <c r="B872" s="36"/>
      <c r="C872" s="80"/>
      <c r="D872" s="5"/>
      <c r="E872" s="5"/>
      <c r="F872" s="5"/>
      <c r="G872" s="5"/>
    </row>
    <row r="873" spans="2:7" ht="13">
      <c r="B873" s="36"/>
      <c r="C873" s="80"/>
      <c r="D873" s="5"/>
      <c r="E873" s="5"/>
      <c r="F873" s="5"/>
      <c r="G873" s="5"/>
    </row>
    <row r="874" spans="2:7" ht="13">
      <c r="B874" s="36"/>
      <c r="C874" s="80"/>
      <c r="D874" s="5"/>
      <c r="E874" s="5"/>
      <c r="F874" s="5"/>
      <c r="G874" s="5"/>
    </row>
    <row r="875" spans="2:7" ht="13">
      <c r="B875" s="36"/>
      <c r="C875" s="80"/>
      <c r="D875" s="5"/>
      <c r="E875" s="5"/>
      <c r="F875" s="5"/>
      <c r="G875" s="5"/>
    </row>
    <row r="876" spans="2:7" ht="13">
      <c r="B876" s="36"/>
      <c r="C876" s="80"/>
      <c r="D876" s="5"/>
      <c r="E876" s="5"/>
      <c r="F876" s="5"/>
      <c r="G876" s="5"/>
    </row>
    <row r="877" spans="2:7" ht="13">
      <c r="B877" s="36"/>
      <c r="C877" s="80"/>
      <c r="D877" s="5"/>
      <c r="E877" s="5"/>
      <c r="F877" s="5"/>
      <c r="G877" s="5"/>
    </row>
    <row r="878" spans="2:7" ht="13">
      <c r="B878" s="36"/>
      <c r="C878" s="80"/>
      <c r="D878" s="5"/>
      <c r="E878" s="5"/>
      <c r="F878" s="5"/>
      <c r="G878" s="5"/>
    </row>
    <row r="879" spans="2:7" ht="13">
      <c r="B879" s="36"/>
      <c r="C879" s="80"/>
      <c r="D879" s="5"/>
      <c r="E879" s="5"/>
      <c r="F879" s="5"/>
      <c r="G879" s="5"/>
    </row>
    <row r="880" spans="2:7" ht="13">
      <c r="B880" s="36"/>
      <c r="C880" s="80"/>
      <c r="D880" s="5"/>
      <c r="E880" s="5"/>
      <c r="F880" s="5"/>
      <c r="G880" s="5"/>
    </row>
    <row r="881" spans="2:7" ht="13">
      <c r="B881" s="36"/>
      <c r="C881" s="80"/>
      <c r="D881" s="5"/>
      <c r="E881" s="5"/>
      <c r="F881" s="5"/>
      <c r="G881" s="5"/>
    </row>
    <row r="882" spans="2:7" ht="13">
      <c r="B882" s="36"/>
      <c r="C882" s="80"/>
      <c r="D882" s="5"/>
      <c r="E882" s="5"/>
      <c r="F882" s="5"/>
      <c r="G882" s="5"/>
    </row>
    <row r="883" spans="2:7" ht="13">
      <c r="B883" s="36"/>
      <c r="C883" s="80"/>
      <c r="D883" s="5"/>
      <c r="E883" s="5"/>
      <c r="F883" s="5"/>
      <c r="G883" s="5"/>
    </row>
    <row r="884" spans="2:7" ht="13">
      <c r="B884" s="36"/>
      <c r="C884" s="80"/>
      <c r="D884" s="5"/>
      <c r="E884" s="5"/>
      <c r="F884" s="5"/>
      <c r="G884" s="5"/>
    </row>
    <row r="885" spans="2:7" ht="13">
      <c r="B885" s="36"/>
      <c r="C885" s="80"/>
      <c r="D885" s="5"/>
      <c r="E885" s="5"/>
      <c r="F885" s="5"/>
      <c r="G885" s="5"/>
    </row>
    <row r="886" spans="2:7" ht="13">
      <c r="B886" s="36"/>
      <c r="C886" s="80"/>
      <c r="D886" s="5"/>
      <c r="E886" s="5"/>
      <c r="F886" s="5"/>
      <c r="G886" s="5"/>
    </row>
    <row r="887" spans="2:7" ht="13">
      <c r="B887" s="36"/>
      <c r="C887" s="80"/>
      <c r="D887" s="5"/>
      <c r="E887" s="5"/>
      <c r="F887" s="5"/>
      <c r="G887" s="5"/>
    </row>
    <row r="888" spans="2:7" ht="13">
      <c r="B888" s="36"/>
      <c r="C888" s="80"/>
      <c r="D888" s="5"/>
      <c r="E888" s="5"/>
      <c r="F888" s="5"/>
      <c r="G888" s="5"/>
    </row>
    <row r="889" spans="2:7" ht="13">
      <c r="B889" s="36"/>
      <c r="C889" s="80"/>
      <c r="D889" s="5"/>
      <c r="E889" s="5"/>
      <c r="F889" s="5"/>
      <c r="G889" s="5"/>
    </row>
    <row r="890" spans="2:7" ht="13">
      <c r="B890" s="36"/>
      <c r="C890" s="80"/>
      <c r="D890" s="5"/>
      <c r="E890" s="5"/>
      <c r="F890" s="5"/>
      <c r="G890" s="5"/>
    </row>
    <row r="891" spans="2:7" ht="13">
      <c r="B891" s="36"/>
      <c r="C891" s="80"/>
      <c r="D891" s="5"/>
      <c r="E891" s="5"/>
      <c r="F891" s="5"/>
      <c r="G891" s="5"/>
    </row>
    <row r="892" spans="2:7" ht="13">
      <c r="B892" s="36"/>
      <c r="C892" s="80"/>
      <c r="D892" s="5"/>
      <c r="E892" s="5"/>
      <c r="F892" s="5"/>
      <c r="G892" s="5"/>
    </row>
    <row r="893" spans="2:7" ht="13">
      <c r="B893" s="36"/>
      <c r="C893" s="80"/>
      <c r="D893" s="5"/>
      <c r="E893" s="5"/>
      <c r="F893" s="5"/>
      <c r="G893" s="5"/>
    </row>
    <row r="894" spans="2:7" ht="13">
      <c r="B894" s="36"/>
      <c r="C894" s="80"/>
      <c r="D894" s="5"/>
      <c r="E894" s="5"/>
      <c r="F894" s="5"/>
      <c r="G894" s="5"/>
    </row>
    <row r="895" spans="2:7" ht="13">
      <c r="B895" s="36"/>
      <c r="C895" s="80"/>
      <c r="D895" s="5"/>
      <c r="E895" s="5"/>
      <c r="F895" s="5"/>
      <c r="G895" s="5"/>
    </row>
    <row r="896" spans="2:7" ht="13">
      <c r="B896" s="36"/>
      <c r="C896" s="80"/>
      <c r="D896" s="5"/>
      <c r="E896" s="5"/>
      <c r="F896" s="5"/>
      <c r="G896" s="5"/>
    </row>
    <row r="897" spans="2:7" ht="13">
      <c r="B897" s="36"/>
      <c r="C897" s="80"/>
      <c r="D897" s="5"/>
      <c r="E897" s="5"/>
      <c r="F897" s="5"/>
      <c r="G897" s="5"/>
    </row>
    <row r="898" spans="2:7" ht="13">
      <c r="B898" s="36"/>
      <c r="C898" s="80"/>
      <c r="D898" s="5"/>
      <c r="E898" s="5"/>
      <c r="F898" s="5"/>
      <c r="G898" s="5"/>
    </row>
    <row r="899" spans="2:7" ht="13">
      <c r="B899" s="36"/>
      <c r="C899" s="80"/>
      <c r="D899" s="5"/>
      <c r="E899" s="5"/>
      <c r="F899" s="5"/>
      <c r="G899" s="5"/>
    </row>
    <row r="900" spans="2:7" ht="13">
      <c r="B900" s="36"/>
      <c r="C900" s="80"/>
      <c r="D900" s="5"/>
      <c r="E900" s="5"/>
      <c r="F900" s="5"/>
      <c r="G900" s="5"/>
    </row>
    <row r="901" spans="2:7" ht="13">
      <c r="B901" s="36"/>
      <c r="C901" s="80"/>
      <c r="D901" s="5"/>
      <c r="E901" s="5"/>
      <c r="F901" s="5"/>
      <c r="G901" s="5"/>
    </row>
    <row r="902" spans="2:7" ht="13">
      <c r="B902" s="36"/>
      <c r="C902" s="80"/>
      <c r="D902" s="5"/>
      <c r="E902" s="5"/>
      <c r="F902" s="5"/>
      <c r="G902" s="5"/>
    </row>
    <row r="903" spans="2:7" ht="13">
      <c r="B903" s="36"/>
      <c r="C903" s="80"/>
      <c r="D903" s="5"/>
      <c r="E903" s="5"/>
      <c r="F903" s="5"/>
      <c r="G903" s="5"/>
    </row>
    <row r="904" spans="2:7" ht="13">
      <c r="B904" s="36"/>
      <c r="C904" s="80"/>
      <c r="D904" s="5"/>
      <c r="E904" s="5"/>
      <c r="F904" s="5"/>
      <c r="G904" s="5"/>
    </row>
    <row r="905" spans="2:7" ht="13">
      <c r="B905" s="36"/>
      <c r="C905" s="80"/>
      <c r="D905" s="5"/>
      <c r="E905" s="5"/>
      <c r="F905" s="5"/>
      <c r="G905" s="5"/>
    </row>
    <row r="906" spans="2:7" ht="13">
      <c r="B906" s="36"/>
      <c r="C906" s="80"/>
      <c r="D906" s="5"/>
      <c r="E906" s="5"/>
      <c r="F906" s="5"/>
      <c r="G906" s="5"/>
    </row>
    <row r="907" spans="2:7" ht="13">
      <c r="B907" s="36"/>
      <c r="C907" s="80"/>
      <c r="D907" s="5"/>
      <c r="E907" s="5"/>
      <c r="F907" s="5"/>
      <c r="G907" s="5"/>
    </row>
    <row r="908" spans="2:7" ht="13">
      <c r="B908" s="36"/>
      <c r="C908" s="80"/>
      <c r="D908" s="5"/>
      <c r="E908" s="5"/>
      <c r="F908" s="5"/>
      <c r="G908" s="5"/>
    </row>
    <row r="909" spans="2:7" ht="13">
      <c r="B909" s="36"/>
      <c r="C909" s="80"/>
      <c r="D909" s="5"/>
      <c r="E909" s="5"/>
      <c r="F909" s="5"/>
      <c r="G909" s="5"/>
    </row>
    <row r="910" spans="2:7" ht="13">
      <c r="B910" s="36"/>
      <c r="C910" s="80"/>
      <c r="D910" s="5"/>
      <c r="E910" s="5"/>
      <c r="F910" s="5"/>
      <c r="G910" s="5"/>
    </row>
    <row r="911" spans="2:7" ht="13">
      <c r="B911" s="36"/>
      <c r="C911" s="80"/>
      <c r="D911" s="5"/>
      <c r="E911" s="5"/>
      <c r="F911" s="5"/>
      <c r="G911" s="5"/>
    </row>
    <row r="912" spans="2:7" ht="13">
      <c r="B912" s="36"/>
      <c r="C912" s="80"/>
      <c r="D912" s="5"/>
      <c r="E912" s="5"/>
      <c r="F912" s="5"/>
      <c r="G912" s="5"/>
    </row>
    <row r="913" spans="2:7" ht="13">
      <c r="B913" s="36"/>
      <c r="C913" s="80"/>
      <c r="D913" s="5"/>
      <c r="E913" s="5"/>
      <c r="F913" s="5"/>
      <c r="G913" s="5"/>
    </row>
    <row r="914" spans="2:7" ht="13">
      <c r="B914" s="36"/>
      <c r="C914" s="80"/>
      <c r="D914" s="5"/>
      <c r="E914" s="5"/>
      <c r="F914" s="5"/>
      <c r="G914" s="5"/>
    </row>
    <row r="915" spans="2:7" ht="13">
      <c r="B915" s="36"/>
      <c r="C915" s="80"/>
      <c r="D915" s="5"/>
      <c r="E915" s="5"/>
      <c r="F915" s="5"/>
      <c r="G915" s="5"/>
    </row>
    <row r="916" spans="2:7" ht="13">
      <c r="B916" s="36"/>
      <c r="C916" s="80"/>
      <c r="D916" s="5"/>
      <c r="E916" s="5"/>
      <c r="F916" s="5"/>
      <c r="G916" s="5"/>
    </row>
    <row r="917" spans="2:7" ht="13">
      <c r="B917" s="36"/>
      <c r="C917" s="80"/>
      <c r="D917" s="5"/>
      <c r="E917" s="5"/>
      <c r="F917" s="5"/>
      <c r="G917" s="5"/>
    </row>
    <row r="918" spans="2:7" ht="13">
      <c r="B918" s="36"/>
      <c r="C918" s="80"/>
      <c r="D918" s="5"/>
      <c r="E918" s="5"/>
      <c r="F918" s="5"/>
      <c r="G918" s="5"/>
    </row>
    <row r="919" spans="2:7" ht="13">
      <c r="B919" s="36"/>
      <c r="C919" s="80"/>
      <c r="D919" s="5"/>
      <c r="E919" s="5"/>
      <c r="F919" s="5"/>
      <c r="G919" s="5"/>
    </row>
    <row r="920" spans="2:7" ht="13">
      <c r="B920" s="36"/>
      <c r="C920" s="80"/>
      <c r="D920" s="5"/>
      <c r="E920" s="5"/>
      <c r="F920" s="5"/>
      <c r="G920" s="5"/>
    </row>
    <row r="921" spans="2:7" ht="13">
      <c r="B921" s="36"/>
      <c r="C921" s="80"/>
      <c r="D921" s="5"/>
      <c r="E921" s="5"/>
      <c r="F921" s="5"/>
      <c r="G921" s="5"/>
    </row>
    <row r="922" spans="2:7" ht="13">
      <c r="B922" s="36"/>
      <c r="C922" s="80"/>
      <c r="D922" s="5"/>
      <c r="E922" s="5"/>
      <c r="F922" s="5"/>
      <c r="G922" s="5"/>
    </row>
    <row r="923" spans="2:7" ht="13">
      <c r="B923" s="36"/>
      <c r="C923" s="80"/>
      <c r="D923" s="5"/>
      <c r="E923" s="5"/>
      <c r="F923" s="5"/>
      <c r="G923" s="5"/>
    </row>
    <row r="924" spans="2:7" ht="13">
      <c r="B924" s="36"/>
      <c r="C924" s="80"/>
      <c r="D924" s="5"/>
      <c r="E924" s="5"/>
      <c r="F924" s="5"/>
      <c r="G924" s="5"/>
    </row>
    <row r="925" spans="2:7" ht="13">
      <c r="B925" s="36"/>
      <c r="C925" s="80"/>
      <c r="D925" s="5"/>
      <c r="E925" s="5"/>
      <c r="F925" s="5"/>
      <c r="G925" s="5"/>
    </row>
    <row r="926" spans="2:7" ht="13">
      <c r="B926" s="36"/>
      <c r="C926" s="80"/>
      <c r="D926" s="5"/>
      <c r="E926" s="5"/>
      <c r="F926" s="5"/>
      <c r="G926" s="5"/>
    </row>
    <row r="927" spans="2:7" ht="13">
      <c r="B927" s="36"/>
      <c r="C927" s="80"/>
      <c r="D927" s="5"/>
      <c r="E927" s="5"/>
      <c r="F927" s="5"/>
      <c r="G927" s="5"/>
    </row>
    <row r="928" spans="2:7" ht="13">
      <c r="B928" s="36"/>
      <c r="C928" s="80"/>
      <c r="D928" s="5"/>
      <c r="E928" s="5"/>
      <c r="F928" s="5"/>
      <c r="G928" s="5"/>
    </row>
    <row r="929" spans="2:7" ht="13">
      <c r="B929" s="36"/>
      <c r="C929" s="80"/>
      <c r="D929" s="5"/>
      <c r="E929" s="5"/>
      <c r="F929" s="5"/>
      <c r="G929" s="5"/>
    </row>
    <row r="930" spans="2:7" ht="13">
      <c r="B930" s="36"/>
      <c r="C930" s="80"/>
      <c r="D930" s="5"/>
      <c r="E930" s="5"/>
      <c r="F930" s="5"/>
      <c r="G930" s="5"/>
    </row>
    <row r="931" spans="2:7" ht="13">
      <c r="B931" s="36"/>
      <c r="C931" s="80"/>
      <c r="D931" s="5"/>
      <c r="E931" s="5"/>
      <c r="F931" s="5"/>
      <c r="G931" s="5"/>
    </row>
    <row r="932" spans="2:7" ht="13">
      <c r="B932" s="36"/>
      <c r="C932" s="80"/>
      <c r="D932" s="5"/>
      <c r="E932" s="5"/>
      <c r="F932" s="5"/>
      <c r="G932" s="5"/>
    </row>
    <row r="933" spans="2:7" ht="13">
      <c r="B933" s="36"/>
      <c r="C933" s="80"/>
      <c r="D933" s="5"/>
      <c r="E933" s="5"/>
      <c r="F933" s="5"/>
      <c r="G933" s="5"/>
    </row>
    <row r="934" spans="2:7" ht="13">
      <c r="B934" s="36"/>
      <c r="C934" s="80"/>
      <c r="D934" s="5"/>
      <c r="E934" s="5"/>
      <c r="F934" s="5"/>
      <c r="G934" s="5"/>
    </row>
    <row r="935" spans="2:7" ht="13">
      <c r="B935" s="36"/>
      <c r="C935" s="80"/>
      <c r="D935" s="5"/>
      <c r="E935" s="5"/>
      <c r="F935" s="5"/>
      <c r="G935" s="5"/>
    </row>
    <row r="936" spans="2:7" ht="13">
      <c r="B936" s="36"/>
      <c r="C936" s="80"/>
      <c r="D936" s="5"/>
      <c r="E936" s="5"/>
      <c r="F936" s="5"/>
      <c r="G936" s="5"/>
    </row>
    <row r="937" spans="2:7" ht="13">
      <c r="B937" s="36"/>
      <c r="C937" s="80"/>
      <c r="D937" s="5"/>
      <c r="E937" s="5"/>
      <c r="F937" s="5"/>
      <c r="G937" s="5"/>
    </row>
    <row r="938" spans="2:7" ht="13">
      <c r="B938" s="36"/>
      <c r="C938" s="80"/>
      <c r="D938" s="5"/>
      <c r="E938" s="5"/>
      <c r="F938" s="5"/>
      <c r="G938" s="5"/>
    </row>
    <row r="939" spans="2:7" ht="13">
      <c r="B939" s="36"/>
      <c r="C939" s="80"/>
      <c r="D939" s="5"/>
      <c r="E939" s="5"/>
      <c r="F939" s="5"/>
      <c r="G939" s="5"/>
    </row>
    <row r="940" spans="2:7" ht="13">
      <c r="B940" s="36"/>
      <c r="C940" s="80"/>
      <c r="D940" s="5"/>
      <c r="E940" s="5"/>
      <c r="F940" s="5"/>
      <c r="G940" s="5"/>
    </row>
    <row r="941" spans="2:7" ht="13">
      <c r="B941" s="36"/>
      <c r="C941" s="80"/>
      <c r="D941" s="5"/>
      <c r="E941" s="5"/>
      <c r="F941" s="5"/>
      <c r="G941" s="5"/>
    </row>
    <row r="942" spans="2:7" ht="13">
      <c r="B942" s="36"/>
      <c r="C942" s="80"/>
      <c r="D942" s="5"/>
      <c r="E942" s="5"/>
      <c r="F942" s="5"/>
      <c r="G942" s="5"/>
    </row>
    <row r="943" spans="2:7" ht="13">
      <c r="B943" s="36"/>
      <c r="C943" s="80"/>
      <c r="D943" s="5"/>
      <c r="E943" s="5"/>
      <c r="F943" s="5"/>
      <c r="G943" s="5"/>
    </row>
    <row r="944" spans="2:7" ht="13">
      <c r="B944" s="36"/>
      <c r="C944" s="80"/>
      <c r="D944" s="5"/>
      <c r="E944" s="5"/>
      <c r="F944" s="5"/>
      <c r="G944" s="5"/>
    </row>
    <row r="945" spans="2:7" ht="13">
      <c r="B945" s="36"/>
      <c r="C945" s="80"/>
      <c r="D945" s="5"/>
      <c r="E945" s="5"/>
      <c r="F945" s="5"/>
      <c r="G945" s="5"/>
    </row>
    <row r="946" spans="2:7" ht="13">
      <c r="B946" s="36"/>
      <c r="C946" s="80"/>
      <c r="D946" s="5"/>
      <c r="E946" s="5"/>
      <c r="F946" s="5"/>
      <c r="G946" s="5"/>
    </row>
    <row r="947" spans="2:7" ht="13">
      <c r="B947" s="36"/>
      <c r="C947" s="80"/>
      <c r="D947" s="5"/>
      <c r="E947" s="5"/>
      <c r="F947" s="5"/>
      <c r="G947" s="5"/>
    </row>
    <row r="948" spans="2:7" ht="13">
      <c r="B948" s="36"/>
      <c r="C948" s="80"/>
      <c r="D948" s="5"/>
      <c r="E948" s="5"/>
      <c r="F948" s="5"/>
      <c r="G948" s="5"/>
    </row>
    <row r="949" spans="2:7" ht="13">
      <c r="B949" s="36"/>
      <c r="C949" s="80"/>
      <c r="D949" s="5"/>
      <c r="E949" s="5"/>
      <c r="F949" s="5"/>
      <c r="G949" s="5"/>
    </row>
    <row r="950" spans="2:7" ht="13">
      <c r="B950" s="36"/>
      <c r="C950" s="80"/>
      <c r="D950" s="5"/>
      <c r="E950" s="5"/>
      <c r="F950" s="5"/>
      <c r="G950" s="5"/>
    </row>
    <row r="951" spans="2:7" ht="13">
      <c r="B951" s="36"/>
      <c r="C951" s="80"/>
      <c r="D951" s="5"/>
      <c r="E951" s="5"/>
      <c r="F951" s="5"/>
      <c r="G951" s="5"/>
    </row>
    <row r="952" spans="2:7" ht="13">
      <c r="B952" s="36"/>
      <c r="C952" s="80"/>
      <c r="D952" s="5"/>
      <c r="E952" s="5"/>
      <c r="F952" s="5"/>
      <c r="G952" s="5"/>
    </row>
    <row r="953" spans="2:7" ht="13">
      <c r="B953" s="36"/>
      <c r="C953" s="80"/>
      <c r="D953" s="5"/>
      <c r="E953" s="5"/>
      <c r="F953" s="5"/>
      <c r="G953" s="5"/>
    </row>
    <row r="954" spans="2:7" ht="13">
      <c r="B954" s="36"/>
      <c r="C954" s="80"/>
      <c r="D954" s="5"/>
      <c r="E954" s="5"/>
      <c r="F954" s="5"/>
      <c r="G954" s="5"/>
    </row>
    <row r="955" spans="2:7" ht="13">
      <c r="B955" s="36"/>
      <c r="C955" s="80"/>
      <c r="D955" s="5"/>
      <c r="E955" s="5"/>
      <c r="F955" s="5"/>
      <c r="G955" s="5"/>
    </row>
    <row r="956" spans="2:7" ht="13">
      <c r="B956" s="36"/>
      <c r="C956" s="80"/>
      <c r="D956" s="5"/>
      <c r="E956" s="5"/>
      <c r="F956" s="5"/>
      <c r="G956" s="5"/>
    </row>
    <row r="957" spans="2:7" ht="13">
      <c r="B957" s="36"/>
      <c r="C957" s="80"/>
      <c r="D957" s="5"/>
      <c r="E957" s="5"/>
      <c r="F957" s="5"/>
      <c r="G957" s="5"/>
    </row>
    <row r="958" spans="2:7" ht="13">
      <c r="B958" s="36"/>
      <c r="C958" s="80"/>
      <c r="D958" s="5"/>
      <c r="E958" s="5"/>
      <c r="F958" s="5"/>
      <c r="G958" s="5"/>
    </row>
    <row r="959" spans="2:7" ht="13">
      <c r="B959" s="36"/>
      <c r="C959" s="80"/>
      <c r="D959" s="5"/>
      <c r="E959" s="5"/>
      <c r="F959" s="5"/>
      <c r="G959" s="5"/>
    </row>
    <row r="960" spans="2:7" ht="13">
      <c r="B960" s="36"/>
      <c r="C960" s="80"/>
      <c r="D960" s="5"/>
      <c r="E960" s="5"/>
      <c r="F960" s="5"/>
      <c r="G960" s="5"/>
    </row>
    <row r="961" spans="2:7" ht="13">
      <c r="B961" s="36"/>
      <c r="C961" s="80"/>
      <c r="D961" s="5"/>
      <c r="E961" s="5"/>
      <c r="F961" s="5"/>
      <c r="G961" s="5"/>
    </row>
    <row r="962" spans="2:7" ht="13">
      <c r="B962" s="36"/>
      <c r="C962" s="80"/>
      <c r="D962" s="5"/>
      <c r="E962" s="5"/>
      <c r="F962" s="5"/>
      <c r="G962" s="5"/>
    </row>
    <row r="963" spans="2:7" ht="13">
      <c r="B963" s="36"/>
      <c r="C963" s="80"/>
      <c r="D963" s="5"/>
      <c r="E963" s="5"/>
      <c r="F963" s="5"/>
      <c r="G963" s="5"/>
    </row>
    <row r="964" spans="2:7" ht="13">
      <c r="B964" s="36"/>
      <c r="C964" s="80"/>
      <c r="D964" s="5"/>
      <c r="E964" s="5"/>
      <c r="F964" s="5"/>
      <c r="G964" s="5"/>
    </row>
    <row r="965" spans="2:7" ht="13">
      <c r="B965" s="36"/>
      <c r="C965" s="80"/>
      <c r="D965" s="5"/>
      <c r="E965" s="5"/>
      <c r="F965" s="5"/>
      <c r="G965" s="5"/>
    </row>
    <row r="966" spans="2:7" ht="13">
      <c r="B966" s="36"/>
      <c r="C966" s="80"/>
      <c r="D966" s="5"/>
      <c r="E966" s="5"/>
      <c r="F966" s="5"/>
      <c r="G966" s="5"/>
    </row>
    <row r="967" spans="2:7" ht="13">
      <c r="B967" s="36"/>
      <c r="C967" s="80"/>
      <c r="D967" s="5"/>
      <c r="E967" s="5"/>
      <c r="F967" s="5"/>
      <c r="G967" s="5"/>
    </row>
    <row r="968" spans="2:7" ht="13">
      <c r="B968" s="36"/>
      <c r="C968" s="80"/>
      <c r="D968" s="5"/>
      <c r="E968" s="5"/>
      <c r="F968" s="5"/>
      <c r="G968" s="5"/>
    </row>
    <row r="969" spans="2:7" ht="13">
      <c r="B969" s="36"/>
      <c r="C969" s="80"/>
      <c r="D969" s="5"/>
      <c r="E969" s="5"/>
      <c r="F969" s="5"/>
      <c r="G969" s="5"/>
    </row>
    <row r="970" spans="2:7" ht="13">
      <c r="B970" s="36"/>
      <c r="C970" s="80"/>
      <c r="D970" s="5"/>
      <c r="E970" s="5"/>
      <c r="F970" s="5"/>
      <c r="G970" s="5"/>
    </row>
    <row r="971" spans="2:7" ht="13">
      <c r="B971" s="36"/>
      <c r="C971" s="80"/>
      <c r="D971" s="5"/>
      <c r="E971" s="5"/>
      <c r="F971" s="5"/>
      <c r="G971" s="5"/>
    </row>
    <row r="972" spans="2:7" ht="13">
      <c r="B972" s="36"/>
      <c r="C972" s="80"/>
      <c r="D972" s="5"/>
      <c r="E972" s="5"/>
      <c r="F972" s="5"/>
      <c r="G972" s="5"/>
    </row>
    <row r="973" spans="2:7" ht="13">
      <c r="B973" s="36"/>
      <c r="C973" s="80"/>
      <c r="D973" s="5"/>
      <c r="E973" s="5"/>
      <c r="F973" s="5"/>
      <c r="G973" s="5"/>
    </row>
    <row r="974" spans="2:7" ht="13">
      <c r="B974" s="36"/>
      <c r="C974" s="80"/>
      <c r="D974" s="5"/>
      <c r="E974" s="5"/>
      <c r="F974" s="5"/>
      <c r="G974" s="5"/>
    </row>
    <row r="975" spans="2:7" ht="13">
      <c r="B975" s="36"/>
      <c r="C975" s="80"/>
      <c r="D975" s="5"/>
      <c r="E975" s="5"/>
      <c r="F975" s="5"/>
      <c r="G975" s="5"/>
    </row>
    <row r="976" spans="2:7" ht="13">
      <c r="B976" s="36"/>
      <c r="C976" s="80"/>
      <c r="D976" s="5"/>
      <c r="E976" s="5"/>
      <c r="F976" s="5"/>
      <c r="G976" s="5"/>
    </row>
    <row r="977" spans="2:7" ht="13">
      <c r="B977" s="36"/>
      <c r="C977" s="80"/>
      <c r="D977" s="5"/>
      <c r="E977" s="5"/>
      <c r="F977" s="5"/>
      <c r="G977" s="5"/>
    </row>
    <row r="978" spans="2:7" ht="13">
      <c r="B978" s="36"/>
      <c r="C978" s="80"/>
      <c r="D978" s="5"/>
      <c r="E978" s="5"/>
      <c r="F978" s="5"/>
      <c r="G978" s="5"/>
    </row>
    <row r="979" spans="2:7" ht="13">
      <c r="B979" s="36"/>
      <c r="C979" s="80"/>
      <c r="D979" s="5"/>
      <c r="E979" s="5"/>
      <c r="F979" s="5"/>
      <c r="G979" s="5"/>
    </row>
    <row r="980" spans="2:7" ht="13">
      <c r="B980" s="36"/>
      <c r="C980" s="80"/>
      <c r="D980" s="5"/>
      <c r="E980" s="5"/>
      <c r="F980" s="5"/>
      <c r="G980" s="5"/>
    </row>
    <row r="981" spans="2:7" ht="13">
      <c r="B981" s="36"/>
      <c r="C981" s="80"/>
      <c r="D981" s="5"/>
      <c r="E981" s="5"/>
      <c r="F981" s="5"/>
      <c r="G981" s="5"/>
    </row>
    <row r="982" spans="2:7" ht="13">
      <c r="B982" s="36"/>
      <c r="C982" s="80"/>
      <c r="D982" s="5"/>
      <c r="E982" s="5"/>
      <c r="F982" s="5"/>
      <c r="G982" s="5"/>
    </row>
    <row r="983" spans="2:7" ht="13">
      <c r="B983" s="36"/>
      <c r="C983" s="80"/>
      <c r="D983" s="5"/>
      <c r="E983" s="5"/>
      <c r="F983" s="5"/>
      <c r="G983" s="5"/>
    </row>
    <row r="984" spans="2:7" ht="13">
      <c r="B984" s="36"/>
      <c r="C984" s="80"/>
      <c r="D984" s="5"/>
      <c r="E984" s="5"/>
      <c r="F984" s="5"/>
      <c r="G984" s="5"/>
    </row>
    <row r="985" spans="2:7" ht="13">
      <c r="B985" s="36"/>
      <c r="C985" s="80"/>
      <c r="D985" s="5"/>
      <c r="E985" s="5"/>
      <c r="F985" s="5"/>
      <c r="G985" s="5"/>
    </row>
    <row r="986" spans="2:7" ht="13">
      <c r="B986" s="36"/>
      <c r="C986" s="80"/>
      <c r="D986" s="5"/>
      <c r="E986" s="5"/>
      <c r="F986" s="5"/>
      <c r="G986" s="5"/>
    </row>
    <row r="987" spans="2:7" ht="13">
      <c r="B987" s="36"/>
      <c r="C987" s="80"/>
      <c r="D987" s="5"/>
      <c r="E987" s="5"/>
      <c r="F987" s="5"/>
      <c r="G987" s="5"/>
    </row>
    <row r="988" spans="2:7" ht="13">
      <c r="B988" s="36"/>
      <c r="C988" s="80"/>
      <c r="D988" s="5"/>
      <c r="E988" s="5"/>
      <c r="F988" s="5"/>
      <c r="G988" s="5"/>
    </row>
    <row r="989" spans="2:7" ht="13">
      <c r="B989" s="36"/>
      <c r="C989" s="80"/>
      <c r="D989" s="5"/>
      <c r="E989" s="5"/>
      <c r="F989" s="5"/>
      <c r="G989" s="5"/>
    </row>
    <row r="990" spans="2:7" ht="13">
      <c r="B990" s="36"/>
      <c r="C990" s="80"/>
      <c r="D990" s="5"/>
      <c r="E990" s="5"/>
      <c r="F990" s="5"/>
      <c r="G990" s="5"/>
    </row>
    <row r="991" spans="2:7" ht="13">
      <c r="B991" s="36"/>
      <c r="C991" s="80"/>
      <c r="D991" s="5"/>
      <c r="E991" s="5"/>
      <c r="F991" s="5"/>
      <c r="G991" s="5"/>
    </row>
    <row r="992" spans="2:7" ht="13">
      <c r="B992" s="36"/>
      <c r="C992" s="80"/>
      <c r="D992" s="5"/>
      <c r="E992" s="5"/>
      <c r="F992" s="5"/>
      <c r="G992" s="5"/>
    </row>
    <row r="993" spans="2:7" ht="13">
      <c r="B993" s="36"/>
      <c r="C993" s="80"/>
      <c r="D993" s="5"/>
      <c r="E993" s="5"/>
      <c r="F993" s="5"/>
      <c r="G993" s="5"/>
    </row>
    <row r="994" spans="2:7" ht="13">
      <c r="B994" s="36"/>
      <c r="C994" s="80"/>
      <c r="D994" s="5"/>
      <c r="E994" s="5"/>
      <c r="F994" s="5"/>
      <c r="G994" s="5"/>
    </row>
    <row r="995" spans="2:7" ht="13">
      <c r="B995" s="36"/>
      <c r="C995" s="80"/>
      <c r="D995" s="5"/>
      <c r="E995" s="5"/>
      <c r="F995" s="5"/>
      <c r="G995" s="5"/>
    </row>
    <row r="996" spans="2:7" ht="13">
      <c r="B996" s="36"/>
      <c r="C996" s="80"/>
      <c r="D996" s="5"/>
      <c r="E996" s="5"/>
      <c r="F996" s="5"/>
      <c r="G996" s="5"/>
    </row>
    <row r="997" spans="2:7" ht="13">
      <c r="B997" s="36"/>
      <c r="C997" s="80"/>
      <c r="D997" s="5"/>
      <c r="E997" s="5"/>
      <c r="F997" s="5"/>
      <c r="G997" s="5"/>
    </row>
    <row r="998" spans="2:7" ht="13">
      <c r="B998" s="36"/>
      <c r="C998" s="80"/>
      <c r="D998" s="5"/>
      <c r="E998" s="5"/>
      <c r="F998" s="5"/>
      <c r="G998" s="5"/>
    </row>
    <row r="999" spans="2:7" ht="13">
      <c r="B999" s="36"/>
      <c r="C999" s="80"/>
      <c r="D999" s="5"/>
      <c r="E999" s="5"/>
      <c r="F999" s="5"/>
      <c r="G999" s="5"/>
    </row>
    <row r="1000" spans="2:7" ht="13">
      <c r="B1000" s="36"/>
      <c r="C1000" s="80"/>
      <c r="D1000" s="5"/>
      <c r="E1000" s="5"/>
      <c r="F1000" s="5"/>
      <c r="G1000" s="5"/>
    </row>
    <row r="1001" spans="2:7" ht="13">
      <c r="B1001" s="36"/>
      <c r="C1001" s="80"/>
      <c r="D1001" s="5"/>
      <c r="E1001" s="5"/>
      <c r="F1001" s="5"/>
      <c r="G1001" s="5"/>
    </row>
    <row r="1002" spans="2:7" ht="13">
      <c r="B1002" s="36"/>
      <c r="C1002" s="80"/>
      <c r="D1002" s="5"/>
      <c r="E1002" s="5"/>
      <c r="F1002" s="5"/>
      <c r="G1002" s="5"/>
    </row>
  </sheetData>
  <hyperlinks>
    <hyperlink ref="B5" r:id="rId1" xr:uid="{00000000-0004-0000-5000-000000000000}"/>
    <hyperlink ref="B6" r:id="rId2" xr:uid="{00000000-0004-0000-5000-000001000000}"/>
    <hyperlink ref="B7" r:id="rId3" xr:uid="{00000000-0004-0000-5000-000002000000}"/>
    <hyperlink ref="B8" r:id="rId4" xr:uid="{00000000-0004-0000-5000-000003000000}"/>
    <hyperlink ref="B9" r:id="rId5" xr:uid="{00000000-0004-0000-5000-000004000000}"/>
    <hyperlink ref="B10" r:id="rId6" xr:uid="{00000000-0004-0000-5000-000005000000}"/>
    <hyperlink ref="B11" r:id="rId7" xr:uid="{00000000-0004-0000-5000-000006000000}"/>
    <hyperlink ref="B12" r:id="rId8" xr:uid="{00000000-0004-0000-5000-000007000000}"/>
    <hyperlink ref="B13" r:id="rId9" xr:uid="{00000000-0004-0000-5000-000008000000}"/>
    <hyperlink ref="B14" r:id="rId10" xr:uid="{00000000-0004-0000-5000-000009000000}"/>
    <hyperlink ref="B15" r:id="rId11" xr:uid="{00000000-0004-0000-5000-00000A000000}"/>
    <hyperlink ref="B16" r:id="rId12" xr:uid="{00000000-0004-0000-5000-00000B000000}"/>
    <hyperlink ref="B17" r:id="rId13" xr:uid="{00000000-0004-0000-5000-00000C000000}"/>
    <hyperlink ref="B19" r:id="rId14" xr:uid="{00000000-0004-0000-5000-00000D000000}"/>
    <hyperlink ref="B20" r:id="rId15" xr:uid="{00000000-0004-0000-5000-00000E000000}"/>
    <hyperlink ref="B21" r:id="rId16" xr:uid="{00000000-0004-0000-5000-00000F000000}"/>
    <hyperlink ref="B22" r:id="rId17" xr:uid="{00000000-0004-0000-5000-000010000000}"/>
    <hyperlink ref="B25" r:id="rId18" xr:uid="{00000000-0004-0000-5000-000011000000}"/>
    <hyperlink ref="B26" r:id="rId19" xr:uid="{00000000-0004-0000-5000-000012000000}"/>
    <hyperlink ref="B27" r:id="rId20" xr:uid="{00000000-0004-0000-5000-000013000000}"/>
    <hyperlink ref="B28" r:id="rId21" xr:uid="{00000000-0004-0000-5000-000014000000}"/>
    <hyperlink ref="B31" r:id="rId22" xr:uid="{00000000-0004-0000-5000-000015000000}"/>
    <hyperlink ref="B32" r:id="rId23" xr:uid="{00000000-0004-0000-5000-000016000000}"/>
    <hyperlink ref="B33" r:id="rId24" xr:uid="{00000000-0004-0000-5000-000017000000}"/>
    <hyperlink ref="B34" r:id="rId25" xr:uid="{00000000-0004-0000-5000-000018000000}"/>
    <hyperlink ref="B35" r:id="rId26" xr:uid="{00000000-0004-0000-5000-000019000000}"/>
    <hyperlink ref="B36" r:id="rId27" xr:uid="{00000000-0004-0000-5000-00001A000000}"/>
    <hyperlink ref="B37" r:id="rId28" xr:uid="{00000000-0004-0000-5000-00001B000000}"/>
    <hyperlink ref="B38" r:id="rId29" xr:uid="{00000000-0004-0000-5000-00001C000000}"/>
    <hyperlink ref="B39" r:id="rId30" xr:uid="{00000000-0004-0000-5000-00001D000000}"/>
    <hyperlink ref="B40" r:id="rId31" xr:uid="{00000000-0004-0000-5000-00001E000000}"/>
    <hyperlink ref="B41" r:id="rId32" xr:uid="{00000000-0004-0000-5000-00001F000000}"/>
    <hyperlink ref="B42" r:id="rId33" xr:uid="{00000000-0004-0000-5000-000020000000}"/>
    <hyperlink ref="B43" r:id="rId34" xr:uid="{00000000-0004-0000-5000-000021000000}"/>
    <hyperlink ref="B44" r:id="rId35" xr:uid="{00000000-0004-0000-5000-000022000000}"/>
    <hyperlink ref="B45" r:id="rId36" xr:uid="{00000000-0004-0000-5000-000023000000}"/>
    <hyperlink ref="B46" r:id="rId37" xr:uid="{00000000-0004-0000-5000-000024000000}"/>
    <hyperlink ref="B48" r:id="rId38" xr:uid="{00000000-0004-0000-5000-000025000000}"/>
    <hyperlink ref="B49" r:id="rId39" xr:uid="{00000000-0004-0000-5000-000026000000}"/>
    <hyperlink ref="B50" r:id="rId40" xr:uid="{00000000-0004-0000-5000-000027000000}"/>
    <hyperlink ref="B51" r:id="rId41" xr:uid="{00000000-0004-0000-5000-000028000000}"/>
    <hyperlink ref="B52" r:id="rId42" xr:uid="{00000000-0004-0000-5000-000029000000}"/>
    <hyperlink ref="B53" r:id="rId43" xr:uid="{00000000-0004-0000-5000-00002A000000}"/>
    <hyperlink ref="B54" r:id="rId44" xr:uid="{00000000-0004-0000-5000-00002B000000}"/>
    <hyperlink ref="B56" r:id="rId45" xr:uid="{00000000-0004-0000-5000-00002C000000}"/>
    <hyperlink ref="B57" r:id="rId46" xr:uid="{00000000-0004-0000-5000-00002D000000}"/>
    <hyperlink ref="B60" r:id="rId47" xr:uid="{00000000-0004-0000-5000-00002E000000}"/>
    <hyperlink ref="B61" r:id="rId48" xr:uid="{00000000-0004-0000-5000-00002F000000}"/>
    <hyperlink ref="B62" r:id="rId49" xr:uid="{00000000-0004-0000-5000-000030000000}"/>
    <hyperlink ref="B63" r:id="rId50" xr:uid="{00000000-0004-0000-5000-000031000000}"/>
    <hyperlink ref="B64" r:id="rId51" xr:uid="{00000000-0004-0000-5000-000032000000}"/>
    <hyperlink ref="B65" r:id="rId52" xr:uid="{00000000-0004-0000-5000-000033000000}"/>
    <hyperlink ref="B67" r:id="rId53" xr:uid="{00000000-0004-0000-5000-000034000000}"/>
    <hyperlink ref="B69" r:id="rId54" xr:uid="{00000000-0004-0000-5000-000035000000}"/>
    <hyperlink ref="B70" r:id="rId55" xr:uid="{00000000-0004-0000-5000-000036000000}"/>
    <hyperlink ref="B71" r:id="rId56" xr:uid="{00000000-0004-0000-5000-000037000000}"/>
    <hyperlink ref="B72" r:id="rId57" xr:uid="{00000000-0004-0000-5000-000038000000}"/>
    <hyperlink ref="B74" r:id="rId58" xr:uid="{00000000-0004-0000-5000-000039000000}"/>
    <hyperlink ref="B75" r:id="rId59" xr:uid="{00000000-0004-0000-5000-00003A000000}"/>
    <hyperlink ref="B78" r:id="rId60" xr:uid="{00000000-0004-0000-5000-00003B000000}"/>
    <hyperlink ref="B79" r:id="rId61" xr:uid="{00000000-0004-0000-5000-00003C000000}"/>
    <hyperlink ref="B80" r:id="rId62" xr:uid="{00000000-0004-0000-5000-00003D000000}"/>
    <hyperlink ref="B81" r:id="rId63" xr:uid="{00000000-0004-0000-5000-00003E000000}"/>
    <hyperlink ref="B82" r:id="rId64" xr:uid="{00000000-0004-0000-5000-00003F000000}"/>
    <hyperlink ref="B84" r:id="rId65" xr:uid="{00000000-0004-0000-5000-000040000000}"/>
    <hyperlink ref="B85" r:id="rId66" xr:uid="{00000000-0004-0000-5000-000041000000}"/>
    <hyperlink ref="B86" r:id="rId67" xr:uid="{00000000-0004-0000-5000-000042000000}"/>
    <hyperlink ref="B90" r:id="rId68" xr:uid="{00000000-0004-0000-5000-000043000000}"/>
    <hyperlink ref="B91" r:id="rId69" xr:uid="{00000000-0004-0000-5000-000044000000}"/>
    <hyperlink ref="B92" r:id="rId70" xr:uid="{00000000-0004-0000-5000-000045000000}"/>
    <hyperlink ref="B93" r:id="rId71" xr:uid="{00000000-0004-0000-5000-000046000000}"/>
    <hyperlink ref="B94" r:id="rId72" xr:uid="{00000000-0004-0000-5000-000047000000}"/>
    <hyperlink ref="B95" r:id="rId73" xr:uid="{00000000-0004-0000-5000-000048000000}"/>
    <hyperlink ref="B96" r:id="rId74" xr:uid="{00000000-0004-0000-5000-000049000000}"/>
    <hyperlink ref="B97" r:id="rId75" xr:uid="{00000000-0004-0000-5000-00004A000000}"/>
    <hyperlink ref="B98" r:id="rId76" xr:uid="{00000000-0004-0000-5000-00004B000000}"/>
    <hyperlink ref="B99" r:id="rId77" xr:uid="{00000000-0004-0000-5000-00004C000000}"/>
    <hyperlink ref="B100" r:id="rId78" xr:uid="{00000000-0004-0000-5000-00004D000000}"/>
    <hyperlink ref="B101" r:id="rId79" xr:uid="{00000000-0004-0000-5000-00004E000000}"/>
    <hyperlink ref="B102" r:id="rId80" xr:uid="{00000000-0004-0000-5000-00004F000000}"/>
    <hyperlink ref="B103" r:id="rId81" xr:uid="{00000000-0004-0000-5000-000050000000}"/>
    <hyperlink ref="B104" r:id="rId82" xr:uid="{00000000-0004-0000-5000-000051000000}"/>
    <hyperlink ref="B105" r:id="rId83" xr:uid="{00000000-0004-0000-5000-000052000000}"/>
    <hyperlink ref="B106" r:id="rId84" xr:uid="{00000000-0004-0000-5000-000053000000}"/>
    <hyperlink ref="B107" r:id="rId85" xr:uid="{00000000-0004-0000-5000-000054000000}"/>
    <hyperlink ref="B108" r:id="rId86" xr:uid="{00000000-0004-0000-5000-000055000000}"/>
    <hyperlink ref="B109" r:id="rId87" xr:uid="{00000000-0004-0000-5000-000056000000}"/>
    <hyperlink ref="B110" r:id="rId88" xr:uid="{00000000-0004-0000-5000-000057000000}"/>
    <hyperlink ref="B111" r:id="rId89" xr:uid="{00000000-0004-0000-5000-000058000000}"/>
    <hyperlink ref="B112" r:id="rId90" xr:uid="{00000000-0004-0000-5000-000059000000}"/>
    <hyperlink ref="B113" r:id="rId91" xr:uid="{00000000-0004-0000-5000-00005A000000}"/>
    <hyperlink ref="B114" r:id="rId92" xr:uid="{00000000-0004-0000-5000-00005B000000}"/>
    <hyperlink ref="B115" r:id="rId93" xr:uid="{00000000-0004-0000-5000-00005C000000}"/>
    <hyperlink ref="B116" r:id="rId94" xr:uid="{00000000-0004-0000-5000-00005D000000}"/>
    <hyperlink ref="B117" r:id="rId95" xr:uid="{00000000-0004-0000-5000-00005E000000}"/>
    <hyperlink ref="B118" r:id="rId96" xr:uid="{00000000-0004-0000-5000-00005F000000}"/>
    <hyperlink ref="B119" r:id="rId97" xr:uid="{00000000-0004-0000-5000-000060000000}"/>
    <hyperlink ref="B128" r:id="rId98" xr:uid="{00000000-0004-0000-5000-000061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2">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 customWidth="1"/>
    <col min="3" max="3" width="13.5" customWidth="1"/>
    <col min="4" max="4" width="14.83203125" customWidth="1"/>
    <col min="5" max="5" width="14.33203125" customWidth="1"/>
  </cols>
  <sheetData>
    <row r="1" spans="1:10" ht="15.75" customHeight="1">
      <c r="A1" s="1" t="s">
        <v>133</v>
      </c>
      <c r="B1" s="36"/>
      <c r="C1" s="80"/>
      <c r="D1" s="81" t="s">
        <v>181</v>
      </c>
      <c r="E1" s="5"/>
      <c r="F1" s="5"/>
      <c r="G1" s="5"/>
    </row>
    <row r="2" spans="1:10" ht="15.75" customHeight="1">
      <c r="A2" s="7" t="s">
        <v>182</v>
      </c>
      <c r="B2" s="38">
        <v>42585</v>
      </c>
      <c r="C2" s="80"/>
      <c r="D2" s="82">
        <f>SUM(D5:G120)</f>
        <v>0</v>
      </c>
      <c r="E2" s="5"/>
      <c r="F2" s="5"/>
      <c r="G2" s="5"/>
    </row>
    <row r="3" spans="1:10" ht="15.75" customHeight="1">
      <c r="B3" s="36"/>
      <c r="C3" s="80"/>
      <c r="D3" s="5"/>
      <c r="E3" s="5"/>
      <c r="F3" s="5"/>
      <c r="G3" s="5"/>
    </row>
    <row r="4" spans="1:10" ht="15.75" customHeight="1">
      <c r="A4" s="42" t="s">
        <v>183</v>
      </c>
      <c r="B4" s="43" t="s">
        <v>184</v>
      </c>
      <c r="C4" s="42" t="s">
        <v>185</v>
      </c>
      <c r="D4" s="83" t="s">
        <v>186</v>
      </c>
      <c r="E4" s="84" t="s">
        <v>187</v>
      </c>
      <c r="F4" s="84" t="s">
        <v>188</v>
      </c>
      <c r="G4" s="85" t="s">
        <v>189</v>
      </c>
      <c r="H4" s="84" t="s">
        <v>190</v>
      </c>
      <c r="I4" s="85"/>
    </row>
    <row r="5" spans="1:10" ht="15.75" customHeight="1">
      <c r="A5" s="64" t="s">
        <v>6037</v>
      </c>
      <c r="B5" s="77" t="s">
        <v>297</v>
      </c>
      <c r="C5" s="64" t="s">
        <v>205</v>
      </c>
      <c r="D5" s="86"/>
      <c r="E5" s="87"/>
      <c r="F5" s="87"/>
      <c r="G5" s="87"/>
      <c r="H5" s="88"/>
      <c r="I5" s="88"/>
      <c r="J5" s="88"/>
    </row>
    <row r="6" spans="1:10" ht="15.75" customHeight="1">
      <c r="A6" s="64" t="s">
        <v>6038</v>
      </c>
      <c r="B6" s="77" t="s">
        <v>3339</v>
      </c>
      <c r="C6" s="64" t="s">
        <v>205</v>
      </c>
      <c r="D6" s="72"/>
      <c r="E6" s="51"/>
      <c r="F6" s="5"/>
      <c r="G6" s="5"/>
      <c r="J6" s="88"/>
    </row>
    <row r="7" spans="1:10" ht="15.75" customHeight="1">
      <c r="A7" s="64" t="s">
        <v>6039</v>
      </c>
      <c r="B7" s="77" t="s">
        <v>871</v>
      </c>
      <c r="C7" s="64" t="s">
        <v>205</v>
      </c>
      <c r="D7" s="76"/>
      <c r="E7" s="5"/>
      <c r="F7" s="5"/>
      <c r="G7" s="5"/>
    </row>
    <row r="8" spans="1:10" ht="15.75" customHeight="1">
      <c r="A8" s="64" t="s">
        <v>6040</v>
      </c>
      <c r="B8" s="77" t="s">
        <v>850</v>
      </c>
      <c r="C8" s="64" t="s">
        <v>205</v>
      </c>
      <c r="D8" s="72"/>
      <c r="E8" s="5"/>
      <c r="F8" s="5"/>
      <c r="G8" s="5"/>
    </row>
    <row r="9" spans="1:10" ht="15.75" customHeight="1">
      <c r="A9" s="64" t="s">
        <v>6041</v>
      </c>
      <c r="B9" s="77" t="s">
        <v>777</v>
      </c>
      <c r="C9" s="64" t="s">
        <v>205</v>
      </c>
      <c r="D9" s="76"/>
      <c r="E9" s="5"/>
      <c r="F9" s="5"/>
      <c r="G9" s="5"/>
    </row>
    <row r="10" spans="1:10" ht="15.75" customHeight="1">
      <c r="A10" s="64" t="s">
        <v>6042</v>
      </c>
      <c r="B10" s="77" t="s">
        <v>946</v>
      </c>
      <c r="C10" s="64" t="s">
        <v>205</v>
      </c>
      <c r="D10" s="72"/>
      <c r="E10" s="5"/>
      <c r="F10" s="5"/>
      <c r="G10" s="5"/>
    </row>
    <row r="11" spans="1:10" ht="15.75" customHeight="1">
      <c r="A11" s="64" t="s">
        <v>6043</v>
      </c>
      <c r="B11" s="77" t="s">
        <v>3392</v>
      </c>
      <c r="C11" s="64" t="s">
        <v>205</v>
      </c>
      <c r="D11" s="76"/>
      <c r="E11" s="5"/>
      <c r="F11" s="5"/>
      <c r="G11" s="5"/>
    </row>
    <row r="12" spans="1:10" ht="15.75" customHeight="1">
      <c r="A12" s="64" t="s">
        <v>6044</v>
      </c>
      <c r="B12" s="78" t="str">
        <f>HYPERLINK("https://bulbapedia.bulbagarden.net/wiki/Yanmega_BREAK_(Steam_Siege_8)","YanmegaBREAK")</f>
        <v>YanmegaBREAK</v>
      </c>
      <c r="C12" s="64" t="s">
        <v>205</v>
      </c>
      <c r="D12" s="76"/>
      <c r="E12" s="5"/>
      <c r="F12" s="5"/>
      <c r="G12" s="5"/>
    </row>
    <row r="13" spans="1:10" ht="15.75" customHeight="1">
      <c r="A13" s="64" t="s">
        <v>6045</v>
      </c>
      <c r="B13" s="77" t="s">
        <v>1454</v>
      </c>
      <c r="C13" s="64" t="s">
        <v>205</v>
      </c>
      <c r="D13" s="72"/>
      <c r="E13" s="5"/>
      <c r="F13" s="5"/>
      <c r="G13" s="5"/>
    </row>
    <row r="14" spans="1:10" ht="15.75" customHeight="1">
      <c r="A14" s="64" t="s">
        <v>6046</v>
      </c>
      <c r="B14" s="77" t="s">
        <v>1420</v>
      </c>
      <c r="C14" s="64" t="s">
        <v>205</v>
      </c>
      <c r="D14" s="76"/>
      <c r="E14" s="5"/>
      <c r="F14" s="5"/>
      <c r="G14" s="5"/>
    </row>
    <row r="15" spans="1:10" ht="15.75" customHeight="1">
      <c r="A15" s="64" t="s">
        <v>6047</v>
      </c>
      <c r="B15" s="77" t="s">
        <v>1374</v>
      </c>
      <c r="C15" s="64" t="s">
        <v>1629</v>
      </c>
      <c r="D15" s="76"/>
      <c r="E15" s="5"/>
      <c r="F15" s="5"/>
      <c r="G15" s="5"/>
    </row>
    <row r="16" spans="1:10" ht="15.75" customHeight="1">
      <c r="A16" s="64" t="s">
        <v>6048</v>
      </c>
      <c r="B16" s="77" t="s">
        <v>4048</v>
      </c>
      <c r="C16" s="64" t="s">
        <v>205</v>
      </c>
      <c r="D16" s="72"/>
      <c r="E16" s="51"/>
      <c r="F16" s="5"/>
      <c r="G16" s="5"/>
    </row>
    <row r="17" spans="1:7" ht="15.75" customHeight="1">
      <c r="A17" s="64" t="s">
        <v>6049</v>
      </c>
      <c r="B17" s="77" t="s">
        <v>4049</v>
      </c>
      <c r="C17" s="64" t="s">
        <v>205</v>
      </c>
      <c r="D17" s="72"/>
      <c r="E17" s="5"/>
      <c r="F17" s="5"/>
      <c r="G17" s="5"/>
    </row>
    <row r="18" spans="1:7" ht="15.75" customHeight="1">
      <c r="A18" s="64" t="s">
        <v>6050</v>
      </c>
      <c r="B18" s="77" t="s">
        <v>4057</v>
      </c>
      <c r="C18" s="64" t="s">
        <v>205</v>
      </c>
      <c r="D18" s="72"/>
      <c r="E18" s="51"/>
      <c r="F18" s="5"/>
      <c r="G18" s="5"/>
    </row>
    <row r="19" spans="1:7" ht="15.75" customHeight="1">
      <c r="A19" s="64" t="s">
        <v>6051</v>
      </c>
      <c r="B19" s="77" t="s">
        <v>4058</v>
      </c>
      <c r="C19" s="64" t="s">
        <v>6052</v>
      </c>
      <c r="D19" s="76"/>
      <c r="E19" s="5"/>
      <c r="F19" s="5"/>
      <c r="G19" s="5"/>
    </row>
    <row r="20" spans="1:7" ht="15.75" customHeight="1">
      <c r="A20" s="64" t="s">
        <v>6053</v>
      </c>
      <c r="B20" s="77" t="s">
        <v>291</v>
      </c>
      <c r="C20" s="64" t="s">
        <v>199</v>
      </c>
      <c r="D20" s="72"/>
      <c r="E20" s="5"/>
      <c r="F20" s="5"/>
      <c r="G20" s="5"/>
    </row>
    <row r="21" spans="1:7" ht="15.75" customHeight="1">
      <c r="A21" s="64" t="s">
        <v>6054</v>
      </c>
      <c r="B21" s="77" t="s">
        <v>235</v>
      </c>
      <c r="C21" s="64" t="s">
        <v>199</v>
      </c>
      <c r="D21" s="76"/>
      <c r="E21" s="5"/>
      <c r="F21" s="5"/>
      <c r="G21" s="5"/>
    </row>
    <row r="22" spans="1:7" ht="15.75" customHeight="1">
      <c r="A22" s="64" t="s">
        <v>6055</v>
      </c>
      <c r="B22" s="77" t="s">
        <v>3018</v>
      </c>
      <c r="C22" s="64" t="s">
        <v>199</v>
      </c>
      <c r="D22" s="72"/>
      <c r="E22" s="5"/>
      <c r="F22" s="5"/>
      <c r="G22" s="5"/>
    </row>
    <row r="23" spans="1:7" ht="15.75" customHeight="1">
      <c r="A23" s="64" t="s">
        <v>6056</v>
      </c>
      <c r="B23" s="77" t="s">
        <v>3139</v>
      </c>
      <c r="C23" s="64" t="s">
        <v>199</v>
      </c>
      <c r="D23" s="76"/>
      <c r="E23" s="5"/>
      <c r="F23" s="5"/>
      <c r="G23" s="5"/>
    </row>
    <row r="24" spans="1:7" ht="15.75" customHeight="1">
      <c r="A24" s="64" t="s">
        <v>6057</v>
      </c>
      <c r="B24" s="77" t="s">
        <v>3112</v>
      </c>
      <c r="C24" s="64" t="s">
        <v>199</v>
      </c>
      <c r="D24" s="76"/>
      <c r="E24" s="5"/>
      <c r="F24" s="5"/>
      <c r="G24" s="5"/>
    </row>
    <row r="25" spans="1:7" ht="15.75" customHeight="1">
      <c r="A25" s="64" t="s">
        <v>6058</v>
      </c>
      <c r="B25" s="78" t="str">
        <f>HYPERLINK("https://bulbapedia.bulbagarden.net/wiki/Talonflame_BREAK_(Steam_Siege_21)","TalonflameBREAK")</f>
        <v>TalonflameBREAK</v>
      </c>
      <c r="C25" s="64" t="s">
        <v>199</v>
      </c>
      <c r="D25" s="76"/>
      <c r="E25" s="5"/>
      <c r="F25" s="5"/>
      <c r="G25" s="5"/>
    </row>
    <row r="26" spans="1:7" ht="15.75" customHeight="1">
      <c r="A26" s="64" t="s">
        <v>6059</v>
      </c>
      <c r="B26" s="77" t="s">
        <v>5090</v>
      </c>
      <c r="C26" s="64" t="s">
        <v>199</v>
      </c>
      <c r="D26" s="72"/>
      <c r="E26" s="5"/>
      <c r="F26" s="5"/>
      <c r="G26" s="5"/>
    </row>
    <row r="27" spans="1:7" ht="15.75" customHeight="1">
      <c r="A27" s="64" t="s">
        <v>6060</v>
      </c>
      <c r="B27" s="77" t="s">
        <v>4774</v>
      </c>
      <c r="C27" s="64" t="s">
        <v>199</v>
      </c>
      <c r="D27" s="76"/>
      <c r="E27" s="5"/>
      <c r="F27" s="5"/>
      <c r="G27" s="5"/>
    </row>
    <row r="28" spans="1:7" ht="15.75" customHeight="1">
      <c r="A28" s="64" t="s">
        <v>6061</v>
      </c>
      <c r="B28" s="78" t="str">
        <f>HYPERLINK("https://bulbapedia.bulbagarden.net/wiki/Pyroar_BREAK_(Steam_Siege_24)","PyroarBREAK")</f>
        <v>PyroarBREAK</v>
      </c>
      <c r="C28" s="64" t="s">
        <v>199</v>
      </c>
      <c r="D28" s="76"/>
      <c r="E28" s="5"/>
      <c r="F28" s="5"/>
      <c r="G28" s="5"/>
    </row>
    <row r="29" spans="1:7" ht="15.75" customHeight="1">
      <c r="A29" s="64" t="s">
        <v>6062</v>
      </c>
      <c r="B29" s="77" t="s">
        <v>4928</v>
      </c>
      <c r="C29" s="64" t="s">
        <v>199</v>
      </c>
      <c r="D29" s="76"/>
      <c r="E29" s="5"/>
      <c r="F29" s="5"/>
      <c r="G29" s="5"/>
    </row>
    <row r="30" spans="1:7" ht="15.75" customHeight="1">
      <c r="A30" s="64" t="s">
        <v>6063</v>
      </c>
      <c r="B30" s="78" t="str">
        <f>HYPERLINK("https://bulbapedia.bulbagarden.net/wiki/Volcanion-EX_(Steam_Siege_26)","VolcanionEX")</f>
        <v>VolcanionEX</v>
      </c>
      <c r="C30" s="64" t="s">
        <v>4941</v>
      </c>
      <c r="D30" s="72"/>
      <c r="E30" s="5"/>
      <c r="F30" s="5"/>
      <c r="G30" s="5"/>
    </row>
    <row r="31" spans="1:7" ht="15.75" customHeight="1">
      <c r="A31" s="64" t="s">
        <v>6064</v>
      </c>
      <c r="B31" s="77" t="s">
        <v>876</v>
      </c>
      <c r="C31" s="64" t="s">
        <v>208</v>
      </c>
      <c r="D31" s="72"/>
      <c r="E31" s="5"/>
      <c r="F31" s="5"/>
      <c r="G31" s="5"/>
    </row>
    <row r="32" spans="1:7" ht="15.75" customHeight="1">
      <c r="A32" s="64" t="s">
        <v>6065</v>
      </c>
      <c r="B32" s="77" t="s">
        <v>6066</v>
      </c>
      <c r="C32" s="64" t="s">
        <v>208</v>
      </c>
      <c r="D32" s="72"/>
      <c r="E32" s="5"/>
      <c r="F32" s="5"/>
      <c r="G32" s="5"/>
    </row>
    <row r="33" spans="1:7" ht="15.75" customHeight="1">
      <c r="A33" s="64" t="s">
        <v>6067</v>
      </c>
      <c r="B33" s="77" t="s">
        <v>6068</v>
      </c>
      <c r="C33" s="64" t="s">
        <v>208</v>
      </c>
      <c r="D33" s="76"/>
      <c r="E33" s="5"/>
      <c r="F33" s="5"/>
      <c r="G33" s="5"/>
    </row>
    <row r="34" spans="1:7" ht="15.75" customHeight="1">
      <c r="A34" s="64" t="s">
        <v>6069</v>
      </c>
      <c r="B34" s="77" t="s">
        <v>4031</v>
      </c>
      <c r="C34" s="64" t="s">
        <v>208</v>
      </c>
      <c r="D34" s="72"/>
      <c r="E34" s="5"/>
      <c r="F34" s="5"/>
      <c r="G34" s="5"/>
    </row>
    <row r="35" spans="1:7" ht="15.75" customHeight="1">
      <c r="A35" s="64" t="s">
        <v>6070</v>
      </c>
      <c r="B35" s="77" t="s">
        <v>4187</v>
      </c>
      <c r="C35" s="64" t="s">
        <v>208</v>
      </c>
      <c r="D35" s="72"/>
      <c r="E35" s="5"/>
      <c r="F35" s="5"/>
      <c r="G35" s="5"/>
    </row>
    <row r="36" spans="1:7" ht="15.75" customHeight="1">
      <c r="A36" s="64" t="s">
        <v>6071</v>
      </c>
      <c r="B36" s="77" t="s">
        <v>4385</v>
      </c>
      <c r="C36" s="64" t="s">
        <v>208</v>
      </c>
      <c r="D36" s="72"/>
      <c r="E36" s="5"/>
      <c r="F36" s="5"/>
      <c r="G36" s="5"/>
    </row>
    <row r="37" spans="1:7" ht="15.75" customHeight="1">
      <c r="A37" s="64" t="s">
        <v>6072</v>
      </c>
      <c r="B37" s="77" t="s">
        <v>5007</v>
      </c>
      <c r="C37" s="64" t="s">
        <v>208</v>
      </c>
      <c r="D37" s="72"/>
      <c r="E37" s="5"/>
      <c r="F37" s="5"/>
      <c r="G37" s="5"/>
    </row>
    <row r="38" spans="1:7" ht="15.75" customHeight="1">
      <c r="A38" s="64" t="s">
        <v>6073</v>
      </c>
      <c r="B38" s="77" t="s">
        <v>5117</v>
      </c>
      <c r="C38" s="64" t="s">
        <v>208</v>
      </c>
      <c r="D38" s="76"/>
      <c r="E38" s="5"/>
      <c r="F38" s="5"/>
      <c r="G38" s="5"/>
    </row>
    <row r="39" spans="1:7" ht="15.75" customHeight="1">
      <c r="A39" s="64" t="s">
        <v>6074</v>
      </c>
      <c r="B39" s="78" t="str">
        <f>HYPERLINK("https://bulbapedia.bulbagarden.net/wiki/Clawitzer_BREAK_(Steam_Siege_35)","ClawitzerBREAK")</f>
        <v>ClawitzerBREAK</v>
      </c>
      <c r="C39" s="64" t="s">
        <v>208</v>
      </c>
      <c r="D39" s="76"/>
      <c r="E39" s="5"/>
      <c r="F39" s="5"/>
      <c r="G39" s="5"/>
    </row>
    <row r="40" spans="1:7" ht="15.75" customHeight="1">
      <c r="A40" s="64" t="s">
        <v>6075</v>
      </c>
      <c r="B40" s="77" t="s">
        <v>5091</v>
      </c>
      <c r="C40" s="64" t="s">
        <v>208</v>
      </c>
      <c r="D40" s="76"/>
      <c r="E40" s="5"/>
      <c r="F40" s="5"/>
      <c r="G40" s="5"/>
    </row>
    <row r="41" spans="1:7" ht="15.75" customHeight="1">
      <c r="A41" s="64" t="s">
        <v>6076</v>
      </c>
      <c r="B41" s="77" t="s">
        <v>5092</v>
      </c>
      <c r="C41" s="64" t="s">
        <v>208</v>
      </c>
      <c r="D41" s="76"/>
      <c r="E41" s="5"/>
      <c r="F41" s="5"/>
      <c r="G41" s="5"/>
    </row>
    <row r="42" spans="1:7" ht="15.75" customHeight="1">
      <c r="A42" s="64" t="s">
        <v>6077</v>
      </c>
      <c r="B42" s="77" t="s">
        <v>878</v>
      </c>
      <c r="C42" s="64" t="s">
        <v>192</v>
      </c>
      <c r="D42" s="76"/>
      <c r="E42" s="5"/>
      <c r="F42" s="5"/>
      <c r="G42" s="5"/>
    </row>
    <row r="43" spans="1:7" ht="15.75" customHeight="1">
      <c r="A43" s="64" t="s">
        <v>6078</v>
      </c>
      <c r="B43" s="77" t="s">
        <v>824</v>
      </c>
      <c r="C43" s="64" t="s">
        <v>192</v>
      </c>
      <c r="D43" s="72"/>
      <c r="E43" s="5"/>
      <c r="F43" s="5"/>
      <c r="G43" s="5"/>
    </row>
    <row r="44" spans="1:7" ht="15.75" customHeight="1">
      <c r="A44" s="64" t="s">
        <v>6079</v>
      </c>
      <c r="B44" s="77" t="s">
        <v>766</v>
      </c>
      <c r="C44" s="64" t="s">
        <v>192</v>
      </c>
      <c r="D44" s="76"/>
      <c r="E44" s="5"/>
      <c r="F44" s="5"/>
      <c r="G44" s="5"/>
    </row>
    <row r="45" spans="1:7" ht="15.75" customHeight="1">
      <c r="A45" s="64" t="s">
        <v>6080</v>
      </c>
      <c r="B45" s="77" t="s">
        <v>4151</v>
      </c>
      <c r="C45" s="64" t="s">
        <v>192</v>
      </c>
      <c r="D45" s="72"/>
      <c r="E45" s="5"/>
      <c r="F45" s="5"/>
      <c r="G45" s="5"/>
    </row>
    <row r="46" spans="1:7" ht="15.75" customHeight="1">
      <c r="A46" s="64" t="s">
        <v>6081</v>
      </c>
      <c r="B46" s="77" t="s">
        <v>4152</v>
      </c>
      <c r="C46" s="64" t="s">
        <v>6082</v>
      </c>
      <c r="D46" s="76"/>
      <c r="E46" s="5"/>
      <c r="F46" s="5"/>
      <c r="G46" s="5"/>
    </row>
    <row r="47" spans="1:7" ht="15.75" customHeight="1">
      <c r="A47" s="64" t="s">
        <v>6083</v>
      </c>
      <c r="B47" s="77" t="s">
        <v>287</v>
      </c>
      <c r="C47" s="64" t="s">
        <v>195</v>
      </c>
      <c r="D47" s="72"/>
      <c r="E47" s="5"/>
      <c r="F47" s="5"/>
      <c r="G47" s="5"/>
    </row>
    <row r="48" spans="1:7" ht="15.75" customHeight="1">
      <c r="A48" s="64" t="s">
        <v>6084</v>
      </c>
      <c r="B48" s="77" t="s">
        <v>269</v>
      </c>
      <c r="C48" s="64" t="s">
        <v>195</v>
      </c>
      <c r="D48" s="76"/>
      <c r="E48" s="51"/>
      <c r="F48" s="5"/>
      <c r="G48" s="5"/>
    </row>
    <row r="49" spans="1:7" ht="15.75" customHeight="1">
      <c r="A49" s="64" t="s">
        <v>6085</v>
      </c>
      <c r="B49" s="77" t="s">
        <v>248</v>
      </c>
      <c r="C49" s="64" t="s">
        <v>195</v>
      </c>
      <c r="D49" s="72"/>
      <c r="E49" s="5"/>
      <c r="F49" s="5"/>
      <c r="G49" s="5"/>
    </row>
    <row r="50" spans="1:7" ht="15.75" customHeight="1">
      <c r="A50" s="64" t="s">
        <v>6086</v>
      </c>
      <c r="B50" s="77" t="s">
        <v>3134</v>
      </c>
      <c r="C50" s="64" t="s">
        <v>195</v>
      </c>
      <c r="D50" s="72"/>
      <c r="E50" s="51"/>
      <c r="F50" s="5"/>
      <c r="G50" s="5"/>
    </row>
    <row r="51" spans="1:7" ht="15.75" customHeight="1">
      <c r="A51" s="64" t="s">
        <v>6087</v>
      </c>
      <c r="B51" s="77" t="s">
        <v>3078</v>
      </c>
      <c r="C51" s="64" t="s">
        <v>195</v>
      </c>
      <c r="D51" s="72"/>
      <c r="E51" s="5"/>
      <c r="F51" s="5"/>
      <c r="G51" s="5"/>
    </row>
    <row r="52" spans="1:7" ht="15.75" customHeight="1">
      <c r="A52" s="64" t="s">
        <v>6088</v>
      </c>
      <c r="B52" s="77" t="s">
        <v>4086</v>
      </c>
      <c r="C52" s="64" t="s">
        <v>195</v>
      </c>
      <c r="D52" s="72"/>
      <c r="E52" s="5"/>
      <c r="F52" s="5"/>
      <c r="G52" s="5"/>
    </row>
    <row r="53" spans="1:7" ht="13">
      <c r="A53" s="64" t="s">
        <v>6089</v>
      </c>
      <c r="B53" s="77" t="s">
        <v>4087</v>
      </c>
      <c r="C53" s="64" t="s">
        <v>195</v>
      </c>
      <c r="D53" s="76"/>
      <c r="E53" s="5"/>
      <c r="F53" s="5"/>
      <c r="G53" s="5"/>
    </row>
    <row r="54" spans="1:7" ht="13">
      <c r="A54" s="64" t="s">
        <v>6090</v>
      </c>
      <c r="B54" s="77" t="s">
        <v>4088</v>
      </c>
      <c r="C54" s="64" t="s">
        <v>195</v>
      </c>
      <c r="D54" s="76"/>
      <c r="E54" s="5"/>
      <c r="F54" s="5"/>
      <c r="G54" s="5"/>
    </row>
    <row r="55" spans="1:7" ht="13">
      <c r="A55" s="64" t="s">
        <v>6091</v>
      </c>
      <c r="B55" s="77" t="s">
        <v>4845</v>
      </c>
      <c r="C55" s="64" t="s">
        <v>195</v>
      </c>
      <c r="D55" s="72"/>
      <c r="E55" s="5"/>
      <c r="F55" s="5"/>
      <c r="G55" s="5"/>
    </row>
    <row r="56" spans="1:7" ht="13">
      <c r="A56" s="64" t="s">
        <v>6092</v>
      </c>
      <c r="B56" s="77" t="s">
        <v>350</v>
      </c>
      <c r="C56" s="64" t="s">
        <v>225</v>
      </c>
      <c r="D56" s="72"/>
      <c r="E56" s="5"/>
      <c r="F56" s="5"/>
      <c r="G56" s="5"/>
    </row>
    <row r="57" spans="1:7" ht="13">
      <c r="A57" s="64" t="s">
        <v>6093</v>
      </c>
      <c r="B57" s="77" t="s">
        <v>341</v>
      </c>
      <c r="C57" s="64" t="s">
        <v>225</v>
      </c>
      <c r="D57" s="76"/>
      <c r="E57" s="5"/>
      <c r="F57" s="5"/>
      <c r="G57" s="5"/>
    </row>
    <row r="58" spans="1:7" ht="13">
      <c r="A58" s="64" t="s">
        <v>6094</v>
      </c>
      <c r="B58" s="77" t="s">
        <v>1240</v>
      </c>
      <c r="C58" s="64" t="s">
        <v>225</v>
      </c>
      <c r="D58" s="72"/>
      <c r="E58" s="5"/>
      <c r="F58" s="5"/>
      <c r="G58" s="5"/>
    </row>
    <row r="59" spans="1:7" ht="13">
      <c r="A59" s="64" t="s">
        <v>6095</v>
      </c>
      <c r="B59" s="77" t="s">
        <v>3386</v>
      </c>
      <c r="C59" s="64" t="s">
        <v>225</v>
      </c>
      <c r="D59" s="76"/>
      <c r="E59" s="5"/>
      <c r="F59" s="5"/>
      <c r="G59" s="5"/>
    </row>
    <row r="60" spans="1:7" ht="13">
      <c r="A60" s="64" t="s">
        <v>6096</v>
      </c>
      <c r="B60" s="77" t="s">
        <v>1393</v>
      </c>
      <c r="C60" s="64" t="s">
        <v>225</v>
      </c>
      <c r="D60" s="72"/>
      <c r="E60" s="5"/>
      <c r="F60" s="5"/>
      <c r="G60" s="5"/>
    </row>
    <row r="61" spans="1:7" ht="13">
      <c r="A61" s="64" t="s">
        <v>6097</v>
      </c>
      <c r="B61" s="77" t="s">
        <v>1355</v>
      </c>
      <c r="C61" s="64" t="s">
        <v>225</v>
      </c>
      <c r="D61" s="72"/>
      <c r="E61" s="5"/>
      <c r="F61" s="5"/>
      <c r="G61" s="5"/>
    </row>
    <row r="62" spans="1:7" ht="13">
      <c r="A62" s="64" t="s">
        <v>6098</v>
      </c>
      <c r="B62" s="77" t="s">
        <v>3250</v>
      </c>
      <c r="C62" s="64" t="s">
        <v>225</v>
      </c>
      <c r="D62" s="72"/>
      <c r="E62" s="5"/>
      <c r="F62" s="5"/>
      <c r="G62" s="5"/>
    </row>
    <row r="63" spans="1:7" ht="13">
      <c r="A63" s="64" t="s">
        <v>6099</v>
      </c>
      <c r="B63" s="77" t="s">
        <v>3203</v>
      </c>
      <c r="C63" s="64" t="s">
        <v>225</v>
      </c>
      <c r="D63" s="76"/>
      <c r="E63" s="5"/>
      <c r="F63" s="5"/>
      <c r="G63" s="5"/>
    </row>
    <row r="64" spans="1:7" ht="13">
      <c r="A64" s="64" t="s">
        <v>6100</v>
      </c>
      <c r="B64" s="77" t="s">
        <v>810</v>
      </c>
      <c r="C64" s="64" t="s">
        <v>808</v>
      </c>
      <c r="D64" s="72"/>
      <c r="E64" s="51"/>
      <c r="F64" s="5"/>
      <c r="G64" s="5"/>
    </row>
    <row r="65" spans="1:7" ht="13">
      <c r="A65" s="64" t="s">
        <v>6101</v>
      </c>
      <c r="B65" s="77" t="s">
        <v>3131</v>
      </c>
      <c r="C65" s="64" t="s">
        <v>808</v>
      </c>
      <c r="D65" s="66"/>
      <c r="E65" s="5"/>
      <c r="F65" s="5"/>
      <c r="G65" s="5"/>
    </row>
    <row r="66" spans="1:7" ht="13">
      <c r="A66" s="64" t="s">
        <v>6102</v>
      </c>
      <c r="B66" s="77" t="s">
        <v>3390</v>
      </c>
      <c r="C66" s="64" t="s">
        <v>808</v>
      </c>
      <c r="D66" s="72"/>
      <c r="E66" s="5"/>
      <c r="F66" s="5"/>
      <c r="G66" s="5"/>
    </row>
    <row r="67" spans="1:7" ht="13">
      <c r="A67" s="64" t="s">
        <v>6103</v>
      </c>
      <c r="B67" s="77" t="s">
        <v>4101</v>
      </c>
      <c r="C67" s="64" t="s">
        <v>808</v>
      </c>
      <c r="D67" s="72"/>
      <c r="E67" s="5"/>
      <c r="F67" s="5"/>
      <c r="G67" s="5"/>
    </row>
    <row r="68" spans="1:7" ht="13">
      <c r="A68" s="64" t="s">
        <v>6104</v>
      </c>
      <c r="B68" s="77" t="s">
        <v>4102</v>
      </c>
      <c r="C68" s="64" t="s">
        <v>2068</v>
      </c>
      <c r="D68" s="76"/>
      <c r="E68" s="5"/>
      <c r="F68" s="5"/>
      <c r="G68" s="5"/>
    </row>
    <row r="69" spans="1:7" ht="13">
      <c r="A69" s="64" t="s">
        <v>6105</v>
      </c>
      <c r="B69" s="77" t="s">
        <v>4747</v>
      </c>
      <c r="C69" s="64" t="s">
        <v>808</v>
      </c>
      <c r="D69" s="76"/>
      <c r="E69" s="5"/>
      <c r="F69" s="5"/>
      <c r="G69" s="5"/>
    </row>
    <row r="70" spans="1:7" ht="13">
      <c r="A70" s="64" t="s">
        <v>6106</v>
      </c>
      <c r="B70" s="78" t="str">
        <f>HYPERLINK("https://bulbapedia.bulbagarden.net/wiki/Yveltal_BREAK_(Steam_Siege_66)","YveltalBREAK")</f>
        <v>YveltalBREAK</v>
      </c>
      <c r="C70" s="64" t="s">
        <v>808</v>
      </c>
      <c r="D70" s="76"/>
      <c r="E70" s="5"/>
      <c r="F70" s="5"/>
      <c r="G70" s="5"/>
    </row>
    <row r="71" spans="1:7" ht="13">
      <c r="A71" s="64" t="s">
        <v>6107</v>
      </c>
      <c r="B71" s="78" t="str">
        <f>HYPERLINK("https://bulbapedia.bulbagarden.net/wiki/Steelix-EX_(Steam_Siege_67)","SteelixEX")</f>
        <v>SteelixEX</v>
      </c>
      <c r="C71" s="64" t="s">
        <v>220</v>
      </c>
      <c r="D71" s="76"/>
      <c r="E71" s="5"/>
      <c r="F71" s="5"/>
      <c r="G71" s="5"/>
    </row>
    <row r="72" spans="1:7" ht="13">
      <c r="A72" s="64" t="s">
        <v>6108</v>
      </c>
      <c r="B72" s="79" t="str">
        <f>HYPERLINK("https://bulbapedia.bulbagarden.net/wiki/M_Steelix-EX_(Steam_Siege_68)","MSteelixEX")</f>
        <v>MSteelixEX</v>
      </c>
      <c r="C72" s="64" t="s">
        <v>6109</v>
      </c>
      <c r="D72" s="76"/>
      <c r="E72" s="5"/>
      <c r="F72" s="5"/>
      <c r="G72" s="5"/>
    </row>
    <row r="73" spans="1:7" ht="13">
      <c r="A73" s="64" t="s">
        <v>6110</v>
      </c>
      <c r="B73" s="77" t="s">
        <v>3029</v>
      </c>
      <c r="C73" s="64" t="s">
        <v>220</v>
      </c>
      <c r="D73" s="72"/>
      <c r="E73" s="5"/>
      <c r="F73" s="5"/>
      <c r="G73" s="5"/>
    </row>
    <row r="74" spans="1:7" ht="13">
      <c r="A74" s="64" t="s">
        <v>6111</v>
      </c>
      <c r="B74" s="77" t="s">
        <v>3185</v>
      </c>
      <c r="C74" s="64" t="s">
        <v>220</v>
      </c>
      <c r="D74" s="72"/>
      <c r="E74" s="5"/>
      <c r="F74" s="5"/>
      <c r="G74" s="5"/>
    </row>
    <row r="75" spans="1:7" ht="13">
      <c r="A75" s="64" t="s">
        <v>6112</v>
      </c>
      <c r="B75" s="77" t="s">
        <v>4037</v>
      </c>
      <c r="C75" s="64" t="s">
        <v>220</v>
      </c>
      <c r="D75" s="72"/>
      <c r="E75" s="51"/>
      <c r="F75" s="5"/>
      <c r="G75" s="5"/>
    </row>
    <row r="76" spans="1:7" ht="13">
      <c r="A76" s="64" t="s">
        <v>6113</v>
      </c>
      <c r="B76" s="77" t="s">
        <v>4159</v>
      </c>
      <c r="C76" s="64" t="s">
        <v>220</v>
      </c>
      <c r="D76" s="76"/>
      <c r="E76" s="5"/>
      <c r="F76" s="5"/>
      <c r="G76" s="5"/>
    </row>
    <row r="77" spans="1:7" ht="13">
      <c r="A77" s="64" t="s">
        <v>6114</v>
      </c>
      <c r="B77" s="77" t="s">
        <v>4160</v>
      </c>
      <c r="C77" s="64" t="s">
        <v>220</v>
      </c>
      <c r="D77" s="76"/>
      <c r="E77" s="5"/>
      <c r="F77" s="5"/>
      <c r="G77" s="5"/>
    </row>
    <row r="78" spans="1:7" ht="13">
      <c r="A78" s="64" t="s">
        <v>6115</v>
      </c>
      <c r="B78" s="77" t="s">
        <v>4108</v>
      </c>
      <c r="C78" s="64" t="s">
        <v>220</v>
      </c>
      <c r="D78" s="72"/>
      <c r="E78" s="5"/>
      <c r="F78" s="5"/>
      <c r="G78" s="5"/>
    </row>
    <row r="79" spans="1:7" ht="13">
      <c r="A79" s="64" t="s">
        <v>6116</v>
      </c>
      <c r="B79" s="78" t="str">
        <f>HYPERLINK("https://bulbapedia.bulbagarden.net/wiki/Magearna-EX_(Steam_Siege_75)","MagearnaEX")</f>
        <v>MagearnaEX</v>
      </c>
      <c r="C79" s="64" t="s">
        <v>220</v>
      </c>
      <c r="D79" s="76"/>
      <c r="E79" s="5"/>
      <c r="F79" s="5"/>
      <c r="G79" s="5"/>
    </row>
    <row r="80" spans="1:7" ht="13">
      <c r="A80" s="64" t="s">
        <v>6117</v>
      </c>
      <c r="B80" s="77" t="s">
        <v>215</v>
      </c>
      <c r="C80" s="64" t="s">
        <v>4743</v>
      </c>
      <c r="D80" s="72"/>
      <c r="E80" s="51"/>
      <c r="F80" s="5"/>
      <c r="G80" s="5"/>
    </row>
    <row r="81" spans="1:7" ht="13">
      <c r="A81" s="64" t="s">
        <v>6118</v>
      </c>
      <c r="B81" s="77" t="s">
        <v>768</v>
      </c>
      <c r="C81" s="64" t="s">
        <v>6119</v>
      </c>
      <c r="D81" s="72"/>
      <c r="E81" s="5"/>
      <c r="F81" s="5"/>
      <c r="G81" s="5"/>
    </row>
    <row r="82" spans="1:7" ht="13">
      <c r="A82" s="64" t="s">
        <v>6120</v>
      </c>
      <c r="B82" s="78" t="str">
        <f>HYPERLINK("https://bulbapedia.bulbagarden.net/wiki/Gardevoir-EX_(Steam_Siege_78)","GardevoirEX")</f>
        <v>GardevoirEX</v>
      </c>
      <c r="C82" s="64" t="s">
        <v>4743</v>
      </c>
      <c r="D82" s="76"/>
      <c r="E82" s="5"/>
      <c r="F82" s="5"/>
      <c r="G82" s="5"/>
    </row>
    <row r="83" spans="1:7" ht="13">
      <c r="A83" s="64" t="s">
        <v>6121</v>
      </c>
      <c r="B83" s="79" t="str">
        <f>HYPERLINK("https://bulbapedia.bulbagarden.net/wiki/M_Gardevoir-EX_(Steam_Siege_79)","MGardevoirEX")</f>
        <v>MGardevoirEX</v>
      </c>
      <c r="C83" s="64" t="s">
        <v>6122</v>
      </c>
      <c r="D83" s="72"/>
      <c r="E83" s="5"/>
      <c r="F83" s="5"/>
      <c r="G83" s="5"/>
    </row>
    <row r="84" spans="1:7" ht="13">
      <c r="A84" s="64" t="s">
        <v>6123</v>
      </c>
      <c r="B84" s="77" t="s">
        <v>5125</v>
      </c>
      <c r="C84" s="64" t="s">
        <v>4743</v>
      </c>
      <c r="D84" s="76"/>
      <c r="E84" s="5"/>
      <c r="F84" s="5"/>
      <c r="G84" s="5"/>
    </row>
    <row r="85" spans="1:7" ht="13">
      <c r="A85" s="64" t="s">
        <v>6124</v>
      </c>
      <c r="B85" s="77" t="s">
        <v>4745</v>
      </c>
      <c r="C85" s="64" t="s">
        <v>4743</v>
      </c>
      <c r="D85" s="76"/>
      <c r="E85" s="5"/>
      <c r="F85" s="5"/>
      <c r="G85" s="5"/>
    </row>
    <row r="86" spans="1:7" ht="13">
      <c r="A86" s="64" t="s">
        <v>6125</v>
      </c>
      <c r="B86" s="78" t="str">
        <f>HYPERLINK("https://bulbapedia.bulbagarden.net/wiki/Xerneas_BREAK_(Steam_Siege_82)","XerneasBREAK")</f>
        <v>XerneasBREAK</v>
      </c>
      <c r="C86" s="64" t="s">
        <v>4743</v>
      </c>
      <c r="D86" s="76"/>
      <c r="E86" s="5"/>
      <c r="F86" s="5"/>
      <c r="G86" s="5"/>
    </row>
    <row r="87" spans="1:7" ht="13">
      <c r="A87" s="64" t="s">
        <v>6126</v>
      </c>
      <c r="B87" s="77" t="s">
        <v>4112</v>
      </c>
      <c r="C87" s="64" t="s">
        <v>4285</v>
      </c>
      <c r="D87" s="76"/>
      <c r="E87" s="5"/>
      <c r="F87" s="5"/>
      <c r="G87" s="5"/>
    </row>
    <row r="88" spans="1:7" ht="13">
      <c r="A88" s="64" t="s">
        <v>6127</v>
      </c>
      <c r="B88" s="77" t="s">
        <v>4103</v>
      </c>
      <c r="C88" s="64" t="s">
        <v>4285</v>
      </c>
      <c r="D88" s="72"/>
      <c r="E88" s="5"/>
      <c r="F88" s="5"/>
      <c r="G88" s="5"/>
    </row>
    <row r="89" spans="1:7" ht="13">
      <c r="A89" s="64" t="s">
        <v>6128</v>
      </c>
      <c r="B89" s="77" t="s">
        <v>4104</v>
      </c>
      <c r="C89" s="64" t="s">
        <v>4285</v>
      </c>
      <c r="D89" s="76"/>
      <c r="E89" s="5"/>
      <c r="F89" s="5"/>
      <c r="G89" s="5"/>
    </row>
    <row r="90" spans="1:7" ht="13">
      <c r="A90" s="64" t="s">
        <v>6129</v>
      </c>
      <c r="B90" s="77" t="s">
        <v>4105</v>
      </c>
      <c r="C90" s="64" t="s">
        <v>4285</v>
      </c>
      <c r="D90" s="76"/>
      <c r="E90" s="5"/>
      <c r="F90" s="5"/>
      <c r="G90" s="5"/>
    </row>
    <row r="91" spans="1:7" ht="13">
      <c r="A91" s="64" t="s">
        <v>6130</v>
      </c>
      <c r="B91" s="78" t="str">
        <f>HYPERLINK("https://bulbapedia.bulbagarden.net/wiki/Hydreigon_BREAK_(Steam_Siege_87)","HydreigonBREAK")</f>
        <v>HydreigonBREAK</v>
      </c>
      <c r="C91" s="64" t="s">
        <v>4285</v>
      </c>
      <c r="D91" s="76"/>
      <c r="E91" s="5"/>
      <c r="F91" s="5"/>
      <c r="G91" s="5"/>
    </row>
    <row r="92" spans="1:7" ht="13">
      <c r="A92" s="64" t="s">
        <v>6131</v>
      </c>
      <c r="B92" s="77" t="s">
        <v>202</v>
      </c>
      <c r="C92" s="64" t="s">
        <v>197</v>
      </c>
      <c r="D92" s="76"/>
      <c r="E92" s="5"/>
      <c r="F92" s="5"/>
      <c r="G92" s="5"/>
    </row>
    <row r="93" spans="1:7" ht="13">
      <c r="A93" s="64" t="s">
        <v>6132</v>
      </c>
      <c r="B93" s="77" t="s">
        <v>340</v>
      </c>
      <c r="C93" s="64" t="s">
        <v>197</v>
      </c>
      <c r="D93" s="72"/>
      <c r="E93" s="5"/>
      <c r="F93" s="5"/>
      <c r="G93" s="5"/>
    </row>
    <row r="94" spans="1:7" ht="13">
      <c r="A94" s="64" t="s">
        <v>6133</v>
      </c>
      <c r="B94" s="77" t="s">
        <v>812</v>
      </c>
      <c r="C94" s="64" t="s">
        <v>197</v>
      </c>
      <c r="D94" s="72"/>
      <c r="E94" s="5"/>
      <c r="F94" s="5"/>
      <c r="G94" s="5"/>
    </row>
    <row r="95" spans="1:7" ht="13">
      <c r="A95" s="64" t="s">
        <v>6134</v>
      </c>
      <c r="B95" s="77" t="s">
        <v>3158</v>
      </c>
      <c r="C95" s="64" t="s">
        <v>197</v>
      </c>
      <c r="D95" s="76"/>
      <c r="E95" s="5"/>
      <c r="F95" s="5"/>
      <c r="G95" s="5"/>
    </row>
    <row r="96" spans="1:7" ht="13">
      <c r="A96" s="64" t="s">
        <v>6135</v>
      </c>
      <c r="B96" s="77" t="s">
        <v>4316</v>
      </c>
      <c r="C96" s="64" t="s">
        <v>197</v>
      </c>
      <c r="D96" s="72"/>
      <c r="E96" s="5"/>
      <c r="F96" s="5"/>
      <c r="G96" s="5"/>
    </row>
    <row r="97" spans="1:7" ht="13">
      <c r="A97" s="64" t="s">
        <v>6136</v>
      </c>
      <c r="B97" s="77" t="s">
        <v>4318</v>
      </c>
      <c r="C97" s="64" t="s">
        <v>197</v>
      </c>
      <c r="D97" s="76"/>
      <c r="E97" s="5"/>
      <c r="F97" s="5"/>
      <c r="G97" s="5"/>
    </row>
    <row r="98" spans="1:7" ht="13">
      <c r="A98" s="64" t="s">
        <v>6137</v>
      </c>
      <c r="B98" s="77" t="s">
        <v>5027</v>
      </c>
      <c r="C98" s="64" t="s">
        <v>197</v>
      </c>
      <c r="D98" s="72"/>
      <c r="E98" s="5"/>
      <c r="F98" s="5"/>
      <c r="G98" s="5"/>
    </row>
    <row r="99" spans="1:7" ht="13">
      <c r="A99" s="64" t="s">
        <v>6138</v>
      </c>
      <c r="B99" s="77" t="s">
        <v>5040</v>
      </c>
      <c r="C99" s="64" t="s">
        <v>197</v>
      </c>
      <c r="D99" s="72"/>
      <c r="E99" s="51"/>
      <c r="F99" s="5"/>
      <c r="G99" s="5"/>
    </row>
    <row r="100" spans="1:7" ht="13">
      <c r="A100" s="64" t="s">
        <v>6139</v>
      </c>
      <c r="B100" s="77" t="s">
        <v>5041</v>
      </c>
      <c r="C100" s="64" t="s">
        <v>197</v>
      </c>
      <c r="D100" s="76"/>
      <c r="E100" s="5"/>
      <c r="F100" s="5"/>
      <c r="G100" s="5"/>
    </row>
    <row r="101" spans="1:7" ht="13">
      <c r="A101" s="64" t="s">
        <v>6140</v>
      </c>
      <c r="B101" s="77" t="s">
        <v>5124</v>
      </c>
      <c r="C101" s="64" t="s">
        <v>197</v>
      </c>
      <c r="D101" s="72"/>
      <c r="E101" s="5"/>
      <c r="F101" s="5"/>
      <c r="G101" s="5"/>
    </row>
    <row r="102" spans="1:7" ht="13">
      <c r="A102" s="64" t="s">
        <v>6141</v>
      </c>
      <c r="B102" s="77" t="s">
        <v>6142</v>
      </c>
      <c r="C102" s="64" t="s">
        <v>4114</v>
      </c>
      <c r="D102" s="72"/>
      <c r="E102" s="5"/>
      <c r="F102" s="5"/>
      <c r="G102" s="5"/>
    </row>
    <row r="103" spans="1:7" ht="13">
      <c r="A103" s="64" t="s">
        <v>6143</v>
      </c>
      <c r="B103" s="77" t="s">
        <v>6144</v>
      </c>
      <c r="C103" s="64" t="s">
        <v>4114</v>
      </c>
      <c r="D103" s="72"/>
      <c r="E103" s="5"/>
      <c r="F103" s="5"/>
      <c r="G103" s="5"/>
    </row>
    <row r="104" spans="1:7" ht="13">
      <c r="A104" s="64" t="s">
        <v>6145</v>
      </c>
      <c r="B104" s="77" t="s">
        <v>6146</v>
      </c>
      <c r="C104" s="64" t="s">
        <v>4114</v>
      </c>
      <c r="D104" s="76"/>
      <c r="E104" s="5"/>
      <c r="F104" s="5"/>
      <c r="G104" s="5"/>
    </row>
    <row r="105" spans="1:7" ht="13">
      <c r="A105" s="64" t="s">
        <v>6147</v>
      </c>
      <c r="B105" s="77" t="s">
        <v>5412</v>
      </c>
      <c r="C105" s="64" t="s">
        <v>4114</v>
      </c>
      <c r="D105" s="72"/>
      <c r="E105" s="5"/>
      <c r="F105" s="5"/>
      <c r="G105" s="5"/>
    </row>
    <row r="106" spans="1:7" ht="13">
      <c r="A106" s="64" t="s">
        <v>6148</v>
      </c>
      <c r="B106" s="77" t="s">
        <v>6149</v>
      </c>
      <c r="C106" s="64" t="s">
        <v>4114</v>
      </c>
      <c r="D106" s="72"/>
      <c r="E106" s="5"/>
      <c r="F106" s="5"/>
      <c r="G106" s="5"/>
    </row>
    <row r="107" spans="1:7" ht="13">
      <c r="A107" s="64" t="s">
        <v>6150</v>
      </c>
      <c r="B107" s="77" t="s">
        <v>6151</v>
      </c>
      <c r="C107" s="64" t="s">
        <v>1013</v>
      </c>
      <c r="D107" s="72"/>
      <c r="E107" s="5"/>
      <c r="F107" s="5"/>
      <c r="G107" s="5"/>
    </row>
    <row r="108" spans="1:7" ht="13">
      <c r="A108" s="64" t="s">
        <v>6152</v>
      </c>
      <c r="B108" s="77" t="s">
        <v>6153</v>
      </c>
      <c r="C108" s="64" t="s">
        <v>1013</v>
      </c>
      <c r="D108" s="66"/>
      <c r="E108" s="5"/>
      <c r="F108" s="5"/>
      <c r="G108" s="5"/>
    </row>
    <row r="109" spans="1:7" ht="13">
      <c r="A109" s="64" t="s">
        <v>6154</v>
      </c>
      <c r="B109" s="77" t="s">
        <v>6155</v>
      </c>
      <c r="C109" s="64" t="s">
        <v>4114</v>
      </c>
      <c r="D109" s="76"/>
      <c r="E109" s="5"/>
      <c r="F109" s="5"/>
      <c r="G109" s="5"/>
    </row>
    <row r="110" spans="1:7" ht="13">
      <c r="A110" s="64" t="s">
        <v>6156</v>
      </c>
      <c r="B110" s="77" t="s">
        <v>6157</v>
      </c>
      <c r="C110" s="64" t="s">
        <v>4114</v>
      </c>
      <c r="D110" s="72"/>
      <c r="E110" s="5"/>
      <c r="F110" s="5"/>
      <c r="G110" s="5"/>
    </row>
    <row r="111" spans="1:7" ht="13">
      <c r="A111" s="64" t="s">
        <v>6158</v>
      </c>
      <c r="B111" s="78" t="str">
        <f>HYPERLINK("https://bulbapedia.bulbagarden.net/wiki/Volcanion-EX_(Steam_Siege_107)","VolcanionEX")</f>
        <v>VolcanionEX</v>
      </c>
      <c r="C111" s="64" t="s">
        <v>3921</v>
      </c>
      <c r="D111" s="76"/>
      <c r="E111" s="5"/>
      <c r="F111" s="5"/>
      <c r="G111" s="5"/>
    </row>
    <row r="112" spans="1:7" ht="13">
      <c r="A112" s="64" t="s">
        <v>6159</v>
      </c>
      <c r="B112" s="78" t="str">
        <f>HYPERLINK("https://bulbapedia.bulbagarden.net/wiki/Steelix-EX_(Steam_Siege_108)","SteelixEX")</f>
        <v>SteelixEX</v>
      </c>
      <c r="C112" s="64" t="s">
        <v>220</v>
      </c>
      <c r="D112" s="76"/>
      <c r="E112" s="5"/>
      <c r="F112" s="5"/>
      <c r="G112" s="5"/>
    </row>
    <row r="113" spans="1:7" ht="13">
      <c r="A113" s="64" t="s">
        <v>6160</v>
      </c>
      <c r="B113" s="79" t="str">
        <f>HYPERLINK("https://bulbapedia.bulbagarden.net/wiki/M_Steelix-EX_(Steam_Siege_109)","MSteelixEX")</f>
        <v>MSteelixEX</v>
      </c>
      <c r="C113" s="64" t="s">
        <v>6109</v>
      </c>
      <c r="D113" s="76"/>
      <c r="E113" s="5"/>
      <c r="F113" s="5"/>
      <c r="G113" s="5"/>
    </row>
    <row r="114" spans="1:7" ht="13">
      <c r="A114" s="64" t="s">
        <v>6161</v>
      </c>
      <c r="B114" s="78" t="str">
        <f>HYPERLINK("https://bulbapedia.bulbagarden.net/wiki/Magearna-EX_(Steam_Siege_110)","MagearnaEX")</f>
        <v>MagearnaEX</v>
      </c>
      <c r="C114" s="64" t="s">
        <v>220</v>
      </c>
      <c r="D114" s="76"/>
      <c r="E114" s="5"/>
      <c r="F114" s="5"/>
      <c r="G114" s="5"/>
    </row>
    <row r="115" spans="1:7" ht="13">
      <c r="A115" s="64" t="s">
        <v>6162</v>
      </c>
      <c r="B115" s="78" t="str">
        <f>HYPERLINK("https://bulbapedia.bulbagarden.net/wiki/Gardevoir-EX_(Steam_Siege_111)","GardevoirEX")</f>
        <v>GardevoirEX</v>
      </c>
      <c r="C115" s="64" t="s">
        <v>4743</v>
      </c>
      <c r="D115" s="76"/>
      <c r="E115" s="5"/>
      <c r="F115" s="5"/>
      <c r="G115" s="5"/>
    </row>
    <row r="116" spans="1:7" ht="13">
      <c r="A116" s="64" t="s">
        <v>6163</v>
      </c>
      <c r="B116" s="79" t="str">
        <f>HYPERLINK("https://bulbapedia.bulbagarden.net/wiki/M_Gardevoir-EX_(Steam_Siege_112)","MGardevoirEX")</f>
        <v>MGardevoirEX</v>
      </c>
      <c r="C116" s="64" t="s">
        <v>6122</v>
      </c>
      <c r="D116" s="76"/>
      <c r="E116" s="5"/>
      <c r="F116" s="5"/>
      <c r="G116" s="5"/>
    </row>
    <row r="117" spans="1:7" ht="13">
      <c r="A117" s="64" t="s">
        <v>6164</v>
      </c>
      <c r="B117" s="77" t="s">
        <v>6153</v>
      </c>
      <c r="C117" s="64" t="s">
        <v>1013</v>
      </c>
      <c r="D117" s="76"/>
      <c r="E117" s="5"/>
      <c r="F117" s="5"/>
      <c r="G117" s="5"/>
    </row>
    <row r="118" spans="1:7" ht="13">
      <c r="A118" s="64" t="s">
        <v>6165</v>
      </c>
      <c r="B118" s="77" t="s">
        <v>5055</v>
      </c>
      <c r="C118" s="64" t="s">
        <v>1013</v>
      </c>
      <c r="D118" s="76"/>
      <c r="E118" s="5"/>
      <c r="F118" s="5"/>
      <c r="G118" s="5"/>
    </row>
    <row r="119" spans="1:7" ht="13">
      <c r="A119" s="64" t="s">
        <v>6166</v>
      </c>
      <c r="B119" s="78" t="str">
        <f>HYPERLINK("https://bulbapedia.bulbagarden.net/wiki/Volcanion-EX_(Steam_Siege_115)","VolcanionEX")</f>
        <v>VolcanionEX</v>
      </c>
      <c r="C119" s="64" t="s">
        <v>4941</v>
      </c>
      <c r="D119" s="76"/>
      <c r="E119" s="5"/>
      <c r="F119" s="5"/>
      <c r="G119" s="5"/>
    </row>
    <row r="120" spans="1:7" ht="13">
      <c r="A120" s="64" t="s">
        <v>6167</v>
      </c>
      <c r="B120" s="78" t="str">
        <f>HYPERLINK("https://bulbapedia.bulbagarden.net/wiki/Gardevoir-EX_(Steam_Siege_116)","GardevoirEX")</f>
        <v>GardevoirEX</v>
      </c>
      <c r="C120" s="64" t="s">
        <v>4743</v>
      </c>
      <c r="D120" s="76"/>
      <c r="E120" s="5"/>
      <c r="F120" s="5"/>
      <c r="G120" s="5"/>
    </row>
    <row r="122" spans="1:7" ht="13">
      <c r="A122" s="64"/>
      <c r="B122" s="93"/>
      <c r="C122" s="64"/>
      <c r="D122" s="64"/>
      <c r="E122" s="5"/>
      <c r="F122" s="5"/>
      <c r="G122" s="5"/>
    </row>
    <row r="123" spans="1:7" ht="13">
      <c r="A123" s="64"/>
      <c r="B123" s="93"/>
      <c r="C123" s="64"/>
      <c r="D123" s="64"/>
      <c r="E123" s="5"/>
      <c r="F123" s="5"/>
      <c r="G123" s="5"/>
    </row>
    <row r="124" spans="1:7" ht="13">
      <c r="A124" s="64"/>
      <c r="B124" s="91"/>
      <c r="C124" s="64"/>
      <c r="D124" s="92"/>
      <c r="E124" s="5"/>
      <c r="F124" s="5"/>
      <c r="G124" s="5"/>
    </row>
    <row r="125" spans="1:7" ht="13">
      <c r="A125" s="64"/>
      <c r="B125" s="91"/>
      <c r="C125" s="64"/>
      <c r="D125" s="64"/>
      <c r="E125" s="5"/>
      <c r="F125" s="5"/>
      <c r="G125" s="5"/>
    </row>
    <row r="126" spans="1:7" ht="13">
      <c r="A126" s="64"/>
      <c r="B126" s="93"/>
      <c r="C126" s="64"/>
      <c r="D126" s="92"/>
      <c r="E126" s="5"/>
      <c r="F126" s="5"/>
      <c r="G126" s="5"/>
    </row>
    <row r="127" spans="1:7" ht="13">
      <c r="A127" s="64"/>
      <c r="B127" s="93"/>
      <c r="C127" s="64"/>
      <c r="D127" s="92"/>
      <c r="E127" s="5"/>
      <c r="F127" s="5"/>
      <c r="G127" s="5"/>
    </row>
    <row r="128" spans="1:7" ht="13">
      <c r="A128" s="64"/>
      <c r="B128" s="91"/>
      <c r="C128" s="64"/>
      <c r="D128" s="92"/>
      <c r="E128" s="5"/>
      <c r="F128" s="5"/>
      <c r="G128" s="5"/>
    </row>
    <row r="129" spans="1:7" ht="13">
      <c r="A129" s="64"/>
      <c r="B129" s="91"/>
      <c r="C129" s="64"/>
      <c r="D129" s="64"/>
      <c r="E129" s="5"/>
      <c r="F129" s="5"/>
      <c r="G129" s="5"/>
    </row>
    <row r="130" spans="1:7" ht="13">
      <c r="A130" s="64"/>
      <c r="B130" s="90"/>
      <c r="C130" s="76"/>
      <c r="D130" s="47"/>
      <c r="E130" s="5"/>
      <c r="F130" s="5"/>
      <c r="G130" s="5"/>
    </row>
    <row r="131" spans="1:7" ht="13">
      <c r="A131" s="64"/>
      <c r="B131" s="90"/>
      <c r="C131" s="76"/>
      <c r="D131" s="47"/>
      <c r="E131" s="5"/>
      <c r="F131" s="5"/>
      <c r="G131" s="5"/>
    </row>
    <row r="132" spans="1:7" ht="13">
      <c r="A132" s="64"/>
      <c r="B132" s="91"/>
      <c r="C132" s="64"/>
      <c r="D132" s="92"/>
      <c r="E132" s="5"/>
      <c r="F132" s="5"/>
      <c r="G132" s="5"/>
    </row>
    <row r="133" spans="1:7" ht="13">
      <c r="A133" s="64"/>
      <c r="B133" s="91"/>
      <c r="C133" s="64"/>
      <c r="D133" s="64"/>
      <c r="E133" s="5"/>
      <c r="F133" s="5"/>
      <c r="G133" s="5"/>
    </row>
    <row r="134" spans="1:7" ht="13">
      <c r="A134" s="48"/>
      <c r="B134" s="71"/>
      <c r="C134" s="48"/>
      <c r="D134" s="47"/>
      <c r="E134" s="5"/>
      <c r="F134" s="5"/>
      <c r="G134" s="5"/>
    </row>
    <row r="135" spans="1:7" ht="13">
      <c r="A135" s="48"/>
      <c r="B135" s="71"/>
      <c r="C135" s="48"/>
      <c r="D135" s="47"/>
      <c r="E135" s="5"/>
      <c r="F135" s="5"/>
      <c r="G135" s="5"/>
    </row>
    <row r="136" spans="1:7" ht="13">
      <c r="A136" s="48"/>
      <c r="B136" s="71"/>
      <c r="C136" s="48"/>
      <c r="D136" s="47"/>
      <c r="E136" s="5"/>
      <c r="F136" s="5"/>
      <c r="G136" s="5"/>
    </row>
    <row r="137" spans="1:7" ht="13">
      <c r="A137" s="48"/>
      <c r="B137" s="69"/>
      <c r="C137" s="48"/>
      <c r="D137" s="47"/>
      <c r="E137" s="5"/>
      <c r="F137" s="5"/>
      <c r="G137" s="5"/>
    </row>
    <row r="138" spans="1:7" ht="13">
      <c r="A138" s="48"/>
      <c r="B138" s="69"/>
      <c r="C138" s="48"/>
      <c r="D138" s="47"/>
      <c r="E138" s="5"/>
      <c r="F138" s="5"/>
      <c r="G138" s="5"/>
    </row>
    <row r="139" spans="1:7" ht="13">
      <c r="A139" s="48"/>
      <c r="B139" s="69"/>
      <c r="C139" s="48"/>
      <c r="D139" s="47"/>
      <c r="E139" s="5"/>
      <c r="F139" s="5"/>
      <c r="G139" s="5"/>
    </row>
    <row r="140" spans="1:7" ht="13">
      <c r="A140" s="48"/>
      <c r="B140" s="69"/>
      <c r="C140" s="48"/>
      <c r="D140" s="47"/>
      <c r="E140" s="5"/>
      <c r="F140" s="5"/>
      <c r="G140" s="5"/>
    </row>
    <row r="141" spans="1:7" ht="13">
      <c r="A141" s="48"/>
      <c r="B141" s="69"/>
      <c r="C141" s="48"/>
      <c r="D141" s="47"/>
      <c r="E141" s="5"/>
      <c r="F141" s="5"/>
      <c r="G141" s="5"/>
    </row>
    <row r="142" spans="1:7" ht="13">
      <c r="A142" s="48"/>
      <c r="B142" s="69"/>
      <c r="C142" s="48"/>
      <c r="D142" s="47"/>
      <c r="E142" s="5"/>
      <c r="F142" s="5"/>
      <c r="G142" s="5"/>
    </row>
    <row r="143" spans="1:7" ht="13">
      <c r="A143" s="48"/>
      <c r="B143" s="69"/>
      <c r="C143" s="48"/>
      <c r="D143" s="47"/>
      <c r="E143" s="5"/>
      <c r="F143" s="5"/>
      <c r="G143" s="5"/>
    </row>
    <row r="144" spans="1:7" ht="13">
      <c r="A144" s="48"/>
      <c r="B144" s="69"/>
      <c r="C144" s="48"/>
      <c r="D144" s="47"/>
      <c r="E144" s="5"/>
      <c r="F144" s="5"/>
      <c r="G144" s="5"/>
    </row>
    <row r="145" spans="1:7" ht="13">
      <c r="A145" s="48"/>
      <c r="B145" s="69"/>
      <c r="C145" s="48"/>
      <c r="D145" s="47"/>
      <c r="E145" s="5"/>
      <c r="F145" s="5"/>
      <c r="G145" s="5"/>
    </row>
    <row r="146" spans="1:7" ht="13">
      <c r="A146" s="48"/>
      <c r="B146" s="71"/>
      <c r="C146" s="48"/>
      <c r="D146" s="47"/>
      <c r="E146" s="5"/>
      <c r="F146" s="5"/>
      <c r="G146" s="5"/>
    </row>
    <row r="147" spans="1:7" ht="13">
      <c r="A147" s="48"/>
      <c r="B147" s="71"/>
      <c r="C147" s="48"/>
      <c r="D147" s="47"/>
      <c r="E147" s="5"/>
      <c r="F147" s="5"/>
      <c r="G147" s="5"/>
    </row>
    <row r="148" spans="1:7" ht="13">
      <c r="A148" s="48"/>
      <c r="B148" s="71"/>
      <c r="C148" s="48"/>
      <c r="D148" s="47"/>
      <c r="E148" s="5"/>
      <c r="F148" s="5"/>
      <c r="G148" s="5"/>
    </row>
    <row r="149" spans="1:7" ht="13">
      <c r="A149" s="48"/>
      <c r="B149" s="71"/>
      <c r="C149" s="48"/>
      <c r="D149" s="47"/>
      <c r="E149" s="5"/>
      <c r="F149" s="5"/>
      <c r="G149" s="5"/>
    </row>
    <row r="150" spans="1:7" ht="13">
      <c r="A150" s="48"/>
      <c r="B150" s="71"/>
      <c r="C150" s="48"/>
      <c r="D150" s="47"/>
      <c r="E150" s="5"/>
      <c r="F150" s="5"/>
      <c r="G150" s="5"/>
    </row>
    <row r="151" spans="1:7" ht="13">
      <c r="A151" s="48"/>
      <c r="B151" s="71"/>
      <c r="C151" s="48"/>
      <c r="D151" s="47"/>
      <c r="E151" s="5"/>
      <c r="F151" s="5"/>
      <c r="G151" s="5"/>
    </row>
    <row r="152" spans="1:7" ht="13">
      <c r="A152" s="48"/>
      <c r="B152" s="69"/>
      <c r="C152" s="48"/>
      <c r="D152" s="47"/>
      <c r="E152" s="5"/>
      <c r="F152" s="5"/>
      <c r="G152" s="5"/>
    </row>
    <row r="153" spans="1:7" ht="13">
      <c r="A153" s="48"/>
      <c r="B153" s="71"/>
      <c r="C153" s="48"/>
      <c r="D153" s="47"/>
      <c r="E153" s="5"/>
      <c r="F153" s="5"/>
      <c r="G153" s="5"/>
    </row>
    <row r="154" spans="1:7" ht="13">
      <c r="A154" s="48"/>
      <c r="B154" s="71"/>
      <c r="C154" s="48"/>
      <c r="D154" s="47"/>
      <c r="E154" s="5"/>
      <c r="F154" s="5"/>
      <c r="G154" s="5"/>
    </row>
    <row r="155" spans="1:7" ht="13">
      <c r="A155" s="48"/>
      <c r="B155" s="71"/>
      <c r="C155" s="48"/>
      <c r="D155" s="47"/>
      <c r="E155" s="5"/>
      <c r="F155" s="5"/>
      <c r="G155" s="5"/>
    </row>
    <row r="156" spans="1:7" ht="13">
      <c r="A156" s="48"/>
      <c r="B156" s="71"/>
      <c r="C156" s="48"/>
      <c r="D156" s="47"/>
      <c r="E156" s="5"/>
      <c r="F156" s="5"/>
      <c r="G156" s="5"/>
    </row>
    <row r="157" spans="1:7" ht="13">
      <c r="A157" s="48"/>
      <c r="B157" s="71"/>
      <c r="C157" s="48"/>
      <c r="D157" s="47"/>
      <c r="E157" s="5"/>
      <c r="F157" s="5"/>
      <c r="G157" s="5"/>
    </row>
    <row r="158" spans="1:7" ht="13">
      <c r="A158" s="48"/>
      <c r="B158" s="71"/>
      <c r="C158" s="48"/>
      <c r="D158" s="47"/>
      <c r="E158" s="5"/>
      <c r="F158" s="5"/>
      <c r="G158" s="5"/>
    </row>
    <row r="159" spans="1:7" ht="13">
      <c r="A159" s="48"/>
      <c r="B159" s="71"/>
      <c r="C159" s="48"/>
      <c r="D159" s="47"/>
      <c r="E159" s="5"/>
      <c r="F159" s="5"/>
      <c r="G159" s="5"/>
    </row>
    <row r="160" spans="1:7" ht="13">
      <c r="A160" s="48"/>
      <c r="B160" s="71"/>
      <c r="C160" s="48"/>
      <c r="D160" s="47"/>
      <c r="E160" s="5"/>
      <c r="F160" s="5"/>
      <c r="G160" s="5"/>
    </row>
    <row r="161" spans="1:7" ht="13">
      <c r="A161" s="48"/>
      <c r="B161" s="71"/>
      <c r="C161" s="48"/>
      <c r="D161" s="47"/>
      <c r="E161" s="5"/>
      <c r="F161" s="5"/>
      <c r="G161" s="5"/>
    </row>
    <row r="162" spans="1:7" ht="13">
      <c r="A162" s="48"/>
      <c r="B162" s="69"/>
      <c r="C162" s="48"/>
      <c r="D162" s="47"/>
      <c r="E162" s="5"/>
      <c r="F162" s="5"/>
      <c r="G162" s="5"/>
    </row>
    <row r="163" spans="1:7" ht="13">
      <c r="A163" s="48"/>
      <c r="B163" s="69"/>
      <c r="C163" s="48"/>
      <c r="D163" s="47"/>
      <c r="E163" s="5"/>
      <c r="F163" s="5"/>
      <c r="G163" s="5"/>
    </row>
    <row r="164" spans="1:7" ht="13">
      <c r="A164" s="48"/>
      <c r="B164" s="69"/>
      <c r="C164" s="48"/>
      <c r="D164" s="47"/>
      <c r="E164" s="5"/>
      <c r="F164" s="5"/>
      <c r="G164" s="5"/>
    </row>
    <row r="165" spans="1:7" ht="13">
      <c r="A165" s="48"/>
      <c r="B165" s="69"/>
      <c r="C165" s="48"/>
      <c r="D165" s="47"/>
      <c r="E165" s="5"/>
      <c r="F165" s="5"/>
      <c r="G165" s="5"/>
    </row>
    <row r="166" spans="1:7" ht="13">
      <c r="A166" s="48"/>
      <c r="B166" s="69"/>
      <c r="C166" s="48"/>
      <c r="D166" s="47"/>
      <c r="E166" s="5"/>
      <c r="F166" s="5"/>
      <c r="G166" s="5"/>
    </row>
    <row r="167" spans="1:7" ht="13">
      <c r="A167" s="48"/>
      <c r="B167" s="69"/>
      <c r="C167" s="48"/>
      <c r="D167" s="47"/>
      <c r="E167" s="5"/>
      <c r="F167" s="5"/>
      <c r="G167" s="5"/>
    </row>
    <row r="168" spans="1:7" ht="13">
      <c r="A168" s="48"/>
      <c r="B168" s="69"/>
      <c r="C168" s="48"/>
      <c r="D168" s="47"/>
      <c r="E168" s="5"/>
      <c r="F168" s="5"/>
      <c r="G168" s="5"/>
    </row>
    <row r="169" spans="1:7" ht="13">
      <c r="A169" s="48"/>
      <c r="B169" s="69"/>
      <c r="C169" s="48"/>
      <c r="D169" s="47"/>
      <c r="E169" s="5"/>
      <c r="F169" s="5"/>
      <c r="G169" s="5"/>
    </row>
    <row r="170" spans="1:7" ht="13">
      <c r="A170" s="48"/>
      <c r="B170" s="69"/>
      <c r="C170" s="48"/>
      <c r="D170" s="47"/>
      <c r="E170" s="5"/>
      <c r="F170" s="5"/>
      <c r="G170" s="5"/>
    </row>
    <row r="171" spans="1:7" ht="13">
      <c r="A171" s="48"/>
      <c r="B171" s="71"/>
      <c r="C171" s="48"/>
      <c r="D171" s="47"/>
      <c r="E171" s="5"/>
      <c r="F171" s="5"/>
      <c r="G171" s="5"/>
    </row>
    <row r="172" spans="1:7" ht="13">
      <c r="A172" s="48"/>
      <c r="B172" s="71"/>
      <c r="C172" s="48"/>
      <c r="D172" s="47"/>
      <c r="E172" s="5"/>
      <c r="F172" s="5"/>
      <c r="G172" s="5"/>
    </row>
    <row r="173" spans="1:7" ht="13">
      <c r="A173" s="48"/>
      <c r="B173" s="71"/>
      <c r="C173" s="48"/>
      <c r="D173" s="47"/>
      <c r="E173" s="5"/>
      <c r="F173" s="5"/>
      <c r="G173" s="5"/>
    </row>
    <row r="174" spans="1:7" ht="13">
      <c r="A174" s="48"/>
      <c r="B174" s="71"/>
      <c r="C174" s="48"/>
      <c r="D174" s="47"/>
      <c r="E174" s="5"/>
      <c r="F174" s="5"/>
      <c r="G174" s="5"/>
    </row>
    <row r="175" spans="1:7" ht="13">
      <c r="A175" s="48"/>
      <c r="B175" s="71"/>
      <c r="C175" s="48"/>
      <c r="D175" s="47"/>
      <c r="E175" s="5"/>
      <c r="F175" s="5"/>
      <c r="G175" s="5"/>
    </row>
    <row r="176" spans="1:7" ht="13">
      <c r="A176" s="48"/>
      <c r="B176" s="71"/>
      <c r="C176" s="48"/>
      <c r="D176" s="47"/>
      <c r="E176" s="5"/>
      <c r="F176" s="5"/>
      <c r="G176" s="5"/>
    </row>
    <row r="177" spans="1:7" ht="13">
      <c r="A177" s="48"/>
      <c r="B177" s="69"/>
      <c r="C177" s="48"/>
      <c r="D177" s="47"/>
      <c r="E177" s="5"/>
      <c r="F177" s="5"/>
      <c r="G177" s="5"/>
    </row>
    <row r="178" spans="1:7" ht="13">
      <c r="A178" s="48"/>
      <c r="B178" s="69"/>
      <c r="C178" s="48"/>
      <c r="D178" s="47"/>
      <c r="E178" s="5"/>
      <c r="F178" s="5"/>
      <c r="G178" s="5"/>
    </row>
    <row r="179" spans="1:7" ht="13">
      <c r="B179" s="36"/>
      <c r="C179" s="80"/>
      <c r="D179" s="5"/>
      <c r="E179" s="5"/>
      <c r="F179" s="5"/>
      <c r="G179" s="5"/>
    </row>
    <row r="180" spans="1:7" ht="13">
      <c r="B180" s="36"/>
      <c r="C180" s="80"/>
      <c r="D180" s="5"/>
      <c r="E180" s="5"/>
      <c r="F180" s="5"/>
      <c r="G180" s="5"/>
    </row>
    <row r="181" spans="1:7" ht="13">
      <c r="B181" s="36"/>
      <c r="C181" s="80"/>
      <c r="D181" s="5"/>
      <c r="E181" s="5"/>
      <c r="F181" s="5"/>
      <c r="G181" s="5"/>
    </row>
    <row r="182" spans="1:7" ht="13">
      <c r="B182" s="36"/>
      <c r="C182" s="80"/>
      <c r="D182" s="5"/>
      <c r="E182" s="5"/>
      <c r="F182" s="5"/>
      <c r="G182" s="5"/>
    </row>
    <row r="183" spans="1:7" ht="13">
      <c r="B183" s="36"/>
      <c r="C183" s="80"/>
      <c r="D183" s="5"/>
      <c r="E183" s="5"/>
      <c r="F183" s="5"/>
      <c r="G183" s="5"/>
    </row>
    <row r="184" spans="1:7" ht="13">
      <c r="B184" s="36"/>
      <c r="C184" s="80"/>
      <c r="D184" s="5"/>
      <c r="E184" s="5"/>
      <c r="F184" s="5"/>
      <c r="G184" s="5"/>
    </row>
    <row r="185" spans="1:7" ht="13">
      <c r="B185" s="36"/>
      <c r="C185" s="80"/>
      <c r="D185" s="5"/>
      <c r="E185" s="5"/>
      <c r="F185" s="5"/>
      <c r="G185" s="5"/>
    </row>
    <row r="186" spans="1:7" ht="13">
      <c r="B186" s="36"/>
      <c r="C186" s="80"/>
      <c r="D186" s="5"/>
      <c r="E186" s="5"/>
      <c r="F186" s="5"/>
      <c r="G186" s="5"/>
    </row>
    <row r="187" spans="1:7" ht="13">
      <c r="B187" s="36"/>
      <c r="C187" s="80"/>
      <c r="D187" s="5"/>
      <c r="E187" s="5"/>
      <c r="F187" s="5"/>
      <c r="G187" s="5"/>
    </row>
    <row r="188" spans="1:7" ht="13">
      <c r="B188" s="36"/>
      <c r="C188" s="80"/>
      <c r="D188" s="5"/>
      <c r="E188" s="5"/>
      <c r="F188" s="5"/>
      <c r="G188" s="5"/>
    </row>
    <row r="189" spans="1:7" ht="13">
      <c r="B189" s="36"/>
      <c r="C189" s="80"/>
      <c r="D189" s="5"/>
      <c r="E189" s="5"/>
      <c r="F189" s="5"/>
      <c r="G189" s="5"/>
    </row>
    <row r="190" spans="1:7" ht="13">
      <c r="B190" s="36"/>
      <c r="C190" s="80"/>
      <c r="D190" s="5"/>
      <c r="E190" s="5"/>
      <c r="F190" s="5"/>
      <c r="G190" s="5"/>
    </row>
    <row r="191" spans="1:7" ht="13">
      <c r="B191" s="36"/>
      <c r="C191" s="80"/>
      <c r="D191" s="5"/>
      <c r="E191" s="5"/>
      <c r="F191" s="5"/>
      <c r="G191" s="5"/>
    </row>
    <row r="192" spans="1:7" ht="13">
      <c r="B192" s="36"/>
      <c r="C192" s="80"/>
      <c r="D192" s="5"/>
      <c r="E192" s="5"/>
      <c r="F192" s="5"/>
      <c r="G192" s="5"/>
    </row>
    <row r="193" spans="2:7" ht="13">
      <c r="B193" s="36"/>
      <c r="C193" s="80"/>
      <c r="D193" s="5"/>
      <c r="E193" s="5"/>
      <c r="F193" s="5"/>
      <c r="G193" s="5"/>
    </row>
    <row r="194" spans="2:7" ht="13">
      <c r="B194" s="36"/>
      <c r="C194" s="80"/>
      <c r="D194" s="5"/>
      <c r="E194" s="5"/>
      <c r="F194" s="5"/>
      <c r="G194" s="5"/>
    </row>
    <row r="195" spans="2:7" ht="13">
      <c r="B195" s="36"/>
      <c r="C195" s="80"/>
      <c r="D195" s="5"/>
      <c r="E195" s="5"/>
      <c r="F195" s="5"/>
      <c r="G195" s="5"/>
    </row>
    <row r="196" spans="2:7" ht="13">
      <c r="B196" s="36"/>
      <c r="C196" s="80"/>
      <c r="D196" s="5"/>
      <c r="E196" s="5"/>
      <c r="F196" s="5"/>
      <c r="G196" s="5"/>
    </row>
    <row r="197" spans="2:7" ht="13">
      <c r="B197" s="36"/>
      <c r="C197" s="80"/>
      <c r="D197" s="5"/>
      <c r="E197" s="5"/>
      <c r="F197" s="5"/>
      <c r="G197" s="5"/>
    </row>
    <row r="198" spans="2:7" ht="13">
      <c r="B198" s="36"/>
      <c r="C198" s="80"/>
      <c r="D198" s="5"/>
      <c r="E198" s="5"/>
      <c r="F198" s="5"/>
      <c r="G198" s="5"/>
    </row>
    <row r="199" spans="2:7" ht="13">
      <c r="B199" s="36"/>
      <c r="C199" s="80"/>
      <c r="D199" s="5"/>
      <c r="E199" s="5"/>
      <c r="F199" s="5"/>
      <c r="G199" s="5"/>
    </row>
    <row r="200" spans="2:7" ht="13">
      <c r="B200" s="36"/>
      <c r="C200" s="80"/>
      <c r="D200" s="5"/>
      <c r="E200" s="5"/>
      <c r="F200" s="5"/>
      <c r="G200" s="5"/>
    </row>
    <row r="201" spans="2:7" ht="13">
      <c r="B201" s="36"/>
      <c r="C201" s="80"/>
      <c r="D201" s="5"/>
      <c r="E201" s="5"/>
      <c r="F201" s="5"/>
      <c r="G201" s="5"/>
    </row>
    <row r="202" spans="2:7" ht="13">
      <c r="B202" s="36"/>
      <c r="C202" s="80"/>
      <c r="D202" s="5"/>
      <c r="E202" s="5"/>
      <c r="F202" s="5"/>
      <c r="G202" s="5"/>
    </row>
    <row r="203" spans="2:7" ht="13">
      <c r="B203" s="36"/>
      <c r="C203" s="80"/>
      <c r="D203" s="5"/>
      <c r="E203" s="5"/>
      <c r="F203" s="5"/>
      <c r="G203" s="5"/>
    </row>
    <row r="204" spans="2:7" ht="13">
      <c r="B204" s="36"/>
      <c r="C204" s="80"/>
      <c r="D204" s="5"/>
      <c r="E204" s="5"/>
      <c r="F204" s="5"/>
      <c r="G204" s="5"/>
    </row>
    <row r="205" spans="2:7" ht="13">
      <c r="B205" s="36"/>
      <c r="C205" s="80"/>
      <c r="D205" s="5"/>
      <c r="E205" s="5"/>
      <c r="F205" s="5"/>
      <c r="G205" s="5"/>
    </row>
    <row r="206" spans="2:7" ht="13">
      <c r="B206" s="36"/>
      <c r="C206" s="80"/>
      <c r="D206" s="5"/>
      <c r="E206" s="5"/>
      <c r="F206" s="5"/>
      <c r="G206" s="5"/>
    </row>
    <row r="207" spans="2:7" ht="13">
      <c r="B207" s="36"/>
      <c r="C207" s="80"/>
      <c r="D207" s="5"/>
      <c r="E207" s="5"/>
      <c r="F207" s="5"/>
      <c r="G207" s="5"/>
    </row>
    <row r="208" spans="2:7" ht="13">
      <c r="B208" s="36"/>
      <c r="C208" s="80"/>
      <c r="D208" s="5"/>
      <c r="E208" s="5"/>
      <c r="F208" s="5"/>
      <c r="G208" s="5"/>
    </row>
    <row r="209" spans="2:7" ht="13">
      <c r="B209" s="36"/>
      <c r="C209" s="80"/>
      <c r="D209" s="5"/>
      <c r="E209" s="5"/>
      <c r="F209" s="5"/>
      <c r="G209" s="5"/>
    </row>
    <row r="210" spans="2:7" ht="13">
      <c r="B210" s="36"/>
      <c r="C210" s="80"/>
      <c r="D210" s="5"/>
      <c r="E210" s="5"/>
      <c r="F210" s="5"/>
      <c r="G210" s="5"/>
    </row>
    <row r="211" spans="2:7" ht="13">
      <c r="B211" s="36"/>
      <c r="C211" s="80"/>
      <c r="D211" s="5"/>
      <c r="E211" s="5"/>
      <c r="F211" s="5"/>
      <c r="G211" s="5"/>
    </row>
    <row r="212" spans="2:7" ht="13">
      <c r="B212" s="36"/>
      <c r="C212" s="80"/>
      <c r="D212" s="5"/>
      <c r="E212" s="5"/>
      <c r="F212" s="5"/>
      <c r="G212" s="5"/>
    </row>
    <row r="213" spans="2:7" ht="13">
      <c r="B213" s="36"/>
      <c r="C213" s="80"/>
      <c r="D213" s="5"/>
      <c r="E213" s="5"/>
      <c r="F213" s="5"/>
      <c r="G213" s="5"/>
    </row>
    <row r="214" spans="2:7" ht="13">
      <c r="B214" s="36"/>
      <c r="C214" s="80"/>
      <c r="D214" s="5"/>
      <c r="E214" s="5"/>
      <c r="F214" s="5"/>
      <c r="G214" s="5"/>
    </row>
    <row r="215" spans="2:7" ht="13">
      <c r="B215" s="36"/>
      <c r="C215" s="80"/>
      <c r="D215" s="5"/>
      <c r="E215" s="5"/>
      <c r="F215" s="5"/>
      <c r="G215" s="5"/>
    </row>
    <row r="216" spans="2:7" ht="13">
      <c r="B216" s="36"/>
      <c r="C216" s="80"/>
      <c r="D216" s="5"/>
      <c r="E216" s="5"/>
      <c r="F216" s="5"/>
      <c r="G216" s="5"/>
    </row>
    <row r="217" spans="2:7" ht="13">
      <c r="B217" s="36"/>
      <c r="C217" s="80"/>
      <c r="D217" s="5"/>
      <c r="E217" s="5"/>
      <c r="F217" s="5"/>
      <c r="G217" s="5"/>
    </row>
    <row r="218" spans="2:7" ht="13">
      <c r="B218" s="36"/>
      <c r="C218" s="80"/>
      <c r="D218" s="5"/>
      <c r="E218" s="5"/>
      <c r="F218" s="5"/>
      <c r="G218" s="5"/>
    </row>
    <row r="219" spans="2:7" ht="13">
      <c r="B219" s="36"/>
      <c r="C219" s="80"/>
      <c r="D219" s="5"/>
      <c r="E219" s="5"/>
      <c r="F219" s="5"/>
      <c r="G219" s="5"/>
    </row>
    <row r="220" spans="2:7" ht="13">
      <c r="B220" s="36"/>
      <c r="C220" s="80"/>
      <c r="D220" s="5"/>
      <c r="E220" s="5"/>
      <c r="F220" s="5"/>
      <c r="G220" s="5"/>
    </row>
    <row r="221" spans="2:7" ht="13">
      <c r="B221" s="36"/>
      <c r="C221" s="80"/>
      <c r="D221" s="5"/>
      <c r="E221" s="5"/>
      <c r="F221" s="5"/>
      <c r="G221" s="5"/>
    </row>
    <row r="222" spans="2:7" ht="13">
      <c r="B222" s="36"/>
      <c r="C222" s="80"/>
      <c r="D222" s="5"/>
      <c r="E222" s="5"/>
      <c r="F222" s="5"/>
      <c r="G222" s="5"/>
    </row>
    <row r="223" spans="2:7" ht="13">
      <c r="B223" s="36"/>
      <c r="C223" s="80"/>
      <c r="D223" s="5"/>
      <c r="E223" s="5"/>
      <c r="F223" s="5"/>
      <c r="G223" s="5"/>
    </row>
    <row r="224" spans="2:7" ht="13">
      <c r="B224" s="36"/>
      <c r="C224" s="80"/>
      <c r="D224" s="5"/>
      <c r="E224" s="5"/>
      <c r="F224" s="5"/>
      <c r="G224" s="5"/>
    </row>
    <row r="225" spans="2:7" ht="13">
      <c r="B225" s="36"/>
      <c r="C225" s="80"/>
      <c r="D225" s="5"/>
      <c r="E225" s="5"/>
      <c r="F225" s="5"/>
      <c r="G225" s="5"/>
    </row>
    <row r="226" spans="2:7" ht="13">
      <c r="B226" s="36"/>
      <c r="C226" s="80"/>
      <c r="D226" s="5"/>
      <c r="E226" s="5"/>
      <c r="F226" s="5"/>
      <c r="G226" s="5"/>
    </row>
    <row r="227" spans="2:7" ht="13">
      <c r="B227" s="36"/>
      <c r="C227" s="80"/>
      <c r="D227" s="5"/>
      <c r="E227" s="5"/>
      <c r="F227" s="5"/>
      <c r="G227" s="5"/>
    </row>
    <row r="228" spans="2:7" ht="13">
      <c r="B228" s="36"/>
      <c r="C228" s="80"/>
      <c r="D228" s="5"/>
      <c r="E228" s="5"/>
      <c r="F228" s="5"/>
      <c r="G228" s="5"/>
    </row>
    <row r="229" spans="2:7" ht="13">
      <c r="B229" s="36"/>
      <c r="C229" s="80"/>
      <c r="D229" s="5"/>
      <c r="E229" s="5"/>
      <c r="F229" s="5"/>
      <c r="G229" s="5"/>
    </row>
    <row r="230" spans="2:7" ht="13">
      <c r="B230" s="36"/>
      <c r="C230" s="80"/>
      <c r="D230" s="5"/>
      <c r="E230" s="5"/>
      <c r="F230" s="5"/>
      <c r="G230" s="5"/>
    </row>
    <row r="231" spans="2:7" ht="13">
      <c r="B231" s="36"/>
      <c r="C231" s="80"/>
      <c r="D231" s="5"/>
      <c r="E231" s="5"/>
      <c r="F231" s="5"/>
      <c r="G231" s="5"/>
    </row>
    <row r="232" spans="2:7" ht="13">
      <c r="B232" s="36"/>
      <c r="C232" s="80"/>
      <c r="D232" s="5"/>
      <c r="E232" s="5"/>
      <c r="F232" s="5"/>
      <c r="G232" s="5"/>
    </row>
    <row r="233" spans="2:7" ht="13">
      <c r="B233" s="36"/>
      <c r="C233" s="80"/>
      <c r="D233" s="5"/>
      <c r="E233" s="5"/>
      <c r="F233" s="5"/>
      <c r="G233" s="5"/>
    </row>
    <row r="234" spans="2:7" ht="13">
      <c r="B234" s="36"/>
      <c r="C234" s="80"/>
      <c r="D234" s="5"/>
      <c r="E234" s="5"/>
      <c r="F234" s="5"/>
      <c r="G234" s="5"/>
    </row>
    <row r="235" spans="2:7" ht="13">
      <c r="B235" s="36"/>
      <c r="C235" s="80"/>
      <c r="D235" s="5"/>
      <c r="E235" s="5"/>
      <c r="F235" s="5"/>
      <c r="G235" s="5"/>
    </row>
    <row r="236" spans="2:7" ht="13">
      <c r="B236" s="36"/>
      <c r="C236" s="80"/>
      <c r="D236" s="5"/>
      <c r="E236" s="5"/>
      <c r="F236" s="5"/>
      <c r="G236" s="5"/>
    </row>
    <row r="237" spans="2:7" ht="13">
      <c r="B237" s="36"/>
      <c r="C237" s="80"/>
      <c r="D237" s="5"/>
      <c r="E237" s="5"/>
      <c r="F237" s="5"/>
      <c r="G237" s="5"/>
    </row>
    <row r="238" spans="2:7" ht="13">
      <c r="B238" s="36"/>
      <c r="C238" s="80"/>
      <c r="D238" s="5"/>
      <c r="E238" s="5"/>
      <c r="F238" s="5"/>
      <c r="G238" s="5"/>
    </row>
    <row r="239" spans="2:7" ht="13">
      <c r="B239" s="36"/>
      <c r="C239" s="80"/>
      <c r="D239" s="5"/>
      <c r="E239" s="5"/>
      <c r="F239" s="5"/>
      <c r="G239" s="5"/>
    </row>
    <row r="240" spans="2:7" ht="13">
      <c r="B240" s="36"/>
      <c r="C240" s="80"/>
      <c r="D240" s="5"/>
      <c r="E240" s="5"/>
      <c r="F240" s="5"/>
      <c r="G240" s="5"/>
    </row>
    <row r="241" spans="2:7" ht="13">
      <c r="B241" s="36"/>
      <c r="C241" s="80"/>
      <c r="D241" s="5"/>
      <c r="E241" s="5"/>
      <c r="F241" s="5"/>
      <c r="G241" s="5"/>
    </row>
    <row r="242" spans="2:7" ht="13">
      <c r="B242" s="36"/>
      <c r="C242" s="80"/>
      <c r="D242" s="5"/>
      <c r="E242" s="5"/>
      <c r="F242" s="5"/>
      <c r="G242" s="5"/>
    </row>
    <row r="243" spans="2:7" ht="13">
      <c r="B243" s="36"/>
      <c r="C243" s="80"/>
      <c r="D243" s="5"/>
      <c r="E243" s="5"/>
      <c r="F243" s="5"/>
      <c r="G243" s="5"/>
    </row>
    <row r="244" spans="2:7" ht="13">
      <c r="B244" s="36"/>
      <c r="C244" s="80"/>
      <c r="D244" s="5"/>
      <c r="E244" s="5"/>
      <c r="F244" s="5"/>
      <c r="G244" s="5"/>
    </row>
    <row r="245" spans="2:7" ht="13">
      <c r="B245" s="36"/>
      <c r="C245" s="80"/>
      <c r="D245" s="5"/>
      <c r="E245" s="5"/>
      <c r="F245" s="5"/>
      <c r="G245" s="5"/>
    </row>
    <row r="246" spans="2:7" ht="13">
      <c r="B246" s="36"/>
      <c r="C246" s="80"/>
      <c r="D246" s="5"/>
      <c r="E246" s="5"/>
      <c r="F246" s="5"/>
      <c r="G246" s="5"/>
    </row>
    <row r="247" spans="2:7" ht="13">
      <c r="B247" s="36"/>
      <c r="C247" s="80"/>
      <c r="D247" s="5"/>
      <c r="E247" s="5"/>
      <c r="F247" s="5"/>
      <c r="G247" s="5"/>
    </row>
    <row r="248" spans="2:7" ht="13">
      <c r="B248" s="36"/>
      <c r="C248" s="80"/>
      <c r="D248" s="5"/>
      <c r="E248" s="5"/>
      <c r="F248" s="5"/>
      <c r="G248" s="5"/>
    </row>
    <row r="249" spans="2:7" ht="13">
      <c r="B249" s="36"/>
      <c r="C249" s="80"/>
      <c r="D249" s="5"/>
      <c r="E249" s="5"/>
      <c r="F249" s="5"/>
      <c r="G249" s="5"/>
    </row>
    <row r="250" spans="2:7" ht="13">
      <c r="B250" s="36"/>
      <c r="C250" s="80"/>
      <c r="D250" s="5"/>
      <c r="E250" s="5"/>
      <c r="F250" s="5"/>
      <c r="G250" s="5"/>
    </row>
    <row r="251" spans="2:7" ht="13">
      <c r="B251" s="36"/>
      <c r="C251" s="80"/>
      <c r="D251" s="5"/>
      <c r="E251" s="5"/>
      <c r="F251" s="5"/>
      <c r="G251" s="5"/>
    </row>
    <row r="252" spans="2:7" ht="13">
      <c r="B252" s="36"/>
      <c r="C252" s="80"/>
      <c r="D252" s="5"/>
      <c r="E252" s="5"/>
      <c r="F252" s="5"/>
      <c r="G252" s="5"/>
    </row>
    <row r="253" spans="2:7" ht="13">
      <c r="B253" s="36"/>
      <c r="C253" s="80"/>
      <c r="D253" s="5"/>
      <c r="E253" s="5"/>
      <c r="F253" s="5"/>
      <c r="G253" s="5"/>
    </row>
    <row r="254" spans="2:7" ht="13">
      <c r="B254" s="36"/>
      <c r="C254" s="80"/>
      <c r="D254" s="5"/>
      <c r="E254" s="5"/>
      <c r="F254" s="5"/>
      <c r="G254" s="5"/>
    </row>
    <row r="255" spans="2:7" ht="13">
      <c r="B255" s="36"/>
      <c r="C255" s="80"/>
      <c r="D255" s="5"/>
      <c r="E255" s="5"/>
      <c r="F255" s="5"/>
      <c r="G255" s="5"/>
    </row>
    <row r="256" spans="2:7" ht="13">
      <c r="B256" s="36"/>
      <c r="C256" s="80"/>
      <c r="D256" s="5"/>
      <c r="E256" s="5"/>
      <c r="F256" s="5"/>
      <c r="G256" s="5"/>
    </row>
    <row r="257" spans="2:7" ht="13">
      <c r="B257" s="36"/>
      <c r="C257" s="80"/>
      <c r="D257" s="5"/>
      <c r="E257" s="5"/>
      <c r="F257" s="5"/>
      <c r="G257" s="5"/>
    </row>
    <row r="258" spans="2:7" ht="13">
      <c r="B258" s="36"/>
      <c r="C258" s="80"/>
      <c r="D258" s="5"/>
      <c r="E258" s="5"/>
      <c r="F258" s="5"/>
      <c r="G258" s="5"/>
    </row>
    <row r="259" spans="2:7" ht="13">
      <c r="B259" s="36"/>
      <c r="C259" s="80"/>
      <c r="D259" s="5"/>
      <c r="E259" s="5"/>
      <c r="F259" s="5"/>
      <c r="G259" s="5"/>
    </row>
    <row r="260" spans="2:7" ht="13">
      <c r="B260" s="36"/>
      <c r="C260" s="80"/>
      <c r="D260" s="5"/>
      <c r="E260" s="5"/>
      <c r="F260" s="5"/>
      <c r="G260" s="5"/>
    </row>
    <row r="261" spans="2:7" ht="13">
      <c r="B261" s="36"/>
      <c r="C261" s="80"/>
      <c r="D261" s="5"/>
      <c r="E261" s="5"/>
      <c r="F261" s="5"/>
      <c r="G261" s="5"/>
    </row>
    <row r="262" spans="2:7" ht="13">
      <c r="B262" s="36"/>
      <c r="C262" s="80"/>
      <c r="D262" s="5"/>
      <c r="E262" s="5"/>
      <c r="F262" s="5"/>
      <c r="G262" s="5"/>
    </row>
    <row r="263" spans="2:7" ht="13">
      <c r="B263" s="36"/>
      <c r="C263" s="80"/>
      <c r="D263" s="5"/>
      <c r="E263" s="5"/>
      <c r="F263" s="5"/>
      <c r="G263" s="5"/>
    </row>
    <row r="264" spans="2:7" ht="13">
      <c r="B264" s="36"/>
      <c r="C264" s="80"/>
      <c r="D264" s="5"/>
      <c r="E264" s="5"/>
      <c r="F264" s="5"/>
      <c r="G264" s="5"/>
    </row>
    <row r="265" spans="2:7" ht="13">
      <c r="B265" s="36"/>
      <c r="C265" s="80"/>
      <c r="D265" s="5"/>
      <c r="E265" s="5"/>
      <c r="F265" s="5"/>
      <c r="G265" s="5"/>
    </row>
    <row r="266" spans="2:7" ht="13">
      <c r="B266" s="36"/>
      <c r="C266" s="80"/>
      <c r="D266" s="5"/>
      <c r="E266" s="5"/>
      <c r="F266" s="5"/>
      <c r="G266" s="5"/>
    </row>
    <row r="267" spans="2:7" ht="13">
      <c r="B267" s="36"/>
      <c r="C267" s="80"/>
      <c r="D267" s="5"/>
      <c r="E267" s="5"/>
      <c r="F267" s="5"/>
      <c r="G267" s="5"/>
    </row>
    <row r="268" spans="2:7" ht="13">
      <c r="B268" s="36"/>
      <c r="C268" s="80"/>
      <c r="D268" s="5"/>
      <c r="E268" s="5"/>
      <c r="F268" s="5"/>
      <c r="G268" s="5"/>
    </row>
    <row r="269" spans="2:7" ht="13">
      <c r="B269" s="36"/>
      <c r="C269" s="80"/>
      <c r="D269" s="5"/>
      <c r="E269" s="5"/>
      <c r="F269" s="5"/>
      <c r="G269" s="5"/>
    </row>
    <row r="270" spans="2:7" ht="13">
      <c r="B270" s="36"/>
      <c r="C270" s="80"/>
      <c r="D270" s="5"/>
      <c r="E270" s="5"/>
      <c r="F270" s="5"/>
      <c r="G270" s="5"/>
    </row>
    <row r="271" spans="2:7" ht="13">
      <c r="B271" s="36"/>
      <c r="C271" s="80"/>
      <c r="D271" s="5"/>
      <c r="E271" s="5"/>
      <c r="F271" s="5"/>
      <c r="G271" s="5"/>
    </row>
    <row r="272" spans="2:7" ht="13">
      <c r="B272" s="36"/>
      <c r="C272" s="80"/>
      <c r="D272" s="5"/>
      <c r="E272" s="5"/>
      <c r="F272" s="5"/>
      <c r="G272" s="5"/>
    </row>
    <row r="273" spans="2:7" ht="13">
      <c r="B273" s="36"/>
      <c r="C273" s="80"/>
      <c r="D273" s="5"/>
      <c r="E273" s="5"/>
      <c r="F273" s="5"/>
      <c r="G273" s="5"/>
    </row>
    <row r="274" spans="2:7" ht="13">
      <c r="B274" s="36"/>
      <c r="C274" s="80"/>
      <c r="D274" s="5"/>
      <c r="E274" s="5"/>
      <c r="F274" s="5"/>
      <c r="G274" s="5"/>
    </row>
    <row r="275" spans="2:7" ht="13">
      <c r="B275" s="36"/>
      <c r="C275" s="80"/>
      <c r="D275" s="5"/>
      <c r="E275" s="5"/>
      <c r="F275" s="5"/>
      <c r="G275" s="5"/>
    </row>
    <row r="276" spans="2:7" ht="13">
      <c r="B276" s="36"/>
      <c r="C276" s="80"/>
      <c r="D276" s="5"/>
      <c r="E276" s="5"/>
      <c r="F276" s="5"/>
      <c r="G276" s="5"/>
    </row>
    <row r="277" spans="2:7" ht="13">
      <c r="B277" s="36"/>
      <c r="C277" s="80"/>
      <c r="D277" s="5"/>
      <c r="E277" s="5"/>
      <c r="F277" s="5"/>
      <c r="G277" s="5"/>
    </row>
    <row r="278" spans="2:7" ht="13">
      <c r="B278" s="36"/>
      <c r="C278" s="80"/>
      <c r="D278" s="5"/>
      <c r="E278" s="5"/>
      <c r="F278" s="5"/>
      <c r="G278" s="5"/>
    </row>
    <row r="279" spans="2:7" ht="13">
      <c r="B279" s="36"/>
      <c r="C279" s="80"/>
      <c r="D279" s="5"/>
      <c r="E279" s="5"/>
      <c r="F279" s="5"/>
      <c r="G279" s="5"/>
    </row>
    <row r="280" spans="2:7" ht="13">
      <c r="B280" s="36"/>
      <c r="C280" s="80"/>
      <c r="D280" s="5"/>
      <c r="E280" s="5"/>
      <c r="F280" s="5"/>
      <c r="G280" s="5"/>
    </row>
    <row r="281" spans="2:7" ht="13">
      <c r="B281" s="36"/>
      <c r="C281" s="80"/>
      <c r="D281" s="5"/>
      <c r="E281" s="5"/>
      <c r="F281" s="5"/>
      <c r="G281" s="5"/>
    </row>
    <row r="282" spans="2:7" ht="13">
      <c r="B282" s="36"/>
      <c r="C282" s="80"/>
      <c r="D282" s="5"/>
      <c r="E282" s="5"/>
      <c r="F282" s="5"/>
      <c r="G282" s="5"/>
    </row>
    <row r="283" spans="2:7" ht="13">
      <c r="B283" s="36"/>
      <c r="C283" s="80"/>
      <c r="D283" s="5"/>
      <c r="E283" s="5"/>
      <c r="F283" s="5"/>
      <c r="G283" s="5"/>
    </row>
    <row r="284" spans="2:7" ht="13">
      <c r="B284" s="36"/>
      <c r="C284" s="80"/>
      <c r="D284" s="5"/>
      <c r="E284" s="5"/>
      <c r="F284" s="5"/>
      <c r="G284" s="5"/>
    </row>
    <row r="285" spans="2:7" ht="13">
      <c r="B285" s="36"/>
      <c r="C285" s="80"/>
      <c r="D285" s="5"/>
      <c r="E285" s="5"/>
      <c r="F285" s="5"/>
      <c r="G285" s="5"/>
    </row>
    <row r="286" spans="2:7" ht="13">
      <c r="B286" s="36"/>
      <c r="C286" s="80"/>
      <c r="D286" s="5"/>
      <c r="E286" s="5"/>
      <c r="F286" s="5"/>
      <c r="G286" s="5"/>
    </row>
    <row r="287" spans="2:7" ht="13">
      <c r="B287" s="36"/>
      <c r="C287" s="80"/>
      <c r="D287" s="5"/>
      <c r="E287" s="5"/>
      <c r="F287" s="5"/>
      <c r="G287" s="5"/>
    </row>
    <row r="288" spans="2:7" ht="13">
      <c r="B288" s="36"/>
      <c r="C288" s="80"/>
      <c r="D288" s="5"/>
      <c r="E288" s="5"/>
      <c r="F288" s="5"/>
      <c r="G288" s="5"/>
    </row>
    <row r="289" spans="2:7" ht="13">
      <c r="B289" s="36"/>
      <c r="C289" s="80"/>
      <c r="D289" s="5"/>
      <c r="E289" s="5"/>
      <c r="F289" s="5"/>
      <c r="G289" s="5"/>
    </row>
    <row r="290" spans="2:7" ht="13">
      <c r="B290" s="36"/>
      <c r="C290" s="80"/>
      <c r="D290" s="5"/>
      <c r="E290" s="5"/>
      <c r="F290" s="5"/>
      <c r="G290" s="5"/>
    </row>
    <row r="291" spans="2:7" ht="13">
      <c r="B291" s="36"/>
      <c r="C291" s="80"/>
      <c r="D291" s="5"/>
      <c r="E291" s="5"/>
      <c r="F291" s="5"/>
      <c r="G291" s="5"/>
    </row>
    <row r="292" spans="2:7" ht="13">
      <c r="B292" s="36"/>
      <c r="C292" s="80"/>
      <c r="D292" s="5"/>
      <c r="E292" s="5"/>
      <c r="F292" s="5"/>
      <c r="G292" s="5"/>
    </row>
    <row r="293" spans="2:7" ht="13">
      <c r="B293" s="36"/>
      <c r="C293" s="80"/>
      <c r="D293" s="5"/>
      <c r="E293" s="5"/>
      <c r="F293" s="5"/>
      <c r="G293" s="5"/>
    </row>
    <row r="294" spans="2:7" ht="13">
      <c r="B294" s="36"/>
      <c r="C294" s="80"/>
      <c r="D294" s="5"/>
      <c r="E294" s="5"/>
      <c r="F294" s="5"/>
      <c r="G294" s="5"/>
    </row>
    <row r="295" spans="2:7" ht="13">
      <c r="B295" s="36"/>
      <c r="C295" s="80"/>
      <c r="D295" s="5"/>
      <c r="E295" s="5"/>
      <c r="F295" s="5"/>
      <c r="G295" s="5"/>
    </row>
    <row r="296" spans="2:7" ht="13">
      <c r="B296" s="36"/>
      <c r="C296" s="80"/>
      <c r="D296" s="5"/>
      <c r="E296" s="5"/>
      <c r="F296" s="5"/>
      <c r="G296" s="5"/>
    </row>
    <row r="297" spans="2:7" ht="13">
      <c r="B297" s="36"/>
      <c r="C297" s="80"/>
      <c r="D297" s="5"/>
      <c r="E297" s="5"/>
      <c r="F297" s="5"/>
      <c r="G297" s="5"/>
    </row>
    <row r="298" spans="2:7" ht="13">
      <c r="B298" s="36"/>
      <c r="C298" s="80"/>
      <c r="D298" s="5"/>
      <c r="E298" s="5"/>
      <c r="F298" s="5"/>
      <c r="G298" s="5"/>
    </row>
    <row r="299" spans="2:7" ht="13">
      <c r="B299" s="36"/>
      <c r="C299" s="80"/>
      <c r="D299" s="5"/>
      <c r="E299" s="5"/>
      <c r="F299" s="5"/>
      <c r="G299" s="5"/>
    </row>
    <row r="300" spans="2:7" ht="13">
      <c r="B300" s="36"/>
      <c r="C300" s="80"/>
      <c r="D300" s="5"/>
      <c r="E300" s="5"/>
      <c r="F300" s="5"/>
      <c r="G300" s="5"/>
    </row>
    <row r="301" spans="2:7" ht="13">
      <c r="B301" s="36"/>
      <c r="C301" s="80"/>
      <c r="D301" s="5"/>
      <c r="E301" s="5"/>
      <c r="F301" s="5"/>
      <c r="G301" s="5"/>
    </row>
    <row r="302" spans="2:7" ht="13">
      <c r="B302" s="36"/>
      <c r="C302" s="80"/>
      <c r="D302" s="5"/>
      <c r="E302" s="5"/>
      <c r="F302" s="5"/>
      <c r="G302" s="5"/>
    </row>
    <row r="303" spans="2:7" ht="13">
      <c r="B303" s="36"/>
      <c r="C303" s="80"/>
      <c r="D303" s="5"/>
      <c r="E303" s="5"/>
      <c r="F303" s="5"/>
      <c r="G303" s="5"/>
    </row>
    <row r="304" spans="2:7" ht="13">
      <c r="B304" s="36"/>
      <c r="C304" s="80"/>
      <c r="D304" s="5"/>
      <c r="E304" s="5"/>
      <c r="F304" s="5"/>
      <c r="G304" s="5"/>
    </row>
    <row r="305" spans="2:7" ht="13">
      <c r="B305" s="36"/>
      <c r="C305" s="80"/>
      <c r="D305" s="5"/>
      <c r="E305" s="5"/>
      <c r="F305" s="5"/>
      <c r="G305" s="5"/>
    </row>
    <row r="306" spans="2:7" ht="13">
      <c r="B306" s="36"/>
      <c r="C306" s="80"/>
      <c r="D306" s="5"/>
      <c r="E306" s="5"/>
      <c r="F306" s="5"/>
      <c r="G306" s="5"/>
    </row>
    <row r="307" spans="2:7" ht="13">
      <c r="B307" s="36"/>
      <c r="C307" s="80"/>
      <c r="D307" s="5"/>
      <c r="E307" s="5"/>
      <c r="F307" s="5"/>
      <c r="G307" s="5"/>
    </row>
    <row r="308" spans="2:7" ht="13">
      <c r="B308" s="36"/>
      <c r="C308" s="80"/>
      <c r="D308" s="5"/>
      <c r="E308" s="5"/>
      <c r="F308" s="5"/>
      <c r="G308" s="5"/>
    </row>
    <row r="309" spans="2:7" ht="13">
      <c r="B309" s="36"/>
      <c r="C309" s="80"/>
      <c r="D309" s="5"/>
      <c r="E309" s="5"/>
      <c r="F309" s="5"/>
      <c r="G309" s="5"/>
    </row>
    <row r="310" spans="2:7" ht="13">
      <c r="B310" s="36"/>
      <c r="C310" s="80"/>
      <c r="D310" s="5"/>
      <c r="E310" s="5"/>
      <c r="F310" s="5"/>
      <c r="G310" s="5"/>
    </row>
    <row r="311" spans="2:7" ht="13">
      <c r="B311" s="36"/>
      <c r="C311" s="80"/>
      <c r="D311" s="5"/>
      <c r="E311" s="5"/>
      <c r="F311" s="5"/>
      <c r="G311" s="5"/>
    </row>
    <row r="312" spans="2:7" ht="13">
      <c r="B312" s="36"/>
      <c r="C312" s="80"/>
      <c r="D312" s="5"/>
      <c r="E312" s="5"/>
      <c r="F312" s="5"/>
      <c r="G312" s="5"/>
    </row>
    <row r="313" spans="2:7" ht="13">
      <c r="B313" s="36"/>
      <c r="C313" s="80"/>
      <c r="D313" s="5"/>
      <c r="E313" s="5"/>
      <c r="F313" s="5"/>
      <c r="G313" s="5"/>
    </row>
    <row r="314" spans="2:7" ht="13">
      <c r="B314" s="36"/>
      <c r="C314" s="80"/>
      <c r="D314" s="5"/>
      <c r="E314" s="5"/>
      <c r="F314" s="5"/>
      <c r="G314" s="5"/>
    </row>
    <row r="315" spans="2:7" ht="13">
      <c r="B315" s="36"/>
      <c r="C315" s="80"/>
      <c r="D315" s="5"/>
      <c r="E315" s="5"/>
      <c r="F315" s="5"/>
      <c r="G315" s="5"/>
    </row>
    <row r="316" spans="2:7" ht="13">
      <c r="B316" s="36"/>
      <c r="C316" s="80"/>
      <c r="D316" s="5"/>
      <c r="E316" s="5"/>
      <c r="F316" s="5"/>
      <c r="G316" s="5"/>
    </row>
    <row r="317" spans="2:7" ht="13">
      <c r="B317" s="36"/>
      <c r="C317" s="80"/>
      <c r="D317" s="5"/>
      <c r="E317" s="5"/>
      <c r="F317" s="5"/>
      <c r="G317" s="5"/>
    </row>
    <row r="318" spans="2:7" ht="13">
      <c r="B318" s="36"/>
      <c r="C318" s="80"/>
      <c r="D318" s="5"/>
      <c r="E318" s="5"/>
      <c r="F318" s="5"/>
      <c r="G318" s="5"/>
    </row>
    <row r="319" spans="2:7" ht="13">
      <c r="B319" s="36"/>
      <c r="C319" s="80"/>
      <c r="D319" s="5"/>
      <c r="E319" s="5"/>
      <c r="F319" s="5"/>
      <c r="G319" s="5"/>
    </row>
    <row r="320" spans="2:7" ht="13">
      <c r="B320" s="36"/>
      <c r="C320" s="80"/>
      <c r="D320" s="5"/>
      <c r="E320" s="5"/>
      <c r="F320" s="5"/>
      <c r="G320" s="5"/>
    </row>
    <row r="321" spans="2:7" ht="13">
      <c r="B321" s="36"/>
      <c r="C321" s="80"/>
      <c r="D321" s="5"/>
      <c r="E321" s="5"/>
      <c r="F321" s="5"/>
      <c r="G321" s="5"/>
    </row>
    <row r="322" spans="2:7" ht="13">
      <c r="B322" s="36"/>
      <c r="C322" s="80"/>
      <c r="D322" s="5"/>
      <c r="E322" s="5"/>
      <c r="F322" s="5"/>
      <c r="G322" s="5"/>
    </row>
    <row r="323" spans="2:7" ht="13">
      <c r="B323" s="36"/>
      <c r="C323" s="80"/>
      <c r="D323" s="5"/>
      <c r="E323" s="5"/>
      <c r="F323" s="5"/>
      <c r="G323" s="5"/>
    </row>
    <row r="324" spans="2:7" ht="13">
      <c r="B324" s="36"/>
      <c r="C324" s="80"/>
      <c r="D324" s="5"/>
      <c r="E324" s="5"/>
      <c r="F324" s="5"/>
      <c r="G324" s="5"/>
    </row>
    <row r="325" spans="2:7" ht="13">
      <c r="B325" s="36"/>
      <c r="C325" s="80"/>
      <c r="D325" s="5"/>
      <c r="E325" s="5"/>
      <c r="F325" s="5"/>
      <c r="G325" s="5"/>
    </row>
    <row r="326" spans="2:7" ht="13">
      <c r="B326" s="36"/>
      <c r="C326" s="80"/>
      <c r="D326" s="5"/>
      <c r="E326" s="5"/>
      <c r="F326" s="5"/>
      <c r="G326" s="5"/>
    </row>
    <row r="327" spans="2:7" ht="13">
      <c r="B327" s="36"/>
      <c r="C327" s="80"/>
      <c r="D327" s="5"/>
      <c r="E327" s="5"/>
      <c r="F327" s="5"/>
      <c r="G327" s="5"/>
    </row>
    <row r="328" spans="2:7" ht="13">
      <c r="B328" s="36"/>
      <c r="C328" s="80"/>
      <c r="D328" s="5"/>
      <c r="E328" s="5"/>
      <c r="F328" s="5"/>
      <c r="G328" s="5"/>
    </row>
    <row r="329" spans="2:7" ht="13">
      <c r="B329" s="36"/>
      <c r="C329" s="80"/>
      <c r="D329" s="5"/>
      <c r="E329" s="5"/>
      <c r="F329" s="5"/>
      <c r="G329" s="5"/>
    </row>
    <row r="330" spans="2:7" ht="13">
      <c r="B330" s="36"/>
      <c r="C330" s="80"/>
      <c r="D330" s="5"/>
      <c r="E330" s="5"/>
      <c r="F330" s="5"/>
      <c r="G330" s="5"/>
    </row>
    <row r="331" spans="2:7" ht="13">
      <c r="B331" s="36"/>
      <c r="C331" s="80"/>
      <c r="D331" s="5"/>
      <c r="E331" s="5"/>
      <c r="F331" s="5"/>
      <c r="G331" s="5"/>
    </row>
    <row r="332" spans="2:7" ht="13">
      <c r="B332" s="36"/>
      <c r="C332" s="80"/>
      <c r="D332" s="5"/>
      <c r="E332" s="5"/>
      <c r="F332" s="5"/>
      <c r="G332" s="5"/>
    </row>
    <row r="333" spans="2:7" ht="13">
      <c r="B333" s="36"/>
      <c r="C333" s="80"/>
      <c r="D333" s="5"/>
      <c r="E333" s="5"/>
      <c r="F333" s="5"/>
      <c r="G333" s="5"/>
    </row>
    <row r="334" spans="2:7" ht="13">
      <c r="B334" s="36"/>
      <c r="C334" s="80"/>
      <c r="D334" s="5"/>
      <c r="E334" s="5"/>
      <c r="F334" s="5"/>
      <c r="G334" s="5"/>
    </row>
    <row r="335" spans="2:7" ht="13">
      <c r="B335" s="36"/>
      <c r="C335" s="80"/>
      <c r="D335" s="5"/>
      <c r="E335" s="5"/>
      <c r="F335" s="5"/>
      <c r="G335" s="5"/>
    </row>
    <row r="336" spans="2:7" ht="13">
      <c r="B336" s="36"/>
      <c r="C336" s="80"/>
      <c r="D336" s="5"/>
      <c r="E336" s="5"/>
      <c r="F336" s="5"/>
      <c r="G336" s="5"/>
    </row>
    <row r="337" spans="2:7" ht="13">
      <c r="B337" s="36"/>
      <c r="C337" s="80"/>
      <c r="D337" s="5"/>
      <c r="E337" s="5"/>
      <c r="F337" s="5"/>
      <c r="G337" s="5"/>
    </row>
    <row r="338" spans="2:7" ht="13">
      <c r="B338" s="36"/>
      <c r="C338" s="80"/>
      <c r="D338" s="5"/>
      <c r="E338" s="5"/>
      <c r="F338" s="5"/>
      <c r="G338" s="5"/>
    </row>
    <row r="339" spans="2:7" ht="13">
      <c r="B339" s="36"/>
      <c r="C339" s="80"/>
      <c r="D339" s="5"/>
      <c r="E339" s="5"/>
      <c r="F339" s="5"/>
      <c r="G339" s="5"/>
    </row>
    <row r="340" spans="2:7" ht="13">
      <c r="B340" s="36"/>
      <c r="C340" s="80"/>
      <c r="D340" s="5"/>
      <c r="E340" s="5"/>
      <c r="F340" s="5"/>
      <c r="G340" s="5"/>
    </row>
    <row r="341" spans="2:7" ht="13">
      <c r="B341" s="36"/>
      <c r="C341" s="80"/>
      <c r="D341" s="5"/>
      <c r="E341" s="5"/>
      <c r="F341" s="5"/>
      <c r="G341" s="5"/>
    </row>
    <row r="342" spans="2:7" ht="13">
      <c r="B342" s="36"/>
      <c r="C342" s="80"/>
      <c r="D342" s="5"/>
      <c r="E342" s="5"/>
      <c r="F342" s="5"/>
      <c r="G342" s="5"/>
    </row>
    <row r="343" spans="2:7" ht="13">
      <c r="B343" s="36"/>
      <c r="C343" s="80"/>
      <c r="D343" s="5"/>
      <c r="E343" s="5"/>
      <c r="F343" s="5"/>
      <c r="G343" s="5"/>
    </row>
    <row r="344" spans="2:7" ht="13">
      <c r="B344" s="36"/>
      <c r="C344" s="80"/>
      <c r="D344" s="5"/>
      <c r="E344" s="5"/>
      <c r="F344" s="5"/>
      <c r="G344" s="5"/>
    </row>
    <row r="345" spans="2:7" ht="13">
      <c r="B345" s="36"/>
      <c r="C345" s="80"/>
      <c r="D345" s="5"/>
      <c r="E345" s="5"/>
      <c r="F345" s="5"/>
      <c r="G345" s="5"/>
    </row>
    <row r="346" spans="2:7" ht="13">
      <c r="B346" s="36"/>
      <c r="C346" s="80"/>
      <c r="D346" s="5"/>
      <c r="E346" s="5"/>
      <c r="F346" s="5"/>
      <c r="G346" s="5"/>
    </row>
    <row r="347" spans="2:7" ht="13">
      <c r="B347" s="36"/>
      <c r="C347" s="80"/>
      <c r="D347" s="5"/>
      <c r="E347" s="5"/>
      <c r="F347" s="5"/>
      <c r="G347" s="5"/>
    </row>
    <row r="348" spans="2:7" ht="13">
      <c r="B348" s="36"/>
      <c r="C348" s="80"/>
      <c r="D348" s="5"/>
      <c r="E348" s="5"/>
      <c r="F348" s="5"/>
      <c r="G348" s="5"/>
    </row>
    <row r="349" spans="2:7" ht="13">
      <c r="B349" s="36"/>
      <c r="C349" s="80"/>
      <c r="D349" s="5"/>
      <c r="E349" s="5"/>
      <c r="F349" s="5"/>
      <c r="G349" s="5"/>
    </row>
    <row r="350" spans="2:7" ht="13">
      <c r="B350" s="36"/>
      <c r="C350" s="80"/>
      <c r="D350" s="5"/>
      <c r="E350" s="5"/>
      <c r="F350" s="5"/>
      <c r="G350" s="5"/>
    </row>
    <row r="351" spans="2:7" ht="13">
      <c r="B351" s="36"/>
      <c r="C351" s="80"/>
      <c r="D351" s="5"/>
      <c r="E351" s="5"/>
      <c r="F351" s="5"/>
      <c r="G351" s="5"/>
    </row>
    <row r="352" spans="2:7" ht="13">
      <c r="B352" s="36"/>
      <c r="C352" s="80"/>
      <c r="D352" s="5"/>
      <c r="E352" s="5"/>
      <c r="F352" s="5"/>
      <c r="G352" s="5"/>
    </row>
    <row r="353" spans="2:7" ht="13">
      <c r="B353" s="36"/>
      <c r="C353" s="80"/>
      <c r="D353" s="5"/>
      <c r="E353" s="5"/>
      <c r="F353" s="5"/>
      <c r="G353" s="5"/>
    </row>
    <row r="354" spans="2:7" ht="13">
      <c r="B354" s="36"/>
      <c r="C354" s="80"/>
      <c r="D354" s="5"/>
      <c r="E354" s="5"/>
      <c r="F354" s="5"/>
      <c r="G354" s="5"/>
    </row>
    <row r="355" spans="2:7" ht="13">
      <c r="B355" s="36"/>
      <c r="C355" s="80"/>
      <c r="D355" s="5"/>
      <c r="E355" s="5"/>
      <c r="F355" s="5"/>
      <c r="G355" s="5"/>
    </row>
    <row r="356" spans="2:7" ht="13">
      <c r="B356" s="36"/>
      <c r="C356" s="80"/>
      <c r="D356" s="5"/>
      <c r="E356" s="5"/>
      <c r="F356" s="5"/>
      <c r="G356" s="5"/>
    </row>
    <row r="357" spans="2:7" ht="13">
      <c r="B357" s="36"/>
      <c r="C357" s="80"/>
      <c r="D357" s="5"/>
      <c r="E357" s="5"/>
      <c r="F357" s="5"/>
      <c r="G357" s="5"/>
    </row>
    <row r="358" spans="2:7" ht="13">
      <c r="B358" s="36"/>
      <c r="C358" s="80"/>
      <c r="D358" s="5"/>
      <c r="E358" s="5"/>
      <c r="F358" s="5"/>
      <c r="G358" s="5"/>
    </row>
    <row r="359" spans="2:7" ht="13">
      <c r="B359" s="36"/>
      <c r="C359" s="80"/>
      <c r="D359" s="5"/>
      <c r="E359" s="5"/>
      <c r="F359" s="5"/>
      <c r="G359" s="5"/>
    </row>
    <row r="360" spans="2:7" ht="13">
      <c r="B360" s="36"/>
      <c r="C360" s="80"/>
      <c r="D360" s="5"/>
      <c r="E360" s="5"/>
      <c r="F360" s="5"/>
      <c r="G360" s="5"/>
    </row>
    <row r="361" spans="2:7" ht="13">
      <c r="B361" s="36"/>
      <c r="C361" s="80"/>
      <c r="D361" s="5"/>
      <c r="E361" s="5"/>
      <c r="F361" s="5"/>
      <c r="G361" s="5"/>
    </row>
    <row r="362" spans="2:7" ht="13">
      <c r="B362" s="36"/>
      <c r="C362" s="80"/>
      <c r="D362" s="5"/>
      <c r="E362" s="5"/>
      <c r="F362" s="5"/>
      <c r="G362" s="5"/>
    </row>
    <row r="363" spans="2:7" ht="13">
      <c r="B363" s="36"/>
      <c r="C363" s="80"/>
      <c r="D363" s="5"/>
      <c r="E363" s="5"/>
      <c r="F363" s="5"/>
      <c r="G363" s="5"/>
    </row>
    <row r="364" spans="2:7" ht="13">
      <c r="B364" s="36"/>
      <c r="C364" s="80"/>
      <c r="D364" s="5"/>
      <c r="E364" s="5"/>
      <c r="F364" s="5"/>
      <c r="G364" s="5"/>
    </row>
    <row r="365" spans="2:7" ht="13">
      <c r="B365" s="36"/>
      <c r="C365" s="80"/>
      <c r="D365" s="5"/>
      <c r="E365" s="5"/>
      <c r="F365" s="5"/>
      <c r="G365" s="5"/>
    </row>
    <row r="366" spans="2:7" ht="13">
      <c r="B366" s="36"/>
      <c r="C366" s="80"/>
      <c r="D366" s="5"/>
      <c r="E366" s="5"/>
      <c r="F366" s="5"/>
      <c r="G366" s="5"/>
    </row>
    <row r="367" spans="2:7" ht="13">
      <c r="B367" s="36"/>
      <c r="C367" s="80"/>
      <c r="D367" s="5"/>
      <c r="E367" s="5"/>
      <c r="F367" s="5"/>
      <c r="G367" s="5"/>
    </row>
    <row r="368" spans="2:7" ht="13">
      <c r="B368" s="36"/>
      <c r="C368" s="80"/>
      <c r="D368" s="5"/>
      <c r="E368" s="5"/>
      <c r="F368" s="5"/>
      <c r="G368" s="5"/>
    </row>
    <row r="369" spans="2:7" ht="13">
      <c r="B369" s="36"/>
      <c r="C369" s="80"/>
      <c r="D369" s="5"/>
      <c r="E369" s="5"/>
      <c r="F369" s="5"/>
      <c r="G369" s="5"/>
    </row>
    <row r="370" spans="2:7" ht="13">
      <c r="B370" s="36"/>
      <c r="C370" s="80"/>
      <c r="D370" s="5"/>
      <c r="E370" s="5"/>
      <c r="F370" s="5"/>
      <c r="G370" s="5"/>
    </row>
    <row r="371" spans="2:7" ht="13">
      <c r="B371" s="36"/>
      <c r="C371" s="80"/>
      <c r="D371" s="5"/>
      <c r="E371" s="5"/>
      <c r="F371" s="5"/>
      <c r="G371" s="5"/>
    </row>
    <row r="372" spans="2:7" ht="13">
      <c r="B372" s="36"/>
      <c r="C372" s="80"/>
      <c r="D372" s="5"/>
      <c r="E372" s="5"/>
      <c r="F372" s="5"/>
      <c r="G372" s="5"/>
    </row>
    <row r="373" spans="2:7" ht="13">
      <c r="B373" s="36"/>
      <c r="C373" s="80"/>
      <c r="D373" s="5"/>
      <c r="E373" s="5"/>
      <c r="F373" s="5"/>
      <c r="G373" s="5"/>
    </row>
    <row r="374" spans="2:7" ht="13">
      <c r="B374" s="36"/>
      <c r="C374" s="80"/>
      <c r="D374" s="5"/>
      <c r="E374" s="5"/>
      <c r="F374" s="5"/>
      <c r="G374" s="5"/>
    </row>
    <row r="375" spans="2:7" ht="13">
      <c r="B375" s="36"/>
      <c r="C375" s="80"/>
      <c r="D375" s="5"/>
      <c r="E375" s="5"/>
      <c r="F375" s="5"/>
      <c r="G375" s="5"/>
    </row>
    <row r="376" spans="2:7" ht="13">
      <c r="B376" s="36"/>
      <c r="C376" s="80"/>
      <c r="D376" s="5"/>
      <c r="E376" s="5"/>
      <c r="F376" s="5"/>
      <c r="G376" s="5"/>
    </row>
    <row r="377" spans="2:7" ht="13">
      <c r="B377" s="36"/>
      <c r="C377" s="80"/>
      <c r="D377" s="5"/>
      <c r="E377" s="5"/>
      <c r="F377" s="5"/>
      <c r="G377" s="5"/>
    </row>
    <row r="378" spans="2:7" ht="13">
      <c r="B378" s="36"/>
      <c r="C378" s="80"/>
      <c r="D378" s="5"/>
      <c r="E378" s="5"/>
      <c r="F378" s="5"/>
      <c r="G378" s="5"/>
    </row>
    <row r="379" spans="2:7" ht="13">
      <c r="B379" s="36"/>
      <c r="C379" s="80"/>
      <c r="D379" s="5"/>
      <c r="E379" s="5"/>
      <c r="F379" s="5"/>
      <c r="G379" s="5"/>
    </row>
    <row r="380" spans="2:7" ht="13">
      <c r="B380" s="36"/>
      <c r="C380" s="80"/>
      <c r="D380" s="5"/>
      <c r="E380" s="5"/>
      <c r="F380" s="5"/>
      <c r="G380" s="5"/>
    </row>
    <row r="381" spans="2:7" ht="13">
      <c r="B381" s="36"/>
      <c r="C381" s="80"/>
      <c r="D381" s="5"/>
      <c r="E381" s="5"/>
      <c r="F381" s="5"/>
      <c r="G381" s="5"/>
    </row>
    <row r="382" spans="2:7" ht="13">
      <c r="B382" s="36"/>
      <c r="C382" s="80"/>
      <c r="D382" s="5"/>
      <c r="E382" s="5"/>
      <c r="F382" s="5"/>
      <c r="G382" s="5"/>
    </row>
    <row r="383" spans="2:7" ht="13">
      <c r="B383" s="36"/>
      <c r="C383" s="80"/>
      <c r="D383" s="5"/>
      <c r="E383" s="5"/>
      <c r="F383" s="5"/>
      <c r="G383" s="5"/>
    </row>
    <row r="384" spans="2:7" ht="13">
      <c r="B384" s="36"/>
      <c r="C384" s="80"/>
      <c r="D384" s="5"/>
      <c r="E384" s="5"/>
      <c r="F384" s="5"/>
      <c r="G384" s="5"/>
    </row>
    <row r="385" spans="2:7" ht="13">
      <c r="B385" s="36"/>
      <c r="C385" s="80"/>
      <c r="D385" s="5"/>
      <c r="E385" s="5"/>
      <c r="F385" s="5"/>
      <c r="G385" s="5"/>
    </row>
    <row r="386" spans="2:7" ht="13">
      <c r="B386" s="36"/>
      <c r="C386" s="80"/>
      <c r="D386" s="5"/>
      <c r="E386" s="5"/>
      <c r="F386" s="5"/>
      <c r="G386" s="5"/>
    </row>
    <row r="387" spans="2:7" ht="13">
      <c r="B387" s="36"/>
      <c r="C387" s="80"/>
      <c r="D387" s="5"/>
      <c r="E387" s="5"/>
      <c r="F387" s="5"/>
      <c r="G387" s="5"/>
    </row>
    <row r="388" spans="2:7" ht="13">
      <c r="B388" s="36"/>
      <c r="C388" s="80"/>
      <c r="D388" s="5"/>
      <c r="E388" s="5"/>
      <c r="F388" s="5"/>
      <c r="G388" s="5"/>
    </row>
    <row r="389" spans="2:7" ht="13">
      <c r="B389" s="36"/>
      <c r="C389" s="80"/>
      <c r="D389" s="5"/>
      <c r="E389" s="5"/>
      <c r="F389" s="5"/>
      <c r="G389" s="5"/>
    </row>
    <row r="390" spans="2:7" ht="13">
      <c r="B390" s="36"/>
      <c r="C390" s="80"/>
      <c r="D390" s="5"/>
      <c r="E390" s="5"/>
      <c r="F390" s="5"/>
      <c r="G390" s="5"/>
    </row>
    <row r="391" spans="2:7" ht="13">
      <c r="B391" s="36"/>
      <c r="C391" s="80"/>
      <c r="D391" s="5"/>
      <c r="E391" s="5"/>
      <c r="F391" s="5"/>
      <c r="G391" s="5"/>
    </row>
    <row r="392" spans="2:7" ht="13">
      <c r="B392" s="36"/>
      <c r="C392" s="80"/>
      <c r="D392" s="5"/>
      <c r="E392" s="5"/>
      <c r="F392" s="5"/>
      <c r="G392" s="5"/>
    </row>
    <row r="393" spans="2:7" ht="13">
      <c r="B393" s="36"/>
      <c r="C393" s="80"/>
      <c r="D393" s="5"/>
      <c r="E393" s="5"/>
      <c r="F393" s="5"/>
      <c r="G393" s="5"/>
    </row>
    <row r="394" spans="2:7" ht="13">
      <c r="B394" s="36"/>
      <c r="C394" s="80"/>
      <c r="D394" s="5"/>
      <c r="E394" s="5"/>
      <c r="F394" s="5"/>
      <c r="G394" s="5"/>
    </row>
    <row r="395" spans="2:7" ht="13">
      <c r="B395" s="36"/>
      <c r="C395" s="80"/>
      <c r="D395" s="5"/>
      <c r="E395" s="5"/>
      <c r="F395" s="5"/>
      <c r="G395" s="5"/>
    </row>
    <row r="396" spans="2:7" ht="13">
      <c r="B396" s="36"/>
      <c r="C396" s="80"/>
      <c r="D396" s="5"/>
      <c r="E396" s="5"/>
      <c r="F396" s="5"/>
      <c r="G396" s="5"/>
    </row>
    <row r="397" spans="2:7" ht="13">
      <c r="B397" s="36"/>
      <c r="C397" s="80"/>
      <c r="D397" s="5"/>
      <c r="E397" s="5"/>
      <c r="F397" s="5"/>
      <c r="G397" s="5"/>
    </row>
    <row r="398" spans="2:7" ht="13">
      <c r="B398" s="36"/>
      <c r="C398" s="80"/>
      <c r="D398" s="5"/>
      <c r="E398" s="5"/>
      <c r="F398" s="5"/>
      <c r="G398" s="5"/>
    </row>
    <row r="399" spans="2:7" ht="13">
      <c r="B399" s="36"/>
      <c r="C399" s="80"/>
      <c r="D399" s="5"/>
      <c r="E399" s="5"/>
      <c r="F399" s="5"/>
      <c r="G399" s="5"/>
    </row>
    <row r="400" spans="2:7" ht="13">
      <c r="B400" s="36"/>
      <c r="C400" s="80"/>
      <c r="D400" s="5"/>
      <c r="E400" s="5"/>
      <c r="F400" s="5"/>
      <c r="G400" s="5"/>
    </row>
    <row r="401" spans="2:7" ht="13">
      <c r="B401" s="36"/>
      <c r="C401" s="80"/>
      <c r="D401" s="5"/>
      <c r="E401" s="5"/>
      <c r="F401" s="5"/>
      <c r="G401" s="5"/>
    </row>
    <row r="402" spans="2:7" ht="13">
      <c r="B402" s="36"/>
      <c r="C402" s="80"/>
      <c r="D402" s="5"/>
      <c r="E402" s="5"/>
      <c r="F402" s="5"/>
      <c r="G402" s="5"/>
    </row>
    <row r="403" spans="2:7" ht="13">
      <c r="B403" s="36"/>
      <c r="C403" s="80"/>
      <c r="D403" s="5"/>
      <c r="E403" s="5"/>
      <c r="F403" s="5"/>
      <c r="G403" s="5"/>
    </row>
    <row r="404" spans="2:7" ht="13">
      <c r="B404" s="36"/>
      <c r="C404" s="80"/>
      <c r="D404" s="5"/>
      <c r="E404" s="5"/>
      <c r="F404" s="5"/>
      <c r="G404" s="5"/>
    </row>
    <row r="405" spans="2:7" ht="13">
      <c r="B405" s="36"/>
      <c r="C405" s="80"/>
      <c r="D405" s="5"/>
      <c r="E405" s="5"/>
      <c r="F405" s="5"/>
      <c r="G405" s="5"/>
    </row>
    <row r="406" spans="2:7" ht="13">
      <c r="B406" s="36"/>
      <c r="C406" s="80"/>
      <c r="D406" s="5"/>
      <c r="E406" s="5"/>
      <c r="F406" s="5"/>
      <c r="G406" s="5"/>
    </row>
    <row r="407" spans="2:7" ht="13">
      <c r="B407" s="36"/>
      <c r="C407" s="80"/>
      <c r="D407" s="5"/>
      <c r="E407" s="5"/>
      <c r="F407" s="5"/>
      <c r="G407" s="5"/>
    </row>
    <row r="408" spans="2:7" ht="13">
      <c r="B408" s="36"/>
      <c r="C408" s="80"/>
      <c r="D408" s="5"/>
      <c r="E408" s="5"/>
      <c r="F408" s="5"/>
      <c r="G408" s="5"/>
    </row>
    <row r="409" spans="2:7" ht="13">
      <c r="B409" s="36"/>
      <c r="C409" s="80"/>
      <c r="D409" s="5"/>
      <c r="E409" s="5"/>
      <c r="F409" s="5"/>
      <c r="G409" s="5"/>
    </row>
    <row r="410" spans="2:7" ht="13">
      <c r="B410" s="36"/>
      <c r="C410" s="80"/>
      <c r="D410" s="5"/>
      <c r="E410" s="5"/>
      <c r="F410" s="5"/>
      <c r="G410" s="5"/>
    </row>
    <row r="411" spans="2:7" ht="13">
      <c r="B411" s="36"/>
      <c r="C411" s="80"/>
      <c r="D411" s="5"/>
      <c r="E411" s="5"/>
      <c r="F411" s="5"/>
      <c r="G411" s="5"/>
    </row>
    <row r="412" spans="2:7" ht="13">
      <c r="B412" s="36"/>
      <c r="C412" s="80"/>
      <c r="D412" s="5"/>
      <c r="E412" s="5"/>
      <c r="F412" s="5"/>
      <c r="G412" s="5"/>
    </row>
    <row r="413" spans="2:7" ht="13">
      <c r="B413" s="36"/>
      <c r="C413" s="80"/>
      <c r="D413" s="5"/>
      <c r="E413" s="5"/>
      <c r="F413" s="5"/>
      <c r="G413" s="5"/>
    </row>
    <row r="414" spans="2:7" ht="13">
      <c r="B414" s="36"/>
      <c r="C414" s="80"/>
      <c r="D414" s="5"/>
      <c r="E414" s="5"/>
      <c r="F414" s="5"/>
      <c r="G414" s="5"/>
    </row>
    <row r="415" spans="2:7" ht="13">
      <c r="B415" s="36"/>
      <c r="C415" s="80"/>
      <c r="D415" s="5"/>
      <c r="E415" s="5"/>
      <c r="F415" s="5"/>
      <c r="G415" s="5"/>
    </row>
    <row r="416" spans="2:7" ht="13">
      <c r="B416" s="36"/>
      <c r="C416" s="80"/>
      <c r="D416" s="5"/>
      <c r="E416" s="5"/>
      <c r="F416" s="5"/>
      <c r="G416" s="5"/>
    </row>
    <row r="417" spans="2:7" ht="13">
      <c r="B417" s="36"/>
      <c r="C417" s="80"/>
      <c r="D417" s="5"/>
      <c r="E417" s="5"/>
      <c r="F417" s="5"/>
      <c r="G417" s="5"/>
    </row>
    <row r="418" spans="2:7" ht="13">
      <c r="B418" s="36"/>
      <c r="C418" s="80"/>
      <c r="D418" s="5"/>
      <c r="E418" s="5"/>
      <c r="F418" s="5"/>
      <c r="G418" s="5"/>
    </row>
    <row r="419" spans="2:7" ht="13">
      <c r="B419" s="36"/>
      <c r="C419" s="80"/>
      <c r="D419" s="5"/>
      <c r="E419" s="5"/>
      <c r="F419" s="5"/>
      <c r="G419" s="5"/>
    </row>
    <row r="420" spans="2:7" ht="13">
      <c r="B420" s="36"/>
      <c r="C420" s="80"/>
      <c r="D420" s="5"/>
      <c r="E420" s="5"/>
      <c r="F420" s="5"/>
      <c r="G420" s="5"/>
    </row>
    <row r="421" spans="2:7" ht="13">
      <c r="B421" s="36"/>
      <c r="C421" s="80"/>
      <c r="D421" s="5"/>
      <c r="E421" s="5"/>
      <c r="F421" s="5"/>
      <c r="G421" s="5"/>
    </row>
    <row r="422" spans="2:7" ht="13">
      <c r="B422" s="36"/>
      <c r="C422" s="80"/>
      <c r="D422" s="5"/>
      <c r="E422" s="5"/>
      <c r="F422" s="5"/>
      <c r="G422" s="5"/>
    </row>
    <row r="423" spans="2:7" ht="13">
      <c r="B423" s="36"/>
      <c r="C423" s="80"/>
      <c r="D423" s="5"/>
      <c r="E423" s="5"/>
      <c r="F423" s="5"/>
      <c r="G423" s="5"/>
    </row>
    <row r="424" spans="2:7" ht="13">
      <c r="B424" s="36"/>
      <c r="C424" s="80"/>
      <c r="D424" s="5"/>
      <c r="E424" s="5"/>
      <c r="F424" s="5"/>
      <c r="G424" s="5"/>
    </row>
    <row r="425" spans="2:7" ht="13">
      <c r="B425" s="36"/>
      <c r="C425" s="80"/>
      <c r="D425" s="5"/>
      <c r="E425" s="5"/>
      <c r="F425" s="5"/>
      <c r="G425" s="5"/>
    </row>
    <row r="426" spans="2:7" ht="13">
      <c r="B426" s="36"/>
      <c r="C426" s="80"/>
      <c r="D426" s="5"/>
      <c r="E426" s="5"/>
      <c r="F426" s="5"/>
      <c r="G426" s="5"/>
    </row>
    <row r="427" spans="2:7" ht="13">
      <c r="B427" s="36"/>
      <c r="C427" s="80"/>
      <c r="D427" s="5"/>
      <c r="E427" s="5"/>
      <c r="F427" s="5"/>
      <c r="G427" s="5"/>
    </row>
    <row r="428" spans="2:7" ht="13">
      <c r="B428" s="36"/>
      <c r="C428" s="80"/>
      <c r="D428" s="5"/>
      <c r="E428" s="5"/>
      <c r="F428" s="5"/>
      <c r="G428" s="5"/>
    </row>
    <row r="429" spans="2:7" ht="13">
      <c r="B429" s="36"/>
      <c r="C429" s="80"/>
      <c r="D429" s="5"/>
      <c r="E429" s="5"/>
      <c r="F429" s="5"/>
      <c r="G429" s="5"/>
    </row>
    <row r="430" spans="2:7" ht="13">
      <c r="B430" s="36"/>
      <c r="C430" s="80"/>
      <c r="D430" s="5"/>
      <c r="E430" s="5"/>
      <c r="F430" s="5"/>
      <c r="G430" s="5"/>
    </row>
    <row r="431" spans="2:7" ht="13">
      <c r="B431" s="36"/>
      <c r="C431" s="80"/>
      <c r="D431" s="5"/>
      <c r="E431" s="5"/>
      <c r="F431" s="5"/>
      <c r="G431" s="5"/>
    </row>
    <row r="432" spans="2:7" ht="13">
      <c r="B432" s="36"/>
      <c r="C432" s="80"/>
      <c r="D432" s="5"/>
      <c r="E432" s="5"/>
      <c r="F432" s="5"/>
      <c r="G432" s="5"/>
    </row>
    <row r="433" spans="2:7" ht="13">
      <c r="B433" s="36"/>
      <c r="C433" s="80"/>
      <c r="D433" s="5"/>
      <c r="E433" s="5"/>
      <c r="F433" s="5"/>
      <c r="G433" s="5"/>
    </row>
    <row r="434" spans="2:7" ht="13">
      <c r="B434" s="36"/>
      <c r="C434" s="80"/>
      <c r="D434" s="5"/>
      <c r="E434" s="5"/>
      <c r="F434" s="5"/>
      <c r="G434" s="5"/>
    </row>
    <row r="435" spans="2:7" ht="13">
      <c r="B435" s="36"/>
      <c r="C435" s="80"/>
      <c r="D435" s="5"/>
      <c r="E435" s="5"/>
      <c r="F435" s="5"/>
      <c r="G435" s="5"/>
    </row>
    <row r="436" spans="2:7" ht="13">
      <c r="B436" s="36"/>
      <c r="C436" s="80"/>
      <c r="D436" s="5"/>
      <c r="E436" s="5"/>
      <c r="F436" s="5"/>
      <c r="G436" s="5"/>
    </row>
    <row r="437" spans="2:7" ht="13">
      <c r="B437" s="36"/>
      <c r="C437" s="80"/>
      <c r="D437" s="5"/>
      <c r="E437" s="5"/>
      <c r="F437" s="5"/>
      <c r="G437" s="5"/>
    </row>
    <row r="438" spans="2:7" ht="13">
      <c r="B438" s="36"/>
      <c r="C438" s="80"/>
      <c r="D438" s="5"/>
      <c r="E438" s="5"/>
      <c r="F438" s="5"/>
      <c r="G438" s="5"/>
    </row>
    <row r="439" spans="2:7" ht="13">
      <c r="B439" s="36"/>
      <c r="C439" s="80"/>
      <c r="D439" s="5"/>
      <c r="E439" s="5"/>
      <c r="F439" s="5"/>
      <c r="G439" s="5"/>
    </row>
    <row r="440" spans="2:7" ht="13">
      <c r="B440" s="36"/>
      <c r="C440" s="80"/>
      <c r="D440" s="5"/>
      <c r="E440" s="5"/>
      <c r="F440" s="5"/>
      <c r="G440" s="5"/>
    </row>
    <row r="441" spans="2:7" ht="13">
      <c r="B441" s="36"/>
      <c r="C441" s="80"/>
      <c r="D441" s="5"/>
      <c r="E441" s="5"/>
      <c r="F441" s="5"/>
      <c r="G441" s="5"/>
    </row>
    <row r="442" spans="2:7" ht="13">
      <c r="B442" s="36"/>
      <c r="C442" s="80"/>
      <c r="D442" s="5"/>
      <c r="E442" s="5"/>
      <c r="F442" s="5"/>
      <c r="G442" s="5"/>
    </row>
    <row r="443" spans="2:7" ht="13">
      <c r="B443" s="36"/>
      <c r="C443" s="80"/>
      <c r="D443" s="5"/>
      <c r="E443" s="5"/>
      <c r="F443" s="5"/>
      <c r="G443" s="5"/>
    </row>
    <row r="444" spans="2:7" ht="13">
      <c r="B444" s="36"/>
      <c r="C444" s="80"/>
      <c r="D444" s="5"/>
      <c r="E444" s="5"/>
      <c r="F444" s="5"/>
      <c r="G444" s="5"/>
    </row>
    <row r="445" spans="2:7" ht="13">
      <c r="B445" s="36"/>
      <c r="C445" s="80"/>
      <c r="D445" s="5"/>
      <c r="E445" s="5"/>
      <c r="F445" s="5"/>
      <c r="G445" s="5"/>
    </row>
    <row r="446" spans="2:7" ht="13">
      <c r="B446" s="36"/>
      <c r="C446" s="80"/>
      <c r="D446" s="5"/>
      <c r="E446" s="5"/>
      <c r="F446" s="5"/>
      <c r="G446" s="5"/>
    </row>
    <row r="447" spans="2:7" ht="13">
      <c r="B447" s="36"/>
      <c r="C447" s="80"/>
      <c r="D447" s="5"/>
      <c r="E447" s="5"/>
      <c r="F447" s="5"/>
      <c r="G447" s="5"/>
    </row>
    <row r="448" spans="2:7" ht="13">
      <c r="B448" s="36"/>
      <c r="C448" s="80"/>
      <c r="D448" s="5"/>
      <c r="E448" s="5"/>
      <c r="F448" s="5"/>
      <c r="G448" s="5"/>
    </row>
    <row r="449" spans="2:7" ht="13">
      <c r="B449" s="36"/>
      <c r="C449" s="80"/>
      <c r="D449" s="5"/>
      <c r="E449" s="5"/>
      <c r="F449" s="5"/>
      <c r="G449" s="5"/>
    </row>
    <row r="450" spans="2:7" ht="13">
      <c r="B450" s="36"/>
      <c r="C450" s="80"/>
      <c r="D450" s="5"/>
      <c r="E450" s="5"/>
      <c r="F450" s="5"/>
      <c r="G450" s="5"/>
    </row>
    <row r="451" spans="2:7" ht="13">
      <c r="B451" s="36"/>
      <c r="C451" s="80"/>
      <c r="D451" s="5"/>
      <c r="E451" s="5"/>
      <c r="F451" s="5"/>
      <c r="G451" s="5"/>
    </row>
    <row r="452" spans="2:7" ht="13">
      <c r="B452" s="36"/>
      <c r="C452" s="80"/>
      <c r="D452" s="5"/>
      <c r="E452" s="5"/>
      <c r="F452" s="5"/>
      <c r="G452" s="5"/>
    </row>
    <row r="453" spans="2:7" ht="13">
      <c r="B453" s="36"/>
      <c r="C453" s="80"/>
      <c r="D453" s="5"/>
      <c r="E453" s="5"/>
      <c r="F453" s="5"/>
      <c r="G453" s="5"/>
    </row>
    <row r="454" spans="2:7" ht="13">
      <c r="B454" s="36"/>
      <c r="C454" s="80"/>
      <c r="D454" s="5"/>
      <c r="E454" s="5"/>
      <c r="F454" s="5"/>
      <c r="G454" s="5"/>
    </row>
    <row r="455" spans="2:7" ht="13">
      <c r="B455" s="36"/>
      <c r="C455" s="80"/>
      <c r="D455" s="5"/>
      <c r="E455" s="5"/>
      <c r="F455" s="5"/>
      <c r="G455" s="5"/>
    </row>
    <row r="456" spans="2:7" ht="13">
      <c r="B456" s="36"/>
      <c r="C456" s="80"/>
      <c r="D456" s="5"/>
      <c r="E456" s="5"/>
      <c r="F456" s="5"/>
      <c r="G456" s="5"/>
    </row>
    <row r="457" spans="2:7" ht="13">
      <c r="B457" s="36"/>
      <c r="C457" s="80"/>
      <c r="D457" s="5"/>
      <c r="E457" s="5"/>
      <c r="F457" s="5"/>
      <c r="G457" s="5"/>
    </row>
    <row r="458" spans="2:7" ht="13">
      <c r="B458" s="36"/>
      <c r="C458" s="80"/>
      <c r="D458" s="5"/>
      <c r="E458" s="5"/>
      <c r="F458" s="5"/>
      <c r="G458" s="5"/>
    </row>
    <row r="459" spans="2:7" ht="13">
      <c r="B459" s="36"/>
      <c r="C459" s="80"/>
      <c r="D459" s="5"/>
      <c r="E459" s="5"/>
      <c r="F459" s="5"/>
      <c r="G459" s="5"/>
    </row>
    <row r="460" spans="2:7" ht="13">
      <c r="B460" s="36"/>
      <c r="C460" s="80"/>
      <c r="D460" s="5"/>
      <c r="E460" s="5"/>
      <c r="F460" s="5"/>
      <c r="G460" s="5"/>
    </row>
    <row r="461" spans="2:7" ht="13">
      <c r="B461" s="36"/>
      <c r="C461" s="80"/>
      <c r="D461" s="5"/>
      <c r="E461" s="5"/>
      <c r="F461" s="5"/>
      <c r="G461" s="5"/>
    </row>
    <row r="462" spans="2:7" ht="13">
      <c r="B462" s="36"/>
      <c r="C462" s="80"/>
      <c r="D462" s="5"/>
      <c r="E462" s="5"/>
      <c r="F462" s="5"/>
      <c r="G462" s="5"/>
    </row>
    <row r="463" spans="2:7" ht="13">
      <c r="B463" s="36"/>
      <c r="C463" s="80"/>
      <c r="D463" s="5"/>
      <c r="E463" s="5"/>
      <c r="F463" s="5"/>
      <c r="G463" s="5"/>
    </row>
    <row r="464" spans="2:7" ht="13">
      <c r="B464" s="36"/>
      <c r="C464" s="80"/>
      <c r="D464" s="5"/>
      <c r="E464" s="5"/>
      <c r="F464" s="5"/>
      <c r="G464" s="5"/>
    </row>
    <row r="465" spans="2:7" ht="13">
      <c r="B465" s="36"/>
      <c r="C465" s="80"/>
      <c r="D465" s="5"/>
      <c r="E465" s="5"/>
      <c r="F465" s="5"/>
      <c r="G465" s="5"/>
    </row>
    <row r="466" spans="2:7" ht="13">
      <c r="B466" s="36"/>
      <c r="C466" s="80"/>
      <c r="D466" s="5"/>
      <c r="E466" s="5"/>
      <c r="F466" s="5"/>
      <c r="G466" s="5"/>
    </row>
    <row r="467" spans="2:7" ht="13">
      <c r="B467" s="36"/>
      <c r="C467" s="80"/>
      <c r="D467" s="5"/>
      <c r="E467" s="5"/>
      <c r="F467" s="5"/>
      <c r="G467" s="5"/>
    </row>
    <row r="468" spans="2:7" ht="13">
      <c r="B468" s="36"/>
      <c r="C468" s="80"/>
      <c r="D468" s="5"/>
      <c r="E468" s="5"/>
      <c r="F468" s="5"/>
      <c r="G468" s="5"/>
    </row>
    <row r="469" spans="2:7" ht="13">
      <c r="B469" s="36"/>
      <c r="C469" s="80"/>
      <c r="D469" s="5"/>
      <c r="E469" s="5"/>
      <c r="F469" s="5"/>
      <c r="G469" s="5"/>
    </row>
    <row r="470" spans="2:7" ht="13">
      <c r="B470" s="36"/>
      <c r="C470" s="80"/>
      <c r="D470" s="5"/>
      <c r="E470" s="5"/>
      <c r="F470" s="5"/>
      <c r="G470" s="5"/>
    </row>
    <row r="471" spans="2:7" ht="13">
      <c r="B471" s="36"/>
      <c r="C471" s="80"/>
      <c r="D471" s="5"/>
      <c r="E471" s="5"/>
      <c r="F471" s="5"/>
      <c r="G471" s="5"/>
    </row>
    <row r="472" spans="2:7" ht="13">
      <c r="B472" s="36"/>
      <c r="C472" s="80"/>
      <c r="D472" s="5"/>
      <c r="E472" s="5"/>
      <c r="F472" s="5"/>
      <c r="G472" s="5"/>
    </row>
    <row r="473" spans="2:7" ht="13">
      <c r="B473" s="36"/>
      <c r="C473" s="80"/>
      <c r="D473" s="5"/>
      <c r="E473" s="5"/>
      <c r="F473" s="5"/>
      <c r="G473" s="5"/>
    </row>
    <row r="474" spans="2:7" ht="13">
      <c r="B474" s="36"/>
      <c r="C474" s="80"/>
      <c r="D474" s="5"/>
      <c r="E474" s="5"/>
      <c r="F474" s="5"/>
      <c r="G474" s="5"/>
    </row>
    <row r="475" spans="2:7" ht="13">
      <c r="B475" s="36"/>
      <c r="C475" s="80"/>
      <c r="D475" s="5"/>
      <c r="E475" s="5"/>
      <c r="F475" s="5"/>
      <c r="G475" s="5"/>
    </row>
    <row r="476" spans="2:7" ht="13">
      <c r="B476" s="36"/>
      <c r="C476" s="80"/>
      <c r="D476" s="5"/>
      <c r="E476" s="5"/>
      <c r="F476" s="5"/>
      <c r="G476" s="5"/>
    </row>
    <row r="477" spans="2:7" ht="13">
      <c r="B477" s="36"/>
      <c r="C477" s="80"/>
      <c r="D477" s="5"/>
      <c r="E477" s="5"/>
      <c r="F477" s="5"/>
      <c r="G477" s="5"/>
    </row>
    <row r="478" spans="2:7" ht="13">
      <c r="B478" s="36"/>
      <c r="C478" s="80"/>
      <c r="D478" s="5"/>
      <c r="E478" s="5"/>
      <c r="F478" s="5"/>
      <c r="G478" s="5"/>
    </row>
    <row r="479" spans="2:7" ht="13">
      <c r="B479" s="36"/>
      <c r="C479" s="80"/>
      <c r="D479" s="5"/>
      <c r="E479" s="5"/>
      <c r="F479" s="5"/>
      <c r="G479" s="5"/>
    </row>
    <row r="480" spans="2:7" ht="13">
      <c r="B480" s="36"/>
      <c r="C480" s="80"/>
      <c r="D480" s="5"/>
      <c r="E480" s="5"/>
      <c r="F480" s="5"/>
      <c r="G480" s="5"/>
    </row>
    <row r="481" spans="2:7" ht="13">
      <c r="B481" s="36"/>
      <c r="C481" s="80"/>
      <c r="D481" s="5"/>
      <c r="E481" s="5"/>
      <c r="F481" s="5"/>
      <c r="G481" s="5"/>
    </row>
    <row r="482" spans="2:7" ht="13">
      <c r="B482" s="36"/>
      <c r="C482" s="80"/>
      <c r="D482" s="5"/>
      <c r="E482" s="5"/>
      <c r="F482" s="5"/>
      <c r="G482" s="5"/>
    </row>
    <row r="483" spans="2:7" ht="13">
      <c r="B483" s="36"/>
      <c r="C483" s="80"/>
      <c r="D483" s="5"/>
      <c r="E483" s="5"/>
      <c r="F483" s="5"/>
      <c r="G483" s="5"/>
    </row>
    <row r="484" spans="2:7" ht="13">
      <c r="B484" s="36"/>
      <c r="C484" s="80"/>
      <c r="D484" s="5"/>
      <c r="E484" s="5"/>
      <c r="F484" s="5"/>
      <c r="G484" s="5"/>
    </row>
    <row r="485" spans="2:7" ht="13">
      <c r="B485" s="36"/>
      <c r="C485" s="80"/>
      <c r="D485" s="5"/>
      <c r="E485" s="5"/>
      <c r="F485" s="5"/>
      <c r="G485" s="5"/>
    </row>
    <row r="486" spans="2:7" ht="13">
      <c r="B486" s="36"/>
      <c r="C486" s="80"/>
      <c r="D486" s="5"/>
      <c r="E486" s="5"/>
      <c r="F486" s="5"/>
      <c r="G486" s="5"/>
    </row>
    <row r="487" spans="2:7" ht="13">
      <c r="B487" s="36"/>
      <c r="C487" s="80"/>
      <c r="D487" s="5"/>
      <c r="E487" s="5"/>
      <c r="F487" s="5"/>
      <c r="G487" s="5"/>
    </row>
    <row r="488" spans="2:7" ht="13">
      <c r="B488" s="36"/>
      <c r="C488" s="80"/>
      <c r="D488" s="5"/>
      <c r="E488" s="5"/>
      <c r="F488" s="5"/>
      <c r="G488" s="5"/>
    </row>
    <row r="489" spans="2:7" ht="13">
      <c r="B489" s="36"/>
      <c r="C489" s="80"/>
      <c r="D489" s="5"/>
      <c r="E489" s="5"/>
      <c r="F489" s="5"/>
      <c r="G489" s="5"/>
    </row>
    <row r="490" spans="2:7" ht="13">
      <c r="B490" s="36"/>
      <c r="C490" s="80"/>
      <c r="D490" s="5"/>
      <c r="E490" s="5"/>
      <c r="F490" s="5"/>
      <c r="G490" s="5"/>
    </row>
    <row r="491" spans="2:7" ht="13">
      <c r="B491" s="36"/>
      <c r="C491" s="80"/>
      <c r="D491" s="5"/>
      <c r="E491" s="5"/>
      <c r="F491" s="5"/>
      <c r="G491" s="5"/>
    </row>
    <row r="492" spans="2:7" ht="13">
      <c r="B492" s="36"/>
      <c r="C492" s="80"/>
      <c r="D492" s="5"/>
      <c r="E492" s="5"/>
      <c r="F492" s="5"/>
      <c r="G492" s="5"/>
    </row>
    <row r="493" spans="2:7" ht="13">
      <c r="B493" s="36"/>
      <c r="C493" s="80"/>
      <c r="D493" s="5"/>
      <c r="E493" s="5"/>
      <c r="F493" s="5"/>
      <c r="G493" s="5"/>
    </row>
    <row r="494" spans="2:7" ht="13">
      <c r="B494" s="36"/>
      <c r="C494" s="80"/>
      <c r="D494" s="5"/>
      <c r="E494" s="5"/>
      <c r="F494" s="5"/>
      <c r="G494" s="5"/>
    </row>
    <row r="495" spans="2:7" ht="13">
      <c r="B495" s="36"/>
      <c r="C495" s="80"/>
      <c r="D495" s="5"/>
      <c r="E495" s="5"/>
      <c r="F495" s="5"/>
      <c r="G495" s="5"/>
    </row>
    <row r="496" spans="2:7" ht="13">
      <c r="B496" s="36"/>
      <c r="C496" s="80"/>
      <c r="D496" s="5"/>
      <c r="E496" s="5"/>
      <c r="F496" s="5"/>
      <c r="G496" s="5"/>
    </row>
    <row r="497" spans="2:7" ht="13">
      <c r="B497" s="36"/>
      <c r="C497" s="80"/>
      <c r="D497" s="5"/>
      <c r="E497" s="5"/>
      <c r="F497" s="5"/>
      <c r="G497" s="5"/>
    </row>
    <row r="498" spans="2:7" ht="13">
      <c r="B498" s="36"/>
      <c r="C498" s="80"/>
      <c r="D498" s="5"/>
      <c r="E498" s="5"/>
      <c r="F498" s="5"/>
      <c r="G498" s="5"/>
    </row>
    <row r="499" spans="2:7" ht="13">
      <c r="B499" s="36"/>
      <c r="C499" s="80"/>
      <c r="D499" s="5"/>
      <c r="E499" s="5"/>
      <c r="F499" s="5"/>
      <c r="G499" s="5"/>
    </row>
    <row r="500" spans="2:7" ht="13">
      <c r="B500" s="36"/>
      <c r="C500" s="80"/>
      <c r="D500" s="5"/>
      <c r="E500" s="5"/>
      <c r="F500" s="5"/>
      <c r="G500" s="5"/>
    </row>
    <row r="501" spans="2:7" ht="13">
      <c r="B501" s="36"/>
      <c r="C501" s="80"/>
      <c r="D501" s="5"/>
      <c r="E501" s="5"/>
      <c r="F501" s="5"/>
      <c r="G501" s="5"/>
    </row>
    <row r="502" spans="2:7" ht="13">
      <c r="B502" s="36"/>
      <c r="C502" s="80"/>
      <c r="D502" s="5"/>
      <c r="E502" s="5"/>
      <c r="F502" s="5"/>
      <c r="G502" s="5"/>
    </row>
    <row r="503" spans="2:7" ht="13">
      <c r="B503" s="36"/>
      <c r="C503" s="80"/>
      <c r="D503" s="5"/>
      <c r="E503" s="5"/>
      <c r="F503" s="5"/>
      <c r="G503" s="5"/>
    </row>
    <row r="504" spans="2:7" ht="13">
      <c r="B504" s="36"/>
      <c r="C504" s="80"/>
      <c r="D504" s="5"/>
      <c r="E504" s="5"/>
      <c r="F504" s="5"/>
      <c r="G504" s="5"/>
    </row>
    <row r="505" spans="2:7" ht="13">
      <c r="B505" s="36"/>
      <c r="C505" s="80"/>
      <c r="D505" s="5"/>
      <c r="E505" s="5"/>
      <c r="F505" s="5"/>
      <c r="G505" s="5"/>
    </row>
    <row r="506" spans="2:7" ht="13">
      <c r="B506" s="36"/>
      <c r="C506" s="80"/>
      <c r="D506" s="5"/>
      <c r="E506" s="5"/>
      <c r="F506" s="5"/>
      <c r="G506" s="5"/>
    </row>
    <row r="507" spans="2:7" ht="13">
      <c r="B507" s="36"/>
      <c r="C507" s="80"/>
      <c r="D507" s="5"/>
      <c r="E507" s="5"/>
      <c r="F507" s="5"/>
      <c r="G507" s="5"/>
    </row>
    <row r="508" spans="2:7" ht="13">
      <c r="B508" s="36"/>
      <c r="C508" s="80"/>
      <c r="D508" s="5"/>
      <c r="E508" s="5"/>
      <c r="F508" s="5"/>
      <c r="G508" s="5"/>
    </row>
    <row r="509" spans="2:7" ht="13">
      <c r="B509" s="36"/>
      <c r="C509" s="80"/>
      <c r="D509" s="5"/>
      <c r="E509" s="5"/>
      <c r="F509" s="5"/>
      <c r="G509" s="5"/>
    </row>
    <row r="510" spans="2:7" ht="13">
      <c r="B510" s="36"/>
      <c r="C510" s="80"/>
      <c r="D510" s="5"/>
      <c r="E510" s="5"/>
      <c r="F510" s="5"/>
      <c r="G510" s="5"/>
    </row>
    <row r="511" spans="2:7" ht="13">
      <c r="B511" s="36"/>
      <c r="C511" s="80"/>
      <c r="D511" s="5"/>
      <c r="E511" s="5"/>
      <c r="F511" s="5"/>
      <c r="G511" s="5"/>
    </row>
    <row r="512" spans="2:7" ht="13">
      <c r="B512" s="36"/>
      <c r="C512" s="80"/>
      <c r="D512" s="5"/>
      <c r="E512" s="5"/>
      <c r="F512" s="5"/>
      <c r="G512" s="5"/>
    </row>
    <row r="513" spans="2:7" ht="13">
      <c r="B513" s="36"/>
      <c r="C513" s="80"/>
      <c r="D513" s="5"/>
      <c r="E513" s="5"/>
      <c r="F513" s="5"/>
      <c r="G513" s="5"/>
    </row>
    <row r="514" spans="2:7" ht="13">
      <c r="B514" s="36"/>
      <c r="C514" s="80"/>
      <c r="D514" s="5"/>
      <c r="E514" s="5"/>
      <c r="F514" s="5"/>
      <c r="G514" s="5"/>
    </row>
    <row r="515" spans="2:7" ht="13">
      <c r="B515" s="36"/>
      <c r="C515" s="80"/>
      <c r="D515" s="5"/>
      <c r="E515" s="5"/>
      <c r="F515" s="5"/>
      <c r="G515" s="5"/>
    </row>
    <row r="516" spans="2:7" ht="13">
      <c r="B516" s="36"/>
      <c r="C516" s="80"/>
      <c r="D516" s="5"/>
      <c r="E516" s="5"/>
      <c r="F516" s="5"/>
      <c r="G516" s="5"/>
    </row>
    <row r="517" spans="2:7" ht="13">
      <c r="B517" s="36"/>
      <c r="C517" s="80"/>
      <c r="D517" s="5"/>
      <c r="E517" s="5"/>
      <c r="F517" s="5"/>
      <c r="G517" s="5"/>
    </row>
    <row r="518" spans="2:7" ht="13">
      <c r="B518" s="36"/>
      <c r="C518" s="80"/>
      <c r="D518" s="5"/>
      <c r="E518" s="5"/>
      <c r="F518" s="5"/>
      <c r="G518" s="5"/>
    </row>
    <row r="519" spans="2:7" ht="13">
      <c r="B519" s="36"/>
      <c r="C519" s="80"/>
      <c r="D519" s="5"/>
      <c r="E519" s="5"/>
      <c r="F519" s="5"/>
      <c r="G519" s="5"/>
    </row>
    <row r="520" spans="2:7" ht="13">
      <c r="B520" s="36"/>
      <c r="C520" s="80"/>
      <c r="D520" s="5"/>
      <c r="E520" s="5"/>
      <c r="F520" s="5"/>
      <c r="G520" s="5"/>
    </row>
    <row r="521" spans="2:7" ht="13">
      <c r="B521" s="36"/>
      <c r="C521" s="80"/>
      <c r="D521" s="5"/>
      <c r="E521" s="5"/>
      <c r="F521" s="5"/>
      <c r="G521" s="5"/>
    </row>
    <row r="522" spans="2:7" ht="13">
      <c r="B522" s="36"/>
      <c r="C522" s="80"/>
      <c r="D522" s="5"/>
      <c r="E522" s="5"/>
      <c r="F522" s="5"/>
      <c r="G522" s="5"/>
    </row>
    <row r="523" spans="2:7" ht="13">
      <c r="B523" s="36"/>
      <c r="C523" s="80"/>
      <c r="D523" s="5"/>
      <c r="E523" s="5"/>
      <c r="F523" s="5"/>
      <c r="G523" s="5"/>
    </row>
    <row r="524" spans="2:7" ht="13">
      <c r="B524" s="36"/>
      <c r="C524" s="80"/>
      <c r="D524" s="5"/>
      <c r="E524" s="5"/>
      <c r="F524" s="5"/>
      <c r="G524" s="5"/>
    </row>
    <row r="525" spans="2:7" ht="13">
      <c r="B525" s="36"/>
      <c r="C525" s="80"/>
      <c r="D525" s="5"/>
      <c r="E525" s="5"/>
      <c r="F525" s="5"/>
      <c r="G525" s="5"/>
    </row>
    <row r="526" spans="2:7" ht="13">
      <c r="B526" s="36"/>
      <c r="C526" s="80"/>
      <c r="D526" s="5"/>
      <c r="E526" s="5"/>
      <c r="F526" s="5"/>
      <c r="G526" s="5"/>
    </row>
    <row r="527" spans="2:7" ht="13">
      <c r="B527" s="36"/>
      <c r="C527" s="80"/>
      <c r="D527" s="5"/>
      <c r="E527" s="5"/>
      <c r="F527" s="5"/>
      <c r="G527" s="5"/>
    </row>
    <row r="528" spans="2:7" ht="13">
      <c r="B528" s="36"/>
      <c r="C528" s="80"/>
      <c r="D528" s="5"/>
      <c r="E528" s="5"/>
      <c r="F528" s="5"/>
      <c r="G528" s="5"/>
    </row>
    <row r="529" spans="2:7" ht="13">
      <c r="B529" s="36"/>
      <c r="C529" s="80"/>
      <c r="D529" s="5"/>
      <c r="E529" s="5"/>
      <c r="F529" s="5"/>
      <c r="G529" s="5"/>
    </row>
    <row r="530" spans="2:7" ht="13">
      <c r="B530" s="36"/>
      <c r="C530" s="80"/>
      <c r="D530" s="5"/>
      <c r="E530" s="5"/>
      <c r="F530" s="5"/>
      <c r="G530" s="5"/>
    </row>
    <row r="531" spans="2:7" ht="13">
      <c r="B531" s="36"/>
      <c r="C531" s="80"/>
      <c r="D531" s="5"/>
      <c r="E531" s="5"/>
      <c r="F531" s="5"/>
      <c r="G531" s="5"/>
    </row>
    <row r="532" spans="2:7" ht="13">
      <c r="B532" s="36"/>
      <c r="C532" s="80"/>
      <c r="D532" s="5"/>
      <c r="E532" s="5"/>
      <c r="F532" s="5"/>
      <c r="G532" s="5"/>
    </row>
    <row r="533" spans="2:7" ht="13">
      <c r="B533" s="36"/>
      <c r="C533" s="80"/>
      <c r="D533" s="5"/>
      <c r="E533" s="5"/>
      <c r="F533" s="5"/>
      <c r="G533" s="5"/>
    </row>
    <row r="534" spans="2:7" ht="13">
      <c r="B534" s="36"/>
      <c r="C534" s="80"/>
      <c r="D534" s="5"/>
      <c r="E534" s="5"/>
      <c r="F534" s="5"/>
      <c r="G534" s="5"/>
    </row>
    <row r="535" spans="2:7" ht="13">
      <c r="B535" s="36"/>
      <c r="C535" s="80"/>
      <c r="D535" s="5"/>
      <c r="E535" s="5"/>
      <c r="F535" s="5"/>
      <c r="G535" s="5"/>
    </row>
    <row r="536" spans="2:7" ht="13">
      <c r="B536" s="36"/>
      <c r="C536" s="80"/>
      <c r="D536" s="5"/>
      <c r="E536" s="5"/>
      <c r="F536" s="5"/>
      <c r="G536" s="5"/>
    </row>
    <row r="537" spans="2:7" ht="13">
      <c r="B537" s="36"/>
      <c r="C537" s="80"/>
      <c r="D537" s="5"/>
      <c r="E537" s="5"/>
      <c r="F537" s="5"/>
      <c r="G537" s="5"/>
    </row>
    <row r="538" spans="2:7" ht="13">
      <c r="B538" s="36"/>
      <c r="C538" s="80"/>
      <c r="D538" s="5"/>
      <c r="E538" s="5"/>
      <c r="F538" s="5"/>
      <c r="G538" s="5"/>
    </row>
    <row r="539" spans="2:7" ht="13">
      <c r="B539" s="36"/>
      <c r="C539" s="80"/>
      <c r="D539" s="5"/>
      <c r="E539" s="5"/>
      <c r="F539" s="5"/>
      <c r="G539" s="5"/>
    </row>
    <row r="540" spans="2:7" ht="13">
      <c r="B540" s="36"/>
      <c r="C540" s="80"/>
      <c r="D540" s="5"/>
      <c r="E540" s="5"/>
      <c r="F540" s="5"/>
      <c r="G540" s="5"/>
    </row>
    <row r="541" spans="2:7" ht="13">
      <c r="B541" s="36"/>
      <c r="C541" s="80"/>
      <c r="D541" s="5"/>
      <c r="E541" s="5"/>
      <c r="F541" s="5"/>
      <c r="G541" s="5"/>
    </row>
    <row r="542" spans="2:7" ht="13">
      <c r="B542" s="36"/>
      <c r="C542" s="80"/>
      <c r="D542" s="5"/>
      <c r="E542" s="5"/>
      <c r="F542" s="5"/>
      <c r="G542" s="5"/>
    </row>
    <row r="543" spans="2:7" ht="13">
      <c r="B543" s="36"/>
      <c r="C543" s="80"/>
      <c r="D543" s="5"/>
      <c r="E543" s="5"/>
      <c r="F543" s="5"/>
      <c r="G543" s="5"/>
    </row>
    <row r="544" spans="2:7" ht="13">
      <c r="B544" s="36"/>
      <c r="C544" s="80"/>
      <c r="D544" s="5"/>
      <c r="E544" s="5"/>
      <c r="F544" s="5"/>
      <c r="G544" s="5"/>
    </row>
    <row r="545" spans="2:7" ht="13">
      <c r="B545" s="36"/>
      <c r="C545" s="80"/>
      <c r="D545" s="5"/>
      <c r="E545" s="5"/>
      <c r="F545" s="5"/>
      <c r="G545" s="5"/>
    </row>
    <row r="546" spans="2:7" ht="13">
      <c r="B546" s="36"/>
      <c r="C546" s="80"/>
      <c r="D546" s="5"/>
      <c r="E546" s="5"/>
      <c r="F546" s="5"/>
      <c r="G546" s="5"/>
    </row>
    <row r="547" spans="2:7" ht="13">
      <c r="B547" s="36"/>
      <c r="C547" s="80"/>
      <c r="D547" s="5"/>
      <c r="E547" s="5"/>
      <c r="F547" s="5"/>
      <c r="G547" s="5"/>
    </row>
    <row r="548" spans="2:7" ht="13">
      <c r="B548" s="36"/>
      <c r="C548" s="80"/>
      <c r="D548" s="5"/>
      <c r="E548" s="5"/>
      <c r="F548" s="5"/>
      <c r="G548" s="5"/>
    </row>
    <row r="549" spans="2:7" ht="13">
      <c r="B549" s="36"/>
      <c r="C549" s="80"/>
      <c r="D549" s="5"/>
      <c r="E549" s="5"/>
      <c r="F549" s="5"/>
      <c r="G549" s="5"/>
    </row>
    <row r="550" spans="2:7" ht="13">
      <c r="B550" s="36"/>
      <c r="C550" s="80"/>
      <c r="D550" s="5"/>
      <c r="E550" s="5"/>
      <c r="F550" s="5"/>
      <c r="G550" s="5"/>
    </row>
    <row r="551" spans="2:7" ht="13">
      <c r="B551" s="36"/>
      <c r="C551" s="80"/>
      <c r="D551" s="5"/>
      <c r="E551" s="5"/>
      <c r="F551" s="5"/>
      <c r="G551" s="5"/>
    </row>
    <row r="552" spans="2:7" ht="13">
      <c r="B552" s="36"/>
      <c r="C552" s="80"/>
      <c r="D552" s="5"/>
      <c r="E552" s="5"/>
      <c r="F552" s="5"/>
      <c r="G552" s="5"/>
    </row>
    <row r="553" spans="2:7" ht="13">
      <c r="B553" s="36"/>
      <c r="C553" s="80"/>
      <c r="D553" s="5"/>
      <c r="E553" s="5"/>
      <c r="F553" s="5"/>
      <c r="G553" s="5"/>
    </row>
    <row r="554" spans="2:7" ht="13">
      <c r="B554" s="36"/>
      <c r="C554" s="80"/>
      <c r="D554" s="5"/>
      <c r="E554" s="5"/>
      <c r="F554" s="5"/>
      <c r="G554" s="5"/>
    </row>
    <row r="555" spans="2:7" ht="13">
      <c r="B555" s="36"/>
      <c r="C555" s="80"/>
      <c r="D555" s="5"/>
      <c r="E555" s="5"/>
      <c r="F555" s="5"/>
      <c r="G555" s="5"/>
    </row>
    <row r="556" spans="2:7" ht="13">
      <c r="B556" s="36"/>
      <c r="C556" s="80"/>
      <c r="D556" s="5"/>
      <c r="E556" s="5"/>
      <c r="F556" s="5"/>
      <c r="G556" s="5"/>
    </row>
    <row r="557" spans="2:7" ht="13">
      <c r="B557" s="36"/>
      <c r="C557" s="80"/>
      <c r="D557" s="5"/>
      <c r="E557" s="5"/>
      <c r="F557" s="5"/>
      <c r="G557" s="5"/>
    </row>
    <row r="558" spans="2:7" ht="13">
      <c r="B558" s="36"/>
      <c r="C558" s="80"/>
      <c r="D558" s="5"/>
      <c r="E558" s="5"/>
      <c r="F558" s="5"/>
      <c r="G558" s="5"/>
    </row>
    <row r="559" spans="2:7" ht="13">
      <c r="B559" s="36"/>
      <c r="C559" s="80"/>
      <c r="D559" s="5"/>
      <c r="E559" s="5"/>
      <c r="F559" s="5"/>
      <c r="G559" s="5"/>
    </row>
    <row r="560" spans="2:7" ht="13">
      <c r="B560" s="36"/>
      <c r="C560" s="80"/>
      <c r="D560" s="5"/>
      <c r="E560" s="5"/>
      <c r="F560" s="5"/>
      <c r="G560" s="5"/>
    </row>
    <row r="561" spans="2:7" ht="13">
      <c r="B561" s="36"/>
      <c r="C561" s="80"/>
      <c r="D561" s="5"/>
      <c r="E561" s="5"/>
      <c r="F561" s="5"/>
      <c r="G561" s="5"/>
    </row>
    <row r="562" spans="2:7" ht="13">
      <c r="B562" s="36"/>
      <c r="C562" s="80"/>
      <c r="D562" s="5"/>
      <c r="E562" s="5"/>
      <c r="F562" s="5"/>
      <c r="G562" s="5"/>
    </row>
    <row r="563" spans="2:7" ht="13">
      <c r="B563" s="36"/>
      <c r="C563" s="80"/>
      <c r="D563" s="5"/>
      <c r="E563" s="5"/>
      <c r="F563" s="5"/>
      <c r="G563" s="5"/>
    </row>
    <row r="564" spans="2:7" ht="13">
      <c r="B564" s="36"/>
      <c r="C564" s="80"/>
      <c r="D564" s="5"/>
      <c r="E564" s="5"/>
      <c r="F564" s="5"/>
      <c r="G564" s="5"/>
    </row>
    <row r="565" spans="2:7" ht="13">
      <c r="B565" s="36"/>
      <c r="C565" s="80"/>
      <c r="D565" s="5"/>
      <c r="E565" s="5"/>
      <c r="F565" s="5"/>
      <c r="G565" s="5"/>
    </row>
    <row r="566" spans="2:7" ht="13">
      <c r="B566" s="36"/>
      <c r="C566" s="80"/>
      <c r="D566" s="5"/>
      <c r="E566" s="5"/>
      <c r="F566" s="5"/>
      <c r="G566" s="5"/>
    </row>
    <row r="567" spans="2:7" ht="13">
      <c r="B567" s="36"/>
      <c r="C567" s="80"/>
      <c r="D567" s="5"/>
      <c r="E567" s="5"/>
      <c r="F567" s="5"/>
      <c r="G567" s="5"/>
    </row>
    <row r="568" spans="2:7" ht="13">
      <c r="B568" s="36"/>
      <c r="C568" s="80"/>
      <c r="D568" s="5"/>
      <c r="E568" s="5"/>
      <c r="F568" s="5"/>
      <c r="G568" s="5"/>
    </row>
    <row r="569" spans="2:7" ht="13">
      <c r="B569" s="36"/>
      <c r="C569" s="80"/>
      <c r="D569" s="5"/>
      <c r="E569" s="5"/>
      <c r="F569" s="5"/>
      <c r="G569" s="5"/>
    </row>
    <row r="570" spans="2:7" ht="13">
      <c r="B570" s="36"/>
      <c r="C570" s="80"/>
      <c r="D570" s="5"/>
      <c r="E570" s="5"/>
      <c r="F570" s="5"/>
      <c r="G570" s="5"/>
    </row>
    <row r="571" spans="2:7" ht="13">
      <c r="B571" s="36"/>
      <c r="C571" s="80"/>
      <c r="D571" s="5"/>
      <c r="E571" s="5"/>
      <c r="F571" s="5"/>
      <c r="G571" s="5"/>
    </row>
    <row r="572" spans="2:7" ht="13">
      <c r="B572" s="36"/>
      <c r="C572" s="80"/>
      <c r="D572" s="5"/>
      <c r="E572" s="5"/>
      <c r="F572" s="5"/>
      <c r="G572" s="5"/>
    </row>
    <row r="573" spans="2:7" ht="13">
      <c r="B573" s="36"/>
      <c r="C573" s="80"/>
      <c r="D573" s="5"/>
      <c r="E573" s="5"/>
      <c r="F573" s="5"/>
      <c r="G573" s="5"/>
    </row>
    <row r="574" spans="2:7" ht="13">
      <c r="B574" s="36"/>
      <c r="C574" s="80"/>
      <c r="D574" s="5"/>
      <c r="E574" s="5"/>
      <c r="F574" s="5"/>
      <c r="G574" s="5"/>
    </row>
    <row r="575" spans="2:7" ht="13">
      <c r="B575" s="36"/>
      <c r="C575" s="80"/>
      <c r="D575" s="5"/>
      <c r="E575" s="5"/>
      <c r="F575" s="5"/>
      <c r="G575" s="5"/>
    </row>
    <row r="576" spans="2:7" ht="13">
      <c r="B576" s="36"/>
      <c r="C576" s="80"/>
      <c r="D576" s="5"/>
      <c r="E576" s="5"/>
      <c r="F576" s="5"/>
      <c r="G576" s="5"/>
    </row>
    <row r="577" spans="2:7" ht="13">
      <c r="B577" s="36"/>
      <c r="C577" s="80"/>
      <c r="D577" s="5"/>
      <c r="E577" s="5"/>
      <c r="F577" s="5"/>
      <c r="G577" s="5"/>
    </row>
    <row r="578" spans="2:7" ht="13">
      <c r="B578" s="36"/>
      <c r="C578" s="80"/>
      <c r="D578" s="5"/>
      <c r="E578" s="5"/>
      <c r="F578" s="5"/>
      <c r="G578" s="5"/>
    </row>
    <row r="579" spans="2:7" ht="13">
      <c r="B579" s="36"/>
      <c r="C579" s="80"/>
      <c r="D579" s="5"/>
      <c r="E579" s="5"/>
      <c r="F579" s="5"/>
      <c r="G579" s="5"/>
    </row>
    <row r="580" spans="2:7" ht="13">
      <c r="B580" s="36"/>
      <c r="C580" s="80"/>
      <c r="D580" s="5"/>
      <c r="E580" s="5"/>
      <c r="F580" s="5"/>
      <c r="G580" s="5"/>
    </row>
    <row r="581" spans="2:7" ht="13">
      <c r="B581" s="36"/>
      <c r="C581" s="80"/>
      <c r="D581" s="5"/>
      <c r="E581" s="5"/>
      <c r="F581" s="5"/>
      <c r="G581" s="5"/>
    </row>
    <row r="582" spans="2:7" ht="13">
      <c r="B582" s="36"/>
      <c r="C582" s="80"/>
      <c r="D582" s="5"/>
      <c r="E582" s="5"/>
      <c r="F582" s="5"/>
      <c r="G582" s="5"/>
    </row>
    <row r="583" spans="2:7" ht="13">
      <c r="B583" s="36"/>
      <c r="C583" s="80"/>
      <c r="D583" s="5"/>
      <c r="E583" s="5"/>
      <c r="F583" s="5"/>
      <c r="G583" s="5"/>
    </row>
    <row r="584" spans="2:7" ht="13">
      <c r="B584" s="36"/>
      <c r="C584" s="80"/>
      <c r="D584" s="5"/>
      <c r="E584" s="5"/>
      <c r="F584" s="5"/>
      <c r="G584" s="5"/>
    </row>
    <row r="585" spans="2:7" ht="13">
      <c r="B585" s="36"/>
      <c r="C585" s="80"/>
      <c r="D585" s="5"/>
      <c r="E585" s="5"/>
      <c r="F585" s="5"/>
      <c r="G585" s="5"/>
    </row>
    <row r="586" spans="2:7" ht="13">
      <c r="B586" s="36"/>
      <c r="C586" s="80"/>
      <c r="D586" s="5"/>
      <c r="E586" s="5"/>
      <c r="F586" s="5"/>
      <c r="G586" s="5"/>
    </row>
    <row r="587" spans="2:7" ht="13">
      <c r="B587" s="36"/>
      <c r="C587" s="80"/>
      <c r="D587" s="5"/>
      <c r="E587" s="5"/>
      <c r="F587" s="5"/>
      <c r="G587" s="5"/>
    </row>
    <row r="588" spans="2:7" ht="13">
      <c r="B588" s="36"/>
      <c r="C588" s="80"/>
      <c r="D588" s="5"/>
      <c r="E588" s="5"/>
      <c r="F588" s="5"/>
      <c r="G588" s="5"/>
    </row>
    <row r="589" spans="2:7" ht="13">
      <c r="B589" s="36"/>
      <c r="C589" s="80"/>
      <c r="D589" s="5"/>
      <c r="E589" s="5"/>
      <c r="F589" s="5"/>
      <c r="G589" s="5"/>
    </row>
    <row r="590" spans="2:7" ht="13">
      <c r="B590" s="36"/>
      <c r="C590" s="80"/>
      <c r="D590" s="5"/>
      <c r="E590" s="5"/>
      <c r="F590" s="5"/>
      <c r="G590" s="5"/>
    </row>
    <row r="591" spans="2:7" ht="13">
      <c r="B591" s="36"/>
      <c r="C591" s="80"/>
      <c r="D591" s="5"/>
      <c r="E591" s="5"/>
      <c r="F591" s="5"/>
      <c r="G591" s="5"/>
    </row>
    <row r="592" spans="2:7" ht="13">
      <c r="B592" s="36"/>
      <c r="C592" s="80"/>
      <c r="D592" s="5"/>
      <c r="E592" s="5"/>
      <c r="F592" s="5"/>
      <c r="G592" s="5"/>
    </row>
    <row r="593" spans="2:7" ht="13">
      <c r="B593" s="36"/>
      <c r="C593" s="80"/>
      <c r="D593" s="5"/>
      <c r="E593" s="5"/>
      <c r="F593" s="5"/>
      <c r="G593" s="5"/>
    </row>
    <row r="594" spans="2:7" ht="13">
      <c r="B594" s="36"/>
      <c r="C594" s="80"/>
      <c r="D594" s="5"/>
      <c r="E594" s="5"/>
      <c r="F594" s="5"/>
      <c r="G594" s="5"/>
    </row>
    <row r="595" spans="2:7" ht="13">
      <c r="B595" s="36"/>
      <c r="C595" s="80"/>
      <c r="D595" s="5"/>
      <c r="E595" s="5"/>
      <c r="F595" s="5"/>
      <c r="G595" s="5"/>
    </row>
    <row r="596" spans="2:7" ht="13">
      <c r="B596" s="36"/>
      <c r="C596" s="80"/>
      <c r="D596" s="5"/>
      <c r="E596" s="5"/>
      <c r="F596" s="5"/>
      <c r="G596" s="5"/>
    </row>
    <row r="597" spans="2:7" ht="13">
      <c r="B597" s="36"/>
      <c r="C597" s="80"/>
      <c r="D597" s="5"/>
      <c r="E597" s="5"/>
      <c r="F597" s="5"/>
      <c r="G597" s="5"/>
    </row>
    <row r="598" spans="2:7" ht="13">
      <c r="B598" s="36"/>
      <c r="C598" s="80"/>
      <c r="D598" s="5"/>
      <c r="E598" s="5"/>
      <c r="F598" s="5"/>
      <c r="G598" s="5"/>
    </row>
    <row r="599" spans="2:7" ht="13">
      <c r="B599" s="36"/>
      <c r="C599" s="80"/>
      <c r="D599" s="5"/>
      <c r="E599" s="5"/>
      <c r="F599" s="5"/>
      <c r="G599" s="5"/>
    </row>
    <row r="600" spans="2:7" ht="13">
      <c r="B600" s="36"/>
      <c r="C600" s="80"/>
      <c r="D600" s="5"/>
      <c r="E600" s="5"/>
      <c r="F600" s="5"/>
      <c r="G600" s="5"/>
    </row>
    <row r="601" spans="2:7" ht="13">
      <c r="B601" s="36"/>
      <c r="C601" s="80"/>
      <c r="D601" s="5"/>
      <c r="E601" s="5"/>
      <c r="F601" s="5"/>
      <c r="G601" s="5"/>
    </row>
    <row r="602" spans="2:7" ht="13">
      <c r="B602" s="36"/>
      <c r="C602" s="80"/>
      <c r="D602" s="5"/>
      <c r="E602" s="5"/>
      <c r="F602" s="5"/>
      <c r="G602" s="5"/>
    </row>
    <row r="603" spans="2:7" ht="13">
      <c r="B603" s="36"/>
      <c r="C603" s="80"/>
      <c r="D603" s="5"/>
      <c r="E603" s="5"/>
      <c r="F603" s="5"/>
      <c r="G603" s="5"/>
    </row>
    <row r="604" spans="2:7" ht="13">
      <c r="B604" s="36"/>
      <c r="C604" s="80"/>
      <c r="D604" s="5"/>
      <c r="E604" s="5"/>
      <c r="F604" s="5"/>
      <c r="G604" s="5"/>
    </row>
    <row r="605" spans="2:7" ht="13">
      <c r="B605" s="36"/>
      <c r="C605" s="80"/>
      <c r="D605" s="5"/>
      <c r="E605" s="5"/>
      <c r="F605" s="5"/>
      <c r="G605" s="5"/>
    </row>
    <row r="606" spans="2:7" ht="13">
      <c r="B606" s="36"/>
      <c r="C606" s="80"/>
      <c r="D606" s="5"/>
      <c r="E606" s="5"/>
      <c r="F606" s="5"/>
      <c r="G606" s="5"/>
    </row>
    <row r="607" spans="2:7" ht="13">
      <c r="B607" s="36"/>
      <c r="C607" s="80"/>
      <c r="D607" s="5"/>
      <c r="E607" s="5"/>
      <c r="F607" s="5"/>
      <c r="G607" s="5"/>
    </row>
    <row r="608" spans="2:7" ht="13">
      <c r="B608" s="36"/>
      <c r="C608" s="80"/>
      <c r="D608" s="5"/>
      <c r="E608" s="5"/>
      <c r="F608" s="5"/>
      <c r="G608" s="5"/>
    </row>
    <row r="609" spans="2:7" ht="13">
      <c r="B609" s="36"/>
      <c r="C609" s="80"/>
      <c r="D609" s="5"/>
      <c r="E609" s="5"/>
      <c r="F609" s="5"/>
      <c r="G609" s="5"/>
    </row>
    <row r="610" spans="2:7" ht="13">
      <c r="B610" s="36"/>
      <c r="C610" s="80"/>
      <c r="D610" s="5"/>
      <c r="E610" s="5"/>
      <c r="F610" s="5"/>
      <c r="G610" s="5"/>
    </row>
    <row r="611" spans="2:7" ht="13">
      <c r="B611" s="36"/>
      <c r="C611" s="80"/>
      <c r="D611" s="5"/>
      <c r="E611" s="5"/>
      <c r="F611" s="5"/>
      <c r="G611" s="5"/>
    </row>
    <row r="612" spans="2:7" ht="13">
      <c r="B612" s="36"/>
      <c r="C612" s="80"/>
      <c r="D612" s="5"/>
      <c r="E612" s="5"/>
      <c r="F612" s="5"/>
      <c r="G612" s="5"/>
    </row>
    <row r="613" spans="2:7" ht="13">
      <c r="B613" s="36"/>
      <c r="C613" s="80"/>
      <c r="D613" s="5"/>
      <c r="E613" s="5"/>
      <c r="F613" s="5"/>
      <c r="G613" s="5"/>
    </row>
    <row r="614" spans="2:7" ht="13">
      <c r="B614" s="36"/>
      <c r="C614" s="80"/>
      <c r="D614" s="5"/>
      <c r="E614" s="5"/>
      <c r="F614" s="5"/>
      <c r="G614" s="5"/>
    </row>
    <row r="615" spans="2:7" ht="13">
      <c r="B615" s="36"/>
      <c r="C615" s="80"/>
      <c r="D615" s="5"/>
      <c r="E615" s="5"/>
      <c r="F615" s="5"/>
      <c r="G615" s="5"/>
    </row>
    <row r="616" spans="2:7" ht="13">
      <c r="B616" s="36"/>
      <c r="C616" s="80"/>
      <c r="D616" s="5"/>
      <c r="E616" s="5"/>
      <c r="F616" s="5"/>
      <c r="G616" s="5"/>
    </row>
    <row r="617" spans="2:7" ht="13">
      <c r="B617" s="36"/>
      <c r="C617" s="80"/>
      <c r="D617" s="5"/>
      <c r="E617" s="5"/>
      <c r="F617" s="5"/>
      <c r="G617" s="5"/>
    </row>
    <row r="618" spans="2:7" ht="13">
      <c r="B618" s="36"/>
      <c r="C618" s="80"/>
      <c r="D618" s="5"/>
      <c r="E618" s="5"/>
      <c r="F618" s="5"/>
      <c r="G618" s="5"/>
    </row>
    <row r="619" spans="2:7" ht="13">
      <c r="B619" s="36"/>
      <c r="C619" s="80"/>
      <c r="D619" s="5"/>
      <c r="E619" s="5"/>
      <c r="F619" s="5"/>
      <c r="G619" s="5"/>
    </row>
    <row r="620" spans="2:7" ht="13">
      <c r="B620" s="36"/>
      <c r="C620" s="80"/>
      <c r="D620" s="5"/>
      <c r="E620" s="5"/>
      <c r="F620" s="5"/>
      <c r="G620" s="5"/>
    </row>
    <row r="621" spans="2:7" ht="13">
      <c r="B621" s="36"/>
      <c r="C621" s="80"/>
      <c r="D621" s="5"/>
      <c r="E621" s="5"/>
      <c r="F621" s="5"/>
      <c r="G621" s="5"/>
    </row>
    <row r="622" spans="2:7" ht="13">
      <c r="B622" s="36"/>
      <c r="C622" s="80"/>
      <c r="D622" s="5"/>
      <c r="E622" s="5"/>
      <c r="F622" s="5"/>
      <c r="G622" s="5"/>
    </row>
    <row r="623" spans="2:7" ht="13">
      <c r="B623" s="36"/>
      <c r="C623" s="80"/>
      <c r="D623" s="5"/>
      <c r="E623" s="5"/>
      <c r="F623" s="5"/>
      <c r="G623" s="5"/>
    </row>
    <row r="624" spans="2:7" ht="13">
      <c r="B624" s="36"/>
      <c r="C624" s="80"/>
      <c r="D624" s="5"/>
      <c r="E624" s="5"/>
      <c r="F624" s="5"/>
      <c r="G624" s="5"/>
    </row>
    <row r="625" spans="2:7" ht="13">
      <c r="B625" s="36"/>
      <c r="C625" s="80"/>
      <c r="D625" s="5"/>
      <c r="E625" s="5"/>
      <c r="F625" s="5"/>
      <c r="G625" s="5"/>
    </row>
    <row r="626" spans="2:7" ht="13">
      <c r="B626" s="36"/>
      <c r="C626" s="80"/>
      <c r="D626" s="5"/>
      <c r="E626" s="5"/>
      <c r="F626" s="5"/>
      <c r="G626" s="5"/>
    </row>
    <row r="627" spans="2:7" ht="13">
      <c r="B627" s="36"/>
      <c r="C627" s="80"/>
      <c r="D627" s="5"/>
      <c r="E627" s="5"/>
      <c r="F627" s="5"/>
      <c r="G627" s="5"/>
    </row>
    <row r="628" spans="2:7" ht="13">
      <c r="B628" s="36"/>
      <c r="C628" s="80"/>
      <c r="D628" s="5"/>
      <c r="E628" s="5"/>
      <c r="F628" s="5"/>
      <c r="G628" s="5"/>
    </row>
    <row r="629" spans="2:7" ht="13">
      <c r="B629" s="36"/>
      <c r="C629" s="80"/>
      <c r="D629" s="5"/>
      <c r="E629" s="5"/>
      <c r="F629" s="5"/>
      <c r="G629" s="5"/>
    </row>
    <row r="630" spans="2:7" ht="13">
      <c r="B630" s="36"/>
      <c r="C630" s="80"/>
      <c r="D630" s="5"/>
      <c r="E630" s="5"/>
      <c r="F630" s="5"/>
      <c r="G630" s="5"/>
    </row>
    <row r="631" spans="2:7" ht="13">
      <c r="B631" s="36"/>
      <c r="C631" s="80"/>
      <c r="D631" s="5"/>
      <c r="E631" s="5"/>
      <c r="F631" s="5"/>
      <c r="G631" s="5"/>
    </row>
    <row r="632" spans="2:7" ht="13">
      <c r="B632" s="36"/>
      <c r="C632" s="80"/>
      <c r="D632" s="5"/>
      <c r="E632" s="5"/>
      <c r="F632" s="5"/>
      <c r="G632" s="5"/>
    </row>
    <row r="633" spans="2:7" ht="13">
      <c r="B633" s="36"/>
      <c r="C633" s="80"/>
      <c r="D633" s="5"/>
      <c r="E633" s="5"/>
      <c r="F633" s="5"/>
      <c r="G633" s="5"/>
    </row>
    <row r="634" spans="2:7" ht="13">
      <c r="B634" s="36"/>
      <c r="C634" s="80"/>
      <c r="D634" s="5"/>
      <c r="E634" s="5"/>
      <c r="F634" s="5"/>
      <c r="G634" s="5"/>
    </row>
    <row r="635" spans="2:7" ht="13">
      <c r="B635" s="36"/>
      <c r="C635" s="80"/>
      <c r="D635" s="5"/>
      <c r="E635" s="5"/>
      <c r="F635" s="5"/>
      <c r="G635" s="5"/>
    </row>
    <row r="636" spans="2:7" ht="13">
      <c r="B636" s="36"/>
      <c r="C636" s="80"/>
      <c r="D636" s="5"/>
      <c r="E636" s="5"/>
      <c r="F636" s="5"/>
      <c r="G636" s="5"/>
    </row>
    <row r="637" spans="2:7" ht="13">
      <c r="B637" s="36"/>
      <c r="C637" s="80"/>
      <c r="D637" s="5"/>
      <c r="E637" s="5"/>
      <c r="F637" s="5"/>
      <c r="G637" s="5"/>
    </row>
    <row r="638" spans="2:7" ht="13">
      <c r="B638" s="36"/>
      <c r="C638" s="80"/>
      <c r="D638" s="5"/>
      <c r="E638" s="5"/>
      <c r="F638" s="5"/>
      <c r="G638" s="5"/>
    </row>
    <row r="639" spans="2:7" ht="13">
      <c r="B639" s="36"/>
      <c r="C639" s="80"/>
      <c r="D639" s="5"/>
      <c r="E639" s="5"/>
      <c r="F639" s="5"/>
      <c r="G639" s="5"/>
    </row>
    <row r="640" spans="2:7" ht="13">
      <c r="B640" s="36"/>
      <c r="C640" s="80"/>
      <c r="D640" s="5"/>
      <c r="E640" s="5"/>
      <c r="F640" s="5"/>
      <c r="G640" s="5"/>
    </row>
    <row r="641" spans="2:7" ht="13">
      <c r="B641" s="36"/>
      <c r="C641" s="80"/>
      <c r="D641" s="5"/>
      <c r="E641" s="5"/>
      <c r="F641" s="5"/>
      <c r="G641" s="5"/>
    </row>
    <row r="642" spans="2:7" ht="13">
      <c r="B642" s="36"/>
      <c r="C642" s="80"/>
      <c r="D642" s="5"/>
      <c r="E642" s="5"/>
      <c r="F642" s="5"/>
      <c r="G642" s="5"/>
    </row>
    <row r="643" spans="2:7" ht="13">
      <c r="B643" s="36"/>
      <c r="C643" s="80"/>
      <c r="D643" s="5"/>
      <c r="E643" s="5"/>
      <c r="F643" s="5"/>
      <c r="G643" s="5"/>
    </row>
    <row r="644" spans="2:7" ht="13">
      <c r="B644" s="36"/>
      <c r="C644" s="80"/>
      <c r="D644" s="5"/>
      <c r="E644" s="5"/>
      <c r="F644" s="5"/>
      <c r="G644" s="5"/>
    </row>
    <row r="645" spans="2:7" ht="13">
      <c r="B645" s="36"/>
      <c r="C645" s="80"/>
      <c r="D645" s="5"/>
      <c r="E645" s="5"/>
      <c r="F645" s="5"/>
      <c r="G645" s="5"/>
    </row>
    <row r="646" spans="2:7" ht="13">
      <c r="B646" s="36"/>
      <c r="C646" s="80"/>
      <c r="D646" s="5"/>
      <c r="E646" s="5"/>
      <c r="F646" s="5"/>
      <c r="G646" s="5"/>
    </row>
    <row r="647" spans="2:7" ht="13">
      <c r="B647" s="36"/>
      <c r="C647" s="80"/>
      <c r="D647" s="5"/>
      <c r="E647" s="5"/>
      <c r="F647" s="5"/>
      <c r="G647" s="5"/>
    </row>
    <row r="648" spans="2:7" ht="13">
      <c r="B648" s="36"/>
      <c r="C648" s="80"/>
      <c r="D648" s="5"/>
      <c r="E648" s="5"/>
      <c r="F648" s="5"/>
      <c r="G648" s="5"/>
    </row>
    <row r="649" spans="2:7" ht="13">
      <c r="B649" s="36"/>
      <c r="C649" s="80"/>
      <c r="D649" s="5"/>
      <c r="E649" s="5"/>
      <c r="F649" s="5"/>
      <c r="G649" s="5"/>
    </row>
    <row r="650" spans="2:7" ht="13">
      <c r="B650" s="36"/>
      <c r="C650" s="80"/>
      <c r="D650" s="5"/>
      <c r="E650" s="5"/>
      <c r="F650" s="5"/>
      <c r="G650" s="5"/>
    </row>
    <row r="651" spans="2:7" ht="13">
      <c r="B651" s="36"/>
      <c r="C651" s="80"/>
      <c r="D651" s="5"/>
      <c r="E651" s="5"/>
      <c r="F651" s="5"/>
      <c r="G651" s="5"/>
    </row>
    <row r="652" spans="2:7" ht="13">
      <c r="B652" s="36"/>
      <c r="C652" s="80"/>
      <c r="D652" s="5"/>
      <c r="E652" s="5"/>
      <c r="F652" s="5"/>
      <c r="G652" s="5"/>
    </row>
    <row r="653" spans="2:7" ht="13">
      <c r="B653" s="36"/>
      <c r="C653" s="80"/>
      <c r="D653" s="5"/>
      <c r="E653" s="5"/>
      <c r="F653" s="5"/>
      <c r="G653" s="5"/>
    </row>
    <row r="654" spans="2:7" ht="13">
      <c r="B654" s="36"/>
      <c r="C654" s="80"/>
      <c r="D654" s="5"/>
      <c r="E654" s="5"/>
      <c r="F654" s="5"/>
      <c r="G654" s="5"/>
    </row>
    <row r="655" spans="2:7" ht="13">
      <c r="B655" s="36"/>
      <c r="C655" s="80"/>
      <c r="D655" s="5"/>
      <c r="E655" s="5"/>
      <c r="F655" s="5"/>
      <c r="G655" s="5"/>
    </row>
    <row r="656" spans="2:7" ht="13">
      <c r="B656" s="36"/>
      <c r="C656" s="80"/>
      <c r="D656" s="5"/>
      <c r="E656" s="5"/>
      <c r="F656" s="5"/>
      <c r="G656" s="5"/>
    </row>
    <row r="657" spans="2:7" ht="13">
      <c r="B657" s="36"/>
      <c r="C657" s="80"/>
      <c r="D657" s="5"/>
      <c r="E657" s="5"/>
      <c r="F657" s="5"/>
      <c r="G657" s="5"/>
    </row>
    <row r="658" spans="2:7" ht="13">
      <c r="B658" s="36"/>
      <c r="C658" s="80"/>
      <c r="D658" s="5"/>
      <c r="E658" s="5"/>
      <c r="F658" s="5"/>
      <c r="G658" s="5"/>
    </row>
    <row r="659" spans="2:7" ht="13">
      <c r="B659" s="36"/>
      <c r="C659" s="80"/>
      <c r="D659" s="5"/>
      <c r="E659" s="5"/>
      <c r="F659" s="5"/>
      <c r="G659" s="5"/>
    </row>
    <row r="660" spans="2:7" ht="13">
      <c r="B660" s="36"/>
      <c r="C660" s="80"/>
      <c r="D660" s="5"/>
      <c r="E660" s="5"/>
      <c r="F660" s="5"/>
      <c r="G660" s="5"/>
    </row>
    <row r="661" spans="2:7" ht="13">
      <c r="B661" s="36"/>
      <c r="C661" s="80"/>
      <c r="D661" s="5"/>
      <c r="E661" s="5"/>
      <c r="F661" s="5"/>
      <c r="G661" s="5"/>
    </row>
    <row r="662" spans="2:7" ht="13">
      <c r="B662" s="36"/>
      <c r="C662" s="80"/>
      <c r="D662" s="5"/>
      <c r="E662" s="5"/>
      <c r="F662" s="5"/>
      <c r="G662" s="5"/>
    </row>
    <row r="663" spans="2:7" ht="13">
      <c r="B663" s="36"/>
      <c r="C663" s="80"/>
      <c r="D663" s="5"/>
      <c r="E663" s="5"/>
      <c r="F663" s="5"/>
      <c r="G663" s="5"/>
    </row>
    <row r="664" spans="2:7" ht="13">
      <c r="B664" s="36"/>
      <c r="C664" s="80"/>
      <c r="D664" s="5"/>
      <c r="E664" s="5"/>
      <c r="F664" s="5"/>
      <c r="G664" s="5"/>
    </row>
    <row r="665" spans="2:7" ht="13">
      <c r="B665" s="36"/>
      <c r="C665" s="80"/>
      <c r="D665" s="5"/>
      <c r="E665" s="5"/>
      <c r="F665" s="5"/>
      <c r="G665" s="5"/>
    </row>
    <row r="666" spans="2:7" ht="13">
      <c r="B666" s="36"/>
      <c r="C666" s="80"/>
      <c r="D666" s="5"/>
      <c r="E666" s="5"/>
      <c r="F666" s="5"/>
      <c r="G666" s="5"/>
    </row>
    <row r="667" spans="2:7" ht="13">
      <c r="B667" s="36"/>
      <c r="C667" s="80"/>
      <c r="D667" s="5"/>
      <c r="E667" s="5"/>
      <c r="F667" s="5"/>
      <c r="G667" s="5"/>
    </row>
    <row r="668" spans="2:7" ht="13">
      <c r="B668" s="36"/>
      <c r="C668" s="80"/>
      <c r="D668" s="5"/>
      <c r="E668" s="5"/>
      <c r="F668" s="5"/>
      <c r="G668" s="5"/>
    </row>
    <row r="669" spans="2:7" ht="13">
      <c r="B669" s="36"/>
      <c r="C669" s="80"/>
      <c r="D669" s="5"/>
      <c r="E669" s="5"/>
      <c r="F669" s="5"/>
      <c r="G669" s="5"/>
    </row>
    <row r="670" spans="2:7" ht="13">
      <c r="B670" s="36"/>
      <c r="C670" s="80"/>
      <c r="D670" s="5"/>
      <c r="E670" s="5"/>
      <c r="F670" s="5"/>
      <c r="G670" s="5"/>
    </row>
    <row r="671" spans="2:7" ht="13">
      <c r="B671" s="36"/>
      <c r="C671" s="80"/>
      <c r="D671" s="5"/>
      <c r="E671" s="5"/>
      <c r="F671" s="5"/>
      <c r="G671" s="5"/>
    </row>
    <row r="672" spans="2:7" ht="13">
      <c r="B672" s="36"/>
      <c r="C672" s="80"/>
      <c r="D672" s="5"/>
      <c r="E672" s="5"/>
      <c r="F672" s="5"/>
      <c r="G672" s="5"/>
    </row>
    <row r="673" spans="2:7" ht="13">
      <c r="B673" s="36"/>
      <c r="C673" s="80"/>
      <c r="D673" s="5"/>
      <c r="E673" s="5"/>
      <c r="F673" s="5"/>
      <c r="G673" s="5"/>
    </row>
    <row r="674" spans="2:7" ht="13">
      <c r="B674" s="36"/>
      <c r="C674" s="80"/>
      <c r="D674" s="5"/>
      <c r="E674" s="5"/>
      <c r="F674" s="5"/>
      <c r="G674" s="5"/>
    </row>
    <row r="675" spans="2:7" ht="13">
      <c r="B675" s="36"/>
      <c r="C675" s="80"/>
      <c r="D675" s="5"/>
      <c r="E675" s="5"/>
      <c r="F675" s="5"/>
      <c r="G675" s="5"/>
    </row>
    <row r="676" spans="2:7" ht="13">
      <c r="B676" s="36"/>
      <c r="C676" s="80"/>
      <c r="D676" s="5"/>
      <c r="E676" s="5"/>
      <c r="F676" s="5"/>
      <c r="G676" s="5"/>
    </row>
    <row r="677" spans="2:7" ht="13">
      <c r="B677" s="36"/>
      <c r="C677" s="80"/>
      <c r="D677" s="5"/>
      <c r="E677" s="5"/>
      <c r="F677" s="5"/>
      <c r="G677" s="5"/>
    </row>
    <row r="678" spans="2:7" ht="13">
      <c r="B678" s="36"/>
      <c r="C678" s="80"/>
      <c r="D678" s="5"/>
      <c r="E678" s="5"/>
      <c r="F678" s="5"/>
      <c r="G678" s="5"/>
    </row>
    <row r="679" spans="2:7" ht="13">
      <c r="B679" s="36"/>
      <c r="C679" s="80"/>
      <c r="D679" s="5"/>
      <c r="E679" s="5"/>
      <c r="F679" s="5"/>
      <c r="G679" s="5"/>
    </row>
    <row r="680" spans="2:7" ht="13">
      <c r="B680" s="36"/>
      <c r="C680" s="80"/>
      <c r="D680" s="5"/>
      <c r="E680" s="5"/>
      <c r="F680" s="5"/>
      <c r="G680" s="5"/>
    </row>
    <row r="681" spans="2:7" ht="13">
      <c r="B681" s="36"/>
      <c r="C681" s="80"/>
      <c r="D681" s="5"/>
      <c r="E681" s="5"/>
      <c r="F681" s="5"/>
      <c r="G681" s="5"/>
    </row>
    <row r="682" spans="2:7" ht="13">
      <c r="B682" s="36"/>
      <c r="C682" s="80"/>
      <c r="D682" s="5"/>
      <c r="E682" s="5"/>
      <c r="F682" s="5"/>
      <c r="G682" s="5"/>
    </row>
    <row r="683" spans="2:7" ht="13">
      <c r="B683" s="36"/>
      <c r="C683" s="80"/>
      <c r="D683" s="5"/>
      <c r="E683" s="5"/>
      <c r="F683" s="5"/>
      <c r="G683" s="5"/>
    </row>
    <row r="684" spans="2:7" ht="13">
      <c r="B684" s="36"/>
      <c r="C684" s="80"/>
      <c r="D684" s="5"/>
      <c r="E684" s="5"/>
      <c r="F684" s="5"/>
      <c r="G684" s="5"/>
    </row>
    <row r="685" spans="2:7" ht="13">
      <c r="B685" s="36"/>
      <c r="C685" s="80"/>
      <c r="D685" s="5"/>
      <c r="E685" s="5"/>
      <c r="F685" s="5"/>
      <c r="G685" s="5"/>
    </row>
    <row r="686" spans="2:7" ht="13">
      <c r="B686" s="36"/>
      <c r="C686" s="80"/>
      <c r="D686" s="5"/>
      <c r="E686" s="5"/>
      <c r="F686" s="5"/>
      <c r="G686" s="5"/>
    </row>
    <row r="687" spans="2:7" ht="13">
      <c r="B687" s="36"/>
      <c r="C687" s="80"/>
      <c r="D687" s="5"/>
      <c r="E687" s="5"/>
      <c r="F687" s="5"/>
      <c r="G687" s="5"/>
    </row>
    <row r="688" spans="2:7" ht="13">
      <c r="B688" s="36"/>
      <c r="C688" s="80"/>
      <c r="D688" s="5"/>
      <c r="E688" s="5"/>
      <c r="F688" s="5"/>
      <c r="G688" s="5"/>
    </row>
    <row r="689" spans="2:7" ht="13">
      <c r="B689" s="36"/>
      <c r="C689" s="80"/>
      <c r="D689" s="5"/>
      <c r="E689" s="5"/>
      <c r="F689" s="5"/>
      <c r="G689" s="5"/>
    </row>
    <row r="690" spans="2:7" ht="13">
      <c r="B690" s="36"/>
      <c r="C690" s="80"/>
      <c r="D690" s="5"/>
      <c r="E690" s="5"/>
      <c r="F690" s="5"/>
      <c r="G690" s="5"/>
    </row>
    <row r="691" spans="2:7" ht="13">
      <c r="B691" s="36"/>
      <c r="C691" s="80"/>
      <c r="D691" s="5"/>
      <c r="E691" s="5"/>
      <c r="F691" s="5"/>
      <c r="G691" s="5"/>
    </row>
    <row r="692" spans="2:7" ht="13">
      <c r="B692" s="36"/>
      <c r="C692" s="80"/>
      <c r="D692" s="5"/>
      <c r="E692" s="5"/>
      <c r="F692" s="5"/>
      <c r="G692" s="5"/>
    </row>
    <row r="693" spans="2:7" ht="13">
      <c r="B693" s="36"/>
      <c r="C693" s="80"/>
      <c r="D693" s="5"/>
      <c r="E693" s="5"/>
      <c r="F693" s="5"/>
      <c r="G693" s="5"/>
    </row>
    <row r="694" spans="2:7" ht="13">
      <c r="B694" s="36"/>
      <c r="C694" s="80"/>
      <c r="D694" s="5"/>
      <c r="E694" s="5"/>
      <c r="F694" s="5"/>
      <c r="G694" s="5"/>
    </row>
    <row r="695" spans="2:7" ht="13">
      <c r="B695" s="36"/>
      <c r="C695" s="80"/>
      <c r="D695" s="5"/>
      <c r="E695" s="5"/>
      <c r="F695" s="5"/>
      <c r="G695" s="5"/>
    </row>
    <row r="696" spans="2:7" ht="13">
      <c r="B696" s="36"/>
      <c r="C696" s="80"/>
      <c r="D696" s="5"/>
      <c r="E696" s="5"/>
      <c r="F696" s="5"/>
      <c r="G696" s="5"/>
    </row>
    <row r="697" spans="2:7" ht="13">
      <c r="B697" s="36"/>
      <c r="C697" s="80"/>
      <c r="D697" s="5"/>
      <c r="E697" s="5"/>
      <c r="F697" s="5"/>
      <c r="G697" s="5"/>
    </row>
    <row r="698" spans="2:7" ht="13">
      <c r="B698" s="36"/>
      <c r="C698" s="80"/>
      <c r="D698" s="5"/>
      <c r="E698" s="5"/>
      <c r="F698" s="5"/>
      <c r="G698" s="5"/>
    </row>
    <row r="699" spans="2:7" ht="13">
      <c r="B699" s="36"/>
      <c r="C699" s="80"/>
      <c r="D699" s="5"/>
      <c r="E699" s="5"/>
      <c r="F699" s="5"/>
      <c r="G699" s="5"/>
    </row>
    <row r="700" spans="2:7" ht="13">
      <c r="B700" s="36"/>
      <c r="C700" s="80"/>
      <c r="D700" s="5"/>
      <c r="E700" s="5"/>
      <c r="F700" s="5"/>
      <c r="G700" s="5"/>
    </row>
    <row r="701" spans="2:7" ht="13">
      <c r="B701" s="36"/>
      <c r="C701" s="80"/>
      <c r="D701" s="5"/>
      <c r="E701" s="5"/>
      <c r="F701" s="5"/>
      <c r="G701" s="5"/>
    </row>
    <row r="702" spans="2:7" ht="13">
      <c r="B702" s="36"/>
      <c r="C702" s="80"/>
      <c r="D702" s="5"/>
      <c r="E702" s="5"/>
      <c r="F702" s="5"/>
      <c r="G702" s="5"/>
    </row>
    <row r="703" spans="2:7" ht="13">
      <c r="B703" s="36"/>
      <c r="C703" s="80"/>
      <c r="D703" s="5"/>
      <c r="E703" s="5"/>
      <c r="F703" s="5"/>
      <c r="G703" s="5"/>
    </row>
    <row r="704" spans="2:7" ht="13">
      <c r="B704" s="36"/>
      <c r="C704" s="80"/>
      <c r="D704" s="5"/>
      <c r="E704" s="5"/>
      <c r="F704" s="5"/>
      <c r="G704" s="5"/>
    </row>
    <row r="705" spans="2:7" ht="13">
      <c r="B705" s="36"/>
      <c r="C705" s="80"/>
      <c r="D705" s="5"/>
      <c r="E705" s="5"/>
      <c r="F705" s="5"/>
      <c r="G705" s="5"/>
    </row>
    <row r="706" spans="2:7" ht="13">
      <c r="B706" s="36"/>
      <c r="C706" s="80"/>
      <c r="D706" s="5"/>
      <c r="E706" s="5"/>
      <c r="F706" s="5"/>
      <c r="G706" s="5"/>
    </row>
    <row r="707" spans="2:7" ht="13">
      <c r="B707" s="36"/>
      <c r="C707" s="80"/>
      <c r="D707" s="5"/>
      <c r="E707" s="5"/>
      <c r="F707" s="5"/>
      <c r="G707" s="5"/>
    </row>
    <row r="708" spans="2:7" ht="13">
      <c r="B708" s="36"/>
      <c r="C708" s="80"/>
      <c r="D708" s="5"/>
      <c r="E708" s="5"/>
      <c r="F708" s="5"/>
      <c r="G708" s="5"/>
    </row>
    <row r="709" spans="2:7" ht="13">
      <c r="B709" s="36"/>
      <c r="C709" s="80"/>
      <c r="D709" s="5"/>
      <c r="E709" s="5"/>
      <c r="F709" s="5"/>
      <c r="G709" s="5"/>
    </row>
    <row r="710" spans="2:7" ht="13">
      <c r="B710" s="36"/>
      <c r="C710" s="80"/>
      <c r="D710" s="5"/>
      <c r="E710" s="5"/>
      <c r="F710" s="5"/>
      <c r="G710" s="5"/>
    </row>
    <row r="711" spans="2:7" ht="13">
      <c r="B711" s="36"/>
      <c r="C711" s="80"/>
      <c r="D711" s="5"/>
      <c r="E711" s="5"/>
      <c r="F711" s="5"/>
      <c r="G711" s="5"/>
    </row>
    <row r="712" spans="2:7" ht="13">
      <c r="B712" s="36"/>
      <c r="C712" s="80"/>
      <c r="D712" s="5"/>
      <c r="E712" s="5"/>
      <c r="F712" s="5"/>
      <c r="G712" s="5"/>
    </row>
    <row r="713" spans="2:7" ht="13">
      <c r="B713" s="36"/>
      <c r="C713" s="80"/>
      <c r="D713" s="5"/>
      <c r="E713" s="5"/>
      <c r="F713" s="5"/>
      <c r="G713" s="5"/>
    </row>
    <row r="714" spans="2:7" ht="13">
      <c r="B714" s="36"/>
      <c r="C714" s="80"/>
      <c r="D714" s="5"/>
      <c r="E714" s="5"/>
      <c r="F714" s="5"/>
      <c r="G714" s="5"/>
    </row>
    <row r="715" spans="2:7" ht="13">
      <c r="B715" s="36"/>
      <c r="C715" s="80"/>
      <c r="D715" s="5"/>
      <c r="E715" s="5"/>
      <c r="F715" s="5"/>
      <c r="G715" s="5"/>
    </row>
    <row r="716" spans="2:7" ht="13">
      <c r="B716" s="36"/>
      <c r="C716" s="80"/>
      <c r="D716" s="5"/>
      <c r="E716" s="5"/>
      <c r="F716" s="5"/>
      <c r="G716" s="5"/>
    </row>
    <row r="717" spans="2:7" ht="13">
      <c r="B717" s="36"/>
      <c r="C717" s="80"/>
      <c r="D717" s="5"/>
      <c r="E717" s="5"/>
      <c r="F717" s="5"/>
      <c r="G717" s="5"/>
    </row>
    <row r="718" spans="2:7" ht="13">
      <c r="B718" s="36"/>
      <c r="C718" s="80"/>
      <c r="D718" s="5"/>
      <c r="E718" s="5"/>
      <c r="F718" s="5"/>
      <c r="G718" s="5"/>
    </row>
    <row r="719" spans="2:7" ht="13">
      <c r="B719" s="36"/>
      <c r="C719" s="80"/>
      <c r="D719" s="5"/>
      <c r="E719" s="5"/>
      <c r="F719" s="5"/>
      <c r="G719" s="5"/>
    </row>
    <row r="720" spans="2:7" ht="13">
      <c r="B720" s="36"/>
      <c r="C720" s="80"/>
      <c r="D720" s="5"/>
      <c r="E720" s="5"/>
      <c r="F720" s="5"/>
      <c r="G720" s="5"/>
    </row>
    <row r="721" spans="2:7" ht="13">
      <c r="B721" s="36"/>
      <c r="C721" s="80"/>
      <c r="D721" s="5"/>
      <c r="E721" s="5"/>
      <c r="F721" s="5"/>
      <c r="G721" s="5"/>
    </row>
    <row r="722" spans="2:7" ht="13">
      <c r="B722" s="36"/>
      <c r="C722" s="80"/>
      <c r="D722" s="5"/>
      <c r="E722" s="5"/>
      <c r="F722" s="5"/>
      <c r="G722" s="5"/>
    </row>
    <row r="723" spans="2:7" ht="13">
      <c r="B723" s="36"/>
      <c r="C723" s="80"/>
      <c r="D723" s="5"/>
      <c r="E723" s="5"/>
      <c r="F723" s="5"/>
      <c r="G723" s="5"/>
    </row>
    <row r="724" spans="2:7" ht="13">
      <c r="B724" s="36"/>
      <c r="C724" s="80"/>
      <c r="D724" s="5"/>
      <c r="E724" s="5"/>
      <c r="F724" s="5"/>
      <c r="G724" s="5"/>
    </row>
    <row r="725" spans="2:7" ht="13">
      <c r="B725" s="36"/>
      <c r="C725" s="80"/>
      <c r="D725" s="5"/>
      <c r="E725" s="5"/>
      <c r="F725" s="5"/>
      <c r="G725" s="5"/>
    </row>
    <row r="726" spans="2:7" ht="13">
      <c r="B726" s="36"/>
      <c r="C726" s="80"/>
      <c r="D726" s="5"/>
      <c r="E726" s="5"/>
      <c r="F726" s="5"/>
      <c r="G726" s="5"/>
    </row>
    <row r="727" spans="2:7" ht="13">
      <c r="B727" s="36"/>
      <c r="C727" s="80"/>
      <c r="D727" s="5"/>
      <c r="E727" s="5"/>
      <c r="F727" s="5"/>
      <c r="G727" s="5"/>
    </row>
    <row r="728" spans="2:7" ht="13">
      <c r="B728" s="36"/>
      <c r="C728" s="80"/>
      <c r="D728" s="5"/>
      <c r="E728" s="5"/>
      <c r="F728" s="5"/>
      <c r="G728" s="5"/>
    </row>
    <row r="729" spans="2:7" ht="13">
      <c r="B729" s="36"/>
      <c r="C729" s="80"/>
      <c r="D729" s="5"/>
      <c r="E729" s="5"/>
      <c r="F729" s="5"/>
      <c r="G729" s="5"/>
    </row>
    <row r="730" spans="2:7" ht="13">
      <c r="B730" s="36"/>
      <c r="C730" s="80"/>
      <c r="D730" s="5"/>
      <c r="E730" s="5"/>
      <c r="F730" s="5"/>
      <c r="G730" s="5"/>
    </row>
    <row r="731" spans="2:7" ht="13">
      <c r="B731" s="36"/>
      <c r="C731" s="80"/>
      <c r="D731" s="5"/>
      <c r="E731" s="5"/>
      <c r="F731" s="5"/>
      <c r="G731" s="5"/>
    </row>
    <row r="732" spans="2:7" ht="13">
      <c r="B732" s="36"/>
      <c r="C732" s="80"/>
      <c r="D732" s="5"/>
      <c r="E732" s="5"/>
      <c r="F732" s="5"/>
      <c r="G732" s="5"/>
    </row>
    <row r="733" spans="2:7" ht="13">
      <c r="B733" s="36"/>
      <c r="C733" s="80"/>
      <c r="D733" s="5"/>
      <c r="E733" s="5"/>
      <c r="F733" s="5"/>
      <c r="G733" s="5"/>
    </row>
    <row r="734" spans="2:7" ht="13">
      <c r="B734" s="36"/>
      <c r="C734" s="80"/>
      <c r="D734" s="5"/>
      <c r="E734" s="5"/>
      <c r="F734" s="5"/>
      <c r="G734" s="5"/>
    </row>
    <row r="735" spans="2:7" ht="13">
      <c r="B735" s="36"/>
      <c r="C735" s="80"/>
      <c r="D735" s="5"/>
      <c r="E735" s="5"/>
      <c r="F735" s="5"/>
      <c r="G735" s="5"/>
    </row>
    <row r="736" spans="2:7" ht="13">
      <c r="B736" s="36"/>
      <c r="C736" s="80"/>
      <c r="D736" s="5"/>
      <c r="E736" s="5"/>
      <c r="F736" s="5"/>
      <c r="G736" s="5"/>
    </row>
    <row r="737" spans="2:7" ht="13">
      <c r="B737" s="36"/>
      <c r="C737" s="80"/>
      <c r="D737" s="5"/>
      <c r="E737" s="5"/>
      <c r="F737" s="5"/>
      <c r="G737" s="5"/>
    </row>
    <row r="738" spans="2:7" ht="13">
      <c r="B738" s="36"/>
      <c r="C738" s="80"/>
      <c r="D738" s="5"/>
      <c r="E738" s="5"/>
      <c r="F738" s="5"/>
      <c r="G738" s="5"/>
    </row>
    <row r="739" spans="2:7" ht="13">
      <c r="B739" s="36"/>
      <c r="C739" s="80"/>
      <c r="D739" s="5"/>
      <c r="E739" s="5"/>
      <c r="F739" s="5"/>
      <c r="G739" s="5"/>
    </row>
    <row r="740" spans="2:7" ht="13">
      <c r="B740" s="36"/>
      <c r="C740" s="80"/>
      <c r="D740" s="5"/>
      <c r="E740" s="5"/>
      <c r="F740" s="5"/>
      <c r="G740" s="5"/>
    </row>
    <row r="741" spans="2:7" ht="13">
      <c r="B741" s="36"/>
      <c r="C741" s="80"/>
      <c r="D741" s="5"/>
      <c r="E741" s="5"/>
      <c r="F741" s="5"/>
      <c r="G741" s="5"/>
    </row>
    <row r="742" spans="2:7" ht="13">
      <c r="B742" s="36"/>
      <c r="C742" s="80"/>
      <c r="D742" s="5"/>
      <c r="E742" s="5"/>
      <c r="F742" s="5"/>
      <c r="G742" s="5"/>
    </row>
    <row r="743" spans="2:7" ht="13">
      <c r="B743" s="36"/>
      <c r="C743" s="80"/>
      <c r="D743" s="5"/>
      <c r="E743" s="5"/>
      <c r="F743" s="5"/>
      <c r="G743" s="5"/>
    </row>
    <row r="744" spans="2:7" ht="13">
      <c r="B744" s="36"/>
      <c r="C744" s="80"/>
      <c r="D744" s="5"/>
      <c r="E744" s="5"/>
      <c r="F744" s="5"/>
      <c r="G744" s="5"/>
    </row>
    <row r="745" spans="2:7" ht="13">
      <c r="B745" s="36"/>
      <c r="C745" s="80"/>
      <c r="D745" s="5"/>
      <c r="E745" s="5"/>
      <c r="F745" s="5"/>
      <c r="G745" s="5"/>
    </row>
    <row r="746" spans="2:7" ht="13">
      <c r="B746" s="36"/>
      <c r="C746" s="80"/>
      <c r="D746" s="5"/>
      <c r="E746" s="5"/>
      <c r="F746" s="5"/>
      <c r="G746" s="5"/>
    </row>
    <row r="747" spans="2:7" ht="13">
      <c r="B747" s="36"/>
      <c r="C747" s="80"/>
      <c r="D747" s="5"/>
      <c r="E747" s="5"/>
      <c r="F747" s="5"/>
      <c r="G747" s="5"/>
    </row>
    <row r="748" spans="2:7" ht="13">
      <c r="B748" s="36"/>
      <c r="C748" s="80"/>
      <c r="D748" s="5"/>
      <c r="E748" s="5"/>
      <c r="F748" s="5"/>
      <c r="G748" s="5"/>
    </row>
    <row r="749" spans="2:7" ht="13">
      <c r="B749" s="36"/>
      <c r="C749" s="80"/>
      <c r="D749" s="5"/>
      <c r="E749" s="5"/>
      <c r="F749" s="5"/>
      <c r="G749" s="5"/>
    </row>
    <row r="750" spans="2:7" ht="13">
      <c r="B750" s="36"/>
      <c r="C750" s="80"/>
      <c r="D750" s="5"/>
      <c r="E750" s="5"/>
      <c r="F750" s="5"/>
      <c r="G750" s="5"/>
    </row>
    <row r="751" spans="2:7" ht="13">
      <c r="B751" s="36"/>
      <c r="C751" s="80"/>
      <c r="D751" s="5"/>
      <c r="E751" s="5"/>
      <c r="F751" s="5"/>
      <c r="G751" s="5"/>
    </row>
    <row r="752" spans="2:7" ht="13">
      <c r="B752" s="36"/>
      <c r="C752" s="80"/>
      <c r="D752" s="5"/>
      <c r="E752" s="5"/>
      <c r="F752" s="5"/>
      <c r="G752" s="5"/>
    </row>
    <row r="753" spans="2:7" ht="13">
      <c r="B753" s="36"/>
      <c r="C753" s="80"/>
      <c r="D753" s="5"/>
      <c r="E753" s="5"/>
      <c r="F753" s="5"/>
      <c r="G753" s="5"/>
    </row>
    <row r="754" spans="2:7" ht="13">
      <c r="B754" s="36"/>
      <c r="C754" s="80"/>
      <c r="D754" s="5"/>
      <c r="E754" s="5"/>
      <c r="F754" s="5"/>
      <c r="G754" s="5"/>
    </row>
    <row r="755" spans="2:7" ht="13">
      <c r="B755" s="36"/>
      <c r="C755" s="80"/>
      <c r="D755" s="5"/>
      <c r="E755" s="5"/>
      <c r="F755" s="5"/>
      <c r="G755" s="5"/>
    </row>
    <row r="756" spans="2:7" ht="13">
      <c r="B756" s="36"/>
      <c r="C756" s="80"/>
      <c r="D756" s="5"/>
      <c r="E756" s="5"/>
      <c r="F756" s="5"/>
      <c r="G756" s="5"/>
    </row>
    <row r="757" spans="2:7" ht="13">
      <c r="B757" s="36"/>
      <c r="C757" s="80"/>
      <c r="D757" s="5"/>
      <c r="E757" s="5"/>
      <c r="F757" s="5"/>
      <c r="G757" s="5"/>
    </row>
    <row r="758" spans="2:7" ht="13">
      <c r="B758" s="36"/>
      <c r="C758" s="80"/>
      <c r="D758" s="5"/>
      <c r="E758" s="5"/>
      <c r="F758" s="5"/>
      <c r="G758" s="5"/>
    </row>
    <row r="759" spans="2:7" ht="13">
      <c r="B759" s="36"/>
      <c r="C759" s="80"/>
      <c r="D759" s="5"/>
      <c r="E759" s="5"/>
      <c r="F759" s="5"/>
      <c r="G759" s="5"/>
    </row>
    <row r="760" spans="2:7" ht="13">
      <c r="B760" s="36"/>
      <c r="C760" s="80"/>
      <c r="D760" s="5"/>
      <c r="E760" s="5"/>
      <c r="F760" s="5"/>
      <c r="G760" s="5"/>
    </row>
    <row r="761" spans="2:7" ht="13">
      <c r="B761" s="36"/>
      <c r="C761" s="80"/>
      <c r="D761" s="5"/>
      <c r="E761" s="5"/>
      <c r="F761" s="5"/>
      <c r="G761" s="5"/>
    </row>
    <row r="762" spans="2:7" ht="13">
      <c r="B762" s="36"/>
      <c r="C762" s="80"/>
      <c r="D762" s="5"/>
      <c r="E762" s="5"/>
      <c r="F762" s="5"/>
      <c r="G762" s="5"/>
    </row>
    <row r="763" spans="2:7" ht="13">
      <c r="B763" s="36"/>
      <c r="C763" s="80"/>
      <c r="D763" s="5"/>
      <c r="E763" s="5"/>
      <c r="F763" s="5"/>
      <c r="G763" s="5"/>
    </row>
    <row r="764" spans="2:7" ht="13">
      <c r="B764" s="36"/>
      <c r="C764" s="80"/>
      <c r="D764" s="5"/>
      <c r="E764" s="5"/>
      <c r="F764" s="5"/>
      <c r="G764" s="5"/>
    </row>
    <row r="765" spans="2:7" ht="13">
      <c r="B765" s="36"/>
      <c r="C765" s="80"/>
      <c r="D765" s="5"/>
      <c r="E765" s="5"/>
      <c r="F765" s="5"/>
      <c r="G765" s="5"/>
    </row>
    <row r="766" spans="2:7" ht="13">
      <c r="B766" s="36"/>
      <c r="C766" s="80"/>
      <c r="D766" s="5"/>
      <c r="E766" s="5"/>
      <c r="F766" s="5"/>
      <c r="G766" s="5"/>
    </row>
    <row r="767" spans="2:7" ht="13">
      <c r="B767" s="36"/>
      <c r="C767" s="80"/>
      <c r="D767" s="5"/>
      <c r="E767" s="5"/>
      <c r="F767" s="5"/>
      <c r="G767" s="5"/>
    </row>
    <row r="768" spans="2:7" ht="13">
      <c r="B768" s="36"/>
      <c r="C768" s="80"/>
      <c r="D768" s="5"/>
      <c r="E768" s="5"/>
      <c r="F768" s="5"/>
      <c r="G768" s="5"/>
    </row>
    <row r="769" spans="2:7" ht="13">
      <c r="B769" s="36"/>
      <c r="C769" s="80"/>
      <c r="D769" s="5"/>
      <c r="E769" s="5"/>
      <c r="F769" s="5"/>
      <c r="G769" s="5"/>
    </row>
    <row r="770" spans="2:7" ht="13">
      <c r="B770" s="36"/>
      <c r="C770" s="80"/>
      <c r="D770" s="5"/>
      <c r="E770" s="5"/>
      <c r="F770" s="5"/>
      <c r="G770" s="5"/>
    </row>
    <row r="771" spans="2:7" ht="13">
      <c r="B771" s="36"/>
      <c r="C771" s="80"/>
      <c r="D771" s="5"/>
      <c r="E771" s="5"/>
      <c r="F771" s="5"/>
      <c r="G771" s="5"/>
    </row>
    <row r="772" spans="2:7" ht="13">
      <c r="B772" s="36"/>
      <c r="C772" s="80"/>
      <c r="D772" s="5"/>
      <c r="E772" s="5"/>
      <c r="F772" s="5"/>
      <c r="G772" s="5"/>
    </row>
    <row r="773" spans="2:7" ht="13">
      <c r="B773" s="36"/>
      <c r="C773" s="80"/>
      <c r="D773" s="5"/>
      <c r="E773" s="5"/>
      <c r="F773" s="5"/>
      <c r="G773" s="5"/>
    </row>
    <row r="774" spans="2:7" ht="13">
      <c r="B774" s="36"/>
      <c r="C774" s="80"/>
      <c r="D774" s="5"/>
      <c r="E774" s="5"/>
      <c r="F774" s="5"/>
      <c r="G774" s="5"/>
    </row>
    <row r="775" spans="2:7" ht="13">
      <c r="B775" s="36"/>
      <c r="C775" s="80"/>
      <c r="D775" s="5"/>
      <c r="E775" s="5"/>
      <c r="F775" s="5"/>
      <c r="G775" s="5"/>
    </row>
    <row r="776" spans="2:7" ht="13">
      <c r="B776" s="36"/>
      <c r="C776" s="80"/>
      <c r="D776" s="5"/>
      <c r="E776" s="5"/>
      <c r="F776" s="5"/>
      <c r="G776" s="5"/>
    </row>
    <row r="777" spans="2:7" ht="13">
      <c r="B777" s="36"/>
      <c r="C777" s="80"/>
      <c r="D777" s="5"/>
      <c r="E777" s="5"/>
      <c r="F777" s="5"/>
      <c r="G777" s="5"/>
    </row>
    <row r="778" spans="2:7" ht="13">
      <c r="B778" s="36"/>
      <c r="C778" s="80"/>
      <c r="D778" s="5"/>
      <c r="E778" s="5"/>
      <c r="F778" s="5"/>
      <c r="G778" s="5"/>
    </row>
    <row r="779" spans="2:7" ht="13">
      <c r="B779" s="36"/>
      <c r="C779" s="80"/>
      <c r="D779" s="5"/>
      <c r="E779" s="5"/>
      <c r="F779" s="5"/>
      <c r="G779" s="5"/>
    </row>
    <row r="780" spans="2:7" ht="13">
      <c r="B780" s="36"/>
      <c r="C780" s="80"/>
      <c r="D780" s="5"/>
      <c r="E780" s="5"/>
      <c r="F780" s="5"/>
      <c r="G780" s="5"/>
    </row>
    <row r="781" spans="2:7" ht="13">
      <c r="B781" s="36"/>
      <c r="C781" s="80"/>
      <c r="D781" s="5"/>
      <c r="E781" s="5"/>
      <c r="F781" s="5"/>
      <c r="G781" s="5"/>
    </row>
    <row r="782" spans="2:7" ht="13">
      <c r="B782" s="36"/>
      <c r="C782" s="80"/>
      <c r="D782" s="5"/>
      <c r="E782" s="5"/>
      <c r="F782" s="5"/>
      <c r="G782" s="5"/>
    </row>
    <row r="783" spans="2:7" ht="13">
      <c r="B783" s="36"/>
      <c r="C783" s="80"/>
      <c r="D783" s="5"/>
      <c r="E783" s="5"/>
      <c r="F783" s="5"/>
      <c r="G783" s="5"/>
    </row>
    <row r="784" spans="2:7" ht="13">
      <c r="B784" s="36"/>
      <c r="C784" s="80"/>
      <c r="D784" s="5"/>
      <c r="E784" s="5"/>
      <c r="F784" s="5"/>
      <c r="G784" s="5"/>
    </row>
    <row r="785" spans="2:7" ht="13">
      <c r="B785" s="36"/>
      <c r="C785" s="80"/>
      <c r="D785" s="5"/>
      <c r="E785" s="5"/>
      <c r="F785" s="5"/>
      <c r="G785" s="5"/>
    </row>
    <row r="786" spans="2:7" ht="13">
      <c r="B786" s="36"/>
      <c r="C786" s="80"/>
      <c r="D786" s="5"/>
      <c r="E786" s="5"/>
      <c r="F786" s="5"/>
      <c r="G786" s="5"/>
    </row>
    <row r="787" spans="2:7" ht="13">
      <c r="B787" s="36"/>
      <c r="C787" s="80"/>
      <c r="D787" s="5"/>
      <c r="E787" s="5"/>
      <c r="F787" s="5"/>
      <c r="G787" s="5"/>
    </row>
    <row r="788" spans="2:7" ht="13">
      <c r="B788" s="36"/>
      <c r="C788" s="80"/>
      <c r="D788" s="5"/>
      <c r="E788" s="5"/>
      <c r="F788" s="5"/>
      <c r="G788" s="5"/>
    </row>
    <row r="789" spans="2:7" ht="13">
      <c r="B789" s="36"/>
      <c r="C789" s="80"/>
      <c r="D789" s="5"/>
      <c r="E789" s="5"/>
      <c r="F789" s="5"/>
      <c r="G789" s="5"/>
    </row>
    <row r="790" spans="2:7" ht="13">
      <c r="B790" s="36"/>
      <c r="C790" s="80"/>
      <c r="D790" s="5"/>
      <c r="E790" s="5"/>
      <c r="F790" s="5"/>
      <c r="G790" s="5"/>
    </row>
    <row r="791" spans="2:7" ht="13">
      <c r="B791" s="36"/>
      <c r="C791" s="80"/>
      <c r="D791" s="5"/>
      <c r="E791" s="5"/>
      <c r="F791" s="5"/>
      <c r="G791" s="5"/>
    </row>
    <row r="792" spans="2:7" ht="13">
      <c r="B792" s="36"/>
      <c r="C792" s="80"/>
      <c r="D792" s="5"/>
      <c r="E792" s="5"/>
      <c r="F792" s="5"/>
      <c r="G792" s="5"/>
    </row>
    <row r="793" spans="2:7" ht="13">
      <c r="B793" s="36"/>
      <c r="C793" s="80"/>
      <c r="D793" s="5"/>
      <c r="E793" s="5"/>
      <c r="F793" s="5"/>
      <c r="G793" s="5"/>
    </row>
    <row r="794" spans="2:7" ht="13">
      <c r="B794" s="36"/>
      <c r="C794" s="80"/>
      <c r="D794" s="5"/>
      <c r="E794" s="5"/>
      <c r="F794" s="5"/>
      <c r="G794" s="5"/>
    </row>
    <row r="795" spans="2:7" ht="13">
      <c r="B795" s="36"/>
      <c r="C795" s="80"/>
      <c r="D795" s="5"/>
      <c r="E795" s="5"/>
      <c r="F795" s="5"/>
      <c r="G795" s="5"/>
    </row>
    <row r="796" spans="2:7" ht="13">
      <c r="B796" s="36"/>
      <c r="C796" s="80"/>
      <c r="D796" s="5"/>
      <c r="E796" s="5"/>
      <c r="F796" s="5"/>
      <c r="G796" s="5"/>
    </row>
    <row r="797" spans="2:7" ht="13">
      <c r="B797" s="36"/>
      <c r="C797" s="80"/>
      <c r="D797" s="5"/>
      <c r="E797" s="5"/>
      <c r="F797" s="5"/>
      <c r="G797" s="5"/>
    </row>
    <row r="798" spans="2:7" ht="13">
      <c r="B798" s="36"/>
      <c r="C798" s="80"/>
      <c r="D798" s="5"/>
      <c r="E798" s="5"/>
      <c r="F798" s="5"/>
      <c r="G798" s="5"/>
    </row>
    <row r="799" spans="2:7" ht="13">
      <c r="B799" s="36"/>
      <c r="C799" s="80"/>
      <c r="D799" s="5"/>
      <c r="E799" s="5"/>
      <c r="F799" s="5"/>
      <c r="G799" s="5"/>
    </row>
    <row r="800" spans="2:7" ht="13">
      <c r="B800" s="36"/>
      <c r="C800" s="80"/>
      <c r="D800" s="5"/>
      <c r="E800" s="5"/>
      <c r="F800" s="5"/>
      <c r="G800" s="5"/>
    </row>
    <row r="801" spans="2:7" ht="13">
      <c r="B801" s="36"/>
      <c r="C801" s="80"/>
      <c r="D801" s="5"/>
      <c r="E801" s="5"/>
      <c r="F801" s="5"/>
      <c r="G801" s="5"/>
    </row>
    <row r="802" spans="2:7" ht="13">
      <c r="B802" s="36"/>
      <c r="C802" s="80"/>
      <c r="D802" s="5"/>
      <c r="E802" s="5"/>
      <c r="F802" s="5"/>
      <c r="G802" s="5"/>
    </row>
    <row r="803" spans="2:7" ht="13">
      <c r="B803" s="36"/>
      <c r="C803" s="80"/>
      <c r="D803" s="5"/>
      <c r="E803" s="5"/>
      <c r="F803" s="5"/>
      <c r="G803" s="5"/>
    </row>
    <row r="804" spans="2:7" ht="13">
      <c r="B804" s="36"/>
      <c r="C804" s="80"/>
      <c r="D804" s="5"/>
      <c r="E804" s="5"/>
      <c r="F804" s="5"/>
      <c r="G804" s="5"/>
    </row>
    <row r="805" spans="2:7" ht="13">
      <c r="B805" s="36"/>
      <c r="C805" s="80"/>
      <c r="D805" s="5"/>
      <c r="E805" s="5"/>
      <c r="F805" s="5"/>
      <c r="G805" s="5"/>
    </row>
    <row r="806" spans="2:7" ht="13">
      <c r="B806" s="36"/>
      <c r="C806" s="80"/>
      <c r="D806" s="5"/>
      <c r="E806" s="5"/>
      <c r="F806" s="5"/>
      <c r="G806" s="5"/>
    </row>
    <row r="807" spans="2:7" ht="13">
      <c r="B807" s="36"/>
      <c r="C807" s="80"/>
      <c r="D807" s="5"/>
      <c r="E807" s="5"/>
      <c r="F807" s="5"/>
      <c r="G807" s="5"/>
    </row>
    <row r="808" spans="2:7" ht="13">
      <c r="B808" s="36"/>
      <c r="C808" s="80"/>
      <c r="D808" s="5"/>
      <c r="E808" s="5"/>
      <c r="F808" s="5"/>
      <c r="G808" s="5"/>
    </row>
    <row r="809" spans="2:7" ht="13">
      <c r="B809" s="36"/>
      <c r="C809" s="80"/>
      <c r="D809" s="5"/>
      <c r="E809" s="5"/>
      <c r="F809" s="5"/>
      <c r="G809" s="5"/>
    </row>
    <row r="810" spans="2:7" ht="13">
      <c r="B810" s="36"/>
      <c r="C810" s="80"/>
      <c r="D810" s="5"/>
      <c r="E810" s="5"/>
      <c r="F810" s="5"/>
      <c r="G810" s="5"/>
    </row>
    <row r="811" spans="2:7" ht="13">
      <c r="B811" s="36"/>
      <c r="C811" s="80"/>
      <c r="D811" s="5"/>
      <c r="E811" s="5"/>
      <c r="F811" s="5"/>
      <c r="G811" s="5"/>
    </row>
    <row r="812" spans="2:7" ht="13">
      <c r="B812" s="36"/>
      <c r="C812" s="80"/>
      <c r="D812" s="5"/>
      <c r="E812" s="5"/>
      <c r="F812" s="5"/>
      <c r="G812" s="5"/>
    </row>
    <row r="813" spans="2:7" ht="13">
      <c r="B813" s="36"/>
      <c r="C813" s="80"/>
      <c r="D813" s="5"/>
      <c r="E813" s="5"/>
      <c r="F813" s="5"/>
      <c r="G813" s="5"/>
    </row>
    <row r="814" spans="2:7" ht="13">
      <c r="B814" s="36"/>
      <c r="C814" s="80"/>
      <c r="D814" s="5"/>
      <c r="E814" s="5"/>
      <c r="F814" s="5"/>
      <c r="G814" s="5"/>
    </row>
    <row r="815" spans="2:7" ht="13">
      <c r="B815" s="36"/>
      <c r="C815" s="80"/>
      <c r="D815" s="5"/>
      <c r="E815" s="5"/>
      <c r="F815" s="5"/>
      <c r="G815" s="5"/>
    </row>
    <row r="816" spans="2:7" ht="13">
      <c r="B816" s="36"/>
      <c r="C816" s="80"/>
      <c r="D816" s="5"/>
      <c r="E816" s="5"/>
      <c r="F816" s="5"/>
      <c r="G816" s="5"/>
    </row>
    <row r="817" spans="2:7" ht="13">
      <c r="B817" s="36"/>
      <c r="C817" s="80"/>
      <c r="D817" s="5"/>
      <c r="E817" s="5"/>
      <c r="F817" s="5"/>
      <c r="G817" s="5"/>
    </row>
    <row r="818" spans="2:7" ht="13">
      <c r="B818" s="36"/>
      <c r="C818" s="80"/>
      <c r="D818" s="5"/>
      <c r="E818" s="5"/>
      <c r="F818" s="5"/>
      <c r="G818" s="5"/>
    </row>
    <row r="819" spans="2:7" ht="13">
      <c r="B819" s="36"/>
      <c r="C819" s="80"/>
      <c r="D819" s="5"/>
      <c r="E819" s="5"/>
      <c r="F819" s="5"/>
      <c r="G819" s="5"/>
    </row>
    <row r="820" spans="2:7" ht="13">
      <c r="B820" s="36"/>
      <c r="C820" s="80"/>
      <c r="D820" s="5"/>
      <c r="E820" s="5"/>
      <c r="F820" s="5"/>
      <c r="G820" s="5"/>
    </row>
    <row r="821" spans="2:7" ht="13">
      <c r="B821" s="36"/>
      <c r="C821" s="80"/>
      <c r="D821" s="5"/>
      <c r="E821" s="5"/>
      <c r="F821" s="5"/>
      <c r="G821" s="5"/>
    </row>
    <row r="822" spans="2:7" ht="13">
      <c r="B822" s="36"/>
      <c r="C822" s="80"/>
      <c r="D822" s="5"/>
      <c r="E822" s="5"/>
      <c r="F822" s="5"/>
      <c r="G822" s="5"/>
    </row>
    <row r="823" spans="2:7" ht="13">
      <c r="B823" s="36"/>
      <c r="C823" s="80"/>
      <c r="D823" s="5"/>
      <c r="E823" s="5"/>
      <c r="F823" s="5"/>
      <c r="G823" s="5"/>
    </row>
    <row r="824" spans="2:7" ht="13">
      <c r="B824" s="36"/>
      <c r="C824" s="80"/>
      <c r="D824" s="5"/>
      <c r="E824" s="5"/>
      <c r="F824" s="5"/>
      <c r="G824" s="5"/>
    </row>
    <row r="825" spans="2:7" ht="13">
      <c r="B825" s="36"/>
      <c r="C825" s="80"/>
      <c r="D825" s="5"/>
      <c r="E825" s="5"/>
      <c r="F825" s="5"/>
      <c r="G825" s="5"/>
    </row>
    <row r="826" spans="2:7" ht="13">
      <c r="B826" s="36"/>
      <c r="C826" s="80"/>
      <c r="D826" s="5"/>
      <c r="E826" s="5"/>
      <c r="F826" s="5"/>
      <c r="G826" s="5"/>
    </row>
    <row r="827" spans="2:7" ht="13">
      <c r="B827" s="36"/>
      <c r="C827" s="80"/>
      <c r="D827" s="5"/>
      <c r="E827" s="5"/>
      <c r="F827" s="5"/>
      <c r="G827" s="5"/>
    </row>
    <row r="828" spans="2:7" ht="13">
      <c r="B828" s="36"/>
      <c r="C828" s="80"/>
      <c r="D828" s="5"/>
      <c r="E828" s="5"/>
      <c r="F828" s="5"/>
      <c r="G828" s="5"/>
    </row>
    <row r="829" spans="2:7" ht="13">
      <c r="B829" s="36"/>
      <c r="C829" s="80"/>
      <c r="D829" s="5"/>
      <c r="E829" s="5"/>
      <c r="F829" s="5"/>
      <c r="G829" s="5"/>
    </row>
    <row r="830" spans="2:7" ht="13">
      <c r="B830" s="36"/>
      <c r="C830" s="80"/>
      <c r="D830" s="5"/>
      <c r="E830" s="5"/>
      <c r="F830" s="5"/>
      <c r="G830" s="5"/>
    </row>
    <row r="831" spans="2:7" ht="13">
      <c r="B831" s="36"/>
      <c r="C831" s="80"/>
      <c r="D831" s="5"/>
      <c r="E831" s="5"/>
      <c r="F831" s="5"/>
      <c r="G831" s="5"/>
    </row>
    <row r="832" spans="2:7" ht="13">
      <c r="B832" s="36"/>
      <c r="C832" s="80"/>
      <c r="D832" s="5"/>
      <c r="E832" s="5"/>
      <c r="F832" s="5"/>
      <c r="G832" s="5"/>
    </row>
    <row r="833" spans="2:7" ht="13">
      <c r="B833" s="36"/>
      <c r="C833" s="80"/>
      <c r="D833" s="5"/>
      <c r="E833" s="5"/>
      <c r="F833" s="5"/>
      <c r="G833" s="5"/>
    </row>
    <row r="834" spans="2:7" ht="13">
      <c r="B834" s="36"/>
      <c r="C834" s="80"/>
      <c r="D834" s="5"/>
      <c r="E834" s="5"/>
      <c r="F834" s="5"/>
      <c r="G834" s="5"/>
    </row>
    <row r="835" spans="2:7" ht="13">
      <c r="B835" s="36"/>
      <c r="C835" s="80"/>
      <c r="D835" s="5"/>
      <c r="E835" s="5"/>
      <c r="F835" s="5"/>
      <c r="G835" s="5"/>
    </row>
    <row r="836" spans="2:7" ht="13">
      <c r="B836" s="36"/>
      <c r="C836" s="80"/>
      <c r="D836" s="5"/>
      <c r="E836" s="5"/>
      <c r="F836" s="5"/>
      <c r="G836" s="5"/>
    </row>
    <row r="837" spans="2:7" ht="13">
      <c r="B837" s="36"/>
      <c r="C837" s="80"/>
      <c r="D837" s="5"/>
      <c r="E837" s="5"/>
      <c r="F837" s="5"/>
      <c r="G837" s="5"/>
    </row>
    <row r="838" spans="2:7" ht="13">
      <c r="B838" s="36"/>
      <c r="C838" s="80"/>
      <c r="D838" s="5"/>
      <c r="E838" s="5"/>
      <c r="F838" s="5"/>
      <c r="G838" s="5"/>
    </row>
    <row r="839" spans="2:7" ht="13">
      <c r="B839" s="36"/>
      <c r="C839" s="80"/>
      <c r="D839" s="5"/>
      <c r="E839" s="5"/>
      <c r="F839" s="5"/>
      <c r="G839" s="5"/>
    </row>
    <row r="840" spans="2:7" ht="13">
      <c r="B840" s="36"/>
      <c r="C840" s="80"/>
      <c r="D840" s="5"/>
      <c r="E840" s="5"/>
      <c r="F840" s="5"/>
      <c r="G840" s="5"/>
    </row>
    <row r="841" spans="2:7" ht="13">
      <c r="B841" s="36"/>
      <c r="C841" s="80"/>
      <c r="D841" s="5"/>
      <c r="E841" s="5"/>
      <c r="F841" s="5"/>
      <c r="G841" s="5"/>
    </row>
    <row r="842" spans="2:7" ht="13">
      <c r="B842" s="36"/>
      <c r="C842" s="80"/>
      <c r="D842" s="5"/>
      <c r="E842" s="5"/>
      <c r="F842" s="5"/>
      <c r="G842" s="5"/>
    </row>
    <row r="843" spans="2:7" ht="13">
      <c r="B843" s="36"/>
      <c r="C843" s="80"/>
      <c r="D843" s="5"/>
      <c r="E843" s="5"/>
      <c r="F843" s="5"/>
      <c r="G843" s="5"/>
    </row>
    <row r="844" spans="2:7" ht="13">
      <c r="B844" s="36"/>
      <c r="C844" s="80"/>
      <c r="D844" s="5"/>
      <c r="E844" s="5"/>
      <c r="F844" s="5"/>
      <c r="G844" s="5"/>
    </row>
    <row r="845" spans="2:7" ht="13">
      <c r="B845" s="36"/>
      <c r="C845" s="80"/>
      <c r="D845" s="5"/>
      <c r="E845" s="5"/>
      <c r="F845" s="5"/>
      <c r="G845" s="5"/>
    </row>
    <row r="846" spans="2:7" ht="13">
      <c r="B846" s="36"/>
      <c r="C846" s="80"/>
      <c r="D846" s="5"/>
      <c r="E846" s="5"/>
      <c r="F846" s="5"/>
      <c r="G846" s="5"/>
    </row>
    <row r="847" spans="2:7" ht="13">
      <c r="B847" s="36"/>
      <c r="C847" s="80"/>
      <c r="D847" s="5"/>
      <c r="E847" s="5"/>
      <c r="F847" s="5"/>
      <c r="G847" s="5"/>
    </row>
    <row r="848" spans="2:7" ht="13">
      <c r="B848" s="36"/>
      <c r="C848" s="80"/>
      <c r="D848" s="5"/>
      <c r="E848" s="5"/>
      <c r="F848" s="5"/>
      <c r="G848" s="5"/>
    </row>
    <row r="849" spans="2:7" ht="13">
      <c r="B849" s="36"/>
      <c r="C849" s="80"/>
      <c r="D849" s="5"/>
      <c r="E849" s="5"/>
      <c r="F849" s="5"/>
      <c r="G849" s="5"/>
    </row>
    <row r="850" spans="2:7" ht="13">
      <c r="B850" s="36"/>
      <c r="C850" s="80"/>
      <c r="D850" s="5"/>
      <c r="E850" s="5"/>
      <c r="F850" s="5"/>
      <c r="G850" s="5"/>
    </row>
    <row r="851" spans="2:7" ht="13">
      <c r="B851" s="36"/>
      <c r="C851" s="80"/>
      <c r="D851" s="5"/>
      <c r="E851" s="5"/>
      <c r="F851" s="5"/>
      <c r="G851" s="5"/>
    </row>
    <row r="852" spans="2:7" ht="13">
      <c r="B852" s="36"/>
      <c r="C852" s="80"/>
      <c r="D852" s="5"/>
      <c r="E852" s="5"/>
      <c r="F852" s="5"/>
      <c r="G852" s="5"/>
    </row>
    <row r="853" spans="2:7" ht="13">
      <c r="B853" s="36"/>
      <c r="C853" s="80"/>
      <c r="D853" s="5"/>
      <c r="E853" s="5"/>
      <c r="F853" s="5"/>
      <c r="G853" s="5"/>
    </row>
    <row r="854" spans="2:7" ht="13">
      <c r="B854" s="36"/>
      <c r="C854" s="80"/>
      <c r="D854" s="5"/>
      <c r="E854" s="5"/>
      <c r="F854" s="5"/>
      <c r="G854" s="5"/>
    </row>
    <row r="855" spans="2:7" ht="13">
      <c r="B855" s="36"/>
      <c r="C855" s="80"/>
      <c r="D855" s="5"/>
      <c r="E855" s="5"/>
      <c r="F855" s="5"/>
      <c r="G855" s="5"/>
    </row>
    <row r="856" spans="2:7" ht="13">
      <c r="B856" s="36"/>
      <c r="C856" s="80"/>
      <c r="D856" s="5"/>
      <c r="E856" s="5"/>
      <c r="F856" s="5"/>
      <c r="G856" s="5"/>
    </row>
    <row r="857" spans="2:7" ht="13">
      <c r="B857" s="36"/>
      <c r="C857" s="80"/>
      <c r="D857" s="5"/>
      <c r="E857" s="5"/>
      <c r="F857" s="5"/>
      <c r="G857" s="5"/>
    </row>
    <row r="858" spans="2:7" ht="13">
      <c r="B858" s="36"/>
      <c r="C858" s="80"/>
      <c r="D858" s="5"/>
      <c r="E858" s="5"/>
      <c r="F858" s="5"/>
      <c r="G858" s="5"/>
    </row>
    <row r="859" spans="2:7" ht="13">
      <c r="B859" s="36"/>
      <c r="C859" s="80"/>
      <c r="D859" s="5"/>
      <c r="E859" s="5"/>
      <c r="F859" s="5"/>
      <c r="G859" s="5"/>
    </row>
    <row r="860" spans="2:7" ht="13">
      <c r="B860" s="36"/>
      <c r="C860" s="80"/>
      <c r="D860" s="5"/>
      <c r="E860" s="5"/>
      <c r="F860" s="5"/>
      <c r="G860" s="5"/>
    </row>
    <row r="861" spans="2:7" ht="13">
      <c r="B861" s="36"/>
      <c r="C861" s="80"/>
      <c r="D861" s="5"/>
      <c r="E861" s="5"/>
      <c r="F861" s="5"/>
      <c r="G861" s="5"/>
    </row>
    <row r="862" spans="2:7" ht="13">
      <c r="B862" s="36"/>
      <c r="C862" s="80"/>
      <c r="D862" s="5"/>
      <c r="E862" s="5"/>
      <c r="F862" s="5"/>
      <c r="G862" s="5"/>
    </row>
    <row r="863" spans="2:7" ht="13">
      <c r="B863" s="36"/>
      <c r="C863" s="80"/>
      <c r="D863" s="5"/>
      <c r="E863" s="5"/>
      <c r="F863" s="5"/>
      <c r="G863" s="5"/>
    </row>
    <row r="864" spans="2:7" ht="13">
      <c r="B864" s="36"/>
      <c r="C864" s="80"/>
      <c r="D864" s="5"/>
      <c r="E864" s="5"/>
      <c r="F864" s="5"/>
      <c r="G864" s="5"/>
    </row>
    <row r="865" spans="2:7" ht="13">
      <c r="B865" s="36"/>
      <c r="C865" s="80"/>
      <c r="D865" s="5"/>
      <c r="E865" s="5"/>
      <c r="F865" s="5"/>
      <c r="G865" s="5"/>
    </row>
    <row r="866" spans="2:7" ht="13">
      <c r="B866" s="36"/>
      <c r="C866" s="80"/>
      <c r="D866" s="5"/>
      <c r="E866" s="5"/>
      <c r="F866" s="5"/>
      <c r="G866" s="5"/>
    </row>
    <row r="867" spans="2:7" ht="13">
      <c r="B867" s="36"/>
      <c r="C867" s="80"/>
      <c r="D867" s="5"/>
      <c r="E867" s="5"/>
      <c r="F867" s="5"/>
      <c r="G867" s="5"/>
    </row>
    <row r="868" spans="2:7" ht="13">
      <c r="B868" s="36"/>
      <c r="C868" s="80"/>
      <c r="D868" s="5"/>
      <c r="E868" s="5"/>
      <c r="F868" s="5"/>
      <c r="G868" s="5"/>
    </row>
    <row r="869" spans="2:7" ht="13">
      <c r="B869" s="36"/>
      <c r="C869" s="80"/>
      <c r="D869" s="5"/>
      <c r="E869" s="5"/>
      <c r="F869" s="5"/>
      <c r="G869" s="5"/>
    </row>
    <row r="870" spans="2:7" ht="13">
      <c r="B870" s="36"/>
      <c r="C870" s="80"/>
      <c r="D870" s="5"/>
      <c r="E870" s="5"/>
      <c r="F870" s="5"/>
      <c r="G870" s="5"/>
    </row>
    <row r="871" spans="2:7" ht="13">
      <c r="B871" s="36"/>
      <c r="C871" s="80"/>
      <c r="D871" s="5"/>
      <c r="E871" s="5"/>
      <c r="F871" s="5"/>
      <c r="G871" s="5"/>
    </row>
    <row r="872" spans="2:7" ht="13">
      <c r="B872" s="36"/>
      <c r="C872" s="80"/>
      <c r="D872" s="5"/>
      <c r="E872" s="5"/>
      <c r="F872" s="5"/>
      <c r="G872" s="5"/>
    </row>
    <row r="873" spans="2:7" ht="13">
      <c r="B873" s="36"/>
      <c r="C873" s="80"/>
      <c r="D873" s="5"/>
      <c r="E873" s="5"/>
      <c r="F873" s="5"/>
      <c r="G873" s="5"/>
    </row>
    <row r="874" spans="2:7" ht="13">
      <c r="B874" s="36"/>
      <c r="C874" s="80"/>
      <c r="D874" s="5"/>
      <c r="E874" s="5"/>
      <c r="F874" s="5"/>
      <c r="G874" s="5"/>
    </row>
    <row r="875" spans="2:7" ht="13">
      <c r="B875" s="36"/>
      <c r="C875" s="80"/>
      <c r="D875" s="5"/>
      <c r="E875" s="5"/>
      <c r="F875" s="5"/>
      <c r="G875" s="5"/>
    </row>
    <row r="876" spans="2:7" ht="13">
      <c r="B876" s="36"/>
      <c r="C876" s="80"/>
      <c r="D876" s="5"/>
      <c r="E876" s="5"/>
      <c r="F876" s="5"/>
      <c r="G876" s="5"/>
    </row>
    <row r="877" spans="2:7" ht="13">
      <c r="B877" s="36"/>
      <c r="C877" s="80"/>
      <c r="D877" s="5"/>
      <c r="E877" s="5"/>
      <c r="F877" s="5"/>
      <c r="G877" s="5"/>
    </row>
    <row r="878" spans="2:7" ht="13">
      <c r="B878" s="36"/>
      <c r="C878" s="80"/>
      <c r="D878" s="5"/>
      <c r="E878" s="5"/>
      <c r="F878" s="5"/>
      <c r="G878" s="5"/>
    </row>
    <row r="879" spans="2:7" ht="13">
      <c r="B879" s="36"/>
      <c r="C879" s="80"/>
      <c r="D879" s="5"/>
      <c r="E879" s="5"/>
      <c r="F879" s="5"/>
      <c r="G879" s="5"/>
    </row>
    <row r="880" spans="2:7" ht="13">
      <c r="B880" s="36"/>
      <c r="C880" s="80"/>
      <c r="D880" s="5"/>
      <c r="E880" s="5"/>
      <c r="F880" s="5"/>
      <c r="G880" s="5"/>
    </row>
    <row r="881" spans="2:7" ht="13">
      <c r="B881" s="36"/>
      <c r="C881" s="80"/>
      <c r="D881" s="5"/>
      <c r="E881" s="5"/>
      <c r="F881" s="5"/>
      <c r="G881" s="5"/>
    </row>
    <row r="882" spans="2:7" ht="13">
      <c r="B882" s="36"/>
      <c r="C882" s="80"/>
      <c r="D882" s="5"/>
      <c r="E882" s="5"/>
      <c r="F882" s="5"/>
      <c r="G882" s="5"/>
    </row>
    <row r="883" spans="2:7" ht="13">
      <c r="B883" s="36"/>
      <c r="C883" s="80"/>
      <c r="D883" s="5"/>
      <c r="E883" s="5"/>
      <c r="F883" s="5"/>
      <c r="G883" s="5"/>
    </row>
    <row r="884" spans="2:7" ht="13">
      <c r="B884" s="36"/>
      <c r="C884" s="80"/>
      <c r="D884" s="5"/>
      <c r="E884" s="5"/>
      <c r="F884" s="5"/>
      <c r="G884" s="5"/>
    </row>
    <row r="885" spans="2:7" ht="13">
      <c r="B885" s="36"/>
      <c r="C885" s="80"/>
      <c r="D885" s="5"/>
      <c r="E885" s="5"/>
      <c r="F885" s="5"/>
      <c r="G885" s="5"/>
    </row>
    <row r="886" spans="2:7" ht="13">
      <c r="B886" s="36"/>
      <c r="C886" s="80"/>
      <c r="D886" s="5"/>
      <c r="E886" s="5"/>
      <c r="F886" s="5"/>
      <c r="G886" s="5"/>
    </row>
    <row r="887" spans="2:7" ht="13">
      <c r="B887" s="36"/>
      <c r="C887" s="80"/>
      <c r="D887" s="5"/>
      <c r="E887" s="5"/>
      <c r="F887" s="5"/>
      <c r="G887" s="5"/>
    </row>
    <row r="888" spans="2:7" ht="13">
      <c r="B888" s="36"/>
      <c r="C888" s="80"/>
      <c r="D888" s="5"/>
      <c r="E888" s="5"/>
      <c r="F888" s="5"/>
      <c r="G888" s="5"/>
    </row>
    <row r="889" spans="2:7" ht="13">
      <c r="B889" s="36"/>
      <c r="C889" s="80"/>
      <c r="D889" s="5"/>
      <c r="E889" s="5"/>
      <c r="F889" s="5"/>
      <c r="G889" s="5"/>
    </row>
    <row r="890" spans="2:7" ht="13">
      <c r="B890" s="36"/>
      <c r="C890" s="80"/>
      <c r="D890" s="5"/>
      <c r="E890" s="5"/>
      <c r="F890" s="5"/>
      <c r="G890" s="5"/>
    </row>
    <row r="891" spans="2:7" ht="13">
      <c r="B891" s="36"/>
      <c r="C891" s="80"/>
      <c r="D891" s="5"/>
      <c r="E891" s="5"/>
      <c r="F891" s="5"/>
      <c r="G891" s="5"/>
    </row>
    <row r="892" spans="2:7" ht="13">
      <c r="B892" s="36"/>
      <c r="C892" s="80"/>
      <c r="D892" s="5"/>
      <c r="E892" s="5"/>
      <c r="F892" s="5"/>
      <c r="G892" s="5"/>
    </row>
    <row r="893" spans="2:7" ht="13">
      <c r="B893" s="36"/>
      <c r="C893" s="80"/>
      <c r="D893" s="5"/>
      <c r="E893" s="5"/>
      <c r="F893" s="5"/>
      <c r="G893" s="5"/>
    </row>
    <row r="894" spans="2:7" ht="13">
      <c r="B894" s="36"/>
      <c r="C894" s="80"/>
      <c r="D894" s="5"/>
      <c r="E894" s="5"/>
      <c r="F894" s="5"/>
      <c r="G894" s="5"/>
    </row>
    <row r="895" spans="2:7" ht="13">
      <c r="B895" s="36"/>
      <c r="C895" s="80"/>
      <c r="D895" s="5"/>
      <c r="E895" s="5"/>
      <c r="F895" s="5"/>
      <c r="G895" s="5"/>
    </row>
    <row r="896" spans="2:7" ht="13">
      <c r="B896" s="36"/>
      <c r="C896" s="80"/>
      <c r="D896" s="5"/>
      <c r="E896" s="5"/>
      <c r="F896" s="5"/>
      <c r="G896" s="5"/>
    </row>
    <row r="897" spans="2:7" ht="13">
      <c r="B897" s="36"/>
      <c r="C897" s="80"/>
      <c r="D897" s="5"/>
      <c r="E897" s="5"/>
      <c r="F897" s="5"/>
      <c r="G897" s="5"/>
    </row>
    <row r="898" spans="2:7" ht="13">
      <c r="B898" s="36"/>
      <c r="C898" s="80"/>
      <c r="D898" s="5"/>
      <c r="E898" s="5"/>
      <c r="F898" s="5"/>
      <c r="G898" s="5"/>
    </row>
    <row r="899" spans="2:7" ht="13">
      <c r="B899" s="36"/>
      <c r="C899" s="80"/>
      <c r="D899" s="5"/>
      <c r="E899" s="5"/>
      <c r="F899" s="5"/>
      <c r="G899" s="5"/>
    </row>
    <row r="900" spans="2:7" ht="13">
      <c r="B900" s="36"/>
      <c r="C900" s="80"/>
      <c r="D900" s="5"/>
      <c r="E900" s="5"/>
      <c r="F900" s="5"/>
      <c r="G900" s="5"/>
    </row>
    <row r="901" spans="2:7" ht="13">
      <c r="B901" s="36"/>
      <c r="C901" s="80"/>
      <c r="D901" s="5"/>
      <c r="E901" s="5"/>
      <c r="F901" s="5"/>
      <c r="G901" s="5"/>
    </row>
    <row r="902" spans="2:7" ht="13">
      <c r="B902" s="36"/>
      <c r="C902" s="80"/>
      <c r="D902" s="5"/>
      <c r="E902" s="5"/>
      <c r="F902" s="5"/>
      <c r="G902" s="5"/>
    </row>
    <row r="903" spans="2:7" ht="13">
      <c r="B903" s="36"/>
      <c r="C903" s="80"/>
      <c r="D903" s="5"/>
      <c r="E903" s="5"/>
      <c r="F903" s="5"/>
      <c r="G903" s="5"/>
    </row>
    <row r="904" spans="2:7" ht="13">
      <c r="B904" s="36"/>
      <c r="C904" s="80"/>
      <c r="D904" s="5"/>
      <c r="E904" s="5"/>
      <c r="F904" s="5"/>
      <c r="G904" s="5"/>
    </row>
    <row r="905" spans="2:7" ht="13">
      <c r="B905" s="36"/>
      <c r="C905" s="80"/>
      <c r="D905" s="5"/>
      <c r="E905" s="5"/>
      <c r="F905" s="5"/>
      <c r="G905" s="5"/>
    </row>
    <row r="906" spans="2:7" ht="13">
      <c r="B906" s="36"/>
      <c r="C906" s="80"/>
      <c r="D906" s="5"/>
      <c r="E906" s="5"/>
      <c r="F906" s="5"/>
      <c r="G906" s="5"/>
    </row>
    <row r="907" spans="2:7" ht="13">
      <c r="B907" s="36"/>
      <c r="C907" s="80"/>
      <c r="D907" s="5"/>
      <c r="E907" s="5"/>
      <c r="F907" s="5"/>
      <c r="G907" s="5"/>
    </row>
    <row r="908" spans="2:7" ht="13">
      <c r="B908" s="36"/>
      <c r="C908" s="80"/>
      <c r="D908" s="5"/>
      <c r="E908" s="5"/>
      <c r="F908" s="5"/>
      <c r="G908" s="5"/>
    </row>
    <row r="909" spans="2:7" ht="13">
      <c r="B909" s="36"/>
      <c r="C909" s="80"/>
      <c r="D909" s="5"/>
      <c r="E909" s="5"/>
      <c r="F909" s="5"/>
      <c r="G909" s="5"/>
    </row>
    <row r="910" spans="2:7" ht="13">
      <c r="B910" s="36"/>
      <c r="C910" s="80"/>
      <c r="D910" s="5"/>
      <c r="E910" s="5"/>
      <c r="F910" s="5"/>
      <c r="G910" s="5"/>
    </row>
    <row r="911" spans="2:7" ht="13">
      <c r="B911" s="36"/>
      <c r="C911" s="80"/>
      <c r="D911" s="5"/>
      <c r="E911" s="5"/>
      <c r="F911" s="5"/>
      <c r="G911" s="5"/>
    </row>
    <row r="912" spans="2:7" ht="13">
      <c r="B912" s="36"/>
      <c r="C912" s="80"/>
      <c r="D912" s="5"/>
      <c r="E912" s="5"/>
      <c r="F912" s="5"/>
      <c r="G912" s="5"/>
    </row>
    <row r="913" spans="2:7" ht="13">
      <c r="B913" s="36"/>
      <c r="C913" s="80"/>
      <c r="D913" s="5"/>
      <c r="E913" s="5"/>
      <c r="F913" s="5"/>
      <c r="G913" s="5"/>
    </row>
    <row r="914" spans="2:7" ht="13">
      <c r="B914" s="36"/>
      <c r="C914" s="80"/>
      <c r="D914" s="5"/>
      <c r="E914" s="5"/>
      <c r="F914" s="5"/>
      <c r="G914" s="5"/>
    </row>
    <row r="915" spans="2:7" ht="13">
      <c r="B915" s="36"/>
      <c r="C915" s="80"/>
      <c r="D915" s="5"/>
      <c r="E915" s="5"/>
      <c r="F915" s="5"/>
      <c r="G915" s="5"/>
    </row>
    <row r="916" spans="2:7" ht="13">
      <c r="B916" s="36"/>
      <c r="C916" s="80"/>
      <c r="D916" s="5"/>
      <c r="E916" s="5"/>
      <c r="F916" s="5"/>
      <c r="G916" s="5"/>
    </row>
    <row r="917" spans="2:7" ht="13">
      <c r="B917" s="36"/>
      <c r="C917" s="80"/>
      <c r="D917" s="5"/>
      <c r="E917" s="5"/>
      <c r="F917" s="5"/>
      <c r="G917" s="5"/>
    </row>
    <row r="918" spans="2:7" ht="13">
      <c r="B918" s="36"/>
      <c r="C918" s="80"/>
      <c r="D918" s="5"/>
      <c r="E918" s="5"/>
      <c r="F918" s="5"/>
      <c r="G918" s="5"/>
    </row>
    <row r="919" spans="2:7" ht="13">
      <c r="B919" s="36"/>
      <c r="C919" s="80"/>
      <c r="D919" s="5"/>
      <c r="E919" s="5"/>
      <c r="F919" s="5"/>
      <c r="G919" s="5"/>
    </row>
    <row r="920" spans="2:7" ht="13">
      <c r="B920" s="36"/>
      <c r="C920" s="80"/>
      <c r="D920" s="5"/>
      <c r="E920" s="5"/>
      <c r="F920" s="5"/>
      <c r="G920" s="5"/>
    </row>
    <row r="921" spans="2:7" ht="13">
      <c r="B921" s="36"/>
      <c r="C921" s="80"/>
      <c r="D921" s="5"/>
      <c r="E921" s="5"/>
      <c r="F921" s="5"/>
      <c r="G921" s="5"/>
    </row>
    <row r="922" spans="2:7" ht="13">
      <c r="B922" s="36"/>
      <c r="C922" s="80"/>
      <c r="D922" s="5"/>
      <c r="E922" s="5"/>
      <c r="F922" s="5"/>
      <c r="G922" s="5"/>
    </row>
    <row r="923" spans="2:7" ht="13">
      <c r="B923" s="36"/>
      <c r="C923" s="80"/>
      <c r="D923" s="5"/>
      <c r="E923" s="5"/>
      <c r="F923" s="5"/>
      <c r="G923" s="5"/>
    </row>
    <row r="924" spans="2:7" ht="13">
      <c r="B924" s="36"/>
      <c r="C924" s="80"/>
      <c r="D924" s="5"/>
      <c r="E924" s="5"/>
      <c r="F924" s="5"/>
      <c r="G924" s="5"/>
    </row>
    <row r="925" spans="2:7" ht="13">
      <c r="B925" s="36"/>
      <c r="C925" s="80"/>
      <c r="D925" s="5"/>
      <c r="E925" s="5"/>
      <c r="F925" s="5"/>
      <c r="G925" s="5"/>
    </row>
    <row r="926" spans="2:7" ht="13">
      <c r="B926" s="36"/>
      <c r="C926" s="80"/>
      <c r="D926" s="5"/>
      <c r="E926" s="5"/>
      <c r="F926" s="5"/>
      <c r="G926" s="5"/>
    </row>
    <row r="927" spans="2:7" ht="13">
      <c r="B927" s="36"/>
      <c r="C927" s="80"/>
      <c r="D927" s="5"/>
      <c r="E927" s="5"/>
      <c r="F927" s="5"/>
      <c r="G927" s="5"/>
    </row>
    <row r="928" spans="2:7" ht="13">
      <c r="B928" s="36"/>
      <c r="C928" s="80"/>
      <c r="D928" s="5"/>
      <c r="E928" s="5"/>
      <c r="F928" s="5"/>
      <c r="G928" s="5"/>
    </row>
    <row r="929" spans="2:7" ht="13">
      <c r="B929" s="36"/>
      <c r="C929" s="80"/>
      <c r="D929" s="5"/>
      <c r="E929" s="5"/>
      <c r="F929" s="5"/>
      <c r="G929" s="5"/>
    </row>
    <row r="930" spans="2:7" ht="13">
      <c r="B930" s="36"/>
      <c r="C930" s="80"/>
      <c r="D930" s="5"/>
      <c r="E930" s="5"/>
      <c r="F930" s="5"/>
      <c r="G930" s="5"/>
    </row>
    <row r="931" spans="2:7" ht="13">
      <c r="B931" s="36"/>
      <c r="C931" s="80"/>
      <c r="D931" s="5"/>
      <c r="E931" s="5"/>
      <c r="F931" s="5"/>
      <c r="G931" s="5"/>
    </row>
    <row r="932" spans="2:7" ht="13">
      <c r="B932" s="36"/>
      <c r="C932" s="80"/>
      <c r="D932" s="5"/>
      <c r="E932" s="5"/>
      <c r="F932" s="5"/>
      <c r="G932" s="5"/>
    </row>
    <row r="933" spans="2:7" ht="13">
      <c r="B933" s="36"/>
      <c r="C933" s="80"/>
      <c r="D933" s="5"/>
      <c r="E933" s="5"/>
      <c r="F933" s="5"/>
      <c r="G933" s="5"/>
    </row>
    <row r="934" spans="2:7" ht="13">
      <c r="B934" s="36"/>
      <c r="C934" s="80"/>
      <c r="D934" s="5"/>
      <c r="E934" s="5"/>
      <c r="F934" s="5"/>
      <c r="G934" s="5"/>
    </row>
    <row r="935" spans="2:7" ht="13">
      <c r="B935" s="36"/>
      <c r="C935" s="80"/>
      <c r="D935" s="5"/>
      <c r="E935" s="5"/>
      <c r="F935" s="5"/>
      <c r="G935" s="5"/>
    </row>
    <row r="936" spans="2:7" ht="13">
      <c r="B936" s="36"/>
      <c r="C936" s="80"/>
      <c r="D936" s="5"/>
      <c r="E936" s="5"/>
      <c r="F936" s="5"/>
      <c r="G936" s="5"/>
    </row>
    <row r="937" spans="2:7" ht="13">
      <c r="B937" s="36"/>
      <c r="C937" s="80"/>
      <c r="D937" s="5"/>
      <c r="E937" s="5"/>
      <c r="F937" s="5"/>
      <c r="G937" s="5"/>
    </row>
    <row r="938" spans="2:7" ht="13">
      <c r="B938" s="36"/>
      <c r="C938" s="80"/>
      <c r="D938" s="5"/>
      <c r="E938" s="5"/>
      <c r="F938" s="5"/>
      <c r="G938" s="5"/>
    </row>
    <row r="939" spans="2:7" ht="13">
      <c r="B939" s="36"/>
      <c r="C939" s="80"/>
      <c r="D939" s="5"/>
      <c r="E939" s="5"/>
      <c r="F939" s="5"/>
      <c r="G939" s="5"/>
    </row>
    <row r="940" spans="2:7" ht="13">
      <c r="B940" s="36"/>
      <c r="C940" s="80"/>
      <c r="D940" s="5"/>
      <c r="E940" s="5"/>
      <c r="F940" s="5"/>
      <c r="G940" s="5"/>
    </row>
    <row r="941" spans="2:7" ht="13">
      <c r="B941" s="36"/>
      <c r="C941" s="80"/>
      <c r="D941" s="5"/>
      <c r="E941" s="5"/>
      <c r="F941" s="5"/>
      <c r="G941" s="5"/>
    </row>
    <row r="942" spans="2:7" ht="13">
      <c r="B942" s="36"/>
      <c r="C942" s="80"/>
      <c r="D942" s="5"/>
      <c r="E942" s="5"/>
      <c r="F942" s="5"/>
      <c r="G942" s="5"/>
    </row>
    <row r="943" spans="2:7" ht="13">
      <c r="B943" s="36"/>
      <c r="C943" s="80"/>
      <c r="D943" s="5"/>
      <c r="E943" s="5"/>
      <c r="F943" s="5"/>
      <c r="G943" s="5"/>
    </row>
    <row r="944" spans="2:7" ht="13">
      <c r="B944" s="36"/>
      <c r="C944" s="80"/>
      <c r="D944" s="5"/>
      <c r="E944" s="5"/>
      <c r="F944" s="5"/>
      <c r="G944" s="5"/>
    </row>
    <row r="945" spans="2:7" ht="13">
      <c r="B945" s="36"/>
      <c r="C945" s="80"/>
      <c r="D945" s="5"/>
      <c r="E945" s="5"/>
      <c r="F945" s="5"/>
      <c r="G945" s="5"/>
    </row>
    <row r="946" spans="2:7" ht="13">
      <c r="B946" s="36"/>
      <c r="C946" s="80"/>
      <c r="D946" s="5"/>
      <c r="E946" s="5"/>
      <c r="F946" s="5"/>
      <c r="G946" s="5"/>
    </row>
    <row r="947" spans="2:7" ht="13">
      <c r="B947" s="36"/>
      <c r="C947" s="80"/>
      <c r="D947" s="5"/>
      <c r="E947" s="5"/>
      <c r="F947" s="5"/>
      <c r="G947" s="5"/>
    </row>
    <row r="948" spans="2:7" ht="13">
      <c r="B948" s="36"/>
      <c r="C948" s="80"/>
      <c r="D948" s="5"/>
      <c r="E948" s="5"/>
      <c r="F948" s="5"/>
      <c r="G948" s="5"/>
    </row>
    <row r="949" spans="2:7" ht="13">
      <c r="B949" s="36"/>
      <c r="C949" s="80"/>
      <c r="D949" s="5"/>
      <c r="E949" s="5"/>
      <c r="F949" s="5"/>
      <c r="G949" s="5"/>
    </row>
    <row r="950" spans="2:7" ht="13">
      <c r="B950" s="36"/>
      <c r="C950" s="80"/>
      <c r="D950" s="5"/>
      <c r="E950" s="5"/>
      <c r="F950" s="5"/>
      <c r="G950" s="5"/>
    </row>
    <row r="951" spans="2:7" ht="13">
      <c r="B951" s="36"/>
      <c r="C951" s="80"/>
      <c r="D951" s="5"/>
      <c r="E951" s="5"/>
      <c r="F951" s="5"/>
      <c r="G951" s="5"/>
    </row>
    <row r="952" spans="2:7" ht="13">
      <c r="B952" s="36"/>
      <c r="C952" s="80"/>
      <c r="D952" s="5"/>
      <c r="E952" s="5"/>
      <c r="F952" s="5"/>
      <c r="G952" s="5"/>
    </row>
    <row r="953" spans="2:7" ht="13">
      <c r="B953" s="36"/>
      <c r="C953" s="80"/>
      <c r="D953" s="5"/>
      <c r="E953" s="5"/>
      <c r="F953" s="5"/>
      <c r="G953" s="5"/>
    </row>
    <row r="954" spans="2:7" ht="13">
      <c r="B954" s="36"/>
      <c r="C954" s="80"/>
      <c r="D954" s="5"/>
      <c r="E954" s="5"/>
      <c r="F954" s="5"/>
      <c r="G954" s="5"/>
    </row>
    <row r="955" spans="2:7" ht="13">
      <c r="B955" s="36"/>
      <c r="C955" s="80"/>
      <c r="D955" s="5"/>
      <c r="E955" s="5"/>
      <c r="F955" s="5"/>
      <c r="G955" s="5"/>
    </row>
    <row r="956" spans="2:7" ht="13">
      <c r="B956" s="36"/>
      <c r="C956" s="80"/>
      <c r="D956" s="5"/>
      <c r="E956" s="5"/>
      <c r="F956" s="5"/>
      <c r="G956" s="5"/>
    </row>
    <row r="957" spans="2:7" ht="13">
      <c r="B957" s="36"/>
      <c r="C957" s="80"/>
      <c r="D957" s="5"/>
      <c r="E957" s="5"/>
      <c r="F957" s="5"/>
      <c r="G957" s="5"/>
    </row>
    <row r="958" spans="2:7" ht="13">
      <c r="B958" s="36"/>
      <c r="C958" s="80"/>
      <c r="D958" s="5"/>
      <c r="E958" s="5"/>
      <c r="F958" s="5"/>
      <c r="G958" s="5"/>
    </row>
    <row r="959" spans="2:7" ht="13">
      <c r="B959" s="36"/>
      <c r="C959" s="80"/>
      <c r="D959" s="5"/>
      <c r="E959" s="5"/>
      <c r="F959" s="5"/>
      <c r="G959" s="5"/>
    </row>
    <row r="960" spans="2:7" ht="13">
      <c r="B960" s="36"/>
      <c r="C960" s="80"/>
      <c r="D960" s="5"/>
      <c r="E960" s="5"/>
      <c r="F960" s="5"/>
      <c r="G960" s="5"/>
    </row>
    <row r="961" spans="2:7" ht="13">
      <c r="B961" s="36"/>
      <c r="C961" s="80"/>
      <c r="D961" s="5"/>
      <c r="E961" s="5"/>
      <c r="F961" s="5"/>
      <c r="G961" s="5"/>
    </row>
    <row r="962" spans="2:7" ht="13">
      <c r="B962" s="36"/>
      <c r="C962" s="80"/>
      <c r="D962" s="5"/>
      <c r="E962" s="5"/>
      <c r="F962" s="5"/>
      <c r="G962" s="5"/>
    </row>
    <row r="963" spans="2:7" ht="13">
      <c r="B963" s="36"/>
      <c r="C963" s="80"/>
      <c r="D963" s="5"/>
      <c r="E963" s="5"/>
      <c r="F963" s="5"/>
      <c r="G963" s="5"/>
    </row>
    <row r="964" spans="2:7" ht="13">
      <c r="B964" s="36"/>
      <c r="C964" s="80"/>
      <c r="D964" s="5"/>
      <c r="E964" s="5"/>
      <c r="F964" s="5"/>
      <c r="G964" s="5"/>
    </row>
    <row r="965" spans="2:7" ht="13">
      <c r="B965" s="36"/>
      <c r="C965" s="80"/>
      <c r="D965" s="5"/>
      <c r="E965" s="5"/>
      <c r="F965" s="5"/>
      <c r="G965" s="5"/>
    </row>
    <row r="966" spans="2:7" ht="13">
      <c r="B966" s="36"/>
      <c r="C966" s="80"/>
      <c r="D966" s="5"/>
      <c r="E966" s="5"/>
      <c r="F966" s="5"/>
      <c r="G966" s="5"/>
    </row>
    <row r="967" spans="2:7" ht="13">
      <c r="B967" s="36"/>
      <c r="C967" s="80"/>
      <c r="D967" s="5"/>
      <c r="E967" s="5"/>
      <c r="F967" s="5"/>
      <c r="G967" s="5"/>
    </row>
    <row r="968" spans="2:7" ht="13">
      <c r="B968" s="36"/>
      <c r="C968" s="80"/>
      <c r="D968" s="5"/>
      <c r="E968" s="5"/>
      <c r="F968" s="5"/>
      <c r="G968" s="5"/>
    </row>
    <row r="969" spans="2:7" ht="13">
      <c r="B969" s="36"/>
      <c r="C969" s="80"/>
      <c r="D969" s="5"/>
      <c r="E969" s="5"/>
      <c r="F969" s="5"/>
      <c r="G969" s="5"/>
    </row>
    <row r="970" spans="2:7" ht="13">
      <c r="B970" s="36"/>
      <c r="C970" s="80"/>
      <c r="D970" s="5"/>
      <c r="E970" s="5"/>
      <c r="F970" s="5"/>
      <c r="G970" s="5"/>
    </row>
    <row r="971" spans="2:7" ht="13">
      <c r="B971" s="36"/>
      <c r="C971" s="80"/>
      <c r="D971" s="5"/>
      <c r="E971" s="5"/>
      <c r="F971" s="5"/>
      <c r="G971" s="5"/>
    </row>
    <row r="972" spans="2:7" ht="13">
      <c r="B972" s="36"/>
      <c r="C972" s="80"/>
      <c r="D972" s="5"/>
      <c r="E972" s="5"/>
      <c r="F972" s="5"/>
      <c r="G972" s="5"/>
    </row>
    <row r="973" spans="2:7" ht="13">
      <c r="B973" s="36"/>
      <c r="C973" s="80"/>
      <c r="D973" s="5"/>
      <c r="E973" s="5"/>
      <c r="F973" s="5"/>
      <c r="G973" s="5"/>
    </row>
    <row r="974" spans="2:7" ht="13">
      <c r="B974" s="36"/>
      <c r="C974" s="80"/>
      <c r="D974" s="5"/>
      <c r="E974" s="5"/>
      <c r="F974" s="5"/>
      <c r="G974" s="5"/>
    </row>
    <row r="975" spans="2:7" ht="13">
      <c r="B975" s="36"/>
      <c r="C975" s="80"/>
      <c r="D975" s="5"/>
      <c r="E975" s="5"/>
      <c r="F975" s="5"/>
      <c r="G975" s="5"/>
    </row>
    <row r="976" spans="2:7" ht="13">
      <c r="B976" s="36"/>
      <c r="C976" s="80"/>
      <c r="D976" s="5"/>
      <c r="E976" s="5"/>
      <c r="F976" s="5"/>
      <c r="G976" s="5"/>
    </row>
    <row r="977" spans="2:7" ht="13">
      <c r="B977" s="36"/>
      <c r="C977" s="80"/>
      <c r="D977" s="5"/>
      <c r="E977" s="5"/>
      <c r="F977" s="5"/>
      <c r="G977" s="5"/>
    </row>
    <row r="978" spans="2:7" ht="13">
      <c r="B978" s="36"/>
      <c r="C978" s="80"/>
      <c r="D978" s="5"/>
      <c r="E978" s="5"/>
      <c r="F978" s="5"/>
      <c r="G978" s="5"/>
    </row>
    <row r="979" spans="2:7" ht="13">
      <c r="B979" s="36"/>
      <c r="C979" s="80"/>
      <c r="D979" s="5"/>
      <c r="E979" s="5"/>
      <c r="F979" s="5"/>
      <c r="G979" s="5"/>
    </row>
    <row r="980" spans="2:7" ht="13">
      <c r="B980" s="36"/>
      <c r="C980" s="80"/>
      <c r="D980" s="5"/>
      <c r="E980" s="5"/>
      <c r="F980" s="5"/>
      <c r="G980" s="5"/>
    </row>
    <row r="981" spans="2:7" ht="13">
      <c r="B981" s="36"/>
      <c r="C981" s="80"/>
      <c r="D981" s="5"/>
      <c r="E981" s="5"/>
      <c r="F981" s="5"/>
      <c r="G981" s="5"/>
    </row>
    <row r="982" spans="2:7" ht="13">
      <c r="B982" s="36"/>
      <c r="C982" s="80"/>
      <c r="D982" s="5"/>
      <c r="E982" s="5"/>
      <c r="F982" s="5"/>
      <c r="G982" s="5"/>
    </row>
    <row r="983" spans="2:7" ht="13">
      <c r="B983" s="36"/>
      <c r="C983" s="80"/>
      <c r="D983" s="5"/>
      <c r="E983" s="5"/>
      <c r="F983" s="5"/>
      <c r="G983" s="5"/>
    </row>
    <row r="984" spans="2:7" ht="13">
      <c r="B984" s="36"/>
      <c r="C984" s="80"/>
      <c r="D984" s="5"/>
      <c r="E984" s="5"/>
      <c r="F984" s="5"/>
      <c r="G984" s="5"/>
    </row>
    <row r="985" spans="2:7" ht="13">
      <c r="B985" s="36"/>
      <c r="C985" s="80"/>
      <c r="D985" s="5"/>
      <c r="E985" s="5"/>
      <c r="F985" s="5"/>
      <c r="G985" s="5"/>
    </row>
    <row r="986" spans="2:7" ht="13">
      <c r="B986" s="36"/>
      <c r="C986" s="80"/>
      <c r="D986" s="5"/>
      <c r="E986" s="5"/>
      <c r="F986" s="5"/>
      <c r="G986" s="5"/>
    </row>
    <row r="987" spans="2:7" ht="13">
      <c r="B987" s="36"/>
      <c r="C987" s="80"/>
      <c r="D987" s="5"/>
      <c r="E987" s="5"/>
      <c r="F987" s="5"/>
      <c r="G987" s="5"/>
    </row>
    <row r="988" spans="2:7" ht="13">
      <c r="B988" s="36"/>
      <c r="C988" s="80"/>
      <c r="D988" s="5"/>
      <c r="E988" s="5"/>
      <c r="F988" s="5"/>
      <c r="G988" s="5"/>
    </row>
    <row r="989" spans="2:7" ht="13">
      <c r="B989" s="36"/>
      <c r="C989" s="80"/>
      <c r="D989" s="5"/>
      <c r="E989" s="5"/>
      <c r="F989" s="5"/>
      <c r="G989" s="5"/>
    </row>
    <row r="990" spans="2:7" ht="13">
      <c r="B990" s="36"/>
      <c r="C990" s="80"/>
      <c r="D990" s="5"/>
      <c r="E990" s="5"/>
      <c r="F990" s="5"/>
      <c r="G990" s="5"/>
    </row>
    <row r="991" spans="2:7" ht="13">
      <c r="B991" s="36"/>
      <c r="C991" s="80"/>
      <c r="D991" s="5"/>
      <c r="E991" s="5"/>
      <c r="F991" s="5"/>
      <c r="G991" s="5"/>
    </row>
    <row r="992" spans="2:7" ht="13">
      <c r="B992" s="36"/>
      <c r="C992" s="80"/>
      <c r="D992" s="5"/>
      <c r="E992" s="5"/>
      <c r="F992" s="5"/>
      <c r="G992" s="5"/>
    </row>
    <row r="993" spans="2:7" ht="13">
      <c r="B993" s="36"/>
      <c r="C993" s="80"/>
      <c r="D993" s="5"/>
      <c r="E993" s="5"/>
      <c r="F993" s="5"/>
      <c r="G993" s="5"/>
    </row>
    <row r="994" spans="2:7" ht="13">
      <c r="B994" s="36"/>
      <c r="C994" s="80"/>
      <c r="D994" s="5"/>
      <c r="E994" s="5"/>
      <c r="F994" s="5"/>
      <c r="G994" s="5"/>
    </row>
    <row r="995" spans="2:7" ht="13">
      <c r="B995" s="36"/>
      <c r="C995" s="80"/>
      <c r="D995" s="5"/>
      <c r="E995" s="5"/>
      <c r="F995" s="5"/>
      <c r="G995" s="5"/>
    </row>
    <row r="996" spans="2:7" ht="13">
      <c r="B996" s="36"/>
      <c r="C996" s="80"/>
      <c r="D996" s="5"/>
      <c r="E996" s="5"/>
      <c r="F996" s="5"/>
      <c r="G996" s="5"/>
    </row>
    <row r="997" spans="2:7" ht="13">
      <c r="B997" s="36"/>
      <c r="C997" s="80"/>
      <c r="D997" s="5"/>
      <c r="E997" s="5"/>
      <c r="F997" s="5"/>
      <c r="G997" s="5"/>
    </row>
    <row r="998" spans="2:7" ht="13">
      <c r="B998" s="36"/>
      <c r="C998" s="80"/>
      <c r="D998" s="5"/>
      <c r="E998" s="5"/>
      <c r="F998" s="5"/>
      <c r="G998" s="5"/>
    </row>
    <row r="999" spans="2:7" ht="13">
      <c r="B999" s="36"/>
      <c r="C999" s="80"/>
      <c r="D999" s="5"/>
      <c r="E999" s="5"/>
      <c r="F999" s="5"/>
      <c r="G999" s="5"/>
    </row>
    <row r="1000" spans="2:7" ht="13">
      <c r="B1000" s="36"/>
      <c r="C1000" s="80"/>
      <c r="D1000" s="5"/>
      <c r="E1000" s="5"/>
      <c r="F1000" s="5"/>
      <c r="G1000" s="5"/>
    </row>
    <row r="1001" spans="2:7" ht="13">
      <c r="B1001" s="36"/>
      <c r="C1001" s="80"/>
      <c r="D1001" s="5"/>
      <c r="E1001" s="5"/>
      <c r="F1001" s="5"/>
      <c r="G1001" s="5"/>
    </row>
    <row r="1002" spans="2:7" ht="13">
      <c r="B1002" s="36"/>
      <c r="C1002" s="80"/>
      <c r="D1002" s="5"/>
      <c r="E1002" s="5"/>
      <c r="F1002" s="5"/>
      <c r="G1002" s="5"/>
    </row>
  </sheetData>
  <hyperlinks>
    <hyperlink ref="B5" r:id="rId1" xr:uid="{00000000-0004-0000-5100-000000000000}"/>
    <hyperlink ref="B6" r:id="rId2" xr:uid="{00000000-0004-0000-5100-000001000000}"/>
    <hyperlink ref="B7" r:id="rId3" xr:uid="{00000000-0004-0000-5100-000002000000}"/>
    <hyperlink ref="B8" r:id="rId4" xr:uid="{00000000-0004-0000-5100-000003000000}"/>
    <hyperlink ref="B9" r:id="rId5" xr:uid="{00000000-0004-0000-5100-000004000000}"/>
    <hyperlink ref="B10" r:id="rId6" xr:uid="{00000000-0004-0000-5100-000005000000}"/>
    <hyperlink ref="B11" r:id="rId7" xr:uid="{00000000-0004-0000-5100-000006000000}"/>
    <hyperlink ref="B13" r:id="rId8" xr:uid="{00000000-0004-0000-5100-000007000000}"/>
    <hyperlink ref="B14" r:id="rId9" xr:uid="{00000000-0004-0000-5100-000008000000}"/>
    <hyperlink ref="B15" r:id="rId10" xr:uid="{00000000-0004-0000-5100-000009000000}"/>
    <hyperlink ref="B16" r:id="rId11" xr:uid="{00000000-0004-0000-5100-00000A000000}"/>
    <hyperlink ref="B17" r:id="rId12" xr:uid="{00000000-0004-0000-5100-00000B000000}"/>
    <hyperlink ref="B18" r:id="rId13" xr:uid="{00000000-0004-0000-5100-00000C000000}"/>
    <hyperlink ref="B19" r:id="rId14" xr:uid="{00000000-0004-0000-5100-00000D000000}"/>
    <hyperlink ref="B20" r:id="rId15" xr:uid="{00000000-0004-0000-5100-00000E000000}"/>
    <hyperlink ref="B21" r:id="rId16" xr:uid="{00000000-0004-0000-5100-00000F000000}"/>
    <hyperlink ref="B22" r:id="rId17" xr:uid="{00000000-0004-0000-5100-000010000000}"/>
    <hyperlink ref="B23" r:id="rId18" xr:uid="{00000000-0004-0000-5100-000011000000}"/>
    <hyperlink ref="B24" r:id="rId19" xr:uid="{00000000-0004-0000-5100-000012000000}"/>
    <hyperlink ref="B26" r:id="rId20" xr:uid="{00000000-0004-0000-5100-000013000000}"/>
    <hyperlink ref="B27" r:id="rId21" xr:uid="{00000000-0004-0000-5100-000014000000}"/>
    <hyperlink ref="B29" r:id="rId22" xr:uid="{00000000-0004-0000-5100-000015000000}"/>
    <hyperlink ref="B31" r:id="rId23" xr:uid="{00000000-0004-0000-5100-000016000000}"/>
    <hyperlink ref="B32" r:id="rId24" xr:uid="{00000000-0004-0000-5100-000017000000}"/>
    <hyperlink ref="B33" r:id="rId25" xr:uid="{00000000-0004-0000-5100-000018000000}"/>
    <hyperlink ref="B34" r:id="rId26" xr:uid="{00000000-0004-0000-5100-000019000000}"/>
    <hyperlink ref="B35" r:id="rId27" xr:uid="{00000000-0004-0000-5100-00001A000000}"/>
    <hyperlink ref="B36" r:id="rId28" xr:uid="{00000000-0004-0000-5100-00001B000000}"/>
    <hyperlink ref="B37" r:id="rId29" xr:uid="{00000000-0004-0000-5100-00001C000000}"/>
    <hyperlink ref="B38" r:id="rId30" xr:uid="{00000000-0004-0000-5100-00001D000000}"/>
    <hyperlink ref="B40" r:id="rId31" xr:uid="{00000000-0004-0000-5100-00001E000000}"/>
    <hyperlink ref="B41" r:id="rId32" xr:uid="{00000000-0004-0000-5100-00001F000000}"/>
    <hyperlink ref="B42" r:id="rId33" xr:uid="{00000000-0004-0000-5100-000020000000}"/>
    <hyperlink ref="B43" r:id="rId34" xr:uid="{00000000-0004-0000-5100-000021000000}"/>
    <hyperlink ref="B44" r:id="rId35" xr:uid="{00000000-0004-0000-5100-000022000000}"/>
    <hyperlink ref="B45" r:id="rId36" xr:uid="{00000000-0004-0000-5100-000023000000}"/>
    <hyperlink ref="B46" r:id="rId37" xr:uid="{00000000-0004-0000-5100-000024000000}"/>
    <hyperlink ref="B47" r:id="rId38" xr:uid="{00000000-0004-0000-5100-000025000000}"/>
    <hyperlink ref="B48" r:id="rId39" xr:uid="{00000000-0004-0000-5100-000026000000}"/>
    <hyperlink ref="B49" r:id="rId40" xr:uid="{00000000-0004-0000-5100-000027000000}"/>
    <hyperlink ref="B50" r:id="rId41" xr:uid="{00000000-0004-0000-5100-000028000000}"/>
    <hyperlink ref="B51" r:id="rId42" xr:uid="{00000000-0004-0000-5100-000029000000}"/>
    <hyperlink ref="B52" r:id="rId43" xr:uid="{00000000-0004-0000-5100-00002A000000}"/>
    <hyperlink ref="B53" r:id="rId44" xr:uid="{00000000-0004-0000-5100-00002B000000}"/>
    <hyperlink ref="B54" r:id="rId45" xr:uid="{00000000-0004-0000-5100-00002C000000}"/>
    <hyperlink ref="B55" r:id="rId46" xr:uid="{00000000-0004-0000-5100-00002D000000}"/>
    <hyperlink ref="B56" r:id="rId47" xr:uid="{00000000-0004-0000-5100-00002E000000}"/>
    <hyperlink ref="B57" r:id="rId48" xr:uid="{00000000-0004-0000-5100-00002F000000}"/>
    <hyperlink ref="B58" r:id="rId49" xr:uid="{00000000-0004-0000-5100-000030000000}"/>
    <hyperlink ref="B59" r:id="rId50" xr:uid="{00000000-0004-0000-5100-000031000000}"/>
    <hyperlink ref="B60" r:id="rId51" xr:uid="{00000000-0004-0000-5100-000032000000}"/>
    <hyperlink ref="B61" r:id="rId52" xr:uid="{00000000-0004-0000-5100-000033000000}"/>
    <hyperlink ref="B62" r:id="rId53" xr:uid="{00000000-0004-0000-5100-000034000000}"/>
    <hyperlink ref="B63" r:id="rId54" xr:uid="{00000000-0004-0000-5100-000035000000}"/>
    <hyperlink ref="B64" r:id="rId55" xr:uid="{00000000-0004-0000-5100-000036000000}"/>
    <hyperlink ref="B65" r:id="rId56" xr:uid="{00000000-0004-0000-5100-000037000000}"/>
    <hyperlink ref="B66" r:id="rId57" xr:uid="{00000000-0004-0000-5100-000038000000}"/>
    <hyperlink ref="B67" r:id="rId58" xr:uid="{00000000-0004-0000-5100-000039000000}"/>
    <hyperlink ref="B68" r:id="rId59" xr:uid="{00000000-0004-0000-5100-00003A000000}"/>
    <hyperlink ref="B69" r:id="rId60" xr:uid="{00000000-0004-0000-5100-00003B000000}"/>
    <hyperlink ref="B73" r:id="rId61" xr:uid="{00000000-0004-0000-5100-00003C000000}"/>
    <hyperlink ref="B74" r:id="rId62" xr:uid="{00000000-0004-0000-5100-00003D000000}"/>
    <hyperlink ref="B75" r:id="rId63" xr:uid="{00000000-0004-0000-5100-00003E000000}"/>
    <hyperlink ref="B76" r:id="rId64" xr:uid="{00000000-0004-0000-5100-00003F000000}"/>
    <hyperlink ref="B77" r:id="rId65" xr:uid="{00000000-0004-0000-5100-000040000000}"/>
    <hyperlink ref="B78" r:id="rId66" xr:uid="{00000000-0004-0000-5100-000041000000}"/>
    <hyperlink ref="B80" r:id="rId67" xr:uid="{00000000-0004-0000-5100-000042000000}"/>
    <hyperlink ref="B81" r:id="rId68" xr:uid="{00000000-0004-0000-5100-000043000000}"/>
    <hyperlink ref="B84" r:id="rId69" xr:uid="{00000000-0004-0000-5100-000044000000}"/>
    <hyperlink ref="B85" r:id="rId70" xr:uid="{00000000-0004-0000-5100-000045000000}"/>
    <hyperlink ref="B87" r:id="rId71" xr:uid="{00000000-0004-0000-5100-000046000000}"/>
    <hyperlink ref="B88" r:id="rId72" xr:uid="{00000000-0004-0000-5100-000047000000}"/>
    <hyperlink ref="B89" r:id="rId73" xr:uid="{00000000-0004-0000-5100-000048000000}"/>
    <hyperlink ref="B90" r:id="rId74" xr:uid="{00000000-0004-0000-5100-000049000000}"/>
    <hyperlink ref="B92" r:id="rId75" xr:uid="{00000000-0004-0000-5100-00004A000000}"/>
    <hyperlink ref="B93" r:id="rId76" xr:uid="{00000000-0004-0000-5100-00004B000000}"/>
    <hyperlink ref="B94" r:id="rId77" xr:uid="{00000000-0004-0000-5100-00004C000000}"/>
    <hyperlink ref="B95" r:id="rId78" xr:uid="{00000000-0004-0000-5100-00004D000000}"/>
    <hyperlink ref="B96" r:id="rId79" xr:uid="{00000000-0004-0000-5100-00004E000000}"/>
    <hyperlink ref="B97" r:id="rId80" xr:uid="{00000000-0004-0000-5100-00004F000000}"/>
    <hyperlink ref="B98" r:id="rId81" xr:uid="{00000000-0004-0000-5100-000050000000}"/>
    <hyperlink ref="B99" r:id="rId82" xr:uid="{00000000-0004-0000-5100-000051000000}"/>
    <hyperlink ref="B100" r:id="rId83" xr:uid="{00000000-0004-0000-5100-000052000000}"/>
    <hyperlink ref="B101" r:id="rId84" xr:uid="{00000000-0004-0000-5100-000053000000}"/>
    <hyperlink ref="B102" r:id="rId85" xr:uid="{00000000-0004-0000-5100-000054000000}"/>
    <hyperlink ref="B103" r:id="rId86" xr:uid="{00000000-0004-0000-5100-000055000000}"/>
    <hyperlink ref="B104" r:id="rId87" xr:uid="{00000000-0004-0000-5100-000056000000}"/>
    <hyperlink ref="B105" r:id="rId88" xr:uid="{00000000-0004-0000-5100-000057000000}"/>
    <hyperlink ref="B106" r:id="rId89" xr:uid="{00000000-0004-0000-5100-000058000000}"/>
    <hyperlink ref="B107" r:id="rId90" xr:uid="{00000000-0004-0000-5100-000059000000}"/>
    <hyperlink ref="B108" r:id="rId91" xr:uid="{00000000-0004-0000-5100-00005A000000}"/>
    <hyperlink ref="B109" r:id="rId92" xr:uid="{00000000-0004-0000-5100-00005B000000}"/>
    <hyperlink ref="B110" r:id="rId93" xr:uid="{00000000-0004-0000-5100-00005C000000}"/>
    <hyperlink ref="B117" r:id="rId94" xr:uid="{00000000-0004-0000-5100-00005D000000}"/>
    <hyperlink ref="B118" r:id="rId95" xr:uid="{00000000-0004-0000-5100-00005E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3">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0.1640625" customWidth="1"/>
    <col min="3" max="3" width="9.6640625" customWidth="1"/>
    <col min="4" max="4" width="14.83203125" customWidth="1"/>
    <col min="5" max="5" width="14.33203125" customWidth="1"/>
  </cols>
  <sheetData>
    <row r="1" spans="1:10" ht="15.75" customHeight="1">
      <c r="A1" s="1" t="s">
        <v>134</v>
      </c>
      <c r="B1" s="36"/>
      <c r="C1" s="80"/>
      <c r="D1" s="81" t="s">
        <v>181</v>
      </c>
      <c r="E1" s="5"/>
      <c r="F1" s="5"/>
      <c r="G1" s="5"/>
    </row>
    <row r="2" spans="1:10" ht="15.75" customHeight="1">
      <c r="A2" s="7" t="s">
        <v>182</v>
      </c>
      <c r="B2" s="38">
        <v>42676</v>
      </c>
      <c r="C2" s="80"/>
      <c r="D2" s="82">
        <f>SUM(D5:G117)</f>
        <v>0</v>
      </c>
      <c r="E2" s="5"/>
      <c r="F2" s="5"/>
      <c r="G2" s="5"/>
    </row>
    <row r="3" spans="1:10" ht="15.75" customHeight="1">
      <c r="B3" s="36"/>
      <c r="C3" s="80"/>
      <c r="D3" s="5"/>
      <c r="E3" s="5"/>
      <c r="F3" s="5"/>
      <c r="G3" s="5"/>
    </row>
    <row r="4" spans="1:10" ht="15.75" customHeight="1">
      <c r="A4" s="42" t="s">
        <v>183</v>
      </c>
      <c r="B4" s="43" t="s">
        <v>184</v>
      </c>
      <c r="C4" s="42" t="s">
        <v>185</v>
      </c>
      <c r="D4" s="83" t="s">
        <v>186</v>
      </c>
      <c r="E4" s="84" t="s">
        <v>187</v>
      </c>
      <c r="F4" s="84" t="s">
        <v>188</v>
      </c>
      <c r="G4" s="85" t="s">
        <v>189</v>
      </c>
      <c r="H4" s="84" t="s">
        <v>190</v>
      </c>
      <c r="I4" s="85"/>
    </row>
    <row r="5" spans="1:10" ht="15.75" customHeight="1">
      <c r="A5" s="64" t="s">
        <v>2904</v>
      </c>
      <c r="B5" s="78" t="str">
        <f>HYPERLINK("https://bulbapedia.bulbagarden.net/wiki/Venusaur-EX_(Evolutions_1)","VenusaurEX")</f>
        <v>VenusaurEX</v>
      </c>
      <c r="C5" s="64" t="s">
        <v>205</v>
      </c>
      <c r="D5" s="89"/>
      <c r="E5" s="87"/>
      <c r="F5" s="87"/>
      <c r="G5" s="87"/>
      <c r="H5" s="88"/>
      <c r="I5" s="88"/>
      <c r="J5" s="88"/>
    </row>
    <row r="6" spans="1:10" ht="15.75" customHeight="1">
      <c r="A6" s="64" t="s">
        <v>2905</v>
      </c>
      <c r="B6" s="79" t="str">
        <f>HYPERLINK("https://bulbapedia.bulbagarden.net/wiki/M_Venusaur-EX_(Evolutions_2)","MVenusaurEX")</f>
        <v>MVenusaurEX</v>
      </c>
      <c r="C6" s="64" t="s">
        <v>205</v>
      </c>
      <c r="D6" s="72"/>
      <c r="E6" s="5"/>
      <c r="F6" s="5"/>
      <c r="G6" s="5"/>
      <c r="J6" s="88"/>
    </row>
    <row r="7" spans="1:10" ht="15.75" customHeight="1">
      <c r="A7" s="64" t="s">
        <v>2906</v>
      </c>
      <c r="B7" s="77" t="s">
        <v>277</v>
      </c>
      <c r="C7" s="64" t="s">
        <v>205</v>
      </c>
      <c r="D7" s="72"/>
      <c r="E7" s="5"/>
      <c r="F7" s="5"/>
      <c r="G7" s="5"/>
    </row>
    <row r="8" spans="1:10" ht="15.75" customHeight="1">
      <c r="A8" s="64" t="s">
        <v>2907</v>
      </c>
      <c r="B8" s="77" t="s">
        <v>286</v>
      </c>
      <c r="C8" s="64" t="s">
        <v>205</v>
      </c>
      <c r="D8" s="72"/>
      <c r="E8" s="5"/>
      <c r="F8" s="5"/>
      <c r="G8" s="5"/>
    </row>
    <row r="9" spans="1:10" ht="15.75" customHeight="1">
      <c r="A9" s="64" t="s">
        <v>2908</v>
      </c>
      <c r="B9" s="77" t="s">
        <v>300</v>
      </c>
      <c r="C9" s="64" t="s">
        <v>205</v>
      </c>
      <c r="D9" s="72"/>
      <c r="E9" s="51"/>
      <c r="F9" s="5"/>
      <c r="G9" s="5"/>
    </row>
    <row r="10" spans="1:10" ht="15.75" customHeight="1">
      <c r="A10" s="64" t="s">
        <v>2909</v>
      </c>
      <c r="B10" s="77" t="s">
        <v>266</v>
      </c>
      <c r="C10" s="64" t="s">
        <v>205</v>
      </c>
      <c r="D10" s="72"/>
      <c r="E10" s="5"/>
      <c r="F10" s="5"/>
      <c r="G10" s="5"/>
    </row>
    <row r="11" spans="1:10" ht="15.75" customHeight="1">
      <c r="A11" s="64" t="s">
        <v>2910</v>
      </c>
      <c r="B11" s="77" t="s">
        <v>253</v>
      </c>
      <c r="C11" s="64" t="s">
        <v>205</v>
      </c>
      <c r="D11" s="72"/>
      <c r="E11" s="51"/>
      <c r="F11" s="5"/>
      <c r="G11" s="5"/>
    </row>
    <row r="12" spans="1:10" ht="15.75" customHeight="1">
      <c r="A12" s="64" t="s">
        <v>2911</v>
      </c>
      <c r="B12" s="77" t="s">
        <v>297</v>
      </c>
      <c r="C12" s="64" t="s">
        <v>205</v>
      </c>
      <c r="D12" s="72"/>
      <c r="E12" s="5"/>
      <c r="F12" s="5"/>
      <c r="G12" s="5"/>
    </row>
    <row r="13" spans="1:10" ht="15.75" customHeight="1">
      <c r="A13" s="64" t="s">
        <v>2912</v>
      </c>
      <c r="B13" s="77" t="s">
        <v>278</v>
      </c>
      <c r="C13" s="64" t="s">
        <v>199</v>
      </c>
      <c r="D13" s="72"/>
      <c r="E13" s="51"/>
      <c r="F13" s="5"/>
      <c r="G13" s="5"/>
    </row>
    <row r="14" spans="1:10" ht="15.75" customHeight="1">
      <c r="A14" s="64" t="s">
        <v>2913</v>
      </c>
      <c r="B14" s="77" t="s">
        <v>258</v>
      </c>
      <c r="C14" s="64" t="s">
        <v>199</v>
      </c>
      <c r="D14" s="72"/>
      <c r="E14" s="5"/>
      <c r="F14" s="5"/>
      <c r="G14" s="5"/>
    </row>
    <row r="15" spans="1:10" ht="15.75" customHeight="1">
      <c r="A15" s="64" t="s">
        <v>2914</v>
      </c>
      <c r="B15" s="77" t="s">
        <v>243</v>
      </c>
      <c r="C15" s="64" t="s">
        <v>199</v>
      </c>
      <c r="D15" s="76"/>
      <c r="E15" s="5"/>
      <c r="F15" s="5"/>
      <c r="G15" s="5"/>
    </row>
    <row r="16" spans="1:10" ht="15.75" customHeight="1">
      <c r="A16" s="64" t="s">
        <v>2915</v>
      </c>
      <c r="B16" s="78" t="str">
        <f>HYPERLINK("https://bulbapedia.bulbagarden.net/wiki/Charizard-EX_(Evolutions_12)","CharizardEX")</f>
        <v>CharizardEX</v>
      </c>
      <c r="C16" s="64" t="s">
        <v>199</v>
      </c>
      <c r="D16" s="76"/>
      <c r="E16" s="5"/>
      <c r="F16" s="5"/>
      <c r="G16" s="5"/>
    </row>
    <row r="17" spans="1:7" ht="15.75" customHeight="1">
      <c r="A17" s="64" t="s">
        <v>2916</v>
      </c>
      <c r="B17" s="79" t="str">
        <f>HYPERLINK("https://bulbapedia.bulbagarden.net/wiki/M_Charizard-EX_(Evolutions_13)","MCharizardEX")</f>
        <v>MCharizardEX</v>
      </c>
      <c r="C17" s="64" t="s">
        <v>199</v>
      </c>
      <c r="D17" s="76"/>
      <c r="E17" s="5"/>
      <c r="F17" s="5"/>
      <c r="G17" s="5"/>
    </row>
    <row r="18" spans="1:7" ht="15.75" customHeight="1">
      <c r="A18" s="64" t="s">
        <v>2917</v>
      </c>
      <c r="B18" s="77" t="s">
        <v>299</v>
      </c>
      <c r="C18" s="64" t="s">
        <v>199</v>
      </c>
      <c r="D18" s="72"/>
      <c r="E18" s="5"/>
      <c r="F18" s="5"/>
      <c r="G18" s="5"/>
    </row>
    <row r="19" spans="1:7" ht="15.75" customHeight="1">
      <c r="A19" s="64" t="s">
        <v>2918</v>
      </c>
      <c r="B19" s="77" t="s">
        <v>249</v>
      </c>
      <c r="C19" s="64" t="s">
        <v>199</v>
      </c>
      <c r="D19" s="76"/>
      <c r="E19" s="5"/>
      <c r="F19" s="5"/>
      <c r="G19" s="5"/>
    </row>
    <row r="20" spans="1:7" ht="15.75" customHeight="1">
      <c r="A20" s="64" t="s">
        <v>2919</v>
      </c>
      <c r="B20" s="78" t="str">
        <f>HYPERLINK("https://bulbapedia.bulbagarden.net/wiki/Ninetales_BREAK_(Evolutions_16)","NinetalesBREAK")</f>
        <v>NinetalesBREAK</v>
      </c>
      <c r="C20" s="64" t="s">
        <v>199</v>
      </c>
      <c r="D20" s="72"/>
      <c r="E20" s="5"/>
      <c r="F20" s="5"/>
      <c r="G20" s="5"/>
    </row>
    <row r="21" spans="1:7" ht="15.75" customHeight="1">
      <c r="A21" s="64" t="s">
        <v>2920</v>
      </c>
      <c r="B21" s="77" t="s">
        <v>262</v>
      </c>
      <c r="C21" s="64" t="s">
        <v>199</v>
      </c>
      <c r="D21" s="72"/>
      <c r="E21" s="5"/>
      <c r="F21" s="5"/>
      <c r="G21" s="5"/>
    </row>
    <row r="22" spans="1:7" ht="15.75" customHeight="1">
      <c r="A22" s="64" t="s">
        <v>2921</v>
      </c>
      <c r="B22" s="77" t="s">
        <v>198</v>
      </c>
      <c r="C22" s="64" t="s">
        <v>199</v>
      </c>
      <c r="D22" s="72"/>
      <c r="E22" s="51"/>
      <c r="F22" s="5"/>
      <c r="G22" s="5"/>
    </row>
    <row r="23" spans="1:7" ht="15.75" customHeight="1">
      <c r="A23" s="64" t="s">
        <v>2922</v>
      </c>
      <c r="B23" s="77" t="s">
        <v>291</v>
      </c>
      <c r="C23" s="64" t="s">
        <v>199</v>
      </c>
      <c r="D23" s="72"/>
      <c r="E23" s="51"/>
      <c r="F23" s="5"/>
      <c r="G23" s="5"/>
    </row>
    <row r="24" spans="1:7" ht="15.75" customHeight="1">
      <c r="A24" s="64" t="s">
        <v>2923</v>
      </c>
      <c r="B24" s="77" t="s">
        <v>231</v>
      </c>
      <c r="C24" s="64" t="s">
        <v>199</v>
      </c>
      <c r="D24" s="72"/>
      <c r="E24" s="51"/>
      <c r="F24" s="5"/>
      <c r="G24" s="5"/>
    </row>
    <row r="25" spans="1:7" ht="15.75" customHeight="1">
      <c r="A25" s="64" t="s">
        <v>2924</v>
      </c>
      <c r="B25" s="78" t="str">
        <f>HYPERLINK("https://bulbapedia.bulbagarden.net/wiki/Blastoise-EX_(Evolutions_21)","BlastoiseEX")</f>
        <v>BlastoiseEX</v>
      </c>
      <c r="C25" s="64" t="s">
        <v>208</v>
      </c>
      <c r="D25" s="72"/>
      <c r="E25" s="5"/>
      <c r="F25" s="5"/>
      <c r="G25" s="5"/>
    </row>
    <row r="26" spans="1:7" ht="15.75" customHeight="1">
      <c r="A26" s="64" t="s">
        <v>2925</v>
      </c>
      <c r="B26" s="79" t="str">
        <f>HYPERLINK("https://bulbapedia.bulbagarden.net/wiki/M_Blastoise-EX_(Evolutions_22)","MBlastoiseEX")</f>
        <v>MBlastoiseEX</v>
      </c>
      <c r="C26" s="64" t="s">
        <v>208</v>
      </c>
      <c r="D26" s="76"/>
      <c r="E26" s="5"/>
      <c r="F26" s="5"/>
      <c r="G26" s="5"/>
    </row>
    <row r="27" spans="1:7" ht="15.75" customHeight="1">
      <c r="A27" s="64" t="s">
        <v>2926</v>
      </c>
      <c r="B27" s="77" t="s">
        <v>290</v>
      </c>
      <c r="C27" s="64" t="s">
        <v>208</v>
      </c>
      <c r="D27" s="72"/>
      <c r="E27" s="5"/>
      <c r="F27" s="5"/>
      <c r="G27" s="5"/>
    </row>
    <row r="28" spans="1:7" ht="15.75" customHeight="1">
      <c r="A28" s="64" t="s">
        <v>2927</v>
      </c>
      <c r="B28" s="77" t="s">
        <v>270</v>
      </c>
      <c r="C28" s="64" t="s">
        <v>208</v>
      </c>
      <c r="D28" s="72"/>
      <c r="E28" s="5"/>
      <c r="F28" s="5"/>
      <c r="G28" s="5"/>
    </row>
    <row r="29" spans="1:7" ht="15.75" customHeight="1">
      <c r="A29" s="64" t="s">
        <v>2928</v>
      </c>
      <c r="B29" s="77" t="s">
        <v>250</v>
      </c>
      <c r="C29" s="64" t="s">
        <v>208</v>
      </c>
      <c r="D29" s="76"/>
      <c r="E29" s="5"/>
      <c r="F29" s="5"/>
      <c r="G29" s="5"/>
    </row>
    <row r="30" spans="1:7" ht="15.75" customHeight="1">
      <c r="A30" s="64" t="s">
        <v>2929</v>
      </c>
      <c r="B30" s="78" t="str">
        <f>HYPERLINK("https://bulbapedia.bulbagarden.net/wiki/Slowbro-EX_(Evolutions_26)","SlowbroEX")</f>
        <v>SlowbroEX</v>
      </c>
      <c r="C30" s="64" t="s">
        <v>208</v>
      </c>
      <c r="D30" s="76"/>
      <c r="E30" s="5"/>
      <c r="F30" s="5"/>
      <c r="G30" s="5"/>
    </row>
    <row r="31" spans="1:7" ht="15.75" customHeight="1">
      <c r="A31" s="64" t="s">
        <v>2930</v>
      </c>
      <c r="B31" s="79" t="str">
        <f>HYPERLINK("https://bulbapedia.bulbagarden.net/wiki/M_Slowbro-EX_(Evolutions_27)","MSlowbroEX")</f>
        <v>MSlowbroEX</v>
      </c>
      <c r="C31" s="64" t="s">
        <v>208</v>
      </c>
      <c r="D31" s="76"/>
      <c r="E31" s="5"/>
      <c r="F31" s="5"/>
      <c r="G31" s="5"/>
    </row>
    <row r="32" spans="1:7" ht="15.75" customHeight="1">
      <c r="A32" s="64" t="s">
        <v>2931</v>
      </c>
      <c r="B32" s="77" t="s">
        <v>273</v>
      </c>
      <c r="C32" s="64" t="s">
        <v>208</v>
      </c>
      <c r="D32" s="72"/>
      <c r="E32" s="5"/>
      <c r="F32" s="5"/>
      <c r="G32" s="5"/>
    </row>
    <row r="33" spans="1:7" ht="15.75" customHeight="1">
      <c r="A33" s="64" t="s">
        <v>2932</v>
      </c>
      <c r="B33" s="77" t="s">
        <v>259</v>
      </c>
      <c r="C33" s="64" t="s">
        <v>208</v>
      </c>
      <c r="D33" s="72"/>
      <c r="E33" s="5"/>
      <c r="F33" s="5"/>
      <c r="G33" s="5"/>
    </row>
    <row r="34" spans="1:7" ht="15.75" customHeight="1">
      <c r="A34" s="64" t="s">
        <v>2933</v>
      </c>
      <c r="B34" s="77" t="s">
        <v>296</v>
      </c>
      <c r="C34" s="64" t="s">
        <v>208</v>
      </c>
      <c r="D34" s="72"/>
      <c r="E34" s="51"/>
      <c r="F34" s="5"/>
      <c r="G34" s="5"/>
    </row>
    <row r="35" spans="1:7" ht="15.75" customHeight="1">
      <c r="A35" s="64" t="s">
        <v>2934</v>
      </c>
      <c r="B35" s="77" t="s">
        <v>295</v>
      </c>
      <c r="C35" s="64" t="s">
        <v>208</v>
      </c>
      <c r="D35" s="72"/>
      <c r="E35" s="5"/>
      <c r="F35" s="5"/>
      <c r="G35" s="5"/>
    </row>
    <row r="36" spans="1:7" ht="15.75" customHeight="1">
      <c r="A36" s="64" t="s">
        <v>2935</v>
      </c>
      <c r="B36" s="78" t="str">
        <f>HYPERLINK("https://bulbapedia.bulbagarden.net/wiki/Starmie_BREAK_(Evolutions_32)","StarmieBREAK")</f>
        <v>StarmieBREAK</v>
      </c>
      <c r="C36" s="64" t="s">
        <v>208</v>
      </c>
      <c r="D36" s="72"/>
      <c r="E36" s="5"/>
      <c r="F36" s="5"/>
      <c r="G36" s="5"/>
    </row>
    <row r="37" spans="1:7" ht="15.75" customHeight="1">
      <c r="A37" s="64" t="s">
        <v>2936</v>
      </c>
      <c r="B37" s="77" t="s">
        <v>268</v>
      </c>
      <c r="C37" s="64" t="s">
        <v>208</v>
      </c>
      <c r="D37" s="72"/>
      <c r="E37" s="5"/>
      <c r="F37" s="5"/>
      <c r="G37" s="5"/>
    </row>
    <row r="38" spans="1:7" ht="15.75" customHeight="1">
      <c r="A38" s="64" t="s">
        <v>2937</v>
      </c>
      <c r="B38" s="77" t="s">
        <v>245</v>
      </c>
      <c r="C38" s="64" t="s">
        <v>208</v>
      </c>
      <c r="D38" s="76"/>
      <c r="E38" s="5"/>
      <c r="F38" s="5"/>
      <c r="G38" s="5"/>
    </row>
    <row r="39" spans="1:7" ht="15.75" customHeight="1">
      <c r="A39" s="64" t="s">
        <v>2938</v>
      </c>
      <c r="B39" s="77" t="s">
        <v>191</v>
      </c>
      <c r="C39" s="64" t="s">
        <v>192</v>
      </c>
      <c r="D39" s="72"/>
      <c r="E39" s="5"/>
      <c r="F39" s="51"/>
      <c r="G39" s="5"/>
    </row>
    <row r="40" spans="1:7" ht="15.75" customHeight="1">
      <c r="A40" s="64" t="s">
        <v>2939</v>
      </c>
      <c r="B40" s="77" t="s">
        <v>251</v>
      </c>
      <c r="C40" s="64" t="s">
        <v>192</v>
      </c>
      <c r="D40" s="72"/>
      <c r="E40" s="5"/>
      <c r="F40" s="5"/>
      <c r="G40" s="5"/>
    </row>
    <row r="41" spans="1:7" ht="15.75" customHeight="1">
      <c r="A41" s="64" t="s">
        <v>2940</v>
      </c>
      <c r="B41" s="77" t="s">
        <v>285</v>
      </c>
      <c r="C41" s="64" t="s">
        <v>192</v>
      </c>
      <c r="D41" s="72"/>
      <c r="E41" s="5"/>
      <c r="F41" s="5"/>
      <c r="G41" s="5"/>
    </row>
    <row r="42" spans="1:7" ht="15.75" customHeight="1">
      <c r="A42" s="64" t="s">
        <v>2941</v>
      </c>
      <c r="B42" s="77" t="s">
        <v>247</v>
      </c>
      <c r="C42" s="64" t="s">
        <v>192</v>
      </c>
      <c r="D42" s="72"/>
      <c r="E42" s="51"/>
      <c r="F42" s="51"/>
      <c r="G42" s="5"/>
    </row>
    <row r="43" spans="1:7" ht="15.75" customHeight="1">
      <c r="A43" s="64" t="s">
        <v>2942</v>
      </c>
      <c r="B43" s="77" t="s">
        <v>298</v>
      </c>
      <c r="C43" s="64" t="s">
        <v>192</v>
      </c>
      <c r="D43" s="72"/>
      <c r="E43" s="5"/>
      <c r="F43" s="5"/>
      <c r="G43" s="5"/>
    </row>
    <row r="44" spans="1:7" ht="15.75" customHeight="1">
      <c r="A44" s="64" t="s">
        <v>2943</v>
      </c>
      <c r="B44" s="77" t="s">
        <v>256</v>
      </c>
      <c r="C44" s="64" t="s">
        <v>192</v>
      </c>
      <c r="D44" s="72"/>
      <c r="E44" s="5"/>
      <c r="F44" s="5"/>
      <c r="G44" s="5"/>
    </row>
    <row r="45" spans="1:7" ht="15.75" customHeight="1">
      <c r="A45" s="64" t="s">
        <v>2944</v>
      </c>
      <c r="B45" s="77" t="s">
        <v>193</v>
      </c>
      <c r="C45" s="64" t="s">
        <v>192</v>
      </c>
      <c r="D45" s="72"/>
      <c r="E45" s="5"/>
      <c r="F45" s="5"/>
      <c r="G45" s="5"/>
    </row>
    <row r="46" spans="1:7" ht="15.75" customHeight="1">
      <c r="A46" s="64" t="s">
        <v>2945</v>
      </c>
      <c r="B46" s="77" t="s">
        <v>211</v>
      </c>
      <c r="C46" s="64" t="s">
        <v>192</v>
      </c>
      <c r="D46" s="72"/>
      <c r="E46" s="5"/>
      <c r="F46" s="51"/>
      <c r="G46" s="5"/>
    </row>
    <row r="47" spans="1:7" ht="15.75" customHeight="1">
      <c r="A47" s="64" t="s">
        <v>2946</v>
      </c>
      <c r="B47" s="77" t="s">
        <v>287</v>
      </c>
      <c r="C47" s="64" t="s">
        <v>195</v>
      </c>
      <c r="D47" s="72"/>
      <c r="E47" s="5"/>
      <c r="F47" s="5"/>
      <c r="G47" s="5"/>
    </row>
    <row r="48" spans="1:7" ht="15.75" customHeight="1">
      <c r="A48" s="64" t="s">
        <v>2947</v>
      </c>
      <c r="B48" s="77" t="s">
        <v>269</v>
      </c>
      <c r="C48" s="64" t="s">
        <v>195</v>
      </c>
      <c r="D48" s="72"/>
      <c r="E48" s="51"/>
      <c r="F48" s="5"/>
      <c r="G48" s="5"/>
    </row>
    <row r="49" spans="1:7" ht="15.75" customHeight="1">
      <c r="A49" s="64" t="s">
        <v>2948</v>
      </c>
      <c r="B49" s="77" t="s">
        <v>248</v>
      </c>
      <c r="C49" s="64" t="s">
        <v>195</v>
      </c>
      <c r="D49" s="76"/>
      <c r="E49" s="5"/>
      <c r="F49" s="5"/>
      <c r="G49" s="5"/>
    </row>
    <row r="50" spans="1:7" ht="15.75" customHeight="1">
      <c r="A50" s="64" t="s">
        <v>2949</v>
      </c>
      <c r="B50" s="78" t="str">
        <f>HYPERLINK("https://bulbapedia.bulbagarden.net/wiki/Nidoking_BREAK_(Evolutions_46)","NidokingBREAK")</f>
        <v>NidokingBREAK</v>
      </c>
      <c r="C50" s="64" t="s">
        <v>195</v>
      </c>
      <c r="D50" s="76"/>
      <c r="E50" s="5"/>
      <c r="F50" s="5"/>
      <c r="G50" s="5"/>
    </row>
    <row r="51" spans="1:7" ht="15.75" customHeight="1">
      <c r="A51" s="64" t="s">
        <v>2950</v>
      </c>
      <c r="B51" s="77" t="s">
        <v>282</v>
      </c>
      <c r="C51" s="64" t="s">
        <v>195</v>
      </c>
      <c r="D51" s="72"/>
      <c r="E51" s="5"/>
      <c r="F51" s="5"/>
      <c r="G51" s="5"/>
    </row>
    <row r="52" spans="1:7" ht="15.75" customHeight="1">
      <c r="A52" s="64" t="s">
        <v>2951</v>
      </c>
      <c r="B52" s="77" t="s">
        <v>263</v>
      </c>
      <c r="C52" s="64" t="s">
        <v>195</v>
      </c>
      <c r="D52" s="72"/>
      <c r="E52" s="5"/>
      <c r="F52" s="5"/>
      <c r="G52" s="5"/>
    </row>
    <row r="53" spans="1:7" ht="13">
      <c r="A53" s="64" t="s">
        <v>2952</v>
      </c>
      <c r="B53" s="77" t="s">
        <v>281</v>
      </c>
      <c r="C53" s="64" t="s">
        <v>195</v>
      </c>
      <c r="D53" s="72"/>
      <c r="E53" s="5"/>
      <c r="F53" s="5"/>
      <c r="G53" s="5"/>
    </row>
    <row r="54" spans="1:7" ht="13">
      <c r="A54" s="64" t="s">
        <v>2953</v>
      </c>
      <c r="B54" s="77" t="s">
        <v>283</v>
      </c>
      <c r="C54" s="64" t="s">
        <v>195</v>
      </c>
      <c r="D54" s="72"/>
      <c r="E54" s="5"/>
      <c r="F54" s="5"/>
      <c r="G54" s="5"/>
    </row>
    <row r="55" spans="1:7" ht="13">
      <c r="A55" s="64" t="s">
        <v>2954</v>
      </c>
      <c r="B55" s="77" t="s">
        <v>194</v>
      </c>
      <c r="C55" s="64" t="s">
        <v>195</v>
      </c>
      <c r="D55" s="76"/>
      <c r="E55" s="5"/>
      <c r="F55" s="5"/>
      <c r="G55" s="5"/>
    </row>
    <row r="56" spans="1:7" ht="13">
      <c r="A56" s="64" t="s">
        <v>2955</v>
      </c>
      <c r="B56" s="78" t="str">
        <f>HYPERLINK("https://bulbapedia.bulbagarden.net/wiki/Mewtwo-EX_(Evolutions_52)","MewtwoEX")</f>
        <v>MewtwoEX</v>
      </c>
      <c r="C56" s="64" t="s">
        <v>195</v>
      </c>
      <c r="D56" s="76"/>
      <c r="E56" s="5"/>
      <c r="F56" s="5"/>
      <c r="G56" s="5"/>
    </row>
    <row r="57" spans="1:7" ht="13">
      <c r="A57" s="64" t="s">
        <v>2956</v>
      </c>
      <c r="B57" s="77" t="s">
        <v>201</v>
      </c>
      <c r="C57" s="64" t="s">
        <v>195</v>
      </c>
      <c r="D57" s="76"/>
      <c r="E57" s="5"/>
      <c r="F57" s="5"/>
      <c r="G57" s="5"/>
    </row>
    <row r="58" spans="1:7" ht="13">
      <c r="A58" s="64" t="s">
        <v>2957</v>
      </c>
      <c r="B58" s="77" t="s">
        <v>293</v>
      </c>
      <c r="C58" s="64" t="s">
        <v>225</v>
      </c>
      <c r="D58" s="72"/>
      <c r="E58" s="5"/>
      <c r="F58" s="5"/>
      <c r="G58" s="5"/>
    </row>
    <row r="59" spans="1:7" ht="13">
      <c r="A59" s="64" t="s">
        <v>2958</v>
      </c>
      <c r="B59" s="77" t="s">
        <v>279</v>
      </c>
      <c r="C59" s="64" t="s">
        <v>225</v>
      </c>
      <c r="D59" s="72"/>
      <c r="E59" s="5"/>
      <c r="F59" s="5"/>
      <c r="G59" s="5"/>
    </row>
    <row r="60" spans="1:7" ht="13">
      <c r="A60" s="64" t="s">
        <v>2959</v>
      </c>
      <c r="B60" s="77" t="s">
        <v>255</v>
      </c>
      <c r="C60" s="64" t="s">
        <v>225</v>
      </c>
      <c r="D60" s="72"/>
      <c r="E60" s="5"/>
      <c r="F60" s="5"/>
      <c r="G60" s="5"/>
    </row>
    <row r="61" spans="1:7" ht="13">
      <c r="A61" s="64" t="s">
        <v>2960</v>
      </c>
      <c r="B61" s="77" t="s">
        <v>284</v>
      </c>
      <c r="C61" s="64" t="s">
        <v>225</v>
      </c>
      <c r="D61" s="72"/>
      <c r="E61" s="5"/>
      <c r="F61" s="5"/>
      <c r="G61" s="5"/>
    </row>
    <row r="62" spans="1:7" ht="13">
      <c r="A62" s="64" t="s">
        <v>2961</v>
      </c>
      <c r="B62" s="77" t="s">
        <v>267</v>
      </c>
      <c r="C62" s="64" t="s">
        <v>225</v>
      </c>
      <c r="D62" s="72"/>
      <c r="E62" s="5"/>
      <c r="F62" s="5"/>
      <c r="G62" s="5"/>
    </row>
    <row r="63" spans="1:7" ht="13">
      <c r="A63" s="64" t="s">
        <v>2962</v>
      </c>
      <c r="B63" s="77" t="s">
        <v>230</v>
      </c>
      <c r="C63" s="64" t="s">
        <v>225</v>
      </c>
      <c r="D63" s="76"/>
      <c r="E63" s="51"/>
      <c r="F63" s="5"/>
      <c r="G63" s="5"/>
    </row>
    <row r="64" spans="1:7" ht="13">
      <c r="A64" s="64" t="s">
        <v>2963</v>
      </c>
      <c r="B64" s="78" t="str">
        <f>HYPERLINK("https://bulbapedia.bulbagarden.net/wiki/Machamp_BREAK_(Evolutions_60)","MachampBREAK")</f>
        <v>MachampBREAK</v>
      </c>
      <c r="C64" s="64" t="s">
        <v>225</v>
      </c>
      <c r="D64" s="76"/>
      <c r="E64" s="5"/>
      <c r="F64" s="5"/>
      <c r="G64" s="5"/>
    </row>
    <row r="65" spans="1:7" ht="13">
      <c r="A65" s="64" t="s">
        <v>2964</v>
      </c>
      <c r="B65" s="77" t="s">
        <v>288</v>
      </c>
      <c r="C65" s="64" t="s">
        <v>225</v>
      </c>
      <c r="D65" s="72"/>
      <c r="E65" s="5"/>
      <c r="F65" s="5"/>
      <c r="G65" s="5"/>
    </row>
    <row r="66" spans="1:7" ht="13">
      <c r="A66" s="64" t="s">
        <v>2965</v>
      </c>
      <c r="B66" s="77" t="s">
        <v>246</v>
      </c>
      <c r="C66" s="64" t="s">
        <v>225</v>
      </c>
      <c r="D66" s="76"/>
      <c r="E66" s="5"/>
      <c r="F66" s="5"/>
      <c r="G66" s="5"/>
    </row>
    <row r="67" spans="1:7" ht="13">
      <c r="A67" s="64" t="s">
        <v>2966</v>
      </c>
      <c r="B67" s="77" t="s">
        <v>244</v>
      </c>
      <c r="C67" s="64" t="s">
        <v>4743</v>
      </c>
      <c r="D67" s="76"/>
      <c r="E67" s="5"/>
      <c r="F67" s="5"/>
      <c r="G67" s="5"/>
    </row>
    <row r="68" spans="1:7" ht="13">
      <c r="A68" s="64" t="s">
        <v>2967</v>
      </c>
      <c r="B68" s="78" t="str">
        <f>HYPERLINK("https://bulbapedia.bulbagarden.net/wiki/Pidgeot-EX_(Evolutions_64)","PidgeotEX")</f>
        <v>PidgeotEX</v>
      </c>
      <c r="C68" s="64" t="s">
        <v>197</v>
      </c>
      <c r="D68" s="76"/>
      <c r="E68" s="5"/>
      <c r="F68" s="5"/>
      <c r="G68" s="5"/>
    </row>
    <row r="69" spans="1:7" ht="13">
      <c r="A69" s="64" t="s">
        <v>2968</v>
      </c>
      <c r="B69" s="79" t="str">
        <f>HYPERLINK("https://bulbapedia.bulbagarden.net/wiki/M_Pidgeot-EX_(Evolutions_65)","MPidgeotEX")</f>
        <v>MPidgeotEX</v>
      </c>
      <c r="C69" s="64" t="s">
        <v>197</v>
      </c>
      <c r="D69" s="76"/>
      <c r="E69" s="5"/>
      <c r="F69" s="5"/>
      <c r="G69" s="5"/>
    </row>
    <row r="70" spans="1:7" ht="13">
      <c r="A70" s="64" t="s">
        <v>2969</v>
      </c>
      <c r="B70" s="77" t="s">
        <v>292</v>
      </c>
      <c r="C70" s="64" t="s">
        <v>197</v>
      </c>
      <c r="D70" s="72"/>
      <c r="E70" s="51"/>
      <c r="F70" s="5"/>
      <c r="G70" s="5"/>
    </row>
    <row r="71" spans="1:7" ht="13">
      <c r="A71" s="64" t="s">
        <v>2970</v>
      </c>
      <c r="B71" s="77" t="s">
        <v>272</v>
      </c>
      <c r="C71" s="64" t="s">
        <v>197</v>
      </c>
      <c r="D71" s="72"/>
      <c r="E71" s="5"/>
      <c r="F71" s="5"/>
      <c r="G71" s="5"/>
    </row>
    <row r="72" spans="1:7" ht="13">
      <c r="A72" s="64" t="s">
        <v>2971</v>
      </c>
      <c r="B72" s="77" t="s">
        <v>261</v>
      </c>
      <c r="C72" s="64" t="s">
        <v>197</v>
      </c>
      <c r="D72" s="72"/>
      <c r="E72" s="5"/>
      <c r="F72" s="5"/>
      <c r="G72" s="5"/>
    </row>
    <row r="73" spans="1:7" ht="13">
      <c r="A73" s="64" t="s">
        <v>2972</v>
      </c>
      <c r="B73" s="77" t="s">
        <v>280</v>
      </c>
      <c r="C73" s="64" t="s">
        <v>197</v>
      </c>
      <c r="D73" s="72"/>
      <c r="E73" s="5"/>
      <c r="F73" s="5"/>
      <c r="G73" s="5"/>
    </row>
    <row r="74" spans="1:7" ht="13">
      <c r="A74" s="64" t="s">
        <v>2973</v>
      </c>
      <c r="B74" s="77" t="s">
        <v>241</v>
      </c>
      <c r="C74" s="64" t="s">
        <v>197</v>
      </c>
      <c r="D74" s="76"/>
      <c r="E74" s="5"/>
      <c r="F74" s="5"/>
      <c r="G74" s="5"/>
    </row>
    <row r="75" spans="1:7" ht="13">
      <c r="A75" s="64" t="s">
        <v>2974</v>
      </c>
      <c r="B75" s="77" t="s">
        <v>271</v>
      </c>
      <c r="C75" s="64" t="s">
        <v>197</v>
      </c>
      <c r="D75" s="72"/>
      <c r="E75" s="5"/>
      <c r="F75" s="5"/>
      <c r="G75" s="5"/>
    </row>
    <row r="76" spans="1:7" ht="13">
      <c r="A76" s="64" t="s">
        <v>2975</v>
      </c>
      <c r="B76" s="78" t="str">
        <f>HYPERLINK("https://bulbapedia.bulbagarden.net/wiki/Dragonite-EX_(Evolutions_72)","DragoniteEX")</f>
        <v>DragoniteEX</v>
      </c>
      <c r="C76" s="64" t="s">
        <v>197</v>
      </c>
      <c r="D76" s="76"/>
      <c r="E76" s="5"/>
      <c r="F76" s="5"/>
      <c r="G76" s="5"/>
    </row>
    <row r="77" spans="1:7" ht="13">
      <c r="A77" s="64" t="s">
        <v>2977</v>
      </c>
      <c r="B77" s="77" t="s">
        <v>6168</v>
      </c>
      <c r="C77" s="64" t="s">
        <v>4114</v>
      </c>
      <c r="D77" s="72"/>
      <c r="E77" s="5"/>
      <c r="F77" s="5"/>
      <c r="G77" s="5"/>
    </row>
    <row r="78" spans="1:7" ht="13">
      <c r="A78" s="64" t="s">
        <v>2978</v>
      </c>
      <c r="B78" s="77" t="s">
        <v>6169</v>
      </c>
      <c r="C78" s="64" t="s">
        <v>1013</v>
      </c>
      <c r="D78" s="76"/>
      <c r="E78" s="5"/>
      <c r="F78" s="5"/>
      <c r="G78" s="5"/>
    </row>
    <row r="79" spans="1:7" ht="13">
      <c r="A79" s="64" t="s">
        <v>2979</v>
      </c>
      <c r="B79" s="77" t="s">
        <v>6170</v>
      </c>
      <c r="C79" s="64" t="s">
        <v>4114</v>
      </c>
      <c r="D79" s="72"/>
      <c r="E79" s="51"/>
      <c r="F79" s="5"/>
      <c r="G79" s="5"/>
    </row>
    <row r="80" spans="1:7" ht="13">
      <c r="A80" s="64" t="s">
        <v>2980</v>
      </c>
      <c r="B80" s="77" t="s">
        <v>302</v>
      </c>
      <c r="C80" s="64" t="s">
        <v>4114</v>
      </c>
      <c r="D80" s="72"/>
      <c r="E80" s="5"/>
      <c r="F80" s="5"/>
      <c r="G80" s="5"/>
    </row>
    <row r="81" spans="1:7" ht="13">
      <c r="A81" s="64" t="s">
        <v>2982</v>
      </c>
      <c r="B81" s="77" t="s">
        <v>307</v>
      </c>
      <c r="C81" s="64" t="s">
        <v>4114</v>
      </c>
      <c r="D81" s="72"/>
      <c r="E81" s="5"/>
      <c r="F81" s="5"/>
      <c r="G81" s="5"/>
    </row>
    <row r="82" spans="1:7" ht="13">
      <c r="A82" s="64" t="s">
        <v>2983</v>
      </c>
      <c r="B82" s="77" t="s">
        <v>308</v>
      </c>
      <c r="C82" s="64" t="s">
        <v>4114</v>
      </c>
      <c r="D82" s="72"/>
      <c r="E82" s="51"/>
      <c r="F82" s="5"/>
      <c r="G82" s="5"/>
    </row>
    <row r="83" spans="1:7" ht="13">
      <c r="A83" s="64" t="s">
        <v>2984</v>
      </c>
      <c r="B83" s="77" t="s">
        <v>309</v>
      </c>
      <c r="C83" s="64" t="s">
        <v>4114</v>
      </c>
      <c r="D83" s="76"/>
      <c r="E83" s="5"/>
      <c r="F83" s="5"/>
      <c r="G83" s="5"/>
    </row>
    <row r="84" spans="1:7" ht="13">
      <c r="A84" s="64" t="s">
        <v>2986</v>
      </c>
      <c r="B84" s="77" t="s">
        <v>5874</v>
      </c>
      <c r="C84" s="64" t="s">
        <v>1013</v>
      </c>
      <c r="D84" s="72"/>
      <c r="E84" s="5"/>
      <c r="F84" s="5"/>
      <c r="G84" s="5"/>
    </row>
    <row r="85" spans="1:7" ht="13">
      <c r="A85" s="64" t="s">
        <v>2987</v>
      </c>
      <c r="B85" s="77" t="s">
        <v>6171</v>
      </c>
      <c r="C85" s="64" t="s">
        <v>4114</v>
      </c>
      <c r="D85" s="72"/>
      <c r="E85" s="5"/>
      <c r="F85" s="5"/>
      <c r="G85" s="5"/>
    </row>
    <row r="86" spans="1:7" ht="13">
      <c r="A86" s="64" t="s">
        <v>2988</v>
      </c>
      <c r="B86" s="77" t="s">
        <v>311</v>
      </c>
      <c r="C86" s="64" t="s">
        <v>4114</v>
      </c>
      <c r="D86" s="72"/>
      <c r="E86" s="5"/>
      <c r="F86" s="5"/>
      <c r="G86" s="5"/>
    </row>
    <row r="87" spans="1:7" ht="13">
      <c r="A87" s="64" t="s">
        <v>2990</v>
      </c>
      <c r="B87" s="77" t="s">
        <v>314</v>
      </c>
      <c r="C87" s="64" t="s">
        <v>4114</v>
      </c>
      <c r="D87" s="72"/>
      <c r="E87" s="5"/>
      <c r="F87" s="5"/>
      <c r="G87" s="5"/>
    </row>
    <row r="88" spans="1:7" ht="13">
      <c r="A88" s="64" t="s">
        <v>2991</v>
      </c>
      <c r="B88" s="77" t="s">
        <v>6172</v>
      </c>
      <c r="C88" s="64" t="s">
        <v>1013</v>
      </c>
      <c r="D88" s="72"/>
      <c r="E88" s="5"/>
      <c r="F88" s="5"/>
      <c r="G88" s="5"/>
    </row>
    <row r="89" spans="1:7" ht="13">
      <c r="A89" s="64" t="s">
        <v>2992</v>
      </c>
      <c r="B89" s="77" t="s">
        <v>312</v>
      </c>
      <c r="C89" s="64" t="s">
        <v>4114</v>
      </c>
      <c r="D89" s="72"/>
      <c r="E89" s="51"/>
      <c r="F89" s="5"/>
      <c r="G89" s="5"/>
    </row>
    <row r="90" spans="1:7" ht="13">
      <c r="A90" s="64" t="s">
        <v>2993</v>
      </c>
      <c r="B90" s="77" t="s">
        <v>6173</v>
      </c>
      <c r="C90" s="64" t="s">
        <v>4114</v>
      </c>
      <c r="D90" s="72"/>
      <c r="E90" s="51"/>
      <c r="F90" s="5"/>
      <c r="G90" s="5"/>
    </row>
    <row r="91" spans="1:7" ht="13">
      <c r="A91" s="64" t="s">
        <v>2994</v>
      </c>
      <c r="B91" s="77" t="s">
        <v>313</v>
      </c>
      <c r="C91" s="64" t="s">
        <v>4114</v>
      </c>
      <c r="D91" s="76"/>
      <c r="E91" s="51"/>
      <c r="F91" s="5"/>
      <c r="G91" s="5"/>
    </row>
    <row r="92" spans="1:7" ht="13">
      <c r="A92" s="64" t="s">
        <v>2995</v>
      </c>
      <c r="B92" s="77" t="s">
        <v>315</v>
      </c>
      <c r="C92" s="64" t="s">
        <v>4114</v>
      </c>
      <c r="D92" s="72"/>
      <c r="E92" s="5"/>
      <c r="F92" s="51"/>
      <c r="G92" s="5"/>
    </row>
    <row r="93" spans="1:7" ht="13">
      <c r="A93" s="64" t="s">
        <v>2996</v>
      </c>
      <c r="B93" s="77" t="s">
        <v>6174</v>
      </c>
      <c r="C93" s="64" t="s">
        <v>4114</v>
      </c>
      <c r="D93" s="72"/>
      <c r="E93" s="5"/>
      <c r="F93" s="5"/>
      <c r="G93" s="5"/>
    </row>
    <row r="94" spans="1:7" ht="13">
      <c r="A94" s="64" t="s">
        <v>2997</v>
      </c>
      <c r="B94" s="77" t="s">
        <v>316</v>
      </c>
      <c r="C94" s="64" t="s">
        <v>317</v>
      </c>
      <c r="D94" s="72"/>
      <c r="E94" s="51"/>
      <c r="F94" s="51"/>
      <c r="G94" s="5"/>
    </row>
    <row r="95" spans="1:7" ht="13">
      <c r="A95" s="64" t="s">
        <v>2998</v>
      </c>
      <c r="B95" s="77" t="s">
        <v>5062</v>
      </c>
      <c r="C95" s="64" t="s">
        <v>317</v>
      </c>
      <c r="D95" s="76"/>
      <c r="E95" s="5"/>
      <c r="F95" s="5"/>
      <c r="G95" s="5"/>
    </row>
    <row r="96" spans="1:7" ht="13">
      <c r="A96" s="64" t="s">
        <v>2999</v>
      </c>
      <c r="B96" s="77" t="s">
        <v>5063</v>
      </c>
      <c r="C96" s="64" t="s">
        <v>317</v>
      </c>
      <c r="D96" s="66"/>
      <c r="E96" s="5"/>
      <c r="F96" s="5"/>
      <c r="G96" s="5"/>
    </row>
    <row r="97" spans="1:7" ht="13">
      <c r="A97" s="64" t="s">
        <v>3001</v>
      </c>
      <c r="B97" s="77" t="s">
        <v>5064</v>
      </c>
      <c r="C97" s="64" t="s">
        <v>317</v>
      </c>
      <c r="D97" s="76"/>
      <c r="E97" s="51"/>
      <c r="F97" s="5"/>
      <c r="G97" s="5"/>
    </row>
    <row r="98" spans="1:7" ht="13">
      <c r="A98" s="64" t="s">
        <v>3003</v>
      </c>
      <c r="B98" s="77" t="s">
        <v>5065</v>
      </c>
      <c r="C98" s="64" t="s">
        <v>317</v>
      </c>
      <c r="D98" s="76"/>
      <c r="E98" s="5"/>
      <c r="F98" s="5"/>
      <c r="G98" s="5"/>
    </row>
    <row r="99" spans="1:7" ht="13">
      <c r="A99" s="64" t="s">
        <v>3004</v>
      </c>
      <c r="B99" s="77" t="s">
        <v>5066</v>
      </c>
      <c r="C99" s="64" t="s">
        <v>317</v>
      </c>
      <c r="D99" s="76"/>
      <c r="E99" s="5"/>
      <c r="F99" s="5"/>
      <c r="G99" s="5"/>
    </row>
    <row r="100" spans="1:7" ht="13">
      <c r="A100" s="64" t="s">
        <v>3005</v>
      </c>
      <c r="B100" s="77" t="s">
        <v>5067</v>
      </c>
      <c r="C100" s="64" t="s">
        <v>317</v>
      </c>
      <c r="D100" s="76"/>
      <c r="E100" s="5"/>
      <c r="F100" s="5"/>
      <c r="G100" s="5"/>
    </row>
    <row r="101" spans="1:7" ht="13">
      <c r="A101" s="64" t="s">
        <v>3006</v>
      </c>
      <c r="B101" s="77" t="s">
        <v>933</v>
      </c>
      <c r="C101" s="64" t="s">
        <v>317</v>
      </c>
      <c r="D101" s="76"/>
      <c r="E101" s="5"/>
      <c r="F101" s="5"/>
      <c r="G101" s="5"/>
    </row>
    <row r="102" spans="1:7" ht="13">
      <c r="A102" s="64" t="s">
        <v>3007</v>
      </c>
      <c r="B102" s="77" t="s">
        <v>798</v>
      </c>
      <c r="C102" s="64" t="s">
        <v>317</v>
      </c>
      <c r="D102" s="76"/>
      <c r="E102" s="5"/>
      <c r="F102" s="5"/>
      <c r="G102" s="5"/>
    </row>
    <row r="103" spans="1:7" ht="13">
      <c r="A103" s="64" t="s">
        <v>3009</v>
      </c>
      <c r="B103" s="77" t="s">
        <v>5068</v>
      </c>
      <c r="C103" s="64" t="s">
        <v>317</v>
      </c>
      <c r="D103" s="76"/>
      <c r="E103" s="5"/>
      <c r="F103" s="5"/>
      <c r="G103" s="5"/>
    </row>
    <row r="104" spans="1:7" ht="13">
      <c r="A104" s="64" t="s">
        <v>3010</v>
      </c>
      <c r="B104" s="79" t="str">
        <f>HYPERLINK("https://bulbapedia.bulbagarden.net/wiki/M_Venusaur-EX_(Evolutions_100)","MVenusaurEX")</f>
        <v>MVenusaurEX</v>
      </c>
      <c r="C104" s="64" t="s">
        <v>205</v>
      </c>
      <c r="D104" s="64"/>
      <c r="E104" s="5"/>
      <c r="F104" s="5"/>
      <c r="G104" s="5"/>
    </row>
    <row r="105" spans="1:7" ht="13">
      <c r="A105" s="64" t="s">
        <v>3011</v>
      </c>
      <c r="B105" s="79" t="str">
        <f>HYPERLINK("https://bulbapedia.bulbagarden.net/wiki/M_Charizard-EX_(Evolutions_101)","MCharizardEX")</f>
        <v>MCharizardEX</v>
      </c>
      <c r="C105" s="64" t="s">
        <v>199</v>
      </c>
      <c r="D105" s="72"/>
      <c r="E105" s="5"/>
      <c r="F105" s="5"/>
      <c r="G105" s="5"/>
    </row>
    <row r="106" spans="1:7" ht="13">
      <c r="A106" s="64" t="s">
        <v>3012</v>
      </c>
      <c r="B106" s="79" t="str">
        <f>HYPERLINK("https://bulbapedia.bulbagarden.net/wiki/M_Blastoise-EX_(Evolutions_102)","MBlastoiseEX")</f>
        <v>MBlastoiseEX</v>
      </c>
      <c r="C106" s="64" t="s">
        <v>208</v>
      </c>
      <c r="D106" s="76"/>
      <c r="E106" s="5"/>
      <c r="F106" s="5"/>
      <c r="G106" s="5"/>
    </row>
    <row r="107" spans="1:7" ht="13">
      <c r="A107" s="64" t="s">
        <v>4174</v>
      </c>
      <c r="B107" s="78" t="str">
        <f>HYPERLINK("https://bulbapedia.bulbagarden.net/wiki/Mewtwo-EX_(Evolutions_103)","MewtwoEX")</f>
        <v>MewtwoEX</v>
      </c>
      <c r="C107" s="64" t="s">
        <v>195</v>
      </c>
      <c r="D107" s="66"/>
      <c r="E107" s="5"/>
      <c r="F107" s="5"/>
      <c r="G107" s="5"/>
    </row>
    <row r="108" spans="1:7" ht="13">
      <c r="A108" s="64" t="s">
        <v>4175</v>
      </c>
      <c r="B108" s="78" t="str">
        <f>HYPERLINK("https://bulbapedia.bulbagarden.net/wiki/Pidgeot-EX_(Evolutions_104)","PidgeotEX")</f>
        <v>PidgeotEX</v>
      </c>
      <c r="C108" s="64" t="s">
        <v>197</v>
      </c>
      <c r="D108" s="66"/>
      <c r="E108" s="5"/>
      <c r="F108" s="5"/>
      <c r="G108" s="5"/>
    </row>
    <row r="109" spans="1:7" ht="13">
      <c r="A109" s="64" t="s">
        <v>4176</v>
      </c>
      <c r="B109" s="79" t="str">
        <f>HYPERLINK("https://bulbapedia.bulbagarden.net/wiki/M_Pidgeot-EX_(Evolutions_105)","MPidgeotEX")</f>
        <v>MPidgeotEX</v>
      </c>
      <c r="C109" s="64" t="s">
        <v>197</v>
      </c>
      <c r="D109" s="76"/>
      <c r="E109" s="5"/>
      <c r="F109" s="5"/>
      <c r="G109" s="5"/>
    </row>
    <row r="110" spans="1:7" ht="13">
      <c r="A110" s="64" t="s">
        <v>4177</v>
      </c>
      <c r="B110" s="78" t="str">
        <f>HYPERLINK("https://bulbapedia.bulbagarden.net/wiki/Dragonite-EX_(Evolutions_106)","DragoniteEX")</f>
        <v>DragoniteEX</v>
      </c>
      <c r="C110" s="64" t="s">
        <v>197</v>
      </c>
      <c r="D110" s="72"/>
      <c r="E110" s="5"/>
      <c r="F110" s="5"/>
      <c r="G110" s="5"/>
    </row>
    <row r="111" spans="1:7" ht="13">
      <c r="A111" s="64" t="s">
        <v>4178</v>
      </c>
      <c r="B111" s="77" t="s">
        <v>6169</v>
      </c>
      <c r="C111" s="64" t="s">
        <v>1013</v>
      </c>
      <c r="D111" s="76"/>
      <c r="E111" s="5"/>
      <c r="F111" s="5"/>
      <c r="G111" s="5"/>
    </row>
    <row r="112" spans="1:7" ht="13">
      <c r="A112" s="64" t="s">
        <v>4179</v>
      </c>
      <c r="B112" s="77" t="s">
        <v>5874</v>
      </c>
      <c r="C112" s="64" t="s">
        <v>1013</v>
      </c>
      <c r="D112" s="76"/>
      <c r="E112" s="5"/>
      <c r="F112" s="5"/>
      <c r="G112" s="5"/>
    </row>
    <row r="113" spans="1:7" ht="13">
      <c r="A113" s="64" t="s">
        <v>4180</v>
      </c>
      <c r="B113" s="77" t="s">
        <v>333</v>
      </c>
      <c r="C113" s="64" t="s">
        <v>205</v>
      </c>
      <c r="D113" s="76"/>
      <c r="E113" s="5"/>
      <c r="F113" s="5"/>
      <c r="G113" s="5"/>
    </row>
    <row r="114" spans="1:7" ht="13">
      <c r="A114" s="64" t="s">
        <v>4181</v>
      </c>
      <c r="B114" s="77" t="s">
        <v>213</v>
      </c>
      <c r="C114" s="64" t="s">
        <v>192</v>
      </c>
      <c r="D114" s="72"/>
      <c r="E114" s="5"/>
      <c r="F114" s="5"/>
      <c r="G114" s="5"/>
    </row>
    <row r="115" spans="1:7" ht="13">
      <c r="A115" s="64" t="s">
        <v>4182</v>
      </c>
      <c r="B115" s="77" t="s">
        <v>214</v>
      </c>
      <c r="C115" s="64" t="s">
        <v>192</v>
      </c>
      <c r="D115" s="72"/>
      <c r="E115" s="5"/>
      <c r="F115" s="5"/>
      <c r="G115" s="5"/>
    </row>
    <row r="116" spans="1:7" ht="13">
      <c r="A116" s="64" t="s">
        <v>6175</v>
      </c>
      <c r="B116" s="77" t="s">
        <v>6176</v>
      </c>
      <c r="C116" s="64" t="s">
        <v>197</v>
      </c>
      <c r="D116" s="76"/>
      <c r="E116" s="5"/>
      <c r="F116" s="5"/>
      <c r="G116" s="5"/>
    </row>
    <row r="117" spans="1:7" ht="13">
      <c r="A117" s="64" t="s">
        <v>6177</v>
      </c>
      <c r="B117" s="77" t="s">
        <v>523</v>
      </c>
      <c r="C117" s="64" t="s">
        <v>1013</v>
      </c>
      <c r="D117" s="72"/>
      <c r="E117" s="5"/>
      <c r="F117" s="5"/>
      <c r="G117" s="5"/>
    </row>
    <row r="119" spans="1:7" ht="13">
      <c r="A119" s="64"/>
      <c r="B119" s="91"/>
      <c r="C119" s="64"/>
      <c r="D119" s="94"/>
      <c r="E119" s="5"/>
      <c r="F119" s="5"/>
      <c r="G119" s="5"/>
    </row>
    <row r="120" spans="1:7" ht="13">
      <c r="A120" s="64"/>
      <c r="B120" s="93"/>
      <c r="C120" s="64"/>
      <c r="D120" s="92"/>
      <c r="E120" s="5"/>
      <c r="F120" s="5"/>
      <c r="G120" s="5"/>
    </row>
    <row r="121" spans="1:7" ht="13">
      <c r="A121" s="64"/>
      <c r="B121" s="93"/>
      <c r="C121" s="64"/>
      <c r="D121" s="64"/>
      <c r="E121" s="5"/>
      <c r="F121" s="5"/>
      <c r="G121" s="5"/>
    </row>
    <row r="122" spans="1:7" ht="13">
      <c r="A122" s="64"/>
      <c r="B122" s="93"/>
      <c r="C122" s="64"/>
      <c r="D122" s="64"/>
      <c r="E122" s="5"/>
      <c r="F122" s="5"/>
      <c r="G122" s="5"/>
    </row>
    <row r="123" spans="1:7" ht="13">
      <c r="A123" s="64"/>
      <c r="B123" s="93"/>
      <c r="C123" s="64"/>
      <c r="D123" s="64"/>
      <c r="E123" s="5"/>
      <c r="F123" s="5"/>
      <c r="G123" s="5"/>
    </row>
    <row r="124" spans="1:7" ht="13">
      <c r="A124" s="64"/>
      <c r="B124" s="91"/>
      <c r="C124" s="64"/>
      <c r="D124" s="92"/>
      <c r="E124" s="5"/>
      <c r="F124" s="5"/>
      <c r="G124" s="5"/>
    </row>
    <row r="125" spans="1:7" ht="13">
      <c r="A125" s="64"/>
      <c r="B125" s="91"/>
      <c r="C125" s="64"/>
      <c r="D125" s="64"/>
      <c r="E125" s="5"/>
      <c r="F125" s="5"/>
      <c r="G125" s="5"/>
    </row>
    <row r="126" spans="1:7" ht="13">
      <c r="A126" s="64"/>
      <c r="B126" s="93"/>
      <c r="C126" s="64"/>
      <c r="D126" s="92"/>
      <c r="E126" s="5"/>
      <c r="F126" s="5"/>
      <c r="G126" s="5"/>
    </row>
    <row r="127" spans="1:7" ht="13">
      <c r="A127" s="64"/>
      <c r="B127" s="93"/>
      <c r="C127" s="64"/>
      <c r="D127" s="92"/>
      <c r="E127" s="5"/>
      <c r="F127" s="5"/>
      <c r="G127" s="5"/>
    </row>
    <row r="128" spans="1:7" ht="13">
      <c r="A128" s="64"/>
      <c r="B128" s="91"/>
      <c r="C128" s="64"/>
      <c r="D128" s="92"/>
      <c r="E128" s="5"/>
      <c r="F128" s="5"/>
      <c r="G128" s="5"/>
    </row>
    <row r="129" spans="1:7" ht="13">
      <c r="A129" s="64"/>
      <c r="B129" s="91"/>
      <c r="C129" s="64"/>
      <c r="D129" s="64"/>
      <c r="E129" s="5"/>
      <c r="F129" s="5"/>
      <c r="G129" s="5"/>
    </row>
    <row r="130" spans="1:7" ht="13">
      <c r="A130" s="64"/>
      <c r="B130" s="90"/>
      <c r="C130" s="76"/>
      <c r="D130" s="47"/>
      <c r="E130" s="5"/>
      <c r="F130" s="5"/>
      <c r="G130" s="5"/>
    </row>
    <row r="131" spans="1:7" ht="13">
      <c r="A131" s="64"/>
      <c r="B131" s="90"/>
      <c r="C131" s="76"/>
      <c r="D131" s="47"/>
      <c r="E131" s="5"/>
      <c r="F131" s="5"/>
      <c r="G131" s="5"/>
    </row>
    <row r="132" spans="1:7" ht="13">
      <c r="A132" s="64"/>
      <c r="B132" s="91"/>
      <c r="C132" s="64"/>
      <c r="D132" s="92"/>
      <c r="E132" s="5"/>
      <c r="F132" s="5"/>
      <c r="G132" s="5"/>
    </row>
    <row r="133" spans="1:7" ht="13">
      <c r="A133" s="64"/>
      <c r="B133" s="91"/>
      <c r="C133" s="64"/>
      <c r="D133" s="64"/>
      <c r="E133" s="5"/>
      <c r="F133" s="5"/>
      <c r="G133" s="5"/>
    </row>
    <row r="134" spans="1:7" ht="13">
      <c r="A134" s="48"/>
      <c r="B134" s="71"/>
      <c r="C134" s="48"/>
      <c r="D134" s="47"/>
      <c r="E134" s="5"/>
      <c r="F134" s="5"/>
      <c r="G134" s="5"/>
    </row>
    <row r="135" spans="1:7" ht="13">
      <c r="A135" s="48"/>
      <c r="B135" s="71"/>
      <c r="C135" s="48"/>
      <c r="D135" s="47"/>
      <c r="E135" s="5"/>
      <c r="F135" s="5"/>
      <c r="G135" s="5"/>
    </row>
    <row r="136" spans="1:7" ht="13">
      <c r="A136" s="48"/>
      <c r="B136" s="71"/>
      <c r="C136" s="48"/>
      <c r="D136" s="47"/>
      <c r="E136" s="5"/>
      <c r="F136" s="5"/>
      <c r="G136" s="5"/>
    </row>
    <row r="137" spans="1:7" ht="13">
      <c r="A137" s="48"/>
      <c r="B137" s="69"/>
      <c r="C137" s="48"/>
      <c r="D137" s="47"/>
      <c r="E137" s="5"/>
      <c r="F137" s="5"/>
      <c r="G137" s="5"/>
    </row>
    <row r="138" spans="1:7" ht="13">
      <c r="A138" s="48"/>
      <c r="B138" s="69"/>
      <c r="C138" s="48"/>
      <c r="D138" s="47"/>
      <c r="E138" s="5"/>
      <c r="F138" s="5"/>
      <c r="G138" s="5"/>
    </row>
    <row r="139" spans="1:7" ht="13">
      <c r="A139" s="48"/>
      <c r="B139" s="69"/>
      <c r="C139" s="48"/>
      <c r="D139" s="47"/>
      <c r="E139" s="5"/>
      <c r="F139" s="5"/>
      <c r="G139" s="5"/>
    </row>
    <row r="140" spans="1:7" ht="13">
      <c r="A140" s="48"/>
      <c r="B140" s="69"/>
      <c r="C140" s="48"/>
      <c r="D140" s="47"/>
      <c r="E140" s="5"/>
      <c r="F140" s="5"/>
      <c r="G140" s="5"/>
    </row>
    <row r="141" spans="1:7" ht="13">
      <c r="A141" s="48"/>
      <c r="B141" s="69"/>
      <c r="C141" s="48"/>
      <c r="D141" s="47"/>
      <c r="E141" s="5"/>
      <c r="F141" s="5"/>
      <c r="G141" s="5"/>
    </row>
    <row r="142" spans="1:7" ht="13">
      <c r="A142" s="48"/>
      <c r="B142" s="69"/>
      <c r="C142" s="48"/>
      <c r="D142" s="47"/>
      <c r="E142" s="5"/>
      <c r="F142" s="5"/>
      <c r="G142" s="5"/>
    </row>
    <row r="143" spans="1:7" ht="13">
      <c r="A143" s="48"/>
      <c r="B143" s="69"/>
      <c r="C143" s="48"/>
      <c r="D143" s="47"/>
      <c r="E143" s="5"/>
      <c r="F143" s="5"/>
      <c r="G143" s="5"/>
    </row>
    <row r="144" spans="1:7" ht="13">
      <c r="A144" s="48"/>
      <c r="B144" s="69"/>
      <c r="C144" s="48"/>
      <c r="D144" s="47"/>
      <c r="E144" s="5"/>
      <c r="F144" s="5"/>
      <c r="G144" s="5"/>
    </row>
    <row r="145" spans="1:7" ht="13">
      <c r="A145" s="48"/>
      <c r="B145" s="69"/>
      <c r="C145" s="48"/>
      <c r="D145" s="47"/>
      <c r="E145" s="5"/>
      <c r="F145" s="5"/>
      <c r="G145" s="5"/>
    </row>
    <row r="146" spans="1:7" ht="13">
      <c r="A146" s="48"/>
      <c r="B146" s="71"/>
      <c r="C146" s="48"/>
      <c r="D146" s="47"/>
      <c r="E146" s="5"/>
      <c r="F146" s="5"/>
      <c r="G146" s="5"/>
    </row>
    <row r="147" spans="1:7" ht="13">
      <c r="A147" s="48"/>
      <c r="B147" s="71"/>
      <c r="C147" s="48"/>
      <c r="D147" s="47"/>
      <c r="E147" s="5"/>
      <c r="F147" s="5"/>
      <c r="G147" s="5"/>
    </row>
    <row r="148" spans="1:7" ht="13">
      <c r="A148" s="48"/>
      <c r="B148" s="71"/>
      <c r="C148" s="48"/>
      <c r="D148" s="47"/>
      <c r="E148" s="5"/>
      <c r="F148" s="5"/>
      <c r="G148" s="5"/>
    </row>
    <row r="149" spans="1:7" ht="13">
      <c r="A149" s="48"/>
      <c r="B149" s="71"/>
      <c r="C149" s="48"/>
      <c r="D149" s="47"/>
      <c r="E149" s="5"/>
      <c r="F149" s="5"/>
      <c r="G149" s="5"/>
    </row>
    <row r="150" spans="1:7" ht="13">
      <c r="A150" s="48"/>
      <c r="B150" s="71"/>
      <c r="C150" s="48"/>
      <c r="D150" s="47"/>
      <c r="E150" s="5"/>
      <c r="F150" s="5"/>
      <c r="G150" s="5"/>
    </row>
    <row r="151" spans="1:7" ht="13">
      <c r="A151" s="48"/>
      <c r="B151" s="71"/>
      <c r="C151" s="48"/>
      <c r="D151" s="47"/>
      <c r="E151" s="5"/>
      <c r="F151" s="5"/>
      <c r="G151" s="5"/>
    </row>
    <row r="152" spans="1:7" ht="13">
      <c r="A152" s="48"/>
      <c r="B152" s="69"/>
      <c r="C152" s="48"/>
      <c r="D152" s="47"/>
      <c r="E152" s="5"/>
      <c r="F152" s="5"/>
      <c r="G152" s="5"/>
    </row>
    <row r="153" spans="1:7" ht="13">
      <c r="A153" s="48"/>
      <c r="B153" s="71"/>
      <c r="C153" s="48"/>
      <c r="D153" s="47"/>
      <c r="E153" s="5"/>
      <c r="F153" s="5"/>
      <c r="G153" s="5"/>
    </row>
    <row r="154" spans="1:7" ht="13">
      <c r="A154" s="48"/>
      <c r="B154" s="71"/>
      <c r="C154" s="48"/>
      <c r="D154" s="47"/>
      <c r="E154" s="5"/>
      <c r="F154" s="5"/>
      <c r="G154" s="5"/>
    </row>
    <row r="155" spans="1:7" ht="13">
      <c r="A155" s="48"/>
      <c r="B155" s="71"/>
      <c r="C155" s="48"/>
      <c r="D155" s="47"/>
      <c r="E155" s="5"/>
      <c r="F155" s="5"/>
      <c r="G155" s="5"/>
    </row>
    <row r="156" spans="1:7" ht="13">
      <c r="A156" s="48"/>
      <c r="B156" s="71"/>
      <c r="C156" s="48"/>
      <c r="D156" s="47"/>
      <c r="E156" s="5"/>
      <c r="F156" s="5"/>
      <c r="G156" s="5"/>
    </row>
    <row r="157" spans="1:7" ht="13">
      <c r="A157" s="48"/>
      <c r="B157" s="71"/>
      <c r="C157" s="48"/>
      <c r="D157" s="47"/>
      <c r="E157" s="5"/>
      <c r="F157" s="5"/>
      <c r="G157" s="5"/>
    </row>
    <row r="158" spans="1:7" ht="13">
      <c r="A158" s="48"/>
      <c r="B158" s="71"/>
      <c r="C158" s="48"/>
      <c r="D158" s="47"/>
      <c r="E158" s="5"/>
      <c r="F158" s="5"/>
      <c r="G158" s="5"/>
    </row>
    <row r="159" spans="1:7" ht="13">
      <c r="A159" s="48"/>
      <c r="B159" s="71"/>
      <c r="C159" s="48"/>
      <c r="D159" s="47"/>
      <c r="E159" s="5"/>
      <c r="F159" s="5"/>
      <c r="G159" s="5"/>
    </row>
    <row r="160" spans="1:7" ht="13">
      <c r="A160" s="48"/>
      <c r="B160" s="71"/>
      <c r="C160" s="48"/>
      <c r="D160" s="47"/>
      <c r="E160" s="5"/>
      <c r="F160" s="5"/>
      <c r="G160" s="5"/>
    </row>
    <row r="161" spans="1:7" ht="13">
      <c r="A161" s="48"/>
      <c r="B161" s="71"/>
      <c r="C161" s="48"/>
      <c r="D161" s="47"/>
      <c r="E161" s="5"/>
      <c r="F161" s="5"/>
      <c r="G161" s="5"/>
    </row>
    <row r="162" spans="1:7" ht="13">
      <c r="A162" s="48"/>
      <c r="B162" s="69"/>
      <c r="C162" s="48"/>
      <c r="D162" s="47"/>
      <c r="E162" s="5"/>
      <c r="F162" s="5"/>
      <c r="G162" s="5"/>
    </row>
    <row r="163" spans="1:7" ht="13">
      <c r="A163" s="48"/>
      <c r="B163" s="69"/>
      <c r="C163" s="48"/>
      <c r="D163" s="47"/>
      <c r="E163" s="5"/>
      <c r="F163" s="5"/>
      <c r="G163" s="5"/>
    </row>
    <row r="164" spans="1:7" ht="13">
      <c r="A164" s="48"/>
      <c r="B164" s="69"/>
      <c r="C164" s="48"/>
      <c r="D164" s="47"/>
      <c r="E164" s="5"/>
      <c r="F164" s="5"/>
      <c r="G164" s="5"/>
    </row>
    <row r="165" spans="1:7" ht="13">
      <c r="A165" s="48"/>
      <c r="B165" s="69"/>
      <c r="C165" s="48"/>
      <c r="D165" s="47"/>
      <c r="E165" s="5"/>
      <c r="F165" s="5"/>
      <c r="G165" s="5"/>
    </row>
    <row r="166" spans="1:7" ht="13">
      <c r="A166" s="48"/>
      <c r="B166" s="69"/>
      <c r="C166" s="48"/>
      <c r="D166" s="47"/>
      <c r="E166" s="5"/>
      <c r="F166" s="5"/>
      <c r="G166" s="5"/>
    </row>
    <row r="167" spans="1:7" ht="13">
      <c r="A167" s="48"/>
      <c r="B167" s="69"/>
      <c r="C167" s="48"/>
      <c r="D167" s="47"/>
      <c r="E167" s="5"/>
      <c r="F167" s="5"/>
      <c r="G167" s="5"/>
    </row>
    <row r="168" spans="1:7" ht="13">
      <c r="A168" s="48"/>
      <c r="B168" s="69"/>
      <c r="C168" s="48"/>
      <c r="D168" s="47"/>
      <c r="E168" s="5"/>
      <c r="F168" s="5"/>
      <c r="G168" s="5"/>
    </row>
    <row r="169" spans="1:7" ht="13">
      <c r="A169" s="48"/>
      <c r="B169" s="69"/>
      <c r="C169" s="48"/>
      <c r="D169" s="47"/>
      <c r="E169" s="5"/>
      <c r="F169" s="5"/>
      <c r="G169" s="5"/>
    </row>
    <row r="170" spans="1:7" ht="13">
      <c r="A170" s="48"/>
      <c r="B170" s="69"/>
      <c r="C170" s="48"/>
      <c r="D170" s="47"/>
      <c r="E170" s="5"/>
      <c r="F170" s="5"/>
      <c r="G170" s="5"/>
    </row>
    <row r="171" spans="1:7" ht="13">
      <c r="A171" s="48"/>
      <c r="B171" s="71"/>
      <c r="C171" s="48"/>
      <c r="D171" s="47"/>
      <c r="E171" s="5"/>
      <c r="F171" s="5"/>
      <c r="G171" s="5"/>
    </row>
    <row r="172" spans="1:7" ht="13">
      <c r="A172" s="48"/>
      <c r="B172" s="71"/>
      <c r="C172" s="48"/>
      <c r="D172" s="47"/>
      <c r="E172" s="5"/>
      <c r="F172" s="5"/>
      <c r="G172" s="5"/>
    </row>
    <row r="173" spans="1:7" ht="13">
      <c r="A173" s="48"/>
      <c r="B173" s="71"/>
      <c r="C173" s="48"/>
      <c r="D173" s="47"/>
      <c r="E173" s="5"/>
      <c r="F173" s="5"/>
      <c r="G173" s="5"/>
    </row>
    <row r="174" spans="1:7" ht="13">
      <c r="A174" s="48"/>
      <c r="B174" s="71"/>
      <c r="C174" s="48"/>
      <c r="D174" s="47"/>
      <c r="E174" s="5"/>
      <c r="F174" s="5"/>
      <c r="G174" s="5"/>
    </row>
    <row r="175" spans="1:7" ht="13">
      <c r="A175" s="48"/>
      <c r="B175" s="71"/>
      <c r="C175" s="48"/>
      <c r="D175" s="47"/>
      <c r="E175" s="5"/>
      <c r="F175" s="5"/>
      <c r="G175" s="5"/>
    </row>
    <row r="176" spans="1:7" ht="13">
      <c r="A176" s="48"/>
      <c r="B176" s="71"/>
      <c r="C176" s="48"/>
      <c r="D176" s="47"/>
      <c r="E176" s="5"/>
      <c r="F176" s="5"/>
      <c r="G176" s="5"/>
    </row>
    <row r="177" spans="1:7" ht="13">
      <c r="A177" s="48"/>
      <c r="B177" s="69"/>
      <c r="C177" s="48"/>
      <c r="D177" s="47"/>
      <c r="E177" s="5"/>
      <c r="F177" s="5"/>
      <c r="G177" s="5"/>
    </row>
    <row r="178" spans="1:7" ht="13">
      <c r="A178" s="48"/>
      <c r="B178" s="69"/>
      <c r="C178" s="48"/>
      <c r="D178" s="47"/>
      <c r="E178" s="5"/>
      <c r="F178" s="5"/>
      <c r="G178" s="5"/>
    </row>
    <row r="179" spans="1:7" ht="13">
      <c r="B179" s="36"/>
      <c r="C179" s="80"/>
      <c r="D179" s="5"/>
      <c r="E179" s="5"/>
      <c r="F179" s="5"/>
      <c r="G179" s="5"/>
    </row>
    <row r="180" spans="1:7" ht="13">
      <c r="B180" s="36"/>
      <c r="C180" s="80"/>
      <c r="D180" s="5"/>
      <c r="E180" s="5"/>
      <c r="F180" s="5"/>
      <c r="G180" s="5"/>
    </row>
    <row r="181" spans="1:7" ht="13">
      <c r="B181" s="36"/>
      <c r="C181" s="80"/>
      <c r="D181" s="5"/>
      <c r="E181" s="5"/>
      <c r="F181" s="5"/>
      <c r="G181" s="5"/>
    </row>
    <row r="182" spans="1:7" ht="13">
      <c r="B182" s="36"/>
      <c r="C182" s="80"/>
      <c r="D182" s="5"/>
      <c r="E182" s="5"/>
      <c r="F182" s="5"/>
      <c r="G182" s="5"/>
    </row>
    <row r="183" spans="1:7" ht="13">
      <c r="B183" s="36"/>
      <c r="C183" s="80"/>
      <c r="D183" s="5"/>
      <c r="E183" s="5"/>
      <c r="F183" s="5"/>
      <c r="G183" s="5"/>
    </row>
    <row r="184" spans="1:7" ht="13">
      <c r="B184" s="36"/>
      <c r="C184" s="80"/>
      <c r="D184" s="5"/>
      <c r="E184" s="5"/>
      <c r="F184" s="5"/>
      <c r="G184" s="5"/>
    </row>
    <row r="185" spans="1:7" ht="13">
      <c r="B185" s="36"/>
      <c r="C185" s="80"/>
      <c r="D185" s="5"/>
      <c r="E185" s="5"/>
      <c r="F185" s="5"/>
      <c r="G185" s="5"/>
    </row>
    <row r="186" spans="1:7" ht="13">
      <c r="B186" s="36"/>
      <c r="C186" s="80"/>
      <c r="D186" s="5"/>
      <c r="E186" s="5"/>
      <c r="F186" s="5"/>
      <c r="G186" s="5"/>
    </row>
    <row r="187" spans="1:7" ht="13">
      <c r="B187" s="36"/>
      <c r="C187" s="80"/>
      <c r="D187" s="5"/>
      <c r="E187" s="5"/>
      <c r="F187" s="5"/>
      <c r="G187" s="5"/>
    </row>
    <row r="188" spans="1:7" ht="13">
      <c r="B188" s="36"/>
      <c r="C188" s="80"/>
      <c r="D188" s="5"/>
      <c r="E188" s="5"/>
      <c r="F188" s="5"/>
      <c r="G188" s="5"/>
    </row>
    <row r="189" spans="1:7" ht="13">
      <c r="B189" s="36"/>
      <c r="C189" s="80"/>
      <c r="D189" s="5"/>
      <c r="E189" s="5"/>
      <c r="F189" s="5"/>
      <c r="G189" s="5"/>
    </row>
    <row r="190" spans="1:7" ht="13">
      <c r="B190" s="36"/>
      <c r="C190" s="80"/>
      <c r="D190" s="5"/>
      <c r="E190" s="5"/>
      <c r="F190" s="5"/>
      <c r="G190" s="5"/>
    </row>
    <row r="191" spans="1:7" ht="13">
      <c r="B191" s="36"/>
      <c r="C191" s="80"/>
      <c r="D191" s="5"/>
      <c r="E191" s="5"/>
      <c r="F191" s="5"/>
      <c r="G191" s="5"/>
    </row>
    <row r="192" spans="1:7" ht="13">
      <c r="B192" s="36"/>
      <c r="C192" s="80"/>
      <c r="D192" s="5"/>
      <c r="E192" s="5"/>
      <c r="F192" s="5"/>
      <c r="G192" s="5"/>
    </row>
    <row r="193" spans="2:7" ht="13">
      <c r="B193" s="36"/>
      <c r="C193" s="80"/>
      <c r="D193" s="5"/>
      <c r="E193" s="5"/>
      <c r="F193" s="5"/>
      <c r="G193" s="5"/>
    </row>
    <row r="194" spans="2:7" ht="13">
      <c r="B194" s="36"/>
      <c r="C194" s="80"/>
      <c r="D194" s="5"/>
      <c r="E194" s="5"/>
      <c r="F194" s="5"/>
      <c r="G194" s="5"/>
    </row>
    <row r="195" spans="2:7" ht="13">
      <c r="B195" s="36"/>
      <c r="C195" s="80"/>
      <c r="D195" s="5"/>
      <c r="E195" s="5"/>
      <c r="F195" s="5"/>
      <c r="G195" s="5"/>
    </row>
    <row r="196" spans="2:7" ht="13">
      <c r="B196" s="36"/>
      <c r="C196" s="80"/>
      <c r="D196" s="5"/>
      <c r="E196" s="5"/>
      <c r="F196" s="5"/>
      <c r="G196" s="5"/>
    </row>
    <row r="197" spans="2:7" ht="13">
      <c r="B197" s="36"/>
      <c r="C197" s="80"/>
      <c r="D197" s="5"/>
      <c r="E197" s="5"/>
      <c r="F197" s="5"/>
      <c r="G197" s="5"/>
    </row>
    <row r="198" spans="2:7" ht="13">
      <c r="B198" s="36"/>
      <c r="C198" s="80"/>
      <c r="D198" s="5"/>
      <c r="E198" s="5"/>
      <c r="F198" s="5"/>
      <c r="G198" s="5"/>
    </row>
    <row r="199" spans="2:7" ht="13">
      <c r="B199" s="36"/>
      <c r="C199" s="80"/>
      <c r="D199" s="5"/>
      <c r="E199" s="5"/>
      <c r="F199" s="5"/>
      <c r="G199" s="5"/>
    </row>
    <row r="200" spans="2:7" ht="13">
      <c r="B200" s="36"/>
      <c r="C200" s="80"/>
      <c r="D200" s="5"/>
      <c r="E200" s="5"/>
      <c r="F200" s="5"/>
      <c r="G200" s="5"/>
    </row>
    <row r="201" spans="2:7" ht="13">
      <c r="B201" s="36"/>
      <c r="C201" s="80"/>
      <c r="D201" s="5"/>
      <c r="E201" s="5"/>
      <c r="F201" s="5"/>
      <c r="G201" s="5"/>
    </row>
    <row r="202" spans="2:7" ht="13">
      <c r="B202" s="36"/>
      <c r="C202" s="80"/>
      <c r="D202" s="5"/>
      <c r="E202" s="5"/>
      <c r="F202" s="5"/>
      <c r="G202" s="5"/>
    </row>
    <row r="203" spans="2:7" ht="13">
      <c r="B203" s="36"/>
      <c r="C203" s="80"/>
      <c r="D203" s="5"/>
      <c r="E203" s="5"/>
      <c r="F203" s="5"/>
      <c r="G203" s="5"/>
    </row>
    <row r="204" spans="2:7" ht="13">
      <c r="B204" s="36"/>
      <c r="C204" s="80"/>
      <c r="D204" s="5"/>
      <c r="E204" s="5"/>
      <c r="F204" s="5"/>
      <c r="G204" s="5"/>
    </row>
    <row r="205" spans="2:7" ht="13">
      <c r="B205" s="36"/>
      <c r="C205" s="80"/>
      <c r="D205" s="5"/>
      <c r="E205" s="5"/>
      <c r="F205" s="5"/>
      <c r="G205" s="5"/>
    </row>
    <row r="206" spans="2:7" ht="13">
      <c r="B206" s="36"/>
      <c r="C206" s="80"/>
      <c r="D206" s="5"/>
      <c r="E206" s="5"/>
      <c r="F206" s="5"/>
      <c r="G206" s="5"/>
    </row>
    <row r="207" spans="2:7" ht="13">
      <c r="B207" s="36"/>
      <c r="C207" s="80"/>
      <c r="D207" s="5"/>
      <c r="E207" s="5"/>
      <c r="F207" s="5"/>
      <c r="G207" s="5"/>
    </row>
    <row r="208" spans="2:7" ht="13">
      <c r="B208" s="36"/>
      <c r="C208" s="80"/>
      <c r="D208" s="5"/>
      <c r="E208" s="5"/>
      <c r="F208" s="5"/>
      <c r="G208" s="5"/>
    </row>
    <row r="209" spans="2:7" ht="13">
      <c r="B209" s="36"/>
      <c r="C209" s="80"/>
      <c r="D209" s="5"/>
      <c r="E209" s="5"/>
      <c r="F209" s="5"/>
      <c r="G209" s="5"/>
    </row>
    <row r="210" spans="2:7" ht="13">
      <c r="B210" s="36"/>
      <c r="C210" s="80"/>
      <c r="D210" s="5"/>
      <c r="E210" s="5"/>
      <c r="F210" s="5"/>
      <c r="G210" s="5"/>
    </row>
    <row r="211" spans="2:7" ht="13">
      <c r="B211" s="36"/>
      <c r="C211" s="80"/>
      <c r="D211" s="5"/>
      <c r="E211" s="5"/>
      <c r="F211" s="5"/>
      <c r="G211" s="5"/>
    </row>
    <row r="212" spans="2:7" ht="13">
      <c r="B212" s="36"/>
      <c r="C212" s="80"/>
      <c r="D212" s="5"/>
      <c r="E212" s="5"/>
      <c r="F212" s="5"/>
      <c r="G212" s="5"/>
    </row>
    <row r="213" spans="2:7" ht="13">
      <c r="B213" s="36"/>
      <c r="C213" s="80"/>
      <c r="D213" s="5"/>
      <c r="E213" s="5"/>
      <c r="F213" s="5"/>
      <c r="G213" s="5"/>
    </row>
    <row r="214" spans="2:7" ht="13">
      <c r="B214" s="36"/>
      <c r="C214" s="80"/>
      <c r="D214" s="5"/>
      <c r="E214" s="5"/>
      <c r="F214" s="5"/>
      <c r="G214" s="5"/>
    </row>
    <row r="215" spans="2:7" ht="13">
      <c r="B215" s="36"/>
      <c r="C215" s="80"/>
      <c r="D215" s="5"/>
      <c r="E215" s="5"/>
      <c r="F215" s="5"/>
      <c r="G215" s="5"/>
    </row>
    <row r="216" spans="2:7" ht="13">
      <c r="B216" s="36"/>
      <c r="C216" s="80"/>
      <c r="D216" s="5"/>
      <c r="E216" s="5"/>
      <c r="F216" s="5"/>
      <c r="G216" s="5"/>
    </row>
    <row r="217" spans="2:7" ht="13">
      <c r="B217" s="36"/>
      <c r="C217" s="80"/>
      <c r="D217" s="5"/>
      <c r="E217" s="5"/>
      <c r="F217" s="5"/>
      <c r="G217" s="5"/>
    </row>
    <row r="218" spans="2:7" ht="13">
      <c r="B218" s="36"/>
      <c r="C218" s="80"/>
      <c r="D218" s="5"/>
      <c r="E218" s="5"/>
      <c r="F218" s="5"/>
      <c r="G218" s="5"/>
    </row>
    <row r="219" spans="2:7" ht="13">
      <c r="B219" s="36"/>
      <c r="C219" s="80"/>
      <c r="D219" s="5"/>
      <c r="E219" s="5"/>
      <c r="F219" s="5"/>
      <c r="G219" s="5"/>
    </row>
    <row r="220" spans="2:7" ht="13">
      <c r="B220" s="36"/>
      <c r="C220" s="80"/>
      <c r="D220" s="5"/>
      <c r="E220" s="5"/>
      <c r="F220" s="5"/>
      <c r="G220" s="5"/>
    </row>
    <row r="221" spans="2:7" ht="13">
      <c r="B221" s="36"/>
      <c r="C221" s="80"/>
      <c r="D221" s="5"/>
      <c r="E221" s="5"/>
      <c r="F221" s="5"/>
      <c r="G221" s="5"/>
    </row>
    <row r="222" spans="2:7" ht="13">
      <c r="B222" s="36"/>
      <c r="C222" s="80"/>
      <c r="D222" s="5"/>
      <c r="E222" s="5"/>
      <c r="F222" s="5"/>
      <c r="G222" s="5"/>
    </row>
    <row r="223" spans="2:7" ht="13">
      <c r="B223" s="36"/>
      <c r="C223" s="80"/>
      <c r="D223" s="5"/>
      <c r="E223" s="5"/>
      <c r="F223" s="5"/>
      <c r="G223" s="5"/>
    </row>
    <row r="224" spans="2:7" ht="13">
      <c r="B224" s="36"/>
      <c r="C224" s="80"/>
      <c r="D224" s="5"/>
      <c r="E224" s="5"/>
      <c r="F224" s="5"/>
      <c r="G224" s="5"/>
    </row>
    <row r="225" spans="2:7" ht="13">
      <c r="B225" s="36"/>
      <c r="C225" s="80"/>
      <c r="D225" s="5"/>
      <c r="E225" s="5"/>
      <c r="F225" s="5"/>
      <c r="G225" s="5"/>
    </row>
    <row r="226" spans="2:7" ht="13">
      <c r="B226" s="36"/>
      <c r="C226" s="80"/>
      <c r="D226" s="5"/>
      <c r="E226" s="5"/>
      <c r="F226" s="5"/>
      <c r="G226" s="5"/>
    </row>
    <row r="227" spans="2:7" ht="13">
      <c r="B227" s="36"/>
      <c r="C227" s="80"/>
      <c r="D227" s="5"/>
      <c r="E227" s="5"/>
      <c r="F227" s="5"/>
      <c r="G227" s="5"/>
    </row>
    <row r="228" spans="2:7" ht="13">
      <c r="B228" s="36"/>
      <c r="C228" s="80"/>
      <c r="D228" s="5"/>
      <c r="E228" s="5"/>
      <c r="F228" s="5"/>
      <c r="G228" s="5"/>
    </row>
    <row r="229" spans="2:7" ht="13">
      <c r="B229" s="36"/>
      <c r="C229" s="80"/>
      <c r="D229" s="5"/>
      <c r="E229" s="5"/>
      <c r="F229" s="5"/>
      <c r="G229" s="5"/>
    </row>
    <row r="230" spans="2:7" ht="13">
      <c r="B230" s="36"/>
      <c r="C230" s="80"/>
      <c r="D230" s="5"/>
      <c r="E230" s="5"/>
      <c r="F230" s="5"/>
      <c r="G230" s="5"/>
    </row>
    <row r="231" spans="2:7" ht="13">
      <c r="B231" s="36"/>
      <c r="C231" s="80"/>
      <c r="D231" s="5"/>
      <c r="E231" s="5"/>
      <c r="F231" s="5"/>
      <c r="G231" s="5"/>
    </row>
    <row r="232" spans="2:7" ht="13">
      <c r="B232" s="36"/>
      <c r="C232" s="80"/>
      <c r="D232" s="5"/>
      <c r="E232" s="5"/>
      <c r="F232" s="5"/>
      <c r="G232" s="5"/>
    </row>
    <row r="233" spans="2:7" ht="13">
      <c r="B233" s="36"/>
      <c r="C233" s="80"/>
      <c r="D233" s="5"/>
      <c r="E233" s="5"/>
      <c r="F233" s="5"/>
      <c r="G233" s="5"/>
    </row>
    <row r="234" spans="2:7" ht="13">
      <c r="B234" s="36"/>
      <c r="C234" s="80"/>
      <c r="D234" s="5"/>
      <c r="E234" s="5"/>
      <c r="F234" s="5"/>
      <c r="G234" s="5"/>
    </row>
    <row r="235" spans="2:7" ht="13">
      <c r="B235" s="36"/>
      <c r="C235" s="80"/>
      <c r="D235" s="5"/>
      <c r="E235" s="5"/>
      <c r="F235" s="5"/>
      <c r="G235" s="5"/>
    </row>
    <row r="236" spans="2:7" ht="13">
      <c r="B236" s="36"/>
      <c r="C236" s="80"/>
      <c r="D236" s="5"/>
      <c r="E236" s="5"/>
      <c r="F236" s="5"/>
      <c r="G236" s="5"/>
    </row>
    <row r="237" spans="2:7" ht="13">
      <c r="B237" s="36"/>
      <c r="C237" s="80"/>
      <c r="D237" s="5"/>
      <c r="E237" s="5"/>
      <c r="F237" s="5"/>
      <c r="G237" s="5"/>
    </row>
    <row r="238" spans="2:7" ht="13">
      <c r="B238" s="36"/>
      <c r="C238" s="80"/>
      <c r="D238" s="5"/>
      <c r="E238" s="5"/>
      <c r="F238" s="5"/>
      <c r="G238" s="5"/>
    </row>
    <row r="239" spans="2:7" ht="13">
      <c r="B239" s="36"/>
      <c r="C239" s="80"/>
      <c r="D239" s="5"/>
      <c r="E239" s="5"/>
      <c r="F239" s="5"/>
      <c r="G239" s="5"/>
    </row>
    <row r="240" spans="2:7" ht="13">
      <c r="B240" s="36"/>
      <c r="C240" s="80"/>
      <c r="D240" s="5"/>
      <c r="E240" s="5"/>
      <c r="F240" s="5"/>
      <c r="G240" s="5"/>
    </row>
    <row r="241" spans="2:7" ht="13">
      <c r="B241" s="36"/>
      <c r="C241" s="80"/>
      <c r="D241" s="5"/>
      <c r="E241" s="5"/>
      <c r="F241" s="5"/>
      <c r="G241" s="5"/>
    </row>
    <row r="242" spans="2:7" ht="13">
      <c r="B242" s="36"/>
      <c r="C242" s="80"/>
      <c r="D242" s="5"/>
      <c r="E242" s="5"/>
      <c r="F242" s="5"/>
      <c r="G242" s="5"/>
    </row>
    <row r="243" spans="2:7" ht="13">
      <c r="B243" s="36"/>
      <c r="C243" s="80"/>
      <c r="D243" s="5"/>
      <c r="E243" s="5"/>
      <c r="F243" s="5"/>
      <c r="G243" s="5"/>
    </row>
    <row r="244" spans="2:7" ht="13">
      <c r="B244" s="36"/>
      <c r="C244" s="80"/>
      <c r="D244" s="5"/>
      <c r="E244" s="5"/>
      <c r="F244" s="5"/>
      <c r="G244" s="5"/>
    </row>
    <row r="245" spans="2:7" ht="13">
      <c r="B245" s="36"/>
      <c r="C245" s="80"/>
      <c r="D245" s="5"/>
      <c r="E245" s="5"/>
      <c r="F245" s="5"/>
      <c r="G245" s="5"/>
    </row>
    <row r="246" spans="2:7" ht="13">
      <c r="B246" s="36"/>
      <c r="C246" s="80"/>
      <c r="D246" s="5"/>
      <c r="E246" s="5"/>
      <c r="F246" s="5"/>
      <c r="G246" s="5"/>
    </row>
    <row r="247" spans="2:7" ht="13">
      <c r="B247" s="36"/>
      <c r="C247" s="80"/>
      <c r="D247" s="5"/>
      <c r="E247" s="5"/>
      <c r="F247" s="5"/>
      <c r="G247" s="5"/>
    </row>
    <row r="248" spans="2:7" ht="13">
      <c r="B248" s="36"/>
      <c r="C248" s="80"/>
      <c r="D248" s="5"/>
      <c r="E248" s="5"/>
      <c r="F248" s="5"/>
      <c r="G248" s="5"/>
    </row>
    <row r="249" spans="2:7" ht="13">
      <c r="B249" s="36"/>
      <c r="C249" s="80"/>
      <c r="D249" s="5"/>
      <c r="E249" s="5"/>
      <c r="F249" s="5"/>
      <c r="G249" s="5"/>
    </row>
    <row r="250" spans="2:7" ht="13">
      <c r="B250" s="36"/>
      <c r="C250" s="80"/>
      <c r="D250" s="5"/>
      <c r="E250" s="5"/>
      <c r="F250" s="5"/>
      <c r="G250" s="5"/>
    </row>
    <row r="251" spans="2:7" ht="13">
      <c r="B251" s="36"/>
      <c r="C251" s="80"/>
      <c r="D251" s="5"/>
      <c r="E251" s="5"/>
      <c r="F251" s="5"/>
      <c r="G251" s="5"/>
    </row>
    <row r="252" spans="2:7" ht="13">
      <c r="B252" s="36"/>
      <c r="C252" s="80"/>
      <c r="D252" s="5"/>
      <c r="E252" s="5"/>
      <c r="F252" s="5"/>
      <c r="G252" s="5"/>
    </row>
    <row r="253" spans="2:7" ht="13">
      <c r="B253" s="36"/>
      <c r="C253" s="80"/>
      <c r="D253" s="5"/>
      <c r="E253" s="5"/>
      <c r="F253" s="5"/>
      <c r="G253" s="5"/>
    </row>
    <row r="254" spans="2:7" ht="13">
      <c r="B254" s="36"/>
      <c r="C254" s="80"/>
      <c r="D254" s="5"/>
      <c r="E254" s="5"/>
      <c r="F254" s="5"/>
      <c r="G254" s="5"/>
    </row>
    <row r="255" spans="2:7" ht="13">
      <c r="B255" s="36"/>
      <c r="C255" s="80"/>
      <c r="D255" s="5"/>
      <c r="E255" s="5"/>
      <c r="F255" s="5"/>
      <c r="G255" s="5"/>
    </row>
    <row r="256" spans="2:7" ht="13">
      <c r="B256" s="36"/>
      <c r="C256" s="80"/>
      <c r="D256" s="5"/>
      <c r="E256" s="5"/>
      <c r="F256" s="5"/>
      <c r="G256" s="5"/>
    </row>
    <row r="257" spans="2:7" ht="13">
      <c r="B257" s="36"/>
      <c r="C257" s="80"/>
      <c r="D257" s="5"/>
      <c r="E257" s="5"/>
      <c r="F257" s="5"/>
      <c r="G257" s="5"/>
    </row>
    <row r="258" spans="2:7" ht="13">
      <c r="B258" s="36"/>
      <c r="C258" s="80"/>
      <c r="D258" s="5"/>
      <c r="E258" s="5"/>
      <c r="F258" s="5"/>
      <c r="G258" s="5"/>
    </row>
    <row r="259" spans="2:7" ht="13">
      <c r="B259" s="36"/>
      <c r="C259" s="80"/>
      <c r="D259" s="5"/>
      <c r="E259" s="5"/>
      <c r="F259" s="5"/>
      <c r="G259" s="5"/>
    </row>
    <row r="260" spans="2:7" ht="13">
      <c r="B260" s="36"/>
      <c r="C260" s="80"/>
      <c r="D260" s="5"/>
      <c r="E260" s="5"/>
      <c r="F260" s="5"/>
      <c r="G260" s="5"/>
    </row>
    <row r="261" spans="2:7" ht="13">
      <c r="B261" s="36"/>
      <c r="C261" s="80"/>
      <c r="D261" s="5"/>
      <c r="E261" s="5"/>
      <c r="F261" s="5"/>
      <c r="G261" s="5"/>
    </row>
    <row r="262" spans="2:7" ht="13">
      <c r="B262" s="36"/>
      <c r="C262" s="80"/>
      <c r="D262" s="5"/>
      <c r="E262" s="5"/>
      <c r="F262" s="5"/>
      <c r="G262" s="5"/>
    </row>
    <row r="263" spans="2:7" ht="13">
      <c r="B263" s="36"/>
      <c r="C263" s="80"/>
      <c r="D263" s="5"/>
      <c r="E263" s="5"/>
      <c r="F263" s="5"/>
      <c r="G263" s="5"/>
    </row>
    <row r="264" spans="2:7" ht="13">
      <c r="B264" s="36"/>
      <c r="C264" s="80"/>
      <c r="D264" s="5"/>
      <c r="E264" s="5"/>
      <c r="F264" s="5"/>
      <c r="G264" s="5"/>
    </row>
    <row r="265" spans="2:7" ht="13">
      <c r="B265" s="36"/>
      <c r="C265" s="80"/>
      <c r="D265" s="5"/>
      <c r="E265" s="5"/>
      <c r="F265" s="5"/>
      <c r="G265" s="5"/>
    </row>
    <row r="266" spans="2:7" ht="13">
      <c r="B266" s="36"/>
      <c r="C266" s="80"/>
      <c r="D266" s="5"/>
      <c r="E266" s="5"/>
      <c r="F266" s="5"/>
      <c r="G266" s="5"/>
    </row>
    <row r="267" spans="2:7" ht="13">
      <c r="B267" s="36"/>
      <c r="C267" s="80"/>
      <c r="D267" s="5"/>
      <c r="E267" s="5"/>
      <c r="F267" s="5"/>
      <c r="G267" s="5"/>
    </row>
    <row r="268" spans="2:7" ht="13">
      <c r="B268" s="36"/>
      <c r="C268" s="80"/>
      <c r="D268" s="5"/>
      <c r="E268" s="5"/>
      <c r="F268" s="5"/>
      <c r="G268" s="5"/>
    </row>
    <row r="269" spans="2:7" ht="13">
      <c r="B269" s="36"/>
      <c r="C269" s="80"/>
      <c r="D269" s="5"/>
      <c r="E269" s="5"/>
      <c r="F269" s="5"/>
      <c r="G269" s="5"/>
    </row>
    <row r="270" spans="2:7" ht="13">
      <c r="B270" s="36"/>
      <c r="C270" s="80"/>
      <c r="D270" s="5"/>
      <c r="E270" s="5"/>
      <c r="F270" s="5"/>
      <c r="G270" s="5"/>
    </row>
    <row r="271" spans="2:7" ht="13">
      <c r="B271" s="36"/>
      <c r="C271" s="80"/>
      <c r="D271" s="5"/>
      <c r="E271" s="5"/>
      <c r="F271" s="5"/>
      <c r="G271" s="5"/>
    </row>
    <row r="272" spans="2:7" ht="13">
      <c r="B272" s="36"/>
      <c r="C272" s="80"/>
      <c r="D272" s="5"/>
      <c r="E272" s="5"/>
      <c r="F272" s="5"/>
      <c r="G272" s="5"/>
    </row>
    <row r="273" spans="2:7" ht="13">
      <c r="B273" s="36"/>
      <c r="C273" s="80"/>
      <c r="D273" s="5"/>
      <c r="E273" s="5"/>
      <c r="F273" s="5"/>
      <c r="G273" s="5"/>
    </row>
    <row r="274" spans="2:7" ht="13">
      <c r="B274" s="36"/>
      <c r="C274" s="80"/>
      <c r="D274" s="5"/>
      <c r="E274" s="5"/>
      <c r="F274" s="5"/>
      <c r="G274" s="5"/>
    </row>
    <row r="275" spans="2:7" ht="13">
      <c r="B275" s="36"/>
      <c r="C275" s="80"/>
      <c r="D275" s="5"/>
      <c r="E275" s="5"/>
      <c r="F275" s="5"/>
      <c r="G275" s="5"/>
    </row>
    <row r="276" spans="2:7" ht="13">
      <c r="B276" s="36"/>
      <c r="C276" s="80"/>
      <c r="D276" s="5"/>
      <c r="E276" s="5"/>
      <c r="F276" s="5"/>
      <c r="G276" s="5"/>
    </row>
    <row r="277" spans="2:7" ht="13">
      <c r="B277" s="36"/>
      <c r="C277" s="80"/>
      <c r="D277" s="5"/>
      <c r="E277" s="5"/>
      <c r="F277" s="5"/>
      <c r="G277" s="5"/>
    </row>
    <row r="278" spans="2:7" ht="13">
      <c r="B278" s="36"/>
      <c r="C278" s="80"/>
      <c r="D278" s="5"/>
      <c r="E278" s="5"/>
      <c r="F278" s="5"/>
      <c r="G278" s="5"/>
    </row>
    <row r="279" spans="2:7" ht="13">
      <c r="B279" s="36"/>
      <c r="C279" s="80"/>
      <c r="D279" s="5"/>
      <c r="E279" s="5"/>
      <c r="F279" s="5"/>
      <c r="G279" s="5"/>
    </row>
    <row r="280" spans="2:7" ht="13">
      <c r="B280" s="36"/>
      <c r="C280" s="80"/>
      <c r="D280" s="5"/>
      <c r="E280" s="5"/>
      <c r="F280" s="5"/>
      <c r="G280" s="5"/>
    </row>
    <row r="281" spans="2:7" ht="13">
      <c r="B281" s="36"/>
      <c r="C281" s="80"/>
      <c r="D281" s="5"/>
      <c r="E281" s="5"/>
      <c r="F281" s="5"/>
      <c r="G281" s="5"/>
    </row>
    <row r="282" spans="2:7" ht="13">
      <c r="B282" s="36"/>
      <c r="C282" s="80"/>
      <c r="D282" s="5"/>
      <c r="E282" s="5"/>
      <c r="F282" s="5"/>
      <c r="G282" s="5"/>
    </row>
    <row r="283" spans="2:7" ht="13">
      <c r="B283" s="36"/>
      <c r="C283" s="80"/>
      <c r="D283" s="5"/>
      <c r="E283" s="5"/>
      <c r="F283" s="5"/>
      <c r="G283" s="5"/>
    </row>
    <row r="284" spans="2:7" ht="13">
      <c r="B284" s="36"/>
      <c r="C284" s="80"/>
      <c r="D284" s="5"/>
      <c r="E284" s="5"/>
      <c r="F284" s="5"/>
      <c r="G284" s="5"/>
    </row>
    <row r="285" spans="2:7" ht="13">
      <c r="B285" s="36"/>
      <c r="C285" s="80"/>
      <c r="D285" s="5"/>
      <c r="E285" s="5"/>
      <c r="F285" s="5"/>
      <c r="G285" s="5"/>
    </row>
    <row r="286" spans="2:7" ht="13">
      <c r="B286" s="36"/>
      <c r="C286" s="80"/>
      <c r="D286" s="5"/>
      <c r="E286" s="5"/>
      <c r="F286" s="5"/>
      <c r="G286" s="5"/>
    </row>
    <row r="287" spans="2:7" ht="13">
      <c r="B287" s="36"/>
      <c r="C287" s="80"/>
      <c r="D287" s="5"/>
      <c r="E287" s="5"/>
      <c r="F287" s="5"/>
      <c r="G287" s="5"/>
    </row>
    <row r="288" spans="2:7" ht="13">
      <c r="B288" s="36"/>
      <c r="C288" s="80"/>
      <c r="D288" s="5"/>
      <c r="E288" s="5"/>
      <c r="F288" s="5"/>
      <c r="G288" s="5"/>
    </row>
    <row r="289" spans="2:7" ht="13">
      <c r="B289" s="36"/>
      <c r="C289" s="80"/>
      <c r="D289" s="5"/>
      <c r="E289" s="5"/>
      <c r="F289" s="5"/>
      <c r="G289" s="5"/>
    </row>
    <row r="290" spans="2:7" ht="13">
      <c r="B290" s="36"/>
      <c r="C290" s="80"/>
      <c r="D290" s="5"/>
      <c r="E290" s="5"/>
      <c r="F290" s="5"/>
      <c r="G290" s="5"/>
    </row>
    <row r="291" spans="2:7" ht="13">
      <c r="B291" s="36"/>
      <c r="C291" s="80"/>
      <c r="D291" s="5"/>
      <c r="E291" s="5"/>
      <c r="F291" s="5"/>
      <c r="G291" s="5"/>
    </row>
    <row r="292" spans="2:7" ht="13">
      <c r="B292" s="36"/>
      <c r="C292" s="80"/>
      <c r="D292" s="5"/>
      <c r="E292" s="5"/>
      <c r="F292" s="5"/>
      <c r="G292" s="5"/>
    </row>
    <row r="293" spans="2:7" ht="13">
      <c r="B293" s="36"/>
      <c r="C293" s="80"/>
      <c r="D293" s="5"/>
      <c r="E293" s="5"/>
      <c r="F293" s="5"/>
      <c r="G293" s="5"/>
    </row>
    <row r="294" spans="2:7" ht="13">
      <c r="B294" s="36"/>
      <c r="C294" s="80"/>
      <c r="D294" s="5"/>
      <c r="E294" s="5"/>
      <c r="F294" s="5"/>
      <c r="G294" s="5"/>
    </row>
    <row r="295" spans="2:7" ht="13">
      <c r="B295" s="36"/>
      <c r="C295" s="80"/>
      <c r="D295" s="5"/>
      <c r="E295" s="5"/>
      <c r="F295" s="5"/>
      <c r="G295" s="5"/>
    </row>
    <row r="296" spans="2:7" ht="13">
      <c r="B296" s="36"/>
      <c r="C296" s="80"/>
      <c r="D296" s="5"/>
      <c r="E296" s="5"/>
      <c r="F296" s="5"/>
      <c r="G296" s="5"/>
    </row>
    <row r="297" spans="2:7" ht="13">
      <c r="B297" s="36"/>
      <c r="C297" s="80"/>
      <c r="D297" s="5"/>
      <c r="E297" s="5"/>
      <c r="F297" s="5"/>
      <c r="G297" s="5"/>
    </row>
    <row r="298" spans="2:7" ht="13">
      <c r="B298" s="36"/>
      <c r="C298" s="80"/>
      <c r="D298" s="5"/>
      <c r="E298" s="5"/>
      <c r="F298" s="5"/>
      <c r="G298" s="5"/>
    </row>
    <row r="299" spans="2:7" ht="13">
      <c r="B299" s="36"/>
      <c r="C299" s="80"/>
      <c r="D299" s="5"/>
      <c r="E299" s="5"/>
      <c r="F299" s="5"/>
      <c r="G299" s="5"/>
    </row>
    <row r="300" spans="2:7" ht="13">
      <c r="B300" s="36"/>
      <c r="C300" s="80"/>
      <c r="D300" s="5"/>
      <c r="E300" s="5"/>
      <c r="F300" s="5"/>
      <c r="G300" s="5"/>
    </row>
    <row r="301" spans="2:7" ht="13">
      <c r="B301" s="36"/>
      <c r="C301" s="80"/>
      <c r="D301" s="5"/>
      <c r="E301" s="5"/>
      <c r="F301" s="5"/>
      <c r="G301" s="5"/>
    </row>
    <row r="302" spans="2:7" ht="13">
      <c r="B302" s="36"/>
      <c r="C302" s="80"/>
      <c r="D302" s="5"/>
      <c r="E302" s="5"/>
      <c r="F302" s="5"/>
      <c r="G302" s="5"/>
    </row>
    <row r="303" spans="2:7" ht="13">
      <c r="B303" s="36"/>
      <c r="C303" s="80"/>
      <c r="D303" s="5"/>
      <c r="E303" s="5"/>
      <c r="F303" s="5"/>
      <c r="G303" s="5"/>
    </row>
    <row r="304" spans="2:7" ht="13">
      <c r="B304" s="36"/>
      <c r="C304" s="80"/>
      <c r="D304" s="5"/>
      <c r="E304" s="5"/>
      <c r="F304" s="5"/>
      <c r="G304" s="5"/>
    </row>
    <row r="305" spans="2:7" ht="13">
      <c r="B305" s="36"/>
      <c r="C305" s="80"/>
      <c r="D305" s="5"/>
      <c r="E305" s="5"/>
      <c r="F305" s="5"/>
      <c r="G305" s="5"/>
    </row>
    <row r="306" spans="2:7" ht="13">
      <c r="B306" s="36"/>
      <c r="C306" s="80"/>
      <c r="D306" s="5"/>
      <c r="E306" s="5"/>
      <c r="F306" s="5"/>
      <c r="G306" s="5"/>
    </row>
    <row r="307" spans="2:7" ht="13">
      <c r="B307" s="36"/>
      <c r="C307" s="80"/>
      <c r="D307" s="5"/>
      <c r="E307" s="5"/>
      <c r="F307" s="5"/>
      <c r="G307" s="5"/>
    </row>
    <row r="308" spans="2:7" ht="13">
      <c r="B308" s="36"/>
      <c r="C308" s="80"/>
      <c r="D308" s="5"/>
      <c r="E308" s="5"/>
      <c r="F308" s="5"/>
      <c r="G308" s="5"/>
    </row>
    <row r="309" spans="2:7" ht="13">
      <c r="B309" s="36"/>
      <c r="C309" s="80"/>
      <c r="D309" s="5"/>
      <c r="E309" s="5"/>
      <c r="F309" s="5"/>
      <c r="G309" s="5"/>
    </row>
    <row r="310" spans="2:7" ht="13">
      <c r="B310" s="36"/>
      <c r="C310" s="80"/>
      <c r="D310" s="5"/>
      <c r="E310" s="5"/>
      <c r="F310" s="5"/>
      <c r="G310" s="5"/>
    </row>
    <row r="311" spans="2:7" ht="13">
      <c r="B311" s="36"/>
      <c r="C311" s="80"/>
      <c r="D311" s="5"/>
      <c r="E311" s="5"/>
      <c r="F311" s="5"/>
      <c r="G311" s="5"/>
    </row>
    <row r="312" spans="2:7" ht="13">
      <c r="B312" s="36"/>
      <c r="C312" s="80"/>
      <c r="D312" s="5"/>
      <c r="E312" s="5"/>
      <c r="F312" s="5"/>
      <c r="G312" s="5"/>
    </row>
    <row r="313" spans="2:7" ht="13">
      <c r="B313" s="36"/>
      <c r="C313" s="80"/>
      <c r="D313" s="5"/>
      <c r="E313" s="5"/>
      <c r="F313" s="5"/>
      <c r="G313" s="5"/>
    </row>
    <row r="314" spans="2:7" ht="13">
      <c r="B314" s="36"/>
      <c r="C314" s="80"/>
      <c r="D314" s="5"/>
      <c r="E314" s="5"/>
      <c r="F314" s="5"/>
      <c r="G314" s="5"/>
    </row>
    <row r="315" spans="2:7" ht="13">
      <c r="B315" s="36"/>
      <c r="C315" s="80"/>
      <c r="D315" s="5"/>
      <c r="E315" s="5"/>
      <c r="F315" s="5"/>
      <c r="G315" s="5"/>
    </row>
    <row r="316" spans="2:7" ht="13">
      <c r="B316" s="36"/>
      <c r="C316" s="80"/>
      <c r="D316" s="5"/>
      <c r="E316" s="5"/>
      <c r="F316" s="5"/>
      <c r="G316" s="5"/>
    </row>
    <row r="317" spans="2:7" ht="13">
      <c r="B317" s="36"/>
      <c r="C317" s="80"/>
      <c r="D317" s="5"/>
      <c r="E317" s="5"/>
      <c r="F317" s="5"/>
      <c r="G317" s="5"/>
    </row>
    <row r="318" spans="2:7" ht="13">
      <c r="B318" s="36"/>
      <c r="C318" s="80"/>
      <c r="D318" s="5"/>
      <c r="E318" s="5"/>
      <c r="F318" s="5"/>
      <c r="G318" s="5"/>
    </row>
    <row r="319" spans="2:7" ht="13">
      <c r="B319" s="36"/>
      <c r="C319" s="80"/>
      <c r="D319" s="5"/>
      <c r="E319" s="5"/>
      <c r="F319" s="5"/>
      <c r="G319" s="5"/>
    </row>
    <row r="320" spans="2:7" ht="13">
      <c r="B320" s="36"/>
      <c r="C320" s="80"/>
      <c r="D320" s="5"/>
      <c r="E320" s="5"/>
      <c r="F320" s="5"/>
      <c r="G320" s="5"/>
    </row>
    <row r="321" spans="2:7" ht="13">
      <c r="B321" s="36"/>
      <c r="C321" s="80"/>
      <c r="D321" s="5"/>
      <c r="E321" s="5"/>
      <c r="F321" s="5"/>
      <c r="G321" s="5"/>
    </row>
    <row r="322" spans="2:7" ht="13">
      <c r="B322" s="36"/>
      <c r="C322" s="80"/>
      <c r="D322" s="5"/>
      <c r="E322" s="5"/>
      <c r="F322" s="5"/>
      <c r="G322" s="5"/>
    </row>
    <row r="323" spans="2:7" ht="13">
      <c r="B323" s="36"/>
      <c r="C323" s="80"/>
      <c r="D323" s="5"/>
      <c r="E323" s="5"/>
      <c r="F323" s="5"/>
      <c r="G323" s="5"/>
    </row>
    <row r="324" spans="2:7" ht="13">
      <c r="B324" s="36"/>
      <c r="C324" s="80"/>
      <c r="D324" s="5"/>
      <c r="E324" s="5"/>
      <c r="F324" s="5"/>
      <c r="G324" s="5"/>
    </row>
    <row r="325" spans="2:7" ht="13">
      <c r="B325" s="36"/>
      <c r="C325" s="80"/>
      <c r="D325" s="5"/>
      <c r="E325" s="5"/>
      <c r="F325" s="5"/>
      <c r="G325" s="5"/>
    </row>
    <row r="326" spans="2:7" ht="13">
      <c r="B326" s="36"/>
      <c r="C326" s="80"/>
      <c r="D326" s="5"/>
      <c r="E326" s="5"/>
      <c r="F326" s="5"/>
      <c r="G326" s="5"/>
    </row>
    <row r="327" spans="2:7" ht="13">
      <c r="B327" s="36"/>
      <c r="C327" s="80"/>
      <c r="D327" s="5"/>
      <c r="E327" s="5"/>
      <c r="F327" s="5"/>
      <c r="G327" s="5"/>
    </row>
    <row r="328" spans="2:7" ht="13">
      <c r="B328" s="36"/>
      <c r="C328" s="80"/>
      <c r="D328" s="5"/>
      <c r="E328" s="5"/>
      <c r="F328" s="5"/>
      <c r="G328" s="5"/>
    </row>
    <row r="329" spans="2:7" ht="13">
      <c r="B329" s="36"/>
      <c r="C329" s="80"/>
      <c r="D329" s="5"/>
      <c r="E329" s="5"/>
      <c r="F329" s="5"/>
      <c r="G329" s="5"/>
    </row>
    <row r="330" spans="2:7" ht="13">
      <c r="B330" s="36"/>
      <c r="C330" s="80"/>
      <c r="D330" s="5"/>
      <c r="E330" s="5"/>
      <c r="F330" s="5"/>
      <c r="G330" s="5"/>
    </row>
    <row r="331" spans="2:7" ht="13">
      <c r="B331" s="36"/>
      <c r="C331" s="80"/>
      <c r="D331" s="5"/>
      <c r="E331" s="5"/>
      <c r="F331" s="5"/>
      <c r="G331" s="5"/>
    </row>
    <row r="332" spans="2:7" ht="13">
      <c r="B332" s="36"/>
      <c r="C332" s="80"/>
      <c r="D332" s="5"/>
      <c r="E332" s="5"/>
      <c r="F332" s="5"/>
      <c r="G332" s="5"/>
    </row>
    <row r="333" spans="2:7" ht="13">
      <c r="B333" s="36"/>
      <c r="C333" s="80"/>
      <c r="D333" s="5"/>
      <c r="E333" s="5"/>
      <c r="F333" s="5"/>
      <c r="G333" s="5"/>
    </row>
    <row r="334" spans="2:7" ht="13">
      <c r="B334" s="36"/>
      <c r="C334" s="80"/>
      <c r="D334" s="5"/>
      <c r="E334" s="5"/>
      <c r="F334" s="5"/>
      <c r="G334" s="5"/>
    </row>
    <row r="335" spans="2:7" ht="13">
      <c r="B335" s="36"/>
      <c r="C335" s="80"/>
      <c r="D335" s="5"/>
      <c r="E335" s="5"/>
      <c r="F335" s="5"/>
      <c r="G335" s="5"/>
    </row>
    <row r="336" spans="2:7" ht="13">
      <c r="B336" s="36"/>
      <c r="C336" s="80"/>
      <c r="D336" s="5"/>
      <c r="E336" s="5"/>
      <c r="F336" s="5"/>
      <c r="G336" s="5"/>
    </row>
    <row r="337" spans="2:7" ht="13">
      <c r="B337" s="36"/>
      <c r="C337" s="80"/>
      <c r="D337" s="5"/>
      <c r="E337" s="5"/>
      <c r="F337" s="5"/>
      <c r="G337" s="5"/>
    </row>
    <row r="338" spans="2:7" ht="13">
      <c r="B338" s="36"/>
      <c r="C338" s="80"/>
      <c r="D338" s="5"/>
      <c r="E338" s="5"/>
      <c r="F338" s="5"/>
      <c r="G338" s="5"/>
    </row>
    <row r="339" spans="2:7" ht="13">
      <c r="B339" s="36"/>
      <c r="C339" s="80"/>
      <c r="D339" s="5"/>
      <c r="E339" s="5"/>
      <c r="F339" s="5"/>
      <c r="G339" s="5"/>
    </row>
    <row r="340" spans="2:7" ht="13">
      <c r="B340" s="36"/>
      <c r="C340" s="80"/>
      <c r="D340" s="5"/>
      <c r="E340" s="5"/>
      <c r="F340" s="5"/>
      <c r="G340" s="5"/>
    </row>
    <row r="341" spans="2:7" ht="13">
      <c r="B341" s="36"/>
      <c r="C341" s="80"/>
      <c r="D341" s="5"/>
      <c r="E341" s="5"/>
      <c r="F341" s="5"/>
      <c r="G341" s="5"/>
    </row>
    <row r="342" spans="2:7" ht="13">
      <c r="B342" s="36"/>
      <c r="C342" s="80"/>
      <c r="D342" s="5"/>
      <c r="E342" s="5"/>
      <c r="F342" s="5"/>
      <c r="G342" s="5"/>
    </row>
    <row r="343" spans="2:7" ht="13">
      <c r="B343" s="36"/>
      <c r="C343" s="80"/>
      <c r="D343" s="5"/>
      <c r="E343" s="5"/>
      <c r="F343" s="5"/>
      <c r="G343" s="5"/>
    </row>
    <row r="344" spans="2:7" ht="13">
      <c r="B344" s="36"/>
      <c r="C344" s="80"/>
      <c r="D344" s="5"/>
      <c r="E344" s="5"/>
      <c r="F344" s="5"/>
      <c r="G344" s="5"/>
    </row>
    <row r="345" spans="2:7" ht="13">
      <c r="B345" s="36"/>
      <c r="C345" s="80"/>
      <c r="D345" s="5"/>
      <c r="E345" s="5"/>
      <c r="F345" s="5"/>
      <c r="G345" s="5"/>
    </row>
    <row r="346" spans="2:7" ht="13">
      <c r="B346" s="36"/>
      <c r="C346" s="80"/>
      <c r="D346" s="5"/>
      <c r="E346" s="5"/>
      <c r="F346" s="5"/>
      <c r="G346" s="5"/>
    </row>
    <row r="347" spans="2:7" ht="13">
      <c r="B347" s="36"/>
      <c r="C347" s="80"/>
      <c r="D347" s="5"/>
      <c r="E347" s="5"/>
      <c r="F347" s="5"/>
      <c r="G347" s="5"/>
    </row>
    <row r="348" spans="2:7" ht="13">
      <c r="B348" s="36"/>
      <c r="C348" s="80"/>
      <c r="D348" s="5"/>
      <c r="E348" s="5"/>
      <c r="F348" s="5"/>
      <c r="G348" s="5"/>
    </row>
    <row r="349" spans="2:7" ht="13">
      <c r="B349" s="36"/>
      <c r="C349" s="80"/>
      <c r="D349" s="5"/>
      <c r="E349" s="5"/>
      <c r="F349" s="5"/>
      <c r="G349" s="5"/>
    </row>
    <row r="350" spans="2:7" ht="13">
      <c r="B350" s="36"/>
      <c r="C350" s="80"/>
      <c r="D350" s="5"/>
      <c r="E350" s="5"/>
      <c r="F350" s="5"/>
      <c r="G350" s="5"/>
    </row>
    <row r="351" spans="2:7" ht="13">
      <c r="B351" s="36"/>
      <c r="C351" s="80"/>
      <c r="D351" s="5"/>
      <c r="E351" s="5"/>
      <c r="F351" s="5"/>
      <c r="G351" s="5"/>
    </row>
    <row r="352" spans="2:7" ht="13">
      <c r="B352" s="36"/>
      <c r="C352" s="80"/>
      <c r="D352" s="5"/>
      <c r="E352" s="5"/>
      <c r="F352" s="5"/>
      <c r="G352" s="5"/>
    </row>
    <row r="353" spans="2:7" ht="13">
      <c r="B353" s="36"/>
      <c r="C353" s="80"/>
      <c r="D353" s="5"/>
      <c r="E353" s="5"/>
      <c r="F353" s="5"/>
      <c r="G353" s="5"/>
    </row>
    <row r="354" spans="2:7" ht="13">
      <c r="B354" s="36"/>
      <c r="C354" s="80"/>
      <c r="D354" s="5"/>
      <c r="E354" s="5"/>
      <c r="F354" s="5"/>
      <c r="G354" s="5"/>
    </row>
    <row r="355" spans="2:7" ht="13">
      <c r="B355" s="36"/>
      <c r="C355" s="80"/>
      <c r="D355" s="5"/>
      <c r="E355" s="5"/>
      <c r="F355" s="5"/>
      <c r="G355" s="5"/>
    </row>
    <row r="356" spans="2:7" ht="13">
      <c r="B356" s="36"/>
      <c r="C356" s="80"/>
      <c r="D356" s="5"/>
      <c r="E356" s="5"/>
      <c r="F356" s="5"/>
      <c r="G356" s="5"/>
    </row>
    <row r="357" spans="2:7" ht="13">
      <c r="B357" s="36"/>
      <c r="C357" s="80"/>
      <c r="D357" s="5"/>
      <c r="E357" s="5"/>
      <c r="F357" s="5"/>
      <c r="G357" s="5"/>
    </row>
    <row r="358" spans="2:7" ht="13">
      <c r="B358" s="36"/>
      <c r="C358" s="80"/>
      <c r="D358" s="5"/>
      <c r="E358" s="5"/>
      <c r="F358" s="5"/>
      <c r="G358" s="5"/>
    </row>
    <row r="359" spans="2:7" ht="13">
      <c r="B359" s="36"/>
      <c r="C359" s="80"/>
      <c r="D359" s="5"/>
      <c r="E359" s="5"/>
      <c r="F359" s="5"/>
      <c r="G359" s="5"/>
    </row>
    <row r="360" spans="2:7" ht="13">
      <c r="B360" s="36"/>
      <c r="C360" s="80"/>
      <c r="D360" s="5"/>
      <c r="E360" s="5"/>
      <c r="F360" s="5"/>
      <c r="G360" s="5"/>
    </row>
    <row r="361" spans="2:7" ht="13">
      <c r="B361" s="36"/>
      <c r="C361" s="80"/>
      <c r="D361" s="5"/>
      <c r="E361" s="5"/>
      <c r="F361" s="5"/>
      <c r="G361" s="5"/>
    </row>
    <row r="362" spans="2:7" ht="13">
      <c r="B362" s="36"/>
      <c r="C362" s="80"/>
      <c r="D362" s="5"/>
      <c r="E362" s="5"/>
      <c r="F362" s="5"/>
      <c r="G362" s="5"/>
    </row>
    <row r="363" spans="2:7" ht="13">
      <c r="B363" s="36"/>
      <c r="C363" s="80"/>
      <c r="D363" s="5"/>
      <c r="E363" s="5"/>
      <c r="F363" s="5"/>
      <c r="G363" s="5"/>
    </row>
    <row r="364" spans="2:7" ht="13">
      <c r="B364" s="36"/>
      <c r="C364" s="80"/>
      <c r="D364" s="5"/>
      <c r="E364" s="5"/>
      <c r="F364" s="5"/>
      <c r="G364" s="5"/>
    </row>
    <row r="365" spans="2:7" ht="13">
      <c r="B365" s="36"/>
      <c r="C365" s="80"/>
      <c r="D365" s="5"/>
      <c r="E365" s="5"/>
      <c r="F365" s="5"/>
      <c r="G365" s="5"/>
    </row>
    <row r="366" spans="2:7" ht="13">
      <c r="B366" s="36"/>
      <c r="C366" s="80"/>
      <c r="D366" s="5"/>
      <c r="E366" s="5"/>
      <c r="F366" s="5"/>
      <c r="G366" s="5"/>
    </row>
    <row r="367" spans="2:7" ht="13">
      <c r="B367" s="36"/>
      <c r="C367" s="80"/>
      <c r="D367" s="5"/>
      <c r="E367" s="5"/>
      <c r="F367" s="5"/>
      <c r="G367" s="5"/>
    </row>
    <row r="368" spans="2:7" ht="13">
      <c r="B368" s="36"/>
      <c r="C368" s="80"/>
      <c r="D368" s="5"/>
      <c r="E368" s="5"/>
      <c r="F368" s="5"/>
      <c r="G368" s="5"/>
    </row>
    <row r="369" spans="2:7" ht="13">
      <c r="B369" s="36"/>
      <c r="C369" s="80"/>
      <c r="D369" s="5"/>
      <c r="E369" s="5"/>
      <c r="F369" s="5"/>
      <c r="G369" s="5"/>
    </row>
    <row r="370" spans="2:7" ht="13">
      <c r="B370" s="36"/>
      <c r="C370" s="80"/>
      <c r="D370" s="5"/>
      <c r="E370" s="5"/>
      <c r="F370" s="5"/>
      <c r="G370" s="5"/>
    </row>
    <row r="371" spans="2:7" ht="13">
      <c r="B371" s="36"/>
      <c r="C371" s="80"/>
      <c r="D371" s="5"/>
      <c r="E371" s="5"/>
      <c r="F371" s="5"/>
      <c r="G371" s="5"/>
    </row>
    <row r="372" spans="2:7" ht="13">
      <c r="B372" s="36"/>
      <c r="C372" s="80"/>
      <c r="D372" s="5"/>
      <c r="E372" s="5"/>
      <c r="F372" s="5"/>
      <c r="G372" s="5"/>
    </row>
    <row r="373" spans="2:7" ht="13">
      <c r="B373" s="36"/>
      <c r="C373" s="80"/>
      <c r="D373" s="5"/>
      <c r="E373" s="5"/>
      <c r="F373" s="5"/>
      <c r="G373" s="5"/>
    </row>
    <row r="374" spans="2:7" ht="13">
      <c r="B374" s="36"/>
      <c r="C374" s="80"/>
      <c r="D374" s="5"/>
      <c r="E374" s="5"/>
      <c r="F374" s="5"/>
      <c r="G374" s="5"/>
    </row>
    <row r="375" spans="2:7" ht="13">
      <c r="B375" s="36"/>
      <c r="C375" s="80"/>
      <c r="D375" s="5"/>
      <c r="E375" s="5"/>
      <c r="F375" s="5"/>
      <c r="G375" s="5"/>
    </row>
    <row r="376" spans="2:7" ht="13">
      <c r="B376" s="36"/>
      <c r="C376" s="80"/>
      <c r="D376" s="5"/>
      <c r="E376" s="5"/>
      <c r="F376" s="5"/>
      <c r="G376" s="5"/>
    </row>
    <row r="377" spans="2:7" ht="13">
      <c r="B377" s="36"/>
      <c r="C377" s="80"/>
      <c r="D377" s="5"/>
      <c r="E377" s="5"/>
      <c r="F377" s="5"/>
      <c r="G377" s="5"/>
    </row>
    <row r="378" spans="2:7" ht="13">
      <c r="B378" s="36"/>
      <c r="C378" s="80"/>
      <c r="D378" s="5"/>
      <c r="E378" s="5"/>
      <c r="F378" s="5"/>
      <c r="G378" s="5"/>
    </row>
    <row r="379" spans="2:7" ht="13">
      <c r="B379" s="36"/>
      <c r="C379" s="80"/>
      <c r="D379" s="5"/>
      <c r="E379" s="5"/>
      <c r="F379" s="5"/>
      <c r="G379" s="5"/>
    </row>
    <row r="380" spans="2:7" ht="13">
      <c r="B380" s="36"/>
      <c r="C380" s="80"/>
      <c r="D380" s="5"/>
      <c r="E380" s="5"/>
      <c r="F380" s="5"/>
      <c r="G380" s="5"/>
    </row>
    <row r="381" spans="2:7" ht="13">
      <c r="B381" s="36"/>
      <c r="C381" s="80"/>
      <c r="D381" s="5"/>
      <c r="E381" s="5"/>
      <c r="F381" s="5"/>
      <c r="G381" s="5"/>
    </row>
    <row r="382" spans="2:7" ht="13">
      <c r="B382" s="36"/>
      <c r="C382" s="80"/>
      <c r="D382" s="5"/>
      <c r="E382" s="5"/>
      <c r="F382" s="5"/>
      <c r="G382" s="5"/>
    </row>
    <row r="383" spans="2:7" ht="13">
      <c r="B383" s="36"/>
      <c r="C383" s="80"/>
      <c r="D383" s="5"/>
      <c r="E383" s="5"/>
      <c r="F383" s="5"/>
      <c r="G383" s="5"/>
    </row>
    <row r="384" spans="2:7" ht="13">
      <c r="B384" s="36"/>
      <c r="C384" s="80"/>
      <c r="D384" s="5"/>
      <c r="E384" s="5"/>
      <c r="F384" s="5"/>
      <c r="G384" s="5"/>
    </row>
    <row r="385" spans="2:7" ht="13">
      <c r="B385" s="36"/>
      <c r="C385" s="80"/>
      <c r="D385" s="5"/>
      <c r="E385" s="5"/>
      <c r="F385" s="5"/>
      <c r="G385" s="5"/>
    </row>
    <row r="386" spans="2:7" ht="13">
      <c r="B386" s="36"/>
      <c r="C386" s="80"/>
      <c r="D386" s="5"/>
      <c r="E386" s="5"/>
      <c r="F386" s="5"/>
      <c r="G386" s="5"/>
    </row>
    <row r="387" spans="2:7" ht="13">
      <c r="B387" s="36"/>
      <c r="C387" s="80"/>
      <c r="D387" s="5"/>
      <c r="E387" s="5"/>
      <c r="F387" s="5"/>
      <c r="G387" s="5"/>
    </row>
    <row r="388" spans="2:7" ht="13">
      <c r="B388" s="36"/>
      <c r="C388" s="80"/>
      <c r="D388" s="5"/>
      <c r="E388" s="5"/>
      <c r="F388" s="5"/>
      <c r="G388" s="5"/>
    </row>
    <row r="389" spans="2:7" ht="13">
      <c r="B389" s="36"/>
      <c r="C389" s="80"/>
      <c r="D389" s="5"/>
      <c r="E389" s="5"/>
      <c r="F389" s="5"/>
      <c r="G389" s="5"/>
    </row>
    <row r="390" spans="2:7" ht="13">
      <c r="B390" s="36"/>
      <c r="C390" s="80"/>
      <c r="D390" s="5"/>
      <c r="E390" s="5"/>
      <c r="F390" s="5"/>
      <c r="G390" s="5"/>
    </row>
    <row r="391" spans="2:7" ht="13">
      <c r="B391" s="36"/>
      <c r="C391" s="80"/>
      <c r="D391" s="5"/>
      <c r="E391" s="5"/>
      <c r="F391" s="5"/>
      <c r="G391" s="5"/>
    </row>
    <row r="392" spans="2:7" ht="13">
      <c r="B392" s="36"/>
      <c r="C392" s="80"/>
      <c r="D392" s="5"/>
      <c r="E392" s="5"/>
      <c r="F392" s="5"/>
      <c r="G392" s="5"/>
    </row>
    <row r="393" spans="2:7" ht="13">
      <c r="B393" s="36"/>
      <c r="C393" s="80"/>
      <c r="D393" s="5"/>
      <c r="E393" s="5"/>
      <c r="F393" s="5"/>
      <c r="G393" s="5"/>
    </row>
    <row r="394" spans="2:7" ht="13">
      <c r="B394" s="36"/>
      <c r="C394" s="80"/>
      <c r="D394" s="5"/>
      <c r="E394" s="5"/>
      <c r="F394" s="5"/>
      <c r="G394" s="5"/>
    </row>
    <row r="395" spans="2:7" ht="13">
      <c r="B395" s="36"/>
      <c r="C395" s="80"/>
      <c r="D395" s="5"/>
      <c r="E395" s="5"/>
      <c r="F395" s="5"/>
      <c r="G395" s="5"/>
    </row>
    <row r="396" spans="2:7" ht="13">
      <c r="B396" s="36"/>
      <c r="C396" s="80"/>
      <c r="D396" s="5"/>
      <c r="E396" s="5"/>
      <c r="F396" s="5"/>
      <c r="G396" s="5"/>
    </row>
    <row r="397" spans="2:7" ht="13">
      <c r="B397" s="36"/>
      <c r="C397" s="80"/>
      <c r="D397" s="5"/>
      <c r="E397" s="5"/>
      <c r="F397" s="5"/>
      <c r="G397" s="5"/>
    </row>
    <row r="398" spans="2:7" ht="13">
      <c r="B398" s="36"/>
      <c r="C398" s="80"/>
      <c r="D398" s="5"/>
      <c r="E398" s="5"/>
      <c r="F398" s="5"/>
      <c r="G398" s="5"/>
    </row>
    <row r="399" spans="2:7" ht="13">
      <c r="B399" s="36"/>
      <c r="C399" s="80"/>
      <c r="D399" s="5"/>
      <c r="E399" s="5"/>
      <c r="F399" s="5"/>
      <c r="G399" s="5"/>
    </row>
    <row r="400" spans="2:7" ht="13">
      <c r="B400" s="36"/>
      <c r="C400" s="80"/>
      <c r="D400" s="5"/>
      <c r="E400" s="5"/>
      <c r="F400" s="5"/>
      <c r="G400" s="5"/>
    </row>
    <row r="401" spans="2:7" ht="13">
      <c r="B401" s="36"/>
      <c r="C401" s="80"/>
      <c r="D401" s="5"/>
      <c r="E401" s="5"/>
      <c r="F401" s="5"/>
      <c r="G401" s="5"/>
    </row>
    <row r="402" spans="2:7" ht="13">
      <c r="B402" s="36"/>
      <c r="C402" s="80"/>
      <c r="D402" s="5"/>
      <c r="E402" s="5"/>
      <c r="F402" s="5"/>
      <c r="G402" s="5"/>
    </row>
    <row r="403" spans="2:7" ht="13">
      <c r="B403" s="36"/>
      <c r="C403" s="80"/>
      <c r="D403" s="5"/>
      <c r="E403" s="5"/>
      <c r="F403" s="5"/>
      <c r="G403" s="5"/>
    </row>
    <row r="404" spans="2:7" ht="13">
      <c r="B404" s="36"/>
      <c r="C404" s="80"/>
      <c r="D404" s="5"/>
      <c r="E404" s="5"/>
      <c r="F404" s="5"/>
      <c r="G404" s="5"/>
    </row>
    <row r="405" spans="2:7" ht="13">
      <c r="B405" s="36"/>
      <c r="C405" s="80"/>
      <c r="D405" s="5"/>
      <c r="E405" s="5"/>
      <c r="F405" s="5"/>
      <c r="G405" s="5"/>
    </row>
    <row r="406" spans="2:7" ht="13">
      <c r="B406" s="36"/>
      <c r="C406" s="80"/>
      <c r="D406" s="5"/>
      <c r="E406" s="5"/>
      <c r="F406" s="5"/>
      <c r="G406" s="5"/>
    </row>
    <row r="407" spans="2:7" ht="13">
      <c r="B407" s="36"/>
      <c r="C407" s="80"/>
      <c r="D407" s="5"/>
      <c r="E407" s="5"/>
      <c r="F407" s="5"/>
      <c r="G407" s="5"/>
    </row>
    <row r="408" spans="2:7" ht="13">
      <c r="B408" s="36"/>
      <c r="C408" s="80"/>
      <c r="D408" s="5"/>
      <c r="E408" s="5"/>
      <c r="F408" s="5"/>
      <c r="G408" s="5"/>
    </row>
    <row r="409" spans="2:7" ht="13">
      <c r="B409" s="36"/>
      <c r="C409" s="80"/>
      <c r="D409" s="5"/>
      <c r="E409" s="5"/>
      <c r="F409" s="5"/>
      <c r="G409" s="5"/>
    </row>
    <row r="410" spans="2:7" ht="13">
      <c r="B410" s="36"/>
      <c r="C410" s="80"/>
      <c r="D410" s="5"/>
      <c r="E410" s="5"/>
      <c r="F410" s="5"/>
      <c r="G410" s="5"/>
    </row>
    <row r="411" spans="2:7" ht="13">
      <c r="B411" s="36"/>
      <c r="C411" s="80"/>
      <c r="D411" s="5"/>
      <c r="E411" s="5"/>
      <c r="F411" s="5"/>
      <c r="G411" s="5"/>
    </row>
    <row r="412" spans="2:7" ht="13">
      <c r="B412" s="36"/>
      <c r="C412" s="80"/>
      <c r="D412" s="5"/>
      <c r="E412" s="5"/>
      <c r="F412" s="5"/>
      <c r="G412" s="5"/>
    </row>
    <row r="413" spans="2:7" ht="13">
      <c r="B413" s="36"/>
      <c r="C413" s="80"/>
      <c r="D413" s="5"/>
      <c r="E413" s="5"/>
      <c r="F413" s="5"/>
      <c r="G413" s="5"/>
    </row>
    <row r="414" spans="2:7" ht="13">
      <c r="B414" s="36"/>
      <c r="C414" s="80"/>
      <c r="D414" s="5"/>
      <c r="E414" s="5"/>
      <c r="F414" s="5"/>
      <c r="G414" s="5"/>
    </row>
    <row r="415" spans="2:7" ht="13">
      <c r="B415" s="36"/>
      <c r="C415" s="80"/>
      <c r="D415" s="5"/>
      <c r="E415" s="5"/>
      <c r="F415" s="5"/>
      <c r="G415" s="5"/>
    </row>
    <row r="416" spans="2:7" ht="13">
      <c r="B416" s="36"/>
      <c r="C416" s="80"/>
      <c r="D416" s="5"/>
      <c r="E416" s="5"/>
      <c r="F416" s="5"/>
      <c r="G416" s="5"/>
    </row>
    <row r="417" spans="2:7" ht="13">
      <c r="B417" s="36"/>
      <c r="C417" s="80"/>
      <c r="D417" s="5"/>
      <c r="E417" s="5"/>
      <c r="F417" s="5"/>
      <c r="G417" s="5"/>
    </row>
    <row r="418" spans="2:7" ht="13">
      <c r="B418" s="36"/>
      <c r="C418" s="80"/>
      <c r="D418" s="5"/>
      <c r="E418" s="5"/>
      <c r="F418" s="5"/>
      <c r="G418" s="5"/>
    </row>
    <row r="419" spans="2:7" ht="13">
      <c r="B419" s="36"/>
      <c r="C419" s="80"/>
      <c r="D419" s="5"/>
      <c r="E419" s="5"/>
      <c r="F419" s="5"/>
      <c r="G419" s="5"/>
    </row>
    <row r="420" spans="2:7" ht="13">
      <c r="B420" s="36"/>
      <c r="C420" s="80"/>
      <c r="D420" s="5"/>
      <c r="E420" s="5"/>
      <c r="F420" s="5"/>
      <c r="G420" s="5"/>
    </row>
    <row r="421" spans="2:7" ht="13">
      <c r="B421" s="36"/>
      <c r="C421" s="80"/>
      <c r="D421" s="5"/>
      <c r="E421" s="5"/>
      <c r="F421" s="5"/>
      <c r="G421" s="5"/>
    </row>
    <row r="422" spans="2:7" ht="13">
      <c r="B422" s="36"/>
      <c r="C422" s="80"/>
      <c r="D422" s="5"/>
      <c r="E422" s="5"/>
      <c r="F422" s="5"/>
      <c r="G422" s="5"/>
    </row>
    <row r="423" spans="2:7" ht="13">
      <c r="B423" s="36"/>
      <c r="C423" s="80"/>
      <c r="D423" s="5"/>
      <c r="E423" s="5"/>
      <c r="F423" s="5"/>
      <c r="G423" s="5"/>
    </row>
    <row r="424" spans="2:7" ht="13">
      <c r="B424" s="36"/>
      <c r="C424" s="80"/>
      <c r="D424" s="5"/>
      <c r="E424" s="5"/>
      <c r="F424" s="5"/>
      <c r="G424" s="5"/>
    </row>
    <row r="425" spans="2:7" ht="13">
      <c r="B425" s="36"/>
      <c r="C425" s="80"/>
      <c r="D425" s="5"/>
      <c r="E425" s="5"/>
      <c r="F425" s="5"/>
      <c r="G425" s="5"/>
    </row>
    <row r="426" spans="2:7" ht="13">
      <c r="B426" s="36"/>
      <c r="C426" s="80"/>
      <c r="D426" s="5"/>
      <c r="E426" s="5"/>
      <c r="F426" s="5"/>
      <c r="G426" s="5"/>
    </row>
    <row r="427" spans="2:7" ht="13">
      <c r="B427" s="36"/>
      <c r="C427" s="80"/>
      <c r="D427" s="5"/>
      <c r="E427" s="5"/>
      <c r="F427" s="5"/>
      <c r="G427" s="5"/>
    </row>
    <row r="428" spans="2:7" ht="13">
      <c r="B428" s="36"/>
      <c r="C428" s="80"/>
      <c r="D428" s="5"/>
      <c r="E428" s="5"/>
      <c r="F428" s="5"/>
      <c r="G428" s="5"/>
    </row>
    <row r="429" spans="2:7" ht="13">
      <c r="B429" s="36"/>
      <c r="C429" s="80"/>
      <c r="D429" s="5"/>
      <c r="E429" s="5"/>
      <c r="F429" s="5"/>
      <c r="G429" s="5"/>
    </row>
    <row r="430" spans="2:7" ht="13">
      <c r="B430" s="36"/>
      <c r="C430" s="80"/>
      <c r="D430" s="5"/>
      <c r="E430" s="5"/>
      <c r="F430" s="5"/>
      <c r="G430" s="5"/>
    </row>
    <row r="431" spans="2:7" ht="13">
      <c r="B431" s="36"/>
      <c r="C431" s="80"/>
      <c r="D431" s="5"/>
      <c r="E431" s="5"/>
      <c r="F431" s="5"/>
      <c r="G431" s="5"/>
    </row>
    <row r="432" spans="2:7" ht="13">
      <c r="B432" s="36"/>
      <c r="C432" s="80"/>
      <c r="D432" s="5"/>
      <c r="E432" s="5"/>
      <c r="F432" s="5"/>
      <c r="G432" s="5"/>
    </row>
    <row r="433" spans="2:7" ht="13">
      <c r="B433" s="36"/>
      <c r="C433" s="80"/>
      <c r="D433" s="5"/>
      <c r="E433" s="5"/>
      <c r="F433" s="5"/>
      <c r="G433" s="5"/>
    </row>
    <row r="434" spans="2:7" ht="13">
      <c r="B434" s="36"/>
      <c r="C434" s="80"/>
      <c r="D434" s="5"/>
      <c r="E434" s="5"/>
      <c r="F434" s="5"/>
      <c r="G434" s="5"/>
    </row>
    <row r="435" spans="2:7" ht="13">
      <c r="B435" s="36"/>
      <c r="C435" s="80"/>
      <c r="D435" s="5"/>
      <c r="E435" s="5"/>
      <c r="F435" s="5"/>
      <c r="G435" s="5"/>
    </row>
    <row r="436" spans="2:7" ht="13">
      <c r="B436" s="36"/>
      <c r="C436" s="80"/>
      <c r="D436" s="5"/>
      <c r="E436" s="5"/>
      <c r="F436" s="5"/>
      <c r="G436" s="5"/>
    </row>
    <row r="437" spans="2:7" ht="13">
      <c r="B437" s="36"/>
      <c r="C437" s="80"/>
      <c r="D437" s="5"/>
      <c r="E437" s="5"/>
      <c r="F437" s="5"/>
      <c r="G437" s="5"/>
    </row>
    <row r="438" spans="2:7" ht="13">
      <c r="B438" s="36"/>
      <c r="C438" s="80"/>
      <c r="D438" s="5"/>
      <c r="E438" s="5"/>
      <c r="F438" s="5"/>
      <c r="G438" s="5"/>
    </row>
    <row r="439" spans="2:7" ht="13">
      <c r="B439" s="36"/>
      <c r="C439" s="80"/>
      <c r="D439" s="5"/>
      <c r="E439" s="5"/>
      <c r="F439" s="5"/>
      <c r="G439" s="5"/>
    </row>
    <row r="440" spans="2:7" ht="13">
      <c r="B440" s="36"/>
      <c r="C440" s="80"/>
      <c r="D440" s="5"/>
      <c r="E440" s="5"/>
      <c r="F440" s="5"/>
      <c r="G440" s="5"/>
    </row>
    <row r="441" spans="2:7" ht="13">
      <c r="B441" s="36"/>
      <c r="C441" s="80"/>
      <c r="D441" s="5"/>
      <c r="E441" s="5"/>
      <c r="F441" s="5"/>
      <c r="G441" s="5"/>
    </row>
    <row r="442" spans="2:7" ht="13">
      <c r="B442" s="36"/>
      <c r="C442" s="80"/>
      <c r="D442" s="5"/>
      <c r="E442" s="5"/>
      <c r="F442" s="5"/>
      <c r="G442" s="5"/>
    </row>
    <row r="443" spans="2:7" ht="13">
      <c r="B443" s="36"/>
      <c r="C443" s="80"/>
      <c r="D443" s="5"/>
      <c r="E443" s="5"/>
      <c r="F443" s="5"/>
      <c r="G443" s="5"/>
    </row>
    <row r="444" spans="2:7" ht="13">
      <c r="B444" s="36"/>
      <c r="C444" s="80"/>
      <c r="D444" s="5"/>
      <c r="E444" s="5"/>
      <c r="F444" s="5"/>
      <c r="G444" s="5"/>
    </row>
    <row r="445" spans="2:7" ht="13">
      <c r="B445" s="36"/>
      <c r="C445" s="80"/>
      <c r="D445" s="5"/>
      <c r="E445" s="5"/>
      <c r="F445" s="5"/>
      <c r="G445" s="5"/>
    </row>
    <row r="446" spans="2:7" ht="13">
      <c r="B446" s="36"/>
      <c r="C446" s="80"/>
      <c r="D446" s="5"/>
      <c r="E446" s="5"/>
      <c r="F446" s="5"/>
      <c r="G446" s="5"/>
    </row>
    <row r="447" spans="2:7" ht="13">
      <c r="B447" s="36"/>
      <c r="C447" s="80"/>
      <c r="D447" s="5"/>
      <c r="E447" s="5"/>
      <c r="F447" s="5"/>
      <c r="G447" s="5"/>
    </row>
    <row r="448" spans="2:7" ht="13">
      <c r="B448" s="36"/>
      <c r="C448" s="80"/>
      <c r="D448" s="5"/>
      <c r="E448" s="5"/>
      <c r="F448" s="5"/>
      <c r="G448" s="5"/>
    </row>
    <row r="449" spans="2:7" ht="13">
      <c r="B449" s="36"/>
      <c r="C449" s="80"/>
      <c r="D449" s="5"/>
      <c r="E449" s="5"/>
      <c r="F449" s="5"/>
      <c r="G449" s="5"/>
    </row>
    <row r="450" spans="2:7" ht="13">
      <c r="B450" s="36"/>
      <c r="C450" s="80"/>
      <c r="D450" s="5"/>
      <c r="E450" s="5"/>
      <c r="F450" s="5"/>
      <c r="G450" s="5"/>
    </row>
    <row r="451" spans="2:7" ht="13">
      <c r="B451" s="36"/>
      <c r="C451" s="80"/>
      <c r="D451" s="5"/>
      <c r="E451" s="5"/>
      <c r="F451" s="5"/>
      <c r="G451" s="5"/>
    </row>
    <row r="452" spans="2:7" ht="13">
      <c r="B452" s="36"/>
      <c r="C452" s="80"/>
      <c r="D452" s="5"/>
      <c r="E452" s="5"/>
      <c r="F452" s="5"/>
      <c r="G452" s="5"/>
    </row>
    <row r="453" spans="2:7" ht="13">
      <c r="B453" s="36"/>
      <c r="C453" s="80"/>
      <c r="D453" s="5"/>
      <c r="E453" s="5"/>
      <c r="F453" s="5"/>
      <c r="G453" s="5"/>
    </row>
    <row r="454" spans="2:7" ht="13">
      <c r="B454" s="36"/>
      <c r="C454" s="80"/>
      <c r="D454" s="5"/>
      <c r="E454" s="5"/>
      <c r="F454" s="5"/>
      <c r="G454" s="5"/>
    </row>
    <row r="455" spans="2:7" ht="13">
      <c r="B455" s="36"/>
      <c r="C455" s="80"/>
      <c r="D455" s="5"/>
      <c r="E455" s="5"/>
      <c r="F455" s="5"/>
      <c r="G455" s="5"/>
    </row>
    <row r="456" spans="2:7" ht="13">
      <c r="B456" s="36"/>
      <c r="C456" s="80"/>
      <c r="D456" s="5"/>
      <c r="E456" s="5"/>
      <c r="F456" s="5"/>
      <c r="G456" s="5"/>
    </row>
    <row r="457" spans="2:7" ht="13">
      <c r="B457" s="36"/>
      <c r="C457" s="80"/>
      <c r="D457" s="5"/>
      <c r="E457" s="5"/>
      <c r="F457" s="5"/>
      <c r="G457" s="5"/>
    </row>
    <row r="458" spans="2:7" ht="13">
      <c r="B458" s="36"/>
      <c r="C458" s="80"/>
      <c r="D458" s="5"/>
      <c r="E458" s="5"/>
      <c r="F458" s="5"/>
      <c r="G458" s="5"/>
    </row>
    <row r="459" spans="2:7" ht="13">
      <c r="B459" s="36"/>
      <c r="C459" s="80"/>
      <c r="D459" s="5"/>
      <c r="E459" s="5"/>
      <c r="F459" s="5"/>
      <c r="G459" s="5"/>
    </row>
    <row r="460" spans="2:7" ht="13">
      <c r="B460" s="36"/>
      <c r="C460" s="80"/>
      <c r="D460" s="5"/>
      <c r="E460" s="5"/>
      <c r="F460" s="5"/>
      <c r="G460" s="5"/>
    </row>
    <row r="461" spans="2:7" ht="13">
      <c r="B461" s="36"/>
      <c r="C461" s="80"/>
      <c r="D461" s="5"/>
      <c r="E461" s="5"/>
      <c r="F461" s="5"/>
      <c r="G461" s="5"/>
    </row>
    <row r="462" spans="2:7" ht="13">
      <c r="B462" s="36"/>
      <c r="C462" s="80"/>
      <c r="D462" s="5"/>
      <c r="E462" s="5"/>
      <c r="F462" s="5"/>
      <c r="G462" s="5"/>
    </row>
    <row r="463" spans="2:7" ht="13">
      <c r="B463" s="36"/>
      <c r="C463" s="80"/>
      <c r="D463" s="5"/>
      <c r="E463" s="5"/>
      <c r="F463" s="5"/>
      <c r="G463" s="5"/>
    </row>
    <row r="464" spans="2:7" ht="13">
      <c r="B464" s="36"/>
      <c r="C464" s="80"/>
      <c r="D464" s="5"/>
      <c r="E464" s="5"/>
      <c r="F464" s="5"/>
      <c r="G464" s="5"/>
    </row>
    <row r="465" spans="2:7" ht="13">
      <c r="B465" s="36"/>
      <c r="C465" s="80"/>
      <c r="D465" s="5"/>
      <c r="E465" s="5"/>
      <c r="F465" s="5"/>
      <c r="G465" s="5"/>
    </row>
    <row r="466" spans="2:7" ht="13">
      <c r="B466" s="36"/>
      <c r="C466" s="80"/>
      <c r="D466" s="5"/>
      <c r="E466" s="5"/>
      <c r="F466" s="5"/>
      <c r="G466" s="5"/>
    </row>
    <row r="467" spans="2:7" ht="13">
      <c r="B467" s="36"/>
      <c r="C467" s="80"/>
      <c r="D467" s="5"/>
      <c r="E467" s="5"/>
      <c r="F467" s="5"/>
      <c r="G467" s="5"/>
    </row>
    <row r="468" spans="2:7" ht="13">
      <c r="B468" s="36"/>
      <c r="C468" s="80"/>
      <c r="D468" s="5"/>
      <c r="E468" s="5"/>
      <c r="F468" s="5"/>
      <c r="G468" s="5"/>
    </row>
    <row r="469" spans="2:7" ht="13">
      <c r="B469" s="36"/>
      <c r="C469" s="80"/>
      <c r="D469" s="5"/>
      <c r="E469" s="5"/>
      <c r="F469" s="5"/>
      <c r="G469" s="5"/>
    </row>
    <row r="470" spans="2:7" ht="13">
      <c r="B470" s="36"/>
      <c r="C470" s="80"/>
      <c r="D470" s="5"/>
      <c r="E470" s="5"/>
      <c r="F470" s="5"/>
      <c r="G470" s="5"/>
    </row>
    <row r="471" spans="2:7" ht="13">
      <c r="B471" s="36"/>
      <c r="C471" s="80"/>
      <c r="D471" s="5"/>
      <c r="E471" s="5"/>
      <c r="F471" s="5"/>
      <c r="G471" s="5"/>
    </row>
    <row r="472" spans="2:7" ht="13">
      <c r="B472" s="36"/>
      <c r="C472" s="80"/>
      <c r="D472" s="5"/>
      <c r="E472" s="5"/>
      <c r="F472" s="5"/>
      <c r="G472" s="5"/>
    </row>
    <row r="473" spans="2:7" ht="13">
      <c r="B473" s="36"/>
      <c r="C473" s="80"/>
      <c r="D473" s="5"/>
      <c r="E473" s="5"/>
      <c r="F473" s="5"/>
      <c r="G473" s="5"/>
    </row>
    <row r="474" spans="2:7" ht="13">
      <c r="B474" s="36"/>
      <c r="C474" s="80"/>
      <c r="D474" s="5"/>
      <c r="E474" s="5"/>
      <c r="F474" s="5"/>
      <c r="G474" s="5"/>
    </row>
    <row r="475" spans="2:7" ht="13">
      <c r="B475" s="36"/>
      <c r="C475" s="80"/>
      <c r="D475" s="5"/>
      <c r="E475" s="5"/>
      <c r="F475" s="5"/>
      <c r="G475" s="5"/>
    </row>
    <row r="476" spans="2:7" ht="13">
      <c r="B476" s="36"/>
      <c r="C476" s="80"/>
      <c r="D476" s="5"/>
      <c r="E476" s="5"/>
      <c r="F476" s="5"/>
      <c r="G476" s="5"/>
    </row>
    <row r="477" spans="2:7" ht="13">
      <c r="B477" s="36"/>
      <c r="C477" s="80"/>
      <c r="D477" s="5"/>
      <c r="E477" s="5"/>
      <c r="F477" s="5"/>
      <c r="G477" s="5"/>
    </row>
    <row r="478" spans="2:7" ht="13">
      <c r="B478" s="36"/>
      <c r="C478" s="80"/>
      <c r="D478" s="5"/>
      <c r="E478" s="5"/>
      <c r="F478" s="5"/>
      <c r="G478" s="5"/>
    </row>
    <row r="479" spans="2:7" ht="13">
      <c r="B479" s="36"/>
      <c r="C479" s="80"/>
      <c r="D479" s="5"/>
      <c r="E479" s="5"/>
      <c r="F479" s="5"/>
      <c r="G479" s="5"/>
    </row>
    <row r="480" spans="2:7" ht="13">
      <c r="B480" s="36"/>
      <c r="C480" s="80"/>
      <c r="D480" s="5"/>
      <c r="E480" s="5"/>
      <c r="F480" s="5"/>
      <c r="G480" s="5"/>
    </row>
    <row r="481" spans="2:7" ht="13">
      <c r="B481" s="36"/>
      <c r="C481" s="80"/>
      <c r="D481" s="5"/>
      <c r="E481" s="5"/>
      <c r="F481" s="5"/>
      <c r="G481" s="5"/>
    </row>
    <row r="482" spans="2:7" ht="13">
      <c r="B482" s="36"/>
      <c r="C482" s="80"/>
      <c r="D482" s="5"/>
      <c r="E482" s="5"/>
      <c r="F482" s="5"/>
      <c r="G482" s="5"/>
    </row>
    <row r="483" spans="2:7" ht="13">
      <c r="B483" s="36"/>
      <c r="C483" s="80"/>
      <c r="D483" s="5"/>
      <c r="E483" s="5"/>
      <c r="F483" s="5"/>
      <c r="G483" s="5"/>
    </row>
    <row r="484" spans="2:7" ht="13">
      <c r="B484" s="36"/>
      <c r="C484" s="80"/>
      <c r="D484" s="5"/>
      <c r="E484" s="5"/>
      <c r="F484" s="5"/>
      <c r="G484" s="5"/>
    </row>
    <row r="485" spans="2:7" ht="13">
      <c r="B485" s="36"/>
      <c r="C485" s="80"/>
      <c r="D485" s="5"/>
      <c r="E485" s="5"/>
      <c r="F485" s="5"/>
      <c r="G485" s="5"/>
    </row>
    <row r="486" spans="2:7" ht="13">
      <c r="B486" s="36"/>
      <c r="C486" s="80"/>
      <c r="D486" s="5"/>
      <c r="E486" s="5"/>
      <c r="F486" s="5"/>
      <c r="G486" s="5"/>
    </row>
    <row r="487" spans="2:7" ht="13">
      <c r="B487" s="36"/>
      <c r="C487" s="80"/>
      <c r="D487" s="5"/>
      <c r="E487" s="5"/>
      <c r="F487" s="5"/>
      <c r="G487" s="5"/>
    </row>
    <row r="488" spans="2:7" ht="13">
      <c r="B488" s="36"/>
      <c r="C488" s="80"/>
      <c r="D488" s="5"/>
      <c r="E488" s="5"/>
      <c r="F488" s="5"/>
      <c r="G488" s="5"/>
    </row>
    <row r="489" spans="2:7" ht="13">
      <c r="B489" s="36"/>
      <c r="C489" s="80"/>
      <c r="D489" s="5"/>
      <c r="E489" s="5"/>
      <c r="F489" s="5"/>
      <c r="G489" s="5"/>
    </row>
    <row r="490" spans="2:7" ht="13">
      <c r="B490" s="36"/>
      <c r="C490" s="80"/>
      <c r="D490" s="5"/>
      <c r="E490" s="5"/>
      <c r="F490" s="5"/>
      <c r="G490" s="5"/>
    </row>
    <row r="491" spans="2:7" ht="13">
      <c r="B491" s="36"/>
      <c r="C491" s="80"/>
      <c r="D491" s="5"/>
      <c r="E491" s="5"/>
      <c r="F491" s="5"/>
      <c r="G491" s="5"/>
    </row>
    <row r="492" spans="2:7" ht="13">
      <c r="B492" s="36"/>
      <c r="C492" s="80"/>
      <c r="D492" s="5"/>
      <c r="E492" s="5"/>
      <c r="F492" s="5"/>
      <c r="G492" s="5"/>
    </row>
    <row r="493" spans="2:7" ht="13">
      <c r="B493" s="36"/>
      <c r="C493" s="80"/>
      <c r="D493" s="5"/>
      <c r="E493" s="5"/>
      <c r="F493" s="5"/>
      <c r="G493" s="5"/>
    </row>
    <row r="494" spans="2:7" ht="13">
      <c r="B494" s="36"/>
      <c r="C494" s="80"/>
      <c r="D494" s="5"/>
      <c r="E494" s="5"/>
      <c r="F494" s="5"/>
      <c r="G494" s="5"/>
    </row>
    <row r="495" spans="2:7" ht="13">
      <c r="B495" s="36"/>
      <c r="C495" s="80"/>
      <c r="D495" s="5"/>
      <c r="E495" s="5"/>
      <c r="F495" s="5"/>
      <c r="G495" s="5"/>
    </row>
    <row r="496" spans="2:7" ht="13">
      <c r="B496" s="36"/>
      <c r="C496" s="80"/>
      <c r="D496" s="5"/>
      <c r="E496" s="5"/>
      <c r="F496" s="5"/>
      <c r="G496" s="5"/>
    </row>
    <row r="497" spans="2:7" ht="13">
      <c r="B497" s="36"/>
      <c r="C497" s="80"/>
      <c r="D497" s="5"/>
      <c r="E497" s="5"/>
      <c r="F497" s="5"/>
      <c r="G497" s="5"/>
    </row>
    <row r="498" spans="2:7" ht="13">
      <c r="B498" s="36"/>
      <c r="C498" s="80"/>
      <c r="D498" s="5"/>
      <c r="E498" s="5"/>
      <c r="F498" s="5"/>
      <c r="G498" s="5"/>
    </row>
    <row r="499" spans="2:7" ht="13">
      <c r="B499" s="36"/>
      <c r="C499" s="80"/>
      <c r="D499" s="5"/>
      <c r="E499" s="5"/>
      <c r="F499" s="5"/>
      <c r="G499" s="5"/>
    </row>
    <row r="500" spans="2:7" ht="13">
      <c r="B500" s="36"/>
      <c r="C500" s="80"/>
      <c r="D500" s="5"/>
      <c r="E500" s="5"/>
      <c r="F500" s="5"/>
      <c r="G500" s="5"/>
    </row>
    <row r="501" spans="2:7" ht="13">
      <c r="B501" s="36"/>
      <c r="C501" s="80"/>
      <c r="D501" s="5"/>
      <c r="E501" s="5"/>
      <c r="F501" s="5"/>
      <c r="G501" s="5"/>
    </row>
    <row r="502" spans="2:7" ht="13">
      <c r="B502" s="36"/>
      <c r="C502" s="80"/>
      <c r="D502" s="5"/>
      <c r="E502" s="5"/>
      <c r="F502" s="5"/>
      <c r="G502" s="5"/>
    </row>
    <row r="503" spans="2:7" ht="13">
      <c r="B503" s="36"/>
      <c r="C503" s="80"/>
      <c r="D503" s="5"/>
      <c r="E503" s="5"/>
      <c r="F503" s="5"/>
      <c r="G503" s="5"/>
    </row>
    <row r="504" spans="2:7" ht="13">
      <c r="B504" s="36"/>
      <c r="C504" s="80"/>
      <c r="D504" s="5"/>
      <c r="E504" s="5"/>
      <c r="F504" s="5"/>
      <c r="G504" s="5"/>
    </row>
    <row r="505" spans="2:7" ht="13">
      <c r="B505" s="36"/>
      <c r="C505" s="80"/>
      <c r="D505" s="5"/>
      <c r="E505" s="5"/>
      <c r="F505" s="5"/>
      <c r="G505" s="5"/>
    </row>
    <row r="506" spans="2:7" ht="13">
      <c r="B506" s="36"/>
      <c r="C506" s="80"/>
      <c r="D506" s="5"/>
      <c r="E506" s="5"/>
      <c r="F506" s="5"/>
      <c r="G506" s="5"/>
    </row>
    <row r="507" spans="2:7" ht="13">
      <c r="B507" s="36"/>
      <c r="C507" s="80"/>
      <c r="D507" s="5"/>
      <c r="E507" s="5"/>
      <c r="F507" s="5"/>
      <c r="G507" s="5"/>
    </row>
    <row r="508" spans="2:7" ht="13">
      <c r="B508" s="36"/>
      <c r="C508" s="80"/>
      <c r="D508" s="5"/>
      <c r="E508" s="5"/>
      <c r="F508" s="5"/>
      <c r="G508" s="5"/>
    </row>
    <row r="509" spans="2:7" ht="13">
      <c r="B509" s="36"/>
      <c r="C509" s="80"/>
      <c r="D509" s="5"/>
      <c r="E509" s="5"/>
      <c r="F509" s="5"/>
      <c r="G509" s="5"/>
    </row>
    <row r="510" spans="2:7" ht="13">
      <c r="B510" s="36"/>
      <c r="C510" s="80"/>
      <c r="D510" s="5"/>
      <c r="E510" s="5"/>
      <c r="F510" s="5"/>
      <c r="G510" s="5"/>
    </row>
    <row r="511" spans="2:7" ht="13">
      <c r="B511" s="36"/>
      <c r="C511" s="80"/>
      <c r="D511" s="5"/>
      <c r="E511" s="5"/>
      <c r="F511" s="5"/>
      <c r="G511" s="5"/>
    </row>
    <row r="512" spans="2:7" ht="13">
      <c r="B512" s="36"/>
      <c r="C512" s="80"/>
      <c r="D512" s="5"/>
      <c r="E512" s="5"/>
      <c r="F512" s="5"/>
      <c r="G512" s="5"/>
    </row>
    <row r="513" spans="2:7" ht="13">
      <c r="B513" s="36"/>
      <c r="C513" s="80"/>
      <c r="D513" s="5"/>
      <c r="E513" s="5"/>
      <c r="F513" s="5"/>
      <c r="G513" s="5"/>
    </row>
    <row r="514" spans="2:7" ht="13">
      <c r="B514" s="36"/>
      <c r="C514" s="80"/>
      <c r="D514" s="5"/>
      <c r="E514" s="5"/>
      <c r="F514" s="5"/>
      <c r="G514" s="5"/>
    </row>
    <row r="515" spans="2:7" ht="13">
      <c r="B515" s="36"/>
      <c r="C515" s="80"/>
      <c r="D515" s="5"/>
      <c r="E515" s="5"/>
      <c r="F515" s="5"/>
      <c r="G515" s="5"/>
    </row>
    <row r="516" spans="2:7" ht="13">
      <c r="B516" s="36"/>
      <c r="C516" s="80"/>
      <c r="D516" s="5"/>
      <c r="E516" s="5"/>
      <c r="F516" s="5"/>
      <c r="G516" s="5"/>
    </row>
    <row r="517" spans="2:7" ht="13">
      <c r="B517" s="36"/>
      <c r="C517" s="80"/>
      <c r="D517" s="5"/>
      <c r="E517" s="5"/>
      <c r="F517" s="5"/>
      <c r="G517" s="5"/>
    </row>
    <row r="518" spans="2:7" ht="13">
      <c r="B518" s="36"/>
      <c r="C518" s="80"/>
      <c r="D518" s="5"/>
      <c r="E518" s="5"/>
      <c r="F518" s="5"/>
      <c r="G518" s="5"/>
    </row>
    <row r="519" spans="2:7" ht="13">
      <c r="B519" s="36"/>
      <c r="C519" s="80"/>
      <c r="D519" s="5"/>
      <c r="E519" s="5"/>
      <c r="F519" s="5"/>
      <c r="G519" s="5"/>
    </row>
    <row r="520" spans="2:7" ht="13">
      <c r="B520" s="36"/>
      <c r="C520" s="80"/>
      <c r="D520" s="5"/>
      <c r="E520" s="5"/>
      <c r="F520" s="5"/>
      <c r="G520" s="5"/>
    </row>
    <row r="521" spans="2:7" ht="13">
      <c r="B521" s="36"/>
      <c r="C521" s="80"/>
      <c r="D521" s="5"/>
      <c r="E521" s="5"/>
      <c r="F521" s="5"/>
      <c r="G521" s="5"/>
    </row>
    <row r="522" spans="2:7" ht="13">
      <c r="B522" s="36"/>
      <c r="C522" s="80"/>
      <c r="D522" s="5"/>
      <c r="E522" s="5"/>
      <c r="F522" s="5"/>
      <c r="G522" s="5"/>
    </row>
    <row r="523" spans="2:7" ht="13">
      <c r="B523" s="36"/>
      <c r="C523" s="80"/>
      <c r="D523" s="5"/>
      <c r="E523" s="5"/>
      <c r="F523" s="5"/>
      <c r="G523" s="5"/>
    </row>
    <row r="524" spans="2:7" ht="13">
      <c r="B524" s="36"/>
      <c r="C524" s="80"/>
      <c r="D524" s="5"/>
      <c r="E524" s="5"/>
      <c r="F524" s="5"/>
      <c r="G524" s="5"/>
    </row>
    <row r="525" spans="2:7" ht="13">
      <c r="B525" s="36"/>
      <c r="C525" s="80"/>
      <c r="D525" s="5"/>
      <c r="E525" s="5"/>
      <c r="F525" s="5"/>
      <c r="G525" s="5"/>
    </row>
    <row r="526" spans="2:7" ht="13">
      <c r="B526" s="36"/>
      <c r="C526" s="80"/>
      <c r="D526" s="5"/>
      <c r="E526" s="5"/>
      <c r="F526" s="5"/>
      <c r="G526" s="5"/>
    </row>
    <row r="527" spans="2:7" ht="13">
      <c r="B527" s="36"/>
      <c r="C527" s="80"/>
      <c r="D527" s="5"/>
      <c r="E527" s="5"/>
      <c r="F527" s="5"/>
      <c r="G527" s="5"/>
    </row>
    <row r="528" spans="2:7" ht="13">
      <c r="B528" s="36"/>
      <c r="C528" s="80"/>
      <c r="D528" s="5"/>
      <c r="E528" s="5"/>
      <c r="F528" s="5"/>
      <c r="G528" s="5"/>
    </row>
    <row r="529" spans="2:7" ht="13">
      <c r="B529" s="36"/>
      <c r="C529" s="80"/>
      <c r="D529" s="5"/>
      <c r="E529" s="5"/>
      <c r="F529" s="5"/>
      <c r="G529" s="5"/>
    </row>
    <row r="530" spans="2:7" ht="13">
      <c r="B530" s="36"/>
      <c r="C530" s="80"/>
      <c r="D530" s="5"/>
      <c r="E530" s="5"/>
      <c r="F530" s="5"/>
      <c r="G530" s="5"/>
    </row>
    <row r="531" spans="2:7" ht="13">
      <c r="B531" s="36"/>
      <c r="C531" s="80"/>
      <c r="D531" s="5"/>
      <c r="E531" s="5"/>
      <c r="F531" s="5"/>
      <c r="G531" s="5"/>
    </row>
    <row r="532" spans="2:7" ht="13">
      <c r="B532" s="36"/>
      <c r="C532" s="80"/>
      <c r="D532" s="5"/>
      <c r="E532" s="5"/>
      <c r="F532" s="5"/>
      <c r="G532" s="5"/>
    </row>
    <row r="533" spans="2:7" ht="13">
      <c r="B533" s="36"/>
      <c r="C533" s="80"/>
      <c r="D533" s="5"/>
      <c r="E533" s="5"/>
      <c r="F533" s="5"/>
      <c r="G533" s="5"/>
    </row>
    <row r="534" spans="2:7" ht="13">
      <c r="B534" s="36"/>
      <c r="C534" s="80"/>
      <c r="D534" s="5"/>
      <c r="E534" s="5"/>
      <c r="F534" s="5"/>
      <c r="G534" s="5"/>
    </row>
    <row r="535" spans="2:7" ht="13">
      <c r="B535" s="36"/>
      <c r="C535" s="80"/>
      <c r="D535" s="5"/>
      <c r="E535" s="5"/>
      <c r="F535" s="5"/>
      <c r="G535" s="5"/>
    </row>
    <row r="536" spans="2:7" ht="13">
      <c r="B536" s="36"/>
      <c r="C536" s="80"/>
      <c r="D536" s="5"/>
      <c r="E536" s="5"/>
      <c r="F536" s="5"/>
      <c r="G536" s="5"/>
    </row>
    <row r="537" spans="2:7" ht="13">
      <c r="B537" s="36"/>
      <c r="C537" s="80"/>
      <c r="D537" s="5"/>
      <c r="E537" s="5"/>
      <c r="F537" s="5"/>
      <c r="G537" s="5"/>
    </row>
    <row r="538" spans="2:7" ht="13">
      <c r="B538" s="36"/>
      <c r="C538" s="80"/>
      <c r="D538" s="5"/>
      <c r="E538" s="5"/>
      <c r="F538" s="5"/>
      <c r="G538" s="5"/>
    </row>
    <row r="539" spans="2:7" ht="13">
      <c r="B539" s="36"/>
      <c r="C539" s="80"/>
      <c r="D539" s="5"/>
      <c r="E539" s="5"/>
      <c r="F539" s="5"/>
      <c r="G539" s="5"/>
    </row>
    <row r="540" spans="2:7" ht="13">
      <c r="B540" s="36"/>
      <c r="C540" s="80"/>
      <c r="D540" s="5"/>
      <c r="E540" s="5"/>
      <c r="F540" s="5"/>
      <c r="G540" s="5"/>
    </row>
    <row r="541" spans="2:7" ht="13">
      <c r="B541" s="36"/>
      <c r="C541" s="80"/>
      <c r="D541" s="5"/>
      <c r="E541" s="5"/>
      <c r="F541" s="5"/>
      <c r="G541" s="5"/>
    </row>
    <row r="542" spans="2:7" ht="13">
      <c r="B542" s="36"/>
      <c r="C542" s="80"/>
      <c r="D542" s="5"/>
      <c r="E542" s="5"/>
      <c r="F542" s="5"/>
      <c r="G542" s="5"/>
    </row>
    <row r="543" spans="2:7" ht="13">
      <c r="B543" s="36"/>
      <c r="C543" s="80"/>
      <c r="D543" s="5"/>
      <c r="E543" s="5"/>
      <c r="F543" s="5"/>
      <c r="G543" s="5"/>
    </row>
    <row r="544" spans="2:7" ht="13">
      <c r="B544" s="36"/>
      <c r="C544" s="80"/>
      <c r="D544" s="5"/>
      <c r="E544" s="5"/>
      <c r="F544" s="5"/>
      <c r="G544" s="5"/>
    </row>
    <row r="545" spans="2:7" ht="13">
      <c r="B545" s="36"/>
      <c r="C545" s="80"/>
      <c r="D545" s="5"/>
      <c r="E545" s="5"/>
      <c r="F545" s="5"/>
      <c r="G545" s="5"/>
    </row>
    <row r="546" spans="2:7" ht="13">
      <c r="B546" s="36"/>
      <c r="C546" s="80"/>
      <c r="D546" s="5"/>
      <c r="E546" s="5"/>
      <c r="F546" s="5"/>
      <c r="G546" s="5"/>
    </row>
    <row r="547" spans="2:7" ht="13">
      <c r="B547" s="36"/>
      <c r="C547" s="80"/>
      <c r="D547" s="5"/>
      <c r="E547" s="5"/>
      <c r="F547" s="5"/>
      <c r="G547" s="5"/>
    </row>
    <row r="548" spans="2:7" ht="13">
      <c r="B548" s="36"/>
      <c r="C548" s="80"/>
      <c r="D548" s="5"/>
      <c r="E548" s="5"/>
      <c r="F548" s="5"/>
      <c r="G548" s="5"/>
    </row>
    <row r="549" spans="2:7" ht="13">
      <c r="B549" s="36"/>
      <c r="C549" s="80"/>
      <c r="D549" s="5"/>
      <c r="E549" s="5"/>
      <c r="F549" s="5"/>
      <c r="G549" s="5"/>
    </row>
    <row r="550" spans="2:7" ht="13">
      <c r="B550" s="36"/>
      <c r="C550" s="80"/>
      <c r="D550" s="5"/>
      <c r="E550" s="5"/>
      <c r="F550" s="5"/>
      <c r="G550" s="5"/>
    </row>
    <row r="551" spans="2:7" ht="13">
      <c r="B551" s="36"/>
      <c r="C551" s="80"/>
      <c r="D551" s="5"/>
      <c r="E551" s="5"/>
      <c r="F551" s="5"/>
      <c r="G551" s="5"/>
    </row>
    <row r="552" spans="2:7" ht="13">
      <c r="B552" s="36"/>
      <c r="C552" s="80"/>
      <c r="D552" s="5"/>
      <c r="E552" s="5"/>
      <c r="F552" s="5"/>
      <c r="G552" s="5"/>
    </row>
    <row r="553" spans="2:7" ht="13">
      <c r="B553" s="36"/>
      <c r="C553" s="80"/>
      <c r="D553" s="5"/>
      <c r="E553" s="5"/>
      <c r="F553" s="5"/>
      <c r="G553" s="5"/>
    </row>
    <row r="554" spans="2:7" ht="13">
      <c r="B554" s="36"/>
      <c r="C554" s="80"/>
      <c r="D554" s="5"/>
      <c r="E554" s="5"/>
      <c r="F554" s="5"/>
      <c r="G554" s="5"/>
    </row>
    <row r="555" spans="2:7" ht="13">
      <c r="B555" s="36"/>
      <c r="C555" s="80"/>
      <c r="D555" s="5"/>
      <c r="E555" s="5"/>
      <c r="F555" s="5"/>
      <c r="G555" s="5"/>
    </row>
    <row r="556" spans="2:7" ht="13">
      <c r="B556" s="36"/>
      <c r="C556" s="80"/>
      <c r="D556" s="5"/>
      <c r="E556" s="5"/>
      <c r="F556" s="5"/>
      <c r="G556" s="5"/>
    </row>
    <row r="557" spans="2:7" ht="13">
      <c r="B557" s="36"/>
      <c r="C557" s="80"/>
      <c r="D557" s="5"/>
      <c r="E557" s="5"/>
      <c r="F557" s="5"/>
      <c r="G557" s="5"/>
    </row>
    <row r="558" spans="2:7" ht="13">
      <c r="B558" s="36"/>
      <c r="C558" s="80"/>
      <c r="D558" s="5"/>
      <c r="E558" s="5"/>
      <c r="F558" s="5"/>
      <c r="G558" s="5"/>
    </row>
    <row r="559" spans="2:7" ht="13">
      <c r="B559" s="36"/>
      <c r="C559" s="80"/>
      <c r="D559" s="5"/>
      <c r="E559" s="5"/>
      <c r="F559" s="5"/>
      <c r="G559" s="5"/>
    </row>
    <row r="560" spans="2:7" ht="13">
      <c r="B560" s="36"/>
      <c r="C560" s="80"/>
      <c r="D560" s="5"/>
      <c r="E560" s="5"/>
      <c r="F560" s="5"/>
      <c r="G560" s="5"/>
    </row>
    <row r="561" spans="2:7" ht="13">
      <c r="B561" s="36"/>
      <c r="C561" s="80"/>
      <c r="D561" s="5"/>
      <c r="E561" s="5"/>
      <c r="F561" s="5"/>
      <c r="G561" s="5"/>
    </row>
    <row r="562" spans="2:7" ht="13">
      <c r="B562" s="36"/>
      <c r="C562" s="80"/>
      <c r="D562" s="5"/>
      <c r="E562" s="5"/>
      <c r="F562" s="5"/>
      <c r="G562" s="5"/>
    </row>
    <row r="563" spans="2:7" ht="13">
      <c r="B563" s="36"/>
      <c r="C563" s="80"/>
      <c r="D563" s="5"/>
      <c r="E563" s="5"/>
      <c r="F563" s="5"/>
      <c r="G563" s="5"/>
    </row>
    <row r="564" spans="2:7" ht="13">
      <c r="B564" s="36"/>
      <c r="C564" s="80"/>
      <c r="D564" s="5"/>
      <c r="E564" s="5"/>
      <c r="F564" s="5"/>
      <c r="G564" s="5"/>
    </row>
    <row r="565" spans="2:7" ht="13">
      <c r="B565" s="36"/>
      <c r="C565" s="80"/>
      <c r="D565" s="5"/>
      <c r="E565" s="5"/>
      <c r="F565" s="5"/>
      <c r="G565" s="5"/>
    </row>
    <row r="566" spans="2:7" ht="13">
      <c r="B566" s="36"/>
      <c r="C566" s="80"/>
      <c r="D566" s="5"/>
      <c r="E566" s="5"/>
      <c r="F566" s="5"/>
      <c r="G566" s="5"/>
    </row>
    <row r="567" spans="2:7" ht="13">
      <c r="B567" s="36"/>
      <c r="C567" s="80"/>
      <c r="D567" s="5"/>
      <c r="E567" s="5"/>
      <c r="F567" s="5"/>
      <c r="G567" s="5"/>
    </row>
    <row r="568" spans="2:7" ht="13">
      <c r="B568" s="36"/>
      <c r="C568" s="80"/>
      <c r="D568" s="5"/>
      <c r="E568" s="5"/>
      <c r="F568" s="5"/>
      <c r="G568" s="5"/>
    </row>
    <row r="569" spans="2:7" ht="13">
      <c r="B569" s="36"/>
      <c r="C569" s="80"/>
      <c r="D569" s="5"/>
      <c r="E569" s="5"/>
      <c r="F569" s="5"/>
      <c r="G569" s="5"/>
    </row>
    <row r="570" spans="2:7" ht="13">
      <c r="B570" s="36"/>
      <c r="C570" s="80"/>
      <c r="D570" s="5"/>
      <c r="E570" s="5"/>
      <c r="F570" s="5"/>
      <c r="G570" s="5"/>
    </row>
    <row r="571" spans="2:7" ht="13">
      <c r="B571" s="36"/>
      <c r="C571" s="80"/>
      <c r="D571" s="5"/>
      <c r="E571" s="5"/>
      <c r="F571" s="5"/>
      <c r="G571" s="5"/>
    </row>
    <row r="572" spans="2:7" ht="13">
      <c r="B572" s="36"/>
      <c r="C572" s="80"/>
      <c r="D572" s="5"/>
      <c r="E572" s="5"/>
      <c r="F572" s="5"/>
      <c r="G572" s="5"/>
    </row>
    <row r="573" spans="2:7" ht="13">
      <c r="B573" s="36"/>
      <c r="C573" s="80"/>
      <c r="D573" s="5"/>
      <c r="E573" s="5"/>
      <c r="F573" s="5"/>
      <c r="G573" s="5"/>
    </row>
    <row r="574" spans="2:7" ht="13">
      <c r="B574" s="36"/>
      <c r="C574" s="80"/>
      <c r="D574" s="5"/>
      <c r="E574" s="5"/>
      <c r="F574" s="5"/>
      <c r="G574" s="5"/>
    </row>
    <row r="575" spans="2:7" ht="13">
      <c r="B575" s="36"/>
      <c r="C575" s="80"/>
      <c r="D575" s="5"/>
      <c r="E575" s="5"/>
      <c r="F575" s="5"/>
      <c r="G575" s="5"/>
    </row>
    <row r="576" spans="2:7" ht="13">
      <c r="B576" s="36"/>
      <c r="C576" s="80"/>
      <c r="D576" s="5"/>
      <c r="E576" s="5"/>
      <c r="F576" s="5"/>
      <c r="G576" s="5"/>
    </row>
    <row r="577" spans="2:7" ht="13">
      <c r="B577" s="36"/>
      <c r="C577" s="80"/>
      <c r="D577" s="5"/>
      <c r="E577" s="5"/>
      <c r="F577" s="5"/>
      <c r="G577" s="5"/>
    </row>
    <row r="578" spans="2:7" ht="13">
      <c r="B578" s="36"/>
      <c r="C578" s="80"/>
      <c r="D578" s="5"/>
      <c r="E578" s="5"/>
      <c r="F578" s="5"/>
      <c r="G578" s="5"/>
    </row>
    <row r="579" spans="2:7" ht="13">
      <c r="B579" s="36"/>
      <c r="C579" s="80"/>
      <c r="D579" s="5"/>
      <c r="E579" s="5"/>
      <c r="F579" s="5"/>
      <c r="G579" s="5"/>
    </row>
    <row r="580" spans="2:7" ht="13">
      <c r="B580" s="36"/>
      <c r="C580" s="80"/>
      <c r="D580" s="5"/>
      <c r="E580" s="5"/>
      <c r="F580" s="5"/>
      <c r="G580" s="5"/>
    </row>
    <row r="581" spans="2:7" ht="13">
      <c r="B581" s="36"/>
      <c r="C581" s="80"/>
      <c r="D581" s="5"/>
      <c r="E581" s="5"/>
      <c r="F581" s="5"/>
      <c r="G581" s="5"/>
    </row>
    <row r="582" spans="2:7" ht="13">
      <c r="B582" s="36"/>
      <c r="C582" s="80"/>
      <c r="D582" s="5"/>
      <c r="E582" s="5"/>
      <c r="F582" s="5"/>
      <c r="G582" s="5"/>
    </row>
    <row r="583" spans="2:7" ht="13">
      <c r="B583" s="36"/>
      <c r="C583" s="80"/>
      <c r="D583" s="5"/>
      <c r="E583" s="5"/>
      <c r="F583" s="5"/>
      <c r="G583" s="5"/>
    </row>
    <row r="584" spans="2:7" ht="13">
      <c r="B584" s="36"/>
      <c r="C584" s="80"/>
      <c r="D584" s="5"/>
      <c r="E584" s="5"/>
      <c r="F584" s="5"/>
      <c r="G584" s="5"/>
    </row>
    <row r="585" spans="2:7" ht="13">
      <c r="B585" s="36"/>
      <c r="C585" s="80"/>
      <c r="D585" s="5"/>
      <c r="E585" s="5"/>
      <c r="F585" s="5"/>
      <c r="G585" s="5"/>
    </row>
    <row r="586" spans="2:7" ht="13">
      <c r="B586" s="36"/>
      <c r="C586" s="80"/>
      <c r="D586" s="5"/>
      <c r="E586" s="5"/>
      <c r="F586" s="5"/>
      <c r="G586" s="5"/>
    </row>
    <row r="587" spans="2:7" ht="13">
      <c r="B587" s="36"/>
      <c r="C587" s="80"/>
      <c r="D587" s="5"/>
      <c r="E587" s="5"/>
      <c r="F587" s="5"/>
      <c r="G587" s="5"/>
    </row>
    <row r="588" spans="2:7" ht="13">
      <c r="B588" s="36"/>
      <c r="C588" s="80"/>
      <c r="D588" s="5"/>
      <c r="E588" s="5"/>
      <c r="F588" s="5"/>
      <c r="G588" s="5"/>
    </row>
    <row r="589" spans="2:7" ht="13">
      <c r="B589" s="36"/>
      <c r="C589" s="80"/>
      <c r="D589" s="5"/>
      <c r="E589" s="5"/>
      <c r="F589" s="5"/>
      <c r="G589" s="5"/>
    </row>
    <row r="590" spans="2:7" ht="13">
      <c r="B590" s="36"/>
      <c r="C590" s="80"/>
      <c r="D590" s="5"/>
      <c r="E590" s="5"/>
      <c r="F590" s="5"/>
      <c r="G590" s="5"/>
    </row>
    <row r="591" spans="2:7" ht="13">
      <c r="B591" s="36"/>
      <c r="C591" s="80"/>
      <c r="D591" s="5"/>
      <c r="E591" s="5"/>
      <c r="F591" s="5"/>
      <c r="G591" s="5"/>
    </row>
    <row r="592" spans="2:7" ht="13">
      <c r="B592" s="36"/>
      <c r="C592" s="80"/>
      <c r="D592" s="5"/>
      <c r="E592" s="5"/>
      <c r="F592" s="5"/>
      <c r="G592" s="5"/>
    </row>
    <row r="593" spans="2:7" ht="13">
      <c r="B593" s="36"/>
      <c r="C593" s="80"/>
      <c r="D593" s="5"/>
      <c r="E593" s="5"/>
      <c r="F593" s="5"/>
      <c r="G593" s="5"/>
    </row>
    <row r="594" spans="2:7" ht="13">
      <c r="B594" s="36"/>
      <c r="C594" s="80"/>
      <c r="D594" s="5"/>
      <c r="E594" s="5"/>
      <c r="F594" s="5"/>
      <c r="G594" s="5"/>
    </row>
    <row r="595" spans="2:7" ht="13">
      <c r="B595" s="36"/>
      <c r="C595" s="80"/>
      <c r="D595" s="5"/>
      <c r="E595" s="5"/>
      <c r="F595" s="5"/>
      <c r="G595" s="5"/>
    </row>
    <row r="596" spans="2:7" ht="13">
      <c r="B596" s="36"/>
      <c r="C596" s="80"/>
      <c r="D596" s="5"/>
      <c r="E596" s="5"/>
      <c r="F596" s="5"/>
      <c r="G596" s="5"/>
    </row>
    <row r="597" spans="2:7" ht="13">
      <c r="B597" s="36"/>
      <c r="C597" s="80"/>
      <c r="D597" s="5"/>
      <c r="E597" s="5"/>
      <c r="F597" s="5"/>
      <c r="G597" s="5"/>
    </row>
    <row r="598" spans="2:7" ht="13">
      <c r="B598" s="36"/>
      <c r="C598" s="80"/>
      <c r="D598" s="5"/>
      <c r="E598" s="5"/>
      <c r="F598" s="5"/>
      <c r="G598" s="5"/>
    </row>
    <row r="599" spans="2:7" ht="13">
      <c r="B599" s="36"/>
      <c r="C599" s="80"/>
      <c r="D599" s="5"/>
      <c r="E599" s="5"/>
      <c r="F599" s="5"/>
      <c r="G599" s="5"/>
    </row>
    <row r="600" spans="2:7" ht="13">
      <c r="B600" s="36"/>
      <c r="C600" s="80"/>
      <c r="D600" s="5"/>
      <c r="E600" s="5"/>
      <c r="F600" s="5"/>
      <c r="G600" s="5"/>
    </row>
    <row r="601" spans="2:7" ht="13">
      <c r="B601" s="36"/>
      <c r="C601" s="80"/>
      <c r="D601" s="5"/>
      <c r="E601" s="5"/>
      <c r="F601" s="5"/>
      <c r="G601" s="5"/>
    </row>
    <row r="602" spans="2:7" ht="13">
      <c r="B602" s="36"/>
      <c r="C602" s="80"/>
      <c r="D602" s="5"/>
      <c r="E602" s="5"/>
      <c r="F602" s="5"/>
      <c r="G602" s="5"/>
    </row>
    <row r="603" spans="2:7" ht="13">
      <c r="B603" s="36"/>
      <c r="C603" s="80"/>
      <c r="D603" s="5"/>
      <c r="E603" s="5"/>
      <c r="F603" s="5"/>
      <c r="G603" s="5"/>
    </row>
    <row r="604" spans="2:7" ht="13">
      <c r="B604" s="36"/>
      <c r="C604" s="80"/>
      <c r="D604" s="5"/>
      <c r="E604" s="5"/>
      <c r="F604" s="5"/>
      <c r="G604" s="5"/>
    </row>
    <row r="605" spans="2:7" ht="13">
      <c r="B605" s="36"/>
      <c r="C605" s="80"/>
      <c r="D605" s="5"/>
      <c r="E605" s="5"/>
      <c r="F605" s="5"/>
      <c r="G605" s="5"/>
    </row>
    <row r="606" spans="2:7" ht="13">
      <c r="B606" s="36"/>
      <c r="C606" s="80"/>
      <c r="D606" s="5"/>
      <c r="E606" s="5"/>
      <c r="F606" s="5"/>
      <c r="G606" s="5"/>
    </row>
    <row r="607" spans="2:7" ht="13">
      <c r="B607" s="36"/>
      <c r="C607" s="80"/>
      <c r="D607" s="5"/>
      <c r="E607" s="5"/>
      <c r="F607" s="5"/>
      <c r="G607" s="5"/>
    </row>
    <row r="608" spans="2:7" ht="13">
      <c r="B608" s="36"/>
      <c r="C608" s="80"/>
      <c r="D608" s="5"/>
      <c r="E608" s="5"/>
      <c r="F608" s="5"/>
      <c r="G608" s="5"/>
    </row>
    <row r="609" spans="2:7" ht="13">
      <c r="B609" s="36"/>
      <c r="C609" s="80"/>
      <c r="D609" s="5"/>
      <c r="E609" s="5"/>
      <c r="F609" s="5"/>
      <c r="G609" s="5"/>
    </row>
    <row r="610" spans="2:7" ht="13">
      <c r="B610" s="36"/>
      <c r="C610" s="80"/>
      <c r="D610" s="5"/>
      <c r="E610" s="5"/>
      <c r="F610" s="5"/>
      <c r="G610" s="5"/>
    </row>
    <row r="611" spans="2:7" ht="13">
      <c r="B611" s="36"/>
      <c r="C611" s="80"/>
      <c r="D611" s="5"/>
      <c r="E611" s="5"/>
      <c r="F611" s="5"/>
      <c r="G611" s="5"/>
    </row>
    <row r="612" spans="2:7" ht="13">
      <c r="B612" s="36"/>
      <c r="C612" s="80"/>
      <c r="D612" s="5"/>
      <c r="E612" s="5"/>
      <c r="F612" s="5"/>
      <c r="G612" s="5"/>
    </row>
    <row r="613" spans="2:7" ht="13">
      <c r="B613" s="36"/>
      <c r="C613" s="80"/>
      <c r="D613" s="5"/>
      <c r="E613" s="5"/>
      <c r="F613" s="5"/>
      <c r="G613" s="5"/>
    </row>
    <row r="614" spans="2:7" ht="13">
      <c r="B614" s="36"/>
      <c r="C614" s="80"/>
      <c r="D614" s="5"/>
      <c r="E614" s="5"/>
      <c r="F614" s="5"/>
      <c r="G614" s="5"/>
    </row>
    <row r="615" spans="2:7" ht="13">
      <c r="B615" s="36"/>
      <c r="C615" s="80"/>
      <c r="D615" s="5"/>
      <c r="E615" s="5"/>
      <c r="F615" s="5"/>
      <c r="G615" s="5"/>
    </row>
    <row r="616" spans="2:7" ht="13">
      <c r="B616" s="36"/>
      <c r="C616" s="80"/>
      <c r="D616" s="5"/>
      <c r="E616" s="5"/>
      <c r="F616" s="5"/>
      <c r="G616" s="5"/>
    </row>
    <row r="617" spans="2:7" ht="13">
      <c r="B617" s="36"/>
      <c r="C617" s="80"/>
      <c r="D617" s="5"/>
      <c r="E617" s="5"/>
      <c r="F617" s="5"/>
      <c r="G617" s="5"/>
    </row>
    <row r="618" spans="2:7" ht="13">
      <c r="B618" s="36"/>
      <c r="C618" s="80"/>
      <c r="D618" s="5"/>
      <c r="E618" s="5"/>
      <c r="F618" s="5"/>
      <c r="G618" s="5"/>
    </row>
    <row r="619" spans="2:7" ht="13">
      <c r="B619" s="36"/>
      <c r="C619" s="80"/>
      <c r="D619" s="5"/>
      <c r="E619" s="5"/>
      <c r="F619" s="5"/>
      <c r="G619" s="5"/>
    </row>
    <row r="620" spans="2:7" ht="13">
      <c r="B620" s="36"/>
      <c r="C620" s="80"/>
      <c r="D620" s="5"/>
      <c r="E620" s="5"/>
      <c r="F620" s="5"/>
      <c r="G620" s="5"/>
    </row>
    <row r="621" spans="2:7" ht="13">
      <c r="B621" s="36"/>
      <c r="C621" s="80"/>
      <c r="D621" s="5"/>
      <c r="E621" s="5"/>
      <c r="F621" s="5"/>
      <c r="G621" s="5"/>
    </row>
    <row r="622" spans="2:7" ht="13">
      <c r="B622" s="36"/>
      <c r="C622" s="80"/>
      <c r="D622" s="5"/>
      <c r="E622" s="5"/>
      <c r="F622" s="5"/>
      <c r="G622" s="5"/>
    </row>
    <row r="623" spans="2:7" ht="13">
      <c r="B623" s="36"/>
      <c r="C623" s="80"/>
      <c r="D623" s="5"/>
      <c r="E623" s="5"/>
      <c r="F623" s="5"/>
      <c r="G623" s="5"/>
    </row>
    <row r="624" spans="2:7" ht="13">
      <c r="B624" s="36"/>
      <c r="C624" s="80"/>
      <c r="D624" s="5"/>
      <c r="E624" s="5"/>
      <c r="F624" s="5"/>
      <c r="G624" s="5"/>
    </row>
    <row r="625" spans="2:7" ht="13">
      <c r="B625" s="36"/>
      <c r="C625" s="80"/>
      <c r="D625" s="5"/>
      <c r="E625" s="5"/>
      <c r="F625" s="5"/>
      <c r="G625" s="5"/>
    </row>
    <row r="626" spans="2:7" ht="13">
      <c r="B626" s="36"/>
      <c r="C626" s="80"/>
      <c r="D626" s="5"/>
      <c r="E626" s="5"/>
      <c r="F626" s="5"/>
      <c r="G626" s="5"/>
    </row>
    <row r="627" spans="2:7" ht="13">
      <c r="B627" s="36"/>
      <c r="C627" s="80"/>
      <c r="D627" s="5"/>
      <c r="E627" s="5"/>
      <c r="F627" s="5"/>
      <c r="G627" s="5"/>
    </row>
    <row r="628" spans="2:7" ht="13">
      <c r="B628" s="36"/>
      <c r="C628" s="80"/>
      <c r="D628" s="5"/>
      <c r="E628" s="5"/>
      <c r="F628" s="5"/>
      <c r="G628" s="5"/>
    </row>
    <row r="629" spans="2:7" ht="13">
      <c r="B629" s="36"/>
      <c r="C629" s="80"/>
      <c r="D629" s="5"/>
      <c r="E629" s="5"/>
      <c r="F629" s="5"/>
      <c r="G629" s="5"/>
    </row>
    <row r="630" spans="2:7" ht="13">
      <c r="B630" s="36"/>
      <c r="C630" s="80"/>
      <c r="D630" s="5"/>
      <c r="E630" s="5"/>
      <c r="F630" s="5"/>
      <c r="G630" s="5"/>
    </row>
    <row r="631" spans="2:7" ht="13">
      <c r="B631" s="36"/>
      <c r="C631" s="80"/>
      <c r="D631" s="5"/>
      <c r="E631" s="5"/>
      <c r="F631" s="5"/>
      <c r="G631" s="5"/>
    </row>
    <row r="632" spans="2:7" ht="13">
      <c r="B632" s="36"/>
      <c r="C632" s="80"/>
      <c r="D632" s="5"/>
      <c r="E632" s="5"/>
      <c r="F632" s="5"/>
      <c r="G632" s="5"/>
    </row>
    <row r="633" spans="2:7" ht="13">
      <c r="B633" s="36"/>
      <c r="C633" s="80"/>
      <c r="D633" s="5"/>
      <c r="E633" s="5"/>
      <c r="F633" s="5"/>
      <c r="G633" s="5"/>
    </row>
    <row r="634" spans="2:7" ht="13">
      <c r="B634" s="36"/>
      <c r="C634" s="80"/>
      <c r="D634" s="5"/>
      <c r="E634" s="5"/>
      <c r="F634" s="5"/>
      <c r="G634" s="5"/>
    </row>
    <row r="635" spans="2:7" ht="13">
      <c r="B635" s="36"/>
      <c r="C635" s="80"/>
      <c r="D635" s="5"/>
      <c r="E635" s="5"/>
      <c r="F635" s="5"/>
      <c r="G635" s="5"/>
    </row>
    <row r="636" spans="2:7" ht="13">
      <c r="B636" s="36"/>
      <c r="C636" s="80"/>
      <c r="D636" s="5"/>
      <c r="E636" s="5"/>
      <c r="F636" s="5"/>
      <c r="G636" s="5"/>
    </row>
    <row r="637" spans="2:7" ht="13">
      <c r="B637" s="36"/>
      <c r="C637" s="80"/>
      <c r="D637" s="5"/>
      <c r="E637" s="5"/>
      <c r="F637" s="5"/>
      <c r="G637" s="5"/>
    </row>
    <row r="638" spans="2:7" ht="13">
      <c r="B638" s="36"/>
      <c r="C638" s="80"/>
      <c r="D638" s="5"/>
      <c r="E638" s="5"/>
      <c r="F638" s="5"/>
      <c r="G638" s="5"/>
    </row>
    <row r="639" spans="2:7" ht="13">
      <c r="B639" s="36"/>
      <c r="C639" s="80"/>
      <c r="D639" s="5"/>
      <c r="E639" s="5"/>
      <c r="F639" s="5"/>
      <c r="G639" s="5"/>
    </row>
    <row r="640" spans="2:7" ht="13">
      <c r="B640" s="36"/>
      <c r="C640" s="80"/>
      <c r="D640" s="5"/>
      <c r="E640" s="5"/>
      <c r="F640" s="5"/>
      <c r="G640" s="5"/>
    </row>
    <row r="641" spans="2:7" ht="13">
      <c r="B641" s="36"/>
      <c r="C641" s="80"/>
      <c r="D641" s="5"/>
      <c r="E641" s="5"/>
      <c r="F641" s="5"/>
      <c r="G641" s="5"/>
    </row>
    <row r="642" spans="2:7" ht="13">
      <c r="B642" s="36"/>
      <c r="C642" s="80"/>
      <c r="D642" s="5"/>
      <c r="E642" s="5"/>
      <c r="F642" s="5"/>
      <c r="G642" s="5"/>
    </row>
    <row r="643" spans="2:7" ht="13">
      <c r="B643" s="36"/>
      <c r="C643" s="80"/>
      <c r="D643" s="5"/>
      <c r="E643" s="5"/>
      <c r="F643" s="5"/>
      <c r="G643" s="5"/>
    </row>
    <row r="644" spans="2:7" ht="13">
      <c r="B644" s="36"/>
      <c r="C644" s="80"/>
      <c r="D644" s="5"/>
      <c r="E644" s="5"/>
      <c r="F644" s="5"/>
      <c r="G644" s="5"/>
    </row>
    <row r="645" spans="2:7" ht="13">
      <c r="B645" s="36"/>
      <c r="C645" s="80"/>
      <c r="D645" s="5"/>
      <c r="E645" s="5"/>
      <c r="F645" s="5"/>
      <c r="G645" s="5"/>
    </row>
    <row r="646" spans="2:7" ht="13">
      <c r="B646" s="36"/>
      <c r="C646" s="80"/>
      <c r="D646" s="5"/>
      <c r="E646" s="5"/>
      <c r="F646" s="5"/>
      <c r="G646" s="5"/>
    </row>
    <row r="647" spans="2:7" ht="13">
      <c r="B647" s="36"/>
      <c r="C647" s="80"/>
      <c r="D647" s="5"/>
      <c r="E647" s="5"/>
      <c r="F647" s="5"/>
      <c r="G647" s="5"/>
    </row>
    <row r="648" spans="2:7" ht="13">
      <c r="B648" s="36"/>
      <c r="C648" s="80"/>
      <c r="D648" s="5"/>
      <c r="E648" s="5"/>
      <c r="F648" s="5"/>
      <c r="G648" s="5"/>
    </row>
    <row r="649" spans="2:7" ht="13">
      <c r="B649" s="36"/>
      <c r="C649" s="80"/>
      <c r="D649" s="5"/>
      <c r="E649" s="5"/>
      <c r="F649" s="5"/>
      <c r="G649" s="5"/>
    </row>
    <row r="650" spans="2:7" ht="13">
      <c r="B650" s="36"/>
      <c r="C650" s="80"/>
      <c r="D650" s="5"/>
      <c r="E650" s="5"/>
      <c r="F650" s="5"/>
      <c r="G650" s="5"/>
    </row>
    <row r="651" spans="2:7" ht="13">
      <c r="B651" s="36"/>
      <c r="C651" s="80"/>
      <c r="D651" s="5"/>
      <c r="E651" s="5"/>
      <c r="F651" s="5"/>
      <c r="G651" s="5"/>
    </row>
    <row r="652" spans="2:7" ht="13">
      <c r="B652" s="36"/>
      <c r="C652" s="80"/>
      <c r="D652" s="5"/>
      <c r="E652" s="5"/>
      <c r="F652" s="5"/>
      <c r="G652" s="5"/>
    </row>
    <row r="653" spans="2:7" ht="13">
      <c r="B653" s="36"/>
      <c r="C653" s="80"/>
      <c r="D653" s="5"/>
      <c r="E653" s="5"/>
      <c r="F653" s="5"/>
      <c r="G653" s="5"/>
    </row>
    <row r="654" spans="2:7" ht="13">
      <c r="B654" s="36"/>
      <c r="C654" s="80"/>
      <c r="D654" s="5"/>
      <c r="E654" s="5"/>
      <c r="F654" s="5"/>
      <c r="G654" s="5"/>
    </row>
    <row r="655" spans="2:7" ht="13">
      <c r="B655" s="36"/>
      <c r="C655" s="80"/>
      <c r="D655" s="5"/>
      <c r="E655" s="5"/>
      <c r="F655" s="5"/>
      <c r="G655" s="5"/>
    </row>
    <row r="656" spans="2:7" ht="13">
      <c r="B656" s="36"/>
      <c r="C656" s="80"/>
      <c r="D656" s="5"/>
      <c r="E656" s="5"/>
      <c r="F656" s="5"/>
      <c r="G656" s="5"/>
    </row>
    <row r="657" spans="2:7" ht="13">
      <c r="B657" s="36"/>
      <c r="C657" s="80"/>
      <c r="D657" s="5"/>
      <c r="E657" s="5"/>
      <c r="F657" s="5"/>
      <c r="G657" s="5"/>
    </row>
    <row r="658" spans="2:7" ht="13">
      <c r="B658" s="36"/>
      <c r="C658" s="80"/>
      <c r="D658" s="5"/>
      <c r="E658" s="5"/>
      <c r="F658" s="5"/>
      <c r="G658" s="5"/>
    </row>
    <row r="659" spans="2:7" ht="13">
      <c r="B659" s="36"/>
      <c r="C659" s="80"/>
      <c r="D659" s="5"/>
      <c r="E659" s="5"/>
      <c r="F659" s="5"/>
      <c r="G659" s="5"/>
    </row>
    <row r="660" spans="2:7" ht="13">
      <c r="B660" s="36"/>
      <c r="C660" s="80"/>
      <c r="D660" s="5"/>
      <c r="E660" s="5"/>
      <c r="F660" s="5"/>
      <c r="G660" s="5"/>
    </row>
    <row r="661" spans="2:7" ht="13">
      <c r="B661" s="36"/>
      <c r="C661" s="80"/>
      <c r="D661" s="5"/>
      <c r="E661" s="5"/>
      <c r="F661" s="5"/>
      <c r="G661" s="5"/>
    </row>
    <row r="662" spans="2:7" ht="13">
      <c r="B662" s="36"/>
      <c r="C662" s="80"/>
      <c r="D662" s="5"/>
      <c r="E662" s="5"/>
      <c r="F662" s="5"/>
      <c r="G662" s="5"/>
    </row>
    <row r="663" spans="2:7" ht="13">
      <c r="B663" s="36"/>
      <c r="C663" s="80"/>
      <c r="D663" s="5"/>
      <c r="E663" s="5"/>
      <c r="F663" s="5"/>
      <c r="G663" s="5"/>
    </row>
    <row r="664" spans="2:7" ht="13">
      <c r="B664" s="36"/>
      <c r="C664" s="80"/>
      <c r="D664" s="5"/>
      <c r="E664" s="5"/>
      <c r="F664" s="5"/>
      <c r="G664" s="5"/>
    </row>
    <row r="665" spans="2:7" ht="13">
      <c r="B665" s="36"/>
      <c r="C665" s="80"/>
      <c r="D665" s="5"/>
      <c r="E665" s="5"/>
      <c r="F665" s="5"/>
      <c r="G665" s="5"/>
    </row>
    <row r="666" spans="2:7" ht="13">
      <c r="B666" s="36"/>
      <c r="C666" s="80"/>
      <c r="D666" s="5"/>
      <c r="E666" s="5"/>
      <c r="F666" s="5"/>
      <c r="G666" s="5"/>
    </row>
    <row r="667" spans="2:7" ht="13">
      <c r="B667" s="36"/>
      <c r="C667" s="80"/>
      <c r="D667" s="5"/>
      <c r="E667" s="5"/>
      <c r="F667" s="5"/>
      <c r="G667" s="5"/>
    </row>
    <row r="668" spans="2:7" ht="13">
      <c r="B668" s="36"/>
      <c r="C668" s="80"/>
      <c r="D668" s="5"/>
      <c r="E668" s="5"/>
      <c r="F668" s="5"/>
      <c r="G668" s="5"/>
    </row>
    <row r="669" spans="2:7" ht="13">
      <c r="B669" s="36"/>
      <c r="C669" s="80"/>
      <c r="D669" s="5"/>
      <c r="E669" s="5"/>
      <c r="F669" s="5"/>
      <c r="G669" s="5"/>
    </row>
    <row r="670" spans="2:7" ht="13">
      <c r="B670" s="36"/>
      <c r="C670" s="80"/>
      <c r="D670" s="5"/>
      <c r="E670" s="5"/>
      <c r="F670" s="5"/>
      <c r="G670" s="5"/>
    </row>
    <row r="671" spans="2:7" ht="13">
      <c r="B671" s="36"/>
      <c r="C671" s="80"/>
      <c r="D671" s="5"/>
      <c r="E671" s="5"/>
      <c r="F671" s="5"/>
      <c r="G671" s="5"/>
    </row>
    <row r="672" spans="2:7" ht="13">
      <c r="B672" s="36"/>
      <c r="C672" s="80"/>
      <c r="D672" s="5"/>
      <c r="E672" s="5"/>
      <c r="F672" s="5"/>
      <c r="G672" s="5"/>
    </row>
    <row r="673" spans="2:7" ht="13">
      <c r="B673" s="36"/>
      <c r="C673" s="80"/>
      <c r="D673" s="5"/>
      <c r="E673" s="5"/>
      <c r="F673" s="5"/>
      <c r="G673" s="5"/>
    </row>
    <row r="674" spans="2:7" ht="13">
      <c r="B674" s="36"/>
      <c r="C674" s="80"/>
      <c r="D674" s="5"/>
      <c r="E674" s="5"/>
      <c r="F674" s="5"/>
      <c r="G674" s="5"/>
    </row>
    <row r="675" spans="2:7" ht="13">
      <c r="B675" s="36"/>
      <c r="C675" s="80"/>
      <c r="D675" s="5"/>
      <c r="E675" s="5"/>
      <c r="F675" s="5"/>
      <c r="G675" s="5"/>
    </row>
    <row r="676" spans="2:7" ht="13">
      <c r="B676" s="36"/>
      <c r="C676" s="80"/>
      <c r="D676" s="5"/>
      <c r="E676" s="5"/>
      <c r="F676" s="5"/>
      <c r="G676" s="5"/>
    </row>
    <row r="677" spans="2:7" ht="13">
      <c r="B677" s="36"/>
      <c r="C677" s="80"/>
      <c r="D677" s="5"/>
      <c r="E677" s="5"/>
      <c r="F677" s="5"/>
      <c r="G677" s="5"/>
    </row>
    <row r="678" spans="2:7" ht="13">
      <c r="B678" s="36"/>
      <c r="C678" s="80"/>
      <c r="D678" s="5"/>
      <c r="E678" s="5"/>
      <c r="F678" s="5"/>
      <c r="G678" s="5"/>
    </row>
    <row r="679" spans="2:7" ht="13">
      <c r="B679" s="36"/>
      <c r="C679" s="80"/>
      <c r="D679" s="5"/>
      <c r="E679" s="5"/>
      <c r="F679" s="5"/>
      <c r="G679" s="5"/>
    </row>
    <row r="680" spans="2:7" ht="13">
      <c r="B680" s="36"/>
      <c r="C680" s="80"/>
      <c r="D680" s="5"/>
      <c r="E680" s="5"/>
      <c r="F680" s="5"/>
      <c r="G680" s="5"/>
    </row>
    <row r="681" spans="2:7" ht="13">
      <c r="B681" s="36"/>
      <c r="C681" s="80"/>
      <c r="D681" s="5"/>
      <c r="E681" s="5"/>
      <c r="F681" s="5"/>
      <c r="G681" s="5"/>
    </row>
    <row r="682" spans="2:7" ht="13">
      <c r="B682" s="36"/>
      <c r="C682" s="80"/>
      <c r="D682" s="5"/>
      <c r="E682" s="5"/>
      <c r="F682" s="5"/>
      <c r="G682" s="5"/>
    </row>
    <row r="683" spans="2:7" ht="13">
      <c r="B683" s="36"/>
      <c r="C683" s="80"/>
      <c r="D683" s="5"/>
      <c r="E683" s="5"/>
      <c r="F683" s="5"/>
      <c r="G683" s="5"/>
    </row>
    <row r="684" spans="2:7" ht="13">
      <c r="B684" s="36"/>
      <c r="C684" s="80"/>
      <c r="D684" s="5"/>
      <c r="E684" s="5"/>
      <c r="F684" s="5"/>
      <c r="G684" s="5"/>
    </row>
    <row r="685" spans="2:7" ht="13">
      <c r="B685" s="36"/>
      <c r="C685" s="80"/>
      <c r="D685" s="5"/>
      <c r="E685" s="5"/>
      <c r="F685" s="5"/>
      <c r="G685" s="5"/>
    </row>
    <row r="686" spans="2:7" ht="13">
      <c r="B686" s="36"/>
      <c r="C686" s="80"/>
      <c r="D686" s="5"/>
      <c r="E686" s="5"/>
      <c r="F686" s="5"/>
      <c r="G686" s="5"/>
    </row>
    <row r="687" spans="2:7" ht="13">
      <c r="B687" s="36"/>
      <c r="C687" s="80"/>
      <c r="D687" s="5"/>
      <c r="E687" s="5"/>
      <c r="F687" s="5"/>
      <c r="G687" s="5"/>
    </row>
    <row r="688" spans="2:7" ht="13">
      <c r="B688" s="36"/>
      <c r="C688" s="80"/>
      <c r="D688" s="5"/>
      <c r="E688" s="5"/>
      <c r="F688" s="5"/>
      <c r="G688" s="5"/>
    </row>
    <row r="689" spans="2:7" ht="13">
      <c r="B689" s="36"/>
      <c r="C689" s="80"/>
      <c r="D689" s="5"/>
      <c r="E689" s="5"/>
      <c r="F689" s="5"/>
      <c r="G689" s="5"/>
    </row>
    <row r="690" spans="2:7" ht="13">
      <c r="B690" s="36"/>
      <c r="C690" s="80"/>
      <c r="D690" s="5"/>
      <c r="E690" s="5"/>
      <c r="F690" s="5"/>
      <c r="G690" s="5"/>
    </row>
    <row r="691" spans="2:7" ht="13">
      <c r="B691" s="36"/>
      <c r="C691" s="80"/>
      <c r="D691" s="5"/>
      <c r="E691" s="5"/>
      <c r="F691" s="5"/>
      <c r="G691" s="5"/>
    </row>
    <row r="692" spans="2:7" ht="13">
      <c r="B692" s="36"/>
      <c r="C692" s="80"/>
      <c r="D692" s="5"/>
      <c r="E692" s="5"/>
      <c r="F692" s="5"/>
      <c r="G692" s="5"/>
    </row>
    <row r="693" spans="2:7" ht="13">
      <c r="B693" s="36"/>
      <c r="C693" s="80"/>
      <c r="D693" s="5"/>
      <c r="E693" s="5"/>
      <c r="F693" s="5"/>
      <c r="G693" s="5"/>
    </row>
    <row r="694" spans="2:7" ht="13">
      <c r="B694" s="36"/>
      <c r="C694" s="80"/>
      <c r="D694" s="5"/>
      <c r="E694" s="5"/>
      <c r="F694" s="5"/>
      <c r="G694" s="5"/>
    </row>
    <row r="695" spans="2:7" ht="13">
      <c r="B695" s="36"/>
      <c r="C695" s="80"/>
      <c r="D695" s="5"/>
      <c r="E695" s="5"/>
      <c r="F695" s="5"/>
      <c r="G695" s="5"/>
    </row>
    <row r="696" spans="2:7" ht="13">
      <c r="B696" s="36"/>
      <c r="C696" s="80"/>
      <c r="D696" s="5"/>
      <c r="E696" s="5"/>
      <c r="F696" s="5"/>
      <c r="G696" s="5"/>
    </row>
    <row r="697" spans="2:7" ht="13">
      <c r="B697" s="36"/>
      <c r="C697" s="80"/>
      <c r="D697" s="5"/>
      <c r="E697" s="5"/>
      <c r="F697" s="5"/>
      <c r="G697" s="5"/>
    </row>
    <row r="698" spans="2:7" ht="13">
      <c r="B698" s="36"/>
      <c r="C698" s="80"/>
      <c r="D698" s="5"/>
      <c r="E698" s="5"/>
      <c r="F698" s="5"/>
      <c r="G698" s="5"/>
    </row>
    <row r="699" spans="2:7" ht="13">
      <c r="B699" s="36"/>
      <c r="C699" s="80"/>
      <c r="D699" s="5"/>
      <c r="E699" s="5"/>
      <c r="F699" s="5"/>
      <c r="G699" s="5"/>
    </row>
    <row r="700" spans="2:7" ht="13">
      <c r="B700" s="36"/>
      <c r="C700" s="80"/>
      <c r="D700" s="5"/>
      <c r="E700" s="5"/>
      <c r="F700" s="5"/>
      <c r="G700" s="5"/>
    </row>
    <row r="701" spans="2:7" ht="13">
      <c r="B701" s="36"/>
      <c r="C701" s="80"/>
      <c r="D701" s="5"/>
      <c r="E701" s="5"/>
      <c r="F701" s="5"/>
      <c r="G701" s="5"/>
    </row>
    <row r="702" spans="2:7" ht="13">
      <c r="B702" s="36"/>
      <c r="C702" s="80"/>
      <c r="D702" s="5"/>
      <c r="E702" s="5"/>
      <c r="F702" s="5"/>
      <c r="G702" s="5"/>
    </row>
    <row r="703" spans="2:7" ht="13">
      <c r="B703" s="36"/>
      <c r="C703" s="80"/>
      <c r="D703" s="5"/>
      <c r="E703" s="5"/>
      <c r="F703" s="5"/>
      <c r="G703" s="5"/>
    </row>
    <row r="704" spans="2:7" ht="13">
      <c r="B704" s="36"/>
      <c r="C704" s="80"/>
      <c r="D704" s="5"/>
      <c r="E704" s="5"/>
      <c r="F704" s="5"/>
      <c r="G704" s="5"/>
    </row>
    <row r="705" spans="2:7" ht="13">
      <c r="B705" s="36"/>
      <c r="C705" s="80"/>
      <c r="D705" s="5"/>
      <c r="E705" s="5"/>
      <c r="F705" s="5"/>
      <c r="G705" s="5"/>
    </row>
    <row r="706" spans="2:7" ht="13">
      <c r="B706" s="36"/>
      <c r="C706" s="80"/>
      <c r="D706" s="5"/>
      <c r="E706" s="5"/>
      <c r="F706" s="5"/>
      <c r="G706" s="5"/>
    </row>
    <row r="707" spans="2:7" ht="13">
      <c r="B707" s="36"/>
      <c r="C707" s="80"/>
      <c r="D707" s="5"/>
      <c r="E707" s="5"/>
      <c r="F707" s="5"/>
      <c r="G707" s="5"/>
    </row>
    <row r="708" spans="2:7" ht="13">
      <c r="B708" s="36"/>
      <c r="C708" s="80"/>
      <c r="D708" s="5"/>
      <c r="E708" s="5"/>
      <c r="F708" s="5"/>
      <c r="G708" s="5"/>
    </row>
    <row r="709" spans="2:7" ht="13">
      <c r="B709" s="36"/>
      <c r="C709" s="80"/>
      <c r="D709" s="5"/>
      <c r="E709" s="5"/>
      <c r="F709" s="5"/>
      <c r="G709" s="5"/>
    </row>
    <row r="710" spans="2:7" ht="13">
      <c r="B710" s="36"/>
      <c r="C710" s="80"/>
      <c r="D710" s="5"/>
      <c r="E710" s="5"/>
      <c r="F710" s="5"/>
      <c r="G710" s="5"/>
    </row>
    <row r="711" spans="2:7" ht="13">
      <c r="B711" s="36"/>
      <c r="C711" s="80"/>
      <c r="D711" s="5"/>
      <c r="E711" s="5"/>
      <c r="F711" s="5"/>
      <c r="G711" s="5"/>
    </row>
    <row r="712" spans="2:7" ht="13">
      <c r="B712" s="36"/>
      <c r="C712" s="80"/>
      <c r="D712" s="5"/>
      <c r="E712" s="5"/>
      <c r="F712" s="5"/>
      <c r="G712" s="5"/>
    </row>
    <row r="713" spans="2:7" ht="13">
      <c r="B713" s="36"/>
      <c r="C713" s="80"/>
      <c r="D713" s="5"/>
      <c r="E713" s="5"/>
      <c r="F713" s="5"/>
      <c r="G713" s="5"/>
    </row>
    <row r="714" spans="2:7" ht="13">
      <c r="B714" s="36"/>
      <c r="C714" s="80"/>
      <c r="D714" s="5"/>
      <c r="E714" s="5"/>
      <c r="F714" s="5"/>
      <c r="G714" s="5"/>
    </row>
    <row r="715" spans="2:7" ht="13">
      <c r="B715" s="36"/>
      <c r="C715" s="80"/>
      <c r="D715" s="5"/>
      <c r="E715" s="5"/>
      <c r="F715" s="5"/>
      <c r="G715" s="5"/>
    </row>
    <row r="716" spans="2:7" ht="13">
      <c r="B716" s="36"/>
      <c r="C716" s="80"/>
      <c r="D716" s="5"/>
      <c r="E716" s="5"/>
      <c r="F716" s="5"/>
      <c r="G716" s="5"/>
    </row>
    <row r="717" spans="2:7" ht="13">
      <c r="B717" s="36"/>
      <c r="C717" s="80"/>
      <c r="D717" s="5"/>
      <c r="E717" s="5"/>
      <c r="F717" s="5"/>
      <c r="G717" s="5"/>
    </row>
    <row r="718" spans="2:7" ht="13">
      <c r="B718" s="36"/>
      <c r="C718" s="80"/>
      <c r="D718" s="5"/>
      <c r="E718" s="5"/>
      <c r="F718" s="5"/>
      <c r="G718" s="5"/>
    </row>
    <row r="719" spans="2:7" ht="13">
      <c r="B719" s="36"/>
      <c r="C719" s="80"/>
      <c r="D719" s="5"/>
      <c r="E719" s="5"/>
      <c r="F719" s="5"/>
      <c r="G719" s="5"/>
    </row>
    <row r="720" spans="2:7" ht="13">
      <c r="B720" s="36"/>
      <c r="C720" s="80"/>
      <c r="D720" s="5"/>
      <c r="E720" s="5"/>
      <c r="F720" s="5"/>
      <c r="G720" s="5"/>
    </row>
    <row r="721" spans="2:7" ht="13">
      <c r="B721" s="36"/>
      <c r="C721" s="80"/>
      <c r="D721" s="5"/>
      <c r="E721" s="5"/>
      <c r="F721" s="5"/>
      <c r="G721" s="5"/>
    </row>
    <row r="722" spans="2:7" ht="13">
      <c r="B722" s="36"/>
      <c r="C722" s="80"/>
      <c r="D722" s="5"/>
      <c r="E722" s="5"/>
      <c r="F722" s="5"/>
      <c r="G722" s="5"/>
    </row>
    <row r="723" spans="2:7" ht="13">
      <c r="B723" s="36"/>
      <c r="C723" s="80"/>
      <c r="D723" s="5"/>
      <c r="E723" s="5"/>
      <c r="F723" s="5"/>
      <c r="G723" s="5"/>
    </row>
    <row r="724" spans="2:7" ht="13">
      <c r="B724" s="36"/>
      <c r="C724" s="80"/>
      <c r="D724" s="5"/>
      <c r="E724" s="5"/>
      <c r="F724" s="5"/>
      <c r="G724" s="5"/>
    </row>
    <row r="725" spans="2:7" ht="13">
      <c r="B725" s="36"/>
      <c r="C725" s="80"/>
      <c r="D725" s="5"/>
      <c r="E725" s="5"/>
      <c r="F725" s="5"/>
      <c r="G725" s="5"/>
    </row>
    <row r="726" spans="2:7" ht="13">
      <c r="B726" s="36"/>
      <c r="C726" s="80"/>
      <c r="D726" s="5"/>
      <c r="E726" s="5"/>
      <c r="F726" s="5"/>
      <c r="G726" s="5"/>
    </row>
    <row r="727" spans="2:7" ht="13">
      <c r="B727" s="36"/>
      <c r="C727" s="80"/>
      <c r="D727" s="5"/>
      <c r="E727" s="5"/>
      <c r="F727" s="5"/>
      <c r="G727" s="5"/>
    </row>
    <row r="728" spans="2:7" ht="13">
      <c r="B728" s="36"/>
      <c r="C728" s="80"/>
      <c r="D728" s="5"/>
      <c r="E728" s="5"/>
      <c r="F728" s="5"/>
      <c r="G728" s="5"/>
    </row>
    <row r="729" spans="2:7" ht="13">
      <c r="B729" s="36"/>
      <c r="C729" s="80"/>
      <c r="D729" s="5"/>
      <c r="E729" s="5"/>
      <c r="F729" s="5"/>
      <c r="G729" s="5"/>
    </row>
    <row r="730" spans="2:7" ht="13">
      <c r="B730" s="36"/>
      <c r="C730" s="80"/>
      <c r="D730" s="5"/>
      <c r="E730" s="5"/>
      <c r="F730" s="5"/>
      <c r="G730" s="5"/>
    </row>
    <row r="731" spans="2:7" ht="13">
      <c r="B731" s="36"/>
      <c r="C731" s="80"/>
      <c r="D731" s="5"/>
      <c r="E731" s="5"/>
      <c r="F731" s="5"/>
      <c r="G731" s="5"/>
    </row>
    <row r="732" spans="2:7" ht="13">
      <c r="B732" s="36"/>
      <c r="C732" s="80"/>
      <c r="D732" s="5"/>
      <c r="E732" s="5"/>
      <c r="F732" s="5"/>
      <c r="G732" s="5"/>
    </row>
    <row r="733" spans="2:7" ht="13">
      <c r="B733" s="36"/>
      <c r="C733" s="80"/>
      <c r="D733" s="5"/>
      <c r="E733" s="5"/>
      <c r="F733" s="5"/>
      <c r="G733" s="5"/>
    </row>
    <row r="734" spans="2:7" ht="13">
      <c r="B734" s="36"/>
      <c r="C734" s="80"/>
      <c r="D734" s="5"/>
      <c r="E734" s="5"/>
      <c r="F734" s="5"/>
      <c r="G734" s="5"/>
    </row>
    <row r="735" spans="2:7" ht="13">
      <c r="B735" s="36"/>
      <c r="C735" s="80"/>
      <c r="D735" s="5"/>
      <c r="E735" s="5"/>
      <c r="F735" s="5"/>
      <c r="G735" s="5"/>
    </row>
    <row r="736" spans="2:7" ht="13">
      <c r="B736" s="36"/>
      <c r="C736" s="80"/>
      <c r="D736" s="5"/>
      <c r="E736" s="5"/>
      <c r="F736" s="5"/>
      <c r="G736" s="5"/>
    </row>
    <row r="737" spans="2:7" ht="13">
      <c r="B737" s="36"/>
      <c r="C737" s="80"/>
      <c r="D737" s="5"/>
      <c r="E737" s="5"/>
      <c r="F737" s="5"/>
      <c r="G737" s="5"/>
    </row>
    <row r="738" spans="2:7" ht="13">
      <c r="B738" s="36"/>
      <c r="C738" s="80"/>
      <c r="D738" s="5"/>
      <c r="E738" s="5"/>
      <c r="F738" s="5"/>
      <c r="G738" s="5"/>
    </row>
    <row r="739" spans="2:7" ht="13">
      <c r="B739" s="36"/>
      <c r="C739" s="80"/>
      <c r="D739" s="5"/>
      <c r="E739" s="5"/>
      <c r="F739" s="5"/>
      <c r="G739" s="5"/>
    </row>
    <row r="740" spans="2:7" ht="13">
      <c r="B740" s="36"/>
      <c r="C740" s="80"/>
      <c r="D740" s="5"/>
      <c r="E740" s="5"/>
      <c r="F740" s="5"/>
      <c r="G740" s="5"/>
    </row>
    <row r="741" spans="2:7" ht="13">
      <c r="B741" s="36"/>
      <c r="C741" s="80"/>
      <c r="D741" s="5"/>
      <c r="E741" s="5"/>
      <c r="F741" s="5"/>
      <c r="G741" s="5"/>
    </row>
    <row r="742" spans="2:7" ht="13">
      <c r="B742" s="36"/>
      <c r="C742" s="80"/>
      <c r="D742" s="5"/>
      <c r="E742" s="5"/>
      <c r="F742" s="5"/>
      <c r="G742" s="5"/>
    </row>
    <row r="743" spans="2:7" ht="13">
      <c r="B743" s="36"/>
      <c r="C743" s="80"/>
      <c r="D743" s="5"/>
      <c r="E743" s="5"/>
      <c r="F743" s="5"/>
      <c r="G743" s="5"/>
    </row>
    <row r="744" spans="2:7" ht="13">
      <c r="B744" s="36"/>
      <c r="C744" s="80"/>
      <c r="D744" s="5"/>
      <c r="E744" s="5"/>
      <c r="F744" s="5"/>
      <c r="G744" s="5"/>
    </row>
    <row r="745" spans="2:7" ht="13">
      <c r="B745" s="36"/>
      <c r="C745" s="80"/>
      <c r="D745" s="5"/>
      <c r="E745" s="5"/>
      <c r="F745" s="5"/>
      <c r="G745" s="5"/>
    </row>
    <row r="746" spans="2:7" ht="13">
      <c r="B746" s="36"/>
      <c r="C746" s="80"/>
      <c r="D746" s="5"/>
      <c r="E746" s="5"/>
      <c r="F746" s="5"/>
      <c r="G746" s="5"/>
    </row>
    <row r="747" spans="2:7" ht="13">
      <c r="B747" s="36"/>
      <c r="C747" s="80"/>
      <c r="D747" s="5"/>
      <c r="E747" s="5"/>
      <c r="F747" s="5"/>
      <c r="G747" s="5"/>
    </row>
    <row r="748" spans="2:7" ht="13">
      <c r="B748" s="36"/>
      <c r="C748" s="80"/>
      <c r="D748" s="5"/>
      <c r="E748" s="5"/>
      <c r="F748" s="5"/>
      <c r="G748" s="5"/>
    </row>
    <row r="749" spans="2:7" ht="13">
      <c r="B749" s="36"/>
      <c r="C749" s="80"/>
      <c r="D749" s="5"/>
      <c r="E749" s="5"/>
      <c r="F749" s="5"/>
      <c r="G749" s="5"/>
    </row>
    <row r="750" spans="2:7" ht="13">
      <c r="B750" s="36"/>
      <c r="C750" s="80"/>
      <c r="D750" s="5"/>
      <c r="E750" s="5"/>
      <c r="F750" s="5"/>
      <c r="G750" s="5"/>
    </row>
    <row r="751" spans="2:7" ht="13">
      <c r="B751" s="36"/>
      <c r="C751" s="80"/>
      <c r="D751" s="5"/>
      <c r="E751" s="5"/>
      <c r="F751" s="5"/>
      <c r="G751" s="5"/>
    </row>
    <row r="752" spans="2:7" ht="13">
      <c r="B752" s="36"/>
      <c r="C752" s="80"/>
      <c r="D752" s="5"/>
      <c r="E752" s="5"/>
      <c r="F752" s="5"/>
      <c r="G752" s="5"/>
    </row>
    <row r="753" spans="2:7" ht="13">
      <c r="B753" s="36"/>
      <c r="C753" s="80"/>
      <c r="D753" s="5"/>
      <c r="E753" s="5"/>
      <c r="F753" s="5"/>
      <c r="G753" s="5"/>
    </row>
    <row r="754" spans="2:7" ht="13">
      <c r="B754" s="36"/>
      <c r="C754" s="80"/>
      <c r="D754" s="5"/>
      <c r="E754" s="5"/>
      <c r="F754" s="5"/>
      <c r="G754" s="5"/>
    </row>
    <row r="755" spans="2:7" ht="13">
      <c r="B755" s="36"/>
      <c r="C755" s="80"/>
      <c r="D755" s="5"/>
      <c r="E755" s="5"/>
      <c r="F755" s="5"/>
      <c r="G755" s="5"/>
    </row>
    <row r="756" spans="2:7" ht="13">
      <c r="B756" s="36"/>
      <c r="C756" s="80"/>
      <c r="D756" s="5"/>
      <c r="E756" s="5"/>
      <c r="F756" s="5"/>
      <c r="G756" s="5"/>
    </row>
    <row r="757" spans="2:7" ht="13">
      <c r="B757" s="36"/>
      <c r="C757" s="80"/>
      <c r="D757" s="5"/>
      <c r="E757" s="5"/>
      <c r="F757" s="5"/>
      <c r="G757" s="5"/>
    </row>
    <row r="758" spans="2:7" ht="13">
      <c r="B758" s="36"/>
      <c r="C758" s="80"/>
      <c r="D758" s="5"/>
      <c r="E758" s="5"/>
      <c r="F758" s="5"/>
      <c r="G758" s="5"/>
    </row>
    <row r="759" spans="2:7" ht="13">
      <c r="B759" s="36"/>
      <c r="C759" s="80"/>
      <c r="D759" s="5"/>
      <c r="E759" s="5"/>
      <c r="F759" s="5"/>
      <c r="G759" s="5"/>
    </row>
    <row r="760" spans="2:7" ht="13">
      <c r="B760" s="36"/>
      <c r="C760" s="80"/>
      <c r="D760" s="5"/>
      <c r="E760" s="5"/>
      <c r="F760" s="5"/>
      <c r="G760" s="5"/>
    </row>
    <row r="761" spans="2:7" ht="13">
      <c r="B761" s="36"/>
      <c r="C761" s="80"/>
      <c r="D761" s="5"/>
      <c r="E761" s="5"/>
      <c r="F761" s="5"/>
      <c r="G761" s="5"/>
    </row>
    <row r="762" spans="2:7" ht="13">
      <c r="B762" s="36"/>
      <c r="C762" s="80"/>
      <c r="D762" s="5"/>
      <c r="E762" s="5"/>
      <c r="F762" s="5"/>
      <c r="G762" s="5"/>
    </row>
    <row r="763" spans="2:7" ht="13">
      <c r="B763" s="36"/>
      <c r="C763" s="80"/>
      <c r="D763" s="5"/>
      <c r="E763" s="5"/>
      <c r="F763" s="5"/>
      <c r="G763" s="5"/>
    </row>
    <row r="764" spans="2:7" ht="13">
      <c r="B764" s="36"/>
      <c r="C764" s="80"/>
      <c r="D764" s="5"/>
      <c r="E764" s="5"/>
      <c r="F764" s="5"/>
      <c r="G764" s="5"/>
    </row>
    <row r="765" spans="2:7" ht="13">
      <c r="B765" s="36"/>
      <c r="C765" s="80"/>
      <c r="D765" s="5"/>
      <c r="E765" s="5"/>
      <c r="F765" s="5"/>
      <c r="G765" s="5"/>
    </row>
    <row r="766" spans="2:7" ht="13">
      <c r="B766" s="36"/>
      <c r="C766" s="80"/>
      <c r="D766" s="5"/>
      <c r="E766" s="5"/>
      <c r="F766" s="5"/>
      <c r="G766" s="5"/>
    </row>
    <row r="767" spans="2:7" ht="13">
      <c r="B767" s="36"/>
      <c r="C767" s="80"/>
      <c r="D767" s="5"/>
      <c r="E767" s="5"/>
      <c r="F767" s="5"/>
      <c r="G767" s="5"/>
    </row>
    <row r="768" spans="2:7" ht="13">
      <c r="B768" s="36"/>
      <c r="C768" s="80"/>
      <c r="D768" s="5"/>
      <c r="E768" s="5"/>
      <c r="F768" s="5"/>
      <c r="G768" s="5"/>
    </row>
    <row r="769" spans="2:7" ht="13">
      <c r="B769" s="36"/>
      <c r="C769" s="80"/>
      <c r="D769" s="5"/>
      <c r="E769" s="5"/>
      <c r="F769" s="5"/>
      <c r="G769" s="5"/>
    </row>
    <row r="770" spans="2:7" ht="13">
      <c r="B770" s="36"/>
      <c r="C770" s="80"/>
      <c r="D770" s="5"/>
      <c r="E770" s="5"/>
      <c r="F770" s="5"/>
      <c r="G770" s="5"/>
    </row>
    <row r="771" spans="2:7" ht="13">
      <c r="B771" s="36"/>
      <c r="C771" s="80"/>
      <c r="D771" s="5"/>
      <c r="E771" s="5"/>
      <c r="F771" s="5"/>
      <c r="G771" s="5"/>
    </row>
    <row r="772" spans="2:7" ht="13">
      <c r="B772" s="36"/>
      <c r="C772" s="80"/>
      <c r="D772" s="5"/>
      <c r="E772" s="5"/>
      <c r="F772" s="5"/>
      <c r="G772" s="5"/>
    </row>
    <row r="773" spans="2:7" ht="13">
      <c r="B773" s="36"/>
      <c r="C773" s="80"/>
      <c r="D773" s="5"/>
      <c r="E773" s="5"/>
      <c r="F773" s="5"/>
      <c r="G773" s="5"/>
    </row>
    <row r="774" spans="2:7" ht="13">
      <c r="B774" s="36"/>
      <c r="C774" s="80"/>
      <c r="D774" s="5"/>
      <c r="E774" s="5"/>
      <c r="F774" s="5"/>
      <c r="G774" s="5"/>
    </row>
    <row r="775" spans="2:7" ht="13">
      <c r="B775" s="36"/>
      <c r="C775" s="80"/>
      <c r="D775" s="5"/>
      <c r="E775" s="5"/>
      <c r="F775" s="5"/>
      <c r="G775" s="5"/>
    </row>
    <row r="776" spans="2:7" ht="13">
      <c r="B776" s="36"/>
      <c r="C776" s="80"/>
      <c r="D776" s="5"/>
      <c r="E776" s="5"/>
      <c r="F776" s="5"/>
      <c r="G776" s="5"/>
    </row>
    <row r="777" spans="2:7" ht="13">
      <c r="B777" s="36"/>
      <c r="C777" s="80"/>
      <c r="D777" s="5"/>
      <c r="E777" s="5"/>
      <c r="F777" s="5"/>
      <c r="G777" s="5"/>
    </row>
    <row r="778" spans="2:7" ht="13">
      <c r="B778" s="36"/>
      <c r="C778" s="80"/>
      <c r="D778" s="5"/>
      <c r="E778" s="5"/>
      <c r="F778" s="5"/>
      <c r="G778" s="5"/>
    </row>
    <row r="779" spans="2:7" ht="13">
      <c r="B779" s="36"/>
      <c r="C779" s="80"/>
      <c r="D779" s="5"/>
      <c r="E779" s="5"/>
      <c r="F779" s="5"/>
      <c r="G779" s="5"/>
    </row>
    <row r="780" spans="2:7" ht="13">
      <c r="B780" s="36"/>
      <c r="C780" s="80"/>
      <c r="D780" s="5"/>
      <c r="E780" s="5"/>
      <c r="F780" s="5"/>
      <c r="G780" s="5"/>
    </row>
    <row r="781" spans="2:7" ht="13">
      <c r="B781" s="36"/>
      <c r="C781" s="80"/>
      <c r="D781" s="5"/>
      <c r="E781" s="5"/>
      <c r="F781" s="5"/>
      <c r="G781" s="5"/>
    </row>
    <row r="782" spans="2:7" ht="13">
      <c r="B782" s="36"/>
      <c r="C782" s="80"/>
      <c r="D782" s="5"/>
      <c r="E782" s="5"/>
      <c r="F782" s="5"/>
      <c r="G782" s="5"/>
    </row>
    <row r="783" spans="2:7" ht="13">
      <c r="B783" s="36"/>
      <c r="C783" s="80"/>
      <c r="D783" s="5"/>
      <c r="E783" s="5"/>
      <c r="F783" s="5"/>
      <c r="G783" s="5"/>
    </row>
    <row r="784" spans="2:7" ht="13">
      <c r="B784" s="36"/>
      <c r="C784" s="80"/>
      <c r="D784" s="5"/>
      <c r="E784" s="5"/>
      <c r="F784" s="5"/>
      <c r="G784" s="5"/>
    </row>
    <row r="785" spans="2:7" ht="13">
      <c r="B785" s="36"/>
      <c r="C785" s="80"/>
      <c r="D785" s="5"/>
      <c r="E785" s="5"/>
      <c r="F785" s="5"/>
      <c r="G785" s="5"/>
    </row>
    <row r="786" spans="2:7" ht="13">
      <c r="B786" s="36"/>
      <c r="C786" s="80"/>
      <c r="D786" s="5"/>
      <c r="E786" s="5"/>
      <c r="F786" s="5"/>
      <c r="G786" s="5"/>
    </row>
    <row r="787" spans="2:7" ht="13">
      <c r="B787" s="36"/>
      <c r="C787" s="80"/>
      <c r="D787" s="5"/>
      <c r="E787" s="5"/>
      <c r="F787" s="5"/>
      <c r="G787" s="5"/>
    </row>
    <row r="788" spans="2:7" ht="13">
      <c r="B788" s="36"/>
      <c r="C788" s="80"/>
      <c r="D788" s="5"/>
      <c r="E788" s="5"/>
      <c r="F788" s="5"/>
      <c r="G788" s="5"/>
    </row>
    <row r="789" spans="2:7" ht="13">
      <c r="B789" s="36"/>
      <c r="C789" s="80"/>
      <c r="D789" s="5"/>
      <c r="E789" s="5"/>
      <c r="F789" s="5"/>
      <c r="G789" s="5"/>
    </row>
    <row r="790" spans="2:7" ht="13">
      <c r="B790" s="36"/>
      <c r="C790" s="80"/>
      <c r="D790" s="5"/>
      <c r="E790" s="5"/>
      <c r="F790" s="5"/>
      <c r="G790" s="5"/>
    </row>
    <row r="791" spans="2:7" ht="13">
      <c r="B791" s="36"/>
      <c r="C791" s="80"/>
      <c r="D791" s="5"/>
      <c r="E791" s="5"/>
      <c r="F791" s="5"/>
      <c r="G791" s="5"/>
    </row>
    <row r="792" spans="2:7" ht="13">
      <c r="B792" s="36"/>
      <c r="C792" s="80"/>
      <c r="D792" s="5"/>
      <c r="E792" s="5"/>
      <c r="F792" s="5"/>
      <c r="G792" s="5"/>
    </row>
    <row r="793" spans="2:7" ht="13">
      <c r="B793" s="36"/>
      <c r="C793" s="80"/>
      <c r="D793" s="5"/>
      <c r="E793" s="5"/>
      <c r="F793" s="5"/>
      <c r="G793" s="5"/>
    </row>
    <row r="794" spans="2:7" ht="13">
      <c r="B794" s="36"/>
      <c r="C794" s="80"/>
      <c r="D794" s="5"/>
      <c r="E794" s="5"/>
      <c r="F794" s="5"/>
      <c r="G794" s="5"/>
    </row>
    <row r="795" spans="2:7" ht="13">
      <c r="B795" s="36"/>
      <c r="C795" s="80"/>
      <c r="D795" s="5"/>
      <c r="E795" s="5"/>
      <c r="F795" s="5"/>
      <c r="G795" s="5"/>
    </row>
    <row r="796" spans="2:7" ht="13">
      <c r="B796" s="36"/>
      <c r="C796" s="80"/>
      <c r="D796" s="5"/>
      <c r="E796" s="5"/>
      <c r="F796" s="5"/>
      <c r="G796" s="5"/>
    </row>
    <row r="797" spans="2:7" ht="13">
      <c r="B797" s="36"/>
      <c r="C797" s="80"/>
      <c r="D797" s="5"/>
      <c r="E797" s="5"/>
      <c r="F797" s="5"/>
      <c r="G797" s="5"/>
    </row>
    <row r="798" spans="2:7" ht="13">
      <c r="B798" s="36"/>
      <c r="C798" s="80"/>
      <c r="D798" s="5"/>
      <c r="E798" s="5"/>
      <c r="F798" s="5"/>
      <c r="G798" s="5"/>
    </row>
    <row r="799" spans="2:7" ht="13">
      <c r="B799" s="36"/>
      <c r="C799" s="80"/>
      <c r="D799" s="5"/>
      <c r="E799" s="5"/>
      <c r="F799" s="5"/>
      <c r="G799" s="5"/>
    </row>
    <row r="800" spans="2:7" ht="13">
      <c r="B800" s="36"/>
      <c r="C800" s="80"/>
      <c r="D800" s="5"/>
      <c r="E800" s="5"/>
      <c r="F800" s="5"/>
      <c r="G800" s="5"/>
    </row>
    <row r="801" spans="2:7" ht="13">
      <c r="B801" s="36"/>
      <c r="C801" s="80"/>
      <c r="D801" s="5"/>
      <c r="E801" s="5"/>
      <c r="F801" s="5"/>
      <c r="G801" s="5"/>
    </row>
    <row r="802" spans="2:7" ht="13">
      <c r="B802" s="36"/>
      <c r="C802" s="80"/>
      <c r="D802" s="5"/>
      <c r="E802" s="5"/>
      <c r="F802" s="5"/>
      <c r="G802" s="5"/>
    </row>
    <row r="803" spans="2:7" ht="13">
      <c r="B803" s="36"/>
      <c r="C803" s="80"/>
      <c r="D803" s="5"/>
      <c r="E803" s="5"/>
      <c r="F803" s="5"/>
      <c r="G803" s="5"/>
    </row>
    <row r="804" spans="2:7" ht="13">
      <c r="B804" s="36"/>
      <c r="C804" s="80"/>
      <c r="D804" s="5"/>
      <c r="E804" s="5"/>
      <c r="F804" s="5"/>
      <c r="G804" s="5"/>
    </row>
    <row r="805" spans="2:7" ht="13">
      <c r="B805" s="36"/>
      <c r="C805" s="80"/>
      <c r="D805" s="5"/>
      <c r="E805" s="5"/>
      <c r="F805" s="5"/>
      <c r="G805" s="5"/>
    </row>
    <row r="806" spans="2:7" ht="13">
      <c r="B806" s="36"/>
      <c r="C806" s="80"/>
      <c r="D806" s="5"/>
      <c r="E806" s="5"/>
      <c r="F806" s="5"/>
      <c r="G806" s="5"/>
    </row>
    <row r="807" spans="2:7" ht="13">
      <c r="B807" s="36"/>
      <c r="C807" s="80"/>
      <c r="D807" s="5"/>
      <c r="E807" s="5"/>
      <c r="F807" s="5"/>
      <c r="G807" s="5"/>
    </row>
    <row r="808" spans="2:7" ht="13">
      <c r="B808" s="36"/>
      <c r="C808" s="80"/>
      <c r="D808" s="5"/>
      <c r="E808" s="5"/>
      <c r="F808" s="5"/>
      <c r="G808" s="5"/>
    </row>
    <row r="809" spans="2:7" ht="13">
      <c r="B809" s="36"/>
      <c r="C809" s="80"/>
      <c r="D809" s="5"/>
      <c r="E809" s="5"/>
      <c r="F809" s="5"/>
      <c r="G809" s="5"/>
    </row>
    <row r="810" spans="2:7" ht="13">
      <c r="B810" s="36"/>
      <c r="C810" s="80"/>
      <c r="D810" s="5"/>
      <c r="E810" s="5"/>
      <c r="F810" s="5"/>
      <c r="G810" s="5"/>
    </row>
    <row r="811" spans="2:7" ht="13">
      <c r="B811" s="36"/>
      <c r="C811" s="80"/>
      <c r="D811" s="5"/>
      <c r="E811" s="5"/>
      <c r="F811" s="5"/>
      <c r="G811" s="5"/>
    </row>
    <row r="812" spans="2:7" ht="13">
      <c r="B812" s="36"/>
      <c r="C812" s="80"/>
      <c r="D812" s="5"/>
      <c r="E812" s="5"/>
      <c r="F812" s="5"/>
      <c r="G812" s="5"/>
    </row>
    <row r="813" spans="2:7" ht="13">
      <c r="B813" s="36"/>
      <c r="C813" s="80"/>
      <c r="D813" s="5"/>
      <c r="E813" s="5"/>
      <c r="F813" s="5"/>
      <c r="G813" s="5"/>
    </row>
    <row r="814" spans="2:7" ht="13">
      <c r="B814" s="36"/>
      <c r="C814" s="80"/>
      <c r="D814" s="5"/>
      <c r="E814" s="5"/>
      <c r="F814" s="5"/>
      <c r="G814" s="5"/>
    </row>
    <row r="815" spans="2:7" ht="13">
      <c r="B815" s="36"/>
      <c r="C815" s="80"/>
      <c r="D815" s="5"/>
      <c r="E815" s="5"/>
      <c r="F815" s="5"/>
      <c r="G815" s="5"/>
    </row>
    <row r="816" spans="2:7" ht="13">
      <c r="B816" s="36"/>
      <c r="C816" s="80"/>
      <c r="D816" s="5"/>
      <c r="E816" s="5"/>
      <c r="F816" s="5"/>
      <c r="G816" s="5"/>
    </row>
    <row r="817" spans="2:7" ht="13">
      <c r="B817" s="36"/>
      <c r="C817" s="80"/>
      <c r="D817" s="5"/>
      <c r="E817" s="5"/>
      <c r="F817" s="5"/>
      <c r="G817" s="5"/>
    </row>
    <row r="818" spans="2:7" ht="13">
      <c r="B818" s="36"/>
      <c r="C818" s="80"/>
      <c r="D818" s="5"/>
      <c r="E818" s="5"/>
      <c r="F818" s="5"/>
      <c r="G818" s="5"/>
    </row>
    <row r="819" spans="2:7" ht="13">
      <c r="B819" s="36"/>
      <c r="C819" s="80"/>
      <c r="D819" s="5"/>
      <c r="E819" s="5"/>
      <c r="F819" s="5"/>
      <c r="G819" s="5"/>
    </row>
    <row r="820" spans="2:7" ht="13">
      <c r="B820" s="36"/>
      <c r="C820" s="80"/>
      <c r="D820" s="5"/>
      <c r="E820" s="5"/>
      <c r="F820" s="5"/>
      <c r="G820" s="5"/>
    </row>
    <row r="821" spans="2:7" ht="13">
      <c r="B821" s="36"/>
      <c r="C821" s="80"/>
      <c r="D821" s="5"/>
      <c r="E821" s="5"/>
      <c r="F821" s="5"/>
      <c r="G821" s="5"/>
    </row>
    <row r="822" spans="2:7" ht="13">
      <c r="B822" s="36"/>
      <c r="C822" s="80"/>
      <c r="D822" s="5"/>
      <c r="E822" s="5"/>
      <c r="F822" s="5"/>
      <c r="G822" s="5"/>
    </row>
    <row r="823" spans="2:7" ht="13">
      <c r="B823" s="36"/>
      <c r="C823" s="80"/>
      <c r="D823" s="5"/>
      <c r="E823" s="5"/>
      <c r="F823" s="5"/>
      <c r="G823" s="5"/>
    </row>
    <row r="824" spans="2:7" ht="13">
      <c r="B824" s="36"/>
      <c r="C824" s="80"/>
      <c r="D824" s="5"/>
      <c r="E824" s="5"/>
      <c r="F824" s="5"/>
      <c r="G824" s="5"/>
    </row>
    <row r="825" spans="2:7" ht="13">
      <c r="B825" s="36"/>
      <c r="C825" s="80"/>
      <c r="D825" s="5"/>
      <c r="E825" s="5"/>
      <c r="F825" s="5"/>
      <c r="G825" s="5"/>
    </row>
    <row r="826" spans="2:7" ht="13">
      <c r="B826" s="36"/>
      <c r="C826" s="80"/>
      <c r="D826" s="5"/>
      <c r="E826" s="5"/>
      <c r="F826" s="5"/>
      <c r="G826" s="5"/>
    </row>
    <row r="827" spans="2:7" ht="13">
      <c r="B827" s="36"/>
      <c r="C827" s="80"/>
      <c r="D827" s="5"/>
      <c r="E827" s="5"/>
      <c r="F827" s="5"/>
      <c r="G827" s="5"/>
    </row>
    <row r="828" spans="2:7" ht="13">
      <c r="B828" s="36"/>
      <c r="C828" s="80"/>
      <c r="D828" s="5"/>
      <c r="E828" s="5"/>
      <c r="F828" s="5"/>
      <c r="G828" s="5"/>
    </row>
    <row r="829" spans="2:7" ht="13">
      <c r="B829" s="36"/>
      <c r="C829" s="80"/>
      <c r="D829" s="5"/>
      <c r="E829" s="5"/>
      <c r="F829" s="5"/>
      <c r="G829" s="5"/>
    </row>
    <row r="830" spans="2:7" ht="13">
      <c r="B830" s="36"/>
      <c r="C830" s="80"/>
      <c r="D830" s="5"/>
      <c r="E830" s="5"/>
      <c r="F830" s="5"/>
      <c r="G830" s="5"/>
    </row>
    <row r="831" spans="2:7" ht="13">
      <c r="B831" s="36"/>
      <c r="C831" s="80"/>
      <c r="D831" s="5"/>
      <c r="E831" s="5"/>
      <c r="F831" s="5"/>
      <c r="G831" s="5"/>
    </row>
    <row r="832" spans="2:7" ht="13">
      <c r="B832" s="36"/>
      <c r="C832" s="80"/>
      <c r="D832" s="5"/>
      <c r="E832" s="5"/>
      <c r="F832" s="5"/>
      <c r="G832" s="5"/>
    </row>
    <row r="833" spans="2:7" ht="13">
      <c r="B833" s="36"/>
      <c r="C833" s="80"/>
      <c r="D833" s="5"/>
      <c r="E833" s="5"/>
      <c r="F833" s="5"/>
      <c r="G833" s="5"/>
    </row>
    <row r="834" spans="2:7" ht="13">
      <c r="B834" s="36"/>
      <c r="C834" s="80"/>
      <c r="D834" s="5"/>
      <c r="E834" s="5"/>
      <c r="F834" s="5"/>
      <c r="G834" s="5"/>
    </row>
    <row r="835" spans="2:7" ht="13">
      <c r="B835" s="36"/>
      <c r="C835" s="80"/>
      <c r="D835" s="5"/>
      <c r="E835" s="5"/>
      <c r="F835" s="5"/>
      <c r="G835" s="5"/>
    </row>
    <row r="836" spans="2:7" ht="13">
      <c r="B836" s="36"/>
      <c r="C836" s="80"/>
      <c r="D836" s="5"/>
      <c r="E836" s="5"/>
      <c r="F836" s="5"/>
      <c r="G836" s="5"/>
    </row>
    <row r="837" spans="2:7" ht="13">
      <c r="B837" s="36"/>
      <c r="C837" s="80"/>
      <c r="D837" s="5"/>
      <c r="E837" s="5"/>
      <c r="F837" s="5"/>
      <c r="G837" s="5"/>
    </row>
    <row r="838" spans="2:7" ht="13">
      <c r="B838" s="36"/>
      <c r="C838" s="80"/>
      <c r="D838" s="5"/>
      <c r="E838" s="5"/>
      <c r="F838" s="5"/>
      <c r="G838" s="5"/>
    </row>
    <row r="839" spans="2:7" ht="13">
      <c r="B839" s="36"/>
      <c r="C839" s="80"/>
      <c r="D839" s="5"/>
      <c r="E839" s="5"/>
      <c r="F839" s="5"/>
      <c r="G839" s="5"/>
    </row>
    <row r="840" spans="2:7" ht="13">
      <c r="B840" s="36"/>
      <c r="C840" s="80"/>
      <c r="D840" s="5"/>
      <c r="E840" s="5"/>
      <c r="F840" s="5"/>
      <c r="G840" s="5"/>
    </row>
    <row r="841" spans="2:7" ht="13">
      <c r="B841" s="36"/>
      <c r="C841" s="80"/>
      <c r="D841" s="5"/>
      <c r="E841" s="5"/>
      <c r="F841" s="5"/>
      <c r="G841" s="5"/>
    </row>
    <row r="842" spans="2:7" ht="13">
      <c r="B842" s="36"/>
      <c r="C842" s="80"/>
      <c r="D842" s="5"/>
      <c r="E842" s="5"/>
      <c r="F842" s="5"/>
      <c r="G842" s="5"/>
    </row>
    <row r="843" spans="2:7" ht="13">
      <c r="B843" s="36"/>
      <c r="C843" s="80"/>
      <c r="D843" s="5"/>
      <c r="E843" s="5"/>
      <c r="F843" s="5"/>
      <c r="G843" s="5"/>
    </row>
    <row r="844" spans="2:7" ht="13">
      <c r="B844" s="36"/>
      <c r="C844" s="80"/>
      <c r="D844" s="5"/>
      <c r="E844" s="5"/>
      <c r="F844" s="5"/>
      <c r="G844" s="5"/>
    </row>
    <row r="845" spans="2:7" ht="13">
      <c r="B845" s="36"/>
      <c r="C845" s="80"/>
      <c r="D845" s="5"/>
      <c r="E845" s="5"/>
      <c r="F845" s="5"/>
      <c r="G845" s="5"/>
    </row>
    <row r="846" spans="2:7" ht="13">
      <c r="B846" s="36"/>
      <c r="C846" s="80"/>
      <c r="D846" s="5"/>
      <c r="E846" s="5"/>
      <c r="F846" s="5"/>
      <c r="G846" s="5"/>
    </row>
    <row r="847" spans="2:7" ht="13">
      <c r="B847" s="36"/>
      <c r="C847" s="80"/>
      <c r="D847" s="5"/>
      <c r="E847" s="5"/>
      <c r="F847" s="5"/>
      <c r="G847" s="5"/>
    </row>
    <row r="848" spans="2:7" ht="13">
      <c r="B848" s="36"/>
      <c r="C848" s="80"/>
      <c r="D848" s="5"/>
      <c r="E848" s="5"/>
      <c r="F848" s="5"/>
      <c r="G848" s="5"/>
    </row>
    <row r="849" spans="2:7" ht="13">
      <c r="B849" s="36"/>
      <c r="C849" s="80"/>
      <c r="D849" s="5"/>
      <c r="E849" s="5"/>
      <c r="F849" s="5"/>
      <c r="G849" s="5"/>
    </row>
    <row r="850" spans="2:7" ht="13">
      <c r="B850" s="36"/>
      <c r="C850" s="80"/>
      <c r="D850" s="5"/>
      <c r="E850" s="5"/>
      <c r="F850" s="5"/>
      <c r="G850" s="5"/>
    </row>
    <row r="851" spans="2:7" ht="13">
      <c r="B851" s="36"/>
      <c r="C851" s="80"/>
      <c r="D851" s="5"/>
      <c r="E851" s="5"/>
      <c r="F851" s="5"/>
      <c r="G851" s="5"/>
    </row>
    <row r="852" spans="2:7" ht="13">
      <c r="B852" s="36"/>
      <c r="C852" s="80"/>
      <c r="D852" s="5"/>
      <c r="E852" s="5"/>
      <c r="F852" s="5"/>
      <c r="G852" s="5"/>
    </row>
    <row r="853" spans="2:7" ht="13">
      <c r="B853" s="36"/>
      <c r="C853" s="80"/>
      <c r="D853" s="5"/>
      <c r="E853" s="5"/>
      <c r="F853" s="5"/>
      <c r="G853" s="5"/>
    </row>
    <row r="854" spans="2:7" ht="13">
      <c r="B854" s="36"/>
      <c r="C854" s="80"/>
      <c r="D854" s="5"/>
      <c r="E854" s="5"/>
      <c r="F854" s="5"/>
      <c r="G854" s="5"/>
    </row>
    <row r="855" spans="2:7" ht="13">
      <c r="B855" s="36"/>
      <c r="C855" s="80"/>
      <c r="D855" s="5"/>
      <c r="E855" s="5"/>
      <c r="F855" s="5"/>
      <c r="G855" s="5"/>
    </row>
    <row r="856" spans="2:7" ht="13">
      <c r="B856" s="36"/>
      <c r="C856" s="80"/>
      <c r="D856" s="5"/>
      <c r="E856" s="5"/>
      <c r="F856" s="5"/>
      <c r="G856" s="5"/>
    </row>
    <row r="857" spans="2:7" ht="13">
      <c r="B857" s="36"/>
      <c r="C857" s="80"/>
      <c r="D857" s="5"/>
      <c r="E857" s="5"/>
      <c r="F857" s="5"/>
      <c r="G857" s="5"/>
    </row>
    <row r="858" spans="2:7" ht="13">
      <c r="B858" s="36"/>
      <c r="C858" s="80"/>
      <c r="D858" s="5"/>
      <c r="E858" s="5"/>
      <c r="F858" s="5"/>
      <c r="G858" s="5"/>
    </row>
    <row r="859" spans="2:7" ht="13">
      <c r="B859" s="36"/>
      <c r="C859" s="80"/>
      <c r="D859" s="5"/>
      <c r="E859" s="5"/>
      <c r="F859" s="5"/>
      <c r="G859" s="5"/>
    </row>
    <row r="860" spans="2:7" ht="13">
      <c r="B860" s="36"/>
      <c r="C860" s="80"/>
      <c r="D860" s="5"/>
      <c r="E860" s="5"/>
      <c r="F860" s="5"/>
      <c r="G860" s="5"/>
    </row>
    <row r="861" spans="2:7" ht="13">
      <c r="B861" s="36"/>
      <c r="C861" s="80"/>
      <c r="D861" s="5"/>
      <c r="E861" s="5"/>
      <c r="F861" s="5"/>
      <c r="G861" s="5"/>
    </row>
    <row r="862" spans="2:7" ht="13">
      <c r="B862" s="36"/>
      <c r="C862" s="80"/>
      <c r="D862" s="5"/>
      <c r="E862" s="5"/>
      <c r="F862" s="5"/>
      <c r="G862" s="5"/>
    </row>
    <row r="863" spans="2:7" ht="13">
      <c r="B863" s="36"/>
      <c r="C863" s="80"/>
      <c r="D863" s="5"/>
      <c r="E863" s="5"/>
      <c r="F863" s="5"/>
      <c r="G863" s="5"/>
    </row>
    <row r="864" spans="2:7" ht="13">
      <c r="B864" s="36"/>
      <c r="C864" s="80"/>
      <c r="D864" s="5"/>
      <c r="E864" s="5"/>
      <c r="F864" s="5"/>
      <c r="G864" s="5"/>
    </row>
    <row r="865" spans="2:7" ht="13">
      <c r="B865" s="36"/>
      <c r="C865" s="80"/>
      <c r="D865" s="5"/>
      <c r="E865" s="5"/>
      <c r="F865" s="5"/>
      <c r="G865" s="5"/>
    </row>
    <row r="866" spans="2:7" ht="13">
      <c r="B866" s="36"/>
      <c r="C866" s="80"/>
      <c r="D866" s="5"/>
      <c r="E866" s="5"/>
      <c r="F866" s="5"/>
      <c r="G866" s="5"/>
    </row>
    <row r="867" spans="2:7" ht="13">
      <c r="B867" s="36"/>
      <c r="C867" s="80"/>
      <c r="D867" s="5"/>
      <c r="E867" s="5"/>
      <c r="F867" s="5"/>
      <c r="G867" s="5"/>
    </row>
    <row r="868" spans="2:7" ht="13">
      <c r="B868" s="36"/>
      <c r="C868" s="80"/>
      <c r="D868" s="5"/>
      <c r="E868" s="5"/>
      <c r="F868" s="5"/>
      <c r="G868" s="5"/>
    </row>
    <row r="869" spans="2:7" ht="13">
      <c r="B869" s="36"/>
      <c r="C869" s="80"/>
      <c r="D869" s="5"/>
      <c r="E869" s="5"/>
      <c r="F869" s="5"/>
      <c r="G869" s="5"/>
    </row>
    <row r="870" spans="2:7" ht="13">
      <c r="B870" s="36"/>
      <c r="C870" s="80"/>
      <c r="D870" s="5"/>
      <c r="E870" s="5"/>
      <c r="F870" s="5"/>
      <c r="G870" s="5"/>
    </row>
    <row r="871" spans="2:7" ht="13">
      <c r="B871" s="36"/>
      <c r="C871" s="80"/>
      <c r="D871" s="5"/>
      <c r="E871" s="5"/>
      <c r="F871" s="5"/>
      <c r="G871" s="5"/>
    </row>
    <row r="872" spans="2:7" ht="13">
      <c r="B872" s="36"/>
      <c r="C872" s="80"/>
      <c r="D872" s="5"/>
      <c r="E872" s="5"/>
      <c r="F872" s="5"/>
      <c r="G872" s="5"/>
    </row>
    <row r="873" spans="2:7" ht="13">
      <c r="B873" s="36"/>
      <c r="C873" s="80"/>
      <c r="D873" s="5"/>
      <c r="E873" s="5"/>
      <c r="F873" s="5"/>
      <c r="G873" s="5"/>
    </row>
    <row r="874" spans="2:7" ht="13">
      <c r="B874" s="36"/>
      <c r="C874" s="80"/>
      <c r="D874" s="5"/>
      <c r="E874" s="5"/>
      <c r="F874" s="5"/>
      <c r="G874" s="5"/>
    </row>
    <row r="875" spans="2:7" ht="13">
      <c r="B875" s="36"/>
      <c r="C875" s="80"/>
      <c r="D875" s="5"/>
      <c r="E875" s="5"/>
      <c r="F875" s="5"/>
      <c r="G875" s="5"/>
    </row>
    <row r="876" spans="2:7" ht="13">
      <c r="B876" s="36"/>
      <c r="C876" s="80"/>
      <c r="D876" s="5"/>
      <c r="E876" s="5"/>
      <c r="F876" s="5"/>
      <c r="G876" s="5"/>
    </row>
    <row r="877" spans="2:7" ht="13">
      <c r="B877" s="36"/>
      <c r="C877" s="80"/>
      <c r="D877" s="5"/>
      <c r="E877" s="5"/>
      <c r="F877" s="5"/>
      <c r="G877" s="5"/>
    </row>
    <row r="878" spans="2:7" ht="13">
      <c r="B878" s="36"/>
      <c r="C878" s="80"/>
      <c r="D878" s="5"/>
      <c r="E878" s="5"/>
      <c r="F878" s="5"/>
      <c r="G878" s="5"/>
    </row>
    <row r="879" spans="2:7" ht="13">
      <c r="B879" s="36"/>
      <c r="C879" s="80"/>
      <c r="D879" s="5"/>
      <c r="E879" s="5"/>
      <c r="F879" s="5"/>
      <c r="G879" s="5"/>
    </row>
    <row r="880" spans="2:7" ht="13">
      <c r="B880" s="36"/>
      <c r="C880" s="80"/>
      <c r="D880" s="5"/>
      <c r="E880" s="5"/>
      <c r="F880" s="5"/>
      <c r="G880" s="5"/>
    </row>
    <row r="881" spans="2:7" ht="13">
      <c r="B881" s="36"/>
      <c r="C881" s="80"/>
      <c r="D881" s="5"/>
      <c r="E881" s="5"/>
      <c r="F881" s="5"/>
      <c r="G881" s="5"/>
    </row>
    <row r="882" spans="2:7" ht="13">
      <c r="B882" s="36"/>
      <c r="C882" s="80"/>
      <c r="D882" s="5"/>
      <c r="E882" s="5"/>
      <c r="F882" s="5"/>
      <c r="G882" s="5"/>
    </row>
    <row r="883" spans="2:7" ht="13">
      <c r="B883" s="36"/>
      <c r="C883" s="80"/>
      <c r="D883" s="5"/>
      <c r="E883" s="5"/>
      <c r="F883" s="5"/>
      <c r="G883" s="5"/>
    </row>
    <row r="884" spans="2:7" ht="13">
      <c r="B884" s="36"/>
      <c r="C884" s="80"/>
      <c r="D884" s="5"/>
      <c r="E884" s="5"/>
      <c r="F884" s="5"/>
      <c r="G884" s="5"/>
    </row>
    <row r="885" spans="2:7" ht="13">
      <c r="B885" s="36"/>
      <c r="C885" s="80"/>
      <c r="D885" s="5"/>
      <c r="E885" s="5"/>
      <c r="F885" s="5"/>
      <c r="G885" s="5"/>
    </row>
    <row r="886" spans="2:7" ht="13">
      <c r="B886" s="36"/>
      <c r="C886" s="80"/>
      <c r="D886" s="5"/>
      <c r="E886" s="5"/>
      <c r="F886" s="5"/>
      <c r="G886" s="5"/>
    </row>
    <row r="887" spans="2:7" ht="13">
      <c r="B887" s="36"/>
      <c r="C887" s="80"/>
      <c r="D887" s="5"/>
      <c r="E887" s="5"/>
      <c r="F887" s="5"/>
      <c r="G887" s="5"/>
    </row>
    <row r="888" spans="2:7" ht="13">
      <c r="B888" s="36"/>
      <c r="C888" s="80"/>
      <c r="D888" s="5"/>
      <c r="E888" s="5"/>
      <c r="F888" s="5"/>
      <c r="G888" s="5"/>
    </row>
    <row r="889" spans="2:7" ht="13">
      <c r="B889" s="36"/>
      <c r="C889" s="80"/>
      <c r="D889" s="5"/>
      <c r="E889" s="5"/>
      <c r="F889" s="5"/>
      <c r="G889" s="5"/>
    </row>
    <row r="890" spans="2:7" ht="13">
      <c r="B890" s="36"/>
      <c r="C890" s="80"/>
      <c r="D890" s="5"/>
      <c r="E890" s="5"/>
      <c r="F890" s="5"/>
      <c r="G890" s="5"/>
    </row>
    <row r="891" spans="2:7" ht="13">
      <c r="B891" s="36"/>
      <c r="C891" s="80"/>
      <c r="D891" s="5"/>
      <c r="E891" s="5"/>
      <c r="F891" s="5"/>
      <c r="G891" s="5"/>
    </row>
    <row r="892" spans="2:7" ht="13">
      <c r="B892" s="36"/>
      <c r="C892" s="80"/>
      <c r="D892" s="5"/>
      <c r="E892" s="5"/>
      <c r="F892" s="5"/>
      <c r="G892" s="5"/>
    </row>
    <row r="893" spans="2:7" ht="13">
      <c r="B893" s="36"/>
      <c r="C893" s="80"/>
      <c r="D893" s="5"/>
      <c r="E893" s="5"/>
      <c r="F893" s="5"/>
      <c r="G893" s="5"/>
    </row>
    <row r="894" spans="2:7" ht="13">
      <c r="B894" s="36"/>
      <c r="C894" s="80"/>
      <c r="D894" s="5"/>
      <c r="E894" s="5"/>
      <c r="F894" s="5"/>
      <c r="G894" s="5"/>
    </row>
    <row r="895" spans="2:7" ht="13">
      <c r="B895" s="36"/>
      <c r="C895" s="80"/>
      <c r="D895" s="5"/>
      <c r="E895" s="5"/>
      <c r="F895" s="5"/>
      <c r="G895" s="5"/>
    </row>
    <row r="896" spans="2:7" ht="13">
      <c r="B896" s="36"/>
      <c r="C896" s="80"/>
      <c r="D896" s="5"/>
      <c r="E896" s="5"/>
      <c r="F896" s="5"/>
      <c r="G896" s="5"/>
    </row>
    <row r="897" spans="2:7" ht="13">
      <c r="B897" s="36"/>
      <c r="C897" s="80"/>
      <c r="D897" s="5"/>
      <c r="E897" s="5"/>
      <c r="F897" s="5"/>
      <c r="G897" s="5"/>
    </row>
    <row r="898" spans="2:7" ht="13">
      <c r="B898" s="36"/>
      <c r="C898" s="80"/>
      <c r="D898" s="5"/>
      <c r="E898" s="5"/>
      <c r="F898" s="5"/>
      <c r="G898" s="5"/>
    </row>
    <row r="899" spans="2:7" ht="13">
      <c r="B899" s="36"/>
      <c r="C899" s="80"/>
      <c r="D899" s="5"/>
      <c r="E899" s="5"/>
      <c r="F899" s="5"/>
      <c r="G899" s="5"/>
    </row>
    <row r="900" spans="2:7" ht="13">
      <c r="B900" s="36"/>
      <c r="C900" s="80"/>
      <c r="D900" s="5"/>
      <c r="E900" s="5"/>
      <c r="F900" s="5"/>
      <c r="G900" s="5"/>
    </row>
    <row r="901" spans="2:7" ht="13">
      <c r="B901" s="36"/>
      <c r="C901" s="80"/>
      <c r="D901" s="5"/>
      <c r="E901" s="5"/>
      <c r="F901" s="5"/>
      <c r="G901" s="5"/>
    </row>
    <row r="902" spans="2:7" ht="13">
      <c r="B902" s="36"/>
      <c r="C902" s="80"/>
      <c r="D902" s="5"/>
      <c r="E902" s="5"/>
      <c r="F902" s="5"/>
      <c r="G902" s="5"/>
    </row>
    <row r="903" spans="2:7" ht="13">
      <c r="B903" s="36"/>
      <c r="C903" s="80"/>
      <c r="D903" s="5"/>
      <c r="E903" s="5"/>
      <c r="F903" s="5"/>
      <c r="G903" s="5"/>
    </row>
    <row r="904" spans="2:7" ht="13">
      <c r="B904" s="36"/>
      <c r="C904" s="80"/>
      <c r="D904" s="5"/>
      <c r="E904" s="5"/>
      <c r="F904" s="5"/>
      <c r="G904" s="5"/>
    </row>
    <row r="905" spans="2:7" ht="13">
      <c r="B905" s="36"/>
      <c r="C905" s="80"/>
      <c r="D905" s="5"/>
      <c r="E905" s="5"/>
      <c r="F905" s="5"/>
      <c r="G905" s="5"/>
    </row>
    <row r="906" spans="2:7" ht="13">
      <c r="B906" s="36"/>
      <c r="C906" s="80"/>
      <c r="D906" s="5"/>
      <c r="E906" s="5"/>
      <c r="F906" s="5"/>
      <c r="G906" s="5"/>
    </row>
    <row r="907" spans="2:7" ht="13">
      <c r="B907" s="36"/>
      <c r="C907" s="80"/>
      <c r="D907" s="5"/>
      <c r="E907" s="5"/>
      <c r="F907" s="5"/>
      <c r="G907" s="5"/>
    </row>
    <row r="908" spans="2:7" ht="13">
      <c r="B908" s="36"/>
      <c r="C908" s="80"/>
      <c r="D908" s="5"/>
      <c r="E908" s="5"/>
      <c r="F908" s="5"/>
      <c r="G908" s="5"/>
    </row>
    <row r="909" spans="2:7" ht="13">
      <c r="B909" s="36"/>
      <c r="C909" s="80"/>
      <c r="D909" s="5"/>
      <c r="E909" s="5"/>
      <c r="F909" s="5"/>
      <c r="G909" s="5"/>
    </row>
    <row r="910" spans="2:7" ht="13">
      <c r="B910" s="36"/>
      <c r="C910" s="80"/>
      <c r="D910" s="5"/>
      <c r="E910" s="5"/>
      <c r="F910" s="5"/>
      <c r="G910" s="5"/>
    </row>
    <row r="911" spans="2:7" ht="13">
      <c r="B911" s="36"/>
      <c r="C911" s="80"/>
      <c r="D911" s="5"/>
      <c r="E911" s="5"/>
      <c r="F911" s="5"/>
      <c r="G911" s="5"/>
    </row>
    <row r="912" spans="2:7" ht="13">
      <c r="B912" s="36"/>
      <c r="C912" s="80"/>
      <c r="D912" s="5"/>
      <c r="E912" s="5"/>
      <c r="F912" s="5"/>
      <c r="G912" s="5"/>
    </row>
    <row r="913" spans="2:7" ht="13">
      <c r="B913" s="36"/>
      <c r="C913" s="80"/>
      <c r="D913" s="5"/>
      <c r="E913" s="5"/>
      <c r="F913" s="5"/>
      <c r="G913" s="5"/>
    </row>
    <row r="914" spans="2:7" ht="13">
      <c r="B914" s="36"/>
      <c r="C914" s="80"/>
      <c r="D914" s="5"/>
      <c r="E914" s="5"/>
      <c r="F914" s="5"/>
      <c r="G914" s="5"/>
    </row>
    <row r="915" spans="2:7" ht="13">
      <c r="B915" s="36"/>
      <c r="C915" s="80"/>
      <c r="D915" s="5"/>
      <c r="E915" s="5"/>
      <c r="F915" s="5"/>
      <c r="G915" s="5"/>
    </row>
    <row r="916" spans="2:7" ht="13">
      <c r="B916" s="36"/>
      <c r="C916" s="80"/>
      <c r="D916" s="5"/>
      <c r="E916" s="5"/>
      <c r="F916" s="5"/>
      <c r="G916" s="5"/>
    </row>
    <row r="917" spans="2:7" ht="13">
      <c r="B917" s="36"/>
      <c r="C917" s="80"/>
      <c r="D917" s="5"/>
      <c r="E917" s="5"/>
      <c r="F917" s="5"/>
      <c r="G917" s="5"/>
    </row>
    <row r="918" spans="2:7" ht="13">
      <c r="B918" s="36"/>
      <c r="C918" s="80"/>
      <c r="D918" s="5"/>
      <c r="E918" s="5"/>
      <c r="F918" s="5"/>
      <c r="G918" s="5"/>
    </row>
    <row r="919" spans="2:7" ht="13">
      <c r="B919" s="36"/>
      <c r="C919" s="80"/>
      <c r="D919" s="5"/>
      <c r="E919" s="5"/>
      <c r="F919" s="5"/>
      <c r="G919" s="5"/>
    </row>
    <row r="920" spans="2:7" ht="13">
      <c r="B920" s="36"/>
      <c r="C920" s="80"/>
      <c r="D920" s="5"/>
      <c r="E920" s="5"/>
      <c r="F920" s="5"/>
      <c r="G920" s="5"/>
    </row>
    <row r="921" spans="2:7" ht="13">
      <c r="B921" s="36"/>
      <c r="C921" s="80"/>
      <c r="D921" s="5"/>
      <c r="E921" s="5"/>
      <c r="F921" s="5"/>
      <c r="G921" s="5"/>
    </row>
    <row r="922" spans="2:7" ht="13">
      <c r="B922" s="36"/>
      <c r="C922" s="80"/>
      <c r="D922" s="5"/>
      <c r="E922" s="5"/>
      <c r="F922" s="5"/>
      <c r="G922" s="5"/>
    </row>
    <row r="923" spans="2:7" ht="13">
      <c r="B923" s="36"/>
      <c r="C923" s="80"/>
      <c r="D923" s="5"/>
      <c r="E923" s="5"/>
      <c r="F923" s="5"/>
      <c r="G923" s="5"/>
    </row>
    <row r="924" spans="2:7" ht="13">
      <c r="B924" s="36"/>
      <c r="C924" s="80"/>
      <c r="D924" s="5"/>
      <c r="E924" s="5"/>
      <c r="F924" s="5"/>
      <c r="G924" s="5"/>
    </row>
    <row r="925" spans="2:7" ht="13">
      <c r="B925" s="36"/>
      <c r="C925" s="80"/>
      <c r="D925" s="5"/>
      <c r="E925" s="5"/>
      <c r="F925" s="5"/>
      <c r="G925" s="5"/>
    </row>
    <row r="926" spans="2:7" ht="13">
      <c r="B926" s="36"/>
      <c r="C926" s="80"/>
      <c r="D926" s="5"/>
      <c r="E926" s="5"/>
      <c r="F926" s="5"/>
      <c r="G926" s="5"/>
    </row>
    <row r="927" spans="2:7" ht="13">
      <c r="B927" s="36"/>
      <c r="C927" s="80"/>
      <c r="D927" s="5"/>
      <c r="E927" s="5"/>
      <c r="F927" s="5"/>
      <c r="G927" s="5"/>
    </row>
    <row r="928" spans="2:7" ht="13">
      <c r="B928" s="36"/>
      <c r="C928" s="80"/>
      <c r="D928" s="5"/>
      <c r="E928" s="5"/>
      <c r="F928" s="5"/>
      <c r="G928" s="5"/>
    </row>
    <row r="929" spans="2:7" ht="13">
      <c r="B929" s="36"/>
      <c r="C929" s="80"/>
      <c r="D929" s="5"/>
      <c r="E929" s="5"/>
      <c r="F929" s="5"/>
      <c r="G929" s="5"/>
    </row>
    <row r="930" spans="2:7" ht="13">
      <c r="B930" s="36"/>
      <c r="C930" s="80"/>
      <c r="D930" s="5"/>
      <c r="E930" s="5"/>
      <c r="F930" s="5"/>
      <c r="G930" s="5"/>
    </row>
    <row r="931" spans="2:7" ht="13">
      <c r="B931" s="36"/>
      <c r="C931" s="80"/>
      <c r="D931" s="5"/>
      <c r="E931" s="5"/>
      <c r="F931" s="5"/>
      <c r="G931" s="5"/>
    </row>
    <row r="932" spans="2:7" ht="13">
      <c r="B932" s="36"/>
      <c r="C932" s="80"/>
      <c r="D932" s="5"/>
      <c r="E932" s="5"/>
      <c r="F932" s="5"/>
      <c r="G932" s="5"/>
    </row>
    <row r="933" spans="2:7" ht="13">
      <c r="B933" s="36"/>
      <c r="C933" s="80"/>
      <c r="D933" s="5"/>
      <c r="E933" s="5"/>
      <c r="F933" s="5"/>
      <c r="G933" s="5"/>
    </row>
    <row r="934" spans="2:7" ht="13">
      <c r="B934" s="36"/>
      <c r="C934" s="80"/>
      <c r="D934" s="5"/>
      <c r="E934" s="5"/>
      <c r="F934" s="5"/>
      <c r="G934" s="5"/>
    </row>
    <row r="935" spans="2:7" ht="13">
      <c r="B935" s="36"/>
      <c r="C935" s="80"/>
      <c r="D935" s="5"/>
      <c r="E935" s="5"/>
      <c r="F935" s="5"/>
      <c r="G935" s="5"/>
    </row>
    <row r="936" spans="2:7" ht="13">
      <c r="B936" s="36"/>
      <c r="C936" s="80"/>
      <c r="D936" s="5"/>
      <c r="E936" s="5"/>
      <c r="F936" s="5"/>
      <c r="G936" s="5"/>
    </row>
    <row r="937" spans="2:7" ht="13">
      <c r="B937" s="36"/>
      <c r="C937" s="80"/>
      <c r="D937" s="5"/>
      <c r="E937" s="5"/>
      <c r="F937" s="5"/>
      <c r="G937" s="5"/>
    </row>
    <row r="938" spans="2:7" ht="13">
      <c r="B938" s="36"/>
      <c r="C938" s="80"/>
      <c r="D938" s="5"/>
      <c r="E938" s="5"/>
      <c r="F938" s="5"/>
      <c r="G938" s="5"/>
    </row>
    <row r="939" spans="2:7" ht="13">
      <c r="B939" s="36"/>
      <c r="C939" s="80"/>
      <c r="D939" s="5"/>
      <c r="E939" s="5"/>
      <c r="F939" s="5"/>
      <c r="G939" s="5"/>
    </row>
    <row r="940" spans="2:7" ht="13">
      <c r="B940" s="36"/>
      <c r="C940" s="80"/>
      <c r="D940" s="5"/>
      <c r="E940" s="5"/>
      <c r="F940" s="5"/>
      <c r="G940" s="5"/>
    </row>
    <row r="941" spans="2:7" ht="13">
      <c r="B941" s="36"/>
      <c r="C941" s="80"/>
      <c r="D941" s="5"/>
      <c r="E941" s="5"/>
      <c r="F941" s="5"/>
      <c r="G941" s="5"/>
    </row>
    <row r="942" spans="2:7" ht="13">
      <c r="B942" s="36"/>
      <c r="C942" s="80"/>
      <c r="D942" s="5"/>
      <c r="E942" s="5"/>
      <c r="F942" s="5"/>
      <c r="G942" s="5"/>
    </row>
    <row r="943" spans="2:7" ht="13">
      <c r="B943" s="36"/>
      <c r="C943" s="80"/>
      <c r="D943" s="5"/>
      <c r="E943" s="5"/>
      <c r="F943" s="5"/>
      <c r="G943" s="5"/>
    </row>
    <row r="944" spans="2:7" ht="13">
      <c r="B944" s="36"/>
      <c r="C944" s="80"/>
      <c r="D944" s="5"/>
      <c r="E944" s="5"/>
      <c r="F944" s="5"/>
      <c r="G944" s="5"/>
    </row>
    <row r="945" spans="2:7" ht="13">
      <c r="B945" s="36"/>
      <c r="C945" s="80"/>
      <c r="D945" s="5"/>
      <c r="E945" s="5"/>
      <c r="F945" s="5"/>
      <c r="G945" s="5"/>
    </row>
    <row r="946" spans="2:7" ht="13">
      <c r="B946" s="36"/>
      <c r="C946" s="80"/>
      <c r="D946" s="5"/>
      <c r="E946" s="5"/>
      <c r="F946" s="5"/>
      <c r="G946" s="5"/>
    </row>
    <row r="947" spans="2:7" ht="13">
      <c r="B947" s="36"/>
      <c r="C947" s="80"/>
      <c r="D947" s="5"/>
      <c r="E947" s="5"/>
      <c r="F947" s="5"/>
      <c r="G947" s="5"/>
    </row>
    <row r="948" spans="2:7" ht="13">
      <c r="B948" s="36"/>
      <c r="C948" s="80"/>
      <c r="D948" s="5"/>
      <c r="E948" s="5"/>
      <c r="F948" s="5"/>
      <c r="G948" s="5"/>
    </row>
    <row r="949" spans="2:7" ht="13">
      <c r="B949" s="36"/>
      <c r="C949" s="80"/>
      <c r="D949" s="5"/>
      <c r="E949" s="5"/>
      <c r="F949" s="5"/>
      <c r="G949" s="5"/>
    </row>
    <row r="950" spans="2:7" ht="13">
      <c r="B950" s="36"/>
      <c r="C950" s="80"/>
      <c r="D950" s="5"/>
      <c r="E950" s="5"/>
      <c r="F950" s="5"/>
      <c r="G950" s="5"/>
    </row>
    <row r="951" spans="2:7" ht="13">
      <c r="B951" s="36"/>
      <c r="C951" s="80"/>
      <c r="D951" s="5"/>
      <c r="E951" s="5"/>
      <c r="F951" s="5"/>
      <c r="G951" s="5"/>
    </row>
    <row r="952" spans="2:7" ht="13">
      <c r="B952" s="36"/>
      <c r="C952" s="80"/>
      <c r="D952" s="5"/>
      <c r="E952" s="5"/>
      <c r="F952" s="5"/>
      <c r="G952" s="5"/>
    </row>
    <row r="953" spans="2:7" ht="13">
      <c r="B953" s="36"/>
      <c r="C953" s="80"/>
      <c r="D953" s="5"/>
      <c r="E953" s="5"/>
      <c r="F953" s="5"/>
      <c r="G953" s="5"/>
    </row>
    <row r="954" spans="2:7" ht="13">
      <c r="B954" s="36"/>
      <c r="C954" s="80"/>
      <c r="D954" s="5"/>
      <c r="E954" s="5"/>
      <c r="F954" s="5"/>
      <c r="G954" s="5"/>
    </row>
    <row r="955" spans="2:7" ht="13">
      <c r="B955" s="36"/>
      <c r="C955" s="80"/>
      <c r="D955" s="5"/>
      <c r="E955" s="5"/>
      <c r="F955" s="5"/>
      <c r="G955" s="5"/>
    </row>
    <row r="956" spans="2:7" ht="13">
      <c r="B956" s="36"/>
      <c r="C956" s="80"/>
      <c r="D956" s="5"/>
      <c r="E956" s="5"/>
      <c r="F956" s="5"/>
      <c r="G956" s="5"/>
    </row>
    <row r="957" spans="2:7" ht="13">
      <c r="B957" s="36"/>
      <c r="C957" s="80"/>
      <c r="D957" s="5"/>
      <c r="E957" s="5"/>
      <c r="F957" s="5"/>
      <c r="G957" s="5"/>
    </row>
    <row r="958" spans="2:7" ht="13">
      <c r="B958" s="36"/>
      <c r="C958" s="80"/>
      <c r="D958" s="5"/>
      <c r="E958" s="5"/>
      <c r="F958" s="5"/>
      <c r="G958" s="5"/>
    </row>
    <row r="959" spans="2:7" ht="13">
      <c r="B959" s="36"/>
      <c r="C959" s="80"/>
      <c r="D959" s="5"/>
      <c r="E959" s="5"/>
      <c r="F959" s="5"/>
      <c r="G959" s="5"/>
    </row>
    <row r="960" spans="2:7" ht="13">
      <c r="B960" s="36"/>
      <c r="C960" s="80"/>
      <c r="D960" s="5"/>
      <c r="E960" s="5"/>
      <c r="F960" s="5"/>
      <c r="G960" s="5"/>
    </row>
    <row r="961" spans="2:7" ht="13">
      <c r="B961" s="36"/>
      <c r="C961" s="80"/>
      <c r="D961" s="5"/>
      <c r="E961" s="5"/>
      <c r="F961" s="5"/>
      <c r="G961" s="5"/>
    </row>
    <row r="962" spans="2:7" ht="13">
      <c r="B962" s="36"/>
      <c r="C962" s="80"/>
      <c r="D962" s="5"/>
      <c r="E962" s="5"/>
      <c r="F962" s="5"/>
      <c r="G962" s="5"/>
    </row>
    <row r="963" spans="2:7" ht="13">
      <c r="B963" s="36"/>
      <c r="C963" s="80"/>
      <c r="D963" s="5"/>
      <c r="E963" s="5"/>
      <c r="F963" s="5"/>
      <c r="G963" s="5"/>
    </row>
    <row r="964" spans="2:7" ht="13">
      <c r="B964" s="36"/>
      <c r="C964" s="80"/>
      <c r="D964" s="5"/>
      <c r="E964" s="5"/>
      <c r="F964" s="5"/>
      <c r="G964" s="5"/>
    </row>
    <row r="965" spans="2:7" ht="13">
      <c r="B965" s="36"/>
      <c r="C965" s="80"/>
      <c r="D965" s="5"/>
      <c r="E965" s="5"/>
      <c r="F965" s="5"/>
      <c r="G965" s="5"/>
    </row>
    <row r="966" spans="2:7" ht="13">
      <c r="B966" s="36"/>
      <c r="C966" s="80"/>
      <c r="D966" s="5"/>
      <c r="E966" s="5"/>
      <c r="F966" s="5"/>
      <c r="G966" s="5"/>
    </row>
    <row r="967" spans="2:7" ht="13">
      <c r="B967" s="36"/>
      <c r="C967" s="80"/>
      <c r="D967" s="5"/>
      <c r="E967" s="5"/>
      <c r="F967" s="5"/>
      <c r="G967" s="5"/>
    </row>
    <row r="968" spans="2:7" ht="13">
      <c r="B968" s="36"/>
      <c r="C968" s="80"/>
      <c r="D968" s="5"/>
      <c r="E968" s="5"/>
      <c r="F968" s="5"/>
      <c r="G968" s="5"/>
    </row>
    <row r="969" spans="2:7" ht="13">
      <c r="B969" s="36"/>
      <c r="C969" s="80"/>
      <c r="D969" s="5"/>
      <c r="E969" s="5"/>
      <c r="F969" s="5"/>
      <c r="G969" s="5"/>
    </row>
    <row r="970" spans="2:7" ht="13">
      <c r="B970" s="36"/>
      <c r="C970" s="80"/>
      <c r="D970" s="5"/>
      <c r="E970" s="5"/>
      <c r="F970" s="5"/>
      <c r="G970" s="5"/>
    </row>
    <row r="971" spans="2:7" ht="13">
      <c r="B971" s="36"/>
      <c r="C971" s="80"/>
      <c r="D971" s="5"/>
      <c r="E971" s="5"/>
      <c r="F971" s="5"/>
      <c r="G971" s="5"/>
    </row>
    <row r="972" spans="2:7" ht="13">
      <c r="B972" s="36"/>
      <c r="C972" s="80"/>
      <c r="D972" s="5"/>
      <c r="E972" s="5"/>
      <c r="F972" s="5"/>
      <c r="G972" s="5"/>
    </row>
    <row r="973" spans="2:7" ht="13">
      <c r="B973" s="36"/>
      <c r="C973" s="80"/>
      <c r="D973" s="5"/>
      <c r="E973" s="5"/>
      <c r="F973" s="5"/>
      <c r="G973" s="5"/>
    </row>
    <row r="974" spans="2:7" ht="13">
      <c r="B974" s="36"/>
      <c r="C974" s="80"/>
      <c r="D974" s="5"/>
      <c r="E974" s="5"/>
      <c r="F974" s="5"/>
      <c r="G974" s="5"/>
    </row>
    <row r="975" spans="2:7" ht="13">
      <c r="B975" s="36"/>
      <c r="C975" s="80"/>
      <c r="D975" s="5"/>
      <c r="E975" s="5"/>
      <c r="F975" s="5"/>
      <c r="G975" s="5"/>
    </row>
    <row r="976" spans="2:7" ht="13">
      <c r="B976" s="36"/>
      <c r="C976" s="80"/>
      <c r="D976" s="5"/>
      <c r="E976" s="5"/>
      <c r="F976" s="5"/>
      <c r="G976" s="5"/>
    </row>
    <row r="977" spans="2:7" ht="13">
      <c r="B977" s="36"/>
      <c r="C977" s="80"/>
      <c r="D977" s="5"/>
      <c r="E977" s="5"/>
      <c r="F977" s="5"/>
      <c r="G977" s="5"/>
    </row>
    <row r="978" spans="2:7" ht="13">
      <c r="B978" s="36"/>
      <c r="C978" s="80"/>
      <c r="D978" s="5"/>
      <c r="E978" s="5"/>
      <c r="F978" s="5"/>
      <c r="G978" s="5"/>
    </row>
    <row r="979" spans="2:7" ht="13">
      <c r="B979" s="36"/>
      <c r="C979" s="80"/>
      <c r="D979" s="5"/>
      <c r="E979" s="5"/>
      <c r="F979" s="5"/>
      <c r="G979" s="5"/>
    </row>
    <row r="980" spans="2:7" ht="13">
      <c r="B980" s="36"/>
      <c r="C980" s="80"/>
      <c r="D980" s="5"/>
      <c r="E980" s="5"/>
      <c r="F980" s="5"/>
      <c r="G980" s="5"/>
    </row>
    <row r="981" spans="2:7" ht="13">
      <c r="B981" s="36"/>
      <c r="C981" s="80"/>
      <c r="D981" s="5"/>
      <c r="E981" s="5"/>
      <c r="F981" s="5"/>
      <c r="G981" s="5"/>
    </row>
    <row r="982" spans="2:7" ht="13">
      <c r="B982" s="36"/>
      <c r="C982" s="80"/>
      <c r="D982" s="5"/>
      <c r="E982" s="5"/>
      <c r="F982" s="5"/>
      <c r="G982" s="5"/>
    </row>
    <row r="983" spans="2:7" ht="13">
      <c r="B983" s="36"/>
      <c r="C983" s="80"/>
      <c r="D983" s="5"/>
      <c r="E983" s="5"/>
      <c r="F983" s="5"/>
      <c r="G983" s="5"/>
    </row>
    <row r="984" spans="2:7" ht="13">
      <c r="B984" s="36"/>
      <c r="C984" s="80"/>
      <c r="D984" s="5"/>
      <c r="E984" s="5"/>
      <c r="F984" s="5"/>
      <c r="G984" s="5"/>
    </row>
    <row r="985" spans="2:7" ht="13">
      <c r="B985" s="36"/>
      <c r="C985" s="80"/>
      <c r="D985" s="5"/>
      <c r="E985" s="5"/>
      <c r="F985" s="5"/>
      <c r="G985" s="5"/>
    </row>
    <row r="986" spans="2:7" ht="13">
      <c r="B986" s="36"/>
      <c r="C986" s="80"/>
      <c r="D986" s="5"/>
      <c r="E986" s="5"/>
      <c r="F986" s="5"/>
      <c r="G986" s="5"/>
    </row>
    <row r="987" spans="2:7" ht="13">
      <c r="B987" s="36"/>
      <c r="C987" s="80"/>
      <c r="D987" s="5"/>
      <c r="E987" s="5"/>
      <c r="F987" s="5"/>
      <c r="G987" s="5"/>
    </row>
    <row r="988" spans="2:7" ht="13">
      <c r="B988" s="36"/>
      <c r="C988" s="80"/>
      <c r="D988" s="5"/>
      <c r="E988" s="5"/>
      <c r="F988" s="5"/>
      <c r="G988" s="5"/>
    </row>
    <row r="989" spans="2:7" ht="13">
      <c r="B989" s="36"/>
      <c r="C989" s="80"/>
      <c r="D989" s="5"/>
      <c r="E989" s="5"/>
      <c r="F989" s="5"/>
      <c r="G989" s="5"/>
    </row>
    <row r="990" spans="2:7" ht="13">
      <c r="B990" s="36"/>
      <c r="C990" s="80"/>
      <c r="D990" s="5"/>
      <c r="E990" s="5"/>
      <c r="F990" s="5"/>
      <c r="G990" s="5"/>
    </row>
    <row r="991" spans="2:7" ht="13">
      <c r="B991" s="36"/>
      <c r="C991" s="80"/>
      <c r="D991" s="5"/>
      <c r="E991" s="5"/>
      <c r="F991" s="5"/>
      <c r="G991" s="5"/>
    </row>
    <row r="992" spans="2:7" ht="13">
      <c r="B992" s="36"/>
      <c r="C992" s="80"/>
      <c r="D992" s="5"/>
      <c r="E992" s="5"/>
      <c r="F992" s="5"/>
      <c r="G992" s="5"/>
    </row>
    <row r="993" spans="2:7" ht="13">
      <c r="B993" s="36"/>
      <c r="C993" s="80"/>
      <c r="D993" s="5"/>
      <c r="E993" s="5"/>
      <c r="F993" s="5"/>
      <c r="G993" s="5"/>
    </row>
    <row r="994" spans="2:7" ht="13">
      <c r="B994" s="36"/>
      <c r="C994" s="80"/>
      <c r="D994" s="5"/>
      <c r="E994" s="5"/>
      <c r="F994" s="5"/>
      <c r="G994" s="5"/>
    </row>
    <row r="995" spans="2:7" ht="13">
      <c r="B995" s="36"/>
      <c r="C995" s="80"/>
      <c r="D995" s="5"/>
      <c r="E995" s="5"/>
      <c r="F995" s="5"/>
      <c r="G995" s="5"/>
    </row>
    <row r="996" spans="2:7" ht="13">
      <c r="B996" s="36"/>
      <c r="C996" s="80"/>
      <c r="D996" s="5"/>
      <c r="E996" s="5"/>
      <c r="F996" s="5"/>
      <c r="G996" s="5"/>
    </row>
    <row r="997" spans="2:7" ht="13">
      <c r="B997" s="36"/>
      <c r="C997" s="80"/>
      <c r="D997" s="5"/>
      <c r="E997" s="5"/>
      <c r="F997" s="5"/>
      <c r="G997" s="5"/>
    </row>
    <row r="998" spans="2:7" ht="13">
      <c r="B998" s="36"/>
      <c r="C998" s="80"/>
      <c r="D998" s="5"/>
      <c r="E998" s="5"/>
      <c r="F998" s="5"/>
      <c r="G998" s="5"/>
    </row>
    <row r="999" spans="2:7" ht="13">
      <c r="B999" s="36"/>
      <c r="C999" s="80"/>
      <c r="D999" s="5"/>
      <c r="E999" s="5"/>
      <c r="F999" s="5"/>
      <c r="G999" s="5"/>
    </row>
    <row r="1000" spans="2:7" ht="13">
      <c r="B1000" s="36"/>
      <c r="C1000" s="80"/>
      <c r="D1000" s="5"/>
      <c r="E1000" s="5"/>
      <c r="F1000" s="5"/>
      <c r="G1000" s="5"/>
    </row>
    <row r="1001" spans="2:7" ht="13">
      <c r="B1001" s="36"/>
      <c r="C1001" s="80"/>
      <c r="D1001" s="5"/>
      <c r="E1001" s="5"/>
      <c r="F1001" s="5"/>
      <c r="G1001" s="5"/>
    </row>
    <row r="1002" spans="2:7" ht="13">
      <c r="B1002" s="36"/>
      <c r="C1002" s="80"/>
      <c r="D1002" s="5"/>
      <c r="E1002" s="5"/>
      <c r="F1002" s="5"/>
      <c r="G1002" s="5"/>
    </row>
  </sheetData>
  <hyperlinks>
    <hyperlink ref="B7" r:id="rId1" xr:uid="{00000000-0004-0000-5200-000000000000}"/>
    <hyperlink ref="B8" r:id="rId2" xr:uid="{00000000-0004-0000-5200-000001000000}"/>
    <hyperlink ref="B9" r:id="rId3" xr:uid="{00000000-0004-0000-5200-000002000000}"/>
    <hyperlink ref="B10" r:id="rId4" xr:uid="{00000000-0004-0000-5200-000003000000}"/>
    <hyperlink ref="B11" r:id="rId5" xr:uid="{00000000-0004-0000-5200-000004000000}"/>
    <hyperlink ref="B12" r:id="rId6" xr:uid="{00000000-0004-0000-5200-000005000000}"/>
    <hyperlink ref="B13" r:id="rId7" xr:uid="{00000000-0004-0000-5200-000006000000}"/>
    <hyperlink ref="B14" r:id="rId8" xr:uid="{00000000-0004-0000-5200-000007000000}"/>
    <hyperlink ref="B15" r:id="rId9" xr:uid="{00000000-0004-0000-5200-000008000000}"/>
    <hyperlink ref="B18" r:id="rId10" xr:uid="{00000000-0004-0000-5200-000009000000}"/>
    <hyperlink ref="B19" r:id="rId11" xr:uid="{00000000-0004-0000-5200-00000A000000}"/>
    <hyperlink ref="B21" r:id="rId12" xr:uid="{00000000-0004-0000-5200-00000B000000}"/>
    <hyperlink ref="B22" r:id="rId13" xr:uid="{00000000-0004-0000-5200-00000C000000}"/>
    <hyperlink ref="B23" r:id="rId14" xr:uid="{00000000-0004-0000-5200-00000D000000}"/>
    <hyperlink ref="B24" r:id="rId15" xr:uid="{00000000-0004-0000-5200-00000E000000}"/>
    <hyperlink ref="B27" r:id="rId16" xr:uid="{00000000-0004-0000-5200-00000F000000}"/>
    <hyperlink ref="B28" r:id="rId17" xr:uid="{00000000-0004-0000-5200-000010000000}"/>
    <hyperlink ref="B29" r:id="rId18" xr:uid="{00000000-0004-0000-5200-000011000000}"/>
    <hyperlink ref="B32" r:id="rId19" xr:uid="{00000000-0004-0000-5200-000012000000}"/>
    <hyperlink ref="B33" r:id="rId20" xr:uid="{00000000-0004-0000-5200-000013000000}"/>
    <hyperlink ref="B34" r:id="rId21" xr:uid="{00000000-0004-0000-5200-000014000000}"/>
    <hyperlink ref="B35" r:id="rId22" xr:uid="{00000000-0004-0000-5200-000015000000}"/>
    <hyperlink ref="B37" r:id="rId23" xr:uid="{00000000-0004-0000-5200-000016000000}"/>
    <hyperlink ref="B38" r:id="rId24" xr:uid="{00000000-0004-0000-5200-000017000000}"/>
    <hyperlink ref="B39" r:id="rId25" xr:uid="{00000000-0004-0000-5200-000018000000}"/>
    <hyperlink ref="B40" r:id="rId26" xr:uid="{00000000-0004-0000-5200-000019000000}"/>
    <hyperlink ref="B41" r:id="rId27" xr:uid="{00000000-0004-0000-5200-00001A000000}"/>
    <hyperlink ref="B42" r:id="rId28" xr:uid="{00000000-0004-0000-5200-00001B000000}"/>
    <hyperlink ref="B43" r:id="rId29" xr:uid="{00000000-0004-0000-5200-00001C000000}"/>
    <hyperlink ref="B44" r:id="rId30" xr:uid="{00000000-0004-0000-5200-00001D000000}"/>
    <hyperlink ref="B45" r:id="rId31" xr:uid="{00000000-0004-0000-5200-00001E000000}"/>
    <hyperlink ref="B46" r:id="rId32" xr:uid="{00000000-0004-0000-5200-00001F000000}"/>
    <hyperlink ref="B47" r:id="rId33" xr:uid="{00000000-0004-0000-5200-000020000000}"/>
    <hyperlink ref="B48" r:id="rId34" xr:uid="{00000000-0004-0000-5200-000021000000}"/>
    <hyperlink ref="B49" r:id="rId35" xr:uid="{00000000-0004-0000-5200-000022000000}"/>
    <hyperlink ref="B51" r:id="rId36" xr:uid="{00000000-0004-0000-5200-000023000000}"/>
    <hyperlink ref="B52" r:id="rId37" xr:uid="{00000000-0004-0000-5200-000024000000}"/>
    <hyperlink ref="B53" r:id="rId38" xr:uid="{00000000-0004-0000-5200-000025000000}"/>
    <hyperlink ref="B54" r:id="rId39" xr:uid="{00000000-0004-0000-5200-000026000000}"/>
    <hyperlink ref="B55" r:id="rId40" xr:uid="{00000000-0004-0000-5200-000027000000}"/>
    <hyperlink ref="B57" r:id="rId41" xr:uid="{00000000-0004-0000-5200-000028000000}"/>
    <hyperlink ref="B58" r:id="rId42" xr:uid="{00000000-0004-0000-5200-000029000000}"/>
    <hyperlink ref="B59" r:id="rId43" xr:uid="{00000000-0004-0000-5200-00002A000000}"/>
    <hyperlink ref="B60" r:id="rId44" xr:uid="{00000000-0004-0000-5200-00002B000000}"/>
    <hyperlink ref="B61" r:id="rId45" xr:uid="{00000000-0004-0000-5200-00002C000000}"/>
    <hyperlink ref="B62" r:id="rId46" xr:uid="{00000000-0004-0000-5200-00002D000000}"/>
    <hyperlink ref="B63" r:id="rId47" xr:uid="{00000000-0004-0000-5200-00002E000000}"/>
    <hyperlink ref="B65" r:id="rId48" xr:uid="{00000000-0004-0000-5200-00002F000000}"/>
    <hyperlink ref="B66" r:id="rId49" xr:uid="{00000000-0004-0000-5200-000030000000}"/>
    <hyperlink ref="B67" r:id="rId50" xr:uid="{00000000-0004-0000-5200-000031000000}"/>
    <hyperlink ref="B70" r:id="rId51" xr:uid="{00000000-0004-0000-5200-000032000000}"/>
    <hyperlink ref="B71" r:id="rId52" xr:uid="{00000000-0004-0000-5200-000033000000}"/>
    <hyperlink ref="B72" r:id="rId53" xr:uid="{00000000-0004-0000-5200-000034000000}"/>
    <hyperlink ref="B73" r:id="rId54" xr:uid="{00000000-0004-0000-5200-000035000000}"/>
    <hyperlink ref="B74" r:id="rId55" xr:uid="{00000000-0004-0000-5200-000036000000}"/>
    <hyperlink ref="B75" r:id="rId56" xr:uid="{00000000-0004-0000-5200-000037000000}"/>
    <hyperlink ref="B77" r:id="rId57" xr:uid="{00000000-0004-0000-5200-000038000000}"/>
    <hyperlink ref="B78" r:id="rId58" xr:uid="{00000000-0004-0000-5200-000039000000}"/>
    <hyperlink ref="B79" r:id="rId59" xr:uid="{00000000-0004-0000-5200-00003A000000}"/>
    <hyperlink ref="B80" r:id="rId60" xr:uid="{00000000-0004-0000-5200-00003B000000}"/>
    <hyperlink ref="B81" r:id="rId61" xr:uid="{00000000-0004-0000-5200-00003C000000}"/>
    <hyperlink ref="B82" r:id="rId62" xr:uid="{00000000-0004-0000-5200-00003D000000}"/>
    <hyperlink ref="B83" r:id="rId63" xr:uid="{00000000-0004-0000-5200-00003E000000}"/>
    <hyperlink ref="B84" r:id="rId64" xr:uid="{00000000-0004-0000-5200-00003F000000}"/>
    <hyperlink ref="B85" r:id="rId65" xr:uid="{00000000-0004-0000-5200-000040000000}"/>
    <hyperlink ref="B86" r:id="rId66" xr:uid="{00000000-0004-0000-5200-000041000000}"/>
    <hyperlink ref="B87" r:id="rId67" xr:uid="{00000000-0004-0000-5200-000042000000}"/>
    <hyperlink ref="B88" r:id="rId68" xr:uid="{00000000-0004-0000-5200-000043000000}"/>
    <hyperlink ref="B89" r:id="rId69" xr:uid="{00000000-0004-0000-5200-000044000000}"/>
    <hyperlink ref="B90" r:id="rId70" xr:uid="{00000000-0004-0000-5200-000045000000}"/>
    <hyperlink ref="B91" r:id="rId71" xr:uid="{00000000-0004-0000-5200-000046000000}"/>
    <hyperlink ref="B92" r:id="rId72" xr:uid="{00000000-0004-0000-5200-000047000000}"/>
    <hyperlink ref="B93" r:id="rId73" xr:uid="{00000000-0004-0000-5200-000048000000}"/>
    <hyperlink ref="B94" r:id="rId74" xr:uid="{00000000-0004-0000-5200-000049000000}"/>
    <hyperlink ref="B95" r:id="rId75" xr:uid="{00000000-0004-0000-5200-00004A000000}"/>
    <hyperlink ref="B96" r:id="rId76" xr:uid="{00000000-0004-0000-5200-00004B000000}"/>
    <hyperlink ref="B97" r:id="rId77" xr:uid="{00000000-0004-0000-5200-00004C000000}"/>
    <hyperlink ref="B98" r:id="rId78" xr:uid="{00000000-0004-0000-5200-00004D000000}"/>
    <hyperlink ref="B99" r:id="rId79" xr:uid="{00000000-0004-0000-5200-00004E000000}"/>
    <hyperlink ref="B100" r:id="rId80" xr:uid="{00000000-0004-0000-5200-00004F000000}"/>
    <hyperlink ref="B101" r:id="rId81" xr:uid="{00000000-0004-0000-5200-000050000000}"/>
    <hyperlink ref="B102" r:id="rId82" xr:uid="{00000000-0004-0000-5200-000051000000}"/>
    <hyperlink ref="B103" r:id="rId83" xr:uid="{00000000-0004-0000-5200-000052000000}"/>
    <hyperlink ref="B111" r:id="rId84" xr:uid="{00000000-0004-0000-5200-000053000000}"/>
    <hyperlink ref="B112" r:id="rId85" xr:uid="{00000000-0004-0000-5200-000054000000}"/>
    <hyperlink ref="B113" r:id="rId86" xr:uid="{00000000-0004-0000-5200-000055000000}"/>
    <hyperlink ref="B114" r:id="rId87" xr:uid="{00000000-0004-0000-5200-000056000000}"/>
    <hyperlink ref="B115" r:id="rId88" xr:uid="{00000000-0004-0000-5200-000057000000}"/>
    <hyperlink ref="B116" r:id="rId89" xr:uid="{00000000-0004-0000-5200-000058000000}"/>
    <hyperlink ref="B117" r:id="rId90" xr:uid="{00000000-0004-0000-5200-000059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4">
    <outlinePr summaryBelow="0" summaryRight="0"/>
  </sheetPr>
  <dimension ref="A1:Z1005"/>
  <sheetViews>
    <sheetView workbookViewId="0">
      <pane ySplit="4" topLeftCell="A5" activePane="bottomLeft" state="frozen"/>
      <selection pane="bottomLeft" activeCell="B6" sqref="B6"/>
    </sheetView>
  </sheetViews>
  <sheetFormatPr baseColWidth="10" defaultColWidth="12.6640625" defaultRowHeight="15.75" customHeight="1"/>
  <cols>
    <col min="2" max="2" width="24.6640625" customWidth="1"/>
    <col min="3" max="3" width="9.6640625" customWidth="1"/>
    <col min="4" max="4" width="14.83203125" customWidth="1"/>
    <col min="5" max="5" width="14.33203125" customWidth="1"/>
  </cols>
  <sheetData>
    <row r="1" spans="1:10" ht="15.75" customHeight="1">
      <c r="A1" s="1" t="s">
        <v>6178</v>
      </c>
      <c r="B1" s="36"/>
      <c r="C1" s="47"/>
      <c r="D1" s="95" t="s">
        <v>181</v>
      </c>
      <c r="F1" s="51" t="s">
        <v>6179</v>
      </c>
    </row>
    <row r="2" spans="1:10" ht="15.75" customHeight="1">
      <c r="A2" s="7" t="s">
        <v>182</v>
      </c>
      <c r="B2" s="38">
        <v>42687</v>
      </c>
      <c r="C2" s="47"/>
      <c r="D2" s="82">
        <f>SUM(D5:G251)</f>
        <v>0</v>
      </c>
      <c r="F2" s="5"/>
    </row>
    <row r="3" spans="1:10" ht="15.75" customHeight="1">
      <c r="B3" s="36"/>
      <c r="C3" s="47"/>
      <c r="D3" s="5"/>
      <c r="F3" s="5"/>
    </row>
    <row r="4" spans="1:10" ht="15.75" customHeight="1">
      <c r="A4" s="83" t="s">
        <v>183</v>
      </c>
      <c r="B4" s="96" t="s">
        <v>184</v>
      </c>
      <c r="C4" s="97" t="s">
        <v>185</v>
      </c>
      <c r="D4" s="83" t="s">
        <v>186</v>
      </c>
      <c r="E4" s="84" t="s">
        <v>187</v>
      </c>
      <c r="F4" s="84" t="s">
        <v>188</v>
      </c>
      <c r="G4" s="85" t="s">
        <v>189</v>
      </c>
      <c r="H4" s="84" t="s">
        <v>190</v>
      </c>
      <c r="I4" s="85"/>
    </row>
    <row r="5" spans="1:10" ht="15.75" customHeight="1">
      <c r="A5" s="98" t="s">
        <v>6180</v>
      </c>
      <c r="B5" s="99" t="str">
        <f>HYPERLINK("https://bulbapedia.bulbagarden.net/wiki/Rowlet_(SM_Promo_1)","Rowlet")</f>
        <v>Rowlet</v>
      </c>
      <c r="C5" s="98" t="s">
        <v>205</v>
      </c>
      <c r="D5" s="89"/>
      <c r="E5" s="87"/>
      <c r="F5" s="87"/>
      <c r="G5" s="87"/>
      <c r="H5" s="88"/>
      <c r="I5" s="88"/>
      <c r="J5" s="88"/>
    </row>
    <row r="6" spans="1:10" ht="15.75" customHeight="1">
      <c r="A6" s="98" t="s">
        <v>6181</v>
      </c>
      <c r="B6" s="99" t="str">
        <f>HYPERLINK("https://bulbapedia.bulbagarden.net/wiki/Litten_(SM_Promo_2)","Litten")</f>
        <v>Litten</v>
      </c>
      <c r="C6" s="98" t="s">
        <v>199</v>
      </c>
      <c r="D6" s="64"/>
      <c r="F6" s="5"/>
      <c r="J6" s="88"/>
    </row>
    <row r="7" spans="1:10" ht="15.75" customHeight="1">
      <c r="A7" s="98" t="s">
        <v>6182</v>
      </c>
      <c r="B7" s="99" t="str">
        <f>HYPERLINK("https://bulbapedia.bulbagarden.net/wiki/Popplio_(SM_Promo_3)","Popplio")</f>
        <v>Popplio</v>
      </c>
      <c r="C7" s="98" t="s">
        <v>208</v>
      </c>
      <c r="D7" s="64"/>
      <c r="F7" s="5"/>
    </row>
    <row r="8" spans="1:10" ht="15.75" customHeight="1">
      <c r="A8" s="98" t="s">
        <v>6183</v>
      </c>
      <c r="B8" s="99" t="str">
        <f>HYPERLINK("https://bulbapedia.bulbagarden.net/wiki/Pikachu_(SM_Promo_4)","Pikachu")</f>
        <v>Pikachu</v>
      </c>
      <c r="C8" s="98" t="s">
        <v>192</v>
      </c>
      <c r="D8" s="100"/>
      <c r="F8" s="5"/>
    </row>
    <row r="9" spans="1:10" ht="15.75" customHeight="1">
      <c r="A9" s="98" t="s">
        <v>6184</v>
      </c>
      <c r="B9" s="99" t="str">
        <f>HYPERLINK("https://bulbapedia.bulbagarden.net/wiki/Snorlax-GX_(SM_Promo_5)","SnorlaxGX")</f>
        <v>SnorlaxGX</v>
      </c>
      <c r="C9" s="98" t="s">
        <v>197</v>
      </c>
      <c r="D9" s="92"/>
      <c r="F9" s="5"/>
    </row>
    <row r="10" spans="1:10" ht="15.75" customHeight="1">
      <c r="A10" s="98" t="s">
        <v>6185</v>
      </c>
      <c r="B10" s="99" t="str">
        <f>HYPERLINK("https://bulbapedia.bulbagarden.net/wiki/Rockruff_(SM_Promo_6)","Rockruff")</f>
        <v>Rockruff</v>
      </c>
      <c r="C10" s="98" t="s">
        <v>225</v>
      </c>
      <c r="D10" s="92"/>
      <c r="F10" s="51"/>
    </row>
    <row r="11" spans="1:10" ht="15.75" customHeight="1">
      <c r="A11" s="98" t="s">
        <v>6186</v>
      </c>
      <c r="B11" s="99" t="s">
        <v>6187</v>
      </c>
      <c r="C11" s="98" t="s">
        <v>197</v>
      </c>
      <c r="D11" s="72"/>
      <c r="F11" s="51"/>
    </row>
    <row r="12" spans="1:10" ht="15.75" customHeight="1">
      <c r="A12" s="98" t="s">
        <v>6188</v>
      </c>
      <c r="B12" s="99" t="s">
        <v>6189</v>
      </c>
      <c r="C12" s="98" t="s">
        <v>199</v>
      </c>
      <c r="D12" s="92"/>
      <c r="F12" s="51"/>
    </row>
    <row r="13" spans="1:10" ht="15.75" customHeight="1">
      <c r="A13" s="98" t="s">
        <v>6190</v>
      </c>
      <c r="B13" s="99" t="s">
        <v>6191</v>
      </c>
      <c r="C13" s="98" t="s">
        <v>192</v>
      </c>
      <c r="D13" s="64"/>
      <c r="F13" s="51"/>
    </row>
    <row r="14" spans="1:10" ht="15.75" customHeight="1">
      <c r="A14" s="98" t="s">
        <v>6192</v>
      </c>
      <c r="B14" s="99" t="str">
        <f>HYPERLINK("https://bulbapedia.bulbagarden.net/wiki/Shiinotic_(SM_Promo_10)","Shiinotic")</f>
        <v>Shiinotic</v>
      </c>
      <c r="C14" s="98" t="s">
        <v>205</v>
      </c>
      <c r="D14" s="92"/>
      <c r="F14" s="5"/>
    </row>
    <row r="15" spans="1:10" ht="15.75" customHeight="1">
      <c r="A15" s="98" t="s">
        <v>6193</v>
      </c>
      <c r="B15" s="99" t="str">
        <f>HYPERLINK("https://bulbapedia.bulbagarden.net/wiki/Bruxish_(SM_Promo_11)","Bruxish")</f>
        <v>Bruxish</v>
      </c>
      <c r="C15" s="98" t="s">
        <v>208</v>
      </c>
      <c r="D15" s="92"/>
      <c r="F15" s="5"/>
    </row>
    <row r="16" spans="1:10" ht="15.75" customHeight="1">
      <c r="A16" s="98" t="s">
        <v>6194</v>
      </c>
      <c r="B16" s="99" t="str">
        <f>HYPERLINK("https://bulbapedia.bulbagarden.net/wiki/Passimian_(SM_Promo_12)","Passimian")</f>
        <v>Passimian</v>
      </c>
      <c r="C16" s="98" t="s">
        <v>225</v>
      </c>
      <c r="D16" s="92"/>
      <c r="F16" s="5"/>
    </row>
    <row r="17" spans="1:6" ht="15.75" customHeight="1">
      <c r="A17" s="98" t="s">
        <v>6195</v>
      </c>
      <c r="B17" s="99" t="str">
        <f>HYPERLINK("https://bulbapedia.bulbagarden.net/wiki/Oranguru_(SM_Promo_13)","Oranguru")</f>
        <v>Oranguru</v>
      </c>
      <c r="C17" s="98" t="s">
        <v>197</v>
      </c>
      <c r="D17" s="92"/>
      <c r="F17" s="5"/>
    </row>
    <row r="18" spans="1:6" ht="15.75" customHeight="1">
      <c r="A18" s="98" t="s">
        <v>6196</v>
      </c>
      <c r="B18" s="99" t="str">
        <f>HYPERLINK("https://bulbapedia.bulbagarden.net/wiki/Lycanroc-GX_(Rockruff_Full_Power_Deck_9)","LycanrocGX")</f>
        <v>LycanrocGX</v>
      </c>
      <c r="C18" s="98" t="s">
        <v>225</v>
      </c>
      <c r="D18" s="92"/>
      <c r="F18" s="5"/>
    </row>
    <row r="19" spans="1:6" ht="15.75" customHeight="1">
      <c r="A19" s="98" t="s">
        <v>6197</v>
      </c>
      <c r="B19" s="99" t="s">
        <v>4913</v>
      </c>
      <c r="C19" s="98" t="s">
        <v>225</v>
      </c>
      <c r="D19" s="92"/>
      <c r="F19" s="5"/>
    </row>
    <row r="20" spans="1:6" ht="15.75" customHeight="1">
      <c r="A20" s="98" t="s">
        <v>6198</v>
      </c>
      <c r="B20" s="99" t="str">
        <f>HYPERLINK("https://bulbapedia.bulbagarden.net/wiki/Solgaleo-GX_(SM_Promo_16)","SolgaleoGX")</f>
        <v>SolgaleoGX</v>
      </c>
      <c r="C20" s="98" t="s">
        <v>220</v>
      </c>
      <c r="D20" s="92"/>
      <c r="F20" s="5"/>
    </row>
    <row r="21" spans="1:6" ht="15.75" customHeight="1">
      <c r="A21" s="98" t="s">
        <v>6199</v>
      </c>
      <c r="B21" s="99" t="str">
        <f>HYPERLINK("https://bulbapedia.bulbagarden.net/wiki/Lunala-GX_(SM_Promo_17)","LunalaGX")</f>
        <v>LunalaGX</v>
      </c>
      <c r="C21" s="98" t="s">
        <v>195</v>
      </c>
      <c r="D21" s="64"/>
      <c r="F21" s="5"/>
    </row>
    <row r="22" spans="1:6" ht="15.75" customHeight="1">
      <c r="A22" s="98" t="s">
        <v>6200</v>
      </c>
      <c r="B22" s="99" t="str">
        <f>HYPERLINK("https://bulbapedia.bulbagarden.net/wiki/Alolan_Sandslash_(SM_Promo_18)","Alolan Sandslash")</f>
        <v>Alolan Sandslash</v>
      </c>
      <c r="C22" s="98" t="s">
        <v>208</v>
      </c>
      <c r="D22" s="92"/>
      <c r="F22" s="5"/>
    </row>
    <row r="23" spans="1:6" ht="15.75" customHeight="1">
      <c r="A23" s="98" t="s">
        <v>6201</v>
      </c>
      <c r="B23" s="99" t="str">
        <f>HYPERLINK("https://bulbapedia.bulbagarden.net/wiki/Oricorio_(SM_Promo_19)","Oricorio")</f>
        <v>Oricorio</v>
      </c>
      <c r="C23" s="98" t="s">
        <v>195</v>
      </c>
      <c r="D23" s="92"/>
      <c r="F23" s="51"/>
    </row>
    <row r="24" spans="1:6" ht="15.75" customHeight="1">
      <c r="A24" s="98" t="s">
        <v>6202</v>
      </c>
      <c r="B24" s="99" t="str">
        <f>HYPERLINK("https://bulbapedia.bulbagarden.net/wiki/Mudsdale_(SM_Promo_20)","Mudsdale")</f>
        <v>Mudsdale</v>
      </c>
      <c r="C24" s="98" t="s">
        <v>225</v>
      </c>
      <c r="D24" s="92"/>
      <c r="F24" s="5"/>
    </row>
    <row r="25" spans="1:6" ht="15.75" customHeight="1">
      <c r="A25" s="98" t="s">
        <v>6203</v>
      </c>
      <c r="B25" s="99" t="str">
        <f>HYPERLINK("https://bulbapedia.bulbagarden.net/wiki/Drampa_(SM_Promo_21)","Drampa")</f>
        <v>Drampa</v>
      </c>
      <c r="C25" s="98" t="s">
        <v>4285</v>
      </c>
      <c r="D25" s="92"/>
      <c r="F25" s="5"/>
    </row>
    <row r="26" spans="1:6" ht="15.75" customHeight="1">
      <c r="A26" s="98" t="s">
        <v>6204</v>
      </c>
      <c r="B26" s="99" t="s">
        <v>6205</v>
      </c>
      <c r="C26" s="98" t="s">
        <v>205</v>
      </c>
      <c r="D26" s="92"/>
      <c r="F26" s="5"/>
    </row>
    <row r="27" spans="1:6" ht="15.75" customHeight="1">
      <c r="A27" s="98" t="s">
        <v>6206</v>
      </c>
      <c r="B27" s="99" t="s">
        <v>6189</v>
      </c>
      <c r="C27" s="98" t="s">
        <v>199</v>
      </c>
      <c r="D27" s="64"/>
      <c r="F27" s="5"/>
    </row>
    <row r="28" spans="1:6" ht="15.75" customHeight="1">
      <c r="A28" s="98" t="s">
        <v>6207</v>
      </c>
      <c r="B28" s="99" t="s">
        <v>6208</v>
      </c>
      <c r="C28" s="98" t="s">
        <v>208</v>
      </c>
      <c r="D28" s="64"/>
      <c r="F28" s="5"/>
    </row>
    <row r="29" spans="1:6" ht="15.75" customHeight="1">
      <c r="A29" s="98" t="s">
        <v>6209</v>
      </c>
      <c r="B29" s="99" t="s">
        <v>6210</v>
      </c>
      <c r="C29" s="98" t="s">
        <v>205</v>
      </c>
      <c r="D29" s="101"/>
      <c r="F29" s="51"/>
    </row>
    <row r="30" spans="1:6" ht="15.75" customHeight="1">
      <c r="A30" s="98" t="s">
        <v>6211</v>
      </c>
      <c r="B30" s="99" t="s">
        <v>6212</v>
      </c>
      <c r="C30" s="98" t="s">
        <v>205</v>
      </c>
      <c r="D30" s="72"/>
      <c r="F30" s="51"/>
    </row>
    <row r="31" spans="1:6" ht="15.75" customHeight="1">
      <c r="A31" s="98" t="s">
        <v>6213</v>
      </c>
      <c r="B31" s="99" t="s">
        <v>6214</v>
      </c>
      <c r="C31" s="98" t="s">
        <v>199</v>
      </c>
      <c r="D31" s="92"/>
      <c r="F31" s="51"/>
    </row>
    <row r="32" spans="1:6" ht="15.75" customHeight="1">
      <c r="A32" s="98" t="s">
        <v>6215</v>
      </c>
      <c r="B32" s="99" t="s">
        <v>6216</v>
      </c>
      <c r="C32" s="98" t="s">
        <v>192</v>
      </c>
      <c r="D32" s="64"/>
      <c r="F32" s="51"/>
    </row>
    <row r="33" spans="1:26" ht="15.75" customHeight="1">
      <c r="A33" s="98" t="s">
        <v>6217</v>
      </c>
      <c r="B33" s="99" t="s">
        <v>6218</v>
      </c>
      <c r="C33" s="98" t="s">
        <v>195</v>
      </c>
      <c r="D33" s="92"/>
      <c r="F33" s="5"/>
    </row>
    <row r="34" spans="1:26" ht="15.75" customHeight="1">
      <c r="A34" s="98" t="s">
        <v>6219</v>
      </c>
      <c r="B34" s="99" t="s">
        <v>6220</v>
      </c>
      <c r="C34" s="98" t="s">
        <v>192</v>
      </c>
      <c r="D34" s="92"/>
      <c r="F34" s="5"/>
    </row>
    <row r="35" spans="1:26" ht="15.75" customHeight="1">
      <c r="A35" s="102" t="s">
        <v>6221</v>
      </c>
      <c r="B35" s="99" t="s">
        <v>6220</v>
      </c>
      <c r="C35" s="98" t="s">
        <v>192</v>
      </c>
      <c r="D35" s="103"/>
      <c r="E35" s="88"/>
      <c r="F35" s="104"/>
      <c r="G35" s="88"/>
      <c r="H35" s="88"/>
      <c r="I35" s="88"/>
    </row>
    <row r="36" spans="1:26" ht="15.75" customHeight="1">
      <c r="A36" s="98" t="s">
        <v>6222</v>
      </c>
      <c r="B36" s="99" t="s">
        <v>6220</v>
      </c>
      <c r="C36" s="98" t="s">
        <v>192</v>
      </c>
      <c r="D36" s="92"/>
      <c r="F36" s="5"/>
      <c r="J36" s="88"/>
      <c r="K36" s="88"/>
      <c r="L36" s="88"/>
      <c r="M36" s="88"/>
      <c r="N36" s="88"/>
      <c r="O36" s="88"/>
      <c r="P36" s="88"/>
      <c r="Q36" s="88"/>
      <c r="R36" s="88"/>
      <c r="S36" s="88"/>
      <c r="T36" s="88"/>
      <c r="U36" s="88"/>
      <c r="V36" s="88"/>
      <c r="W36" s="88"/>
      <c r="X36" s="88"/>
      <c r="Y36" s="88"/>
      <c r="Z36" s="88"/>
    </row>
    <row r="37" spans="1:26" ht="15.75" customHeight="1">
      <c r="A37" s="98" t="s">
        <v>6223</v>
      </c>
      <c r="B37" s="99" t="str">
        <f>HYPERLINK("https://bulbapedia.bulbagarden.net/wiki/Tapu_Bulu-GX_(SM_Promo_32)","Tapu BuluGX")</f>
        <v>Tapu BuluGX</v>
      </c>
      <c r="C37" s="98" t="s">
        <v>205</v>
      </c>
      <c r="D37" s="101"/>
      <c r="F37" s="5"/>
    </row>
    <row r="38" spans="1:26" ht="15.75" customHeight="1">
      <c r="A38" s="98" t="s">
        <v>6224</v>
      </c>
      <c r="B38" s="99" t="str">
        <f>HYPERLINK("https://bulbapedia.bulbagarden.net/wiki/Tapu_Koko-GX_(SM_Promo_33)","Tapu KokoGX")</f>
        <v>Tapu KokoGX</v>
      </c>
      <c r="C38" s="98" t="s">
        <v>192</v>
      </c>
      <c r="D38" s="72"/>
      <c r="F38" s="5"/>
    </row>
    <row r="39" spans="1:26" ht="15.75" customHeight="1">
      <c r="A39" s="98" t="s">
        <v>6225</v>
      </c>
      <c r="B39" s="99" t="str">
        <f>HYPERLINK("https://bulbapedia.bulbagarden.net/wiki/Bewear-GX_(SM_Promo_34)","BewearGX")</f>
        <v>BewearGX</v>
      </c>
      <c r="C39" s="98" t="s">
        <v>197</v>
      </c>
      <c r="D39" s="92"/>
      <c r="F39" s="5"/>
    </row>
    <row r="40" spans="1:26" ht="15.75" customHeight="1">
      <c r="A40" s="98" t="s">
        <v>6226</v>
      </c>
      <c r="B40" s="99" t="str">
        <f>HYPERLINK("https://bulbapedia.bulbagarden.net/wiki/Espeon-GX_(SM_Promo_35)","EspeonGX")</f>
        <v>EspeonGX</v>
      </c>
      <c r="C40" s="98" t="s">
        <v>195</v>
      </c>
      <c r="D40" s="92"/>
      <c r="F40" s="5"/>
    </row>
    <row r="41" spans="1:26" ht="15.75" customHeight="1">
      <c r="A41" s="98" t="s">
        <v>6227</v>
      </c>
      <c r="B41" s="99" t="str">
        <f>HYPERLINK("https://bulbapedia.bulbagarden.net/wiki/Umbreon-GX_(SM_Promo_36)","UmbreonGX")</f>
        <v>UmbreonGX</v>
      </c>
      <c r="C41" s="98" t="s">
        <v>808</v>
      </c>
      <c r="D41" s="92"/>
      <c r="F41" s="5"/>
    </row>
    <row r="42" spans="1:26" ht="15.75" customHeight="1">
      <c r="A42" s="98" t="s">
        <v>6228</v>
      </c>
      <c r="B42" s="99" t="str">
        <f>HYPERLINK("https://bulbapedia.bulbagarden.net/wiki/Decidueye-GX_(SM_Promo_37)","DecidueyeGX")</f>
        <v>DecidueyeGX</v>
      </c>
      <c r="C42" s="98" t="s">
        <v>205</v>
      </c>
      <c r="D42" s="92"/>
      <c r="F42" s="5"/>
    </row>
    <row r="43" spans="1:26" ht="15.75" customHeight="1">
      <c r="A43" s="98" t="s">
        <v>6229</v>
      </c>
      <c r="B43" s="99" t="str">
        <f>HYPERLINK("https://bulbapedia.bulbagarden.net/wiki/Incineroar-GX_(SM_Promo_38)","IncineroarGX")</f>
        <v>IncineroarGX</v>
      </c>
      <c r="C43" s="98" t="s">
        <v>199</v>
      </c>
      <c r="D43" s="92"/>
      <c r="F43" s="5"/>
    </row>
    <row r="44" spans="1:26" ht="15.75" customHeight="1">
      <c r="A44" s="98" t="s">
        <v>6230</v>
      </c>
      <c r="B44" s="99" t="str">
        <f>HYPERLINK("https://bulbapedia.bulbagarden.net/wiki/Primarina-GX_(SM_Promo_39)","PrimarinaGX")</f>
        <v>PrimarinaGX</v>
      </c>
      <c r="C44" s="98" t="s">
        <v>208</v>
      </c>
      <c r="D44" s="92"/>
      <c r="F44" s="5"/>
    </row>
    <row r="45" spans="1:26" ht="15.75" customHeight="1">
      <c r="A45" s="98" t="s">
        <v>6231</v>
      </c>
      <c r="B45" s="99" t="str">
        <f>HYPERLINK("https://bulbapedia.bulbagarden.net/wiki/Jangmo-o_(SM_Promo_40)","Jangmo-o")</f>
        <v>Jangmo-o</v>
      </c>
      <c r="C45" s="98" t="s">
        <v>4285</v>
      </c>
      <c r="D45" s="92"/>
      <c r="F45" s="51"/>
    </row>
    <row r="46" spans="1:26" ht="15.75" customHeight="1">
      <c r="A46" s="98" t="s">
        <v>6232</v>
      </c>
      <c r="B46" s="99" t="s">
        <v>6233</v>
      </c>
      <c r="C46" s="98" t="s">
        <v>197</v>
      </c>
      <c r="D46" s="64"/>
      <c r="F46" s="51"/>
    </row>
    <row r="47" spans="1:26" ht="15.75" customHeight="1">
      <c r="A47" s="98" t="s">
        <v>6234</v>
      </c>
      <c r="B47" s="99" t="str">
        <f>HYPERLINK("https://bulbapedia.bulbagarden.net/wiki/Cosmog_(SM_Promo_42)","Cosmog")</f>
        <v>Cosmog</v>
      </c>
      <c r="C47" s="98" t="s">
        <v>195</v>
      </c>
      <c r="D47" s="92"/>
      <c r="F47" s="51"/>
    </row>
    <row r="48" spans="1:26" ht="15.75" customHeight="1">
      <c r="A48" s="98" t="s">
        <v>6235</v>
      </c>
      <c r="B48" s="99" t="s">
        <v>6236</v>
      </c>
      <c r="C48" s="98" t="s">
        <v>808</v>
      </c>
      <c r="D48" s="64"/>
      <c r="F48" s="51"/>
    </row>
    <row r="49" spans="1:6" ht="15.75" customHeight="1">
      <c r="A49" s="98" t="s">
        <v>6237</v>
      </c>
      <c r="B49" s="99" t="s">
        <v>6191</v>
      </c>
      <c r="C49" s="98" t="s">
        <v>192</v>
      </c>
      <c r="D49" s="92"/>
      <c r="F49" s="5"/>
    </row>
    <row r="50" spans="1:6" ht="15.75" customHeight="1">
      <c r="A50" s="98" t="s">
        <v>6238</v>
      </c>
      <c r="B50" s="99" t="s">
        <v>6239</v>
      </c>
      <c r="C50" s="98" t="s">
        <v>195</v>
      </c>
      <c r="D50" s="92"/>
      <c r="F50" s="51"/>
    </row>
    <row r="51" spans="1:6" ht="15.75" customHeight="1">
      <c r="A51" s="98" t="s">
        <v>6240</v>
      </c>
      <c r="B51" s="99" t="str">
        <f>HYPERLINK("https://bulbapedia.bulbagarden.net/wiki/Seviper_(SM_Promo_46)","Seviper")</f>
        <v>Seviper</v>
      </c>
      <c r="C51" s="98" t="s">
        <v>195</v>
      </c>
      <c r="D51" s="92"/>
      <c r="F51" s="5"/>
    </row>
    <row r="52" spans="1:6" ht="15.75" customHeight="1">
      <c r="A52" s="98" t="s">
        <v>6241</v>
      </c>
      <c r="B52" s="99" t="str">
        <f>HYPERLINK("https://bulbapedia.bulbagarden.net/wiki/Crabominable_(SM_Promo_47)","Crabominable")</f>
        <v>Crabominable</v>
      </c>
      <c r="C52" s="98" t="s">
        <v>225</v>
      </c>
      <c r="D52" s="92"/>
      <c r="F52" s="5"/>
    </row>
    <row r="53" spans="1:6" ht="13">
      <c r="A53" s="98" t="s">
        <v>6242</v>
      </c>
      <c r="B53" s="99" t="str">
        <f>HYPERLINK("https://bulbapedia.bulbagarden.net/wiki/Zygarde_(SM_Promo_48)","Zygarde")</f>
        <v>Zygarde</v>
      </c>
      <c r="C53" s="98" t="s">
        <v>225</v>
      </c>
      <c r="D53" s="92"/>
      <c r="F53" s="5"/>
    </row>
    <row r="54" spans="1:6" ht="13">
      <c r="A54" s="98" t="s">
        <v>6243</v>
      </c>
      <c r="B54" s="99" t="str">
        <f>HYPERLINK("https://bulbapedia.bulbagarden.net/wiki/Bewear_(SM_Promo_49)","Bewear")</f>
        <v>Bewear</v>
      </c>
      <c r="C54" s="98" t="s">
        <v>197</v>
      </c>
      <c r="D54" s="92"/>
      <c r="F54" s="5"/>
    </row>
    <row r="55" spans="1:6" ht="13">
      <c r="A55" s="98" t="s">
        <v>6244</v>
      </c>
      <c r="B55" s="99" t="str">
        <f>HYPERLINK("https://bulbapedia.bulbagarden.net/wiki/Tapu_Koko-GX_(SM_Promo_50)","Tapu KokoGX")</f>
        <v>Tapu KokoGX</v>
      </c>
      <c r="C55" s="98" t="s">
        <v>192</v>
      </c>
      <c r="D55" s="92"/>
      <c r="F55" s="5"/>
    </row>
    <row r="56" spans="1:6" ht="13">
      <c r="A56" s="98" t="s">
        <v>6245</v>
      </c>
      <c r="B56" s="99" t="s">
        <v>6236</v>
      </c>
      <c r="C56" s="98" t="s">
        <v>808</v>
      </c>
      <c r="D56" s="92"/>
      <c r="F56" s="5"/>
    </row>
    <row r="57" spans="1:6" ht="13">
      <c r="A57" s="98" t="s">
        <v>6246</v>
      </c>
      <c r="B57" s="99" t="s">
        <v>6247</v>
      </c>
      <c r="C57" s="98" t="s">
        <v>205</v>
      </c>
      <c r="D57" s="92"/>
      <c r="F57" s="5"/>
    </row>
    <row r="58" spans="1:6" ht="13">
      <c r="A58" s="98" t="s">
        <v>6248</v>
      </c>
      <c r="B58" s="99" t="s">
        <v>6249</v>
      </c>
      <c r="C58" s="98" t="s">
        <v>195</v>
      </c>
      <c r="D58" s="64"/>
      <c r="F58" s="51"/>
    </row>
    <row r="59" spans="1:6" ht="13">
      <c r="A59" s="98" t="s">
        <v>6250</v>
      </c>
      <c r="B59" s="99" t="s">
        <v>3113</v>
      </c>
      <c r="C59" s="98" t="s">
        <v>225</v>
      </c>
      <c r="D59" s="92"/>
      <c r="F59" s="5"/>
    </row>
    <row r="60" spans="1:6" ht="13">
      <c r="A60" s="98" t="s">
        <v>6251</v>
      </c>
      <c r="B60" s="99" t="s">
        <v>6252</v>
      </c>
      <c r="C60" s="98" t="s">
        <v>205</v>
      </c>
      <c r="D60" s="64"/>
      <c r="F60" s="5"/>
    </row>
    <row r="61" spans="1:6" ht="13">
      <c r="A61" s="98" t="s">
        <v>6253</v>
      </c>
      <c r="B61" s="99" t="str">
        <f>HYPERLINK("https://bulbapedia.bulbagarden.net/wiki/Tsareena-GX_(SM_Promo_56)","TsareenaGX")</f>
        <v>TsareenaGX</v>
      </c>
      <c r="C61" s="98" t="s">
        <v>205</v>
      </c>
      <c r="D61" s="92"/>
      <c r="F61" s="5"/>
    </row>
    <row r="62" spans="1:6" ht="13">
      <c r="A62" s="98" t="s">
        <v>6254</v>
      </c>
      <c r="B62" s="99" t="str">
        <f>HYPERLINK("https://bulbapedia.bulbagarden.net/wiki/Ho-Oh-GX_(SM_Promo_57)","Ho-OhGX")</f>
        <v>Ho-OhGX</v>
      </c>
      <c r="C62" s="98" t="s">
        <v>199</v>
      </c>
      <c r="D62" s="101"/>
      <c r="F62" s="5"/>
    </row>
    <row r="63" spans="1:6" ht="13">
      <c r="A63" s="98" t="s">
        <v>6255</v>
      </c>
      <c r="B63" s="99" t="str">
        <f>HYPERLINK("https://bulbapedia.bulbagarden.net/wiki/Necrozma-GX_(SM_Promo_58)","NecrozmaGX")</f>
        <v>NecrozmaGX</v>
      </c>
      <c r="C63" s="98" t="s">
        <v>195</v>
      </c>
      <c r="D63" s="72"/>
      <c r="F63" s="5"/>
    </row>
    <row r="64" spans="1:6" ht="13">
      <c r="A64" s="98" t="s">
        <v>6256</v>
      </c>
      <c r="B64" s="99" t="str">
        <f>HYPERLINK("https://bulbapedia.bulbagarden.net/wiki/Marshadow-GX_(SM_Promo_59)","MarshadowGX")</f>
        <v>MarshadowGX</v>
      </c>
      <c r="C64" s="98" t="s">
        <v>225</v>
      </c>
      <c r="D64" s="72"/>
      <c r="F64" s="5"/>
    </row>
    <row r="65" spans="1:6" ht="13">
      <c r="A65" s="98" t="s">
        <v>6257</v>
      </c>
      <c r="B65" s="99" t="str">
        <f>HYPERLINK("https://bulbapedia.bulbagarden.net/wiki/Charizard-GX_(SM_Promo_60)","CharizardGX")</f>
        <v>CharizardGX</v>
      </c>
      <c r="C65" s="98" t="s">
        <v>199</v>
      </c>
      <c r="D65" s="101"/>
      <c r="F65" s="5"/>
    </row>
    <row r="66" spans="1:6" ht="13">
      <c r="A66" s="98" t="s">
        <v>6258</v>
      </c>
      <c r="B66" s="105" t="str">
        <f>HYPERLINK("https://bulbapedia.bulbagarden.net/wiki/Tapu_Bulu_(SM_Promo_61)","Tapu Bulu")</f>
        <v>Tapu Bulu</v>
      </c>
      <c r="C66" s="102" t="s">
        <v>205</v>
      </c>
      <c r="D66" s="48"/>
      <c r="F66" s="51"/>
    </row>
    <row r="67" spans="1:6" ht="13">
      <c r="A67" s="98" t="s">
        <v>6259</v>
      </c>
      <c r="B67" s="99" t="str">
        <f>HYPERLINK("https://bulbapedia.bulbagarden.net/wiki/Golisopod-GX_(SM_Promo_62)","GolisopodGX")</f>
        <v>GolisopodGX</v>
      </c>
      <c r="C67" s="98" t="s">
        <v>205</v>
      </c>
      <c r="D67" s="92"/>
      <c r="F67" s="5"/>
    </row>
    <row r="68" spans="1:6" ht="13">
      <c r="A68" s="98" t="s">
        <v>6260</v>
      </c>
      <c r="B68" s="99" t="str">
        <f>HYPERLINK("https://bulbapedia.bulbagarden.net/wiki/Salazzle-GX_(SM_Promo_63)","SalazzleGX")</f>
        <v>SalazzleGX</v>
      </c>
      <c r="C68" s="98" t="s">
        <v>199</v>
      </c>
      <c r="D68" s="64"/>
      <c r="F68" s="5"/>
    </row>
    <row r="69" spans="1:6" ht="13">
      <c r="A69" s="98" t="s">
        <v>6261</v>
      </c>
      <c r="B69" s="99" t="s">
        <v>6262</v>
      </c>
      <c r="C69" s="98" t="s">
        <v>197</v>
      </c>
      <c r="D69" s="92"/>
      <c r="F69" s="5"/>
    </row>
    <row r="70" spans="1:6" ht="13">
      <c r="A70" s="98" t="s">
        <v>6263</v>
      </c>
      <c r="B70" s="99" t="s">
        <v>6264</v>
      </c>
      <c r="C70" s="98" t="s">
        <v>192</v>
      </c>
      <c r="D70" s="92"/>
      <c r="F70" s="5"/>
    </row>
    <row r="71" spans="1:6" ht="13">
      <c r="A71" s="98" t="s">
        <v>6265</v>
      </c>
      <c r="B71" s="99" t="str">
        <f>HYPERLINK("https://bulbapedia.bulbagarden.net/wiki/Pheromosa-GX_(SM_Promo_66)","PheromosaGX")</f>
        <v>PheromosaGX</v>
      </c>
      <c r="C71" s="98" t="s">
        <v>205</v>
      </c>
      <c r="D71" s="92"/>
      <c r="F71" s="5"/>
    </row>
    <row r="72" spans="1:6" ht="13">
      <c r="A72" s="98" t="s">
        <v>6266</v>
      </c>
      <c r="B72" s="99" t="str">
        <f>HYPERLINK("https://bulbapedia.bulbagarden.net/wiki/Celesteela-GX_(SM_Promo_67)","CelesteelaGX")</f>
        <v>CelesteelaGX</v>
      </c>
      <c r="C72" s="98" t="s">
        <v>220</v>
      </c>
      <c r="D72" s="64"/>
      <c r="F72" s="5"/>
    </row>
    <row r="73" spans="1:6" ht="13">
      <c r="A73" s="98" t="s">
        <v>6267</v>
      </c>
      <c r="B73" s="99" t="str">
        <f>HYPERLINK("https://bulbapedia.bulbagarden.net/wiki/Xurkitree-GX_(SM_Promo_68)","XurkitreeGX")</f>
        <v>XurkitreeGX</v>
      </c>
      <c r="C73" s="98" t="s">
        <v>192</v>
      </c>
      <c r="D73" s="92"/>
      <c r="F73" s="5"/>
    </row>
    <row r="74" spans="1:6" ht="13">
      <c r="A74" s="98" t="s">
        <v>6268</v>
      </c>
      <c r="B74" s="99" t="str">
        <f>HYPERLINK("https://bulbapedia.bulbagarden.net/wiki/Buzzwole-GX_(SM_Promo_69)","BuzzwoleGX")</f>
        <v>BuzzwoleGX</v>
      </c>
      <c r="C74" s="98" t="s">
        <v>225</v>
      </c>
      <c r="D74" s="64"/>
      <c r="F74" s="5"/>
    </row>
    <row r="75" spans="1:6" ht="13">
      <c r="A75" s="98" t="s">
        <v>6269</v>
      </c>
      <c r="B75" s="99" t="s">
        <v>6270</v>
      </c>
      <c r="C75" s="98" t="s">
        <v>199</v>
      </c>
      <c r="D75" s="92"/>
      <c r="F75" s="51"/>
    </row>
    <row r="76" spans="1:6" ht="13">
      <c r="A76" s="98" t="s">
        <v>6271</v>
      </c>
      <c r="B76" s="99" t="str">
        <f>HYPERLINK("https://bulbapedia.bulbagarden.net/wiki/Kommo-o-GX_(SM_Promo_71)","Kommo-oGX")</f>
        <v>Kommo-oGX</v>
      </c>
      <c r="C76" s="98" t="s">
        <v>4285</v>
      </c>
      <c r="D76" s="92"/>
      <c r="F76" s="5"/>
    </row>
    <row r="77" spans="1:6" ht="13">
      <c r="A77" s="98" t="s">
        <v>6272</v>
      </c>
      <c r="B77" s="99" t="str">
        <f>HYPERLINK("https://bulbapedia.bulbagarden.net/wiki/Alolan_Raichu_(SM_Promo_72)","Alolan Raichu")</f>
        <v>Alolan Raichu</v>
      </c>
      <c r="C77" s="98" t="s">
        <v>192</v>
      </c>
      <c r="D77" s="92"/>
      <c r="F77" s="5"/>
    </row>
    <row r="78" spans="1:6" ht="13">
      <c r="A78" s="98" t="s">
        <v>6273</v>
      </c>
      <c r="B78" s="99" t="str">
        <f>HYPERLINK("https://bulbapedia.bulbagarden.net/wiki/Salazzle_(SM_Promo_73)","Salazzle")</f>
        <v>Salazzle</v>
      </c>
      <c r="C78" s="98" t="s">
        <v>195</v>
      </c>
      <c r="D78" s="64"/>
      <c r="F78" s="5"/>
    </row>
    <row r="79" spans="1:6" ht="13">
      <c r="A79" s="98" t="s">
        <v>6274</v>
      </c>
      <c r="B79" s="99" t="str">
        <f>HYPERLINK("https://bulbapedia.bulbagarden.net/wiki/Regirock_(SM_Promo_74)","Regirock")</f>
        <v>Regirock</v>
      </c>
      <c r="C79" s="98" t="s">
        <v>225</v>
      </c>
      <c r="D79" s="64"/>
      <c r="F79" s="5"/>
    </row>
    <row r="80" spans="1:6" ht="13">
      <c r="A80" s="98" t="s">
        <v>6275</v>
      </c>
      <c r="B80" s="106" t="str">
        <f>HYPERLINK("https://bulbapedia.bulbagarden.net/wiki/Registeel_(SM_Promo_75)","Registeel")</f>
        <v>Registeel</v>
      </c>
      <c r="C80" s="98" t="s">
        <v>220</v>
      </c>
      <c r="D80" s="64"/>
      <c r="F80" s="5"/>
    </row>
    <row r="81" spans="1:6" ht="13">
      <c r="A81" s="98" t="s">
        <v>6276</v>
      </c>
      <c r="B81" s="99" t="s">
        <v>191</v>
      </c>
      <c r="C81" s="98" t="s">
        <v>192</v>
      </c>
      <c r="D81" s="92"/>
      <c r="F81" s="5"/>
    </row>
    <row r="82" spans="1:6" ht="13">
      <c r="A82" s="98" t="s">
        <v>6277</v>
      </c>
      <c r="B82" s="99" t="s">
        <v>194</v>
      </c>
      <c r="C82" s="98" t="s">
        <v>195</v>
      </c>
      <c r="D82" s="92"/>
      <c r="F82" s="5"/>
    </row>
    <row r="83" spans="1:6" ht="13">
      <c r="A83" s="98" t="s">
        <v>6278</v>
      </c>
      <c r="B83" s="99" t="str">
        <f>HYPERLINK("https://bulbapedia.bulbagarden.net/wiki/Champions_Festival_(SM_Promo_78)","Champions Festival")</f>
        <v>Champions Festival</v>
      </c>
      <c r="C83" s="98" t="s">
        <v>229</v>
      </c>
      <c r="D83" s="92"/>
      <c r="F83" s="5"/>
    </row>
    <row r="84" spans="1:6" ht="13">
      <c r="A84" s="98" t="s">
        <v>6279</v>
      </c>
      <c r="B84" s="99" t="s">
        <v>1011</v>
      </c>
      <c r="C84" s="98" t="s">
        <v>205</v>
      </c>
      <c r="D84" s="92"/>
      <c r="F84" s="5"/>
    </row>
    <row r="85" spans="1:6" ht="13">
      <c r="A85" s="98" t="s">
        <v>6280</v>
      </c>
      <c r="B85" s="99" t="str">
        <f>HYPERLINK("https://bulbapedia.bulbagarden.net/wiki/Ho-Oh-GX_(SM_Promo_80)","Ho-OhGX")</f>
        <v>Ho-OhGX</v>
      </c>
      <c r="C85" s="98" t="s">
        <v>199</v>
      </c>
      <c r="D85" s="64"/>
      <c r="F85" s="5"/>
    </row>
    <row r="86" spans="1:6" ht="13">
      <c r="A86" s="98" t="s">
        <v>6281</v>
      </c>
      <c r="B86" s="99" t="s">
        <v>191</v>
      </c>
      <c r="C86" s="98" t="s">
        <v>192</v>
      </c>
      <c r="D86" s="64"/>
      <c r="F86" s="5"/>
    </row>
    <row r="87" spans="1:6" ht="13">
      <c r="A87" s="98" t="s">
        <v>6282</v>
      </c>
      <c r="B87" s="99" t="s">
        <v>6283</v>
      </c>
      <c r="C87" s="98" t="s">
        <v>197</v>
      </c>
      <c r="D87" s="64"/>
      <c r="F87" s="5"/>
    </row>
    <row r="88" spans="1:6" ht="13">
      <c r="A88" s="98" t="s">
        <v>6284</v>
      </c>
      <c r="B88" s="99" t="s">
        <v>4036</v>
      </c>
      <c r="C88" s="98" t="s">
        <v>808</v>
      </c>
      <c r="D88" s="92"/>
      <c r="F88" s="51"/>
    </row>
    <row r="89" spans="1:6" ht="13">
      <c r="A89" s="98" t="s">
        <v>6285</v>
      </c>
      <c r="B89" s="99" t="str">
        <f>HYPERLINK("https://bulbapedia.bulbagarden.net/wiki/Zoroark-GX_(SM_Promo_84)","ZoroarkGX")</f>
        <v>ZoroarkGX</v>
      </c>
      <c r="C89" s="98" t="s">
        <v>808</v>
      </c>
      <c r="D89" s="72"/>
      <c r="F89" s="5"/>
    </row>
    <row r="90" spans="1:6" ht="13">
      <c r="A90" s="98" t="s">
        <v>6286</v>
      </c>
      <c r="B90" s="99" t="s">
        <v>6287</v>
      </c>
      <c r="C90" s="98" t="s">
        <v>195</v>
      </c>
      <c r="D90" s="101"/>
      <c r="F90" s="51"/>
    </row>
    <row r="91" spans="1:6" ht="13">
      <c r="A91" s="98" t="s">
        <v>6288</v>
      </c>
      <c r="B91" s="99" t="str">
        <f>HYPERLINK("https://bulbapedia.bulbagarden.net/wiki/Pikachu_(SM_Promo_86)","Pikachu")</f>
        <v>Pikachu</v>
      </c>
      <c r="C91" s="98" t="s">
        <v>192</v>
      </c>
      <c r="D91" s="92"/>
      <c r="F91" s="51"/>
    </row>
    <row r="92" spans="1:6" ht="13">
      <c r="A92" s="98" t="s">
        <v>6289</v>
      </c>
      <c r="B92" s="99" t="s">
        <v>1193</v>
      </c>
      <c r="C92" s="98" t="s">
        <v>195</v>
      </c>
      <c r="D92" s="64"/>
      <c r="F92" s="5"/>
    </row>
    <row r="93" spans="1:6" ht="13">
      <c r="A93" s="98" t="s">
        <v>6290</v>
      </c>
      <c r="B93" s="99" t="s">
        <v>1194</v>
      </c>
      <c r="C93" s="98" t="s">
        <v>195</v>
      </c>
      <c r="D93" s="64"/>
      <c r="F93" s="5"/>
    </row>
    <row r="94" spans="1:6" ht="13">
      <c r="A94" s="98" t="s">
        <v>6291</v>
      </c>
      <c r="B94" s="99" t="s">
        <v>4147</v>
      </c>
      <c r="C94" s="98" t="s">
        <v>808</v>
      </c>
      <c r="D94" s="92"/>
      <c r="F94" s="5"/>
    </row>
    <row r="95" spans="1:6" ht="13">
      <c r="A95" s="98" t="s">
        <v>6292</v>
      </c>
      <c r="B95" s="99" t="str">
        <f>HYPERLINK("https://bulbapedia.bulbagarden.net/wiki/Raichu-GX_(SM_Promo_90)","RaichuGX")</f>
        <v>RaichuGX</v>
      </c>
      <c r="C95" s="98" t="s">
        <v>192</v>
      </c>
      <c r="D95" s="92"/>
      <c r="F95" s="5"/>
    </row>
    <row r="96" spans="1:6" ht="13">
      <c r="A96" s="98" t="s">
        <v>6293</v>
      </c>
      <c r="B96" s="99" t="str">
        <f>HYPERLINK("https://bulbapedia.bulbagarden.net/wiki/Silvally-GX_(SM_Promo_91)","SilvallyGX")</f>
        <v>SilvallyGX</v>
      </c>
      <c r="C96" s="98" t="s">
        <v>197</v>
      </c>
      <c r="D96" s="92"/>
      <c r="F96" s="5"/>
    </row>
    <row r="97" spans="1:6" ht="13">
      <c r="A97" s="98" t="s">
        <v>6294</v>
      </c>
      <c r="B97" s="105" t="str">
        <f>HYPERLINK("https://bulbapedia.bulbagarden.net/wiki/Tapu_Fini_(SM_Promo_92)","Tapu Fini")</f>
        <v>Tapu Fini</v>
      </c>
      <c r="C97" s="107" t="s">
        <v>208</v>
      </c>
      <c r="D97" s="48"/>
      <c r="F97" s="51"/>
    </row>
    <row r="98" spans="1:6" ht="13">
      <c r="A98" s="98" t="s">
        <v>6295</v>
      </c>
      <c r="B98" s="99" t="s">
        <v>6287</v>
      </c>
      <c r="C98" s="98" t="s">
        <v>195</v>
      </c>
      <c r="D98" s="92"/>
      <c r="F98" s="5"/>
    </row>
    <row r="99" spans="1:6" ht="13">
      <c r="A99" s="98" t="s">
        <v>6296</v>
      </c>
      <c r="B99" s="99" t="str">
        <f>HYPERLINK("https://bulbapedia.bulbagarden.net/wiki/Wash_Rotom_(SM_Promo_94)","Wash Rotom")</f>
        <v>Wash Rotom</v>
      </c>
      <c r="C99" s="98" t="s">
        <v>208</v>
      </c>
      <c r="D99" s="92"/>
      <c r="F99" s="5"/>
    </row>
    <row r="100" spans="1:6" ht="13">
      <c r="A100" s="98" t="s">
        <v>6297</v>
      </c>
      <c r="B100" s="99" t="str">
        <f>HYPERLINK("https://bulbapedia.bulbagarden.net/wiki/Lucario_(SM_Promo_95)","Lucario")</f>
        <v>Lucario</v>
      </c>
      <c r="C100" s="98" t="s">
        <v>225</v>
      </c>
      <c r="D100" s="64"/>
      <c r="F100" s="5"/>
    </row>
    <row r="101" spans="1:6" ht="13">
      <c r="A101" s="98" t="s">
        <v>6298</v>
      </c>
      <c r="B101" s="99" t="str">
        <f>HYPERLINK("https://bulbapedia.bulbagarden.net/wiki/Heatran_(SM_Promo_96)","Heatran")</f>
        <v>Heatran</v>
      </c>
      <c r="C101" s="98" t="s">
        <v>220</v>
      </c>
      <c r="D101" s="64"/>
      <c r="F101" s="5"/>
    </row>
    <row r="102" spans="1:6" ht="13">
      <c r="A102" s="98" t="s">
        <v>6299</v>
      </c>
      <c r="B102" s="99" t="str">
        <f>HYPERLINK("https://bulbapedia.bulbagarden.net/wiki/Gumshoos_(SM_Promo_97)","Gumshoos")</f>
        <v>Gumshoos</v>
      </c>
      <c r="C102" s="98" t="s">
        <v>197</v>
      </c>
      <c r="D102" s="64"/>
      <c r="F102" s="5"/>
    </row>
    <row r="103" spans="1:6" ht="13">
      <c r="A103" s="98" t="s">
        <v>6300</v>
      </c>
      <c r="B103" s="99" t="s">
        <v>191</v>
      </c>
      <c r="C103" s="98" t="s">
        <v>192</v>
      </c>
      <c r="D103" s="92"/>
      <c r="F103" s="5"/>
    </row>
    <row r="104" spans="1:6" ht="13">
      <c r="A104" s="98" t="s">
        <v>6301</v>
      </c>
      <c r="B104" s="99" t="s">
        <v>6218</v>
      </c>
      <c r="C104" s="98" t="s">
        <v>195</v>
      </c>
      <c r="D104" s="92"/>
      <c r="F104" s="5"/>
    </row>
    <row r="105" spans="1:6" ht="13">
      <c r="A105" s="98" t="s">
        <v>6302</v>
      </c>
      <c r="B105" s="99" t="str">
        <f>HYPERLINK("https://bulbapedia.bulbagarden.net/wiki/Lucario-GX_(SM_Promo_100)","LucarioGX")</f>
        <v>LucarioGX</v>
      </c>
      <c r="C105" s="98" t="s">
        <v>225</v>
      </c>
      <c r="D105" s="101"/>
      <c r="F105" s="5"/>
    </row>
    <row r="106" spans="1:6" ht="13">
      <c r="A106" s="98" t="s">
        <v>6303</v>
      </c>
      <c r="B106" s="99" t="str">
        <f>HYPERLINK("https://bulbapedia.bulbagarden.net/wiki/Dawn_Wings_Necrozma-GX_(SM_Promo_101)","Dawn Wings NecrozmaGX")</f>
        <v>Dawn Wings NecrozmaGX</v>
      </c>
      <c r="C106" s="98" t="s">
        <v>195</v>
      </c>
      <c r="D106" s="101"/>
      <c r="F106" s="5"/>
    </row>
    <row r="107" spans="1:6" ht="13">
      <c r="A107" s="98" t="s">
        <v>6304</v>
      </c>
      <c r="B107" s="99" t="str">
        <f>HYPERLINK("https://bulbapedia.bulbagarden.net/wiki/Dusk_Mane_Necrozma-GX_(SM_Promo_102)","Dusk Mane NecrozmaGX")</f>
        <v>Dusk Mane NecrozmaGX</v>
      </c>
      <c r="C107" s="98" t="s">
        <v>220</v>
      </c>
      <c r="D107" s="72"/>
      <c r="F107" s="5"/>
    </row>
    <row r="108" spans="1:6" ht="13">
      <c r="A108" s="97" t="s">
        <v>6305</v>
      </c>
      <c r="B108" s="108" t="str">
        <f t="shared" ref="B108:B109" si="0">HYPERLINK("https://bulbapedia.bulbagarden.net/wiki/Lunala-GX_(SM_Promo_103)","LunalaGX")</f>
        <v>LunalaGX</v>
      </c>
      <c r="C108" s="97" t="s">
        <v>195</v>
      </c>
      <c r="D108" s="47"/>
      <c r="F108" s="5"/>
    </row>
    <row r="109" spans="1:6" ht="13">
      <c r="A109" s="107" t="s">
        <v>6306</v>
      </c>
      <c r="B109" s="108" t="str">
        <f t="shared" si="0"/>
        <v>LunalaGX</v>
      </c>
      <c r="C109" s="97" t="s">
        <v>195</v>
      </c>
      <c r="D109" s="48"/>
      <c r="F109" s="5"/>
    </row>
    <row r="110" spans="1:6" ht="13">
      <c r="A110" s="97" t="s">
        <v>6307</v>
      </c>
      <c r="B110" s="108" t="str">
        <f t="shared" ref="B110:B111" si="1">HYPERLINK("https://bulbapedia.bulbagarden.net/wiki/Solgaleo-GX_(SM_Promo_104)","SolgaleoGX")</f>
        <v>SolgaleoGX</v>
      </c>
      <c r="C110" s="97" t="s">
        <v>220</v>
      </c>
      <c r="D110" s="48"/>
      <c r="F110" s="5"/>
    </row>
    <row r="111" spans="1:6" ht="13">
      <c r="A111" s="107" t="s">
        <v>6308</v>
      </c>
      <c r="B111" s="108" t="str">
        <f t="shared" si="1"/>
        <v>SolgaleoGX</v>
      </c>
      <c r="C111" s="97" t="s">
        <v>220</v>
      </c>
      <c r="D111" s="48"/>
      <c r="F111" s="5"/>
    </row>
    <row r="112" spans="1:6" ht="13">
      <c r="A112" s="98" t="s">
        <v>6309</v>
      </c>
      <c r="B112" s="99" t="s">
        <v>6310</v>
      </c>
      <c r="C112" s="98" t="s">
        <v>225</v>
      </c>
      <c r="D112" s="92"/>
      <c r="F112" s="5"/>
    </row>
    <row r="113" spans="1:6" ht="13">
      <c r="A113" s="98" t="s">
        <v>6311</v>
      </c>
      <c r="B113" s="99" t="s">
        <v>6312</v>
      </c>
      <c r="C113" s="98" t="s">
        <v>195</v>
      </c>
      <c r="D113" s="64"/>
      <c r="F113" s="5"/>
    </row>
    <row r="114" spans="1:6" ht="13">
      <c r="A114" s="98" t="s">
        <v>6313</v>
      </c>
      <c r="B114" s="99" t="s">
        <v>6314</v>
      </c>
      <c r="C114" s="98" t="s">
        <v>220</v>
      </c>
      <c r="D114" s="64"/>
      <c r="F114" s="5"/>
    </row>
    <row r="115" spans="1:6" ht="13">
      <c r="A115" s="98" t="s">
        <v>6315</v>
      </c>
      <c r="B115" s="99" t="s">
        <v>6316</v>
      </c>
      <c r="C115" s="98" t="s">
        <v>192</v>
      </c>
      <c r="D115" s="101"/>
      <c r="F115" s="5"/>
    </row>
    <row r="116" spans="1:6" ht="13">
      <c r="A116" s="98" t="s">
        <v>6317</v>
      </c>
      <c r="B116" s="99" t="s">
        <v>6316</v>
      </c>
      <c r="C116" s="98" t="s">
        <v>192</v>
      </c>
      <c r="D116" s="64"/>
      <c r="F116" s="5"/>
    </row>
    <row r="117" spans="1:6" ht="13">
      <c r="A117" s="98" t="s">
        <v>6318</v>
      </c>
      <c r="B117" s="99" t="s">
        <v>6316</v>
      </c>
      <c r="C117" s="98" t="s">
        <v>192</v>
      </c>
      <c r="D117" s="64"/>
      <c r="F117" s="5"/>
    </row>
    <row r="118" spans="1:6" ht="13">
      <c r="A118" s="98" t="s">
        <v>6319</v>
      </c>
      <c r="B118" s="99" t="s">
        <v>6316</v>
      </c>
      <c r="C118" s="98" t="s">
        <v>192</v>
      </c>
      <c r="D118" s="64"/>
      <c r="F118" s="5"/>
    </row>
    <row r="119" spans="1:6" ht="13">
      <c r="A119" s="98" t="s">
        <v>6320</v>
      </c>
      <c r="B119" s="99" t="s">
        <v>6316</v>
      </c>
      <c r="C119" s="98" t="s">
        <v>192</v>
      </c>
      <c r="D119" s="64"/>
      <c r="F119" s="5"/>
    </row>
    <row r="120" spans="1:6" ht="13">
      <c r="A120" s="98" t="s">
        <v>6321</v>
      </c>
      <c r="B120" s="99" t="s">
        <v>6316</v>
      </c>
      <c r="C120" s="98" t="s">
        <v>192</v>
      </c>
      <c r="D120" s="64"/>
      <c r="F120" s="5"/>
    </row>
    <row r="121" spans="1:6" ht="13">
      <c r="A121" s="98" t="s">
        <v>6322</v>
      </c>
      <c r="B121" s="99" t="s">
        <v>6316</v>
      </c>
      <c r="C121" s="98" t="s">
        <v>192</v>
      </c>
      <c r="D121" s="64"/>
      <c r="F121" s="5"/>
    </row>
    <row r="122" spans="1:6" ht="13">
      <c r="A122" s="98" t="s">
        <v>6323</v>
      </c>
      <c r="B122" s="99" t="str">
        <f>HYPERLINK("https://bulbapedia.bulbagarden.net/wiki/Pheromosa_(SM_Promo_115)","Pheromosa")</f>
        <v>Pheromosa</v>
      </c>
      <c r="C122" s="98" t="s">
        <v>205</v>
      </c>
      <c r="D122" s="92"/>
      <c r="F122" s="5"/>
    </row>
    <row r="123" spans="1:6" ht="13">
      <c r="A123" s="98" t="s">
        <v>6324</v>
      </c>
      <c r="B123" s="99" t="str">
        <f>HYPERLINK("https://bulbapedia.bulbagarden.net/wiki/Xurkitree_(SM_Promo_116)","Xurkitree")</f>
        <v>Xurkitree</v>
      </c>
      <c r="C123" s="98" t="s">
        <v>192</v>
      </c>
      <c r="D123" s="64"/>
      <c r="F123" s="51"/>
    </row>
    <row r="124" spans="1:6" ht="13">
      <c r="A124" s="98" t="s">
        <v>6325</v>
      </c>
      <c r="B124" s="99" t="str">
        <f>HYPERLINK("https://bulbapedia.bulbagarden.net/wiki/Malamar_(SM_Promo_117)","Malamar")</f>
        <v>Malamar</v>
      </c>
      <c r="C124" s="98" t="s">
        <v>195</v>
      </c>
      <c r="D124" s="64"/>
      <c r="F124" s="5"/>
    </row>
    <row r="125" spans="1:6" ht="13">
      <c r="A125" s="98" t="s">
        <v>6326</v>
      </c>
      <c r="B125" s="99" t="str">
        <f>HYPERLINK("https://bulbapedia.bulbagarden.net/wiki/Lycanroc_(SM_Promo_118)","Lycanroc")</f>
        <v>Lycanroc</v>
      </c>
      <c r="C125" s="98" t="s">
        <v>225</v>
      </c>
      <c r="D125" s="64"/>
      <c r="F125" s="5"/>
    </row>
    <row r="126" spans="1:6" ht="13">
      <c r="A126" s="98" t="s">
        <v>6327</v>
      </c>
      <c r="B126" s="99" t="s">
        <v>348</v>
      </c>
      <c r="C126" s="98" t="s">
        <v>205</v>
      </c>
      <c r="D126" s="92"/>
      <c r="F126" s="51"/>
    </row>
    <row r="127" spans="1:6" ht="13">
      <c r="A127" s="98" t="s">
        <v>6328</v>
      </c>
      <c r="B127" s="99" t="s">
        <v>6329</v>
      </c>
      <c r="C127" s="98" t="s">
        <v>225</v>
      </c>
      <c r="D127" s="64"/>
      <c r="F127" s="51"/>
    </row>
    <row r="128" spans="1:6" ht="13">
      <c r="A128" s="98" t="s">
        <v>6330</v>
      </c>
      <c r="B128" s="99" t="str">
        <f>HYPERLINK("https://bulbapedia.bulbagarden.net/wiki/Raikou-GX_(SM_Promo_121)","RaikouGX")</f>
        <v>RaikouGX</v>
      </c>
      <c r="C128" s="98" t="s">
        <v>192</v>
      </c>
      <c r="D128" s="92"/>
      <c r="F128" s="5"/>
    </row>
    <row r="129" spans="1:6" ht="13">
      <c r="A129" s="98" t="s">
        <v>6331</v>
      </c>
      <c r="B129" s="99" t="str">
        <f>HYPERLINK("https://bulbapedia.bulbagarden.net/wiki/Zygarde-GX_(SM_Promo_122)","ZygardeGX")</f>
        <v>ZygardeGX</v>
      </c>
      <c r="C129" s="98" t="s">
        <v>225</v>
      </c>
      <c r="D129" s="101"/>
      <c r="F129" s="5"/>
    </row>
    <row r="130" spans="1:6" ht="13">
      <c r="A130" s="98" t="s">
        <v>6332</v>
      </c>
      <c r="B130" s="99" t="s">
        <v>6312</v>
      </c>
      <c r="C130" s="98" t="s">
        <v>195</v>
      </c>
      <c r="D130" s="92"/>
      <c r="F130" s="5"/>
    </row>
    <row r="131" spans="1:6" ht="13">
      <c r="A131" s="98" t="s">
        <v>6333</v>
      </c>
      <c r="B131" s="99" t="s">
        <v>6314</v>
      </c>
      <c r="C131" s="98" t="s">
        <v>220</v>
      </c>
      <c r="D131" s="64"/>
      <c r="F131" s="5"/>
    </row>
    <row r="132" spans="1:6" ht="13">
      <c r="A132" s="98" t="s">
        <v>6334</v>
      </c>
      <c r="B132" s="109" t="str">
        <f>HYPERLINK("https://bulbapedia.bulbagarden.net/w/index.php?title=Naganadel-GX_(SM_Promo_125)&amp;action=edit&amp;redlink=1","NaganadelGX")</f>
        <v>NaganadelGX</v>
      </c>
      <c r="C132" s="102" t="s">
        <v>195</v>
      </c>
      <c r="D132" s="48"/>
      <c r="F132" s="5"/>
    </row>
    <row r="133" spans="1:6" ht="13">
      <c r="A133" s="97" t="s">
        <v>6335</v>
      </c>
      <c r="B133" s="108" t="str">
        <f>HYPERLINK("https://bulbapedia.bulbagarden.net/wiki/Ultra_Necrozma-GX_(SM_Promo_126)","Ultra NecrozmaGX")</f>
        <v>Ultra NecrozmaGX</v>
      </c>
      <c r="C133" s="97" t="s">
        <v>4285</v>
      </c>
      <c r="D133" s="47"/>
      <c r="F133" s="5"/>
    </row>
    <row r="134" spans="1:6" ht="13">
      <c r="A134" s="98" t="s">
        <v>6336</v>
      </c>
      <c r="B134" s="99" t="s">
        <v>6337</v>
      </c>
      <c r="C134" s="98" t="s">
        <v>220</v>
      </c>
      <c r="D134" s="92"/>
      <c r="F134" s="5"/>
    </row>
    <row r="135" spans="1:6" ht="13">
      <c r="A135" s="98" t="s">
        <v>6338</v>
      </c>
      <c r="B135" s="99" t="s">
        <v>6339</v>
      </c>
      <c r="C135" s="98" t="s">
        <v>4743</v>
      </c>
      <c r="D135" s="64"/>
      <c r="F135" s="5"/>
    </row>
    <row r="136" spans="1:6" ht="13">
      <c r="A136" s="97" t="s">
        <v>6340</v>
      </c>
      <c r="B136" s="108" t="str">
        <f>HYPERLINK("https://bulbapedia.bulbagarden.net/wiki/Kyogre_(SM_Promo_129)","Kyogre")</f>
        <v>Kyogre</v>
      </c>
      <c r="C136" s="97" t="s">
        <v>208</v>
      </c>
      <c r="D136" s="48"/>
      <c r="F136" s="51"/>
    </row>
    <row r="137" spans="1:6" ht="13">
      <c r="A137" s="97" t="s">
        <v>6341</v>
      </c>
      <c r="B137" s="110" t="str">
        <f>HYPERLINK("https://bulbapedia.bulbagarden.net/wiki/Manectric_(SM_Promo_130)","Manectric")</f>
        <v>Manectric</v>
      </c>
      <c r="C137" s="97" t="s">
        <v>192</v>
      </c>
      <c r="D137" s="51"/>
      <c r="F137" s="51"/>
    </row>
    <row r="138" spans="1:6" ht="13">
      <c r="A138" s="97" t="s">
        <v>6342</v>
      </c>
      <c r="B138" s="108" t="str">
        <f>HYPERLINK("https://bulbapedia.bulbagarden.net/w/index.php?title=Celesteela_(SM_Promo_131)&amp;action=edit&amp;redlink=1","Celesteela")</f>
        <v>Celesteela</v>
      </c>
      <c r="C138" s="89" t="s">
        <v>220</v>
      </c>
      <c r="D138" s="51"/>
      <c r="F138" s="51"/>
    </row>
    <row r="139" spans="1:6" ht="13">
      <c r="A139" s="97" t="s">
        <v>6343</v>
      </c>
      <c r="B139" s="108" t="str">
        <f>HYPERLINK("https://bulbapedia.bulbagarden.net/w/index.php?title=Delcatty_(SM_Promo_132)&amp;action=edit&amp;redlink=1","Delcatty")</f>
        <v>Delcatty</v>
      </c>
      <c r="C139" s="89" t="s">
        <v>197</v>
      </c>
      <c r="D139" s="51"/>
      <c r="F139" s="51"/>
    </row>
    <row r="140" spans="1:6" ht="13">
      <c r="A140" s="97" t="s">
        <v>6344</v>
      </c>
      <c r="B140" s="108" t="str">
        <f>HYPERLINK("https://bulbapedia.bulbagarden.net/wiki/Thundurus-GX_(SM_Promo_133)","ThundurusGX")</f>
        <v>ThundurusGX</v>
      </c>
      <c r="C140" s="89" t="s">
        <v>192</v>
      </c>
      <c r="D140" s="51"/>
      <c r="F140" s="5"/>
    </row>
    <row r="141" spans="1:6" ht="13">
      <c r="A141" s="97" t="s">
        <v>6345</v>
      </c>
      <c r="B141" s="108" t="str">
        <f>HYPERLINK("https://bulbapedia.bulbagarden.net/wiki/Tornadus-GX_(SM_Promo_134)","TornadusGX")</f>
        <v>TornadusGX</v>
      </c>
      <c r="C141" s="89" t="s">
        <v>197</v>
      </c>
      <c r="D141" s="51"/>
      <c r="F141" s="5"/>
    </row>
    <row r="142" spans="1:6" ht="13">
      <c r="A142" s="97" t="s">
        <v>6346</v>
      </c>
      <c r="B142" s="108" t="s">
        <v>1193</v>
      </c>
      <c r="C142" s="97" t="s">
        <v>4285</v>
      </c>
      <c r="D142" s="48"/>
      <c r="F142" s="51"/>
    </row>
    <row r="143" spans="1:6" ht="13">
      <c r="A143" s="97" t="s">
        <v>6347</v>
      </c>
      <c r="B143" s="108" t="s">
        <v>1194</v>
      </c>
      <c r="C143" s="97" t="s">
        <v>4285</v>
      </c>
      <c r="D143" s="48"/>
      <c r="F143" s="51"/>
    </row>
    <row r="144" spans="1:6" ht="13">
      <c r="A144" s="97" t="s">
        <v>6348</v>
      </c>
      <c r="B144" s="108" t="str">
        <f>HYPERLINK("https://bulbapedia.bulbagarden.net/wiki/Reshiram-GX_(SM_Promo_137)","ReshiramGX")</f>
        <v>ReshiramGX</v>
      </c>
      <c r="C144" s="97" t="s">
        <v>199</v>
      </c>
      <c r="D144" s="48"/>
      <c r="F144" s="5"/>
    </row>
    <row r="145" spans="1:6" ht="13">
      <c r="A145" s="97" t="s">
        <v>6349</v>
      </c>
      <c r="B145" s="108" t="str">
        <f>HYPERLINK("https://bulbapedia.bulbagarden.net/wiki/Zekrom-GX_(SM_Promo_138)","ZekromGX")</f>
        <v>ZekromGX</v>
      </c>
      <c r="C145" s="97" t="s">
        <v>192</v>
      </c>
      <c r="D145" s="48"/>
      <c r="F145" s="5"/>
    </row>
    <row r="146" spans="1:6" ht="13">
      <c r="A146" s="97" t="s">
        <v>6350</v>
      </c>
      <c r="B146" s="108" t="str">
        <f>HYPERLINK("https://bulbapedia.bulbagarden.net/w/index.php?title=Salamence-GX_(SM_Promo_139)&amp;action=edit&amp;redlink=1","SalamenceGX")</f>
        <v>SalamenceGX</v>
      </c>
      <c r="C146" s="97" t="s">
        <v>4285</v>
      </c>
      <c r="D146" s="48"/>
      <c r="F146" s="5"/>
    </row>
    <row r="147" spans="1:6" ht="13">
      <c r="A147" s="97" t="s">
        <v>6351</v>
      </c>
      <c r="B147" s="108" t="s">
        <v>1507</v>
      </c>
      <c r="C147" s="97" t="s">
        <v>4285</v>
      </c>
      <c r="D147" s="48"/>
      <c r="F147" s="5"/>
    </row>
    <row r="148" spans="1:6" ht="13">
      <c r="A148" s="97" t="s">
        <v>6352</v>
      </c>
      <c r="B148" s="108" t="str">
        <f>HYPERLINK("https://bulbapedia.bulbagarden.net/w/index.php?title=White_Kyurem-GX_(SM_Promo_141)&amp;action=edit&amp;redlink=1","White KyuremGX")</f>
        <v>White KyuremGX</v>
      </c>
      <c r="C148" s="97" t="s">
        <v>4285</v>
      </c>
      <c r="D148" s="48"/>
      <c r="F148" s="5"/>
    </row>
    <row r="149" spans="1:6" ht="13">
      <c r="A149" s="97" t="s">
        <v>6353</v>
      </c>
      <c r="B149" s="108" t="s">
        <v>4070</v>
      </c>
      <c r="C149" s="97" t="s">
        <v>4285</v>
      </c>
      <c r="D149" s="48"/>
      <c r="F149" s="5"/>
    </row>
    <row r="150" spans="1:6" ht="13">
      <c r="A150" s="97" t="s">
        <v>6354</v>
      </c>
      <c r="B150" s="108" t="s">
        <v>209</v>
      </c>
      <c r="C150" s="97" t="s">
        <v>199</v>
      </c>
      <c r="D150" s="48"/>
      <c r="F150" s="5"/>
    </row>
    <row r="151" spans="1:6" ht="13">
      <c r="A151" s="97" t="s">
        <v>6355</v>
      </c>
      <c r="B151" s="108" t="s">
        <v>210</v>
      </c>
      <c r="C151" s="97" t="s">
        <v>208</v>
      </c>
      <c r="D151" s="48"/>
      <c r="F151" s="5"/>
    </row>
    <row r="152" spans="1:6" ht="13">
      <c r="A152" s="97" t="s">
        <v>6356</v>
      </c>
      <c r="B152" s="108" t="s">
        <v>211</v>
      </c>
      <c r="C152" s="97" t="s">
        <v>192</v>
      </c>
      <c r="D152" s="5"/>
      <c r="F152" s="5"/>
    </row>
    <row r="153" spans="1:6" ht="13">
      <c r="A153" s="97" t="s">
        <v>6357</v>
      </c>
      <c r="B153" s="108" t="str">
        <f>HYPERLINK("https://bulbapedia.bulbagarden.net/wiki/Leafeon-GX_(SM_Promo_146)","LeafeonGX")</f>
        <v>LeafeonGX</v>
      </c>
      <c r="C153" s="97" t="s">
        <v>205</v>
      </c>
      <c r="D153" s="51"/>
      <c r="F153" s="5"/>
    </row>
    <row r="154" spans="1:6" ht="13">
      <c r="A154" s="97" t="s">
        <v>6358</v>
      </c>
      <c r="B154" s="108" t="str">
        <f>HYPERLINK("https://bulbapedia.bulbagarden.net/wiki/Glaceon-GX_(SM_Promo_147)","GlaceonGX")</f>
        <v>GlaceonGX</v>
      </c>
      <c r="C154" s="97" t="s">
        <v>208</v>
      </c>
      <c r="D154" s="51"/>
      <c r="F154" s="5"/>
    </row>
    <row r="155" spans="1:6" ht="13">
      <c r="A155" s="97" t="s">
        <v>6359</v>
      </c>
      <c r="B155" s="108" t="str">
        <f>HYPERLINK("https://bulbapedia.bulbagarden.net/wiki/Champions_Festival_(SM_Promo_148)","Champions Festival")</f>
        <v>Champions Festival</v>
      </c>
      <c r="C155" s="89" t="s">
        <v>229</v>
      </c>
      <c r="D155" s="5"/>
      <c r="F155" s="5"/>
    </row>
    <row r="156" spans="1:6" ht="13">
      <c r="A156" s="97" t="s">
        <v>6360</v>
      </c>
      <c r="B156" s="108" t="str">
        <f>HYPERLINK("https://bulbapedia.bulbagarden.net/w/index.php?title=Suicune_(SM_Promo_149)&amp;action=edit&amp;redlink=1","Suicune")</f>
        <v>Suicune</v>
      </c>
      <c r="C156" s="97" t="s">
        <v>208</v>
      </c>
      <c r="D156" s="48"/>
      <c r="F156" s="51"/>
    </row>
    <row r="157" spans="1:6" ht="13">
      <c r="A157" s="97" t="s">
        <v>6361</v>
      </c>
      <c r="B157" s="108" t="str">
        <f>HYPERLINK("https://bulbapedia.bulbagarden.net/w/index.php?title=Raikou_(SM_Promo_150)&amp;action=edit&amp;redlink=1","Raikou")</f>
        <v>Raikou</v>
      </c>
      <c r="C157" s="97" t="s">
        <v>192</v>
      </c>
      <c r="D157" s="48"/>
      <c r="F157" s="51"/>
    </row>
    <row r="158" spans="1:6" ht="13">
      <c r="A158" s="97" t="s">
        <v>6362</v>
      </c>
      <c r="B158" s="108" t="str">
        <f>HYPERLINK("https://bulbapedia.bulbagarden.net/w/index.php?title=Giratina_(SM_Promo_151)&amp;action=edit&amp;redlink=1","Giratina")</f>
        <v>Giratina</v>
      </c>
      <c r="C158" s="97" t="s">
        <v>195</v>
      </c>
      <c r="D158" s="48"/>
      <c r="F158" s="51"/>
    </row>
    <row r="159" spans="1:6" ht="13">
      <c r="A159" s="97" t="s">
        <v>6363</v>
      </c>
      <c r="B159" s="108" t="str">
        <f>HYPERLINK("https://bulbapedia.bulbagarden.net/w/index.php?title=Tapu_Lele_(SM_Promo_152)&amp;action=edit&amp;redlink=1","Tapu Lele")</f>
        <v>Tapu Lele</v>
      </c>
      <c r="C159" s="97" t="s">
        <v>4743</v>
      </c>
      <c r="D159" s="48"/>
      <c r="F159" s="51"/>
    </row>
    <row r="160" spans="1:6" ht="13">
      <c r="A160" s="97" t="s">
        <v>6364</v>
      </c>
      <c r="B160" s="108" t="s">
        <v>6205</v>
      </c>
      <c r="C160" s="97" t="s">
        <v>205</v>
      </c>
      <c r="D160" s="48"/>
      <c r="F160" s="51"/>
    </row>
    <row r="161" spans="1:6" ht="13">
      <c r="A161" s="97" t="s">
        <v>6365</v>
      </c>
      <c r="B161" s="108" t="s">
        <v>6366</v>
      </c>
      <c r="C161" s="97" t="s">
        <v>199</v>
      </c>
      <c r="D161" s="51"/>
      <c r="F161" s="51"/>
    </row>
    <row r="162" spans="1:6" ht="13">
      <c r="A162" s="97" t="s">
        <v>6367</v>
      </c>
      <c r="B162" s="108" t="str">
        <f>HYPERLINK("https://bulbapedia.bulbagarden.net/wiki/Kingdra-GX_(SM_Promo_155)","KingdraGX")</f>
        <v>KingdraGX</v>
      </c>
      <c r="C162" s="97" t="s">
        <v>208</v>
      </c>
      <c r="D162" s="5"/>
      <c r="F162" s="5"/>
    </row>
    <row r="163" spans="1:6" ht="13">
      <c r="A163" s="97" t="s">
        <v>6368</v>
      </c>
      <c r="B163" s="108" t="str">
        <f>HYPERLINK("https://bulbapedia.bulbagarden.net/wiki/Dragonite-GX_(SM_Promo_156)","DragoniteGX")</f>
        <v>DragoniteGX</v>
      </c>
      <c r="C163" s="97" t="s">
        <v>4285</v>
      </c>
      <c r="D163" s="5"/>
      <c r="F163" s="5"/>
    </row>
    <row r="164" spans="1:6" ht="13">
      <c r="A164" s="97" t="s">
        <v>6369</v>
      </c>
      <c r="B164" s="108" t="s">
        <v>191</v>
      </c>
      <c r="C164" s="97" t="s">
        <v>192</v>
      </c>
      <c r="D164" s="5"/>
      <c r="F164" s="5"/>
    </row>
    <row r="165" spans="1:6" ht="13">
      <c r="A165" s="97" t="s">
        <v>6370</v>
      </c>
      <c r="B165" s="108" t="str">
        <f>HYPERLINK("https://bulbapedia.bulbagarden.net/w/index.php?title=Charizard_(SM_Promo_158)&amp;action=edit&amp;redlink=1","Charizard")</f>
        <v>Charizard</v>
      </c>
      <c r="C165" s="97" t="s">
        <v>199</v>
      </c>
      <c r="D165" s="51"/>
      <c r="F165" s="51"/>
    </row>
    <row r="166" spans="1:6" ht="13">
      <c r="A166" s="97" t="s">
        <v>6371</v>
      </c>
      <c r="B166" s="108" t="str">
        <f>HYPERLINK("https://bulbapedia.bulbagarden.net/w/index.php?title=Zapdos_(SM_Promo_159)&amp;action=edit&amp;redlink=1","Zapdos")</f>
        <v>Zapdos</v>
      </c>
      <c r="C166" s="97" t="s">
        <v>192</v>
      </c>
      <c r="D166" s="51"/>
      <c r="F166" s="51"/>
    </row>
    <row r="167" spans="1:6" ht="13">
      <c r="A167" s="97" t="s">
        <v>6372</v>
      </c>
      <c r="B167" s="108" t="str">
        <f>HYPERLINK("https://bulbapedia.bulbagarden.net/w/index.php?title=Nidoqueen_(SM_Promo_160)&amp;action=edit&amp;redlink=1","Nidoqueen")</f>
        <v>Nidoqueen</v>
      </c>
      <c r="C167" s="97" t="s">
        <v>195</v>
      </c>
      <c r="D167" s="51"/>
      <c r="F167" s="51"/>
    </row>
    <row r="168" spans="1:6" ht="13">
      <c r="A168" s="97" t="s">
        <v>6373</v>
      </c>
      <c r="B168" s="108" t="str">
        <f>HYPERLINK("https://bulbapedia.bulbagarden.net/w/index.php?title=Jirachi_(SM_Promo_161)&amp;action=edit&amp;redlink=1","Jirachi")</f>
        <v>Jirachi</v>
      </c>
      <c r="C168" s="97" t="s">
        <v>220</v>
      </c>
      <c r="D168" s="51"/>
      <c r="F168" s="51"/>
    </row>
    <row r="169" spans="1:6" ht="13">
      <c r="A169" s="97" t="s">
        <v>6374</v>
      </c>
      <c r="B169" s="108" t="s">
        <v>191</v>
      </c>
      <c r="C169" s="97" t="s">
        <v>192</v>
      </c>
      <c r="D169" s="5"/>
      <c r="F169" s="5"/>
    </row>
    <row r="170" spans="1:6" ht="13">
      <c r="A170" s="97" t="s">
        <v>6375</v>
      </c>
      <c r="B170" s="108" t="s">
        <v>6218</v>
      </c>
      <c r="C170" s="97" t="s">
        <v>4743</v>
      </c>
      <c r="D170" s="5"/>
      <c r="F170" s="5"/>
    </row>
    <row r="171" spans="1:6" ht="13">
      <c r="A171" s="97" t="s">
        <v>6376</v>
      </c>
      <c r="B171" s="108" t="s">
        <v>5460</v>
      </c>
      <c r="C171" s="97" t="s">
        <v>195</v>
      </c>
      <c r="D171" s="51"/>
      <c r="F171" s="51"/>
    </row>
    <row r="172" spans="1:6" ht="13">
      <c r="A172" s="97" t="s">
        <v>6377</v>
      </c>
      <c r="B172" s="108" t="s">
        <v>6378</v>
      </c>
      <c r="C172" s="97" t="s">
        <v>4285</v>
      </c>
      <c r="D172" s="51"/>
      <c r="F172" s="51"/>
    </row>
    <row r="173" spans="1:6" ht="13">
      <c r="A173" s="97" t="s">
        <v>6379</v>
      </c>
      <c r="B173" s="108" t="str">
        <f>HYPERLINK("https://bulbapedia.bulbagarden.net/wiki/Magikarp_%26_Wailord-GX_(SM_Promo_166)","Magikarp &amp; WailordGX")</f>
        <v>Magikarp &amp; WailordGX</v>
      </c>
      <c r="C173" s="97" t="s">
        <v>208</v>
      </c>
      <c r="D173" s="51"/>
      <c r="F173" s="5"/>
    </row>
    <row r="174" spans="1:6" ht="13">
      <c r="A174" s="48" t="s">
        <v>6380</v>
      </c>
      <c r="B174" s="58" t="str">
        <f>HYPERLINK("https://bulbapedia.bulbagarden.net/wiki/Celebi_%26_Venusaur-GX_(SM_Promo_167)","Celebi &amp; VenusaurGX")</f>
        <v>Celebi &amp; VenusaurGX</v>
      </c>
      <c r="C174" s="48" t="s">
        <v>205</v>
      </c>
      <c r="D174" s="48"/>
      <c r="F174" s="5"/>
    </row>
    <row r="175" spans="1:6" ht="13">
      <c r="A175" s="48" t="s">
        <v>6381</v>
      </c>
      <c r="B175" s="58" t="str">
        <f>HYPERLINK("https://bulbapedia.bulbagarden.net/wiki/Pikachu_%26_Zekrom-GX_(SM_Promo_168)","Pikachu &amp; ZekromGX")</f>
        <v>Pikachu &amp; ZekromGX</v>
      </c>
      <c r="C175" s="48" t="s">
        <v>192</v>
      </c>
      <c r="D175" s="48"/>
      <c r="F175" s="5"/>
    </row>
    <row r="176" spans="1:6" ht="13">
      <c r="A176" s="48" t="s">
        <v>6382</v>
      </c>
      <c r="B176" s="58" t="str">
        <f>HYPERLINK("https://bulbapedia.bulbagarden.net/wiki/Eevee_%26_Snorlax-GX_(SM_Promo_169)","Eevee &amp; SnorlaxGX")</f>
        <v>Eevee &amp; SnorlaxGX</v>
      </c>
      <c r="C176" s="48" t="s">
        <v>197</v>
      </c>
      <c r="D176" s="48"/>
      <c r="F176" s="5"/>
    </row>
    <row r="177" spans="1:6" ht="13">
      <c r="A177" s="48" t="s">
        <v>6383</v>
      </c>
      <c r="B177" s="49" t="s">
        <v>122</v>
      </c>
      <c r="C177" s="107" t="s">
        <v>192</v>
      </c>
      <c r="D177" s="5"/>
      <c r="F177" s="5"/>
    </row>
    <row r="178" spans="1:6" ht="13">
      <c r="A178" s="97" t="s">
        <v>6384</v>
      </c>
      <c r="B178" s="111" t="str">
        <f>HYPERLINK("https://bulbapedia.bulbagarden.net/wiki/Flareon-GX_(SM_Promo_171)","FlareonGX")</f>
        <v>FlareonGX</v>
      </c>
      <c r="C178" s="97" t="s">
        <v>199</v>
      </c>
      <c r="D178" s="51"/>
      <c r="F178" s="5"/>
    </row>
    <row r="179" spans="1:6" ht="13">
      <c r="A179" s="97" t="s">
        <v>6385</v>
      </c>
      <c r="B179" s="111" t="str">
        <f>HYPERLINK("https://bulbapedia.bulbagarden.net/wiki/Vaporeon-GX_(SM_Promo_172)","VaporeonGX")</f>
        <v>VaporeonGX</v>
      </c>
      <c r="C179" s="97" t="s">
        <v>208</v>
      </c>
      <c r="D179" s="5"/>
      <c r="F179" s="5"/>
    </row>
    <row r="180" spans="1:6" ht="13">
      <c r="A180" s="97" t="s">
        <v>6386</v>
      </c>
      <c r="B180" s="111" t="str">
        <f>HYPERLINK("https://bulbapedia.bulbagarden.net/wiki/Jolteon-GX_(SM_Promo_173)","JolteonGX")</f>
        <v>JolteonGX</v>
      </c>
      <c r="C180" s="97" t="s">
        <v>192</v>
      </c>
      <c r="D180" s="51"/>
      <c r="F180" s="5"/>
    </row>
    <row r="181" spans="1:6" ht="13">
      <c r="A181" s="112" t="s">
        <v>6387</v>
      </c>
      <c r="B181" s="111" t="str">
        <f>HYPERLINK("https://bulbapedia.bulbagarden.net/wiki/Eevee-GX_(SM_Promo_174)","EeveeGX")</f>
        <v>EeveeGX</v>
      </c>
      <c r="C181" s="112" t="s">
        <v>197</v>
      </c>
      <c r="D181" s="5"/>
      <c r="F181" s="5"/>
    </row>
    <row r="182" spans="1:6" ht="13">
      <c r="A182" s="112" t="s">
        <v>6388</v>
      </c>
      <c r="B182" s="111" t="str">
        <f>HYPERLINK("https://bulbapedia.bulbagarden.net/wiki/Eevee-GX_(SM_Promo_175)","EeveeGX")</f>
        <v>EeveeGX</v>
      </c>
      <c r="C182" s="112" t="s">
        <v>197</v>
      </c>
      <c r="D182" s="5"/>
      <c r="F182" s="5"/>
    </row>
    <row r="183" spans="1:6" ht="13">
      <c r="A183" s="112" t="s">
        <v>6389</v>
      </c>
      <c r="B183" s="111" t="str">
        <f>HYPERLINK("https://bulbapedia.bulbagarden.net/wiki/Eevee-GX_(SM_Promo_176)","EeveeGX")</f>
        <v>EeveeGX</v>
      </c>
      <c r="C183" s="112" t="s">
        <v>197</v>
      </c>
      <c r="D183" s="51"/>
      <c r="F183" s="5"/>
    </row>
    <row r="184" spans="1:6" ht="13">
      <c r="A184" s="112" t="s">
        <v>6390</v>
      </c>
      <c r="B184" s="111" t="s">
        <v>6391</v>
      </c>
      <c r="C184" s="112" t="s">
        <v>220</v>
      </c>
      <c r="D184" s="5"/>
      <c r="F184" s="5"/>
    </row>
    <row r="185" spans="1:6" ht="13">
      <c r="A185" s="112" t="s">
        <v>6392</v>
      </c>
      <c r="B185" s="111" t="str">
        <f>HYPERLINK("https://bulbapedia.bulbagarden.net/w/index.php?title=Melmetal-GX_(SM_Promo_178)&amp;action=edit&amp;redlink=1","MelmetalGX")</f>
        <v>MelmetalGX</v>
      </c>
      <c r="C185" s="112" t="s">
        <v>220</v>
      </c>
      <c r="D185" s="5"/>
      <c r="F185" s="5"/>
    </row>
    <row r="186" spans="1:6" ht="13">
      <c r="A186" s="48" t="s">
        <v>6393</v>
      </c>
      <c r="B186" s="58" t="str">
        <f>HYPERLINK("https://bulbapedia.bulbagarden.net/w/index.php?title=Volcanion_(SM_Promo_179)&amp;action=edit&amp;redlink=1","Volcanion")</f>
        <v>Volcanion</v>
      </c>
      <c r="C186" s="51" t="s">
        <v>199</v>
      </c>
      <c r="D186" s="48"/>
      <c r="F186" s="51"/>
    </row>
    <row r="187" spans="1:6" ht="13">
      <c r="A187" s="48" t="s">
        <v>6394</v>
      </c>
      <c r="B187" s="58" t="str">
        <f>HYPERLINK("https://bulbapedia.bulbagarden.net/w/index.php?title=Stakataka_(SM_Promo_180)&amp;action=edit&amp;redlink=1","Stakataka")</f>
        <v>Stakataka</v>
      </c>
      <c r="C187" s="51" t="s">
        <v>225</v>
      </c>
      <c r="D187" s="48"/>
      <c r="F187" s="51"/>
    </row>
    <row r="188" spans="1:6" ht="13">
      <c r="A188" s="48" t="s">
        <v>6395</v>
      </c>
      <c r="B188" s="58" t="str">
        <f>HYPERLINK("https://bulbapedia.bulbagarden.net/w/index.php?title=Melmetal_(SM_Promo_181)&amp;action=edit&amp;redlink=1","Melmetal")</f>
        <v>Melmetal</v>
      </c>
      <c r="C188" s="51" t="s">
        <v>220</v>
      </c>
      <c r="D188" s="48"/>
      <c r="F188" s="51"/>
    </row>
    <row r="189" spans="1:6" ht="13">
      <c r="A189" s="48" t="s">
        <v>6396</v>
      </c>
      <c r="B189" s="58" t="str">
        <f>HYPERLINK("https://bulbapedia.bulbagarden.net/w/index.php?title=Persian_(SM_Promo_182)&amp;action=edit&amp;redlink=1","Persian")</f>
        <v>Persian</v>
      </c>
      <c r="C189" s="51" t="s">
        <v>197</v>
      </c>
      <c r="D189" s="48"/>
      <c r="F189" s="5"/>
    </row>
    <row r="190" spans="1:6" ht="13">
      <c r="A190" s="48" t="s">
        <v>6397</v>
      </c>
      <c r="B190" s="49" t="s">
        <v>191</v>
      </c>
      <c r="C190" s="51" t="s">
        <v>192</v>
      </c>
      <c r="D190" s="48"/>
      <c r="F190" s="51"/>
    </row>
    <row r="191" spans="1:6" ht="13">
      <c r="A191" s="48" t="s">
        <v>6398</v>
      </c>
      <c r="B191" s="49" t="s">
        <v>203</v>
      </c>
      <c r="C191" s="51" t="s">
        <v>197</v>
      </c>
      <c r="D191" s="48"/>
      <c r="F191" s="51"/>
    </row>
    <row r="192" spans="1:6" ht="13">
      <c r="A192" s="48" t="s">
        <v>6399</v>
      </c>
      <c r="B192" s="49" t="s">
        <v>795</v>
      </c>
      <c r="C192" s="51" t="s">
        <v>199</v>
      </c>
      <c r="D192" s="5"/>
      <c r="F192" s="51"/>
    </row>
    <row r="193" spans="1:6" ht="13">
      <c r="A193" s="112" t="s">
        <v>6400</v>
      </c>
      <c r="B193" s="113" t="s">
        <v>319</v>
      </c>
      <c r="C193" s="112" t="s">
        <v>199</v>
      </c>
      <c r="D193" s="5"/>
      <c r="F193" s="5"/>
    </row>
    <row r="194" spans="1:6" ht="13">
      <c r="A194" s="112" t="s">
        <v>6401</v>
      </c>
      <c r="B194" s="108" t="str">
        <f>HYPERLINK("https://bulbapedia.bulbagarden.net/wiki/Alolan_Marowak-GX_(SM_Promo_187)","Alolan MarowakGX")</f>
        <v>Alolan MarowakGX</v>
      </c>
      <c r="C194" s="97" t="s">
        <v>199</v>
      </c>
      <c r="D194" s="5"/>
      <c r="F194" s="5"/>
    </row>
    <row r="195" spans="1:6" ht="13">
      <c r="A195" s="114" t="s">
        <v>6402</v>
      </c>
      <c r="B195" s="113" t="str">
        <f>HYPERLINK("https://bulbapedia.bulbagarden.net/wiki/Kangaskhan-GX_(SM_Promo_188)","KangaskhanGX")</f>
        <v>KangaskhanGX</v>
      </c>
      <c r="C195" s="115" t="s">
        <v>199</v>
      </c>
      <c r="D195" s="5"/>
      <c r="F195" s="5"/>
    </row>
    <row r="196" spans="1:6" ht="13">
      <c r="A196" s="114" t="s">
        <v>6403</v>
      </c>
      <c r="B196" s="116" t="s">
        <v>240</v>
      </c>
      <c r="C196" s="115" t="s">
        <v>208</v>
      </c>
      <c r="D196" s="5"/>
      <c r="F196" s="5"/>
    </row>
    <row r="197" spans="1:6" ht="13">
      <c r="A197" s="114" t="s">
        <v>6404</v>
      </c>
      <c r="B197" s="113" t="s">
        <v>122</v>
      </c>
      <c r="C197" s="115" t="s">
        <v>192</v>
      </c>
      <c r="D197" s="5"/>
      <c r="F197" s="51"/>
    </row>
    <row r="198" spans="1:6" ht="13">
      <c r="A198" s="114" t="s">
        <v>6405</v>
      </c>
      <c r="B198" s="113" t="str">
        <f>HYPERLINK("https://bulbapedia.bulbagarden.net/wiki/Mewtwo_%26_Mew-GX_(SM_Promo_191)","Mewtwo &amp; MewGX")</f>
        <v>Mewtwo &amp; MewGX</v>
      </c>
      <c r="C198" s="115" t="s">
        <v>195</v>
      </c>
      <c r="D198" s="51"/>
      <c r="F198" s="5"/>
    </row>
    <row r="199" spans="1:6" ht="13">
      <c r="A199" s="114" t="s">
        <v>6406</v>
      </c>
      <c r="B199" s="113" t="str">
        <f>HYPERLINK("https://bulbapedia.bulbagarden.net/wiki/Lucario_%26_Melmetal-GX_(SM_Promo_192)","Lucario &amp; MelmetalGX")</f>
        <v>Lucario &amp; MelmetalGX</v>
      </c>
      <c r="C199" s="115" t="s">
        <v>220</v>
      </c>
      <c r="D199" s="5"/>
      <c r="F199" s="5"/>
    </row>
    <row r="200" spans="1:6" ht="13">
      <c r="A200" s="114" t="s">
        <v>6407</v>
      </c>
      <c r="B200" s="113" t="str">
        <f>HYPERLINK("https://bulbapedia.bulbagarden.net/wiki/Garchomp_%26_Giratina-GX_(SM_Promo_193)","Garchomp &amp; GiratinaGX")</f>
        <v>Garchomp &amp; GiratinaGX</v>
      </c>
      <c r="C200" s="115" t="s">
        <v>4285</v>
      </c>
      <c r="D200" s="5"/>
      <c r="F200" s="5"/>
    </row>
    <row r="201" spans="1:6" ht="13">
      <c r="A201" s="112" t="s">
        <v>6408</v>
      </c>
      <c r="B201" s="111" t="s">
        <v>122</v>
      </c>
      <c r="C201" s="112" t="s">
        <v>192</v>
      </c>
      <c r="D201" s="5"/>
      <c r="F201" s="5"/>
    </row>
    <row r="202" spans="1:6" ht="13">
      <c r="A202" s="112" t="s">
        <v>6409</v>
      </c>
      <c r="B202" s="111" t="str">
        <f>HYPERLINK("https://bulbapedia.bulbagarden.net/wiki/Charizard-GX_(SM_Promo_195)","CharizardGX")</f>
        <v>CharizardGX</v>
      </c>
      <c r="C202" s="112" t="s">
        <v>199</v>
      </c>
      <c r="D202" s="5"/>
      <c r="F202" s="5"/>
    </row>
    <row r="203" spans="1:6" ht="13">
      <c r="A203" s="97" t="s">
        <v>6410</v>
      </c>
      <c r="B203" s="108" t="str">
        <f>HYPERLINK("https://bulbapedia.bulbagarden.net/wiki/Mewtwo-GX_(SM_Promo_196)","MewtwoGX")</f>
        <v>MewtwoGX</v>
      </c>
      <c r="C203" s="97" t="s">
        <v>195</v>
      </c>
      <c r="D203" s="51"/>
      <c r="F203" s="5"/>
    </row>
    <row r="204" spans="1:6" ht="13">
      <c r="A204" s="112" t="s">
        <v>6411</v>
      </c>
      <c r="B204" s="111" t="str">
        <f>HYPERLINK("https://bulbapedia.bulbagarden.net/wiki/Greninja-GX_(SM_Promo_197)","GreninjaGX")</f>
        <v>GreninjaGX</v>
      </c>
      <c r="C204" s="112" t="s">
        <v>208</v>
      </c>
      <c r="D204" s="5"/>
      <c r="F204" s="5"/>
    </row>
    <row r="205" spans="1:6" ht="13">
      <c r="A205" s="97" t="s">
        <v>6412</v>
      </c>
      <c r="B205" s="108" t="s">
        <v>276</v>
      </c>
      <c r="C205" s="97" t="s">
        <v>205</v>
      </c>
      <c r="D205" s="48"/>
      <c r="F205" s="5"/>
    </row>
    <row r="206" spans="1:6" ht="13">
      <c r="A206" s="97" t="s">
        <v>6413</v>
      </c>
      <c r="B206" s="108" t="s">
        <v>207</v>
      </c>
      <c r="C206" s="97" t="s">
        <v>208</v>
      </c>
      <c r="D206" s="48"/>
      <c r="F206" s="51"/>
    </row>
    <row r="207" spans="1:6" ht="13">
      <c r="A207" s="97" t="s">
        <v>6414</v>
      </c>
      <c r="B207" s="108" t="s">
        <v>891</v>
      </c>
      <c r="C207" s="97" t="s">
        <v>4743</v>
      </c>
      <c r="D207" s="48"/>
      <c r="F207" s="5"/>
    </row>
    <row r="208" spans="1:6" ht="13">
      <c r="A208" s="114" t="s">
        <v>6415</v>
      </c>
      <c r="B208" s="113" t="str">
        <f>HYPERLINK("https://bulbapedia.bulbagarden.net/wiki/Reshiram_%26_Charizard-GX_(SM_Promo_201)","Reshiram &amp; CharizardGX")</f>
        <v>Reshiram &amp; CharizardGX</v>
      </c>
      <c r="C208" s="115" t="s">
        <v>199</v>
      </c>
      <c r="D208" s="5"/>
    </row>
    <row r="209" spans="1:6" ht="13">
      <c r="A209" s="114" t="s">
        <v>6416</v>
      </c>
      <c r="B209" s="117" t="str">
        <f>HYPERLINK("https://bulbapedia.bulbagarden.net/wiki/Amoonguss_(SM_Promo_202)","Amoonguss")</f>
        <v>Amoonguss</v>
      </c>
      <c r="C209" s="115" t="s">
        <v>205</v>
      </c>
      <c r="D209" s="5"/>
      <c r="F209" s="51"/>
    </row>
    <row r="210" spans="1:6" ht="13">
      <c r="A210" s="114" t="s">
        <v>6417</v>
      </c>
      <c r="B210" s="117" t="str">
        <f>HYPERLINK("https://bulbapedia.bulbagarden.net/wiki/Tapu_Fini_(SM_Promo_203)","Tapu Fini")</f>
        <v>Tapu Fini</v>
      </c>
      <c r="C210" s="115" t="s">
        <v>208</v>
      </c>
      <c r="D210" s="5"/>
      <c r="F210" s="51"/>
    </row>
    <row r="211" spans="1:6" ht="13">
      <c r="A211" s="114" t="s">
        <v>6418</v>
      </c>
      <c r="B211" s="117" t="str">
        <f>HYPERLINK("https://bulbapedia.bulbagarden.net/wiki/Necrozma_(SM_Promo_204)","Necrozma")</f>
        <v>Necrozma</v>
      </c>
      <c r="C211" s="115" t="s">
        <v>195</v>
      </c>
      <c r="D211" s="5"/>
      <c r="F211" s="51"/>
    </row>
    <row r="212" spans="1:6" ht="13">
      <c r="A212" s="114" t="s">
        <v>6419</v>
      </c>
      <c r="B212" s="117" t="str">
        <f>HYPERLINK("https://bulbapedia.bulbagarden.net/wiki/Terrakion_(SM_Promo_205)","Terrakion")</f>
        <v>Terrakion</v>
      </c>
      <c r="C212" s="115" t="s">
        <v>225</v>
      </c>
      <c r="D212" s="5"/>
      <c r="F212" s="51"/>
    </row>
    <row r="213" spans="1:6" ht="13">
      <c r="A213" s="114" t="s">
        <v>6420</v>
      </c>
      <c r="B213" s="113" t="s">
        <v>191</v>
      </c>
      <c r="C213" s="115" t="s">
        <v>192</v>
      </c>
      <c r="D213" s="5"/>
      <c r="F213" s="5"/>
    </row>
    <row r="214" spans="1:6" ht="13">
      <c r="A214" s="114" t="s">
        <v>6421</v>
      </c>
      <c r="B214" s="113" t="s">
        <v>897</v>
      </c>
      <c r="C214" s="115" t="s">
        <v>225</v>
      </c>
      <c r="D214" s="5"/>
      <c r="F214" s="5"/>
    </row>
    <row r="215" spans="1:6" ht="13">
      <c r="A215" s="114" t="s">
        <v>6422</v>
      </c>
      <c r="B215" s="113" t="s">
        <v>6216</v>
      </c>
      <c r="C215" s="115" t="s">
        <v>192</v>
      </c>
      <c r="D215" s="5"/>
      <c r="F215" s="51"/>
    </row>
    <row r="216" spans="1:6" ht="13">
      <c r="A216" s="114" t="s">
        <v>6423</v>
      </c>
      <c r="B216" s="113" t="s">
        <v>6424</v>
      </c>
      <c r="C216" s="115" t="s">
        <v>225</v>
      </c>
      <c r="D216" s="5"/>
      <c r="F216" s="51"/>
    </row>
    <row r="217" spans="1:6" ht="13">
      <c r="A217" s="114" t="s">
        <v>6425</v>
      </c>
      <c r="B217" s="113" t="str">
        <f>HYPERLINK("https://bulbapedia.bulbagarden.net/wiki/Moltres_%26_Zapdos_%26_Articuno-GX_(SM_Promo_210)","Moltres &amp; Zapdos &amp; ArticunoGX")</f>
        <v>Moltres &amp; Zapdos &amp; ArticunoGX</v>
      </c>
      <c r="C217" s="115" t="s">
        <v>197</v>
      </c>
      <c r="D217" s="51"/>
      <c r="F217" s="5"/>
    </row>
    <row r="218" spans="1:6" ht="13">
      <c r="A218" s="48" t="s">
        <v>6426</v>
      </c>
      <c r="B218" s="58" t="str">
        <f>HYPERLINK("https://bulbapedia.bulbagarden.net/wiki/Charizard-GX_(SM_Promo_211)","CharizardGX")</f>
        <v>CharizardGX</v>
      </c>
      <c r="C218" s="48" t="s">
        <v>199</v>
      </c>
      <c r="D218" s="48"/>
      <c r="F218" s="5"/>
    </row>
    <row r="219" spans="1:6" ht="13">
      <c r="A219" s="48" t="s">
        <v>6427</v>
      </c>
      <c r="B219" s="58" t="str">
        <f>HYPERLINK("https://bulbapedia.bulbagarden.net/wiki/Gyarados-GX_(SM_Promo_212)","GyaradosGX")</f>
        <v>GyaradosGX</v>
      </c>
      <c r="C219" s="48" t="s">
        <v>208</v>
      </c>
      <c r="D219" s="48"/>
      <c r="F219" s="5"/>
    </row>
    <row r="220" spans="1:6" ht="13">
      <c r="A220" s="48" t="s">
        <v>6428</v>
      </c>
      <c r="B220" s="58" t="str">
        <f>HYPERLINK("https://bulbapedia.bulbagarden.net/wiki/Raichu-GX_(SM_Promo_213)","RaichuGX")</f>
        <v>RaichuGX</v>
      </c>
      <c r="C220" s="48" t="s">
        <v>192</v>
      </c>
      <c r="D220" s="48"/>
      <c r="F220" s="5"/>
    </row>
    <row r="221" spans="1:6" ht="13">
      <c r="A221" s="48" t="s">
        <v>6429</v>
      </c>
      <c r="B221" s="49" t="s">
        <v>194</v>
      </c>
      <c r="C221" s="48" t="s">
        <v>195</v>
      </c>
      <c r="D221" s="48"/>
      <c r="F221" s="5"/>
    </row>
    <row r="222" spans="1:6" ht="13">
      <c r="A222" s="48" t="s">
        <v>6430</v>
      </c>
      <c r="B222" s="49" t="s">
        <v>201</v>
      </c>
      <c r="C222" s="48" t="s">
        <v>195</v>
      </c>
      <c r="D222" s="48"/>
      <c r="F222" s="5"/>
    </row>
    <row r="223" spans="1:6" ht="13">
      <c r="A223" s="48" t="s">
        <v>6431</v>
      </c>
      <c r="B223" s="58" t="str">
        <f>HYPERLINK("https://bulbapedia.bulbagarden.net/wiki/Porygon-Z-GX_(SM_Promo_216)","Porygon-ZGX")</f>
        <v>Porygon-ZGX</v>
      </c>
      <c r="C223" s="48" t="s">
        <v>197</v>
      </c>
      <c r="D223" s="48"/>
      <c r="F223" s="5"/>
    </row>
    <row r="224" spans="1:6" ht="13">
      <c r="A224" s="48" t="s">
        <v>6432</v>
      </c>
      <c r="B224" s="58" t="str">
        <f>HYPERLINK("https://bulbapedia.bulbagarden.net/wiki/Trevenant_%26_Dusknoir-GX_(SM_Promo_217)","Trevenant &amp; DusknoirGX")</f>
        <v>Trevenant &amp; DusknoirGX</v>
      </c>
      <c r="C224" s="48" t="s">
        <v>195</v>
      </c>
      <c r="D224" s="48"/>
      <c r="F224" s="5"/>
    </row>
    <row r="225" spans="1:6" ht="13">
      <c r="A225" s="48" t="s">
        <v>6433</v>
      </c>
      <c r="B225" s="58" t="str">
        <f>HYPERLINK("https://bulbapedia.bulbagarden.net/w/index.php?title=Buzzwole_(SM_Promo_218)&amp;action=edit&amp;redlink=1","Buzzwole")</f>
        <v>Buzzwole</v>
      </c>
      <c r="C225" s="48" t="s">
        <v>205</v>
      </c>
      <c r="D225" s="48"/>
      <c r="F225" s="5"/>
    </row>
    <row r="226" spans="1:6" ht="13">
      <c r="A226" s="48" t="s">
        <v>6434</v>
      </c>
      <c r="B226" s="58" t="str">
        <f>HYPERLINK("https://bulbapedia.bulbagarden.net/w/index.php?title=Entei_(SM_Promo_219)&amp;action=edit&amp;redlink=1","Entei")</f>
        <v>Entei</v>
      </c>
      <c r="C226" s="48" t="s">
        <v>199</v>
      </c>
      <c r="D226" s="48"/>
      <c r="F226" s="5"/>
    </row>
    <row r="227" spans="1:6" ht="13">
      <c r="A227" s="48" t="s">
        <v>6435</v>
      </c>
      <c r="B227" s="58" t="str">
        <f>HYPERLINK("https://bulbapedia.bulbagarden.net/w/index.php?title=Phione_(SM_Promo_220)&amp;action=edit&amp;redlink=1","Phione")</f>
        <v>Phione</v>
      </c>
      <c r="C227" s="48" t="s">
        <v>208</v>
      </c>
      <c r="D227" s="48"/>
      <c r="F227" s="5"/>
    </row>
    <row r="228" spans="1:6" ht="13">
      <c r="A228" s="48" t="s">
        <v>6436</v>
      </c>
      <c r="B228" s="58" t="str">
        <f>HYPERLINK("https://bulbapedia.bulbagarden.net/w/index.php?title=Blacephalon_(SM_Promo_221)&amp;action=edit&amp;redlink=1","Blacephalon")</f>
        <v>Blacephalon</v>
      </c>
      <c r="C228" s="48" t="s">
        <v>195</v>
      </c>
      <c r="D228" s="48"/>
      <c r="F228" s="5"/>
    </row>
    <row r="229" spans="1:6" ht="13">
      <c r="A229" s="48" t="s">
        <v>6437</v>
      </c>
      <c r="B229" s="49" t="s">
        <v>3116</v>
      </c>
      <c r="C229" s="48" t="s">
        <v>195</v>
      </c>
      <c r="D229" s="48"/>
      <c r="F229" s="51"/>
    </row>
    <row r="230" spans="1:6" ht="13">
      <c r="A230" s="48" t="s">
        <v>6438</v>
      </c>
      <c r="B230" s="49" t="s">
        <v>4099</v>
      </c>
      <c r="C230" s="48" t="s">
        <v>225</v>
      </c>
      <c r="D230" s="48"/>
      <c r="F230" s="51"/>
    </row>
    <row r="231" spans="1:6" ht="13">
      <c r="A231" s="48" t="s">
        <v>6439</v>
      </c>
      <c r="B231" s="49" t="s">
        <v>234</v>
      </c>
      <c r="C231" s="48" t="s">
        <v>195</v>
      </c>
      <c r="D231" s="48"/>
      <c r="F231" s="51"/>
    </row>
    <row r="232" spans="1:6" ht="13">
      <c r="A232" s="48" t="s">
        <v>6440</v>
      </c>
      <c r="B232" s="49" t="s">
        <v>4053</v>
      </c>
      <c r="C232" s="48" t="s">
        <v>199</v>
      </c>
      <c r="D232" s="48"/>
      <c r="F232" s="51"/>
    </row>
    <row r="233" spans="1:6" ht="13">
      <c r="A233" s="64" t="s">
        <v>6441</v>
      </c>
      <c r="B233" s="118" t="s">
        <v>243</v>
      </c>
      <c r="C233" s="72" t="s">
        <v>199</v>
      </c>
      <c r="D233" s="119"/>
      <c r="F233" s="5"/>
    </row>
    <row r="234" spans="1:6" ht="13">
      <c r="A234" s="64" t="s">
        <v>6442</v>
      </c>
      <c r="B234" s="118" t="s">
        <v>191</v>
      </c>
      <c r="C234" s="72" t="s">
        <v>192</v>
      </c>
      <c r="D234" s="120"/>
      <c r="F234" s="5"/>
    </row>
    <row r="235" spans="1:6" ht="13">
      <c r="A235" s="64" t="s">
        <v>6443</v>
      </c>
      <c r="B235" s="118" t="s">
        <v>6444</v>
      </c>
      <c r="C235" s="48" t="s">
        <v>195</v>
      </c>
      <c r="D235" s="5"/>
      <c r="F235" s="5"/>
    </row>
    <row r="236" spans="1:6" ht="13">
      <c r="A236" s="48" t="s">
        <v>6445</v>
      </c>
      <c r="B236" s="58" t="str">
        <f>HYPERLINK("https://bulbapedia.bulbagarden.net/w/index.php?title=Venusaur_%26_Snivy-GX_(SM_Promo_229)&amp;action=edit&amp;redlink=1","Venusaur &amp; Snivy")</f>
        <v>Venusaur &amp; Snivy</v>
      </c>
      <c r="C236" s="48" t="s">
        <v>205</v>
      </c>
      <c r="D236" s="48"/>
      <c r="F236" s="5"/>
    </row>
    <row r="237" spans="1:6" ht="13">
      <c r="A237" s="48" t="s">
        <v>6446</v>
      </c>
      <c r="B237" s="58" t="str">
        <f>HYPERLINK("https://bulbapedia.bulbagarden.net/w/index.php?title=Charizard_%26_Braixen-GX_(SM_Promo_230)&amp;action=edit&amp;redlink=1","Charizard &amp; Braixen")</f>
        <v>Charizard &amp; Braixen</v>
      </c>
      <c r="C237" s="51" t="s">
        <v>199</v>
      </c>
      <c r="D237" s="48"/>
      <c r="F237" s="5"/>
    </row>
    <row r="238" spans="1:6" ht="13">
      <c r="A238" s="48" t="s">
        <v>6447</v>
      </c>
      <c r="B238" s="58" t="str">
        <f>HYPERLINK("https://bulbapedia.bulbagarden.net/wiki/Champions_Festival_(SM_Promo_231)","Champions Festival")</f>
        <v>Champions Festival</v>
      </c>
      <c r="C238" s="51" t="s">
        <v>229</v>
      </c>
      <c r="D238" s="48"/>
      <c r="F238" s="5"/>
    </row>
    <row r="239" spans="1:6" ht="13">
      <c r="A239" s="48" t="s">
        <v>6448</v>
      </c>
      <c r="B239" s="121" t="str">
        <f>HYPERLINK("https://bulbapedia.bulbagarden.net/w/index.php?title=Pikachu-GX_(SM_Promo_232)&amp;action=edit&amp;redlink=1","PikachuGX")</f>
        <v>PikachuGX</v>
      </c>
      <c r="C239" s="51" t="s">
        <v>192</v>
      </c>
      <c r="D239" s="5"/>
      <c r="F239" s="5"/>
    </row>
    <row r="240" spans="1:6" ht="13">
      <c r="A240" s="48" t="s">
        <v>6449</v>
      </c>
      <c r="B240" s="58" t="str">
        <f>HYPERLINK("https://bulbapedia.bulbagarden.net/wiki/Eevee-GX_(SM_Promo_233)","EeveeGX")</f>
        <v>EeveeGX</v>
      </c>
      <c r="C240" s="51" t="s">
        <v>197</v>
      </c>
      <c r="D240" s="48"/>
      <c r="F240" s="5"/>
    </row>
    <row r="241" spans="1:6" ht="13">
      <c r="A241" s="64" t="s">
        <v>6450</v>
      </c>
      <c r="B241" s="118" t="s">
        <v>191</v>
      </c>
      <c r="C241" s="72" t="s">
        <v>192</v>
      </c>
      <c r="D241" s="120"/>
      <c r="F241" s="5"/>
    </row>
    <row r="242" spans="1:6" ht="13">
      <c r="A242" s="64" t="s">
        <v>6451</v>
      </c>
      <c r="B242" s="118" t="s">
        <v>203</v>
      </c>
      <c r="C242" s="48" t="s">
        <v>197</v>
      </c>
      <c r="D242" s="5"/>
      <c r="F242" s="5"/>
    </row>
    <row r="243" spans="1:6" ht="13">
      <c r="A243" s="64" t="s">
        <v>6452</v>
      </c>
      <c r="B243" s="122" t="str">
        <f>HYPERLINK("https://bulbapedia.bulbagarden.net/wiki/Alolan_Sandslash-GX_(SM_Promo_236)","Alolan SandslashGX")</f>
        <v>Alolan SandslashGX</v>
      </c>
      <c r="C243" s="48" t="s">
        <v>208</v>
      </c>
      <c r="D243" s="5"/>
      <c r="F243" s="5"/>
    </row>
    <row r="244" spans="1:6" ht="13">
      <c r="A244" s="51" t="s">
        <v>6453</v>
      </c>
      <c r="B244" s="60" t="s">
        <v>3354</v>
      </c>
      <c r="C244" s="51" t="s">
        <v>205</v>
      </c>
      <c r="F244" s="5"/>
    </row>
    <row r="245" spans="1:6" ht="13">
      <c r="A245" s="51" t="s">
        <v>6454</v>
      </c>
      <c r="B245" s="60" t="s">
        <v>3353</v>
      </c>
      <c r="C245" s="51" t="s">
        <v>208</v>
      </c>
      <c r="F245" s="5"/>
    </row>
    <row r="246" spans="1:6" ht="13">
      <c r="A246" s="51" t="s">
        <v>6455</v>
      </c>
      <c r="B246" s="61" t="s">
        <v>6456</v>
      </c>
      <c r="C246" s="51" t="s">
        <v>225</v>
      </c>
      <c r="F246" s="5"/>
    </row>
    <row r="247" spans="1:6" ht="13">
      <c r="A247" s="51" t="s">
        <v>6457</v>
      </c>
      <c r="B247" s="61" t="s">
        <v>6458</v>
      </c>
      <c r="C247" s="51" t="s">
        <v>195</v>
      </c>
      <c r="F247" s="5"/>
    </row>
    <row r="248" spans="1:6" ht="13">
      <c r="A248" s="51" t="s">
        <v>6459</v>
      </c>
      <c r="B248" s="61" t="s">
        <v>6460</v>
      </c>
      <c r="C248" s="51" t="s">
        <v>808</v>
      </c>
      <c r="F248" s="5"/>
    </row>
    <row r="249" spans="1:6" ht="13">
      <c r="A249" s="51" t="s">
        <v>6461</v>
      </c>
      <c r="B249" s="61" t="s">
        <v>6462</v>
      </c>
      <c r="C249" s="51" t="s">
        <v>197</v>
      </c>
      <c r="F249" s="5"/>
    </row>
    <row r="250" spans="1:6" ht="13">
      <c r="A250" s="51" t="s">
        <v>6463</v>
      </c>
      <c r="B250" s="60" t="s">
        <v>3089</v>
      </c>
      <c r="C250" s="51" t="s">
        <v>197</v>
      </c>
      <c r="F250" s="5"/>
    </row>
    <row r="251" spans="1:6" ht="13">
      <c r="A251" s="51" t="s">
        <v>6464</v>
      </c>
      <c r="B251" s="60" t="s">
        <v>812</v>
      </c>
      <c r="C251" s="48" t="s">
        <v>197</v>
      </c>
      <c r="D251" s="51"/>
      <c r="F251" s="5"/>
    </row>
    <row r="252" spans="1:6" ht="13">
      <c r="B252" s="36"/>
      <c r="C252" s="47"/>
      <c r="D252" s="5"/>
      <c r="F252" s="5"/>
    </row>
    <row r="253" spans="1:6" ht="13">
      <c r="B253" s="36"/>
      <c r="C253" s="47"/>
      <c r="D253" s="5"/>
      <c r="F253" s="5"/>
    </row>
    <row r="254" spans="1:6" ht="13">
      <c r="B254" s="36"/>
      <c r="C254" s="47"/>
      <c r="D254" s="5"/>
      <c r="F254" s="5"/>
    </row>
    <row r="255" spans="1:6" ht="13">
      <c r="B255" s="36"/>
      <c r="C255" s="47"/>
      <c r="D255" s="5"/>
      <c r="F255" s="5"/>
    </row>
    <row r="256" spans="1:6" ht="13">
      <c r="B256" s="36"/>
      <c r="C256" s="47"/>
      <c r="D256" s="5"/>
      <c r="F256" s="5"/>
    </row>
    <row r="257" spans="2:6" ht="13">
      <c r="B257" s="36"/>
      <c r="C257" s="47"/>
      <c r="D257" s="5"/>
      <c r="F257" s="5"/>
    </row>
    <row r="258" spans="2:6" ht="13">
      <c r="B258" s="36"/>
      <c r="C258" s="47"/>
      <c r="D258" s="5"/>
      <c r="F258" s="5"/>
    </row>
    <row r="259" spans="2:6" ht="13">
      <c r="B259" s="36"/>
      <c r="C259" s="47"/>
      <c r="D259" s="5"/>
      <c r="F259" s="5"/>
    </row>
    <row r="260" spans="2:6" ht="13">
      <c r="B260" s="36"/>
      <c r="C260" s="47"/>
      <c r="D260" s="5"/>
      <c r="F260" s="5"/>
    </row>
    <row r="261" spans="2:6" ht="13">
      <c r="B261" s="36"/>
      <c r="C261" s="47"/>
      <c r="D261" s="5"/>
      <c r="F261" s="5"/>
    </row>
    <row r="262" spans="2:6" ht="13">
      <c r="B262" s="36"/>
      <c r="C262" s="47"/>
      <c r="D262" s="5"/>
      <c r="F262" s="5"/>
    </row>
    <row r="263" spans="2:6" ht="13">
      <c r="B263" s="36"/>
      <c r="C263" s="47"/>
      <c r="D263" s="5"/>
      <c r="F263" s="5"/>
    </row>
    <row r="264" spans="2:6" ht="13">
      <c r="B264" s="36"/>
      <c r="C264" s="47"/>
      <c r="D264" s="5"/>
      <c r="F264" s="5"/>
    </row>
    <row r="265" spans="2:6" ht="13">
      <c r="B265" s="36"/>
      <c r="C265" s="47"/>
      <c r="D265" s="5"/>
      <c r="F265" s="5"/>
    </row>
    <row r="266" spans="2:6" ht="13">
      <c r="B266" s="36"/>
      <c r="C266" s="47"/>
      <c r="D266" s="5"/>
      <c r="F266" s="5"/>
    </row>
    <row r="267" spans="2:6" ht="13">
      <c r="B267" s="36"/>
      <c r="C267" s="47"/>
      <c r="D267" s="5"/>
      <c r="F267" s="5"/>
    </row>
    <row r="268" spans="2:6" ht="13">
      <c r="B268" s="36"/>
      <c r="C268" s="47"/>
      <c r="D268" s="5"/>
      <c r="F268" s="5"/>
    </row>
    <row r="269" spans="2:6" ht="13">
      <c r="B269" s="36"/>
      <c r="C269" s="47"/>
      <c r="D269" s="5"/>
      <c r="F269" s="5"/>
    </row>
    <row r="270" spans="2:6" ht="13">
      <c r="B270" s="36"/>
      <c r="C270" s="47"/>
      <c r="D270" s="5"/>
      <c r="F270" s="5"/>
    </row>
    <row r="271" spans="2:6" ht="13">
      <c r="B271" s="36"/>
      <c r="C271" s="47"/>
      <c r="D271" s="5"/>
      <c r="F271" s="5"/>
    </row>
    <row r="272" spans="2:6" ht="13">
      <c r="B272" s="36"/>
      <c r="C272" s="47"/>
      <c r="D272" s="5"/>
      <c r="F272" s="5"/>
    </row>
    <row r="273" spans="2:6" ht="13">
      <c r="B273" s="36"/>
      <c r="C273" s="47"/>
      <c r="D273" s="5"/>
      <c r="F273" s="5"/>
    </row>
    <row r="274" spans="2:6" ht="13">
      <c r="B274" s="36"/>
      <c r="C274" s="47"/>
      <c r="D274" s="5"/>
      <c r="F274" s="5"/>
    </row>
    <row r="275" spans="2:6" ht="13">
      <c r="B275" s="36"/>
      <c r="C275" s="47"/>
      <c r="D275" s="5"/>
      <c r="F275" s="5"/>
    </row>
    <row r="276" spans="2:6" ht="13">
      <c r="B276" s="36"/>
      <c r="C276" s="47"/>
      <c r="D276" s="5"/>
      <c r="F276" s="5"/>
    </row>
    <row r="277" spans="2:6" ht="13">
      <c r="B277" s="36"/>
      <c r="C277" s="47"/>
      <c r="D277" s="5"/>
      <c r="F277" s="5"/>
    </row>
    <row r="278" spans="2:6" ht="13">
      <c r="B278" s="36"/>
      <c r="C278" s="47"/>
      <c r="D278" s="5"/>
      <c r="F278" s="5"/>
    </row>
    <row r="279" spans="2:6" ht="13">
      <c r="B279" s="36"/>
      <c r="C279" s="47"/>
      <c r="D279" s="5"/>
      <c r="F279" s="5"/>
    </row>
    <row r="280" spans="2:6" ht="13">
      <c r="B280" s="36"/>
      <c r="C280" s="47"/>
      <c r="D280" s="5"/>
      <c r="F280" s="5"/>
    </row>
    <row r="281" spans="2:6" ht="13">
      <c r="B281" s="36"/>
      <c r="C281" s="47"/>
      <c r="D281" s="5"/>
      <c r="F281" s="5"/>
    </row>
    <row r="282" spans="2:6" ht="13">
      <c r="B282" s="36"/>
      <c r="C282" s="47"/>
      <c r="D282" s="5"/>
      <c r="F282" s="5"/>
    </row>
    <row r="283" spans="2:6" ht="13">
      <c r="B283" s="36"/>
      <c r="C283" s="47"/>
      <c r="D283" s="5"/>
      <c r="F283" s="5"/>
    </row>
    <row r="284" spans="2:6" ht="13">
      <c r="B284" s="36"/>
      <c r="C284" s="47"/>
      <c r="D284" s="5"/>
      <c r="F284" s="5"/>
    </row>
    <row r="285" spans="2:6" ht="13">
      <c r="B285" s="36"/>
      <c r="C285" s="47"/>
      <c r="D285" s="5"/>
      <c r="F285" s="5"/>
    </row>
    <row r="286" spans="2:6" ht="13">
      <c r="B286" s="36"/>
      <c r="C286" s="47"/>
      <c r="D286" s="5"/>
      <c r="F286" s="5"/>
    </row>
    <row r="287" spans="2:6" ht="13">
      <c r="B287" s="36"/>
      <c r="C287" s="47"/>
      <c r="D287" s="5"/>
      <c r="F287" s="5"/>
    </row>
    <row r="288" spans="2:6" ht="13">
      <c r="B288" s="36"/>
      <c r="C288" s="47"/>
      <c r="D288" s="5"/>
      <c r="F288" s="5"/>
    </row>
    <row r="289" spans="2:6" ht="13">
      <c r="B289" s="36"/>
      <c r="C289" s="47"/>
      <c r="D289" s="5"/>
      <c r="F289" s="5"/>
    </row>
    <row r="290" spans="2:6" ht="13">
      <c r="B290" s="36"/>
      <c r="C290" s="47"/>
      <c r="D290" s="5"/>
      <c r="F290" s="5"/>
    </row>
    <row r="291" spans="2:6" ht="13">
      <c r="B291" s="36"/>
      <c r="C291" s="47"/>
      <c r="D291" s="5"/>
      <c r="F291" s="5"/>
    </row>
    <row r="292" spans="2:6" ht="13">
      <c r="B292" s="36"/>
      <c r="C292" s="47"/>
      <c r="D292" s="5"/>
      <c r="F292" s="5"/>
    </row>
    <row r="293" spans="2:6" ht="13">
      <c r="B293" s="36"/>
      <c r="C293" s="47"/>
      <c r="D293" s="5"/>
      <c r="F293" s="5"/>
    </row>
    <row r="294" spans="2:6" ht="13">
      <c r="B294" s="36"/>
      <c r="C294" s="47"/>
      <c r="D294" s="5"/>
      <c r="F294" s="5"/>
    </row>
    <row r="295" spans="2:6" ht="13">
      <c r="B295" s="36"/>
      <c r="C295" s="47"/>
      <c r="D295" s="5"/>
      <c r="F295" s="5"/>
    </row>
    <row r="296" spans="2:6" ht="13">
      <c r="B296" s="36"/>
      <c r="C296" s="47"/>
      <c r="D296" s="5"/>
      <c r="F296" s="5"/>
    </row>
    <row r="297" spans="2:6" ht="13">
      <c r="B297" s="36"/>
      <c r="C297" s="47"/>
      <c r="D297" s="5"/>
      <c r="F297" s="5"/>
    </row>
    <row r="298" spans="2:6" ht="13">
      <c r="B298" s="36"/>
      <c r="C298" s="47"/>
      <c r="D298" s="5"/>
      <c r="F298" s="5"/>
    </row>
    <row r="299" spans="2:6" ht="13">
      <c r="B299" s="36"/>
      <c r="C299" s="47"/>
      <c r="D299" s="5"/>
      <c r="F299" s="5"/>
    </row>
    <row r="300" spans="2:6" ht="13">
      <c r="B300" s="36"/>
      <c r="C300" s="47"/>
      <c r="D300" s="5"/>
      <c r="F300" s="5"/>
    </row>
    <row r="301" spans="2:6" ht="13">
      <c r="B301" s="36"/>
      <c r="C301" s="47"/>
      <c r="D301" s="5"/>
      <c r="F301" s="5"/>
    </row>
    <row r="302" spans="2:6" ht="13">
      <c r="B302" s="36"/>
      <c r="C302" s="47"/>
      <c r="D302" s="5"/>
      <c r="F302" s="5"/>
    </row>
    <row r="303" spans="2:6" ht="13">
      <c r="B303" s="36"/>
      <c r="C303" s="47"/>
      <c r="D303" s="5"/>
      <c r="F303" s="5"/>
    </row>
    <row r="304" spans="2:6" ht="13">
      <c r="B304" s="36"/>
      <c r="C304" s="47"/>
      <c r="D304" s="5"/>
      <c r="F304" s="5"/>
    </row>
    <row r="305" spans="2:6" ht="13">
      <c r="B305" s="36"/>
      <c r="C305" s="47"/>
      <c r="D305" s="5"/>
      <c r="F305" s="5"/>
    </row>
    <row r="306" spans="2:6" ht="13">
      <c r="B306" s="36"/>
      <c r="C306" s="47"/>
      <c r="D306" s="5"/>
      <c r="F306" s="5"/>
    </row>
    <row r="307" spans="2:6" ht="13">
      <c r="B307" s="36"/>
      <c r="C307" s="47"/>
      <c r="D307" s="5"/>
      <c r="F307" s="5"/>
    </row>
    <row r="308" spans="2:6" ht="13">
      <c r="B308" s="36"/>
      <c r="C308" s="47"/>
      <c r="D308" s="5"/>
      <c r="F308" s="5"/>
    </row>
    <row r="309" spans="2:6" ht="13">
      <c r="B309" s="36"/>
      <c r="C309" s="47"/>
      <c r="D309" s="5"/>
      <c r="F309" s="5"/>
    </row>
    <row r="310" spans="2:6" ht="13">
      <c r="B310" s="36"/>
      <c r="C310" s="47"/>
      <c r="D310" s="5"/>
      <c r="F310" s="5"/>
    </row>
    <row r="311" spans="2:6" ht="13">
      <c r="B311" s="36"/>
      <c r="C311" s="47"/>
      <c r="D311" s="5"/>
      <c r="F311" s="5"/>
    </row>
    <row r="312" spans="2:6" ht="13">
      <c r="B312" s="36"/>
      <c r="C312" s="47"/>
      <c r="D312" s="5"/>
      <c r="F312" s="5"/>
    </row>
    <row r="313" spans="2:6" ht="13">
      <c r="B313" s="36"/>
      <c r="C313" s="47"/>
      <c r="D313" s="5"/>
      <c r="F313" s="5"/>
    </row>
    <row r="314" spans="2:6" ht="13">
      <c r="B314" s="36"/>
      <c r="C314" s="47"/>
      <c r="D314" s="5"/>
      <c r="F314" s="5"/>
    </row>
    <row r="315" spans="2:6" ht="13">
      <c r="B315" s="36"/>
      <c r="C315" s="47"/>
      <c r="D315" s="5"/>
      <c r="F315" s="5"/>
    </row>
    <row r="316" spans="2:6" ht="13">
      <c r="B316" s="36"/>
      <c r="C316" s="47"/>
      <c r="D316" s="5"/>
      <c r="F316" s="5"/>
    </row>
    <row r="317" spans="2:6" ht="13">
      <c r="B317" s="36"/>
      <c r="C317" s="47"/>
      <c r="D317" s="5"/>
      <c r="F317" s="5"/>
    </row>
    <row r="318" spans="2:6" ht="13">
      <c r="B318" s="36"/>
      <c r="C318" s="47"/>
      <c r="D318" s="5"/>
      <c r="F318" s="5"/>
    </row>
    <row r="319" spans="2:6" ht="13">
      <c r="B319" s="36"/>
      <c r="C319" s="47"/>
      <c r="D319" s="5"/>
      <c r="F319" s="5"/>
    </row>
    <row r="320" spans="2:6" ht="13">
      <c r="B320" s="36"/>
      <c r="C320" s="47"/>
      <c r="D320" s="5"/>
      <c r="F320" s="5"/>
    </row>
    <row r="321" spans="2:6" ht="13">
      <c r="B321" s="36"/>
      <c r="C321" s="47"/>
      <c r="D321" s="5"/>
      <c r="F321" s="5"/>
    </row>
    <row r="322" spans="2:6" ht="13">
      <c r="B322" s="36"/>
      <c r="C322" s="47"/>
      <c r="D322" s="5"/>
      <c r="F322" s="5"/>
    </row>
    <row r="323" spans="2:6" ht="13">
      <c r="B323" s="36"/>
      <c r="C323" s="47"/>
      <c r="D323" s="5"/>
      <c r="F323" s="5"/>
    </row>
    <row r="324" spans="2:6" ht="13">
      <c r="B324" s="36"/>
      <c r="C324" s="47"/>
      <c r="D324" s="5"/>
      <c r="F324" s="5"/>
    </row>
    <row r="325" spans="2:6" ht="13">
      <c r="B325" s="36"/>
      <c r="C325" s="47"/>
      <c r="D325" s="5"/>
      <c r="F325" s="5"/>
    </row>
    <row r="326" spans="2:6" ht="13">
      <c r="B326" s="36"/>
      <c r="C326" s="47"/>
      <c r="D326" s="5"/>
      <c r="F326" s="5"/>
    </row>
    <row r="327" spans="2:6" ht="13">
      <c r="B327" s="36"/>
      <c r="C327" s="47"/>
      <c r="D327" s="5"/>
      <c r="F327" s="5"/>
    </row>
    <row r="328" spans="2:6" ht="13">
      <c r="B328" s="36"/>
      <c r="C328" s="47"/>
      <c r="D328" s="5"/>
      <c r="F328" s="5"/>
    </row>
    <row r="329" spans="2:6" ht="13">
      <c r="B329" s="36"/>
      <c r="C329" s="47"/>
      <c r="D329" s="5"/>
      <c r="F329" s="5"/>
    </row>
    <row r="330" spans="2:6" ht="13">
      <c r="B330" s="36"/>
      <c r="C330" s="47"/>
      <c r="D330" s="5"/>
      <c r="F330" s="5"/>
    </row>
    <row r="331" spans="2:6" ht="13">
      <c r="B331" s="36"/>
      <c r="C331" s="47"/>
      <c r="D331" s="5"/>
      <c r="F331" s="5"/>
    </row>
    <row r="332" spans="2:6" ht="13">
      <c r="B332" s="36"/>
      <c r="C332" s="47"/>
      <c r="D332" s="5"/>
      <c r="F332" s="5"/>
    </row>
    <row r="333" spans="2:6" ht="13">
      <c r="B333" s="36"/>
      <c r="C333" s="47"/>
      <c r="D333" s="5"/>
      <c r="F333" s="5"/>
    </row>
    <row r="334" spans="2:6" ht="13">
      <c r="B334" s="36"/>
      <c r="C334" s="47"/>
      <c r="D334" s="5"/>
      <c r="F334" s="5"/>
    </row>
    <row r="335" spans="2:6" ht="13">
      <c r="B335" s="36"/>
      <c r="C335" s="47"/>
      <c r="D335" s="5"/>
      <c r="F335" s="5"/>
    </row>
    <row r="336" spans="2:6" ht="13">
      <c r="B336" s="36"/>
      <c r="C336" s="47"/>
      <c r="D336" s="5"/>
      <c r="F336" s="5"/>
    </row>
    <row r="337" spans="2:6" ht="13">
      <c r="B337" s="36"/>
      <c r="C337" s="47"/>
      <c r="D337" s="5"/>
      <c r="F337" s="5"/>
    </row>
    <row r="338" spans="2:6" ht="13">
      <c r="B338" s="36"/>
      <c r="C338" s="47"/>
      <c r="D338" s="5"/>
      <c r="F338" s="5"/>
    </row>
    <row r="339" spans="2:6" ht="13">
      <c r="B339" s="36"/>
      <c r="C339" s="47"/>
      <c r="D339" s="5"/>
      <c r="F339" s="5"/>
    </row>
    <row r="340" spans="2:6" ht="13">
      <c r="B340" s="36"/>
      <c r="C340" s="47"/>
      <c r="D340" s="5"/>
      <c r="F340" s="5"/>
    </row>
    <row r="341" spans="2:6" ht="13">
      <c r="B341" s="36"/>
      <c r="C341" s="47"/>
      <c r="D341" s="5"/>
      <c r="F341" s="5"/>
    </row>
    <row r="342" spans="2:6" ht="13">
      <c r="B342" s="36"/>
      <c r="C342" s="47"/>
      <c r="D342" s="5"/>
      <c r="F342" s="5"/>
    </row>
    <row r="343" spans="2:6" ht="13">
      <c r="B343" s="36"/>
      <c r="C343" s="47"/>
      <c r="D343" s="5"/>
      <c r="F343" s="5"/>
    </row>
    <row r="344" spans="2:6" ht="13">
      <c r="B344" s="36"/>
      <c r="C344" s="47"/>
      <c r="D344" s="5"/>
      <c r="F344" s="5"/>
    </row>
    <row r="345" spans="2:6" ht="13">
      <c r="B345" s="36"/>
      <c r="C345" s="47"/>
      <c r="D345" s="5"/>
      <c r="F345" s="5"/>
    </row>
    <row r="346" spans="2:6" ht="13">
      <c r="B346" s="36"/>
      <c r="C346" s="47"/>
      <c r="D346" s="5"/>
      <c r="F346" s="5"/>
    </row>
    <row r="347" spans="2:6" ht="13">
      <c r="B347" s="36"/>
      <c r="C347" s="47"/>
      <c r="D347" s="5"/>
      <c r="F347" s="5"/>
    </row>
    <row r="348" spans="2:6" ht="13">
      <c r="B348" s="36"/>
      <c r="C348" s="47"/>
      <c r="D348" s="5"/>
      <c r="F348" s="5"/>
    </row>
    <row r="349" spans="2:6" ht="13">
      <c r="B349" s="36"/>
      <c r="C349" s="47"/>
      <c r="D349" s="5"/>
      <c r="F349" s="5"/>
    </row>
    <row r="350" spans="2:6" ht="13">
      <c r="B350" s="36"/>
      <c r="C350" s="47"/>
      <c r="D350" s="5"/>
      <c r="F350" s="5"/>
    </row>
    <row r="351" spans="2:6" ht="13">
      <c r="B351" s="36"/>
      <c r="C351" s="47"/>
      <c r="D351" s="5"/>
      <c r="F351" s="5"/>
    </row>
    <row r="352" spans="2:6" ht="13">
      <c r="B352" s="36"/>
      <c r="C352" s="47"/>
      <c r="D352" s="5"/>
      <c r="F352" s="5"/>
    </row>
    <row r="353" spans="2:6" ht="13">
      <c r="B353" s="36"/>
      <c r="C353" s="47"/>
      <c r="D353" s="5"/>
      <c r="F353" s="5"/>
    </row>
    <row r="354" spans="2:6" ht="13">
      <c r="B354" s="36"/>
      <c r="C354" s="47"/>
      <c r="D354" s="5"/>
      <c r="F354" s="5"/>
    </row>
    <row r="355" spans="2:6" ht="13">
      <c r="B355" s="36"/>
      <c r="C355" s="47"/>
      <c r="D355" s="5"/>
      <c r="F355" s="5"/>
    </row>
    <row r="356" spans="2:6" ht="13">
      <c r="B356" s="36"/>
      <c r="C356" s="47"/>
      <c r="D356" s="5"/>
      <c r="F356" s="5"/>
    </row>
    <row r="357" spans="2:6" ht="13">
      <c r="B357" s="36"/>
      <c r="C357" s="47"/>
      <c r="D357" s="5"/>
      <c r="F357" s="5"/>
    </row>
    <row r="358" spans="2:6" ht="13">
      <c r="B358" s="36"/>
      <c r="C358" s="47"/>
      <c r="D358" s="5"/>
      <c r="F358" s="5"/>
    </row>
    <row r="359" spans="2:6" ht="13">
      <c r="B359" s="36"/>
      <c r="C359" s="47"/>
      <c r="D359" s="5"/>
      <c r="F359" s="5"/>
    </row>
    <row r="360" spans="2:6" ht="13">
      <c r="B360" s="36"/>
      <c r="C360" s="47"/>
      <c r="D360" s="5"/>
      <c r="F360" s="5"/>
    </row>
    <row r="361" spans="2:6" ht="13">
      <c r="B361" s="36"/>
      <c r="C361" s="47"/>
      <c r="D361" s="5"/>
      <c r="F361" s="5"/>
    </row>
    <row r="362" spans="2:6" ht="13">
      <c r="B362" s="36"/>
      <c r="C362" s="47"/>
      <c r="D362" s="5"/>
      <c r="F362" s="5"/>
    </row>
    <row r="363" spans="2:6" ht="13">
      <c r="B363" s="36"/>
      <c r="C363" s="47"/>
      <c r="D363" s="5"/>
      <c r="F363" s="5"/>
    </row>
    <row r="364" spans="2:6" ht="13">
      <c r="B364" s="36"/>
      <c r="C364" s="47"/>
      <c r="D364" s="5"/>
      <c r="F364" s="5"/>
    </row>
    <row r="365" spans="2:6" ht="13">
      <c r="B365" s="36"/>
      <c r="C365" s="47"/>
      <c r="D365" s="5"/>
      <c r="F365" s="5"/>
    </row>
    <row r="366" spans="2:6" ht="13">
      <c r="B366" s="36"/>
      <c r="C366" s="47"/>
      <c r="D366" s="5"/>
      <c r="F366" s="5"/>
    </row>
    <row r="367" spans="2:6" ht="13">
      <c r="B367" s="36"/>
      <c r="C367" s="47"/>
      <c r="D367" s="5"/>
      <c r="F367" s="5"/>
    </row>
    <row r="368" spans="2:6" ht="13">
      <c r="B368" s="36"/>
      <c r="C368" s="47"/>
      <c r="D368" s="5"/>
      <c r="F368" s="5"/>
    </row>
    <row r="369" spans="2:6" ht="13">
      <c r="B369" s="36"/>
      <c r="C369" s="47"/>
      <c r="D369" s="5"/>
      <c r="F369" s="5"/>
    </row>
    <row r="370" spans="2:6" ht="13">
      <c r="B370" s="36"/>
      <c r="C370" s="47"/>
      <c r="D370" s="5"/>
      <c r="F370" s="5"/>
    </row>
    <row r="371" spans="2:6" ht="13">
      <c r="B371" s="36"/>
      <c r="C371" s="47"/>
      <c r="D371" s="5"/>
      <c r="F371" s="5"/>
    </row>
    <row r="372" spans="2:6" ht="13">
      <c r="B372" s="36"/>
      <c r="C372" s="47"/>
      <c r="D372" s="5"/>
      <c r="F372" s="5"/>
    </row>
    <row r="373" spans="2:6" ht="13">
      <c r="B373" s="36"/>
      <c r="C373" s="47"/>
      <c r="D373" s="5"/>
      <c r="F373" s="5"/>
    </row>
    <row r="374" spans="2:6" ht="13">
      <c r="B374" s="36"/>
      <c r="C374" s="47"/>
      <c r="D374" s="5"/>
      <c r="F374" s="5"/>
    </row>
    <row r="375" spans="2:6" ht="13">
      <c r="B375" s="36"/>
      <c r="C375" s="47"/>
      <c r="D375" s="5"/>
      <c r="F375" s="5"/>
    </row>
    <row r="376" spans="2:6" ht="13">
      <c r="B376" s="36"/>
      <c r="C376" s="47"/>
      <c r="D376" s="5"/>
      <c r="F376" s="5"/>
    </row>
    <row r="377" spans="2:6" ht="13">
      <c r="B377" s="36"/>
      <c r="C377" s="47"/>
      <c r="D377" s="5"/>
      <c r="F377" s="5"/>
    </row>
    <row r="378" spans="2:6" ht="13">
      <c r="B378" s="36"/>
      <c r="C378" s="47"/>
      <c r="D378" s="5"/>
      <c r="F378" s="5"/>
    </row>
    <row r="379" spans="2:6" ht="13">
      <c r="B379" s="36"/>
      <c r="C379" s="47"/>
      <c r="D379" s="5"/>
      <c r="F379" s="5"/>
    </row>
    <row r="380" spans="2:6" ht="13">
      <c r="B380" s="36"/>
      <c r="C380" s="47"/>
      <c r="D380" s="5"/>
      <c r="F380" s="5"/>
    </row>
    <row r="381" spans="2:6" ht="13">
      <c r="B381" s="36"/>
      <c r="C381" s="47"/>
      <c r="D381" s="5"/>
      <c r="F381" s="5"/>
    </row>
    <row r="382" spans="2:6" ht="13">
      <c r="B382" s="36"/>
      <c r="C382" s="47"/>
      <c r="D382" s="5"/>
      <c r="F382" s="5"/>
    </row>
    <row r="383" spans="2:6" ht="13">
      <c r="B383" s="36"/>
      <c r="C383" s="47"/>
      <c r="D383" s="5"/>
      <c r="F383" s="5"/>
    </row>
    <row r="384" spans="2:6" ht="13">
      <c r="B384" s="36"/>
      <c r="C384" s="47"/>
      <c r="D384" s="5"/>
      <c r="F384" s="5"/>
    </row>
    <row r="385" spans="2:6" ht="13">
      <c r="B385" s="36"/>
      <c r="C385" s="47"/>
      <c r="D385" s="5"/>
      <c r="F385" s="5"/>
    </row>
    <row r="386" spans="2:6" ht="13">
      <c r="B386" s="36"/>
      <c r="C386" s="47"/>
      <c r="D386" s="5"/>
      <c r="F386" s="5"/>
    </row>
    <row r="387" spans="2:6" ht="13">
      <c r="B387" s="36"/>
      <c r="C387" s="47"/>
      <c r="D387" s="5"/>
      <c r="F387" s="5"/>
    </row>
    <row r="388" spans="2:6" ht="13">
      <c r="B388" s="36"/>
      <c r="C388" s="47"/>
      <c r="D388" s="5"/>
      <c r="F388" s="5"/>
    </row>
    <row r="389" spans="2:6" ht="13">
      <c r="B389" s="36"/>
      <c r="C389" s="47"/>
      <c r="D389" s="5"/>
      <c r="F389" s="5"/>
    </row>
    <row r="390" spans="2:6" ht="13">
      <c r="B390" s="36"/>
      <c r="C390" s="47"/>
      <c r="D390" s="5"/>
      <c r="F390" s="5"/>
    </row>
    <row r="391" spans="2:6" ht="13">
      <c r="B391" s="36"/>
      <c r="C391" s="47"/>
      <c r="D391" s="5"/>
      <c r="F391" s="5"/>
    </row>
    <row r="392" spans="2:6" ht="13">
      <c r="B392" s="36"/>
      <c r="C392" s="47"/>
      <c r="D392" s="5"/>
      <c r="F392" s="5"/>
    </row>
    <row r="393" spans="2:6" ht="13">
      <c r="B393" s="36"/>
      <c r="C393" s="47"/>
      <c r="D393" s="5"/>
      <c r="F393" s="5"/>
    </row>
    <row r="394" spans="2:6" ht="13">
      <c r="B394" s="36"/>
      <c r="C394" s="47"/>
      <c r="D394" s="5"/>
      <c r="F394" s="5"/>
    </row>
    <row r="395" spans="2:6" ht="13">
      <c r="B395" s="36"/>
      <c r="C395" s="47"/>
      <c r="D395" s="5"/>
      <c r="F395" s="5"/>
    </row>
    <row r="396" spans="2:6" ht="13">
      <c r="B396" s="36"/>
      <c r="C396" s="47"/>
      <c r="D396" s="5"/>
      <c r="F396" s="5"/>
    </row>
    <row r="397" spans="2:6" ht="13">
      <c r="B397" s="36"/>
      <c r="C397" s="47"/>
      <c r="D397" s="5"/>
      <c r="F397" s="5"/>
    </row>
    <row r="398" spans="2:6" ht="13">
      <c r="B398" s="36"/>
      <c r="C398" s="47"/>
      <c r="D398" s="5"/>
      <c r="F398" s="5"/>
    </row>
    <row r="399" spans="2:6" ht="13">
      <c r="B399" s="36"/>
      <c r="C399" s="47"/>
      <c r="D399" s="5"/>
      <c r="F399" s="5"/>
    </row>
    <row r="400" spans="2:6" ht="13">
      <c r="B400" s="36"/>
      <c r="C400" s="47"/>
      <c r="D400" s="5"/>
      <c r="F400" s="5"/>
    </row>
    <row r="401" spans="2:6" ht="13">
      <c r="B401" s="36"/>
      <c r="C401" s="47"/>
      <c r="D401" s="5"/>
      <c r="F401" s="5"/>
    </row>
    <row r="402" spans="2:6" ht="13">
      <c r="B402" s="36"/>
      <c r="C402" s="47"/>
      <c r="D402" s="5"/>
      <c r="F402" s="5"/>
    </row>
    <row r="403" spans="2:6" ht="13">
      <c r="B403" s="36"/>
      <c r="C403" s="47"/>
      <c r="D403" s="5"/>
      <c r="F403" s="5"/>
    </row>
    <row r="404" spans="2:6" ht="13">
      <c r="B404" s="36"/>
      <c r="C404" s="47"/>
      <c r="D404" s="5"/>
      <c r="F404" s="5"/>
    </row>
    <row r="405" spans="2:6" ht="13">
      <c r="B405" s="36"/>
      <c r="C405" s="47"/>
      <c r="D405" s="5"/>
      <c r="F405" s="5"/>
    </row>
    <row r="406" spans="2:6" ht="13">
      <c r="B406" s="36"/>
      <c r="C406" s="47"/>
      <c r="D406" s="5"/>
      <c r="F406" s="5"/>
    </row>
    <row r="407" spans="2:6" ht="13">
      <c r="B407" s="36"/>
      <c r="C407" s="47"/>
      <c r="D407" s="5"/>
      <c r="F407" s="5"/>
    </row>
    <row r="408" spans="2:6" ht="13">
      <c r="B408" s="36"/>
      <c r="C408" s="47"/>
      <c r="D408" s="5"/>
      <c r="F408" s="5"/>
    </row>
    <row r="409" spans="2:6" ht="13">
      <c r="B409" s="36"/>
      <c r="C409" s="47"/>
      <c r="D409" s="5"/>
      <c r="F409" s="5"/>
    </row>
    <row r="410" spans="2:6" ht="13">
      <c r="B410" s="36"/>
      <c r="C410" s="47"/>
      <c r="D410" s="5"/>
      <c r="F410" s="5"/>
    </row>
    <row r="411" spans="2:6" ht="13">
      <c r="B411" s="36"/>
      <c r="C411" s="47"/>
      <c r="D411" s="5"/>
      <c r="F411" s="5"/>
    </row>
    <row r="412" spans="2:6" ht="13">
      <c r="B412" s="36"/>
      <c r="C412" s="47"/>
      <c r="D412" s="5"/>
      <c r="F412" s="5"/>
    </row>
    <row r="413" spans="2:6" ht="13">
      <c r="B413" s="36"/>
      <c r="C413" s="47"/>
      <c r="D413" s="5"/>
      <c r="F413" s="5"/>
    </row>
    <row r="414" spans="2:6" ht="13">
      <c r="B414" s="36"/>
      <c r="C414" s="47"/>
      <c r="D414" s="5"/>
      <c r="F414" s="5"/>
    </row>
    <row r="415" spans="2:6" ht="13">
      <c r="B415" s="36"/>
      <c r="C415" s="47"/>
      <c r="D415" s="5"/>
      <c r="F415" s="5"/>
    </row>
    <row r="416" spans="2:6" ht="13">
      <c r="B416" s="36"/>
      <c r="C416" s="47"/>
      <c r="D416" s="5"/>
      <c r="F416" s="5"/>
    </row>
    <row r="417" spans="2:6" ht="13">
      <c r="B417" s="36"/>
      <c r="C417" s="47"/>
      <c r="D417" s="5"/>
      <c r="F417" s="5"/>
    </row>
    <row r="418" spans="2:6" ht="13">
      <c r="B418" s="36"/>
      <c r="C418" s="47"/>
      <c r="D418" s="5"/>
      <c r="F418" s="5"/>
    </row>
    <row r="419" spans="2:6" ht="13">
      <c r="B419" s="36"/>
      <c r="C419" s="47"/>
      <c r="D419" s="5"/>
      <c r="F419" s="5"/>
    </row>
    <row r="420" spans="2:6" ht="13">
      <c r="B420" s="36"/>
      <c r="C420" s="47"/>
      <c r="D420" s="5"/>
      <c r="F420" s="5"/>
    </row>
    <row r="421" spans="2:6" ht="13">
      <c r="B421" s="36"/>
      <c r="C421" s="47"/>
      <c r="D421" s="5"/>
      <c r="F421" s="5"/>
    </row>
    <row r="422" spans="2:6" ht="13">
      <c r="B422" s="36"/>
      <c r="C422" s="47"/>
      <c r="D422" s="5"/>
      <c r="F422" s="5"/>
    </row>
    <row r="423" spans="2:6" ht="13">
      <c r="B423" s="36"/>
      <c r="C423" s="47"/>
      <c r="D423" s="5"/>
      <c r="F423" s="5"/>
    </row>
    <row r="424" spans="2:6" ht="13">
      <c r="B424" s="36"/>
      <c r="C424" s="47"/>
      <c r="D424" s="5"/>
      <c r="F424" s="5"/>
    </row>
    <row r="425" spans="2:6" ht="13">
      <c r="B425" s="36"/>
      <c r="C425" s="47"/>
      <c r="D425" s="5"/>
      <c r="F425" s="5"/>
    </row>
    <row r="426" spans="2:6" ht="13">
      <c r="B426" s="36"/>
      <c r="C426" s="47"/>
      <c r="D426" s="5"/>
      <c r="F426" s="5"/>
    </row>
    <row r="427" spans="2:6" ht="13">
      <c r="B427" s="36"/>
      <c r="C427" s="47"/>
      <c r="D427" s="5"/>
      <c r="F427" s="5"/>
    </row>
    <row r="428" spans="2:6" ht="13">
      <c r="B428" s="36"/>
      <c r="C428" s="47"/>
      <c r="D428" s="5"/>
      <c r="F428" s="5"/>
    </row>
    <row r="429" spans="2:6" ht="13">
      <c r="B429" s="36"/>
      <c r="C429" s="47"/>
      <c r="D429" s="5"/>
      <c r="F429" s="5"/>
    </row>
    <row r="430" spans="2:6" ht="13">
      <c r="B430" s="36"/>
      <c r="C430" s="47"/>
      <c r="D430" s="5"/>
      <c r="F430" s="5"/>
    </row>
    <row r="431" spans="2:6" ht="13">
      <c r="B431" s="36"/>
      <c r="C431" s="47"/>
      <c r="D431" s="5"/>
      <c r="F431" s="5"/>
    </row>
    <row r="432" spans="2:6" ht="13">
      <c r="B432" s="36"/>
      <c r="C432" s="47"/>
      <c r="D432" s="5"/>
      <c r="F432" s="5"/>
    </row>
    <row r="433" spans="2:6" ht="13">
      <c r="B433" s="36"/>
      <c r="C433" s="47"/>
      <c r="D433" s="5"/>
      <c r="F433" s="5"/>
    </row>
    <row r="434" spans="2:6" ht="13">
      <c r="B434" s="36"/>
      <c r="C434" s="47"/>
      <c r="D434" s="5"/>
      <c r="F434" s="5"/>
    </row>
    <row r="435" spans="2:6" ht="13">
      <c r="B435" s="36"/>
      <c r="C435" s="47"/>
      <c r="D435" s="5"/>
      <c r="F435" s="5"/>
    </row>
    <row r="436" spans="2:6" ht="13">
      <c r="B436" s="36"/>
      <c r="C436" s="47"/>
      <c r="D436" s="5"/>
      <c r="F436" s="5"/>
    </row>
    <row r="437" spans="2:6" ht="13">
      <c r="B437" s="36"/>
      <c r="C437" s="47"/>
      <c r="D437" s="5"/>
      <c r="F437" s="5"/>
    </row>
    <row r="438" spans="2:6" ht="13">
      <c r="B438" s="36"/>
      <c r="C438" s="47"/>
      <c r="D438" s="5"/>
      <c r="F438" s="5"/>
    </row>
    <row r="439" spans="2:6" ht="13">
      <c r="B439" s="36"/>
      <c r="C439" s="47"/>
      <c r="D439" s="5"/>
      <c r="F439" s="5"/>
    </row>
    <row r="440" spans="2:6" ht="13">
      <c r="B440" s="36"/>
      <c r="C440" s="47"/>
      <c r="D440" s="5"/>
      <c r="F440" s="5"/>
    </row>
    <row r="441" spans="2:6" ht="13">
      <c r="B441" s="36"/>
      <c r="C441" s="47"/>
      <c r="D441" s="5"/>
      <c r="F441" s="5"/>
    </row>
    <row r="442" spans="2:6" ht="13">
      <c r="B442" s="36"/>
      <c r="C442" s="47"/>
      <c r="D442" s="5"/>
      <c r="F442" s="5"/>
    </row>
    <row r="443" spans="2:6" ht="13">
      <c r="B443" s="36"/>
      <c r="C443" s="47"/>
      <c r="D443" s="5"/>
      <c r="F443" s="5"/>
    </row>
    <row r="444" spans="2:6" ht="13">
      <c r="B444" s="36"/>
      <c r="C444" s="47"/>
      <c r="D444" s="5"/>
      <c r="F444" s="5"/>
    </row>
    <row r="445" spans="2:6" ht="13">
      <c r="B445" s="36"/>
      <c r="C445" s="47"/>
      <c r="D445" s="5"/>
      <c r="F445" s="5"/>
    </row>
    <row r="446" spans="2:6" ht="13">
      <c r="B446" s="36"/>
      <c r="C446" s="47"/>
      <c r="D446" s="5"/>
      <c r="F446" s="5"/>
    </row>
    <row r="447" spans="2:6" ht="13">
      <c r="B447" s="36"/>
      <c r="C447" s="47"/>
      <c r="D447" s="5"/>
      <c r="F447" s="5"/>
    </row>
    <row r="448" spans="2:6" ht="13">
      <c r="B448" s="36"/>
      <c r="C448" s="47"/>
      <c r="D448" s="5"/>
      <c r="F448" s="5"/>
    </row>
    <row r="449" spans="2:6" ht="13">
      <c r="B449" s="36"/>
      <c r="C449" s="47"/>
      <c r="D449" s="5"/>
      <c r="F449" s="5"/>
    </row>
    <row r="450" spans="2:6" ht="13">
      <c r="B450" s="36"/>
      <c r="C450" s="47"/>
      <c r="D450" s="5"/>
      <c r="F450" s="5"/>
    </row>
    <row r="451" spans="2:6" ht="13">
      <c r="B451" s="36"/>
      <c r="C451" s="47"/>
      <c r="D451" s="5"/>
      <c r="F451" s="5"/>
    </row>
    <row r="452" spans="2:6" ht="13">
      <c r="B452" s="36"/>
      <c r="C452" s="47"/>
      <c r="D452" s="5"/>
      <c r="F452" s="5"/>
    </row>
    <row r="453" spans="2:6" ht="13">
      <c r="B453" s="36"/>
      <c r="C453" s="47"/>
      <c r="D453" s="5"/>
      <c r="F453" s="5"/>
    </row>
    <row r="454" spans="2:6" ht="13">
      <c r="B454" s="36"/>
      <c r="C454" s="47"/>
      <c r="D454" s="5"/>
      <c r="F454" s="5"/>
    </row>
    <row r="455" spans="2:6" ht="13">
      <c r="B455" s="36"/>
      <c r="C455" s="47"/>
      <c r="D455" s="5"/>
      <c r="F455" s="5"/>
    </row>
    <row r="456" spans="2:6" ht="13">
      <c r="B456" s="36"/>
      <c r="C456" s="47"/>
      <c r="D456" s="5"/>
      <c r="F456" s="5"/>
    </row>
    <row r="457" spans="2:6" ht="13">
      <c r="B457" s="36"/>
      <c r="C457" s="47"/>
      <c r="D457" s="5"/>
      <c r="F457" s="5"/>
    </row>
    <row r="458" spans="2:6" ht="13">
      <c r="B458" s="36"/>
      <c r="C458" s="47"/>
      <c r="D458" s="5"/>
      <c r="F458" s="5"/>
    </row>
    <row r="459" spans="2:6" ht="13">
      <c r="B459" s="36"/>
      <c r="C459" s="47"/>
      <c r="D459" s="5"/>
      <c r="F459" s="5"/>
    </row>
    <row r="460" spans="2:6" ht="13">
      <c r="B460" s="36"/>
      <c r="C460" s="47"/>
      <c r="D460" s="5"/>
      <c r="F460" s="5"/>
    </row>
    <row r="461" spans="2:6" ht="13">
      <c r="B461" s="36"/>
      <c r="C461" s="47"/>
      <c r="D461" s="5"/>
      <c r="F461" s="5"/>
    </row>
    <row r="462" spans="2:6" ht="13">
      <c r="B462" s="36"/>
      <c r="C462" s="47"/>
      <c r="D462" s="5"/>
      <c r="F462" s="5"/>
    </row>
    <row r="463" spans="2:6" ht="13">
      <c r="B463" s="36"/>
      <c r="C463" s="47"/>
      <c r="D463" s="5"/>
      <c r="F463" s="5"/>
    </row>
    <row r="464" spans="2:6" ht="13">
      <c r="B464" s="36"/>
      <c r="C464" s="47"/>
      <c r="D464" s="5"/>
      <c r="F464" s="5"/>
    </row>
    <row r="465" spans="2:6" ht="13">
      <c r="B465" s="36"/>
      <c r="C465" s="47"/>
      <c r="D465" s="5"/>
      <c r="F465" s="5"/>
    </row>
    <row r="466" spans="2:6" ht="13">
      <c r="B466" s="36"/>
      <c r="C466" s="47"/>
      <c r="D466" s="5"/>
      <c r="F466" s="5"/>
    </row>
    <row r="467" spans="2:6" ht="13">
      <c r="B467" s="36"/>
      <c r="C467" s="47"/>
      <c r="D467" s="5"/>
      <c r="F467" s="5"/>
    </row>
    <row r="468" spans="2:6" ht="13">
      <c r="B468" s="36"/>
      <c r="C468" s="47"/>
      <c r="D468" s="5"/>
      <c r="F468" s="5"/>
    </row>
    <row r="469" spans="2:6" ht="13">
      <c r="B469" s="36"/>
      <c r="C469" s="47"/>
      <c r="D469" s="5"/>
      <c r="F469" s="5"/>
    </row>
    <row r="470" spans="2:6" ht="13">
      <c r="B470" s="36"/>
      <c r="C470" s="47"/>
      <c r="D470" s="5"/>
      <c r="F470" s="5"/>
    </row>
    <row r="471" spans="2:6" ht="13">
      <c r="B471" s="36"/>
      <c r="C471" s="47"/>
      <c r="D471" s="5"/>
      <c r="F471" s="5"/>
    </row>
    <row r="472" spans="2:6" ht="13">
      <c r="B472" s="36"/>
      <c r="C472" s="47"/>
      <c r="D472" s="5"/>
      <c r="F472" s="5"/>
    </row>
    <row r="473" spans="2:6" ht="13">
      <c r="B473" s="36"/>
      <c r="C473" s="47"/>
      <c r="D473" s="5"/>
      <c r="F473" s="5"/>
    </row>
    <row r="474" spans="2:6" ht="13">
      <c r="B474" s="36"/>
      <c r="C474" s="47"/>
      <c r="D474" s="5"/>
      <c r="F474" s="5"/>
    </row>
    <row r="475" spans="2:6" ht="13">
      <c r="B475" s="36"/>
      <c r="C475" s="47"/>
      <c r="D475" s="5"/>
      <c r="F475" s="5"/>
    </row>
    <row r="476" spans="2:6" ht="13">
      <c r="B476" s="36"/>
      <c r="C476" s="47"/>
      <c r="D476" s="5"/>
      <c r="F476" s="5"/>
    </row>
    <row r="477" spans="2:6" ht="13">
      <c r="B477" s="36"/>
      <c r="C477" s="47"/>
      <c r="D477" s="5"/>
      <c r="F477" s="5"/>
    </row>
    <row r="478" spans="2:6" ht="13">
      <c r="B478" s="36"/>
      <c r="C478" s="47"/>
      <c r="D478" s="5"/>
      <c r="F478" s="5"/>
    </row>
    <row r="479" spans="2:6" ht="13">
      <c r="B479" s="36"/>
      <c r="C479" s="47"/>
      <c r="D479" s="5"/>
      <c r="F479" s="5"/>
    </row>
    <row r="480" spans="2:6" ht="13">
      <c r="B480" s="36"/>
      <c r="C480" s="47"/>
      <c r="D480" s="5"/>
      <c r="F480" s="5"/>
    </row>
    <row r="481" spans="2:6" ht="13">
      <c r="B481" s="36"/>
      <c r="C481" s="47"/>
      <c r="D481" s="5"/>
      <c r="F481" s="5"/>
    </row>
    <row r="482" spans="2:6" ht="13">
      <c r="B482" s="36"/>
      <c r="C482" s="47"/>
      <c r="D482" s="5"/>
      <c r="F482" s="5"/>
    </row>
    <row r="483" spans="2:6" ht="13">
      <c r="B483" s="36"/>
      <c r="C483" s="47"/>
      <c r="D483" s="5"/>
      <c r="F483" s="5"/>
    </row>
    <row r="484" spans="2:6" ht="13">
      <c r="B484" s="36"/>
      <c r="C484" s="47"/>
      <c r="D484" s="5"/>
      <c r="F484" s="5"/>
    </row>
    <row r="485" spans="2:6" ht="13">
      <c r="B485" s="36"/>
      <c r="C485" s="47"/>
      <c r="D485" s="5"/>
      <c r="F485" s="5"/>
    </row>
    <row r="486" spans="2:6" ht="13">
      <c r="B486" s="36"/>
      <c r="C486" s="47"/>
      <c r="D486" s="5"/>
      <c r="F486" s="5"/>
    </row>
    <row r="487" spans="2:6" ht="13">
      <c r="B487" s="36"/>
      <c r="C487" s="47"/>
      <c r="D487" s="5"/>
      <c r="F487" s="5"/>
    </row>
    <row r="488" spans="2:6" ht="13">
      <c r="B488" s="36"/>
      <c r="C488" s="47"/>
      <c r="D488" s="5"/>
      <c r="F488" s="5"/>
    </row>
    <row r="489" spans="2:6" ht="13">
      <c r="B489" s="36"/>
      <c r="C489" s="47"/>
      <c r="D489" s="5"/>
      <c r="F489" s="5"/>
    </row>
    <row r="490" spans="2:6" ht="13">
      <c r="B490" s="36"/>
      <c r="C490" s="47"/>
      <c r="D490" s="5"/>
      <c r="F490" s="5"/>
    </row>
    <row r="491" spans="2:6" ht="13">
      <c r="B491" s="36"/>
      <c r="C491" s="47"/>
      <c r="D491" s="5"/>
      <c r="F491" s="5"/>
    </row>
    <row r="492" spans="2:6" ht="13">
      <c r="B492" s="36"/>
      <c r="C492" s="47"/>
      <c r="D492" s="5"/>
      <c r="F492" s="5"/>
    </row>
    <row r="493" spans="2:6" ht="13">
      <c r="B493" s="36"/>
      <c r="C493" s="47"/>
      <c r="D493" s="5"/>
      <c r="F493" s="5"/>
    </row>
    <row r="494" spans="2:6" ht="13">
      <c r="B494" s="36"/>
      <c r="C494" s="47"/>
      <c r="D494" s="5"/>
      <c r="F494" s="5"/>
    </row>
    <row r="495" spans="2:6" ht="13">
      <c r="B495" s="36"/>
      <c r="C495" s="47"/>
      <c r="D495" s="5"/>
      <c r="F495" s="5"/>
    </row>
    <row r="496" spans="2:6" ht="13">
      <c r="B496" s="36"/>
      <c r="C496" s="47"/>
      <c r="D496" s="5"/>
      <c r="F496" s="5"/>
    </row>
    <row r="497" spans="2:6" ht="13">
      <c r="B497" s="36"/>
      <c r="C497" s="47"/>
      <c r="D497" s="5"/>
      <c r="F497" s="5"/>
    </row>
    <row r="498" spans="2:6" ht="13">
      <c r="B498" s="36"/>
      <c r="C498" s="47"/>
      <c r="D498" s="5"/>
      <c r="F498" s="5"/>
    </row>
    <row r="499" spans="2:6" ht="13">
      <c r="B499" s="36"/>
      <c r="C499" s="47"/>
      <c r="D499" s="5"/>
      <c r="F499" s="5"/>
    </row>
    <row r="500" spans="2:6" ht="13">
      <c r="B500" s="36"/>
      <c r="C500" s="47"/>
      <c r="D500" s="5"/>
      <c r="F500" s="5"/>
    </row>
    <row r="501" spans="2:6" ht="13">
      <c r="B501" s="36"/>
      <c r="C501" s="47"/>
      <c r="D501" s="5"/>
      <c r="F501" s="5"/>
    </row>
    <row r="502" spans="2:6" ht="13">
      <c r="B502" s="36"/>
      <c r="C502" s="47"/>
      <c r="D502" s="5"/>
      <c r="F502" s="5"/>
    </row>
    <row r="503" spans="2:6" ht="13">
      <c r="B503" s="36"/>
      <c r="C503" s="47"/>
      <c r="D503" s="5"/>
      <c r="F503" s="5"/>
    </row>
    <row r="504" spans="2:6" ht="13">
      <c r="B504" s="36"/>
      <c r="C504" s="47"/>
      <c r="D504" s="5"/>
      <c r="F504" s="5"/>
    </row>
    <row r="505" spans="2:6" ht="13">
      <c r="B505" s="36"/>
      <c r="C505" s="47"/>
      <c r="D505" s="5"/>
      <c r="F505" s="5"/>
    </row>
    <row r="506" spans="2:6" ht="13">
      <c r="B506" s="36"/>
      <c r="C506" s="47"/>
      <c r="D506" s="5"/>
      <c r="F506" s="5"/>
    </row>
    <row r="507" spans="2:6" ht="13">
      <c r="B507" s="36"/>
      <c r="C507" s="47"/>
      <c r="D507" s="5"/>
      <c r="F507" s="5"/>
    </row>
    <row r="508" spans="2:6" ht="13">
      <c r="B508" s="36"/>
      <c r="C508" s="47"/>
      <c r="D508" s="5"/>
      <c r="F508" s="5"/>
    </row>
    <row r="509" spans="2:6" ht="13">
      <c r="B509" s="36"/>
      <c r="C509" s="47"/>
      <c r="D509" s="5"/>
      <c r="F509" s="5"/>
    </row>
    <row r="510" spans="2:6" ht="13">
      <c r="B510" s="36"/>
      <c r="C510" s="47"/>
      <c r="D510" s="5"/>
      <c r="F510" s="5"/>
    </row>
    <row r="511" spans="2:6" ht="13">
      <c r="B511" s="36"/>
      <c r="C511" s="47"/>
      <c r="D511" s="5"/>
      <c r="F511" s="5"/>
    </row>
    <row r="512" spans="2:6" ht="13">
      <c r="B512" s="36"/>
      <c r="C512" s="47"/>
      <c r="D512" s="5"/>
      <c r="F512" s="5"/>
    </row>
    <row r="513" spans="2:6" ht="13">
      <c r="B513" s="36"/>
      <c r="C513" s="47"/>
      <c r="D513" s="5"/>
      <c r="F513" s="5"/>
    </row>
    <row r="514" spans="2:6" ht="13">
      <c r="B514" s="36"/>
      <c r="C514" s="47"/>
      <c r="D514" s="5"/>
      <c r="F514" s="5"/>
    </row>
    <row r="515" spans="2:6" ht="13">
      <c r="B515" s="36"/>
      <c r="C515" s="47"/>
      <c r="D515" s="5"/>
      <c r="F515" s="5"/>
    </row>
    <row r="516" spans="2:6" ht="13">
      <c r="B516" s="36"/>
      <c r="C516" s="47"/>
      <c r="D516" s="5"/>
      <c r="F516" s="5"/>
    </row>
    <row r="517" spans="2:6" ht="13">
      <c r="B517" s="36"/>
      <c r="C517" s="47"/>
      <c r="D517" s="5"/>
      <c r="F517" s="5"/>
    </row>
    <row r="518" spans="2:6" ht="13">
      <c r="B518" s="36"/>
      <c r="C518" s="47"/>
      <c r="D518" s="5"/>
      <c r="F518" s="5"/>
    </row>
    <row r="519" spans="2:6" ht="13">
      <c r="B519" s="36"/>
      <c r="C519" s="47"/>
      <c r="D519" s="5"/>
      <c r="F519" s="5"/>
    </row>
    <row r="520" spans="2:6" ht="13">
      <c r="B520" s="36"/>
      <c r="C520" s="47"/>
      <c r="D520" s="5"/>
      <c r="F520" s="5"/>
    </row>
    <row r="521" spans="2:6" ht="13">
      <c r="B521" s="36"/>
      <c r="C521" s="47"/>
      <c r="D521" s="5"/>
      <c r="F521" s="5"/>
    </row>
    <row r="522" spans="2:6" ht="13">
      <c r="B522" s="36"/>
      <c r="C522" s="47"/>
      <c r="D522" s="5"/>
      <c r="F522" s="5"/>
    </row>
    <row r="523" spans="2:6" ht="13">
      <c r="B523" s="36"/>
      <c r="C523" s="47"/>
      <c r="D523" s="5"/>
      <c r="F523" s="5"/>
    </row>
    <row r="524" spans="2:6" ht="13">
      <c r="B524" s="36"/>
      <c r="C524" s="47"/>
      <c r="D524" s="5"/>
      <c r="F524" s="5"/>
    </row>
    <row r="525" spans="2:6" ht="13">
      <c r="B525" s="36"/>
      <c r="C525" s="47"/>
      <c r="D525" s="5"/>
      <c r="F525" s="5"/>
    </row>
    <row r="526" spans="2:6" ht="13">
      <c r="B526" s="36"/>
      <c r="C526" s="47"/>
      <c r="D526" s="5"/>
      <c r="F526" s="5"/>
    </row>
    <row r="527" spans="2:6" ht="13">
      <c r="B527" s="36"/>
      <c r="C527" s="47"/>
      <c r="D527" s="5"/>
      <c r="F527" s="5"/>
    </row>
    <row r="528" spans="2:6" ht="13">
      <c r="B528" s="36"/>
      <c r="C528" s="47"/>
      <c r="D528" s="5"/>
      <c r="F528" s="5"/>
    </row>
    <row r="529" spans="2:6" ht="13">
      <c r="B529" s="36"/>
      <c r="C529" s="47"/>
      <c r="D529" s="5"/>
      <c r="F529" s="5"/>
    </row>
    <row r="530" spans="2:6" ht="13">
      <c r="B530" s="36"/>
      <c r="C530" s="47"/>
      <c r="D530" s="5"/>
      <c r="F530" s="5"/>
    </row>
    <row r="531" spans="2:6" ht="13">
      <c r="B531" s="36"/>
      <c r="C531" s="47"/>
      <c r="D531" s="5"/>
      <c r="F531" s="5"/>
    </row>
    <row r="532" spans="2:6" ht="13">
      <c r="B532" s="36"/>
      <c r="C532" s="47"/>
      <c r="D532" s="5"/>
      <c r="F532" s="5"/>
    </row>
    <row r="533" spans="2:6" ht="13">
      <c r="B533" s="36"/>
      <c r="C533" s="47"/>
      <c r="D533" s="5"/>
      <c r="F533" s="5"/>
    </row>
    <row r="534" spans="2:6" ht="13">
      <c r="B534" s="36"/>
      <c r="C534" s="47"/>
      <c r="D534" s="5"/>
      <c r="F534" s="5"/>
    </row>
    <row r="535" spans="2:6" ht="13">
      <c r="B535" s="36"/>
      <c r="C535" s="47"/>
      <c r="D535" s="5"/>
      <c r="F535" s="5"/>
    </row>
    <row r="536" spans="2:6" ht="13">
      <c r="B536" s="36"/>
      <c r="C536" s="47"/>
      <c r="D536" s="5"/>
      <c r="F536" s="5"/>
    </row>
    <row r="537" spans="2:6" ht="13">
      <c r="B537" s="36"/>
      <c r="C537" s="47"/>
      <c r="D537" s="5"/>
      <c r="F537" s="5"/>
    </row>
    <row r="538" spans="2:6" ht="13">
      <c r="B538" s="36"/>
      <c r="C538" s="47"/>
      <c r="D538" s="5"/>
      <c r="F538" s="5"/>
    </row>
    <row r="539" spans="2:6" ht="13">
      <c r="B539" s="36"/>
      <c r="C539" s="47"/>
      <c r="D539" s="5"/>
      <c r="F539" s="5"/>
    </row>
    <row r="540" spans="2:6" ht="13">
      <c r="B540" s="36"/>
      <c r="C540" s="47"/>
      <c r="D540" s="5"/>
      <c r="F540" s="5"/>
    </row>
    <row r="541" spans="2:6" ht="13">
      <c r="B541" s="36"/>
      <c r="C541" s="47"/>
      <c r="D541" s="5"/>
      <c r="F541" s="5"/>
    </row>
    <row r="542" spans="2:6" ht="13">
      <c r="B542" s="36"/>
      <c r="C542" s="47"/>
      <c r="D542" s="5"/>
      <c r="F542" s="5"/>
    </row>
    <row r="543" spans="2:6" ht="13">
      <c r="B543" s="36"/>
      <c r="C543" s="47"/>
      <c r="D543" s="5"/>
      <c r="F543" s="5"/>
    </row>
    <row r="544" spans="2:6" ht="13">
      <c r="B544" s="36"/>
      <c r="C544" s="47"/>
      <c r="D544" s="5"/>
      <c r="F544" s="5"/>
    </row>
    <row r="545" spans="2:6" ht="13">
      <c r="B545" s="36"/>
      <c r="C545" s="47"/>
      <c r="D545" s="5"/>
      <c r="F545" s="5"/>
    </row>
    <row r="546" spans="2:6" ht="13">
      <c r="B546" s="36"/>
      <c r="C546" s="47"/>
      <c r="D546" s="5"/>
      <c r="F546" s="5"/>
    </row>
    <row r="547" spans="2:6" ht="13">
      <c r="B547" s="36"/>
      <c r="C547" s="47"/>
      <c r="D547" s="5"/>
      <c r="F547" s="5"/>
    </row>
    <row r="548" spans="2:6" ht="13">
      <c r="B548" s="36"/>
      <c r="C548" s="47"/>
      <c r="D548" s="5"/>
      <c r="F548" s="5"/>
    </row>
    <row r="549" spans="2:6" ht="13">
      <c r="B549" s="36"/>
      <c r="C549" s="47"/>
      <c r="D549" s="5"/>
      <c r="F549" s="5"/>
    </row>
    <row r="550" spans="2:6" ht="13">
      <c r="B550" s="36"/>
      <c r="C550" s="47"/>
      <c r="D550" s="5"/>
      <c r="F550" s="5"/>
    </row>
    <row r="551" spans="2:6" ht="13">
      <c r="B551" s="36"/>
      <c r="C551" s="47"/>
      <c r="D551" s="5"/>
      <c r="F551" s="5"/>
    </row>
    <row r="552" spans="2:6" ht="13">
      <c r="B552" s="36"/>
      <c r="C552" s="47"/>
      <c r="D552" s="5"/>
      <c r="F552" s="5"/>
    </row>
    <row r="553" spans="2:6" ht="13">
      <c r="B553" s="36"/>
      <c r="C553" s="47"/>
      <c r="D553" s="5"/>
      <c r="F553" s="5"/>
    </row>
    <row r="554" spans="2:6" ht="13">
      <c r="B554" s="36"/>
      <c r="C554" s="47"/>
      <c r="D554" s="5"/>
      <c r="F554" s="5"/>
    </row>
    <row r="555" spans="2:6" ht="13">
      <c r="B555" s="36"/>
      <c r="C555" s="47"/>
      <c r="D555" s="5"/>
      <c r="F555" s="5"/>
    </row>
    <row r="556" spans="2:6" ht="13">
      <c r="B556" s="36"/>
      <c r="C556" s="47"/>
      <c r="D556" s="5"/>
      <c r="F556" s="5"/>
    </row>
    <row r="557" spans="2:6" ht="13">
      <c r="B557" s="36"/>
      <c r="C557" s="47"/>
      <c r="D557" s="5"/>
      <c r="F557" s="5"/>
    </row>
    <row r="558" spans="2:6" ht="13">
      <c r="B558" s="36"/>
      <c r="C558" s="47"/>
      <c r="D558" s="5"/>
      <c r="F558" s="5"/>
    </row>
    <row r="559" spans="2:6" ht="13">
      <c r="B559" s="36"/>
      <c r="C559" s="47"/>
      <c r="D559" s="5"/>
      <c r="F559" s="5"/>
    </row>
    <row r="560" spans="2:6" ht="13">
      <c r="B560" s="36"/>
      <c r="C560" s="47"/>
      <c r="D560" s="5"/>
      <c r="F560" s="5"/>
    </row>
    <row r="561" spans="2:6" ht="13">
      <c r="B561" s="36"/>
      <c r="C561" s="47"/>
      <c r="D561" s="5"/>
      <c r="F561" s="5"/>
    </row>
    <row r="562" spans="2:6" ht="13">
      <c r="B562" s="36"/>
      <c r="C562" s="47"/>
      <c r="D562" s="5"/>
      <c r="F562" s="5"/>
    </row>
    <row r="563" spans="2:6" ht="13">
      <c r="B563" s="36"/>
      <c r="C563" s="47"/>
      <c r="D563" s="5"/>
      <c r="F563" s="5"/>
    </row>
    <row r="564" spans="2:6" ht="13">
      <c r="B564" s="36"/>
      <c r="C564" s="47"/>
      <c r="D564" s="5"/>
      <c r="F564" s="5"/>
    </row>
    <row r="565" spans="2:6" ht="13">
      <c r="B565" s="36"/>
      <c r="C565" s="47"/>
      <c r="D565" s="5"/>
      <c r="F565" s="5"/>
    </row>
    <row r="566" spans="2:6" ht="13">
      <c r="B566" s="36"/>
      <c r="C566" s="47"/>
      <c r="D566" s="5"/>
      <c r="F566" s="5"/>
    </row>
    <row r="567" spans="2:6" ht="13">
      <c r="B567" s="36"/>
      <c r="C567" s="47"/>
      <c r="D567" s="5"/>
      <c r="F567" s="5"/>
    </row>
    <row r="568" spans="2:6" ht="13">
      <c r="B568" s="36"/>
      <c r="C568" s="47"/>
      <c r="D568" s="5"/>
      <c r="F568" s="5"/>
    </row>
    <row r="569" spans="2:6" ht="13">
      <c r="B569" s="36"/>
      <c r="C569" s="47"/>
      <c r="D569" s="5"/>
      <c r="F569" s="5"/>
    </row>
    <row r="570" spans="2:6" ht="13">
      <c r="B570" s="36"/>
      <c r="C570" s="47"/>
      <c r="D570" s="5"/>
      <c r="F570" s="5"/>
    </row>
    <row r="571" spans="2:6" ht="13">
      <c r="B571" s="36"/>
      <c r="C571" s="47"/>
      <c r="D571" s="5"/>
      <c r="F571" s="5"/>
    </row>
    <row r="572" spans="2:6" ht="13">
      <c r="B572" s="36"/>
      <c r="C572" s="47"/>
      <c r="D572" s="5"/>
      <c r="F572" s="5"/>
    </row>
    <row r="573" spans="2:6" ht="13">
      <c r="B573" s="36"/>
      <c r="C573" s="47"/>
      <c r="D573" s="5"/>
      <c r="F573" s="5"/>
    </row>
    <row r="574" spans="2:6" ht="13">
      <c r="B574" s="36"/>
      <c r="C574" s="47"/>
      <c r="D574" s="5"/>
      <c r="F574" s="5"/>
    </row>
    <row r="575" spans="2:6" ht="13">
      <c r="B575" s="36"/>
      <c r="C575" s="47"/>
      <c r="D575" s="5"/>
      <c r="F575" s="5"/>
    </row>
    <row r="576" spans="2:6" ht="13">
      <c r="B576" s="36"/>
      <c r="C576" s="47"/>
      <c r="D576" s="5"/>
      <c r="F576" s="5"/>
    </row>
    <row r="577" spans="2:6" ht="13">
      <c r="B577" s="36"/>
      <c r="C577" s="47"/>
      <c r="D577" s="5"/>
      <c r="F577" s="5"/>
    </row>
    <row r="578" spans="2:6" ht="13">
      <c r="B578" s="36"/>
      <c r="C578" s="47"/>
      <c r="D578" s="5"/>
      <c r="F578" s="5"/>
    </row>
    <row r="579" spans="2:6" ht="13">
      <c r="B579" s="36"/>
      <c r="C579" s="47"/>
      <c r="D579" s="5"/>
      <c r="F579" s="5"/>
    </row>
    <row r="580" spans="2:6" ht="13">
      <c r="B580" s="36"/>
      <c r="C580" s="47"/>
      <c r="D580" s="5"/>
      <c r="F580" s="5"/>
    </row>
    <row r="581" spans="2:6" ht="13">
      <c r="B581" s="36"/>
      <c r="C581" s="47"/>
      <c r="D581" s="5"/>
      <c r="F581" s="5"/>
    </row>
    <row r="582" spans="2:6" ht="13">
      <c r="B582" s="36"/>
      <c r="C582" s="47"/>
      <c r="D582" s="5"/>
      <c r="F582" s="5"/>
    </row>
    <row r="583" spans="2:6" ht="13">
      <c r="B583" s="36"/>
      <c r="C583" s="47"/>
      <c r="D583" s="5"/>
      <c r="F583" s="5"/>
    </row>
    <row r="584" spans="2:6" ht="13">
      <c r="B584" s="36"/>
      <c r="C584" s="47"/>
      <c r="D584" s="5"/>
      <c r="F584" s="5"/>
    </row>
    <row r="585" spans="2:6" ht="13">
      <c r="B585" s="36"/>
      <c r="C585" s="47"/>
      <c r="D585" s="5"/>
      <c r="F585" s="5"/>
    </row>
    <row r="586" spans="2:6" ht="13">
      <c r="B586" s="36"/>
      <c r="C586" s="47"/>
      <c r="D586" s="5"/>
      <c r="F586" s="5"/>
    </row>
    <row r="587" spans="2:6" ht="13">
      <c r="B587" s="36"/>
      <c r="C587" s="47"/>
      <c r="D587" s="5"/>
      <c r="F587" s="5"/>
    </row>
    <row r="588" spans="2:6" ht="13">
      <c r="B588" s="36"/>
      <c r="C588" s="47"/>
      <c r="D588" s="5"/>
      <c r="F588" s="5"/>
    </row>
    <row r="589" spans="2:6" ht="13">
      <c r="B589" s="36"/>
      <c r="C589" s="47"/>
      <c r="D589" s="5"/>
      <c r="F589" s="5"/>
    </row>
    <row r="590" spans="2:6" ht="13">
      <c r="B590" s="36"/>
      <c r="C590" s="47"/>
      <c r="D590" s="5"/>
      <c r="F590" s="5"/>
    </row>
    <row r="591" spans="2:6" ht="13">
      <c r="B591" s="36"/>
      <c r="C591" s="47"/>
      <c r="D591" s="5"/>
      <c r="F591" s="5"/>
    </row>
    <row r="592" spans="2:6" ht="13">
      <c r="B592" s="36"/>
      <c r="C592" s="47"/>
      <c r="D592" s="5"/>
      <c r="F592" s="5"/>
    </row>
    <row r="593" spans="2:6" ht="13">
      <c r="B593" s="36"/>
      <c r="C593" s="47"/>
      <c r="D593" s="5"/>
      <c r="F593" s="5"/>
    </row>
    <row r="594" spans="2:6" ht="13">
      <c r="B594" s="36"/>
      <c r="C594" s="47"/>
      <c r="D594" s="5"/>
      <c r="F594" s="5"/>
    </row>
    <row r="595" spans="2:6" ht="13">
      <c r="B595" s="36"/>
      <c r="C595" s="47"/>
      <c r="D595" s="5"/>
      <c r="F595" s="5"/>
    </row>
    <row r="596" spans="2:6" ht="13">
      <c r="B596" s="36"/>
      <c r="C596" s="47"/>
      <c r="D596" s="5"/>
      <c r="F596" s="5"/>
    </row>
    <row r="597" spans="2:6" ht="13">
      <c r="B597" s="36"/>
      <c r="C597" s="47"/>
      <c r="D597" s="5"/>
      <c r="F597" s="5"/>
    </row>
    <row r="598" spans="2:6" ht="13">
      <c r="B598" s="36"/>
      <c r="C598" s="47"/>
      <c r="D598" s="5"/>
      <c r="F598" s="5"/>
    </row>
    <row r="599" spans="2:6" ht="13">
      <c r="B599" s="36"/>
      <c r="C599" s="47"/>
      <c r="D599" s="5"/>
      <c r="F599" s="5"/>
    </row>
    <row r="600" spans="2:6" ht="13">
      <c r="B600" s="36"/>
      <c r="C600" s="47"/>
      <c r="D600" s="5"/>
      <c r="F600" s="5"/>
    </row>
    <row r="601" spans="2:6" ht="13">
      <c r="B601" s="36"/>
      <c r="C601" s="47"/>
      <c r="D601" s="5"/>
      <c r="F601" s="5"/>
    </row>
    <row r="602" spans="2:6" ht="13">
      <c r="B602" s="36"/>
      <c r="C602" s="47"/>
      <c r="D602" s="5"/>
      <c r="F602" s="5"/>
    </row>
    <row r="603" spans="2:6" ht="13">
      <c r="B603" s="36"/>
      <c r="C603" s="47"/>
      <c r="D603" s="5"/>
      <c r="F603" s="5"/>
    </row>
    <row r="604" spans="2:6" ht="13">
      <c r="B604" s="36"/>
      <c r="C604" s="47"/>
      <c r="D604" s="5"/>
      <c r="F604" s="5"/>
    </row>
    <row r="605" spans="2:6" ht="13">
      <c r="B605" s="36"/>
      <c r="C605" s="47"/>
      <c r="D605" s="5"/>
      <c r="F605" s="5"/>
    </row>
    <row r="606" spans="2:6" ht="13">
      <c r="B606" s="36"/>
      <c r="C606" s="47"/>
      <c r="D606" s="5"/>
      <c r="F606" s="5"/>
    </row>
    <row r="607" spans="2:6" ht="13">
      <c r="B607" s="36"/>
      <c r="C607" s="47"/>
      <c r="D607" s="5"/>
      <c r="F607" s="5"/>
    </row>
    <row r="608" spans="2:6" ht="13">
      <c r="B608" s="36"/>
      <c r="C608" s="47"/>
      <c r="D608" s="5"/>
      <c r="F608" s="5"/>
    </row>
    <row r="609" spans="2:6" ht="13">
      <c r="B609" s="36"/>
      <c r="C609" s="47"/>
      <c r="D609" s="5"/>
      <c r="F609" s="5"/>
    </row>
    <row r="610" spans="2:6" ht="13">
      <c r="B610" s="36"/>
      <c r="C610" s="47"/>
      <c r="D610" s="5"/>
      <c r="F610" s="5"/>
    </row>
    <row r="611" spans="2:6" ht="13">
      <c r="B611" s="36"/>
      <c r="C611" s="47"/>
      <c r="D611" s="5"/>
      <c r="F611" s="5"/>
    </row>
    <row r="612" spans="2:6" ht="13">
      <c r="B612" s="36"/>
      <c r="C612" s="47"/>
      <c r="D612" s="5"/>
      <c r="F612" s="5"/>
    </row>
    <row r="613" spans="2:6" ht="13">
      <c r="B613" s="36"/>
      <c r="C613" s="47"/>
      <c r="D613" s="5"/>
      <c r="F613" s="5"/>
    </row>
    <row r="614" spans="2:6" ht="13">
      <c r="B614" s="36"/>
      <c r="C614" s="47"/>
      <c r="D614" s="5"/>
      <c r="F614" s="5"/>
    </row>
    <row r="615" spans="2:6" ht="13">
      <c r="B615" s="36"/>
      <c r="C615" s="47"/>
      <c r="D615" s="5"/>
      <c r="F615" s="5"/>
    </row>
    <row r="616" spans="2:6" ht="13">
      <c r="B616" s="36"/>
      <c r="C616" s="47"/>
      <c r="D616" s="5"/>
      <c r="F616" s="5"/>
    </row>
    <row r="617" spans="2:6" ht="13">
      <c r="B617" s="36"/>
      <c r="C617" s="47"/>
      <c r="D617" s="5"/>
      <c r="F617" s="5"/>
    </row>
    <row r="618" spans="2:6" ht="13">
      <c r="B618" s="36"/>
      <c r="C618" s="47"/>
      <c r="D618" s="5"/>
      <c r="F618" s="5"/>
    </row>
    <row r="619" spans="2:6" ht="13">
      <c r="B619" s="36"/>
      <c r="C619" s="47"/>
      <c r="D619" s="5"/>
      <c r="F619" s="5"/>
    </row>
    <row r="620" spans="2:6" ht="13">
      <c r="B620" s="36"/>
      <c r="C620" s="47"/>
      <c r="D620" s="5"/>
      <c r="F620" s="5"/>
    </row>
    <row r="621" spans="2:6" ht="13">
      <c r="B621" s="36"/>
      <c r="C621" s="47"/>
      <c r="D621" s="5"/>
      <c r="F621" s="5"/>
    </row>
    <row r="622" spans="2:6" ht="13">
      <c r="B622" s="36"/>
      <c r="C622" s="47"/>
      <c r="D622" s="5"/>
      <c r="F622" s="5"/>
    </row>
    <row r="623" spans="2:6" ht="13">
      <c r="B623" s="36"/>
      <c r="C623" s="47"/>
      <c r="D623" s="5"/>
      <c r="F623" s="5"/>
    </row>
    <row r="624" spans="2:6" ht="13">
      <c r="B624" s="36"/>
      <c r="C624" s="47"/>
      <c r="D624" s="5"/>
      <c r="F624" s="5"/>
    </row>
    <row r="625" spans="2:6" ht="13">
      <c r="B625" s="36"/>
      <c r="C625" s="47"/>
      <c r="D625" s="5"/>
      <c r="F625" s="5"/>
    </row>
    <row r="626" spans="2:6" ht="13">
      <c r="B626" s="36"/>
      <c r="C626" s="47"/>
      <c r="D626" s="5"/>
      <c r="F626" s="5"/>
    </row>
    <row r="627" spans="2:6" ht="13">
      <c r="B627" s="36"/>
      <c r="C627" s="47"/>
      <c r="D627" s="5"/>
      <c r="F627" s="5"/>
    </row>
    <row r="628" spans="2:6" ht="13">
      <c r="B628" s="36"/>
      <c r="C628" s="47"/>
      <c r="D628" s="5"/>
      <c r="F628" s="5"/>
    </row>
    <row r="629" spans="2:6" ht="13">
      <c r="B629" s="36"/>
      <c r="C629" s="47"/>
      <c r="D629" s="5"/>
      <c r="F629" s="5"/>
    </row>
    <row r="630" spans="2:6" ht="13">
      <c r="B630" s="36"/>
      <c r="C630" s="47"/>
      <c r="D630" s="5"/>
      <c r="F630" s="5"/>
    </row>
    <row r="631" spans="2:6" ht="13">
      <c r="B631" s="36"/>
      <c r="C631" s="47"/>
      <c r="D631" s="5"/>
      <c r="F631" s="5"/>
    </row>
    <row r="632" spans="2:6" ht="13">
      <c r="B632" s="36"/>
      <c r="C632" s="47"/>
      <c r="D632" s="5"/>
      <c r="F632" s="5"/>
    </row>
    <row r="633" spans="2:6" ht="13">
      <c r="B633" s="36"/>
      <c r="C633" s="47"/>
      <c r="D633" s="5"/>
      <c r="F633" s="5"/>
    </row>
    <row r="634" spans="2:6" ht="13">
      <c r="B634" s="36"/>
      <c r="C634" s="47"/>
      <c r="D634" s="5"/>
      <c r="F634" s="5"/>
    </row>
    <row r="635" spans="2:6" ht="13">
      <c r="B635" s="36"/>
      <c r="C635" s="47"/>
      <c r="D635" s="5"/>
      <c r="F635" s="5"/>
    </row>
    <row r="636" spans="2:6" ht="13">
      <c r="B636" s="36"/>
      <c r="C636" s="47"/>
      <c r="D636" s="5"/>
      <c r="F636" s="5"/>
    </row>
    <row r="637" spans="2:6" ht="13">
      <c r="B637" s="36"/>
      <c r="C637" s="47"/>
      <c r="D637" s="5"/>
      <c r="F637" s="5"/>
    </row>
    <row r="638" spans="2:6" ht="13">
      <c r="B638" s="36"/>
      <c r="C638" s="47"/>
      <c r="D638" s="5"/>
      <c r="F638" s="5"/>
    </row>
    <row r="639" spans="2:6" ht="13">
      <c r="B639" s="36"/>
      <c r="C639" s="47"/>
      <c r="D639" s="5"/>
      <c r="F639" s="5"/>
    </row>
    <row r="640" spans="2:6" ht="13">
      <c r="B640" s="36"/>
      <c r="C640" s="47"/>
      <c r="D640" s="5"/>
      <c r="F640" s="5"/>
    </row>
    <row r="641" spans="2:6" ht="13">
      <c r="B641" s="36"/>
      <c r="C641" s="47"/>
      <c r="D641" s="5"/>
      <c r="F641" s="5"/>
    </row>
    <row r="642" spans="2:6" ht="13">
      <c r="B642" s="36"/>
      <c r="C642" s="47"/>
      <c r="D642" s="5"/>
      <c r="F642" s="5"/>
    </row>
    <row r="643" spans="2:6" ht="13">
      <c r="B643" s="36"/>
      <c r="C643" s="47"/>
      <c r="D643" s="5"/>
      <c r="F643" s="5"/>
    </row>
    <row r="644" spans="2:6" ht="13">
      <c r="B644" s="36"/>
      <c r="C644" s="47"/>
      <c r="D644" s="5"/>
      <c r="F644" s="5"/>
    </row>
    <row r="645" spans="2:6" ht="13">
      <c r="B645" s="36"/>
      <c r="C645" s="47"/>
      <c r="D645" s="5"/>
      <c r="F645" s="5"/>
    </row>
    <row r="646" spans="2:6" ht="13">
      <c r="B646" s="36"/>
      <c r="C646" s="47"/>
      <c r="D646" s="5"/>
      <c r="F646" s="5"/>
    </row>
    <row r="647" spans="2:6" ht="13">
      <c r="B647" s="36"/>
      <c r="C647" s="47"/>
      <c r="D647" s="5"/>
      <c r="F647" s="5"/>
    </row>
    <row r="648" spans="2:6" ht="13">
      <c r="B648" s="36"/>
      <c r="C648" s="47"/>
      <c r="D648" s="5"/>
      <c r="F648" s="5"/>
    </row>
    <row r="649" spans="2:6" ht="13">
      <c r="B649" s="36"/>
      <c r="C649" s="47"/>
      <c r="D649" s="5"/>
      <c r="F649" s="5"/>
    </row>
    <row r="650" spans="2:6" ht="13">
      <c r="B650" s="36"/>
      <c r="C650" s="47"/>
      <c r="D650" s="5"/>
      <c r="F650" s="5"/>
    </row>
    <row r="651" spans="2:6" ht="13">
      <c r="B651" s="36"/>
      <c r="C651" s="47"/>
      <c r="D651" s="5"/>
      <c r="F651" s="5"/>
    </row>
    <row r="652" spans="2:6" ht="13">
      <c r="B652" s="36"/>
      <c r="C652" s="47"/>
      <c r="D652" s="5"/>
      <c r="F652" s="5"/>
    </row>
    <row r="653" spans="2:6" ht="13">
      <c r="B653" s="36"/>
      <c r="C653" s="47"/>
      <c r="D653" s="5"/>
      <c r="F653" s="5"/>
    </row>
    <row r="654" spans="2:6" ht="13">
      <c r="B654" s="36"/>
      <c r="C654" s="47"/>
      <c r="D654" s="5"/>
      <c r="F654" s="5"/>
    </row>
    <row r="655" spans="2:6" ht="13">
      <c r="B655" s="36"/>
      <c r="C655" s="47"/>
      <c r="D655" s="5"/>
      <c r="F655" s="5"/>
    </row>
    <row r="656" spans="2:6" ht="13">
      <c r="B656" s="36"/>
      <c r="C656" s="47"/>
      <c r="D656" s="5"/>
      <c r="F656" s="5"/>
    </row>
    <row r="657" spans="2:6" ht="13">
      <c r="B657" s="36"/>
      <c r="C657" s="47"/>
      <c r="D657" s="5"/>
      <c r="F657" s="5"/>
    </row>
    <row r="658" spans="2:6" ht="13">
      <c r="B658" s="36"/>
      <c r="C658" s="47"/>
      <c r="D658" s="5"/>
      <c r="F658" s="5"/>
    </row>
    <row r="659" spans="2:6" ht="13">
      <c r="B659" s="36"/>
      <c r="C659" s="47"/>
      <c r="D659" s="5"/>
      <c r="F659" s="5"/>
    </row>
    <row r="660" spans="2:6" ht="13">
      <c r="B660" s="36"/>
      <c r="C660" s="47"/>
      <c r="D660" s="5"/>
      <c r="F660" s="5"/>
    </row>
    <row r="661" spans="2:6" ht="13">
      <c r="B661" s="36"/>
      <c r="C661" s="47"/>
      <c r="D661" s="5"/>
      <c r="F661" s="5"/>
    </row>
    <row r="662" spans="2:6" ht="13">
      <c r="B662" s="36"/>
      <c r="C662" s="47"/>
      <c r="D662" s="5"/>
      <c r="F662" s="5"/>
    </row>
    <row r="663" spans="2:6" ht="13">
      <c r="B663" s="36"/>
      <c r="C663" s="47"/>
      <c r="D663" s="5"/>
      <c r="F663" s="5"/>
    </row>
    <row r="664" spans="2:6" ht="13">
      <c r="B664" s="36"/>
      <c r="C664" s="47"/>
      <c r="D664" s="5"/>
      <c r="F664" s="5"/>
    </row>
    <row r="665" spans="2:6" ht="13">
      <c r="B665" s="36"/>
      <c r="C665" s="47"/>
      <c r="D665" s="5"/>
      <c r="F665" s="5"/>
    </row>
    <row r="666" spans="2:6" ht="13">
      <c r="B666" s="36"/>
      <c r="C666" s="47"/>
      <c r="D666" s="5"/>
      <c r="F666" s="5"/>
    </row>
    <row r="667" spans="2:6" ht="13">
      <c r="B667" s="36"/>
      <c r="C667" s="47"/>
      <c r="D667" s="5"/>
      <c r="F667" s="5"/>
    </row>
    <row r="668" spans="2:6" ht="13">
      <c r="B668" s="36"/>
      <c r="C668" s="47"/>
      <c r="D668" s="5"/>
      <c r="F668" s="5"/>
    </row>
    <row r="669" spans="2:6" ht="13">
      <c r="B669" s="36"/>
      <c r="C669" s="47"/>
      <c r="D669" s="5"/>
      <c r="F669" s="5"/>
    </row>
    <row r="670" spans="2:6" ht="13">
      <c r="B670" s="36"/>
      <c r="C670" s="47"/>
      <c r="D670" s="5"/>
      <c r="F670" s="5"/>
    </row>
    <row r="671" spans="2:6" ht="13">
      <c r="B671" s="36"/>
      <c r="C671" s="47"/>
      <c r="D671" s="5"/>
      <c r="F671" s="5"/>
    </row>
    <row r="672" spans="2:6" ht="13">
      <c r="B672" s="36"/>
      <c r="C672" s="47"/>
      <c r="D672" s="5"/>
      <c r="F672" s="5"/>
    </row>
    <row r="673" spans="2:6" ht="13">
      <c r="B673" s="36"/>
      <c r="C673" s="47"/>
      <c r="D673" s="5"/>
      <c r="F673" s="5"/>
    </row>
    <row r="674" spans="2:6" ht="13">
      <c r="B674" s="36"/>
      <c r="C674" s="47"/>
      <c r="D674" s="5"/>
      <c r="F674" s="5"/>
    </row>
    <row r="675" spans="2:6" ht="13">
      <c r="B675" s="36"/>
      <c r="C675" s="47"/>
      <c r="D675" s="5"/>
      <c r="F675" s="5"/>
    </row>
    <row r="676" spans="2:6" ht="13">
      <c r="B676" s="36"/>
      <c r="C676" s="47"/>
      <c r="D676" s="5"/>
      <c r="F676" s="5"/>
    </row>
    <row r="677" spans="2:6" ht="13">
      <c r="B677" s="36"/>
      <c r="C677" s="47"/>
      <c r="D677" s="5"/>
      <c r="F677" s="5"/>
    </row>
    <row r="678" spans="2:6" ht="13">
      <c r="B678" s="36"/>
      <c r="C678" s="47"/>
      <c r="D678" s="5"/>
      <c r="F678" s="5"/>
    </row>
    <row r="679" spans="2:6" ht="13">
      <c r="B679" s="36"/>
      <c r="C679" s="47"/>
      <c r="D679" s="5"/>
      <c r="F679" s="5"/>
    </row>
    <row r="680" spans="2:6" ht="13">
      <c r="B680" s="36"/>
      <c r="C680" s="47"/>
      <c r="D680" s="5"/>
      <c r="F680" s="5"/>
    </row>
    <row r="681" spans="2:6" ht="13">
      <c r="B681" s="36"/>
      <c r="C681" s="47"/>
      <c r="D681" s="5"/>
      <c r="F681" s="5"/>
    </row>
    <row r="682" spans="2:6" ht="13">
      <c r="B682" s="36"/>
      <c r="C682" s="47"/>
      <c r="D682" s="5"/>
      <c r="F682" s="5"/>
    </row>
    <row r="683" spans="2:6" ht="13">
      <c r="B683" s="36"/>
      <c r="C683" s="47"/>
      <c r="D683" s="5"/>
      <c r="F683" s="5"/>
    </row>
    <row r="684" spans="2:6" ht="13">
      <c r="B684" s="36"/>
      <c r="C684" s="47"/>
      <c r="D684" s="5"/>
      <c r="F684" s="5"/>
    </row>
    <row r="685" spans="2:6" ht="13">
      <c r="B685" s="36"/>
      <c r="C685" s="47"/>
      <c r="D685" s="5"/>
      <c r="F685" s="5"/>
    </row>
    <row r="686" spans="2:6" ht="13">
      <c r="B686" s="36"/>
      <c r="C686" s="47"/>
      <c r="D686" s="5"/>
      <c r="F686" s="5"/>
    </row>
    <row r="687" spans="2:6" ht="13">
      <c r="B687" s="36"/>
      <c r="C687" s="47"/>
      <c r="D687" s="5"/>
      <c r="F687" s="5"/>
    </row>
    <row r="688" spans="2:6" ht="13">
      <c r="B688" s="36"/>
      <c r="C688" s="47"/>
      <c r="D688" s="5"/>
      <c r="F688" s="5"/>
    </row>
    <row r="689" spans="2:6" ht="13">
      <c r="B689" s="36"/>
      <c r="C689" s="47"/>
      <c r="D689" s="5"/>
      <c r="F689" s="5"/>
    </row>
    <row r="690" spans="2:6" ht="13">
      <c r="B690" s="36"/>
      <c r="C690" s="47"/>
      <c r="D690" s="5"/>
      <c r="F690" s="5"/>
    </row>
    <row r="691" spans="2:6" ht="13">
      <c r="B691" s="36"/>
      <c r="C691" s="47"/>
      <c r="D691" s="5"/>
      <c r="F691" s="5"/>
    </row>
    <row r="692" spans="2:6" ht="13">
      <c r="B692" s="36"/>
      <c r="C692" s="47"/>
      <c r="D692" s="5"/>
      <c r="F692" s="5"/>
    </row>
    <row r="693" spans="2:6" ht="13">
      <c r="B693" s="36"/>
      <c r="C693" s="47"/>
      <c r="D693" s="5"/>
      <c r="F693" s="5"/>
    </row>
    <row r="694" spans="2:6" ht="13">
      <c r="B694" s="36"/>
      <c r="C694" s="47"/>
      <c r="D694" s="5"/>
      <c r="F694" s="5"/>
    </row>
    <row r="695" spans="2:6" ht="13">
      <c r="B695" s="36"/>
      <c r="C695" s="47"/>
      <c r="D695" s="5"/>
      <c r="F695" s="5"/>
    </row>
    <row r="696" spans="2:6" ht="13">
      <c r="B696" s="36"/>
      <c r="C696" s="47"/>
      <c r="D696" s="5"/>
      <c r="F696" s="5"/>
    </row>
    <row r="697" spans="2:6" ht="13">
      <c r="B697" s="36"/>
      <c r="C697" s="47"/>
      <c r="D697" s="5"/>
      <c r="F697" s="5"/>
    </row>
    <row r="698" spans="2:6" ht="13">
      <c r="B698" s="36"/>
      <c r="C698" s="47"/>
      <c r="D698" s="5"/>
      <c r="F698" s="5"/>
    </row>
    <row r="699" spans="2:6" ht="13">
      <c r="B699" s="36"/>
      <c r="C699" s="47"/>
      <c r="D699" s="5"/>
      <c r="F699" s="5"/>
    </row>
    <row r="700" spans="2:6" ht="13">
      <c r="B700" s="36"/>
      <c r="C700" s="47"/>
      <c r="D700" s="5"/>
      <c r="F700" s="5"/>
    </row>
    <row r="701" spans="2:6" ht="13">
      <c r="B701" s="36"/>
      <c r="C701" s="47"/>
      <c r="D701" s="5"/>
      <c r="F701" s="5"/>
    </row>
    <row r="702" spans="2:6" ht="13">
      <c r="B702" s="36"/>
      <c r="C702" s="47"/>
      <c r="D702" s="5"/>
      <c r="F702" s="5"/>
    </row>
    <row r="703" spans="2:6" ht="13">
      <c r="B703" s="36"/>
      <c r="C703" s="47"/>
      <c r="D703" s="5"/>
      <c r="F703" s="5"/>
    </row>
    <row r="704" spans="2:6" ht="13">
      <c r="B704" s="36"/>
      <c r="C704" s="47"/>
      <c r="D704" s="5"/>
      <c r="F704" s="5"/>
    </row>
    <row r="705" spans="2:6" ht="13">
      <c r="B705" s="36"/>
      <c r="C705" s="47"/>
      <c r="D705" s="5"/>
      <c r="F705" s="5"/>
    </row>
    <row r="706" spans="2:6" ht="13">
      <c r="B706" s="36"/>
      <c r="C706" s="47"/>
      <c r="D706" s="5"/>
      <c r="F706" s="5"/>
    </row>
    <row r="707" spans="2:6" ht="13">
      <c r="B707" s="36"/>
      <c r="C707" s="47"/>
      <c r="D707" s="5"/>
      <c r="F707" s="5"/>
    </row>
    <row r="708" spans="2:6" ht="13">
      <c r="B708" s="36"/>
      <c r="C708" s="47"/>
      <c r="D708" s="5"/>
      <c r="F708" s="5"/>
    </row>
    <row r="709" spans="2:6" ht="13">
      <c r="B709" s="36"/>
      <c r="C709" s="47"/>
      <c r="D709" s="5"/>
      <c r="F709" s="5"/>
    </row>
    <row r="710" spans="2:6" ht="13">
      <c r="B710" s="36"/>
      <c r="C710" s="47"/>
      <c r="D710" s="5"/>
      <c r="F710" s="5"/>
    </row>
    <row r="711" spans="2:6" ht="13">
      <c r="B711" s="36"/>
      <c r="C711" s="47"/>
      <c r="D711" s="5"/>
      <c r="F711" s="5"/>
    </row>
    <row r="712" spans="2:6" ht="13">
      <c r="B712" s="36"/>
      <c r="C712" s="47"/>
      <c r="D712" s="5"/>
      <c r="F712" s="5"/>
    </row>
    <row r="713" spans="2:6" ht="13">
      <c r="B713" s="36"/>
      <c r="C713" s="47"/>
      <c r="D713" s="5"/>
      <c r="F713" s="5"/>
    </row>
    <row r="714" spans="2:6" ht="13">
      <c r="B714" s="36"/>
      <c r="C714" s="47"/>
      <c r="D714" s="5"/>
      <c r="F714" s="5"/>
    </row>
    <row r="715" spans="2:6" ht="13">
      <c r="B715" s="36"/>
      <c r="C715" s="47"/>
      <c r="D715" s="5"/>
      <c r="F715" s="5"/>
    </row>
    <row r="716" spans="2:6" ht="13">
      <c r="B716" s="36"/>
      <c r="C716" s="47"/>
      <c r="D716" s="5"/>
      <c r="F716" s="5"/>
    </row>
    <row r="717" spans="2:6" ht="13">
      <c r="B717" s="36"/>
      <c r="C717" s="47"/>
      <c r="D717" s="5"/>
      <c r="F717" s="5"/>
    </row>
    <row r="718" spans="2:6" ht="13">
      <c r="B718" s="36"/>
      <c r="C718" s="47"/>
      <c r="D718" s="5"/>
      <c r="F718" s="5"/>
    </row>
    <row r="719" spans="2:6" ht="13">
      <c r="B719" s="36"/>
      <c r="C719" s="47"/>
      <c r="D719" s="5"/>
      <c r="F719" s="5"/>
    </row>
    <row r="720" spans="2:6" ht="13">
      <c r="B720" s="36"/>
      <c r="C720" s="47"/>
      <c r="D720" s="5"/>
      <c r="F720" s="5"/>
    </row>
    <row r="721" spans="2:6" ht="13">
      <c r="B721" s="36"/>
      <c r="C721" s="47"/>
      <c r="D721" s="5"/>
      <c r="F721" s="5"/>
    </row>
    <row r="722" spans="2:6" ht="13">
      <c r="B722" s="36"/>
      <c r="C722" s="47"/>
      <c r="D722" s="5"/>
      <c r="F722" s="5"/>
    </row>
    <row r="723" spans="2:6" ht="13">
      <c r="B723" s="36"/>
      <c r="C723" s="47"/>
      <c r="D723" s="5"/>
      <c r="F723" s="5"/>
    </row>
    <row r="724" spans="2:6" ht="13">
      <c r="B724" s="36"/>
      <c r="C724" s="47"/>
      <c r="D724" s="5"/>
      <c r="F724" s="5"/>
    </row>
    <row r="725" spans="2:6" ht="13">
      <c r="B725" s="36"/>
      <c r="C725" s="47"/>
      <c r="D725" s="5"/>
      <c r="F725" s="5"/>
    </row>
    <row r="726" spans="2:6" ht="13">
      <c r="B726" s="36"/>
      <c r="C726" s="47"/>
      <c r="D726" s="5"/>
      <c r="F726" s="5"/>
    </row>
    <row r="727" spans="2:6" ht="13">
      <c r="B727" s="36"/>
      <c r="C727" s="47"/>
      <c r="D727" s="5"/>
      <c r="F727" s="5"/>
    </row>
    <row r="728" spans="2:6" ht="13">
      <c r="B728" s="36"/>
      <c r="C728" s="47"/>
      <c r="D728" s="5"/>
      <c r="F728" s="5"/>
    </row>
    <row r="729" spans="2:6" ht="13">
      <c r="B729" s="36"/>
      <c r="C729" s="47"/>
      <c r="D729" s="5"/>
      <c r="F729" s="5"/>
    </row>
    <row r="730" spans="2:6" ht="13">
      <c r="B730" s="36"/>
      <c r="C730" s="47"/>
      <c r="D730" s="5"/>
      <c r="F730" s="5"/>
    </row>
    <row r="731" spans="2:6" ht="13">
      <c r="B731" s="36"/>
      <c r="C731" s="47"/>
      <c r="D731" s="5"/>
      <c r="F731" s="5"/>
    </row>
    <row r="732" spans="2:6" ht="13">
      <c r="B732" s="36"/>
      <c r="C732" s="47"/>
      <c r="D732" s="5"/>
      <c r="F732" s="5"/>
    </row>
    <row r="733" spans="2:6" ht="13">
      <c r="B733" s="36"/>
      <c r="C733" s="47"/>
      <c r="D733" s="5"/>
      <c r="F733" s="5"/>
    </row>
    <row r="734" spans="2:6" ht="13">
      <c r="B734" s="36"/>
      <c r="C734" s="47"/>
      <c r="D734" s="5"/>
      <c r="F734" s="5"/>
    </row>
    <row r="735" spans="2:6" ht="13">
      <c r="B735" s="36"/>
      <c r="C735" s="47"/>
      <c r="D735" s="5"/>
      <c r="F735" s="5"/>
    </row>
    <row r="736" spans="2:6" ht="13">
      <c r="B736" s="36"/>
      <c r="C736" s="47"/>
      <c r="D736" s="5"/>
      <c r="F736" s="5"/>
    </row>
    <row r="737" spans="2:6" ht="13">
      <c r="B737" s="36"/>
      <c r="C737" s="47"/>
      <c r="D737" s="5"/>
      <c r="F737" s="5"/>
    </row>
    <row r="738" spans="2:6" ht="13">
      <c r="B738" s="36"/>
      <c r="C738" s="47"/>
      <c r="D738" s="5"/>
      <c r="F738" s="5"/>
    </row>
    <row r="739" spans="2:6" ht="13">
      <c r="B739" s="36"/>
      <c r="C739" s="47"/>
      <c r="D739" s="5"/>
      <c r="F739" s="5"/>
    </row>
    <row r="740" spans="2:6" ht="13">
      <c r="B740" s="36"/>
      <c r="C740" s="47"/>
      <c r="D740" s="5"/>
      <c r="F740" s="5"/>
    </row>
    <row r="741" spans="2:6" ht="13">
      <c r="B741" s="36"/>
      <c r="C741" s="47"/>
      <c r="D741" s="5"/>
      <c r="F741" s="5"/>
    </row>
    <row r="742" spans="2:6" ht="13">
      <c r="B742" s="36"/>
      <c r="C742" s="47"/>
      <c r="D742" s="5"/>
      <c r="F742" s="5"/>
    </row>
    <row r="743" spans="2:6" ht="13">
      <c r="B743" s="36"/>
      <c r="C743" s="47"/>
      <c r="D743" s="5"/>
      <c r="F743" s="5"/>
    </row>
    <row r="744" spans="2:6" ht="13">
      <c r="B744" s="36"/>
      <c r="C744" s="47"/>
      <c r="D744" s="5"/>
      <c r="F744" s="5"/>
    </row>
    <row r="745" spans="2:6" ht="13">
      <c r="B745" s="36"/>
      <c r="C745" s="47"/>
      <c r="D745" s="5"/>
      <c r="F745" s="5"/>
    </row>
    <row r="746" spans="2:6" ht="13">
      <c r="B746" s="36"/>
      <c r="C746" s="47"/>
      <c r="D746" s="5"/>
      <c r="F746" s="5"/>
    </row>
    <row r="747" spans="2:6" ht="13">
      <c r="B747" s="36"/>
      <c r="C747" s="47"/>
      <c r="D747" s="5"/>
      <c r="F747" s="5"/>
    </row>
    <row r="748" spans="2:6" ht="13">
      <c r="B748" s="36"/>
      <c r="C748" s="47"/>
      <c r="D748" s="5"/>
      <c r="F748" s="5"/>
    </row>
    <row r="749" spans="2:6" ht="13">
      <c r="B749" s="36"/>
      <c r="C749" s="47"/>
      <c r="D749" s="5"/>
      <c r="F749" s="5"/>
    </row>
    <row r="750" spans="2:6" ht="13">
      <c r="B750" s="36"/>
      <c r="C750" s="47"/>
      <c r="D750" s="5"/>
      <c r="F750" s="5"/>
    </row>
    <row r="751" spans="2:6" ht="13">
      <c r="B751" s="36"/>
      <c r="C751" s="47"/>
      <c r="D751" s="5"/>
      <c r="F751" s="5"/>
    </row>
    <row r="752" spans="2:6" ht="13">
      <c r="B752" s="36"/>
      <c r="C752" s="47"/>
      <c r="D752" s="5"/>
      <c r="F752" s="5"/>
    </row>
    <row r="753" spans="2:6" ht="13">
      <c r="B753" s="36"/>
      <c r="C753" s="47"/>
      <c r="D753" s="5"/>
      <c r="F753" s="5"/>
    </row>
    <row r="754" spans="2:6" ht="13">
      <c r="B754" s="36"/>
      <c r="C754" s="47"/>
      <c r="D754" s="5"/>
      <c r="F754" s="5"/>
    </row>
    <row r="755" spans="2:6" ht="13">
      <c r="B755" s="36"/>
      <c r="C755" s="47"/>
      <c r="D755" s="5"/>
      <c r="F755" s="5"/>
    </row>
    <row r="756" spans="2:6" ht="13">
      <c r="B756" s="36"/>
      <c r="C756" s="47"/>
      <c r="D756" s="5"/>
      <c r="F756" s="5"/>
    </row>
    <row r="757" spans="2:6" ht="13">
      <c r="B757" s="36"/>
      <c r="C757" s="47"/>
      <c r="D757" s="5"/>
      <c r="F757" s="5"/>
    </row>
    <row r="758" spans="2:6" ht="13">
      <c r="B758" s="36"/>
      <c r="C758" s="47"/>
      <c r="D758" s="5"/>
      <c r="F758" s="5"/>
    </row>
    <row r="759" spans="2:6" ht="13">
      <c r="B759" s="36"/>
      <c r="C759" s="47"/>
      <c r="D759" s="5"/>
      <c r="F759" s="5"/>
    </row>
    <row r="760" spans="2:6" ht="13">
      <c r="B760" s="36"/>
      <c r="C760" s="47"/>
      <c r="D760" s="5"/>
      <c r="F760" s="5"/>
    </row>
    <row r="761" spans="2:6" ht="13">
      <c r="B761" s="36"/>
      <c r="C761" s="47"/>
      <c r="D761" s="5"/>
      <c r="F761" s="5"/>
    </row>
    <row r="762" spans="2:6" ht="13">
      <c r="B762" s="36"/>
      <c r="C762" s="47"/>
      <c r="D762" s="5"/>
      <c r="F762" s="5"/>
    </row>
    <row r="763" spans="2:6" ht="13">
      <c r="B763" s="36"/>
      <c r="C763" s="47"/>
      <c r="D763" s="5"/>
      <c r="F763" s="5"/>
    </row>
    <row r="764" spans="2:6" ht="13">
      <c r="B764" s="36"/>
      <c r="C764" s="47"/>
      <c r="D764" s="5"/>
      <c r="F764" s="5"/>
    </row>
    <row r="765" spans="2:6" ht="13">
      <c r="B765" s="36"/>
      <c r="C765" s="47"/>
      <c r="D765" s="5"/>
      <c r="F765" s="5"/>
    </row>
    <row r="766" spans="2:6" ht="13">
      <c r="B766" s="36"/>
      <c r="C766" s="47"/>
      <c r="D766" s="5"/>
      <c r="F766" s="5"/>
    </row>
    <row r="767" spans="2:6" ht="13">
      <c r="B767" s="36"/>
      <c r="C767" s="47"/>
      <c r="D767" s="5"/>
      <c r="F767" s="5"/>
    </row>
    <row r="768" spans="2:6" ht="13">
      <c r="B768" s="36"/>
      <c r="C768" s="47"/>
      <c r="D768" s="5"/>
      <c r="F768" s="5"/>
    </row>
    <row r="769" spans="2:6" ht="13">
      <c r="B769" s="36"/>
      <c r="C769" s="47"/>
      <c r="D769" s="5"/>
      <c r="F769" s="5"/>
    </row>
    <row r="770" spans="2:6" ht="13">
      <c r="B770" s="36"/>
      <c r="C770" s="47"/>
      <c r="D770" s="5"/>
      <c r="F770" s="5"/>
    </row>
    <row r="771" spans="2:6" ht="13">
      <c r="B771" s="36"/>
      <c r="C771" s="47"/>
      <c r="D771" s="5"/>
      <c r="F771" s="5"/>
    </row>
    <row r="772" spans="2:6" ht="13">
      <c r="B772" s="36"/>
      <c r="C772" s="47"/>
      <c r="D772" s="5"/>
      <c r="F772" s="5"/>
    </row>
    <row r="773" spans="2:6" ht="13">
      <c r="B773" s="36"/>
      <c r="C773" s="47"/>
      <c r="D773" s="5"/>
      <c r="F773" s="5"/>
    </row>
    <row r="774" spans="2:6" ht="13">
      <c r="B774" s="36"/>
      <c r="C774" s="47"/>
      <c r="D774" s="5"/>
      <c r="F774" s="5"/>
    </row>
    <row r="775" spans="2:6" ht="13">
      <c r="B775" s="36"/>
      <c r="C775" s="47"/>
      <c r="D775" s="5"/>
      <c r="F775" s="5"/>
    </row>
    <row r="776" spans="2:6" ht="13">
      <c r="B776" s="36"/>
      <c r="C776" s="47"/>
      <c r="D776" s="5"/>
      <c r="F776" s="5"/>
    </row>
    <row r="777" spans="2:6" ht="13">
      <c r="B777" s="36"/>
      <c r="C777" s="47"/>
      <c r="D777" s="5"/>
      <c r="F777" s="5"/>
    </row>
    <row r="778" spans="2:6" ht="13">
      <c r="B778" s="36"/>
      <c r="C778" s="47"/>
      <c r="D778" s="5"/>
      <c r="F778" s="5"/>
    </row>
    <row r="779" spans="2:6" ht="13">
      <c r="B779" s="36"/>
      <c r="C779" s="47"/>
      <c r="D779" s="5"/>
      <c r="F779" s="5"/>
    </row>
    <row r="780" spans="2:6" ht="13">
      <c r="B780" s="36"/>
      <c r="C780" s="47"/>
      <c r="D780" s="5"/>
      <c r="F780" s="5"/>
    </row>
    <row r="781" spans="2:6" ht="13">
      <c r="B781" s="36"/>
      <c r="C781" s="47"/>
      <c r="D781" s="5"/>
      <c r="F781" s="5"/>
    </row>
    <row r="782" spans="2:6" ht="13">
      <c r="B782" s="36"/>
      <c r="C782" s="47"/>
      <c r="D782" s="5"/>
      <c r="F782" s="5"/>
    </row>
    <row r="783" spans="2:6" ht="13">
      <c r="B783" s="36"/>
      <c r="C783" s="47"/>
      <c r="D783" s="5"/>
      <c r="F783" s="5"/>
    </row>
    <row r="784" spans="2:6" ht="13">
      <c r="B784" s="36"/>
      <c r="C784" s="47"/>
      <c r="D784" s="5"/>
      <c r="F784" s="5"/>
    </row>
    <row r="785" spans="2:6" ht="13">
      <c r="B785" s="36"/>
      <c r="C785" s="47"/>
      <c r="D785" s="5"/>
      <c r="F785" s="5"/>
    </row>
    <row r="786" spans="2:6" ht="13">
      <c r="B786" s="36"/>
      <c r="C786" s="47"/>
      <c r="D786" s="5"/>
      <c r="F786" s="5"/>
    </row>
    <row r="787" spans="2:6" ht="13">
      <c r="B787" s="36"/>
      <c r="C787" s="47"/>
      <c r="D787" s="5"/>
      <c r="F787" s="5"/>
    </row>
    <row r="788" spans="2:6" ht="13">
      <c r="B788" s="36"/>
      <c r="C788" s="47"/>
      <c r="D788" s="5"/>
      <c r="F788" s="5"/>
    </row>
    <row r="789" spans="2:6" ht="13">
      <c r="B789" s="36"/>
      <c r="C789" s="47"/>
      <c r="D789" s="5"/>
      <c r="F789" s="5"/>
    </row>
    <row r="790" spans="2:6" ht="13">
      <c r="B790" s="36"/>
      <c r="C790" s="47"/>
      <c r="D790" s="5"/>
      <c r="F790" s="5"/>
    </row>
    <row r="791" spans="2:6" ht="13">
      <c r="B791" s="36"/>
      <c r="C791" s="47"/>
      <c r="D791" s="5"/>
      <c r="F791" s="5"/>
    </row>
    <row r="792" spans="2:6" ht="13">
      <c r="B792" s="36"/>
      <c r="C792" s="47"/>
      <c r="D792" s="5"/>
      <c r="F792" s="5"/>
    </row>
    <row r="793" spans="2:6" ht="13">
      <c r="B793" s="36"/>
      <c r="C793" s="47"/>
      <c r="D793" s="5"/>
      <c r="F793" s="5"/>
    </row>
    <row r="794" spans="2:6" ht="13">
      <c r="B794" s="36"/>
      <c r="C794" s="47"/>
      <c r="D794" s="5"/>
      <c r="F794" s="5"/>
    </row>
    <row r="795" spans="2:6" ht="13">
      <c r="B795" s="36"/>
      <c r="C795" s="47"/>
      <c r="D795" s="5"/>
      <c r="F795" s="5"/>
    </row>
    <row r="796" spans="2:6" ht="13">
      <c r="B796" s="36"/>
      <c r="C796" s="47"/>
      <c r="D796" s="5"/>
      <c r="F796" s="5"/>
    </row>
    <row r="797" spans="2:6" ht="13">
      <c r="B797" s="36"/>
      <c r="C797" s="47"/>
      <c r="D797" s="5"/>
      <c r="F797" s="5"/>
    </row>
    <row r="798" spans="2:6" ht="13">
      <c r="B798" s="36"/>
      <c r="C798" s="47"/>
      <c r="D798" s="5"/>
      <c r="F798" s="5"/>
    </row>
    <row r="799" spans="2:6" ht="13">
      <c r="B799" s="36"/>
      <c r="C799" s="47"/>
      <c r="D799" s="5"/>
      <c r="F799" s="5"/>
    </row>
    <row r="800" spans="2:6" ht="13">
      <c r="B800" s="36"/>
      <c r="C800" s="47"/>
      <c r="D800" s="5"/>
      <c r="F800" s="5"/>
    </row>
    <row r="801" spans="2:6" ht="13">
      <c r="B801" s="36"/>
      <c r="C801" s="47"/>
      <c r="D801" s="5"/>
      <c r="F801" s="5"/>
    </row>
    <row r="802" spans="2:6" ht="13">
      <c r="B802" s="36"/>
      <c r="C802" s="47"/>
      <c r="D802" s="5"/>
      <c r="F802" s="5"/>
    </row>
    <row r="803" spans="2:6" ht="13">
      <c r="B803" s="36"/>
      <c r="C803" s="47"/>
      <c r="D803" s="5"/>
      <c r="F803" s="5"/>
    </row>
    <row r="804" spans="2:6" ht="13">
      <c r="B804" s="36"/>
      <c r="C804" s="47"/>
      <c r="D804" s="5"/>
      <c r="F804" s="5"/>
    </row>
    <row r="805" spans="2:6" ht="13">
      <c r="B805" s="36"/>
      <c r="C805" s="47"/>
      <c r="D805" s="5"/>
      <c r="F805" s="5"/>
    </row>
    <row r="806" spans="2:6" ht="13">
      <c r="B806" s="36"/>
      <c r="C806" s="47"/>
      <c r="D806" s="5"/>
      <c r="F806" s="5"/>
    </row>
    <row r="807" spans="2:6" ht="13">
      <c r="B807" s="36"/>
      <c r="C807" s="47"/>
      <c r="D807" s="5"/>
      <c r="F807" s="5"/>
    </row>
    <row r="808" spans="2:6" ht="13">
      <c r="B808" s="36"/>
      <c r="C808" s="47"/>
      <c r="D808" s="5"/>
      <c r="F808" s="5"/>
    </row>
    <row r="809" spans="2:6" ht="13">
      <c r="B809" s="36"/>
      <c r="C809" s="47"/>
      <c r="D809" s="5"/>
      <c r="F809" s="5"/>
    </row>
    <row r="810" spans="2:6" ht="13">
      <c r="B810" s="36"/>
      <c r="C810" s="47"/>
      <c r="D810" s="5"/>
      <c r="F810" s="5"/>
    </row>
    <row r="811" spans="2:6" ht="13">
      <c r="B811" s="36"/>
      <c r="C811" s="47"/>
      <c r="D811" s="5"/>
      <c r="F811" s="5"/>
    </row>
    <row r="812" spans="2:6" ht="13">
      <c r="B812" s="36"/>
      <c r="C812" s="47"/>
      <c r="D812" s="5"/>
      <c r="F812" s="5"/>
    </row>
    <row r="813" spans="2:6" ht="13">
      <c r="B813" s="36"/>
      <c r="C813" s="47"/>
      <c r="D813" s="5"/>
      <c r="F813" s="5"/>
    </row>
    <row r="814" spans="2:6" ht="13">
      <c r="B814" s="36"/>
      <c r="C814" s="47"/>
      <c r="D814" s="5"/>
      <c r="F814" s="5"/>
    </row>
    <row r="815" spans="2:6" ht="13">
      <c r="B815" s="36"/>
      <c r="C815" s="47"/>
      <c r="D815" s="5"/>
      <c r="F815" s="5"/>
    </row>
    <row r="816" spans="2:6" ht="13">
      <c r="B816" s="36"/>
      <c r="C816" s="47"/>
      <c r="D816" s="5"/>
      <c r="F816" s="5"/>
    </row>
    <row r="817" spans="2:6" ht="13">
      <c r="B817" s="36"/>
      <c r="C817" s="47"/>
      <c r="D817" s="5"/>
      <c r="F817" s="5"/>
    </row>
    <row r="818" spans="2:6" ht="13">
      <c r="B818" s="36"/>
      <c r="C818" s="47"/>
      <c r="D818" s="5"/>
      <c r="F818" s="5"/>
    </row>
    <row r="819" spans="2:6" ht="13">
      <c r="B819" s="36"/>
      <c r="C819" s="47"/>
      <c r="D819" s="5"/>
      <c r="F819" s="5"/>
    </row>
    <row r="820" spans="2:6" ht="13">
      <c r="B820" s="36"/>
      <c r="C820" s="47"/>
      <c r="D820" s="5"/>
      <c r="F820" s="5"/>
    </row>
    <row r="821" spans="2:6" ht="13">
      <c r="B821" s="36"/>
      <c r="C821" s="47"/>
      <c r="D821" s="5"/>
      <c r="F821" s="5"/>
    </row>
    <row r="822" spans="2:6" ht="13">
      <c r="B822" s="36"/>
      <c r="C822" s="47"/>
      <c r="D822" s="5"/>
      <c r="F822" s="5"/>
    </row>
    <row r="823" spans="2:6" ht="13">
      <c r="B823" s="36"/>
      <c r="C823" s="47"/>
      <c r="D823" s="5"/>
      <c r="F823" s="5"/>
    </row>
    <row r="824" spans="2:6" ht="13">
      <c r="B824" s="36"/>
      <c r="C824" s="47"/>
      <c r="D824" s="5"/>
      <c r="F824" s="5"/>
    </row>
    <row r="825" spans="2:6" ht="13">
      <c r="B825" s="36"/>
      <c r="C825" s="47"/>
      <c r="D825" s="5"/>
      <c r="F825" s="5"/>
    </row>
    <row r="826" spans="2:6" ht="13">
      <c r="B826" s="36"/>
      <c r="C826" s="47"/>
      <c r="D826" s="5"/>
      <c r="F826" s="5"/>
    </row>
    <row r="827" spans="2:6" ht="13">
      <c r="B827" s="36"/>
      <c r="C827" s="47"/>
      <c r="D827" s="5"/>
      <c r="F827" s="5"/>
    </row>
    <row r="828" spans="2:6" ht="13">
      <c r="B828" s="36"/>
      <c r="C828" s="47"/>
      <c r="D828" s="5"/>
      <c r="F828" s="5"/>
    </row>
    <row r="829" spans="2:6" ht="13">
      <c r="B829" s="36"/>
      <c r="C829" s="47"/>
      <c r="D829" s="5"/>
      <c r="F829" s="5"/>
    </row>
    <row r="830" spans="2:6" ht="13">
      <c r="B830" s="36"/>
      <c r="C830" s="47"/>
      <c r="D830" s="5"/>
      <c r="F830" s="5"/>
    </row>
    <row r="831" spans="2:6" ht="13">
      <c r="B831" s="36"/>
      <c r="C831" s="47"/>
      <c r="D831" s="5"/>
      <c r="F831" s="5"/>
    </row>
    <row r="832" spans="2:6" ht="13">
      <c r="B832" s="36"/>
      <c r="C832" s="47"/>
      <c r="D832" s="5"/>
      <c r="F832" s="5"/>
    </row>
    <row r="833" spans="2:6" ht="13">
      <c r="B833" s="36"/>
      <c r="C833" s="47"/>
      <c r="D833" s="5"/>
      <c r="F833" s="5"/>
    </row>
    <row r="834" spans="2:6" ht="13">
      <c r="B834" s="36"/>
      <c r="C834" s="47"/>
      <c r="D834" s="5"/>
      <c r="F834" s="5"/>
    </row>
    <row r="835" spans="2:6" ht="13">
      <c r="B835" s="36"/>
      <c r="C835" s="47"/>
      <c r="D835" s="5"/>
      <c r="F835" s="5"/>
    </row>
    <row r="836" spans="2:6" ht="13">
      <c r="B836" s="36"/>
      <c r="C836" s="47"/>
      <c r="D836" s="5"/>
      <c r="F836" s="5"/>
    </row>
    <row r="837" spans="2:6" ht="13">
      <c r="B837" s="36"/>
      <c r="C837" s="47"/>
      <c r="D837" s="5"/>
      <c r="F837" s="5"/>
    </row>
    <row r="838" spans="2:6" ht="13">
      <c r="B838" s="36"/>
      <c r="C838" s="47"/>
      <c r="D838" s="5"/>
      <c r="F838" s="5"/>
    </row>
    <row r="839" spans="2:6" ht="13">
      <c r="B839" s="36"/>
      <c r="C839" s="47"/>
      <c r="D839" s="5"/>
      <c r="F839" s="5"/>
    </row>
    <row r="840" spans="2:6" ht="13">
      <c r="B840" s="36"/>
      <c r="C840" s="47"/>
      <c r="D840" s="5"/>
      <c r="F840" s="5"/>
    </row>
    <row r="841" spans="2:6" ht="13">
      <c r="B841" s="36"/>
      <c r="C841" s="47"/>
      <c r="D841" s="5"/>
      <c r="F841" s="5"/>
    </row>
    <row r="842" spans="2:6" ht="13">
      <c r="B842" s="36"/>
      <c r="C842" s="47"/>
      <c r="D842" s="5"/>
      <c r="F842" s="5"/>
    </row>
    <row r="843" spans="2:6" ht="13">
      <c r="B843" s="36"/>
      <c r="C843" s="47"/>
      <c r="D843" s="5"/>
      <c r="F843" s="5"/>
    </row>
    <row r="844" spans="2:6" ht="13">
      <c r="B844" s="36"/>
      <c r="C844" s="47"/>
      <c r="D844" s="5"/>
      <c r="F844" s="5"/>
    </row>
    <row r="845" spans="2:6" ht="13">
      <c r="B845" s="36"/>
      <c r="C845" s="47"/>
      <c r="D845" s="5"/>
      <c r="F845" s="5"/>
    </row>
    <row r="846" spans="2:6" ht="13">
      <c r="B846" s="36"/>
      <c r="C846" s="47"/>
      <c r="D846" s="5"/>
      <c r="F846" s="5"/>
    </row>
    <row r="847" spans="2:6" ht="13">
      <c r="B847" s="36"/>
      <c r="C847" s="47"/>
      <c r="D847" s="5"/>
      <c r="F847" s="5"/>
    </row>
    <row r="848" spans="2:6" ht="13">
      <c r="B848" s="36"/>
      <c r="C848" s="47"/>
      <c r="D848" s="5"/>
      <c r="F848" s="5"/>
    </row>
    <row r="849" spans="2:6" ht="13">
      <c r="B849" s="36"/>
      <c r="C849" s="47"/>
      <c r="D849" s="5"/>
      <c r="F849" s="5"/>
    </row>
    <row r="850" spans="2:6" ht="13">
      <c r="B850" s="36"/>
      <c r="C850" s="47"/>
      <c r="D850" s="5"/>
      <c r="F850" s="5"/>
    </row>
    <row r="851" spans="2:6" ht="13">
      <c r="B851" s="36"/>
      <c r="C851" s="47"/>
      <c r="D851" s="5"/>
      <c r="F851" s="5"/>
    </row>
    <row r="852" spans="2:6" ht="13">
      <c r="B852" s="36"/>
      <c r="C852" s="47"/>
      <c r="D852" s="5"/>
      <c r="F852" s="5"/>
    </row>
    <row r="853" spans="2:6" ht="13">
      <c r="B853" s="36"/>
      <c r="C853" s="47"/>
      <c r="D853" s="5"/>
      <c r="F853" s="5"/>
    </row>
    <row r="854" spans="2:6" ht="13">
      <c r="B854" s="36"/>
      <c r="C854" s="47"/>
      <c r="D854" s="5"/>
      <c r="F854" s="5"/>
    </row>
    <row r="855" spans="2:6" ht="13">
      <c r="B855" s="36"/>
      <c r="C855" s="47"/>
      <c r="D855" s="5"/>
      <c r="F855" s="5"/>
    </row>
    <row r="856" spans="2:6" ht="13">
      <c r="B856" s="36"/>
      <c r="C856" s="47"/>
      <c r="D856" s="5"/>
      <c r="F856" s="5"/>
    </row>
    <row r="857" spans="2:6" ht="13">
      <c r="B857" s="36"/>
      <c r="C857" s="47"/>
      <c r="D857" s="5"/>
      <c r="F857" s="5"/>
    </row>
    <row r="858" spans="2:6" ht="13">
      <c r="B858" s="36"/>
      <c r="C858" s="47"/>
      <c r="D858" s="5"/>
      <c r="F858" s="5"/>
    </row>
    <row r="859" spans="2:6" ht="13">
      <c r="B859" s="36"/>
      <c r="C859" s="47"/>
      <c r="D859" s="5"/>
      <c r="F859" s="5"/>
    </row>
    <row r="860" spans="2:6" ht="13">
      <c r="B860" s="36"/>
      <c r="C860" s="47"/>
      <c r="D860" s="5"/>
      <c r="F860" s="5"/>
    </row>
    <row r="861" spans="2:6" ht="13">
      <c r="B861" s="36"/>
      <c r="C861" s="47"/>
      <c r="D861" s="5"/>
      <c r="F861" s="5"/>
    </row>
    <row r="862" spans="2:6" ht="13">
      <c r="B862" s="36"/>
      <c r="C862" s="47"/>
      <c r="D862" s="5"/>
      <c r="F862" s="5"/>
    </row>
    <row r="863" spans="2:6" ht="13">
      <c r="B863" s="36"/>
      <c r="C863" s="47"/>
      <c r="D863" s="5"/>
      <c r="F863" s="5"/>
    </row>
    <row r="864" spans="2:6" ht="13">
      <c r="B864" s="36"/>
      <c r="C864" s="47"/>
      <c r="D864" s="5"/>
      <c r="F864" s="5"/>
    </row>
    <row r="865" spans="2:6" ht="13">
      <c r="B865" s="36"/>
      <c r="C865" s="47"/>
      <c r="D865" s="5"/>
      <c r="F865" s="5"/>
    </row>
    <row r="866" spans="2:6" ht="13">
      <c r="B866" s="36"/>
      <c r="C866" s="47"/>
      <c r="D866" s="5"/>
      <c r="F866" s="5"/>
    </row>
    <row r="867" spans="2:6" ht="13">
      <c r="B867" s="36"/>
      <c r="C867" s="47"/>
      <c r="D867" s="5"/>
      <c r="F867" s="5"/>
    </row>
    <row r="868" spans="2:6" ht="13">
      <c r="B868" s="36"/>
      <c r="C868" s="47"/>
      <c r="D868" s="5"/>
      <c r="F868" s="5"/>
    </row>
    <row r="869" spans="2:6" ht="13">
      <c r="B869" s="36"/>
      <c r="C869" s="47"/>
      <c r="D869" s="5"/>
      <c r="F869" s="5"/>
    </row>
    <row r="870" spans="2:6" ht="13">
      <c r="B870" s="36"/>
      <c r="C870" s="47"/>
      <c r="D870" s="5"/>
      <c r="F870" s="5"/>
    </row>
    <row r="871" spans="2:6" ht="13">
      <c r="B871" s="36"/>
      <c r="C871" s="47"/>
      <c r="D871" s="5"/>
      <c r="F871" s="5"/>
    </row>
    <row r="872" spans="2:6" ht="13">
      <c r="B872" s="36"/>
      <c r="C872" s="47"/>
      <c r="D872" s="5"/>
      <c r="F872" s="5"/>
    </row>
    <row r="873" spans="2:6" ht="13">
      <c r="B873" s="36"/>
      <c r="C873" s="47"/>
      <c r="D873" s="5"/>
      <c r="F873" s="5"/>
    </row>
    <row r="874" spans="2:6" ht="13">
      <c r="B874" s="36"/>
      <c r="C874" s="47"/>
      <c r="D874" s="5"/>
      <c r="F874" s="5"/>
    </row>
    <row r="875" spans="2:6" ht="13">
      <c r="B875" s="36"/>
      <c r="C875" s="47"/>
      <c r="D875" s="5"/>
      <c r="F875" s="5"/>
    </row>
    <row r="876" spans="2:6" ht="13">
      <c r="B876" s="36"/>
      <c r="C876" s="47"/>
      <c r="D876" s="5"/>
      <c r="F876" s="5"/>
    </row>
    <row r="877" spans="2:6" ht="13">
      <c r="B877" s="36"/>
      <c r="C877" s="47"/>
      <c r="D877" s="5"/>
      <c r="F877" s="5"/>
    </row>
    <row r="878" spans="2:6" ht="13">
      <c r="B878" s="36"/>
      <c r="C878" s="47"/>
      <c r="D878" s="5"/>
      <c r="F878" s="5"/>
    </row>
    <row r="879" spans="2:6" ht="13">
      <c r="B879" s="36"/>
      <c r="C879" s="47"/>
      <c r="D879" s="5"/>
      <c r="F879" s="5"/>
    </row>
    <row r="880" spans="2:6" ht="13">
      <c r="B880" s="36"/>
      <c r="C880" s="47"/>
      <c r="D880" s="5"/>
      <c r="F880" s="5"/>
    </row>
    <row r="881" spans="2:6" ht="13">
      <c r="B881" s="36"/>
      <c r="C881" s="47"/>
      <c r="D881" s="5"/>
      <c r="F881" s="5"/>
    </row>
    <row r="882" spans="2:6" ht="13">
      <c r="B882" s="36"/>
      <c r="C882" s="47"/>
      <c r="D882" s="5"/>
      <c r="F882" s="5"/>
    </row>
    <row r="883" spans="2:6" ht="13">
      <c r="B883" s="36"/>
      <c r="C883" s="47"/>
      <c r="D883" s="5"/>
      <c r="F883" s="5"/>
    </row>
    <row r="884" spans="2:6" ht="13">
      <c r="B884" s="36"/>
      <c r="C884" s="47"/>
      <c r="D884" s="5"/>
      <c r="F884" s="5"/>
    </row>
    <row r="885" spans="2:6" ht="13">
      <c r="B885" s="36"/>
      <c r="C885" s="47"/>
      <c r="D885" s="5"/>
      <c r="F885" s="5"/>
    </row>
    <row r="886" spans="2:6" ht="13">
      <c r="B886" s="36"/>
      <c r="C886" s="47"/>
      <c r="D886" s="5"/>
      <c r="F886" s="5"/>
    </row>
    <row r="887" spans="2:6" ht="13">
      <c r="B887" s="36"/>
      <c r="C887" s="47"/>
      <c r="D887" s="5"/>
      <c r="F887" s="5"/>
    </row>
    <row r="888" spans="2:6" ht="13">
      <c r="B888" s="36"/>
      <c r="C888" s="47"/>
      <c r="D888" s="5"/>
      <c r="F888" s="5"/>
    </row>
    <row r="889" spans="2:6" ht="13">
      <c r="B889" s="36"/>
      <c r="C889" s="47"/>
      <c r="D889" s="5"/>
      <c r="F889" s="5"/>
    </row>
    <row r="890" spans="2:6" ht="13">
      <c r="B890" s="36"/>
      <c r="C890" s="47"/>
      <c r="D890" s="5"/>
      <c r="F890" s="5"/>
    </row>
    <row r="891" spans="2:6" ht="13">
      <c r="B891" s="36"/>
      <c r="C891" s="47"/>
      <c r="D891" s="5"/>
      <c r="F891" s="5"/>
    </row>
    <row r="892" spans="2:6" ht="13">
      <c r="B892" s="36"/>
      <c r="C892" s="47"/>
      <c r="D892" s="5"/>
      <c r="F892" s="5"/>
    </row>
    <row r="893" spans="2:6" ht="13">
      <c r="B893" s="36"/>
      <c r="C893" s="47"/>
      <c r="D893" s="5"/>
      <c r="F893" s="5"/>
    </row>
    <row r="894" spans="2:6" ht="13">
      <c r="B894" s="36"/>
      <c r="C894" s="47"/>
      <c r="D894" s="5"/>
      <c r="F894" s="5"/>
    </row>
    <row r="895" spans="2:6" ht="13">
      <c r="B895" s="36"/>
      <c r="C895" s="47"/>
      <c r="D895" s="5"/>
      <c r="F895" s="5"/>
    </row>
    <row r="896" spans="2:6" ht="13">
      <c r="B896" s="36"/>
      <c r="C896" s="47"/>
      <c r="D896" s="5"/>
      <c r="F896" s="5"/>
    </row>
    <row r="897" spans="2:6" ht="13">
      <c r="B897" s="36"/>
      <c r="C897" s="47"/>
      <c r="D897" s="5"/>
      <c r="F897" s="5"/>
    </row>
    <row r="898" spans="2:6" ht="13">
      <c r="B898" s="36"/>
      <c r="C898" s="47"/>
      <c r="D898" s="5"/>
      <c r="F898" s="5"/>
    </row>
    <row r="899" spans="2:6" ht="13">
      <c r="B899" s="36"/>
      <c r="C899" s="47"/>
      <c r="D899" s="5"/>
      <c r="F899" s="5"/>
    </row>
    <row r="900" spans="2:6" ht="13">
      <c r="B900" s="36"/>
      <c r="C900" s="47"/>
      <c r="D900" s="5"/>
      <c r="F900" s="5"/>
    </row>
    <row r="901" spans="2:6" ht="13">
      <c r="B901" s="36"/>
      <c r="C901" s="47"/>
      <c r="D901" s="5"/>
      <c r="F901" s="5"/>
    </row>
    <row r="902" spans="2:6" ht="13">
      <c r="B902" s="36"/>
      <c r="C902" s="47"/>
      <c r="D902" s="5"/>
      <c r="F902" s="5"/>
    </row>
    <row r="903" spans="2:6" ht="13">
      <c r="B903" s="36"/>
      <c r="C903" s="47"/>
      <c r="D903" s="5"/>
      <c r="F903" s="5"/>
    </row>
    <row r="904" spans="2:6" ht="13">
      <c r="B904" s="36"/>
      <c r="C904" s="47"/>
      <c r="D904" s="5"/>
      <c r="F904" s="5"/>
    </row>
    <row r="905" spans="2:6" ht="13">
      <c r="B905" s="36"/>
      <c r="C905" s="47"/>
      <c r="D905" s="5"/>
      <c r="F905" s="5"/>
    </row>
    <row r="906" spans="2:6" ht="13">
      <c r="B906" s="36"/>
      <c r="C906" s="47"/>
      <c r="D906" s="5"/>
      <c r="F906" s="5"/>
    </row>
    <row r="907" spans="2:6" ht="13">
      <c r="B907" s="36"/>
      <c r="C907" s="47"/>
      <c r="D907" s="5"/>
      <c r="F907" s="5"/>
    </row>
    <row r="908" spans="2:6" ht="13">
      <c r="B908" s="36"/>
      <c r="C908" s="47"/>
      <c r="D908" s="5"/>
      <c r="F908" s="5"/>
    </row>
    <row r="909" spans="2:6" ht="13">
      <c r="B909" s="36"/>
      <c r="C909" s="47"/>
      <c r="D909" s="5"/>
      <c r="F909" s="5"/>
    </row>
    <row r="910" spans="2:6" ht="13">
      <c r="B910" s="36"/>
      <c r="C910" s="47"/>
      <c r="D910" s="5"/>
      <c r="F910" s="5"/>
    </row>
    <row r="911" spans="2:6" ht="13">
      <c r="B911" s="36"/>
      <c r="C911" s="47"/>
      <c r="D911" s="5"/>
      <c r="F911" s="5"/>
    </row>
    <row r="912" spans="2:6" ht="13">
      <c r="B912" s="36"/>
      <c r="C912" s="47"/>
      <c r="D912" s="5"/>
      <c r="F912" s="5"/>
    </row>
    <row r="913" spans="2:6" ht="13">
      <c r="B913" s="36"/>
      <c r="C913" s="47"/>
      <c r="D913" s="5"/>
      <c r="F913" s="5"/>
    </row>
    <row r="914" spans="2:6" ht="13">
      <c r="B914" s="36"/>
      <c r="C914" s="47"/>
      <c r="D914" s="5"/>
      <c r="F914" s="5"/>
    </row>
    <row r="915" spans="2:6" ht="13">
      <c r="B915" s="36"/>
      <c r="C915" s="47"/>
      <c r="D915" s="5"/>
      <c r="F915" s="5"/>
    </row>
    <row r="916" spans="2:6" ht="13">
      <c r="B916" s="36"/>
      <c r="C916" s="47"/>
      <c r="D916" s="5"/>
      <c r="F916" s="5"/>
    </row>
    <row r="917" spans="2:6" ht="13">
      <c r="B917" s="36"/>
      <c r="C917" s="47"/>
      <c r="D917" s="5"/>
      <c r="F917" s="5"/>
    </row>
    <row r="918" spans="2:6" ht="13">
      <c r="B918" s="36"/>
      <c r="C918" s="47"/>
      <c r="D918" s="5"/>
      <c r="F918" s="5"/>
    </row>
    <row r="919" spans="2:6" ht="13">
      <c r="B919" s="36"/>
      <c r="C919" s="47"/>
      <c r="D919" s="5"/>
      <c r="F919" s="5"/>
    </row>
    <row r="920" spans="2:6" ht="13">
      <c r="B920" s="36"/>
      <c r="C920" s="47"/>
      <c r="D920" s="5"/>
      <c r="F920" s="5"/>
    </row>
    <row r="921" spans="2:6" ht="13">
      <c r="B921" s="36"/>
      <c r="C921" s="47"/>
      <c r="D921" s="5"/>
      <c r="F921" s="5"/>
    </row>
    <row r="922" spans="2:6" ht="13">
      <c r="B922" s="36"/>
      <c r="C922" s="47"/>
      <c r="D922" s="5"/>
      <c r="F922" s="5"/>
    </row>
    <row r="923" spans="2:6" ht="13">
      <c r="B923" s="36"/>
      <c r="C923" s="47"/>
      <c r="D923" s="5"/>
      <c r="F923" s="5"/>
    </row>
    <row r="924" spans="2:6" ht="13">
      <c r="B924" s="36"/>
      <c r="C924" s="47"/>
      <c r="D924" s="5"/>
      <c r="F924" s="5"/>
    </row>
    <row r="925" spans="2:6" ht="13">
      <c r="B925" s="36"/>
      <c r="C925" s="47"/>
      <c r="D925" s="5"/>
      <c r="F925" s="5"/>
    </row>
    <row r="926" spans="2:6" ht="13">
      <c r="B926" s="36"/>
      <c r="C926" s="47"/>
      <c r="D926" s="5"/>
      <c r="F926" s="5"/>
    </row>
    <row r="927" spans="2:6" ht="13">
      <c r="B927" s="36"/>
      <c r="C927" s="47"/>
      <c r="D927" s="5"/>
      <c r="F927" s="5"/>
    </row>
    <row r="928" spans="2:6" ht="13">
      <c r="B928" s="36"/>
      <c r="C928" s="47"/>
      <c r="D928" s="5"/>
      <c r="F928" s="5"/>
    </row>
    <row r="929" spans="2:6" ht="13">
      <c r="B929" s="36"/>
      <c r="C929" s="47"/>
      <c r="D929" s="5"/>
      <c r="F929" s="5"/>
    </row>
    <row r="930" spans="2:6" ht="13">
      <c r="B930" s="36"/>
      <c r="C930" s="47"/>
      <c r="D930" s="5"/>
      <c r="F930" s="5"/>
    </row>
    <row r="931" spans="2:6" ht="13">
      <c r="B931" s="36"/>
      <c r="C931" s="47"/>
      <c r="D931" s="5"/>
      <c r="F931" s="5"/>
    </row>
    <row r="932" spans="2:6" ht="13">
      <c r="B932" s="36"/>
      <c r="C932" s="47"/>
      <c r="D932" s="5"/>
      <c r="F932" s="5"/>
    </row>
    <row r="933" spans="2:6" ht="13">
      <c r="B933" s="36"/>
      <c r="C933" s="47"/>
      <c r="D933" s="5"/>
      <c r="F933" s="5"/>
    </row>
    <row r="934" spans="2:6" ht="13">
      <c r="B934" s="36"/>
      <c r="C934" s="47"/>
      <c r="D934" s="5"/>
      <c r="F934" s="5"/>
    </row>
    <row r="935" spans="2:6" ht="13">
      <c r="B935" s="36"/>
      <c r="C935" s="47"/>
      <c r="D935" s="5"/>
      <c r="F935" s="5"/>
    </row>
    <row r="936" spans="2:6" ht="13">
      <c r="B936" s="36"/>
      <c r="C936" s="47"/>
      <c r="D936" s="5"/>
      <c r="F936" s="5"/>
    </row>
    <row r="937" spans="2:6" ht="13">
      <c r="B937" s="36"/>
      <c r="C937" s="47"/>
      <c r="D937" s="5"/>
      <c r="F937" s="5"/>
    </row>
    <row r="938" spans="2:6" ht="13">
      <c r="B938" s="36"/>
      <c r="C938" s="47"/>
      <c r="D938" s="5"/>
      <c r="F938" s="5"/>
    </row>
    <row r="939" spans="2:6" ht="13">
      <c r="B939" s="36"/>
      <c r="C939" s="47"/>
      <c r="D939" s="5"/>
      <c r="F939" s="5"/>
    </row>
    <row r="940" spans="2:6" ht="13">
      <c r="B940" s="36"/>
      <c r="C940" s="47"/>
      <c r="D940" s="5"/>
      <c r="F940" s="5"/>
    </row>
    <row r="941" spans="2:6" ht="13">
      <c r="B941" s="36"/>
      <c r="C941" s="47"/>
      <c r="D941" s="5"/>
      <c r="F941" s="5"/>
    </row>
    <row r="942" spans="2:6" ht="13">
      <c r="B942" s="36"/>
      <c r="C942" s="47"/>
      <c r="D942" s="5"/>
      <c r="F942" s="5"/>
    </row>
    <row r="943" spans="2:6" ht="13">
      <c r="B943" s="36"/>
      <c r="C943" s="47"/>
      <c r="D943" s="5"/>
      <c r="F943" s="5"/>
    </row>
    <row r="944" spans="2:6" ht="13">
      <c r="B944" s="36"/>
      <c r="C944" s="47"/>
      <c r="D944" s="5"/>
      <c r="F944" s="5"/>
    </row>
    <row r="945" spans="2:6" ht="13">
      <c r="B945" s="36"/>
      <c r="C945" s="47"/>
      <c r="D945" s="5"/>
      <c r="F945" s="5"/>
    </row>
    <row r="946" spans="2:6" ht="13">
      <c r="B946" s="36"/>
      <c r="C946" s="47"/>
      <c r="D946" s="5"/>
      <c r="F946" s="5"/>
    </row>
    <row r="947" spans="2:6" ht="13">
      <c r="B947" s="36"/>
      <c r="C947" s="47"/>
      <c r="D947" s="5"/>
      <c r="F947" s="5"/>
    </row>
    <row r="948" spans="2:6" ht="13">
      <c r="B948" s="36"/>
      <c r="C948" s="47"/>
      <c r="D948" s="5"/>
      <c r="F948" s="5"/>
    </row>
    <row r="949" spans="2:6" ht="13">
      <c r="B949" s="36"/>
      <c r="C949" s="47"/>
      <c r="D949" s="5"/>
      <c r="F949" s="5"/>
    </row>
    <row r="950" spans="2:6" ht="13">
      <c r="B950" s="36"/>
      <c r="C950" s="47"/>
      <c r="D950" s="5"/>
      <c r="F950" s="5"/>
    </row>
    <row r="951" spans="2:6" ht="13">
      <c r="B951" s="36"/>
      <c r="C951" s="47"/>
      <c r="D951" s="5"/>
      <c r="F951" s="5"/>
    </row>
    <row r="952" spans="2:6" ht="13">
      <c r="B952" s="36"/>
      <c r="C952" s="47"/>
      <c r="D952" s="5"/>
      <c r="F952" s="5"/>
    </row>
    <row r="953" spans="2:6" ht="13">
      <c r="B953" s="36"/>
      <c r="C953" s="47"/>
      <c r="D953" s="5"/>
      <c r="F953" s="5"/>
    </row>
    <row r="954" spans="2:6" ht="13">
      <c r="B954" s="36"/>
      <c r="C954" s="47"/>
      <c r="D954" s="5"/>
      <c r="F954" s="5"/>
    </row>
    <row r="955" spans="2:6" ht="13">
      <c r="B955" s="36"/>
      <c r="C955" s="47"/>
      <c r="D955" s="5"/>
      <c r="F955" s="5"/>
    </row>
    <row r="956" spans="2:6" ht="13">
      <c r="B956" s="36"/>
      <c r="C956" s="47"/>
      <c r="D956" s="5"/>
      <c r="F956" s="5"/>
    </row>
    <row r="957" spans="2:6" ht="13">
      <c r="B957" s="36"/>
      <c r="C957" s="47"/>
      <c r="D957" s="5"/>
      <c r="F957" s="5"/>
    </row>
    <row r="958" spans="2:6" ht="13">
      <c r="B958" s="36"/>
      <c r="C958" s="47"/>
      <c r="D958" s="5"/>
      <c r="F958" s="5"/>
    </row>
    <row r="959" spans="2:6" ht="13">
      <c r="B959" s="36"/>
      <c r="C959" s="47"/>
      <c r="D959" s="5"/>
      <c r="F959" s="5"/>
    </row>
    <row r="960" spans="2:6" ht="13">
      <c r="B960" s="36"/>
      <c r="C960" s="47"/>
      <c r="D960" s="5"/>
      <c r="F960" s="5"/>
    </row>
    <row r="961" spans="2:6" ht="13">
      <c r="B961" s="36"/>
      <c r="C961" s="47"/>
      <c r="D961" s="5"/>
      <c r="F961" s="5"/>
    </row>
    <row r="962" spans="2:6" ht="13">
      <c r="B962" s="36"/>
      <c r="C962" s="47"/>
      <c r="D962" s="5"/>
      <c r="F962" s="5"/>
    </row>
    <row r="963" spans="2:6" ht="13">
      <c r="B963" s="36"/>
      <c r="C963" s="47"/>
      <c r="D963" s="5"/>
      <c r="F963" s="5"/>
    </row>
    <row r="964" spans="2:6" ht="13">
      <c r="B964" s="36"/>
      <c r="C964" s="47"/>
      <c r="D964" s="5"/>
      <c r="F964" s="5"/>
    </row>
    <row r="965" spans="2:6" ht="13">
      <c r="B965" s="36"/>
      <c r="C965" s="47"/>
      <c r="D965" s="5"/>
      <c r="F965" s="5"/>
    </row>
    <row r="966" spans="2:6" ht="13">
      <c r="B966" s="36"/>
      <c r="C966" s="47"/>
      <c r="D966" s="5"/>
      <c r="F966" s="5"/>
    </row>
    <row r="967" spans="2:6" ht="13">
      <c r="B967" s="36"/>
      <c r="C967" s="47"/>
      <c r="D967" s="5"/>
      <c r="F967" s="5"/>
    </row>
    <row r="968" spans="2:6" ht="13">
      <c r="B968" s="36"/>
      <c r="C968" s="47"/>
      <c r="D968" s="5"/>
      <c r="F968" s="5"/>
    </row>
    <row r="969" spans="2:6" ht="13">
      <c r="B969" s="36"/>
      <c r="C969" s="47"/>
      <c r="D969" s="5"/>
      <c r="F969" s="5"/>
    </row>
    <row r="970" spans="2:6" ht="13">
      <c r="B970" s="36"/>
      <c r="C970" s="47"/>
      <c r="D970" s="5"/>
      <c r="F970" s="5"/>
    </row>
    <row r="971" spans="2:6" ht="13">
      <c r="B971" s="36"/>
      <c r="C971" s="47"/>
      <c r="D971" s="5"/>
      <c r="F971" s="5"/>
    </row>
    <row r="972" spans="2:6" ht="13">
      <c r="B972" s="36"/>
      <c r="C972" s="47"/>
      <c r="D972" s="5"/>
      <c r="F972" s="5"/>
    </row>
    <row r="973" spans="2:6" ht="13">
      <c r="B973" s="36"/>
      <c r="C973" s="47"/>
      <c r="D973" s="5"/>
      <c r="F973" s="5"/>
    </row>
    <row r="974" spans="2:6" ht="13">
      <c r="B974" s="36"/>
      <c r="C974" s="47"/>
      <c r="D974" s="5"/>
      <c r="F974" s="5"/>
    </row>
    <row r="975" spans="2:6" ht="13">
      <c r="B975" s="36"/>
      <c r="C975" s="47"/>
      <c r="D975" s="5"/>
      <c r="F975" s="5"/>
    </row>
    <row r="976" spans="2:6" ht="13">
      <c r="B976" s="36"/>
      <c r="C976" s="47"/>
      <c r="D976" s="5"/>
      <c r="F976" s="5"/>
    </row>
    <row r="977" spans="2:6" ht="13">
      <c r="B977" s="36"/>
      <c r="C977" s="47"/>
      <c r="D977" s="5"/>
      <c r="F977" s="5"/>
    </row>
    <row r="978" spans="2:6" ht="13">
      <c r="B978" s="36"/>
      <c r="C978" s="47"/>
      <c r="D978" s="5"/>
      <c r="F978" s="5"/>
    </row>
    <row r="979" spans="2:6" ht="13">
      <c r="B979" s="36"/>
      <c r="C979" s="47"/>
      <c r="D979" s="5"/>
      <c r="F979" s="5"/>
    </row>
    <row r="980" spans="2:6" ht="13">
      <c r="B980" s="36"/>
      <c r="C980" s="47"/>
      <c r="D980" s="5"/>
      <c r="F980" s="5"/>
    </row>
    <row r="981" spans="2:6" ht="13">
      <c r="B981" s="36"/>
      <c r="C981" s="47"/>
      <c r="D981" s="5"/>
      <c r="F981" s="5"/>
    </row>
    <row r="982" spans="2:6" ht="13">
      <c r="B982" s="36"/>
      <c r="C982" s="47"/>
      <c r="D982" s="5"/>
      <c r="F982" s="5"/>
    </row>
    <row r="983" spans="2:6" ht="13">
      <c r="B983" s="36"/>
      <c r="C983" s="47"/>
      <c r="D983" s="5"/>
      <c r="F983" s="5"/>
    </row>
    <row r="984" spans="2:6" ht="13">
      <c r="B984" s="36"/>
      <c r="C984" s="47"/>
      <c r="D984" s="5"/>
      <c r="F984" s="5"/>
    </row>
    <row r="985" spans="2:6" ht="13">
      <c r="B985" s="36"/>
      <c r="C985" s="47"/>
      <c r="D985" s="5"/>
      <c r="F985" s="5"/>
    </row>
    <row r="986" spans="2:6" ht="13">
      <c r="B986" s="36"/>
      <c r="C986" s="47"/>
      <c r="D986" s="5"/>
      <c r="F986" s="5"/>
    </row>
    <row r="987" spans="2:6" ht="13">
      <c r="B987" s="36"/>
      <c r="C987" s="47"/>
      <c r="D987" s="5"/>
      <c r="F987" s="5"/>
    </row>
    <row r="988" spans="2:6" ht="13">
      <c r="B988" s="36"/>
      <c r="C988" s="47"/>
      <c r="D988" s="5"/>
      <c r="F988" s="5"/>
    </row>
    <row r="989" spans="2:6" ht="13">
      <c r="B989" s="36"/>
      <c r="C989" s="47"/>
      <c r="D989" s="5"/>
      <c r="F989" s="5"/>
    </row>
    <row r="990" spans="2:6" ht="13">
      <c r="B990" s="36"/>
      <c r="C990" s="47"/>
      <c r="D990" s="5"/>
      <c r="F990" s="5"/>
    </row>
    <row r="991" spans="2:6" ht="13">
      <c r="B991" s="36"/>
      <c r="C991" s="47"/>
      <c r="D991" s="5"/>
      <c r="F991" s="5"/>
    </row>
    <row r="992" spans="2:6" ht="13">
      <c r="B992" s="36"/>
      <c r="C992" s="47"/>
      <c r="D992" s="5"/>
      <c r="F992" s="5"/>
    </row>
    <row r="993" spans="2:6" ht="13">
      <c r="B993" s="36"/>
      <c r="C993" s="47"/>
      <c r="D993" s="5"/>
      <c r="F993" s="5"/>
    </row>
    <row r="994" spans="2:6" ht="13">
      <c r="B994" s="36"/>
      <c r="C994" s="47"/>
      <c r="D994" s="5"/>
      <c r="F994" s="5"/>
    </row>
    <row r="995" spans="2:6" ht="13">
      <c r="B995" s="36"/>
      <c r="C995" s="47"/>
      <c r="D995" s="5"/>
      <c r="F995" s="5"/>
    </row>
    <row r="996" spans="2:6" ht="13">
      <c r="B996" s="36"/>
      <c r="C996" s="47"/>
      <c r="D996" s="5"/>
      <c r="F996" s="5"/>
    </row>
    <row r="997" spans="2:6" ht="13">
      <c r="B997" s="36"/>
      <c r="C997" s="47"/>
      <c r="D997" s="5"/>
      <c r="F997" s="5"/>
    </row>
    <row r="998" spans="2:6" ht="13">
      <c r="B998" s="36"/>
      <c r="C998" s="47"/>
      <c r="D998" s="5"/>
      <c r="F998" s="5"/>
    </row>
    <row r="999" spans="2:6" ht="13">
      <c r="B999" s="36"/>
      <c r="C999" s="47"/>
      <c r="D999" s="5"/>
      <c r="F999" s="5"/>
    </row>
    <row r="1000" spans="2:6" ht="13">
      <c r="B1000" s="36"/>
      <c r="C1000" s="47"/>
      <c r="D1000" s="5"/>
      <c r="F1000" s="5"/>
    </row>
    <row r="1001" spans="2:6" ht="13">
      <c r="B1001" s="36"/>
      <c r="C1001" s="47"/>
      <c r="D1001" s="5"/>
      <c r="F1001" s="5"/>
    </row>
    <row r="1002" spans="2:6" ht="13">
      <c r="C1002" s="47"/>
      <c r="D1002" s="5"/>
      <c r="F1002" s="5"/>
    </row>
    <row r="1003" spans="2:6" ht="13">
      <c r="C1003" s="47"/>
      <c r="D1003" s="5"/>
      <c r="F1003" s="5"/>
    </row>
    <row r="1004" spans="2:6" ht="13">
      <c r="C1004" s="47"/>
      <c r="D1004" s="5"/>
      <c r="F1004" s="5"/>
    </row>
    <row r="1005" spans="2:6" ht="13">
      <c r="C1005" s="47"/>
      <c r="D1005" s="5"/>
      <c r="F1005" s="5"/>
    </row>
  </sheetData>
  <hyperlinks>
    <hyperlink ref="B11" r:id="rId1" xr:uid="{00000000-0004-0000-5300-000000000000}"/>
    <hyperlink ref="B12" r:id="rId2" xr:uid="{00000000-0004-0000-5300-000001000000}"/>
    <hyperlink ref="B13" r:id="rId3" xr:uid="{00000000-0004-0000-5300-000002000000}"/>
    <hyperlink ref="B19" r:id="rId4" xr:uid="{00000000-0004-0000-5300-000003000000}"/>
    <hyperlink ref="B26" r:id="rId5" xr:uid="{00000000-0004-0000-5300-000004000000}"/>
    <hyperlink ref="B27" r:id="rId6" xr:uid="{00000000-0004-0000-5300-000005000000}"/>
    <hyperlink ref="B28" r:id="rId7" xr:uid="{00000000-0004-0000-5300-000006000000}"/>
    <hyperlink ref="B29" r:id="rId8" xr:uid="{00000000-0004-0000-5300-000007000000}"/>
    <hyperlink ref="B30" r:id="rId9" xr:uid="{00000000-0004-0000-5300-000008000000}"/>
    <hyperlink ref="B31" r:id="rId10" xr:uid="{00000000-0004-0000-5300-000009000000}"/>
    <hyperlink ref="B32" r:id="rId11" xr:uid="{00000000-0004-0000-5300-00000A000000}"/>
    <hyperlink ref="B33" r:id="rId12" xr:uid="{00000000-0004-0000-5300-00000B000000}"/>
    <hyperlink ref="B34" r:id="rId13" xr:uid="{00000000-0004-0000-5300-00000C000000}"/>
    <hyperlink ref="B35" r:id="rId14" xr:uid="{00000000-0004-0000-5300-00000D000000}"/>
    <hyperlink ref="B36" r:id="rId15" xr:uid="{00000000-0004-0000-5300-00000E000000}"/>
    <hyperlink ref="B46" r:id="rId16" xr:uid="{00000000-0004-0000-5300-00000F000000}"/>
    <hyperlink ref="B48" r:id="rId17" xr:uid="{00000000-0004-0000-5300-000010000000}"/>
    <hyperlink ref="B49" r:id="rId18" xr:uid="{00000000-0004-0000-5300-000011000000}"/>
    <hyperlink ref="B50" r:id="rId19" xr:uid="{00000000-0004-0000-5300-000012000000}"/>
    <hyperlink ref="B56" r:id="rId20" xr:uid="{00000000-0004-0000-5300-000013000000}"/>
    <hyperlink ref="B57" r:id="rId21" xr:uid="{00000000-0004-0000-5300-000014000000}"/>
    <hyperlink ref="B58" r:id="rId22" xr:uid="{00000000-0004-0000-5300-000015000000}"/>
    <hyperlink ref="B59" r:id="rId23" xr:uid="{00000000-0004-0000-5300-000016000000}"/>
    <hyperlink ref="B60" r:id="rId24" xr:uid="{00000000-0004-0000-5300-000017000000}"/>
    <hyperlink ref="B69" r:id="rId25" xr:uid="{00000000-0004-0000-5300-000018000000}"/>
    <hyperlink ref="B70" r:id="rId26" xr:uid="{00000000-0004-0000-5300-000019000000}"/>
    <hyperlink ref="B75" r:id="rId27" xr:uid="{00000000-0004-0000-5300-00001A000000}"/>
    <hyperlink ref="B81" r:id="rId28" xr:uid="{00000000-0004-0000-5300-00001B000000}"/>
    <hyperlink ref="B82" r:id="rId29" xr:uid="{00000000-0004-0000-5300-00001C000000}"/>
    <hyperlink ref="B84" r:id="rId30" xr:uid="{00000000-0004-0000-5300-00001D000000}"/>
    <hyperlink ref="B86" r:id="rId31" xr:uid="{00000000-0004-0000-5300-00001E000000}"/>
    <hyperlink ref="B87" r:id="rId32" xr:uid="{00000000-0004-0000-5300-00001F000000}"/>
    <hyperlink ref="B88" r:id="rId33" xr:uid="{00000000-0004-0000-5300-000020000000}"/>
    <hyperlink ref="B90" r:id="rId34" xr:uid="{00000000-0004-0000-5300-000021000000}"/>
    <hyperlink ref="B92" r:id="rId35" xr:uid="{00000000-0004-0000-5300-000022000000}"/>
    <hyperlink ref="B93" r:id="rId36" xr:uid="{00000000-0004-0000-5300-000023000000}"/>
    <hyperlink ref="B94" r:id="rId37" xr:uid="{00000000-0004-0000-5300-000024000000}"/>
    <hyperlink ref="B98" r:id="rId38" xr:uid="{00000000-0004-0000-5300-000025000000}"/>
    <hyperlink ref="B103" r:id="rId39" xr:uid="{00000000-0004-0000-5300-000026000000}"/>
    <hyperlink ref="B104" r:id="rId40" xr:uid="{00000000-0004-0000-5300-000027000000}"/>
    <hyperlink ref="B112" r:id="rId41" xr:uid="{00000000-0004-0000-5300-000028000000}"/>
    <hyperlink ref="B113" r:id="rId42" xr:uid="{00000000-0004-0000-5300-000029000000}"/>
    <hyperlink ref="B114" r:id="rId43" xr:uid="{00000000-0004-0000-5300-00002A000000}"/>
    <hyperlink ref="B115" r:id="rId44" xr:uid="{00000000-0004-0000-5300-00002B000000}"/>
    <hyperlink ref="B116" r:id="rId45" xr:uid="{00000000-0004-0000-5300-00002C000000}"/>
    <hyperlink ref="B117" r:id="rId46" xr:uid="{00000000-0004-0000-5300-00002D000000}"/>
    <hyperlink ref="B118" r:id="rId47" xr:uid="{00000000-0004-0000-5300-00002E000000}"/>
    <hyperlink ref="B119" r:id="rId48" xr:uid="{00000000-0004-0000-5300-00002F000000}"/>
    <hyperlink ref="B120" r:id="rId49" xr:uid="{00000000-0004-0000-5300-000030000000}"/>
    <hyperlink ref="B121" r:id="rId50" xr:uid="{00000000-0004-0000-5300-000031000000}"/>
    <hyperlink ref="B126" r:id="rId51" xr:uid="{00000000-0004-0000-5300-000032000000}"/>
    <hyperlink ref="B127" r:id="rId52" xr:uid="{00000000-0004-0000-5300-000033000000}"/>
    <hyperlink ref="B130" r:id="rId53" xr:uid="{00000000-0004-0000-5300-000034000000}"/>
    <hyperlink ref="B131" r:id="rId54" xr:uid="{00000000-0004-0000-5300-000035000000}"/>
    <hyperlink ref="B134" r:id="rId55" xr:uid="{00000000-0004-0000-5300-000036000000}"/>
    <hyperlink ref="B135" r:id="rId56" xr:uid="{00000000-0004-0000-5300-000037000000}"/>
    <hyperlink ref="B142" r:id="rId57" xr:uid="{00000000-0004-0000-5300-000038000000}"/>
    <hyperlink ref="B143" r:id="rId58" xr:uid="{00000000-0004-0000-5300-000039000000}"/>
    <hyperlink ref="B147" r:id="rId59" xr:uid="{00000000-0004-0000-5300-00003A000000}"/>
    <hyperlink ref="B149" r:id="rId60" xr:uid="{00000000-0004-0000-5300-00003B000000}"/>
    <hyperlink ref="B150" r:id="rId61" xr:uid="{00000000-0004-0000-5300-00003C000000}"/>
    <hyperlink ref="B151" r:id="rId62" xr:uid="{00000000-0004-0000-5300-00003D000000}"/>
    <hyperlink ref="B152" r:id="rId63" xr:uid="{00000000-0004-0000-5300-00003E000000}"/>
    <hyperlink ref="B160" r:id="rId64" xr:uid="{00000000-0004-0000-5300-00003F000000}"/>
    <hyperlink ref="B161" r:id="rId65" xr:uid="{00000000-0004-0000-5300-000040000000}"/>
    <hyperlink ref="B164" r:id="rId66" xr:uid="{00000000-0004-0000-5300-000041000000}"/>
    <hyperlink ref="B169" r:id="rId67" xr:uid="{00000000-0004-0000-5300-000042000000}"/>
    <hyperlink ref="B170" r:id="rId68" xr:uid="{00000000-0004-0000-5300-000043000000}"/>
    <hyperlink ref="B171" r:id="rId69" xr:uid="{00000000-0004-0000-5300-000044000000}"/>
    <hyperlink ref="B172" r:id="rId70" xr:uid="{00000000-0004-0000-5300-000045000000}"/>
    <hyperlink ref="B177" r:id="rId71" xr:uid="{00000000-0004-0000-5300-000046000000}"/>
    <hyperlink ref="B184" r:id="rId72" xr:uid="{00000000-0004-0000-5300-000047000000}"/>
    <hyperlink ref="B190" r:id="rId73" xr:uid="{00000000-0004-0000-5300-000048000000}"/>
    <hyperlink ref="B191" r:id="rId74" xr:uid="{00000000-0004-0000-5300-000049000000}"/>
    <hyperlink ref="B192" r:id="rId75" xr:uid="{00000000-0004-0000-5300-00004A000000}"/>
    <hyperlink ref="B193" r:id="rId76" xr:uid="{00000000-0004-0000-5300-00004B000000}"/>
    <hyperlink ref="B197" r:id="rId77" xr:uid="{00000000-0004-0000-5300-00004C000000}"/>
    <hyperlink ref="B201" r:id="rId78" xr:uid="{00000000-0004-0000-5300-00004D000000}"/>
    <hyperlink ref="B205" r:id="rId79" xr:uid="{00000000-0004-0000-5300-00004E000000}"/>
    <hyperlink ref="B206" r:id="rId80" xr:uid="{00000000-0004-0000-5300-00004F000000}"/>
    <hyperlink ref="B207" r:id="rId81" xr:uid="{00000000-0004-0000-5300-000050000000}"/>
    <hyperlink ref="B213" r:id="rId82" xr:uid="{00000000-0004-0000-5300-000051000000}"/>
    <hyperlink ref="B214" r:id="rId83" xr:uid="{00000000-0004-0000-5300-000052000000}"/>
    <hyperlink ref="B215" r:id="rId84" xr:uid="{00000000-0004-0000-5300-000053000000}"/>
    <hyperlink ref="B216" r:id="rId85" xr:uid="{00000000-0004-0000-5300-000054000000}"/>
    <hyperlink ref="B221" r:id="rId86" xr:uid="{00000000-0004-0000-5300-000055000000}"/>
    <hyperlink ref="B222" r:id="rId87" xr:uid="{00000000-0004-0000-5300-000056000000}"/>
    <hyperlink ref="B229" r:id="rId88" xr:uid="{00000000-0004-0000-5300-000057000000}"/>
    <hyperlink ref="B230" r:id="rId89" xr:uid="{00000000-0004-0000-5300-000058000000}"/>
    <hyperlink ref="B231" r:id="rId90" xr:uid="{00000000-0004-0000-5300-000059000000}"/>
    <hyperlink ref="B232" r:id="rId91" xr:uid="{00000000-0004-0000-5300-00005A000000}"/>
    <hyperlink ref="B233" r:id="rId92" xr:uid="{00000000-0004-0000-5300-00005B000000}"/>
    <hyperlink ref="B234" r:id="rId93" xr:uid="{00000000-0004-0000-5300-00005C000000}"/>
    <hyperlink ref="B235" r:id="rId94" xr:uid="{00000000-0004-0000-5300-00005D000000}"/>
    <hyperlink ref="B241" r:id="rId95" xr:uid="{00000000-0004-0000-5300-00005E000000}"/>
    <hyperlink ref="B242" r:id="rId96" xr:uid="{00000000-0004-0000-5300-00005F000000}"/>
    <hyperlink ref="B244" r:id="rId97" xr:uid="{00000000-0004-0000-5300-000060000000}"/>
    <hyperlink ref="B245" r:id="rId98" xr:uid="{00000000-0004-0000-5300-000061000000}"/>
    <hyperlink ref="B246" r:id="rId99" xr:uid="{00000000-0004-0000-5300-000062000000}"/>
    <hyperlink ref="B247" r:id="rId100" xr:uid="{00000000-0004-0000-5300-000063000000}"/>
    <hyperlink ref="B248" r:id="rId101" xr:uid="{00000000-0004-0000-5300-000064000000}"/>
    <hyperlink ref="B249" r:id="rId102" xr:uid="{00000000-0004-0000-5300-000065000000}"/>
    <hyperlink ref="B250" r:id="rId103" xr:uid="{00000000-0004-0000-5300-000066000000}"/>
    <hyperlink ref="B251" r:id="rId104" xr:uid="{00000000-0004-0000-5300-000067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5">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6640625" customWidth="1"/>
    <col min="3" max="3" width="9.6640625" customWidth="1"/>
    <col min="4" max="4" width="14.83203125" customWidth="1"/>
    <col min="5" max="5" width="14.33203125" customWidth="1"/>
    <col min="7" max="7" width="13.1640625" customWidth="1"/>
  </cols>
  <sheetData>
    <row r="1" spans="1:10" ht="15.75" customHeight="1">
      <c r="A1" s="1" t="s">
        <v>81</v>
      </c>
      <c r="C1" s="47"/>
      <c r="D1" s="81" t="s">
        <v>181</v>
      </c>
      <c r="E1" s="5"/>
      <c r="F1" s="5"/>
      <c r="G1" s="5"/>
    </row>
    <row r="2" spans="1:10" ht="15.75" customHeight="1">
      <c r="A2" s="7" t="s">
        <v>182</v>
      </c>
      <c r="B2" s="123">
        <v>42769</v>
      </c>
      <c r="C2" s="47"/>
      <c r="D2" s="82">
        <f>SUM(D5:G167)</f>
        <v>0</v>
      </c>
      <c r="E2" s="5"/>
      <c r="F2" s="5"/>
      <c r="G2" s="5"/>
    </row>
    <row r="3" spans="1:10" ht="15.75" customHeight="1">
      <c r="C3" s="47"/>
      <c r="D3" s="5"/>
      <c r="E3" s="5"/>
      <c r="F3" s="5"/>
      <c r="G3" s="5"/>
    </row>
    <row r="4" spans="1:10" ht="15.75" customHeight="1">
      <c r="A4" s="42" t="s">
        <v>183</v>
      </c>
      <c r="B4" s="42" t="s">
        <v>184</v>
      </c>
      <c r="C4" s="42" t="s">
        <v>185</v>
      </c>
      <c r="D4" s="83" t="s">
        <v>186</v>
      </c>
      <c r="E4" s="84" t="s">
        <v>187</v>
      </c>
      <c r="F4" s="84" t="s">
        <v>188</v>
      </c>
      <c r="G4" s="85" t="s">
        <v>189</v>
      </c>
      <c r="H4" s="84" t="s">
        <v>190</v>
      </c>
      <c r="I4" s="85"/>
    </row>
    <row r="5" spans="1:10" ht="15.75" customHeight="1">
      <c r="A5" s="48" t="s">
        <v>4341</v>
      </c>
      <c r="B5" s="49" t="s">
        <v>277</v>
      </c>
      <c r="C5" s="48" t="s">
        <v>205</v>
      </c>
      <c r="D5" s="86"/>
      <c r="E5" s="86"/>
      <c r="F5" s="87"/>
      <c r="G5" s="87"/>
      <c r="H5" s="88"/>
      <c r="I5" s="88"/>
      <c r="J5" s="88"/>
    </row>
    <row r="6" spans="1:10" ht="15.75" customHeight="1">
      <c r="A6" s="48" t="s">
        <v>4342</v>
      </c>
      <c r="B6" s="49" t="s">
        <v>286</v>
      </c>
      <c r="C6" s="48" t="s">
        <v>205</v>
      </c>
      <c r="D6" s="48"/>
      <c r="E6" s="5"/>
      <c r="F6" s="5"/>
      <c r="G6" s="5"/>
      <c r="J6" s="88"/>
    </row>
    <row r="7" spans="1:10" ht="15.75" customHeight="1">
      <c r="A7" s="48" t="s">
        <v>4343</v>
      </c>
      <c r="B7" s="49" t="s">
        <v>331</v>
      </c>
      <c r="C7" s="48" t="s">
        <v>205</v>
      </c>
      <c r="D7" s="48"/>
      <c r="E7" s="51"/>
      <c r="F7" s="5"/>
      <c r="G7" s="5"/>
    </row>
    <row r="8" spans="1:10" ht="15.75" customHeight="1">
      <c r="A8" s="48" t="s">
        <v>4344</v>
      </c>
      <c r="B8" s="49" t="s">
        <v>353</v>
      </c>
      <c r="C8" s="48" t="s">
        <v>205</v>
      </c>
      <c r="D8" s="48"/>
      <c r="E8" s="5"/>
      <c r="F8" s="5"/>
      <c r="G8" s="5"/>
    </row>
    <row r="9" spans="1:10" ht="15.75" customHeight="1">
      <c r="A9" s="48" t="s">
        <v>4345</v>
      </c>
      <c r="B9" s="49" t="s">
        <v>339</v>
      </c>
      <c r="C9" s="48" t="s">
        <v>205</v>
      </c>
      <c r="D9" s="47"/>
      <c r="E9" s="5"/>
      <c r="F9" s="5"/>
      <c r="G9" s="5"/>
    </row>
    <row r="10" spans="1:10" ht="15.75" customHeight="1">
      <c r="A10" s="48" t="s">
        <v>4346</v>
      </c>
      <c r="B10" s="49" t="s">
        <v>325</v>
      </c>
      <c r="C10" s="48" t="s">
        <v>205</v>
      </c>
      <c r="D10" s="47"/>
      <c r="E10" s="5"/>
      <c r="F10" s="5"/>
      <c r="G10" s="5"/>
    </row>
    <row r="11" spans="1:10" ht="15.75" customHeight="1">
      <c r="A11" s="48" t="s">
        <v>4347</v>
      </c>
      <c r="B11" s="49" t="s">
        <v>1891</v>
      </c>
      <c r="C11" s="48" t="s">
        <v>205</v>
      </c>
      <c r="D11" s="47"/>
      <c r="E11" s="5"/>
      <c r="F11" s="5"/>
      <c r="G11" s="5"/>
    </row>
    <row r="12" spans="1:10" ht="15.75" customHeight="1">
      <c r="A12" s="48" t="s">
        <v>4348</v>
      </c>
      <c r="B12" s="49" t="s">
        <v>1818</v>
      </c>
      <c r="C12" s="48" t="s">
        <v>205</v>
      </c>
      <c r="D12" s="48"/>
      <c r="E12" s="5"/>
      <c r="F12" s="5"/>
      <c r="G12" s="5"/>
    </row>
    <row r="13" spans="1:10" ht="15.75" customHeight="1">
      <c r="A13" s="48" t="s">
        <v>4349</v>
      </c>
      <c r="B13" s="49" t="s">
        <v>6205</v>
      </c>
      <c r="C13" s="48" t="s">
        <v>205</v>
      </c>
      <c r="D13" s="48"/>
      <c r="E13" s="51"/>
      <c r="F13" s="5"/>
      <c r="G13" s="5"/>
    </row>
    <row r="14" spans="1:10" ht="15.75" customHeight="1">
      <c r="A14" s="48" t="s">
        <v>4351</v>
      </c>
      <c r="B14" s="49" t="s">
        <v>6465</v>
      </c>
      <c r="C14" s="48" t="s">
        <v>205</v>
      </c>
      <c r="D14" s="47"/>
      <c r="E14" s="5"/>
      <c r="F14" s="5"/>
      <c r="G14" s="5"/>
    </row>
    <row r="15" spans="1:10" ht="15.75" customHeight="1">
      <c r="A15" s="48" t="s">
        <v>4352</v>
      </c>
      <c r="B15" s="49" t="s">
        <v>6252</v>
      </c>
      <c r="C15" s="48" t="s">
        <v>205</v>
      </c>
      <c r="D15" s="47"/>
      <c r="E15" s="51"/>
      <c r="F15" s="5"/>
      <c r="G15" s="5"/>
    </row>
    <row r="16" spans="1:10" ht="15.75" customHeight="1">
      <c r="A16" s="48" t="s">
        <v>4353</v>
      </c>
      <c r="B16" s="58" t="str">
        <f>HYPERLINK("https://bulbapedia.bulbagarden.net/wiki/Decidueye-GX_(Sun_%26_Moon_12)","DecidueyeGX")</f>
        <v>DecidueyeGX</v>
      </c>
      <c r="C16" s="48" t="s">
        <v>205</v>
      </c>
      <c r="D16" s="47"/>
      <c r="E16" s="5"/>
      <c r="F16" s="5"/>
      <c r="G16" s="5"/>
    </row>
    <row r="17" spans="1:7" ht="15.75" customHeight="1">
      <c r="A17" s="48" t="s">
        <v>4354</v>
      </c>
      <c r="B17" s="49" t="s">
        <v>6466</v>
      </c>
      <c r="C17" s="48" t="s">
        <v>205</v>
      </c>
      <c r="D17" s="48"/>
      <c r="E17" s="51"/>
      <c r="F17" s="5"/>
      <c r="G17" s="5"/>
    </row>
    <row r="18" spans="1:7" ht="15.75" customHeight="1">
      <c r="A18" s="48" t="s">
        <v>4355</v>
      </c>
      <c r="B18" s="49" t="s">
        <v>6467</v>
      </c>
      <c r="C18" s="48" t="s">
        <v>205</v>
      </c>
      <c r="D18" s="48"/>
      <c r="E18" s="51"/>
      <c r="F18" s="5"/>
      <c r="G18" s="5"/>
    </row>
    <row r="19" spans="1:7" ht="15.75" customHeight="1">
      <c r="A19" s="48" t="s">
        <v>4357</v>
      </c>
      <c r="B19" s="58" t="str">
        <f>HYPERLINK("https://bulbapedia.bulbagarden.net/wiki/Lurantis-GX_(Sun_%26_Moon_15)","LurantisGX")</f>
        <v>LurantisGX</v>
      </c>
      <c r="C19" s="48" t="s">
        <v>205</v>
      </c>
      <c r="D19" s="47"/>
      <c r="E19" s="5"/>
      <c r="F19" s="5"/>
      <c r="G19" s="5"/>
    </row>
    <row r="20" spans="1:7" ht="15.75" customHeight="1">
      <c r="A20" s="48" t="s">
        <v>4359</v>
      </c>
      <c r="B20" s="49" t="s">
        <v>6468</v>
      </c>
      <c r="C20" s="48" t="s">
        <v>205</v>
      </c>
      <c r="D20" s="47"/>
      <c r="E20" s="5"/>
      <c r="F20" s="5"/>
      <c r="G20" s="5"/>
    </row>
    <row r="21" spans="1:7" ht="15.75" customHeight="1">
      <c r="A21" s="48" t="s">
        <v>4360</v>
      </c>
      <c r="B21" s="49" t="s">
        <v>6469</v>
      </c>
      <c r="C21" s="48" t="s">
        <v>205</v>
      </c>
      <c r="D21" s="48"/>
      <c r="E21" s="5"/>
      <c r="F21" s="51"/>
      <c r="G21" s="5"/>
    </row>
    <row r="22" spans="1:7" ht="15.75" customHeight="1">
      <c r="A22" s="48" t="s">
        <v>4361</v>
      </c>
      <c r="B22" s="49" t="s">
        <v>6470</v>
      </c>
      <c r="C22" s="48" t="s">
        <v>205</v>
      </c>
      <c r="D22" s="48"/>
      <c r="E22" s="5"/>
      <c r="F22" s="5"/>
      <c r="G22" s="5"/>
    </row>
    <row r="23" spans="1:7" ht="15.75" customHeight="1">
      <c r="A23" s="48" t="s">
        <v>4362</v>
      </c>
      <c r="B23" s="49" t="s">
        <v>6471</v>
      </c>
      <c r="C23" s="48" t="s">
        <v>205</v>
      </c>
      <c r="D23" s="48"/>
      <c r="E23" s="5"/>
      <c r="F23" s="5"/>
      <c r="G23" s="5"/>
    </row>
    <row r="24" spans="1:7" ht="15.75" customHeight="1">
      <c r="A24" s="48" t="s">
        <v>4363</v>
      </c>
      <c r="B24" s="49" t="s">
        <v>6212</v>
      </c>
      <c r="C24" s="48" t="s">
        <v>199</v>
      </c>
      <c r="D24" s="48"/>
      <c r="E24" s="5"/>
      <c r="F24" s="51"/>
      <c r="G24" s="5"/>
    </row>
    <row r="25" spans="1:7" ht="15.75" customHeight="1">
      <c r="A25" s="48" t="s">
        <v>4364</v>
      </c>
      <c r="B25" s="49" t="s">
        <v>262</v>
      </c>
      <c r="C25" s="48" t="s">
        <v>199</v>
      </c>
      <c r="D25" s="48"/>
      <c r="E25" s="5"/>
      <c r="F25" s="5"/>
      <c r="G25" s="5"/>
    </row>
    <row r="26" spans="1:7" ht="15.75" customHeight="1">
      <c r="A26" s="48" t="s">
        <v>4365</v>
      </c>
      <c r="B26" s="49" t="s">
        <v>198</v>
      </c>
      <c r="C26" s="48" t="s">
        <v>199</v>
      </c>
      <c r="D26" s="48"/>
      <c r="E26" s="5"/>
      <c r="F26" s="5"/>
      <c r="G26" s="5"/>
    </row>
    <row r="27" spans="1:7" ht="15.75" customHeight="1">
      <c r="A27" s="48" t="s">
        <v>4366</v>
      </c>
      <c r="B27" s="49" t="s">
        <v>1511</v>
      </c>
      <c r="C27" s="48" t="s">
        <v>199</v>
      </c>
      <c r="D27" s="48"/>
      <c r="E27" s="5"/>
      <c r="F27" s="5"/>
      <c r="G27" s="5"/>
    </row>
    <row r="28" spans="1:7" ht="15.75" customHeight="1">
      <c r="A28" s="48" t="s">
        <v>4367</v>
      </c>
      <c r="B28" s="49" t="s">
        <v>6189</v>
      </c>
      <c r="C28" s="48" t="s">
        <v>199</v>
      </c>
      <c r="D28" s="48"/>
      <c r="E28" s="5"/>
      <c r="F28" s="5"/>
      <c r="G28" s="5"/>
    </row>
    <row r="29" spans="1:7" ht="15.75" customHeight="1">
      <c r="A29" s="48" t="s">
        <v>4368</v>
      </c>
      <c r="B29" s="49" t="s">
        <v>6472</v>
      </c>
      <c r="C29" s="48" t="s">
        <v>199</v>
      </c>
      <c r="D29" s="48"/>
      <c r="E29" s="5"/>
      <c r="F29" s="5"/>
      <c r="G29" s="5"/>
    </row>
    <row r="30" spans="1:7" ht="15.75" customHeight="1">
      <c r="A30" s="48" t="s">
        <v>4369</v>
      </c>
      <c r="B30" s="49" t="s">
        <v>6473</v>
      </c>
      <c r="C30" s="48" t="s">
        <v>199</v>
      </c>
      <c r="D30" s="48"/>
      <c r="E30" s="5"/>
      <c r="F30" s="5"/>
      <c r="G30" s="5"/>
    </row>
    <row r="31" spans="1:7" ht="15.75" customHeight="1">
      <c r="A31" s="48" t="s">
        <v>4370</v>
      </c>
      <c r="B31" s="58" t="str">
        <f>HYPERLINK("https://bulbapedia.bulbagarden.net/wiki/Incineroar-GX_(Sun_%26_Moon_27)","IncineroarGX")</f>
        <v>IncineroarGX</v>
      </c>
      <c r="C31" s="48" t="s">
        <v>199</v>
      </c>
      <c r="D31" s="47"/>
      <c r="E31" s="5"/>
      <c r="F31" s="5"/>
      <c r="G31" s="5"/>
    </row>
    <row r="32" spans="1:7" ht="15.75" customHeight="1">
      <c r="A32" s="48" t="s">
        <v>4371</v>
      </c>
      <c r="B32" s="49" t="s">
        <v>207</v>
      </c>
      <c r="C32" s="48" t="s">
        <v>208</v>
      </c>
      <c r="D32" s="48"/>
      <c r="E32" s="5"/>
      <c r="F32" s="5"/>
      <c r="G32" s="5"/>
    </row>
    <row r="33" spans="1:7" ht="15.75" customHeight="1">
      <c r="A33" s="48" t="s">
        <v>4372</v>
      </c>
      <c r="B33" s="49" t="s">
        <v>369</v>
      </c>
      <c r="C33" s="48" t="s">
        <v>208</v>
      </c>
      <c r="D33" s="48"/>
      <c r="E33" s="51"/>
      <c r="F33" s="5"/>
      <c r="G33" s="5"/>
    </row>
    <row r="34" spans="1:7" ht="15.75" customHeight="1">
      <c r="A34" s="48" t="s">
        <v>4373</v>
      </c>
      <c r="B34" s="49" t="s">
        <v>290</v>
      </c>
      <c r="C34" s="48" t="s">
        <v>208</v>
      </c>
      <c r="D34" s="48"/>
      <c r="E34" s="5"/>
      <c r="F34" s="5"/>
      <c r="G34" s="5"/>
    </row>
    <row r="35" spans="1:7" ht="15.75" customHeight="1">
      <c r="A35" s="48" t="s">
        <v>4374</v>
      </c>
      <c r="B35" s="49" t="s">
        <v>270</v>
      </c>
      <c r="C35" s="48" t="s">
        <v>208</v>
      </c>
      <c r="D35" s="48"/>
      <c r="E35" s="5"/>
      <c r="F35" s="5"/>
      <c r="G35" s="5"/>
    </row>
    <row r="36" spans="1:7" ht="15.75" customHeight="1">
      <c r="A36" s="48" t="s">
        <v>4375</v>
      </c>
      <c r="B36" s="49" t="s">
        <v>250</v>
      </c>
      <c r="C36" s="48" t="s">
        <v>208</v>
      </c>
      <c r="D36" s="47"/>
      <c r="E36" s="5"/>
      <c r="F36" s="5"/>
      <c r="G36" s="5"/>
    </row>
    <row r="37" spans="1:7" ht="15.75" customHeight="1">
      <c r="A37" s="48" t="s">
        <v>4376</v>
      </c>
      <c r="B37" s="49" t="s">
        <v>386</v>
      </c>
      <c r="C37" s="48" t="s">
        <v>208</v>
      </c>
      <c r="D37" s="48"/>
      <c r="E37" s="5"/>
      <c r="F37" s="5"/>
      <c r="G37" s="5"/>
    </row>
    <row r="38" spans="1:7" ht="15.75" customHeight="1">
      <c r="A38" s="48" t="s">
        <v>4377</v>
      </c>
      <c r="B38" s="49" t="s">
        <v>367</v>
      </c>
      <c r="C38" s="48" t="s">
        <v>208</v>
      </c>
      <c r="D38" s="48"/>
      <c r="E38" s="51"/>
      <c r="F38" s="5"/>
      <c r="G38" s="5"/>
    </row>
    <row r="39" spans="1:7" ht="15.75" customHeight="1">
      <c r="A39" s="48" t="s">
        <v>4378</v>
      </c>
      <c r="B39" s="58" t="str">
        <f>HYPERLINK("https://bulbapedia.bulbagarden.net/wiki/Lapras-GX_(Sun_%26_Moon_35)","LaprasGX")</f>
        <v>LaprasGX</v>
      </c>
      <c r="C39" s="48" t="s">
        <v>208</v>
      </c>
      <c r="D39" s="47"/>
      <c r="E39" s="5"/>
      <c r="F39" s="5"/>
      <c r="G39" s="5"/>
    </row>
    <row r="40" spans="1:7" ht="15.75" customHeight="1">
      <c r="A40" s="48" t="s">
        <v>4379</v>
      </c>
      <c r="B40" s="49" t="s">
        <v>947</v>
      </c>
      <c r="C40" s="48" t="s">
        <v>208</v>
      </c>
      <c r="D40" s="48"/>
      <c r="E40" s="5"/>
      <c r="F40" s="5"/>
      <c r="G40" s="5"/>
    </row>
    <row r="41" spans="1:7" ht="15.75" customHeight="1">
      <c r="A41" s="48" t="s">
        <v>4380</v>
      </c>
      <c r="B41" s="49" t="s">
        <v>1321</v>
      </c>
      <c r="C41" s="48" t="s">
        <v>208</v>
      </c>
      <c r="D41" s="47"/>
      <c r="E41" s="5"/>
      <c r="F41" s="5"/>
      <c r="G41" s="5"/>
    </row>
    <row r="42" spans="1:7" ht="15.75" customHeight="1">
      <c r="A42" s="48" t="s">
        <v>4381</v>
      </c>
      <c r="B42" s="49" t="s">
        <v>1242</v>
      </c>
      <c r="C42" s="48" t="s">
        <v>208</v>
      </c>
      <c r="D42" s="48"/>
      <c r="E42" s="5"/>
      <c r="F42" s="5"/>
      <c r="G42" s="5"/>
    </row>
    <row r="43" spans="1:7" ht="15.75" customHeight="1">
      <c r="A43" s="48" t="s">
        <v>4382</v>
      </c>
      <c r="B43" s="49" t="s">
        <v>6208</v>
      </c>
      <c r="C43" s="48" t="s">
        <v>208</v>
      </c>
      <c r="D43" s="48"/>
      <c r="E43" s="5"/>
      <c r="F43" s="5"/>
      <c r="G43" s="5"/>
    </row>
    <row r="44" spans="1:7" ht="15.75" customHeight="1">
      <c r="A44" s="48" t="s">
        <v>4383</v>
      </c>
      <c r="B44" s="49" t="s">
        <v>6474</v>
      </c>
      <c r="C44" s="48" t="s">
        <v>208</v>
      </c>
      <c r="D44" s="48"/>
      <c r="E44" s="5"/>
      <c r="F44" s="5"/>
      <c r="G44" s="5"/>
    </row>
    <row r="45" spans="1:7" ht="15.75" customHeight="1">
      <c r="A45" s="48" t="s">
        <v>4384</v>
      </c>
      <c r="B45" s="49" t="s">
        <v>6475</v>
      </c>
      <c r="C45" s="48" t="s">
        <v>208</v>
      </c>
      <c r="D45" s="48"/>
      <c r="E45" s="5"/>
      <c r="F45" s="5"/>
      <c r="G45" s="5"/>
    </row>
    <row r="46" spans="1:7" ht="15.75" customHeight="1">
      <c r="A46" s="48" t="s">
        <v>4386</v>
      </c>
      <c r="B46" s="58" t="str">
        <f>HYPERLINK("https://bulbapedia.bulbagarden.net/wiki/Primarina-GX_(Sun_%26_Moon_42)","PrimarinaGX")</f>
        <v>PrimarinaGX</v>
      </c>
      <c r="C46" s="48" t="s">
        <v>208</v>
      </c>
      <c r="D46" s="47"/>
      <c r="E46" s="5"/>
      <c r="F46" s="5"/>
      <c r="G46" s="5"/>
    </row>
    <row r="47" spans="1:7" ht="15.75" customHeight="1">
      <c r="A47" s="48" t="s">
        <v>4387</v>
      </c>
      <c r="B47" s="49" t="s">
        <v>6476</v>
      </c>
      <c r="C47" s="48" t="s">
        <v>208</v>
      </c>
      <c r="D47" s="48"/>
      <c r="E47" s="5"/>
      <c r="F47" s="5"/>
      <c r="G47" s="5"/>
    </row>
    <row r="48" spans="1:7" ht="15.75" customHeight="1">
      <c r="A48" s="48" t="s">
        <v>4388</v>
      </c>
      <c r="B48" s="49" t="s">
        <v>6477</v>
      </c>
      <c r="C48" s="48" t="s">
        <v>208</v>
      </c>
      <c r="D48" s="48"/>
      <c r="E48" s="5"/>
      <c r="F48" s="5"/>
      <c r="G48" s="5"/>
    </row>
    <row r="49" spans="1:7" ht="15.75" customHeight="1">
      <c r="A49" s="48" t="s">
        <v>4389</v>
      </c>
      <c r="B49" s="49" t="s">
        <v>6478</v>
      </c>
      <c r="C49" s="48" t="s">
        <v>208</v>
      </c>
      <c r="D49" s="48"/>
      <c r="E49" s="5"/>
      <c r="F49" s="5"/>
      <c r="G49" s="5"/>
    </row>
    <row r="50" spans="1:7" ht="15.75" customHeight="1">
      <c r="A50" s="48" t="s">
        <v>4390</v>
      </c>
      <c r="B50" s="49" t="s">
        <v>6479</v>
      </c>
      <c r="C50" s="48" t="s">
        <v>208</v>
      </c>
      <c r="D50" s="48"/>
      <c r="E50" s="5"/>
      <c r="F50" s="5"/>
      <c r="G50" s="5"/>
    </row>
    <row r="51" spans="1:7" ht="15.75" customHeight="1">
      <c r="A51" s="48" t="s">
        <v>4391</v>
      </c>
      <c r="B51" s="49" t="s">
        <v>6480</v>
      </c>
      <c r="C51" s="48" t="s">
        <v>208</v>
      </c>
      <c r="D51" s="48"/>
      <c r="E51" s="5"/>
      <c r="F51" s="5"/>
      <c r="G51" s="5"/>
    </row>
    <row r="52" spans="1:7" ht="15.75" customHeight="1">
      <c r="A52" s="48" t="s">
        <v>4393</v>
      </c>
      <c r="B52" s="49" t="s">
        <v>6481</v>
      </c>
      <c r="C52" s="48" t="s">
        <v>208</v>
      </c>
      <c r="D52" s="47"/>
      <c r="E52" s="5"/>
      <c r="F52" s="5"/>
      <c r="G52" s="5"/>
    </row>
    <row r="53" spans="1:7" ht="13">
      <c r="A53" s="48" t="s">
        <v>4394</v>
      </c>
      <c r="B53" s="49" t="s">
        <v>860</v>
      </c>
      <c r="C53" s="48" t="s">
        <v>192</v>
      </c>
      <c r="D53" s="48"/>
      <c r="E53" s="5"/>
      <c r="F53" s="5"/>
      <c r="G53" s="5"/>
    </row>
    <row r="54" spans="1:7" ht="13">
      <c r="A54" s="48" t="s">
        <v>4396</v>
      </c>
      <c r="B54" s="49" t="s">
        <v>831</v>
      </c>
      <c r="C54" s="48" t="s">
        <v>192</v>
      </c>
      <c r="D54" s="48"/>
      <c r="E54" s="5"/>
      <c r="F54" s="5"/>
      <c r="G54" s="5"/>
    </row>
    <row r="55" spans="1:7" ht="13">
      <c r="A55" s="48" t="s">
        <v>4397</v>
      </c>
      <c r="B55" s="49" t="s">
        <v>6482</v>
      </c>
      <c r="C55" s="48" t="s">
        <v>192</v>
      </c>
      <c r="D55" s="47"/>
      <c r="E55" s="5"/>
      <c r="F55" s="5"/>
      <c r="G55" s="5"/>
    </row>
    <row r="56" spans="1:7" ht="13">
      <c r="A56" s="48" t="s">
        <v>4398</v>
      </c>
      <c r="B56" s="49" t="s">
        <v>6216</v>
      </c>
      <c r="C56" s="48" t="s">
        <v>192</v>
      </c>
      <c r="D56" s="47"/>
      <c r="E56" s="51"/>
      <c r="F56" s="5"/>
      <c r="G56" s="5"/>
    </row>
    <row r="57" spans="1:7" ht="13">
      <c r="A57" s="48" t="s">
        <v>4399</v>
      </c>
      <c r="B57" s="49" t="s">
        <v>6191</v>
      </c>
      <c r="C57" s="48" t="s">
        <v>192</v>
      </c>
      <c r="D57" s="48"/>
      <c r="E57" s="5"/>
      <c r="F57" s="5"/>
      <c r="G57" s="5"/>
    </row>
    <row r="58" spans="1:7" ht="13">
      <c r="A58" s="48" t="s">
        <v>4400</v>
      </c>
      <c r="B58" s="49" t="s">
        <v>389</v>
      </c>
      <c r="C58" s="48" t="s">
        <v>195</v>
      </c>
      <c r="D58" s="48"/>
      <c r="E58" s="5"/>
      <c r="F58" s="5"/>
      <c r="G58" s="5"/>
    </row>
    <row r="59" spans="1:7" ht="13">
      <c r="A59" s="48" t="s">
        <v>4401</v>
      </c>
      <c r="B59" s="49" t="s">
        <v>368</v>
      </c>
      <c r="C59" s="48" t="s">
        <v>195</v>
      </c>
      <c r="D59" s="48"/>
      <c r="E59" s="5"/>
      <c r="F59" s="5"/>
      <c r="G59" s="5"/>
    </row>
    <row r="60" spans="1:7" ht="13">
      <c r="A60" s="48" t="s">
        <v>4402</v>
      </c>
      <c r="B60" s="49" t="s">
        <v>969</v>
      </c>
      <c r="C60" s="48" t="s">
        <v>195</v>
      </c>
      <c r="D60" s="48"/>
      <c r="E60" s="5"/>
      <c r="F60" s="51"/>
      <c r="G60" s="5"/>
    </row>
    <row r="61" spans="1:7" ht="13">
      <c r="A61" s="48" t="s">
        <v>4403</v>
      </c>
      <c r="B61" s="49" t="s">
        <v>6483</v>
      </c>
      <c r="C61" s="48" t="s">
        <v>195</v>
      </c>
      <c r="D61" s="48"/>
      <c r="E61" s="5"/>
      <c r="F61" s="5"/>
      <c r="G61" s="5"/>
    </row>
    <row r="62" spans="1:7" ht="13">
      <c r="A62" s="48" t="s">
        <v>4404</v>
      </c>
      <c r="B62" s="49" t="s">
        <v>6484</v>
      </c>
      <c r="C62" s="48" t="s">
        <v>195</v>
      </c>
      <c r="D62" s="47"/>
      <c r="E62" s="5"/>
      <c r="F62" s="5"/>
      <c r="G62" s="5"/>
    </row>
    <row r="63" spans="1:7" ht="13">
      <c r="A63" s="48" t="s">
        <v>4405</v>
      </c>
      <c r="B63" s="49" t="s">
        <v>281</v>
      </c>
      <c r="C63" s="48" t="s">
        <v>195</v>
      </c>
      <c r="D63" s="48"/>
      <c r="E63" s="5"/>
      <c r="F63" s="5"/>
      <c r="G63" s="5"/>
    </row>
    <row r="64" spans="1:7" ht="13">
      <c r="A64" s="48" t="s">
        <v>4406</v>
      </c>
      <c r="B64" s="49" t="s">
        <v>362</v>
      </c>
      <c r="C64" s="48" t="s">
        <v>195</v>
      </c>
      <c r="D64" s="48"/>
      <c r="E64" s="5"/>
      <c r="F64" s="5"/>
      <c r="G64" s="5"/>
    </row>
    <row r="65" spans="1:7" ht="13">
      <c r="A65" s="48" t="s">
        <v>4407</v>
      </c>
      <c r="B65" s="58" t="str">
        <f>HYPERLINK("https://bulbapedia.bulbagarden.net/wiki/Espeon-GX_(Sun_%26_Moon_61)","EspeonGX")</f>
        <v>EspeonGX</v>
      </c>
      <c r="C65" s="48" t="s">
        <v>195</v>
      </c>
      <c r="D65" s="47"/>
      <c r="E65" s="5"/>
      <c r="F65" s="5"/>
      <c r="G65" s="5"/>
    </row>
    <row r="66" spans="1:7" ht="13">
      <c r="A66" s="48" t="s">
        <v>4408</v>
      </c>
      <c r="B66" s="49" t="s">
        <v>6485</v>
      </c>
      <c r="C66" s="48" t="s">
        <v>195</v>
      </c>
      <c r="D66" s="48"/>
      <c r="E66" s="5"/>
      <c r="F66" s="5"/>
      <c r="G66" s="5"/>
    </row>
    <row r="67" spans="1:7" ht="13">
      <c r="A67" s="48" t="s">
        <v>4409</v>
      </c>
      <c r="B67" s="49" t="s">
        <v>6486</v>
      </c>
      <c r="C67" s="48" t="s">
        <v>195</v>
      </c>
      <c r="D67" s="47"/>
      <c r="E67" s="5"/>
      <c r="F67" s="5"/>
      <c r="G67" s="5"/>
    </row>
    <row r="68" spans="1:7" ht="13">
      <c r="A68" s="48" t="s">
        <v>4410</v>
      </c>
      <c r="B68" s="49" t="s">
        <v>6487</v>
      </c>
      <c r="C68" s="48" t="s">
        <v>195</v>
      </c>
      <c r="D68" s="48"/>
      <c r="E68" s="5"/>
      <c r="F68" s="5"/>
      <c r="G68" s="5"/>
    </row>
    <row r="69" spans="1:7" ht="13">
      <c r="A69" s="48" t="s">
        <v>4411</v>
      </c>
      <c r="B69" s="49" t="s">
        <v>6488</v>
      </c>
      <c r="C69" s="48" t="s">
        <v>195</v>
      </c>
      <c r="D69" s="48"/>
      <c r="E69" s="5"/>
      <c r="F69" s="5"/>
      <c r="G69" s="5"/>
    </row>
    <row r="70" spans="1:7" ht="13">
      <c r="A70" s="48" t="s">
        <v>4412</v>
      </c>
      <c r="B70" s="58" t="str">
        <f>HYPERLINK("https://bulbapedia.bulbagarden.net/wiki/Lunala-GX_(Sun_%26_Moon_66)","LunalaGX")</f>
        <v>LunalaGX</v>
      </c>
      <c r="C70" s="48" t="s">
        <v>195</v>
      </c>
      <c r="D70" s="47"/>
      <c r="E70" s="5"/>
      <c r="F70" s="5"/>
      <c r="G70" s="5"/>
    </row>
    <row r="71" spans="1:7" ht="13">
      <c r="A71" s="48" t="s">
        <v>4413</v>
      </c>
      <c r="B71" s="49" t="s">
        <v>1294</v>
      </c>
      <c r="C71" s="48" t="s">
        <v>225</v>
      </c>
      <c r="D71" s="48"/>
      <c r="E71" s="5"/>
      <c r="F71" s="5"/>
      <c r="G71" s="5"/>
    </row>
    <row r="72" spans="1:7" ht="13">
      <c r="A72" s="48" t="s">
        <v>4415</v>
      </c>
      <c r="B72" s="49" t="s">
        <v>1222</v>
      </c>
      <c r="C72" s="48" t="s">
        <v>225</v>
      </c>
      <c r="D72" s="48"/>
      <c r="E72" s="5"/>
      <c r="F72" s="5"/>
      <c r="G72" s="5"/>
    </row>
    <row r="73" spans="1:7" ht="13">
      <c r="A73" s="48" t="s">
        <v>4416</v>
      </c>
      <c r="B73" s="49" t="s">
        <v>4260</v>
      </c>
      <c r="C73" s="48" t="s">
        <v>225</v>
      </c>
      <c r="D73" s="48"/>
      <c r="E73" s="5"/>
      <c r="F73" s="5"/>
      <c r="G73" s="5"/>
    </row>
    <row r="74" spans="1:7" ht="13">
      <c r="A74" s="48" t="s">
        <v>4417</v>
      </c>
      <c r="B74" s="49" t="s">
        <v>4262</v>
      </c>
      <c r="C74" s="48" t="s">
        <v>225</v>
      </c>
      <c r="D74" s="48"/>
      <c r="E74" s="5"/>
      <c r="F74" s="5"/>
      <c r="G74" s="5"/>
    </row>
    <row r="75" spans="1:7" ht="13">
      <c r="A75" s="48" t="s">
        <v>4418</v>
      </c>
      <c r="B75" s="49" t="s">
        <v>4089</v>
      </c>
      <c r="C75" s="48" t="s">
        <v>225</v>
      </c>
      <c r="D75" s="47"/>
      <c r="E75" s="51"/>
      <c r="F75" s="5"/>
      <c r="G75" s="5"/>
    </row>
    <row r="76" spans="1:7" ht="13">
      <c r="A76" s="48" t="s">
        <v>4420</v>
      </c>
      <c r="B76" s="49" t="s">
        <v>6489</v>
      </c>
      <c r="C76" s="48" t="s">
        <v>225</v>
      </c>
      <c r="D76" s="48"/>
      <c r="E76" s="5"/>
      <c r="F76" s="5"/>
      <c r="G76" s="5"/>
    </row>
    <row r="77" spans="1:7" ht="13">
      <c r="A77" s="48" t="s">
        <v>4422</v>
      </c>
      <c r="B77" s="49" t="s">
        <v>6490</v>
      </c>
      <c r="C77" s="48" t="s">
        <v>225</v>
      </c>
      <c r="D77" s="48"/>
      <c r="E77" s="5"/>
      <c r="F77" s="5"/>
      <c r="G77" s="5"/>
    </row>
    <row r="78" spans="1:7" ht="13">
      <c r="A78" s="48" t="s">
        <v>4424</v>
      </c>
      <c r="B78" s="49" t="s">
        <v>6491</v>
      </c>
      <c r="C78" s="48" t="s">
        <v>225</v>
      </c>
      <c r="D78" s="48"/>
      <c r="E78" s="5"/>
      <c r="F78" s="5"/>
      <c r="G78" s="5"/>
    </row>
    <row r="79" spans="1:7" ht="13">
      <c r="A79" s="48" t="s">
        <v>4426</v>
      </c>
      <c r="B79" s="49" t="s">
        <v>6492</v>
      </c>
      <c r="C79" s="48" t="s">
        <v>225</v>
      </c>
      <c r="D79" s="47"/>
      <c r="E79" s="5"/>
      <c r="F79" s="5"/>
      <c r="G79" s="5"/>
    </row>
    <row r="80" spans="1:7" ht="13">
      <c r="A80" s="48" t="s">
        <v>4427</v>
      </c>
      <c r="B80" s="49" t="s">
        <v>6493</v>
      </c>
      <c r="C80" s="48" t="s">
        <v>808</v>
      </c>
      <c r="D80" s="48"/>
      <c r="E80" s="5"/>
      <c r="F80" s="5"/>
      <c r="G80" s="5"/>
    </row>
    <row r="81" spans="1:7" ht="13">
      <c r="A81" s="48" t="s">
        <v>4428</v>
      </c>
      <c r="B81" s="49" t="s">
        <v>6494</v>
      </c>
      <c r="C81" s="48" t="s">
        <v>808</v>
      </c>
      <c r="D81" s="48"/>
      <c r="E81" s="5"/>
      <c r="F81" s="5"/>
      <c r="G81" s="5"/>
    </row>
    <row r="82" spans="1:7" ht="13">
      <c r="A82" s="48" t="s">
        <v>4430</v>
      </c>
      <c r="B82" s="49" t="s">
        <v>6236</v>
      </c>
      <c r="C82" s="48" t="s">
        <v>808</v>
      </c>
      <c r="D82" s="48"/>
      <c r="E82" s="5"/>
      <c r="F82" s="5"/>
      <c r="G82" s="5"/>
    </row>
    <row r="83" spans="1:7" ht="13">
      <c r="A83" s="48" t="s">
        <v>4431</v>
      </c>
      <c r="B83" s="49" t="s">
        <v>6495</v>
      </c>
      <c r="C83" s="48" t="s">
        <v>808</v>
      </c>
      <c r="D83" s="48"/>
      <c r="E83" s="5"/>
      <c r="F83" s="5"/>
      <c r="G83" s="5"/>
    </row>
    <row r="84" spans="1:7" ht="13">
      <c r="A84" s="48" t="s">
        <v>4432</v>
      </c>
      <c r="B84" s="58" t="str">
        <f>HYPERLINK("https://bulbapedia.bulbagarden.net/wiki/Umbreon-GX_(Sun_%26_Moon_80)","UmbreonGX")</f>
        <v>UmbreonGX</v>
      </c>
      <c r="C84" s="48" t="s">
        <v>808</v>
      </c>
      <c r="D84" s="47"/>
      <c r="E84" s="5"/>
      <c r="F84" s="5"/>
      <c r="G84" s="5"/>
    </row>
    <row r="85" spans="1:7" ht="13">
      <c r="A85" s="48" t="s">
        <v>4433</v>
      </c>
      <c r="B85" s="49" t="s">
        <v>1288</v>
      </c>
      <c r="C85" s="48" t="s">
        <v>808</v>
      </c>
      <c r="D85" s="47"/>
      <c r="E85" s="5"/>
      <c r="F85" s="5"/>
      <c r="G85" s="5"/>
    </row>
    <row r="86" spans="1:7" ht="13">
      <c r="A86" s="48" t="s">
        <v>4434</v>
      </c>
      <c r="B86" s="49" t="s">
        <v>1246</v>
      </c>
      <c r="C86" s="48" t="s">
        <v>808</v>
      </c>
      <c r="D86" s="47"/>
      <c r="E86" s="5"/>
      <c r="F86" s="5"/>
      <c r="G86" s="5"/>
    </row>
    <row r="87" spans="1:7" ht="13">
      <c r="A87" s="48" t="s">
        <v>4435</v>
      </c>
      <c r="B87" s="49" t="s">
        <v>4035</v>
      </c>
      <c r="C87" s="48" t="s">
        <v>808</v>
      </c>
      <c r="D87" s="48"/>
      <c r="E87" s="5"/>
      <c r="F87" s="5"/>
      <c r="G87" s="5"/>
    </row>
    <row r="88" spans="1:7" ht="13">
      <c r="A88" s="48" t="s">
        <v>4436</v>
      </c>
      <c r="B88" s="49" t="s">
        <v>4156</v>
      </c>
      <c r="C88" s="48" t="s">
        <v>808</v>
      </c>
      <c r="D88" s="47"/>
      <c r="E88" s="5"/>
      <c r="F88" s="5"/>
      <c r="G88" s="5"/>
    </row>
    <row r="89" spans="1:7" ht="13">
      <c r="A89" s="48" t="s">
        <v>4437</v>
      </c>
      <c r="B89" s="49" t="s">
        <v>4157</v>
      </c>
      <c r="C89" s="48" t="s">
        <v>808</v>
      </c>
      <c r="D89" s="47"/>
      <c r="E89" s="51"/>
      <c r="F89" s="5"/>
      <c r="G89" s="5"/>
    </row>
    <row r="90" spans="1:7" ht="13">
      <c r="A90" s="48" t="s">
        <v>4438</v>
      </c>
      <c r="B90" s="49" t="s">
        <v>6496</v>
      </c>
      <c r="C90" s="48" t="s">
        <v>220</v>
      </c>
      <c r="D90" s="48"/>
      <c r="E90" s="5"/>
      <c r="F90" s="5"/>
      <c r="G90" s="5"/>
    </row>
    <row r="91" spans="1:7" ht="13">
      <c r="A91" s="48" t="s">
        <v>4439</v>
      </c>
      <c r="B91" s="49" t="s">
        <v>6497</v>
      </c>
      <c r="C91" s="124" t="s">
        <v>220</v>
      </c>
      <c r="D91" s="47"/>
      <c r="E91" s="51"/>
      <c r="F91" s="5"/>
      <c r="G91" s="5"/>
    </row>
    <row r="92" spans="1:7" ht="13">
      <c r="A92" s="48" t="s">
        <v>4440</v>
      </c>
      <c r="B92" s="49" t="s">
        <v>787</v>
      </c>
      <c r="C92" s="124" t="s">
        <v>220</v>
      </c>
      <c r="D92" s="48"/>
      <c r="E92" s="51"/>
      <c r="F92" s="5"/>
      <c r="G92" s="5"/>
    </row>
    <row r="93" spans="1:7" ht="13">
      <c r="A93" s="48" t="s">
        <v>4441</v>
      </c>
      <c r="B93" s="58" t="str">
        <f>HYPERLINK("https://bulbapedia.bulbagarden.net/wiki/Solgaleo-GX_(Sun_%26_Moon_89)","SolgaleoGX")</f>
        <v>SolgaleoGX</v>
      </c>
      <c r="C93" s="124" t="s">
        <v>220</v>
      </c>
      <c r="D93" s="47"/>
      <c r="E93" s="5"/>
      <c r="F93" s="5"/>
      <c r="G93" s="5"/>
    </row>
    <row r="94" spans="1:7" ht="13">
      <c r="A94" s="48" t="s">
        <v>4443</v>
      </c>
      <c r="B94" s="49" t="s">
        <v>891</v>
      </c>
      <c r="C94" s="48" t="s">
        <v>4743</v>
      </c>
      <c r="D94" s="48"/>
      <c r="E94" s="5"/>
      <c r="F94" s="5"/>
      <c r="G94" s="5"/>
    </row>
    <row r="95" spans="1:7" ht="13">
      <c r="A95" s="48" t="s">
        <v>4444</v>
      </c>
      <c r="B95" s="49" t="s">
        <v>829</v>
      </c>
      <c r="C95" s="48" t="s">
        <v>4743</v>
      </c>
      <c r="D95" s="47"/>
      <c r="E95" s="5"/>
      <c r="F95" s="5"/>
      <c r="G95" s="5"/>
    </row>
    <row r="96" spans="1:7" ht="13">
      <c r="A96" s="48" t="s">
        <v>4446</v>
      </c>
      <c r="B96" s="49" t="s">
        <v>6498</v>
      </c>
      <c r="C96" s="48" t="s">
        <v>4743</v>
      </c>
      <c r="D96" s="48"/>
      <c r="E96" s="5"/>
      <c r="F96" s="5"/>
      <c r="G96" s="5"/>
    </row>
    <row r="97" spans="1:7" ht="13">
      <c r="A97" s="48" t="s">
        <v>4447</v>
      </c>
      <c r="B97" s="49" t="s">
        <v>6499</v>
      </c>
      <c r="C97" s="48" t="s">
        <v>4743</v>
      </c>
      <c r="D97" s="47"/>
      <c r="E97" s="5"/>
      <c r="F97" s="5"/>
      <c r="G97" s="5"/>
    </row>
    <row r="98" spans="1:7" ht="13">
      <c r="A98" s="48" t="s">
        <v>4449</v>
      </c>
      <c r="B98" s="49" t="s">
        <v>260</v>
      </c>
      <c r="C98" s="48" t="s">
        <v>4285</v>
      </c>
      <c r="D98" s="47"/>
      <c r="E98" s="5"/>
      <c r="F98" s="5"/>
      <c r="G98" s="5"/>
    </row>
    <row r="99" spans="1:7" ht="13">
      <c r="A99" s="48" t="s">
        <v>4450</v>
      </c>
      <c r="B99" s="49" t="s">
        <v>254</v>
      </c>
      <c r="C99" s="48" t="s">
        <v>4285</v>
      </c>
      <c r="D99" s="48"/>
      <c r="E99" s="5"/>
      <c r="F99" s="5"/>
      <c r="G99" s="5"/>
    </row>
    <row r="100" spans="1:7" ht="13">
      <c r="A100" s="48" t="s">
        <v>4451</v>
      </c>
      <c r="B100" s="49" t="s">
        <v>196</v>
      </c>
      <c r="C100" s="48" t="s">
        <v>4285</v>
      </c>
      <c r="D100" s="47"/>
      <c r="E100" s="5"/>
      <c r="F100" s="5"/>
      <c r="G100" s="5"/>
    </row>
    <row r="101" spans="1:7" ht="13">
      <c r="A101" s="48" t="s">
        <v>4452</v>
      </c>
      <c r="B101" s="49" t="s">
        <v>355</v>
      </c>
      <c r="C101" s="48" t="s">
        <v>197</v>
      </c>
      <c r="D101" s="47"/>
      <c r="E101" s="5"/>
      <c r="F101" s="5"/>
      <c r="G101" s="5"/>
    </row>
    <row r="102" spans="1:7" ht="13">
      <c r="A102" s="48" t="s">
        <v>4453</v>
      </c>
      <c r="B102" s="49" t="s">
        <v>334</v>
      </c>
      <c r="C102" s="48" t="s">
        <v>197</v>
      </c>
      <c r="D102" s="48"/>
      <c r="E102" s="5"/>
      <c r="F102" s="5"/>
      <c r="G102" s="5"/>
    </row>
    <row r="103" spans="1:7" ht="13">
      <c r="A103" s="48" t="s">
        <v>4454</v>
      </c>
      <c r="B103" s="49" t="s">
        <v>321</v>
      </c>
      <c r="C103" s="48" t="s">
        <v>197</v>
      </c>
      <c r="D103" s="47"/>
      <c r="E103" s="5"/>
      <c r="F103" s="5"/>
      <c r="G103" s="5"/>
    </row>
    <row r="104" spans="1:7" ht="13">
      <c r="A104" s="48" t="s">
        <v>4455</v>
      </c>
      <c r="B104" s="58" t="str">
        <f>HYPERLINK("https://bulbapedia.bulbagarden.net/wiki/Tauros-GX_(Sun_%26_Moon_100)","TaurosGX")</f>
        <v>TaurosGX</v>
      </c>
      <c r="C104" s="48" t="s">
        <v>197</v>
      </c>
      <c r="D104" s="47"/>
      <c r="E104" s="5"/>
      <c r="F104" s="5"/>
      <c r="G104" s="5"/>
    </row>
    <row r="105" spans="1:7" ht="13">
      <c r="A105" s="48" t="s">
        <v>4457</v>
      </c>
      <c r="B105" s="49" t="s">
        <v>203</v>
      </c>
      <c r="C105" s="48" t="s">
        <v>197</v>
      </c>
      <c r="D105" s="48"/>
      <c r="E105" s="5"/>
      <c r="F105" s="5"/>
      <c r="G105" s="5"/>
    </row>
    <row r="106" spans="1:7" ht="13">
      <c r="A106" s="48" t="s">
        <v>4459</v>
      </c>
      <c r="B106" s="49" t="s">
        <v>1857</v>
      </c>
      <c r="C106" s="48" t="s">
        <v>197</v>
      </c>
      <c r="D106" s="48"/>
      <c r="E106" s="51"/>
      <c r="F106" s="5"/>
      <c r="G106" s="5"/>
    </row>
    <row r="107" spans="1:7" ht="13">
      <c r="A107" s="48" t="s">
        <v>4461</v>
      </c>
      <c r="B107" s="49" t="s">
        <v>4161</v>
      </c>
      <c r="C107" s="48" t="s">
        <v>197</v>
      </c>
      <c r="D107" s="48"/>
      <c r="E107" s="5"/>
      <c r="F107" s="5"/>
      <c r="G107" s="5"/>
    </row>
    <row r="108" spans="1:7" ht="13">
      <c r="A108" s="48" t="s">
        <v>4463</v>
      </c>
      <c r="B108" s="49" t="s">
        <v>4162</v>
      </c>
      <c r="C108" s="48" t="s">
        <v>197</v>
      </c>
      <c r="D108" s="47"/>
      <c r="E108" s="5"/>
      <c r="F108" s="5"/>
      <c r="G108" s="5"/>
    </row>
    <row r="109" spans="1:7" ht="13">
      <c r="A109" s="48" t="s">
        <v>4464</v>
      </c>
      <c r="B109" s="49" t="s">
        <v>4163</v>
      </c>
      <c r="C109" s="48" t="s">
        <v>197</v>
      </c>
      <c r="D109" s="48"/>
      <c r="E109" s="5"/>
      <c r="F109" s="5"/>
      <c r="G109" s="5"/>
    </row>
    <row r="110" spans="1:7" ht="13">
      <c r="A110" s="48" t="s">
        <v>4465</v>
      </c>
      <c r="B110" s="49" t="s">
        <v>6187</v>
      </c>
      <c r="C110" s="48" t="s">
        <v>197</v>
      </c>
      <c r="D110" s="48"/>
      <c r="E110" s="5"/>
      <c r="F110" s="5"/>
      <c r="G110" s="5"/>
    </row>
    <row r="111" spans="1:7" ht="13">
      <c r="A111" s="48" t="s">
        <v>4466</v>
      </c>
      <c r="B111" s="49" t="s">
        <v>6500</v>
      </c>
      <c r="C111" s="48" t="s">
        <v>197</v>
      </c>
      <c r="D111" s="47"/>
      <c r="E111" s="5"/>
      <c r="F111" s="5"/>
      <c r="G111" s="5"/>
    </row>
    <row r="112" spans="1:7" ht="13">
      <c r="A112" s="48" t="s">
        <v>4467</v>
      </c>
      <c r="B112" s="49" t="s">
        <v>6501</v>
      </c>
      <c r="C112" s="48" t="s">
        <v>197</v>
      </c>
      <c r="D112" s="47"/>
      <c r="E112" s="5"/>
      <c r="F112" s="5"/>
      <c r="G112" s="5"/>
    </row>
    <row r="113" spans="1:7" ht="13">
      <c r="A113" s="48" t="s">
        <v>4468</v>
      </c>
      <c r="B113" s="49" t="s">
        <v>6502</v>
      </c>
      <c r="C113" s="48" t="s">
        <v>197</v>
      </c>
      <c r="D113" s="47"/>
      <c r="E113" s="51"/>
      <c r="F113" s="5"/>
      <c r="G113" s="5"/>
    </row>
    <row r="114" spans="1:7" ht="13">
      <c r="A114" s="48" t="s">
        <v>4469</v>
      </c>
      <c r="B114" s="58" t="str">
        <f>HYPERLINK("https://bulbapedia.bulbagarden.net/wiki/Gumshoos-GX_(Sun_%26_Moon_110)","GumshoosGX")</f>
        <v>GumshoosGX</v>
      </c>
      <c r="C114" s="48" t="s">
        <v>197</v>
      </c>
      <c r="D114" s="48"/>
      <c r="E114" s="5"/>
      <c r="F114" s="5"/>
      <c r="G114" s="5"/>
    </row>
    <row r="115" spans="1:7" ht="13">
      <c r="A115" s="48" t="s">
        <v>4470</v>
      </c>
      <c r="B115" s="49" t="s">
        <v>6503</v>
      </c>
      <c r="C115" s="48" t="s">
        <v>197</v>
      </c>
      <c r="D115" s="48"/>
      <c r="E115" s="5"/>
      <c r="F115" s="5"/>
      <c r="G115" s="5"/>
    </row>
    <row r="116" spans="1:7" ht="13">
      <c r="A116" s="48" t="s">
        <v>4471</v>
      </c>
      <c r="B116" s="49" t="s">
        <v>6504</v>
      </c>
      <c r="C116" s="48" t="s">
        <v>197</v>
      </c>
      <c r="D116" s="47"/>
      <c r="E116" s="5"/>
      <c r="F116" s="5"/>
      <c r="G116" s="5"/>
    </row>
    <row r="117" spans="1:7" ht="13">
      <c r="A117" s="48" t="s">
        <v>4472</v>
      </c>
      <c r="B117" s="49" t="s">
        <v>6505</v>
      </c>
      <c r="C117" s="48" t="s">
        <v>197</v>
      </c>
      <c r="D117" s="48"/>
      <c r="E117" s="51"/>
      <c r="F117" s="51"/>
      <c r="G117" s="5"/>
    </row>
    <row r="118" spans="1:7" ht="13">
      <c r="A118" s="48" t="s">
        <v>4473</v>
      </c>
      <c r="B118" s="49" t="s">
        <v>6506</v>
      </c>
      <c r="C118" s="48" t="s">
        <v>4114</v>
      </c>
      <c r="D118" s="48"/>
      <c r="E118" s="5"/>
      <c r="F118" s="5"/>
      <c r="G118" s="5"/>
    </row>
    <row r="119" spans="1:7" ht="13">
      <c r="A119" s="48" t="s">
        <v>4474</v>
      </c>
      <c r="B119" s="49" t="s">
        <v>4704</v>
      </c>
      <c r="C119" s="48" t="s">
        <v>4114</v>
      </c>
      <c r="D119" s="48"/>
      <c r="E119" s="5"/>
      <c r="F119" s="5"/>
      <c r="G119" s="5"/>
    </row>
    <row r="120" spans="1:7" ht="13">
      <c r="A120" s="48" t="s">
        <v>4475</v>
      </c>
      <c r="B120" s="49" t="s">
        <v>307</v>
      </c>
      <c r="C120" s="48" t="s">
        <v>4114</v>
      </c>
      <c r="D120" s="48"/>
      <c r="E120" s="5"/>
      <c r="F120" s="5"/>
      <c r="G120" s="5"/>
    </row>
    <row r="121" spans="1:7" ht="13">
      <c r="A121" s="48" t="s">
        <v>4476</v>
      </c>
      <c r="B121" s="49" t="s">
        <v>1140</v>
      </c>
      <c r="C121" s="48" t="s">
        <v>4114</v>
      </c>
      <c r="D121" s="48"/>
      <c r="E121" s="5"/>
      <c r="F121" s="5"/>
      <c r="G121" s="5"/>
    </row>
    <row r="122" spans="1:7" ht="13">
      <c r="A122" s="48" t="s">
        <v>4477</v>
      </c>
      <c r="B122" s="49" t="s">
        <v>4138</v>
      </c>
      <c r="C122" s="48" t="s">
        <v>4114</v>
      </c>
      <c r="D122" s="47"/>
      <c r="E122" s="5"/>
      <c r="F122" s="5"/>
      <c r="G122" s="5"/>
    </row>
    <row r="123" spans="1:7" ht="13">
      <c r="A123" s="48" t="s">
        <v>4479</v>
      </c>
      <c r="B123" s="49" t="s">
        <v>2029</v>
      </c>
      <c r="C123" s="48" t="s">
        <v>4114</v>
      </c>
      <c r="D123" s="48"/>
      <c r="E123" s="51"/>
      <c r="F123" s="5"/>
      <c r="G123" s="5"/>
    </row>
    <row r="124" spans="1:7" ht="13">
      <c r="A124" s="48" t="s">
        <v>4481</v>
      </c>
      <c r="B124" s="49" t="s">
        <v>6507</v>
      </c>
      <c r="C124" s="48" t="s">
        <v>1013</v>
      </c>
      <c r="D124" s="48"/>
      <c r="E124" s="5"/>
      <c r="F124" s="5"/>
      <c r="G124" s="5"/>
    </row>
    <row r="125" spans="1:7" ht="13">
      <c r="A125" s="48" t="s">
        <v>4482</v>
      </c>
      <c r="B125" s="49" t="s">
        <v>6508</v>
      </c>
      <c r="C125" s="48" t="s">
        <v>1013</v>
      </c>
      <c r="D125" s="47"/>
      <c r="E125" s="5"/>
      <c r="F125" s="5"/>
      <c r="G125" s="5"/>
    </row>
    <row r="126" spans="1:7" ht="13">
      <c r="A126" s="48" t="s">
        <v>4483</v>
      </c>
      <c r="B126" s="49" t="s">
        <v>6509</v>
      </c>
      <c r="C126" s="48" t="s">
        <v>1013</v>
      </c>
      <c r="D126" s="48"/>
      <c r="E126" s="51"/>
      <c r="F126" s="5"/>
      <c r="G126" s="5"/>
    </row>
    <row r="127" spans="1:7" ht="13">
      <c r="A127" s="48" t="s">
        <v>4484</v>
      </c>
      <c r="B127" s="49" t="s">
        <v>6510</v>
      </c>
      <c r="C127" s="48" t="s">
        <v>4114</v>
      </c>
      <c r="D127" s="48"/>
      <c r="E127" s="51"/>
      <c r="F127" s="5"/>
      <c r="G127" s="51"/>
    </row>
    <row r="128" spans="1:7" ht="13">
      <c r="A128" s="48" t="s">
        <v>4485</v>
      </c>
      <c r="B128" s="49" t="s">
        <v>6511</v>
      </c>
      <c r="C128" s="48" t="s">
        <v>4114</v>
      </c>
      <c r="D128" s="47"/>
      <c r="E128" s="5"/>
      <c r="F128" s="5"/>
      <c r="G128" s="5"/>
    </row>
    <row r="129" spans="1:7" ht="13">
      <c r="A129" s="48" t="s">
        <v>4487</v>
      </c>
      <c r="B129" s="49" t="s">
        <v>357</v>
      </c>
      <c r="C129" s="48" t="s">
        <v>4114</v>
      </c>
      <c r="D129" s="48"/>
      <c r="E129" s="5"/>
      <c r="F129" s="5"/>
      <c r="G129" s="5"/>
    </row>
    <row r="130" spans="1:7" ht="13">
      <c r="A130" s="48" t="s">
        <v>4489</v>
      </c>
      <c r="B130" s="49" t="s">
        <v>4183</v>
      </c>
      <c r="C130" s="48" t="s">
        <v>4114</v>
      </c>
      <c r="D130" s="48"/>
      <c r="E130" s="5"/>
      <c r="F130" s="5"/>
      <c r="G130" s="5"/>
    </row>
    <row r="131" spans="1:7" ht="13">
      <c r="A131" s="48" t="s">
        <v>4490</v>
      </c>
      <c r="B131" s="49" t="s">
        <v>314</v>
      </c>
      <c r="C131" s="48" t="s">
        <v>4114</v>
      </c>
      <c r="D131" s="48"/>
      <c r="E131" s="5"/>
      <c r="F131" s="5"/>
      <c r="G131" s="5"/>
    </row>
    <row r="132" spans="1:7" ht="13">
      <c r="A132" s="48" t="s">
        <v>4492</v>
      </c>
      <c r="B132" s="49" t="s">
        <v>6512</v>
      </c>
      <c r="C132" s="48" t="s">
        <v>1013</v>
      </c>
      <c r="D132" s="48"/>
      <c r="E132" s="5"/>
      <c r="F132" s="5"/>
      <c r="G132" s="5"/>
    </row>
    <row r="133" spans="1:7" ht="13">
      <c r="A133" s="48" t="s">
        <v>4493</v>
      </c>
      <c r="B133" s="49" t="s">
        <v>1470</v>
      </c>
      <c r="C133" s="48" t="s">
        <v>4114</v>
      </c>
      <c r="D133" s="48"/>
      <c r="E133" s="5"/>
      <c r="F133" s="5"/>
      <c r="G133" s="5"/>
    </row>
    <row r="134" spans="1:7" ht="13">
      <c r="A134" s="48" t="s">
        <v>4494</v>
      </c>
      <c r="B134" s="49" t="s">
        <v>6513</v>
      </c>
      <c r="C134" s="48" t="s">
        <v>4114</v>
      </c>
      <c r="D134" s="47"/>
      <c r="E134" s="5"/>
      <c r="F134" s="5"/>
      <c r="G134" s="5"/>
    </row>
    <row r="135" spans="1:7" ht="13">
      <c r="A135" s="48" t="s">
        <v>4496</v>
      </c>
      <c r="B135" s="49" t="s">
        <v>6514</v>
      </c>
      <c r="C135" s="48" t="s">
        <v>4114</v>
      </c>
      <c r="D135" s="48"/>
      <c r="E135" s="5"/>
      <c r="F135" s="5"/>
      <c r="G135" s="5"/>
    </row>
    <row r="136" spans="1:7" ht="13">
      <c r="A136" s="48" t="s">
        <v>4497</v>
      </c>
      <c r="B136" s="49" t="s">
        <v>315</v>
      </c>
      <c r="C136" s="48" t="s">
        <v>4114</v>
      </c>
      <c r="D136" s="48"/>
      <c r="E136" s="5"/>
      <c r="F136" s="5"/>
      <c r="G136" s="5"/>
    </row>
    <row r="137" spans="1:7" ht="13">
      <c r="A137" s="48" t="s">
        <v>4498</v>
      </c>
      <c r="B137" s="49" t="s">
        <v>6515</v>
      </c>
      <c r="C137" s="48" t="s">
        <v>1013</v>
      </c>
      <c r="D137" s="47"/>
      <c r="E137" s="51"/>
      <c r="F137" s="5"/>
      <c r="G137" s="5"/>
    </row>
    <row r="138" spans="1:7" ht="13">
      <c r="A138" s="48" t="s">
        <v>4499</v>
      </c>
      <c r="B138" s="49" t="s">
        <v>6516</v>
      </c>
      <c r="C138" s="48" t="s">
        <v>4114</v>
      </c>
      <c r="D138" s="48"/>
      <c r="E138" s="5"/>
      <c r="F138" s="5"/>
      <c r="G138" s="5"/>
    </row>
    <row r="139" spans="1:7" ht="13">
      <c r="A139" s="48" t="s">
        <v>4501</v>
      </c>
      <c r="B139" s="49" t="s">
        <v>4173</v>
      </c>
      <c r="C139" s="48" t="s">
        <v>4114</v>
      </c>
      <c r="D139" s="48"/>
      <c r="E139" s="51"/>
      <c r="F139" s="5"/>
      <c r="G139" s="51"/>
    </row>
    <row r="140" spans="1:7" ht="13">
      <c r="A140" s="48" t="s">
        <v>4502</v>
      </c>
      <c r="B140" s="49" t="s">
        <v>316</v>
      </c>
      <c r="C140" s="48" t="s">
        <v>317</v>
      </c>
      <c r="D140" s="47"/>
      <c r="E140" s="5"/>
      <c r="F140" s="5"/>
      <c r="G140" s="5"/>
    </row>
    <row r="141" spans="1:7" ht="13">
      <c r="A141" s="48" t="s">
        <v>4504</v>
      </c>
      <c r="B141" s="49" t="s">
        <v>524</v>
      </c>
      <c r="C141" s="48" t="s">
        <v>317</v>
      </c>
      <c r="D141" s="47"/>
      <c r="E141" s="51"/>
      <c r="F141" s="5"/>
      <c r="G141" s="5"/>
    </row>
    <row r="142" spans="1:7" ht="13">
      <c r="A142" s="48" t="s">
        <v>4505</v>
      </c>
      <c r="B142" s="58" t="str">
        <f>HYPERLINK("https://bulbapedia.bulbagarden.net/wiki/Lurantis-GX_(Sun_%26_Moon_138)","LurantisGX")</f>
        <v>LurantisGX</v>
      </c>
      <c r="C142" s="48" t="s">
        <v>205</v>
      </c>
      <c r="D142" s="48"/>
      <c r="E142" s="5"/>
      <c r="F142" s="5"/>
      <c r="G142" s="5"/>
    </row>
    <row r="143" spans="1:7" ht="13">
      <c r="A143" s="48" t="s">
        <v>4507</v>
      </c>
      <c r="B143" s="58" t="str">
        <f>HYPERLINK("https://bulbapedia.bulbagarden.net/wiki/Lapras-GX_(Sun_%26_Moon_139)","LaprasGX")</f>
        <v>LaprasGX</v>
      </c>
      <c r="C143" s="48" t="s">
        <v>208</v>
      </c>
      <c r="D143" s="47"/>
      <c r="E143" s="5"/>
      <c r="F143" s="5"/>
      <c r="G143" s="5"/>
    </row>
    <row r="144" spans="1:7" ht="13">
      <c r="A144" s="48" t="s">
        <v>4509</v>
      </c>
      <c r="B144" s="58" t="str">
        <f>HYPERLINK("https://bulbapedia.bulbagarden.net/wiki/Espeon-GX_(Sun_%26_Moon_140)","EspeonGX")</f>
        <v>EspeonGX</v>
      </c>
      <c r="C144" s="48" t="s">
        <v>195</v>
      </c>
      <c r="D144" s="47"/>
      <c r="E144" s="5"/>
      <c r="F144" s="5"/>
      <c r="G144" s="5"/>
    </row>
    <row r="145" spans="1:7" ht="13">
      <c r="A145" s="48" t="s">
        <v>4511</v>
      </c>
      <c r="B145" s="58" t="str">
        <f>HYPERLINK("https://bulbapedia.bulbagarden.net/wiki/Lunala-GX_(Sun_%26_Moon_141)","LunalaGX")</f>
        <v>LunalaGX</v>
      </c>
      <c r="C145" s="48" t="s">
        <v>195</v>
      </c>
      <c r="D145" s="47"/>
      <c r="E145" s="5"/>
      <c r="F145" s="5"/>
      <c r="G145" s="5"/>
    </row>
    <row r="146" spans="1:7" ht="13">
      <c r="A146" s="48" t="s">
        <v>4512</v>
      </c>
      <c r="B146" s="58" t="str">
        <f>HYPERLINK("https://bulbapedia.bulbagarden.net/wiki/Umbreon-GX_(Sun_%26_Moon_142)","UmbreonGX")</f>
        <v>UmbreonGX</v>
      </c>
      <c r="C146" s="48" t="s">
        <v>808</v>
      </c>
      <c r="D146" s="47"/>
      <c r="E146" s="5"/>
      <c r="F146" s="5"/>
      <c r="G146" s="5"/>
    </row>
    <row r="147" spans="1:7" ht="13">
      <c r="A147" s="48" t="s">
        <v>4513</v>
      </c>
      <c r="B147" s="58" t="str">
        <f>HYPERLINK("https://bulbapedia.bulbagarden.net/wiki/Solgaleo-GX_(Sun_%26_Moon_143)","SolgaleoGX")</f>
        <v>SolgaleoGX</v>
      </c>
      <c r="C147" s="48" t="s">
        <v>220</v>
      </c>
      <c r="D147" s="48"/>
      <c r="E147" s="5"/>
      <c r="F147" s="5"/>
      <c r="G147" s="5"/>
    </row>
    <row r="148" spans="1:7" ht="13">
      <c r="A148" s="48" t="s">
        <v>4514</v>
      </c>
      <c r="B148" s="58" t="str">
        <f>HYPERLINK("https://bulbapedia.bulbagarden.net/wiki/Tauros-GX_(Sun_%26_Moon_144)","TaurosGX")</f>
        <v>TaurosGX</v>
      </c>
      <c r="C148" s="48" t="s">
        <v>197</v>
      </c>
      <c r="D148" s="47"/>
      <c r="E148" s="5"/>
      <c r="F148" s="5"/>
      <c r="G148" s="5"/>
    </row>
    <row r="149" spans="1:7" ht="13">
      <c r="A149" s="48" t="s">
        <v>4515</v>
      </c>
      <c r="B149" s="58" t="str">
        <f>HYPERLINK("https://bulbapedia.bulbagarden.net/wiki/Gumshoos-GX_(Sun_%26_Moon_145)","GumshoosGX")</f>
        <v>GumshoosGX</v>
      </c>
      <c r="C149" s="48" t="s">
        <v>197</v>
      </c>
      <c r="D149" s="47"/>
      <c r="E149" s="5"/>
      <c r="F149" s="5"/>
      <c r="G149" s="5"/>
    </row>
    <row r="150" spans="1:7" ht="13">
      <c r="A150" s="48" t="s">
        <v>4516</v>
      </c>
      <c r="B150" s="49" t="s">
        <v>6508</v>
      </c>
      <c r="C150" s="48" t="s">
        <v>1013</v>
      </c>
      <c r="D150" s="47"/>
      <c r="E150" s="5"/>
      <c r="F150" s="5"/>
      <c r="G150" s="5"/>
    </row>
    <row r="151" spans="1:7" ht="13">
      <c r="A151" s="48" t="s">
        <v>4517</v>
      </c>
      <c r="B151" s="49" t="s">
        <v>6509</v>
      </c>
      <c r="C151" s="48" t="s">
        <v>1013</v>
      </c>
      <c r="D151" s="47"/>
      <c r="E151" s="5"/>
      <c r="F151" s="5"/>
      <c r="G151" s="5"/>
    </row>
    <row r="152" spans="1:7" ht="13">
      <c r="A152" s="48" t="s">
        <v>4519</v>
      </c>
      <c r="B152" s="49" t="s">
        <v>6512</v>
      </c>
      <c r="C152" s="48" t="s">
        <v>1013</v>
      </c>
      <c r="D152" s="47"/>
      <c r="E152" s="5"/>
      <c r="F152" s="5"/>
      <c r="G152" s="5"/>
    </row>
    <row r="153" spans="1:7" ht="13">
      <c r="A153" s="48" t="s">
        <v>4520</v>
      </c>
      <c r="B153" s="49" t="s">
        <v>6515</v>
      </c>
      <c r="C153" s="48" t="s">
        <v>1013</v>
      </c>
      <c r="D153" s="47"/>
      <c r="E153" s="5"/>
      <c r="F153" s="5"/>
      <c r="G153" s="5"/>
    </row>
    <row r="154" spans="1:7" ht="13">
      <c r="A154" s="48" t="s">
        <v>4521</v>
      </c>
      <c r="B154" s="58" t="str">
        <f>HYPERLINK("https://bulbapedia.bulbagarden.net/wiki/Lurantis-GX_(Sun_%26_Moon_150)","LurantisGX")</f>
        <v>LurantisGX</v>
      </c>
      <c r="C154" s="48" t="s">
        <v>205</v>
      </c>
      <c r="D154" s="47"/>
      <c r="E154" s="5"/>
      <c r="F154" s="5"/>
      <c r="G154" s="5"/>
    </row>
    <row r="155" spans="1:7" ht="13">
      <c r="A155" s="48" t="s">
        <v>4522</v>
      </c>
      <c r="B155" s="58" t="str">
        <f>HYPERLINK("https://bulbapedia.bulbagarden.net/wiki/Lapras-GX_(Sun_%26_Moon_151)","LaprasGX")</f>
        <v>LaprasGX</v>
      </c>
      <c r="C155" s="48" t="s">
        <v>208</v>
      </c>
      <c r="D155" s="47"/>
      <c r="E155" s="5"/>
      <c r="F155" s="5"/>
      <c r="G155" s="5"/>
    </row>
    <row r="156" spans="1:7" ht="13">
      <c r="A156" s="48" t="s">
        <v>4523</v>
      </c>
      <c r="B156" s="58" t="str">
        <f>HYPERLINK("https://bulbapedia.bulbagarden.net/wiki/Espeon-GX_(Sun_%26_Moon_152)","EspeonGX")</f>
        <v>EspeonGX</v>
      </c>
      <c r="C156" s="48" t="s">
        <v>195</v>
      </c>
      <c r="D156" s="47"/>
      <c r="E156" s="5"/>
      <c r="F156" s="5"/>
      <c r="G156" s="5"/>
    </row>
    <row r="157" spans="1:7" ht="13">
      <c r="A157" s="48" t="s">
        <v>4524</v>
      </c>
      <c r="B157" s="58" t="str">
        <f>HYPERLINK("https://bulbapedia.bulbagarden.net/wiki/Lunala-GX_(Sun_%26_Moon_153)","LunalaGX")</f>
        <v>LunalaGX</v>
      </c>
      <c r="C157" s="48" t="s">
        <v>195</v>
      </c>
      <c r="D157" s="47"/>
      <c r="E157" s="5"/>
      <c r="F157" s="5"/>
      <c r="G157" s="5"/>
    </row>
    <row r="158" spans="1:7" ht="13">
      <c r="A158" s="48" t="s">
        <v>6517</v>
      </c>
      <c r="B158" s="58" t="str">
        <f>HYPERLINK("https://bulbapedia.bulbagarden.net/wiki/Umbreon-GX_(Sun_%26_Moon_154)","UmbreonGX")</f>
        <v>UmbreonGX</v>
      </c>
      <c r="C158" s="48" t="s">
        <v>808</v>
      </c>
      <c r="D158" s="47"/>
      <c r="E158" s="5"/>
      <c r="F158" s="5"/>
      <c r="G158" s="5"/>
    </row>
    <row r="159" spans="1:7" ht="13">
      <c r="A159" s="48" t="s">
        <v>6518</v>
      </c>
      <c r="B159" s="58" t="str">
        <f>HYPERLINK("https://bulbapedia.bulbagarden.net/wiki/Solgaleo-GX_(Sun_%26_Moon_155)","SolgaleoGX")</f>
        <v>SolgaleoGX</v>
      </c>
      <c r="C159" s="48" t="s">
        <v>220</v>
      </c>
      <c r="D159" s="47"/>
      <c r="E159" s="5"/>
      <c r="F159" s="5"/>
      <c r="G159" s="5"/>
    </row>
    <row r="160" spans="1:7" ht="13">
      <c r="A160" s="48" t="s">
        <v>6519</v>
      </c>
      <c r="B160" s="58" t="str">
        <f>HYPERLINK("https://bulbapedia.bulbagarden.net/wiki/Tauros-GX_(Sun_%26_Moon_156)","TaurosGX")</f>
        <v>TaurosGX</v>
      </c>
      <c r="C160" s="48" t="s">
        <v>197</v>
      </c>
      <c r="D160" s="47"/>
      <c r="E160" s="5"/>
      <c r="F160" s="5"/>
      <c r="G160" s="5"/>
    </row>
    <row r="161" spans="1:7" ht="13">
      <c r="A161" s="48" t="s">
        <v>6520</v>
      </c>
      <c r="B161" s="58" t="str">
        <f>HYPERLINK("https://bulbapedia.bulbagarden.net/wiki/Gumshoos-GX_(Sun_%26_Moon_157)","GumshoosGX")</f>
        <v>GumshoosGX</v>
      </c>
      <c r="C161" s="48" t="s">
        <v>197</v>
      </c>
      <c r="D161" s="47"/>
      <c r="E161" s="5"/>
      <c r="F161" s="5"/>
      <c r="G161" s="5"/>
    </row>
    <row r="162" spans="1:7" ht="13">
      <c r="A162" s="48" t="s">
        <v>6521</v>
      </c>
      <c r="B162" s="49" t="s">
        <v>6510</v>
      </c>
      <c r="C162" s="48" t="s">
        <v>4114</v>
      </c>
      <c r="D162" s="48"/>
      <c r="E162" s="5"/>
      <c r="F162" s="5"/>
      <c r="G162" s="5"/>
    </row>
    <row r="163" spans="1:7" ht="13">
      <c r="A163" s="48" t="s">
        <v>6522</v>
      </c>
      <c r="B163" s="49" t="s">
        <v>6514</v>
      </c>
      <c r="C163" s="48" t="s">
        <v>4114</v>
      </c>
      <c r="D163" s="47"/>
      <c r="E163" s="5"/>
      <c r="F163" s="5"/>
      <c r="G163" s="5"/>
    </row>
    <row r="164" spans="1:7" ht="13">
      <c r="A164" s="48" t="s">
        <v>6523</v>
      </c>
      <c r="B164" s="49" t="s">
        <v>315</v>
      </c>
      <c r="C164" s="48" t="s">
        <v>4114</v>
      </c>
      <c r="D164" s="47"/>
      <c r="E164" s="5"/>
      <c r="F164" s="5"/>
      <c r="G164" s="5"/>
    </row>
    <row r="165" spans="1:7" ht="13">
      <c r="A165" s="48" t="s">
        <v>6524</v>
      </c>
      <c r="B165" s="49" t="s">
        <v>4173</v>
      </c>
      <c r="C165" s="48" t="s">
        <v>4114</v>
      </c>
      <c r="D165" s="47"/>
      <c r="E165" s="5"/>
      <c r="F165" s="5"/>
      <c r="G165" s="5"/>
    </row>
    <row r="166" spans="1:7" ht="13">
      <c r="A166" s="48" t="s">
        <v>6525</v>
      </c>
      <c r="B166" s="49" t="s">
        <v>5066</v>
      </c>
      <c r="C166" s="48" t="s">
        <v>317</v>
      </c>
      <c r="D166" s="47"/>
      <c r="E166" s="5"/>
      <c r="F166" s="5"/>
      <c r="G166" s="5"/>
    </row>
    <row r="167" spans="1:7" ht="13">
      <c r="A167" s="48" t="s">
        <v>6526</v>
      </c>
      <c r="B167" s="49" t="s">
        <v>798</v>
      </c>
      <c r="C167" s="48" t="s">
        <v>317</v>
      </c>
      <c r="D167" s="47"/>
      <c r="E167" s="5"/>
      <c r="F167" s="5"/>
      <c r="G167" s="5"/>
    </row>
    <row r="169" spans="1:7" ht="13">
      <c r="C169" s="47"/>
      <c r="D169" s="5"/>
      <c r="E169" s="5"/>
      <c r="F169" s="5"/>
      <c r="G169" s="5"/>
    </row>
    <row r="170" spans="1:7" ht="13">
      <c r="C170" s="47"/>
      <c r="D170" s="5"/>
      <c r="E170" s="5"/>
      <c r="F170" s="5"/>
      <c r="G170" s="5"/>
    </row>
    <row r="171" spans="1:7" ht="13">
      <c r="C171" s="47"/>
      <c r="D171" s="5"/>
      <c r="E171" s="5"/>
      <c r="F171" s="5"/>
      <c r="G171" s="5"/>
    </row>
    <row r="172" spans="1:7" ht="13">
      <c r="C172" s="47"/>
      <c r="D172" s="5"/>
      <c r="E172" s="5"/>
      <c r="F172" s="5"/>
      <c r="G172" s="5"/>
    </row>
    <row r="173" spans="1:7" ht="13">
      <c r="C173" s="47"/>
      <c r="D173" s="5"/>
      <c r="E173" s="5"/>
      <c r="F173" s="5"/>
      <c r="G173" s="5"/>
    </row>
    <row r="174" spans="1:7" ht="13">
      <c r="C174" s="47"/>
      <c r="D174" s="5"/>
      <c r="E174" s="5"/>
      <c r="F174" s="5"/>
      <c r="G174" s="5"/>
    </row>
    <row r="175" spans="1:7" ht="13">
      <c r="C175" s="47"/>
      <c r="D175" s="5"/>
      <c r="E175" s="5"/>
      <c r="F175" s="5"/>
      <c r="G175" s="5"/>
    </row>
    <row r="176" spans="1:7" ht="13">
      <c r="C176" s="47"/>
      <c r="D176" s="5"/>
      <c r="E176" s="5"/>
      <c r="F176" s="5"/>
      <c r="G176" s="5"/>
    </row>
    <row r="177" spans="3:7" ht="13">
      <c r="C177" s="47"/>
      <c r="D177" s="5"/>
      <c r="E177" s="5"/>
      <c r="F177" s="5"/>
      <c r="G177" s="5"/>
    </row>
    <row r="178" spans="3:7" ht="13">
      <c r="C178" s="47"/>
      <c r="D178" s="5"/>
      <c r="E178" s="5"/>
      <c r="F178" s="5"/>
      <c r="G178" s="5"/>
    </row>
    <row r="179" spans="3:7" ht="13">
      <c r="C179" s="47"/>
      <c r="D179" s="5"/>
      <c r="E179" s="5"/>
      <c r="F179" s="5"/>
      <c r="G179" s="5"/>
    </row>
    <row r="180" spans="3:7" ht="13">
      <c r="C180" s="47"/>
      <c r="D180" s="5"/>
      <c r="E180" s="5"/>
      <c r="F180" s="5"/>
      <c r="G180" s="5"/>
    </row>
    <row r="181" spans="3:7" ht="13">
      <c r="C181" s="47"/>
      <c r="D181" s="5"/>
      <c r="E181" s="5"/>
      <c r="F181" s="5"/>
      <c r="G181" s="5"/>
    </row>
    <row r="182" spans="3:7" ht="13">
      <c r="C182" s="47"/>
      <c r="D182" s="5"/>
      <c r="E182" s="5"/>
      <c r="F182" s="5"/>
      <c r="G182" s="5"/>
    </row>
    <row r="183" spans="3:7" ht="13">
      <c r="C183" s="47"/>
      <c r="D183" s="5"/>
      <c r="E183" s="5"/>
      <c r="F183" s="5"/>
      <c r="G183" s="5"/>
    </row>
    <row r="184" spans="3:7" ht="13">
      <c r="C184" s="47"/>
      <c r="D184" s="5"/>
      <c r="E184" s="5"/>
      <c r="F184" s="5"/>
      <c r="G184" s="5"/>
    </row>
    <row r="185" spans="3:7" ht="13">
      <c r="C185" s="47"/>
      <c r="D185" s="5"/>
      <c r="E185" s="5"/>
      <c r="F185" s="5"/>
      <c r="G185" s="5"/>
    </row>
    <row r="186" spans="3:7" ht="13">
      <c r="C186" s="47"/>
      <c r="D186" s="5"/>
      <c r="E186" s="5"/>
      <c r="F186" s="5"/>
      <c r="G186" s="5"/>
    </row>
    <row r="187" spans="3:7" ht="13">
      <c r="C187" s="47"/>
      <c r="D187" s="5"/>
      <c r="E187" s="5"/>
      <c r="F187" s="5"/>
      <c r="G187" s="5"/>
    </row>
    <row r="188" spans="3:7" ht="13">
      <c r="C188" s="47"/>
      <c r="D188" s="5"/>
      <c r="E188" s="5"/>
      <c r="F188" s="5"/>
      <c r="G188" s="5"/>
    </row>
    <row r="189" spans="3:7" ht="13">
      <c r="C189" s="47"/>
      <c r="D189" s="5"/>
      <c r="E189" s="5"/>
      <c r="F189" s="5"/>
      <c r="G189" s="5"/>
    </row>
    <row r="190" spans="3:7" ht="13">
      <c r="C190" s="47"/>
      <c r="D190" s="5"/>
      <c r="E190" s="5"/>
      <c r="F190" s="5"/>
      <c r="G190" s="5"/>
    </row>
    <row r="191" spans="3:7" ht="13">
      <c r="C191" s="47"/>
      <c r="D191" s="5"/>
      <c r="E191" s="5"/>
      <c r="F191" s="5"/>
      <c r="G191" s="5"/>
    </row>
    <row r="192" spans="3:7" ht="13">
      <c r="C192" s="47"/>
      <c r="D192" s="5"/>
      <c r="E192" s="5"/>
      <c r="F192" s="5"/>
      <c r="G192" s="5"/>
    </row>
    <row r="193" spans="3:7" ht="13">
      <c r="C193" s="47"/>
      <c r="D193" s="5"/>
      <c r="E193" s="5"/>
      <c r="F193" s="5"/>
      <c r="G193" s="5"/>
    </row>
    <row r="194" spans="3:7" ht="13">
      <c r="C194" s="47"/>
      <c r="D194" s="5"/>
      <c r="E194" s="5"/>
      <c r="F194" s="5"/>
      <c r="G194" s="5"/>
    </row>
    <row r="195" spans="3:7" ht="13">
      <c r="C195" s="47"/>
      <c r="D195" s="5"/>
      <c r="E195" s="5"/>
      <c r="F195" s="5"/>
      <c r="G195" s="5"/>
    </row>
    <row r="196" spans="3:7" ht="13">
      <c r="C196" s="47"/>
      <c r="D196" s="5"/>
      <c r="E196" s="5"/>
      <c r="F196" s="5"/>
      <c r="G196" s="5"/>
    </row>
    <row r="197" spans="3:7" ht="13">
      <c r="C197" s="47"/>
      <c r="D197" s="5"/>
      <c r="E197" s="5"/>
      <c r="F197" s="5"/>
      <c r="G197" s="5"/>
    </row>
    <row r="198" spans="3:7" ht="13">
      <c r="C198" s="47"/>
      <c r="D198" s="5"/>
      <c r="E198" s="5"/>
      <c r="F198" s="5"/>
      <c r="G198" s="5"/>
    </row>
    <row r="199" spans="3:7" ht="13">
      <c r="C199" s="47"/>
      <c r="D199" s="5"/>
      <c r="E199" s="5"/>
      <c r="F199" s="5"/>
      <c r="G199" s="5"/>
    </row>
    <row r="200" spans="3:7" ht="13">
      <c r="C200" s="47"/>
      <c r="D200" s="5"/>
      <c r="E200" s="5"/>
      <c r="F200" s="5"/>
      <c r="G200" s="5"/>
    </row>
    <row r="201" spans="3:7" ht="13">
      <c r="C201" s="47"/>
      <c r="D201" s="5"/>
      <c r="E201" s="5"/>
      <c r="F201" s="5"/>
      <c r="G201" s="5"/>
    </row>
    <row r="202" spans="3:7" ht="13">
      <c r="C202" s="47"/>
      <c r="D202" s="5"/>
      <c r="E202" s="5"/>
      <c r="F202" s="5"/>
      <c r="G202" s="5"/>
    </row>
    <row r="203" spans="3:7" ht="13">
      <c r="C203" s="47"/>
      <c r="D203" s="5"/>
      <c r="E203" s="5"/>
      <c r="F203" s="5"/>
      <c r="G203" s="5"/>
    </row>
    <row r="204" spans="3:7" ht="13">
      <c r="C204" s="47"/>
      <c r="D204" s="5"/>
      <c r="E204" s="5"/>
      <c r="F204" s="5"/>
      <c r="G204" s="5"/>
    </row>
    <row r="205" spans="3:7" ht="13">
      <c r="C205" s="47"/>
      <c r="D205" s="5"/>
      <c r="E205" s="5"/>
      <c r="F205" s="5"/>
      <c r="G205" s="5"/>
    </row>
    <row r="206" spans="3:7" ht="13">
      <c r="C206" s="47"/>
      <c r="D206" s="5"/>
      <c r="E206" s="5"/>
      <c r="F206" s="5"/>
      <c r="G206" s="5"/>
    </row>
    <row r="207" spans="3:7" ht="13">
      <c r="C207" s="47"/>
      <c r="D207" s="5"/>
      <c r="E207" s="5"/>
      <c r="F207" s="5"/>
      <c r="G207" s="5"/>
    </row>
    <row r="208" spans="3:7" ht="13">
      <c r="C208" s="47"/>
      <c r="D208" s="5"/>
      <c r="E208" s="5"/>
      <c r="F208" s="5"/>
      <c r="G208" s="5"/>
    </row>
    <row r="209" spans="3:7" ht="13">
      <c r="C209" s="47"/>
      <c r="D209" s="5"/>
      <c r="E209" s="5"/>
      <c r="F209" s="5"/>
      <c r="G209" s="5"/>
    </row>
    <row r="210" spans="3:7" ht="13">
      <c r="C210" s="47"/>
      <c r="D210" s="5"/>
      <c r="E210" s="5"/>
      <c r="F210" s="5"/>
      <c r="G210" s="5"/>
    </row>
    <row r="211" spans="3:7" ht="13">
      <c r="C211" s="47"/>
      <c r="D211" s="5"/>
      <c r="E211" s="5"/>
      <c r="F211" s="5"/>
      <c r="G211" s="5"/>
    </row>
    <row r="212" spans="3:7" ht="13">
      <c r="C212" s="47"/>
      <c r="D212" s="5"/>
      <c r="E212" s="5"/>
      <c r="F212" s="5"/>
      <c r="G212" s="5"/>
    </row>
    <row r="213" spans="3:7" ht="13">
      <c r="C213" s="47"/>
      <c r="D213" s="5"/>
      <c r="E213" s="5"/>
      <c r="F213" s="5"/>
      <c r="G213" s="5"/>
    </row>
    <row r="214" spans="3:7" ht="13">
      <c r="C214" s="47"/>
      <c r="D214" s="5"/>
      <c r="E214" s="5"/>
      <c r="F214" s="5"/>
      <c r="G214" s="5"/>
    </row>
    <row r="215" spans="3:7" ht="13">
      <c r="C215" s="47"/>
      <c r="D215" s="5"/>
      <c r="E215" s="5"/>
      <c r="F215" s="5"/>
      <c r="G215" s="5"/>
    </row>
    <row r="216" spans="3:7" ht="13">
      <c r="C216" s="47"/>
      <c r="D216" s="5"/>
      <c r="E216" s="5"/>
      <c r="F216" s="5"/>
      <c r="G216" s="5"/>
    </row>
    <row r="217" spans="3:7" ht="13">
      <c r="C217" s="47"/>
      <c r="D217" s="5"/>
      <c r="E217" s="5"/>
      <c r="F217" s="5"/>
      <c r="G217" s="5"/>
    </row>
    <row r="218" spans="3:7" ht="13">
      <c r="C218" s="47"/>
      <c r="D218" s="5"/>
      <c r="E218" s="5"/>
      <c r="F218" s="5"/>
      <c r="G218" s="5"/>
    </row>
    <row r="219" spans="3:7" ht="13">
      <c r="C219" s="47"/>
      <c r="D219" s="5"/>
      <c r="E219" s="5"/>
      <c r="F219" s="5"/>
      <c r="G219" s="5"/>
    </row>
    <row r="220" spans="3:7" ht="13">
      <c r="C220" s="47"/>
      <c r="D220" s="5"/>
      <c r="E220" s="5"/>
      <c r="F220" s="5"/>
      <c r="G220" s="5"/>
    </row>
    <row r="221" spans="3:7" ht="13">
      <c r="C221" s="47"/>
      <c r="D221" s="5"/>
      <c r="E221" s="5"/>
      <c r="F221" s="5"/>
      <c r="G221" s="5"/>
    </row>
    <row r="222" spans="3:7" ht="13">
      <c r="C222" s="47"/>
      <c r="D222" s="5"/>
      <c r="E222" s="5"/>
      <c r="F222" s="5"/>
      <c r="G222" s="5"/>
    </row>
    <row r="223" spans="3:7" ht="13">
      <c r="C223" s="47"/>
      <c r="D223" s="5"/>
      <c r="E223" s="5"/>
      <c r="F223" s="5"/>
      <c r="G223" s="5"/>
    </row>
    <row r="224" spans="3:7" ht="13">
      <c r="C224" s="47"/>
      <c r="D224" s="5"/>
      <c r="E224" s="5"/>
      <c r="F224" s="5"/>
      <c r="G224" s="5"/>
    </row>
    <row r="225" spans="3:7" ht="13">
      <c r="C225" s="47"/>
      <c r="D225" s="5"/>
      <c r="E225" s="5"/>
      <c r="F225" s="5"/>
      <c r="G225" s="5"/>
    </row>
    <row r="226" spans="3:7" ht="13">
      <c r="C226" s="47"/>
      <c r="D226" s="5"/>
      <c r="E226" s="5"/>
      <c r="F226" s="5"/>
      <c r="G226" s="5"/>
    </row>
    <row r="227" spans="3:7" ht="13">
      <c r="C227" s="47"/>
      <c r="D227" s="5"/>
      <c r="E227" s="5"/>
      <c r="F227" s="5"/>
      <c r="G227" s="5"/>
    </row>
    <row r="228" spans="3:7" ht="13">
      <c r="C228" s="47"/>
      <c r="D228" s="5"/>
      <c r="E228" s="5"/>
      <c r="F228" s="5"/>
      <c r="G228" s="5"/>
    </row>
    <row r="229" spans="3:7" ht="13">
      <c r="C229" s="47"/>
      <c r="D229" s="5"/>
      <c r="E229" s="5"/>
      <c r="F229" s="5"/>
      <c r="G229" s="5"/>
    </row>
    <row r="230" spans="3:7" ht="13">
      <c r="C230" s="47"/>
      <c r="D230" s="5"/>
      <c r="E230" s="5"/>
      <c r="F230" s="5"/>
      <c r="G230" s="5"/>
    </row>
    <row r="231" spans="3:7" ht="13">
      <c r="C231" s="47"/>
      <c r="D231" s="5"/>
      <c r="E231" s="5"/>
      <c r="F231" s="5"/>
      <c r="G231" s="5"/>
    </row>
    <row r="232" spans="3:7" ht="13">
      <c r="C232" s="47"/>
      <c r="D232" s="5"/>
      <c r="E232" s="5"/>
      <c r="F232" s="5"/>
      <c r="G232" s="5"/>
    </row>
    <row r="233" spans="3:7" ht="13">
      <c r="C233" s="47"/>
      <c r="D233" s="5"/>
      <c r="E233" s="5"/>
      <c r="F233" s="5"/>
      <c r="G233" s="5"/>
    </row>
    <row r="234" spans="3:7" ht="13">
      <c r="C234" s="47"/>
      <c r="D234" s="5"/>
      <c r="E234" s="5"/>
      <c r="F234" s="5"/>
      <c r="G234" s="5"/>
    </row>
    <row r="235" spans="3:7" ht="13">
      <c r="C235" s="47"/>
      <c r="D235" s="5"/>
      <c r="E235" s="5"/>
      <c r="F235" s="5"/>
      <c r="G235" s="5"/>
    </row>
    <row r="236" spans="3:7" ht="13">
      <c r="C236" s="47"/>
      <c r="D236" s="5"/>
      <c r="E236" s="5"/>
      <c r="F236" s="5"/>
      <c r="G236" s="5"/>
    </row>
    <row r="237" spans="3:7" ht="13">
      <c r="C237" s="47"/>
      <c r="D237" s="5"/>
      <c r="E237" s="5"/>
      <c r="F237" s="5"/>
      <c r="G237" s="5"/>
    </row>
    <row r="238" spans="3:7" ht="13">
      <c r="C238" s="47"/>
      <c r="D238" s="5"/>
      <c r="E238" s="5"/>
      <c r="F238" s="5"/>
      <c r="G238" s="5"/>
    </row>
    <row r="239" spans="3:7" ht="13">
      <c r="C239" s="47"/>
      <c r="D239" s="5"/>
      <c r="E239" s="5"/>
      <c r="F239" s="5"/>
      <c r="G239" s="5"/>
    </row>
    <row r="240" spans="3:7" ht="13">
      <c r="C240" s="47"/>
      <c r="D240" s="5"/>
      <c r="E240" s="5"/>
      <c r="F240" s="5"/>
      <c r="G240" s="5"/>
    </row>
    <row r="241" spans="3:7" ht="13">
      <c r="C241" s="47"/>
      <c r="D241" s="5"/>
      <c r="E241" s="5"/>
      <c r="F241" s="5"/>
      <c r="G241" s="5"/>
    </row>
    <row r="242" spans="3:7" ht="13">
      <c r="C242" s="47"/>
      <c r="D242" s="5"/>
      <c r="E242" s="5"/>
      <c r="F242" s="5"/>
      <c r="G242" s="5"/>
    </row>
    <row r="243" spans="3:7" ht="13">
      <c r="C243" s="47"/>
      <c r="D243" s="5"/>
      <c r="E243" s="5"/>
      <c r="F243" s="5"/>
      <c r="G243" s="5"/>
    </row>
    <row r="244" spans="3:7" ht="13">
      <c r="C244" s="47"/>
      <c r="D244" s="5"/>
      <c r="E244" s="5"/>
      <c r="F244" s="5"/>
      <c r="G244" s="5"/>
    </row>
    <row r="245" spans="3:7" ht="13">
      <c r="C245" s="47"/>
      <c r="D245" s="5"/>
      <c r="E245" s="5"/>
      <c r="F245" s="5"/>
      <c r="G245" s="5"/>
    </row>
    <row r="246" spans="3:7" ht="13">
      <c r="C246" s="47"/>
      <c r="D246" s="5"/>
      <c r="E246" s="5"/>
      <c r="F246" s="5"/>
      <c r="G246" s="5"/>
    </row>
    <row r="247" spans="3:7" ht="13">
      <c r="C247" s="47"/>
      <c r="D247" s="5"/>
      <c r="E247" s="5"/>
      <c r="F247" s="5"/>
      <c r="G247" s="5"/>
    </row>
    <row r="248" spans="3:7" ht="13">
      <c r="C248" s="47"/>
      <c r="D248" s="5"/>
      <c r="E248" s="5"/>
      <c r="F248" s="5"/>
      <c r="G248" s="5"/>
    </row>
    <row r="249" spans="3:7" ht="13">
      <c r="C249" s="47"/>
      <c r="D249" s="5"/>
      <c r="E249" s="5"/>
      <c r="F249" s="5"/>
      <c r="G249" s="5"/>
    </row>
    <row r="250" spans="3:7" ht="13">
      <c r="C250" s="47"/>
      <c r="D250" s="5"/>
      <c r="E250" s="5"/>
      <c r="F250" s="5"/>
      <c r="G250" s="5"/>
    </row>
    <row r="251" spans="3:7" ht="13">
      <c r="C251" s="47"/>
      <c r="D251" s="5"/>
      <c r="E251" s="5"/>
      <c r="F251" s="5"/>
      <c r="G251" s="5"/>
    </row>
    <row r="252" spans="3:7" ht="13">
      <c r="C252" s="47"/>
      <c r="D252" s="5"/>
      <c r="E252" s="5"/>
      <c r="F252" s="5"/>
      <c r="G252" s="5"/>
    </row>
    <row r="253" spans="3:7" ht="13">
      <c r="C253" s="47"/>
      <c r="D253" s="5"/>
      <c r="E253" s="5"/>
      <c r="F253" s="5"/>
      <c r="G253" s="5"/>
    </row>
    <row r="254" spans="3:7" ht="13">
      <c r="C254" s="47"/>
      <c r="D254" s="5"/>
      <c r="E254" s="5"/>
      <c r="F254" s="5"/>
      <c r="G254" s="5"/>
    </row>
    <row r="255" spans="3:7" ht="13">
      <c r="C255" s="47"/>
      <c r="D255" s="5"/>
      <c r="E255" s="5"/>
      <c r="F255" s="5"/>
      <c r="G255" s="5"/>
    </row>
    <row r="256" spans="3:7" ht="13">
      <c r="C256" s="47"/>
      <c r="D256" s="5"/>
      <c r="E256" s="5"/>
      <c r="F256" s="5"/>
      <c r="G256" s="5"/>
    </row>
    <row r="257" spans="3:7" ht="13">
      <c r="C257" s="47"/>
      <c r="D257" s="5"/>
      <c r="E257" s="5"/>
      <c r="F257" s="5"/>
      <c r="G257" s="5"/>
    </row>
    <row r="258" spans="3:7" ht="13">
      <c r="C258" s="47"/>
      <c r="D258" s="5"/>
      <c r="E258" s="5"/>
      <c r="F258" s="5"/>
      <c r="G258" s="5"/>
    </row>
    <row r="259" spans="3:7" ht="13">
      <c r="C259" s="47"/>
      <c r="D259" s="5"/>
      <c r="E259" s="5"/>
      <c r="F259" s="5"/>
      <c r="G259" s="5"/>
    </row>
    <row r="260" spans="3:7" ht="13">
      <c r="C260" s="47"/>
      <c r="D260" s="5"/>
      <c r="E260" s="5"/>
      <c r="F260" s="5"/>
      <c r="G260" s="5"/>
    </row>
    <row r="261" spans="3:7" ht="13">
      <c r="C261" s="47"/>
      <c r="D261" s="5"/>
      <c r="E261" s="5"/>
      <c r="F261" s="5"/>
      <c r="G261" s="5"/>
    </row>
    <row r="262" spans="3:7" ht="13">
      <c r="C262" s="47"/>
      <c r="D262" s="5"/>
      <c r="E262" s="5"/>
      <c r="F262" s="5"/>
      <c r="G262" s="5"/>
    </row>
    <row r="263" spans="3:7" ht="13">
      <c r="C263" s="47"/>
      <c r="D263" s="5"/>
      <c r="E263" s="5"/>
      <c r="F263" s="5"/>
      <c r="G263" s="5"/>
    </row>
    <row r="264" spans="3:7" ht="13">
      <c r="C264" s="47"/>
      <c r="D264" s="5"/>
      <c r="E264" s="5"/>
      <c r="F264" s="5"/>
      <c r="G264" s="5"/>
    </row>
    <row r="265" spans="3:7" ht="13">
      <c r="C265" s="47"/>
      <c r="D265" s="5"/>
      <c r="E265" s="5"/>
      <c r="F265" s="5"/>
      <c r="G265" s="5"/>
    </row>
    <row r="266" spans="3:7" ht="13">
      <c r="C266" s="47"/>
      <c r="D266" s="5"/>
      <c r="E266" s="5"/>
      <c r="F266" s="5"/>
      <c r="G266" s="5"/>
    </row>
    <row r="267" spans="3:7" ht="13">
      <c r="C267" s="47"/>
      <c r="D267" s="5"/>
      <c r="E267" s="5"/>
      <c r="F267" s="5"/>
      <c r="G267" s="5"/>
    </row>
    <row r="268" spans="3:7" ht="13">
      <c r="C268" s="47"/>
      <c r="D268" s="5"/>
      <c r="E268" s="5"/>
      <c r="F268" s="5"/>
      <c r="G268" s="5"/>
    </row>
    <row r="269" spans="3:7" ht="13">
      <c r="C269" s="47"/>
      <c r="D269" s="5"/>
      <c r="E269" s="5"/>
      <c r="F269" s="5"/>
      <c r="G269" s="5"/>
    </row>
    <row r="270" spans="3:7" ht="13">
      <c r="C270" s="47"/>
      <c r="D270" s="5"/>
      <c r="E270" s="5"/>
      <c r="F270" s="5"/>
      <c r="G270" s="5"/>
    </row>
    <row r="271" spans="3:7" ht="13">
      <c r="C271" s="47"/>
      <c r="D271" s="5"/>
      <c r="E271" s="5"/>
      <c r="F271" s="5"/>
      <c r="G271" s="5"/>
    </row>
    <row r="272" spans="3:7" ht="13">
      <c r="C272" s="47"/>
      <c r="D272" s="5"/>
      <c r="E272" s="5"/>
      <c r="F272" s="5"/>
      <c r="G272" s="5"/>
    </row>
    <row r="273" spans="3:7" ht="13">
      <c r="C273" s="47"/>
      <c r="D273" s="5"/>
      <c r="E273" s="5"/>
      <c r="F273" s="5"/>
      <c r="G273" s="5"/>
    </row>
    <row r="274" spans="3:7" ht="13">
      <c r="C274" s="47"/>
      <c r="D274" s="5"/>
      <c r="E274" s="5"/>
      <c r="F274" s="5"/>
      <c r="G274" s="5"/>
    </row>
    <row r="275" spans="3:7" ht="13">
      <c r="C275" s="47"/>
      <c r="D275" s="5"/>
      <c r="E275" s="5"/>
      <c r="F275" s="5"/>
      <c r="G275" s="5"/>
    </row>
    <row r="276" spans="3:7" ht="13">
      <c r="C276" s="47"/>
      <c r="D276" s="5"/>
      <c r="E276" s="5"/>
      <c r="F276" s="5"/>
      <c r="G276" s="5"/>
    </row>
    <row r="277" spans="3:7" ht="13">
      <c r="C277" s="47"/>
      <c r="D277" s="5"/>
      <c r="E277" s="5"/>
      <c r="F277" s="5"/>
      <c r="G277" s="5"/>
    </row>
    <row r="278" spans="3:7" ht="13">
      <c r="C278" s="47"/>
      <c r="D278" s="5"/>
      <c r="E278" s="5"/>
      <c r="F278" s="5"/>
      <c r="G278" s="5"/>
    </row>
    <row r="279" spans="3:7" ht="13">
      <c r="C279" s="47"/>
      <c r="D279" s="5"/>
      <c r="E279" s="5"/>
      <c r="F279" s="5"/>
      <c r="G279" s="5"/>
    </row>
    <row r="280" spans="3:7" ht="13">
      <c r="C280" s="47"/>
      <c r="D280" s="5"/>
      <c r="E280" s="5"/>
      <c r="F280" s="5"/>
      <c r="G280" s="5"/>
    </row>
    <row r="281" spans="3:7" ht="13">
      <c r="C281" s="47"/>
      <c r="D281" s="5"/>
      <c r="E281" s="5"/>
      <c r="F281" s="5"/>
      <c r="G281" s="5"/>
    </row>
    <row r="282" spans="3:7" ht="13">
      <c r="C282" s="47"/>
      <c r="D282" s="5"/>
      <c r="E282" s="5"/>
      <c r="F282" s="5"/>
      <c r="G282" s="5"/>
    </row>
    <row r="283" spans="3:7" ht="13">
      <c r="C283" s="47"/>
      <c r="D283" s="5"/>
      <c r="E283" s="5"/>
      <c r="F283" s="5"/>
      <c r="G283" s="5"/>
    </row>
    <row r="284" spans="3:7" ht="13">
      <c r="C284" s="47"/>
      <c r="D284" s="5"/>
      <c r="E284" s="5"/>
      <c r="F284" s="5"/>
      <c r="G284" s="5"/>
    </row>
    <row r="285" spans="3:7" ht="13">
      <c r="C285" s="47"/>
      <c r="D285" s="5"/>
      <c r="E285" s="5"/>
      <c r="F285" s="5"/>
      <c r="G285" s="5"/>
    </row>
    <row r="286" spans="3:7" ht="13">
      <c r="C286" s="47"/>
      <c r="D286" s="5"/>
      <c r="E286" s="5"/>
      <c r="F286" s="5"/>
      <c r="G286" s="5"/>
    </row>
    <row r="287" spans="3:7" ht="13">
      <c r="C287" s="47"/>
      <c r="D287" s="5"/>
      <c r="E287" s="5"/>
      <c r="F287" s="5"/>
      <c r="G287" s="5"/>
    </row>
    <row r="288" spans="3:7" ht="13">
      <c r="C288" s="47"/>
      <c r="D288" s="5"/>
      <c r="E288" s="5"/>
      <c r="F288" s="5"/>
      <c r="G288" s="5"/>
    </row>
    <row r="289" spans="3:7" ht="13">
      <c r="C289" s="47"/>
      <c r="D289" s="5"/>
      <c r="E289" s="5"/>
      <c r="F289" s="5"/>
      <c r="G289" s="5"/>
    </row>
    <row r="290" spans="3:7" ht="13">
      <c r="C290" s="47"/>
      <c r="D290" s="5"/>
      <c r="E290" s="5"/>
      <c r="F290" s="5"/>
      <c r="G290" s="5"/>
    </row>
    <row r="291" spans="3:7" ht="13">
      <c r="C291" s="47"/>
      <c r="D291" s="5"/>
      <c r="E291" s="5"/>
      <c r="F291" s="5"/>
      <c r="G291" s="5"/>
    </row>
    <row r="292" spans="3:7" ht="13">
      <c r="C292" s="47"/>
      <c r="D292" s="5"/>
      <c r="E292" s="5"/>
      <c r="F292" s="5"/>
      <c r="G292" s="5"/>
    </row>
    <row r="293" spans="3:7" ht="13">
      <c r="C293" s="47"/>
      <c r="D293" s="5"/>
      <c r="E293" s="5"/>
      <c r="F293" s="5"/>
      <c r="G293" s="5"/>
    </row>
    <row r="294" spans="3:7" ht="13">
      <c r="C294" s="47"/>
      <c r="D294" s="5"/>
      <c r="E294" s="5"/>
      <c r="F294" s="5"/>
      <c r="G294" s="5"/>
    </row>
    <row r="295" spans="3:7" ht="13">
      <c r="C295" s="47"/>
      <c r="D295" s="5"/>
      <c r="E295" s="5"/>
      <c r="F295" s="5"/>
      <c r="G295" s="5"/>
    </row>
    <row r="296" spans="3:7" ht="13">
      <c r="C296" s="47"/>
      <c r="D296" s="5"/>
      <c r="E296" s="5"/>
      <c r="F296" s="5"/>
      <c r="G296" s="5"/>
    </row>
    <row r="297" spans="3:7" ht="13">
      <c r="C297" s="47"/>
      <c r="D297" s="5"/>
      <c r="E297" s="5"/>
      <c r="F297" s="5"/>
      <c r="G297" s="5"/>
    </row>
    <row r="298" spans="3:7" ht="13">
      <c r="C298" s="47"/>
      <c r="D298" s="5"/>
      <c r="E298" s="5"/>
      <c r="F298" s="5"/>
      <c r="G298" s="5"/>
    </row>
    <row r="299" spans="3:7" ht="13">
      <c r="C299" s="47"/>
      <c r="D299" s="5"/>
      <c r="E299" s="5"/>
      <c r="F299" s="5"/>
      <c r="G299" s="5"/>
    </row>
    <row r="300" spans="3:7" ht="13">
      <c r="C300" s="47"/>
      <c r="D300" s="5"/>
      <c r="E300" s="5"/>
      <c r="F300" s="5"/>
      <c r="G300" s="5"/>
    </row>
    <row r="301" spans="3:7" ht="13">
      <c r="C301" s="47"/>
      <c r="D301" s="5"/>
      <c r="E301" s="5"/>
      <c r="F301" s="5"/>
      <c r="G301" s="5"/>
    </row>
    <row r="302" spans="3:7" ht="13">
      <c r="C302" s="47"/>
      <c r="D302" s="5"/>
      <c r="E302" s="5"/>
      <c r="F302" s="5"/>
      <c r="G302" s="5"/>
    </row>
    <row r="303" spans="3:7" ht="13">
      <c r="C303" s="47"/>
      <c r="D303" s="5"/>
      <c r="E303" s="5"/>
      <c r="F303" s="5"/>
      <c r="G303" s="5"/>
    </row>
    <row r="304" spans="3:7" ht="13">
      <c r="C304" s="47"/>
      <c r="D304" s="5"/>
      <c r="E304" s="5"/>
      <c r="F304" s="5"/>
      <c r="G304" s="5"/>
    </row>
    <row r="305" spans="3:7" ht="13">
      <c r="C305" s="47"/>
      <c r="D305" s="5"/>
      <c r="E305" s="5"/>
      <c r="F305" s="5"/>
      <c r="G305" s="5"/>
    </row>
    <row r="306" spans="3:7" ht="13">
      <c r="C306" s="47"/>
      <c r="D306" s="5"/>
      <c r="E306" s="5"/>
      <c r="F306" s="5"/>
      <c r="G306" s="5"/>
    </row>
    <row r="307" spans="3:7" ht="13">
      <c r="C307" s="47"/>
      <c r="D307" s="5"/>
      <c r="E307" s="5"/>
      <c r="F307" s="5"/>
      <c r="G307" s="5"/>
    </row>
    <row r="308" spans="3:7" ht="13">
      <c r="C308" s="47"/>
      <c r="D308" s="5"/>
      <c r="E308" s="5"/>
      <c r="F308" s="5"/>
      <c r="G308" s="5"/>
    </row>
    <row r="309" spans="3:7" ht="13">
      <c r="C309" s="47"/>
      <c r="D309" s="5"/>
      <c r="E309" s="5"/>
      <c r="F309" s="5"/>
      <c r="G309" s="5"/>
    </row>
    <row r="310" spans="3:7" ht="13">
      <c r="C310" s="47"/>
      <c r="D310" s="5"/>
      <c r="E310" s="5"/>
      <c r="F310" s="5"/>
      <c r="G310" s="5"/>
    </row>
    <row r="311" spans="3:7" ht="13">
      <c r="C311" s="47"/>
      <c r="D311" s="5"/>
      <c r="E311" s="5"/>
      <c r="F311" s="5"/>
      <c r="G311" s="5"/>
    </row>
    <row r="312" spans="3:7" ht="13">
      <c r="C312" s="47"/>
      <c r="D312" s="5"/>
      <c r="E312" s="5"/>
      <c r="F312" s="5"/>
      <c r="G312" s="5"/>
    </row>
    <row r="313" spans="3:7" ht="13">
      <c r="C313" s="47"/>
      <c r="D313" s="5"/>
      <c r="E313" s="5"/>
      <c r="F313" s="5"/>
      <c r="G313" s="5"/>
    </row>
    <row r="314" spans="3:7" ht="13">
      <c r="C314" s="47"/>
      <c r="D314" s="5"/>
      <c r="E314" s="5"/>
      <c r="F314" s="5"/>
      <c r="G314" s="5"/>
    </row>
    <row r="315" spans="3:7" ht="13">
      <c r="C315" s="47"/>
      <c r="D315" s="5"/>
      <c r="E315" s="5"/>
      <c r="F315" s="5"/>
      <c r="G315" s="5"/>
    </row>
    <row r="316" spans="3:7" ht="13">
      <c r="C316" s="47"/>
      <c r="D316" s="5"/>
      <c r="E316" s="5"/>
      <c r="F316" s="5"/>
      <c r="G316" s="5"/>
    </row>
    <row r="317" spans="3:7" ht="13">
      <c r="C317" s="47"/>
      <c r="D317" s="5"/>
      <c r="E317" s="5"/>
      <c r="F317" s="5"/>
      <c r="G317" s="5"/>
    </row>
    <row r="318" spans="3:7" ht="13">
      <c r="C318" s="47"/>
      <c r="D318" s="5"/>
      <c r="E318" s="5"/>
      <c r="F318" s="5"/>
      <c r="G318" s="5"/>
    </row>
    <row r="319" spans="3:7" ht="13">
      <c r="C319" s="47"/>
      <c r="D319" s="5"/>
      <c r="E319" s="5"/>
      <c r="F319" s="5"/>
      <c r="G319" s="5"/>
    </row>
    <row r="320" spans="3:7" ht="13">
      <c r="C320" s="47"/>
      <c r="D320" s="5"/>
      <c r="E320" s="5"/>
      <c r="F320" s="5"/>
      <c r="G320" s="5"/>
    </row>
    <row r="321" spans="3:7" ht="13">
      <c r="C321" s="47"/>
      <c r="D321" s="5"/>
      <c r="E321" s="5"/>
      <c r="F321" s="5"/>
      <c r="G321" s="5"/>
    </row>
    <row r="322" spans="3:7" ht="13">
      <c r="C322" s="47"/>
      <c r="D322" s="5"/>
      <c r="E322" s="5"/>
      <c r="F322" s="5"/>
      <c r="G322" s="5"/>
    </row>
    <row r="323" spans="3:7" ht="13">
      <c r="C323" s="47"/>
      <c r="D323" s="5"/>
      <c r="E323" s="5"/>
      <c r="F323" s="5"/>
      <c r="G323" s="5"/>
    </row>
    <row r="324" spans="3:7" ht="13">
      <c r="C324" s="47"/>
      <c r="D324" s="5"/>
      <c r="E324" s="5"/>
      <c r="F324" s="5"/>
      <c r="G324" s="5"/>
    </row>
    <row r="325" spans="3:7" ht="13">
      <c r="C325" s="47"/>
      <c r="D325" s="5"/>
      <c r="E325" s="5"/>
      <c r="F325" s="5"/>
      <c r="G325" s="5"/>
    </row>
    <row r="326" spans="3:7" ht="13">
      <c r="C326" s="47"/>
      <c r="D326" s="5"/>
      <c r="E326" s="5"/>
      <c r="F326" s="5"/>
      <c r="G326" s="5"/>
    </row>
    <row r="327" spans="3:7" ht="13">
      <c r="C327" s="47"/>
      <c r="D327" s="5"/>
      <c r="E327" s="5"/>
      <c r="F327" s="5"/>
      <c r="G327" s="5"/>
    </row>
    <row r="328" spans="3:7" ht="13">
      <c r="C328" s="47"/>
      <c r="D328" s="5"/>
      <c r="E328" s="5"/>
      <c r="F328" s="5"/>
      <c r="G328" s="5"/>
    </row>
    <row r="329" spans="3:7" ht="13">
      <c r="C329" s="47"/>
      <c r="D329" s="5"/>
      <c r="E329" s="5"/>
      <c r="F329" s="5"/>
      <c r="G329" s="5"/>
    </row>
    <row r="330" spans="3:7" ht="13">
      <c r="C330" s="47"/>
      <c r="D330" s="5"/>
      <c r="E330" s="5"/>
      <c r="F330" s="5"/>
      <c r="G330" s="5"/>
    </row>
    <row r="331" spans="3:7" ht="13">
      <c r="C331" s="47"/>
      <c r="D331" s="5"/>
      <c r="E331" s="5"/>
      <c r="F331" s="5"/>
      <c r="G331" s="5"/>
    </row>
    <row r="332" spans="3:7" ht="13">
      <c r="C332" s="47"/>
      <c r="D332" s="5"/>
      <c r="E332" s="5"/>
      <c r="F332" s="5"/>
      <c r="G332" s="5"/>
    </row>
    <row r="333" spans="3:7" ht="13">
      <c r="C333" s="47"/>
      <c r="D333" s="5"/>
      <c r="E333" s="5"/>
      <c r="F333" s="5"/>
      <c r="G333" s="5"/>
    </row>
    <row r="334" spans="3:7" ht="13">
      <c r="C334" s="47"/>
      <c r="D334" s="5"/>
      <c r="E334" s="5"/>
      <c r="F334" s="5"/>
      <c r="G334" s="5"/>
    </row>
    <row r="335" spans="3:7" ht="13">
      <c r="C335" s="47"/>
      <c r="D335" s="5"/>
      <c r="E335" s="5"/>
      <c r="F335" s="5"/>
      <c r="G335" s="5"/>
    </row>
    <row r="336" spans="3:7" ht="13">
      <c r="C336" s="47"/>
      <c r="D336" s="5"/>
      <c r="E336" s="5"/>
      <c r="F336" s="5"/>
      <c r="G336" s="5"/>
    </row>
    <row r="337" spans="3:7" ht="13">
      <c r="C337" s="47"/>
      <c r="D337" s="5"/>
      <c r="E337" s="5"/>
      <c r="F337" s="5"/>
      <c r="G337" s="5"/>
    </row>
    <row r="338" spans="3:7" ht="13">
      <c r="C338" s="47"/>
      <c r="D338" s="5"/>
      <c r="E338" s="5"/>
      <c r="F338" s="5"/>
      <c r="G338" s="5"/>
    </row>
    <row r="339" spans="3:7" ht="13">
      <c r="C339" s="47"/>
      <c r="D339" s="5"/>
      <c r="E339" s="5"/>
      <c r="F339" s="5"/>
      <c r="G339" s="5"/>
    </row>
    <row r="340" spans="3:7" ht="13">
      <c r="C340" s="47"/>
      <c r="D340" s="5"/>
      <c r="E340" s="5"/>
      <c r="F340" s="5"/>
      <c r="G340" s="5"/>
    </row>
    <row r="341" spans="3:7" ht="13">
      <c r="C341" s="47"/>
      <c r="D341" s="5"/>
      <c r="E341" s="5"/>
      <c r="F341" s="5"/>
      <c r="G341" s="5"/>
    </row>
    <row r="342" spans="3:7" ht="13">
      <c r="C342" s="47"/>
      <c r="D342" s="5"/>
      <c r="E342" s="5"/>
      <c r="F342" s="5"/>
      <c r="G342" s="5"/>
    </row>
    <row r="343" spans="3:7" ht="13">
      <c r="C343" s="47"/>
      <c r="D343" s="5"/>
      <c r="E343" s="5"/>
      <c r="F343" s="5"/>
      <c r="G343" s="5"/>
    </row>
    <row r="344" spans="3:7" ht="13">
      <c r="C344" s="47"/>
      <c r="D344" s="5"/>
      <c r="E344" s="5"/>
      <c r="F344" s="5"/>
      <c r="G344" s="5"/>
    </row>
    <row r="345" spans="3:7" ht="13">
      <c r="C345" s="47"/>
      <c r="D345" s="5"/>
      <c r="E345" s="5"/>
      <c r="F345" s="5"/>
      <c r="G345" s="5"/>
    </row>
    <row r="346" spans="3:7" ht="13">
      <c r="C346" s="47"/>
      <c r="D346" s="5"/>
      <c r="E346" s="5"/>
      <c r="F346" s="5"/>
      <c r="G346" s="5"/>
    </row>
    <row r="347" spans="3:7" ht="13">
      <c r="C347" s="47"/>
      <c r="D347" s="5"/>
      <c r="E347" s="5"/>
      <c r="F347" s="5"/>
      <c r="G347" s="5"/>
    </row>
    <row r="348" spans="3:7" ht="13">
      <c r="C348" s="47"/>
      <c r="D348" s="5"/>
      <c r="E348" s="5"/>
      <c r="F348" s="5"/>
      <c r="G348" s="5"/>
    </row>
    <row r="349" spans="3:7" ht="13">
      <c r="C349" s="47"/>
      <c r="D349" s="5"/>
      <c r="E349" s="5"/>
      <c r="F349" s="5"/>
      <c r="G349" s="5"/>
    </row>
    <row r="350" spans="3:7" ht="13">
      <c r="C350" s="47"/>
      <c r="D350" s="5"/>
      <c r="E350" s="5"/>
      <c r="F350" s="5"/>
      <c r="G350" s="5"/>
    </row>
    <row r="351" spans="3:7" ht="13">
      <c r="C351" s="47"/>
      <c r="D351" s="5"/>
      <c r="E351" s="5"/>
      <c r="F351" s="5"/>
      <c r="G351" s="5"/>
    </row>
    <row r="352" spans="3:7" ht="13">
      <c r="C352" s="47"/>
      <c r="D352" s="5"/>
      <c r="E352" s="5"/>
      <c r="F352" s="5"/>
      <c r="G352" s="5"/>
    </row>
    <row r="353" spans="3:7" ht="13">
      <c r="C353" s="47"/>
      <c r="D353" s="5"/>
      <c r="E353" s="5"/>
      <c r="F353" s="5"/>
      <c r="G353" s="5"/>
    </row>
    <row r="354" spans="3:7" ht="13">
      <c r="C354" s="47"/>
      <c r="D354" s="5"/>
      <c r="E354" s="5"/>
      <c r="F354" s="5"/>
      <c r="G354" s="5"/>
    </row>
    <row r="355" spans="3:7" ht="13">
      <c r="C355" s="47"/>
      <c r="D355" s="5"/>
      <c r="E355" s="5"/>
      <c r="F355" s="5"/>
      <c r="G355" s="5"/>
    </row>
    <row r="356" spans="3:7" ht="13">
      <c r="C356" s="47"/>
      <c r="D356" s="5"/>
      <c r="E356" s="5"/>
      <c r="F356" s="5"/>
      <c r="G356" s="5"/>
    </row>
    <row r="357" spans="3:7" ht="13">
      <c r="C357" s="47"/>
      <c r="D357" s="5"/>
      <c r="E357" s="5"/>
      <c r="F357" s="5"/>
      <c r="G357" s="5"/>
    </row>
    <row r="358" spans="3:7" ht="13">
      <c r="C358" s="47"/>
      <c r="D358" s="5"/>
      <c r="E358" s="5"/>
      <c r="F358" s="5"/>
      <c r="G358" s="5"/>
    </row>
    <row r="359" spans="3:7" ht="13">
      <c r="C359" s="47"/>
      <c r="D359" s="5"/>
      <c r="E359" s="5"/>
      <c r="F359" s="5"/>
      <c r="G359" s="5"/>
    </row>
    <row r="360" spans="3:7" ht="13">
      <c r="C360" s="47"/>
      <c r="D360" s="5"/>
      <c r="E360" s="5"/>
      <c r="F360" s="5"/>
      <c r="G360" s="5"/>
    </row>
    <row r="361" spans="3:7" ht="13">
      <c r="C361" s="47"/>
      <c r="D361" s="5"/>
      <c r="E361" s="5"/>
      <c r="F361" s="5"/>
      <c r="G361" s="5"/>
    </row>
    <row r="362" spans="3:7" ht="13">
      <c r="C362" s="47"/>
      <c r="D362" s="5"/>
      <c r="E362" s="5"/>
      <c r="F362" s="5"/>
      <c r="G362" s="5"/>
    </row>
    <row r="363" spans="3:7" ht="13">
      <c r="C363" s="47"/>
      <c r="D363" s="5"/>
      <c r="E363" s="5"/>
      <c r="F363" s="5"/>
      <c r="G363" s="5"/>
    </row>
    <row r="364" spans="3:7" ht="13">
      <c r="C364" s="47"/>
      <c r="D364" s="5"/>
      <c r="E364" s="5"/>
      <c r="F364" s="5"/>
      <c r="G364" s="5"/>
    </row>
    <row r="365" spans="3:7" ht="13">
      <c r="C365" s="47"/>
      <c r="D365" s="5"/>
      <c r="E365" s="5"/>
      <c r="F365" s="5"/>
      <c r="G365" s="5"/>
    </row>
    <row r="366" spans="3:7" ht="13">
      <c r="C366" s="47"/>
      <c r="D366" s="5"/>
      <c r="E366" s="5"/>
      <c r="F366" s="5"/>
      <c r="G366" s="5"/>
    </row>
    <row r="367" spans="3:7" ht="13">
      <c r="C367" s="47"/>
      <c r="D367" s="5"/>
      <c r="E367" s="5"/>
      <c r="F367" s="5"/>
      <c r="G367" s="5"/>
    </row>
    <row r="368" spans="3:7" ht="13">
      <c r="C368" s="47"/>
      <c r="D368" s="5"/>
      <c r="E368" s="5"/>
      <c r="F368" s="5"/>
      <c r="G368" s="5"/>
    </row>
    <row r="369" spans="3:7" ht="13">
      <c r="C369" s="47"/>
      <c r="D369" s="5"/>
      <c r="E369" s="5"/>
      <c r="F369" s="5"/>
      <c r="G369" s="5"/>
    </row>
    <row r="370" spans="3:7" ht="13">
      <c r="C370" s="47"/>
      <c r="D370" s="5"/>
      <c r="E370" s="5"/>
      <c r="F370" s="5"/>
      <c r="G370" s="5"/>
    </row>
    <row r="371" spans="3:7" ht="13">
      <c r="C371" s="47"/>
      <c r="D371" s="5"/>
      <c r="E371" s="5"/>
      <c r="F371" s="5"/>
      <c r="G371" s="5"/>
    </row>
    <row r="372" spans="3:7" ht="13">
      <c r="C372" s="47"/>
      <c r="D372" s="5"/>
      <c r="E372" s="5"/>
      <c r="F372" s="5"/>
      <c r="G372" s="5"/>
    </row>
    <row r="373" spans="3:7" ht="13">
      <c r="C373" s="47"/>
      <c r="D373" s="5"/>
      <c r="E373" s="5"/>
      <c r="F373" s="5"/>
      <c r="G373" s="5"/>
    </row>
    <row r="374" spans="3:7" ht="13">
      <c r="C374" s="47"/>
      <c r="D374" s="5"/>
      <c r="E374" s="5"/>
      <c r="F374" s="5"/>
      <c r="G374" s="5"/>
    </row>
    <row r="375" spans="3:7" ht="13">
      <c r="C375" s="47"/>
      <c r="D375" s="5"/>
      <c r="E375" s="5"/>
      <c r="F375" s="5"/>
      <c r="G375" s="5"/>
    </row>
    <row r="376" spans="3:7" ht="13">
      <c r="C376" s="47"/>
      <c r="D376" s="5"/>
      <c r="E376" s="5"/>
      <c r="F376" s="5"/>
      <c r="G376" s="5"/>
    </row>
    <row r="377" spans="3:7" ht="13">
      <c r="C377" s="47"/>
      <c r="D377" s="5"/>
      <c r="E377" s="5"/>
      <c r="F377" s="5"/>
      <c r="G377" s="5"/>
    </row>
    <row r="378" spans="3:7" ht="13">
      <c r="C378" s="47"/>
      <c r="D378" s="5"/>
      <c r="E378" s="5"/>
      <c r="F378" s="5"/>
      <c r="G378" s="5"/>
    </row>
    <row r="379" spans="3:7" ht="13">
      <c r="C379" s="47"/>
      <c r="D379" s="5"/>
      <c r="E379" s="5"/>
      <c r="F379" s="5"/>
      <c r="G379" s="5"/>
    </row>
    <row r="380" spans="3:7" ht="13">
      <c r="C380" s="47"/>
      <c r="D380" s="5"/>
      <c r="E380" s="5"/>
      <c r="F380" s="5"/>
      <c r="G380" s="5"/>
    </row>
    <row r="381" spans="3:7" ht="13">
      <c r="C381" s="47"/>
      <c r="D381" s="5"/>
      <c r="E381" s="5"/>
      <c r="F381" s="5"/>
      <c r="G381" s="5"/>
    </row>
    <row r="382" spans="3:7" ht="13">
      <c r="C382" s="47"/>
      <c r="D382" s="5"/>
      <c r="E382" s="5"/>
      <c r="F382" s="5"/>
      <c r="G382" s="5"/>
    </row>
    <row r="383" spans="3:7" ht="13">
      <c r="C383" s="47"/>
      <c r="D383" s="5"/>
      <c r="E383" s="5"/>
      <c r="F383" s="5"/>
      <c r="G383" s="5"/>
    </row>
    <row r="384" spans="3:7" ht="13">
      <c r="C384" s="47"/>
      <c r="D384" s="5"/>
      <c r="E384" s="5"/>
      <c r="F384" s="5"/>
      <c r="G384" s="5"/>
    </row>
    <row r="385" spans="3:7" ht="13">
      <c r="C385" s="47"/>
      <c r="D385" s="5"/>
      <c r="E385" s="5"/>
      <c r="F385" s="5"/>
      <c r="G385" s="5"/>
    </row>
    <row r="386" spans="3:7" ht="13">
      <c r="C386" s="47"/>
      <c r="D386" s="5"/>
      <c r="E386" s="5"/>
      <c r="F386" s="5"/>
      <c r="G386" s="5"/>
    </row>
    <row r="387" spans="3:7" ht="13">
      <c r="C387" s="47"/>
      <c r="D387" s="5"/>
      <c r="E387" s="5"/>
      <c r="F387" s="5"/>
      <c r="G387" s="5"/>
    </row>
    <row r="388" spans="3:7" ht="13">
      <c r="C388" s="47"/>
      <c r="D388" s="5"/>
      <c r="E388" s="5"/>
      <c r="F388" s="5"/>
      <c r="G388" s="5"/>
    </row>
    <row r="389" spans="3:7" ht="13">
      <c r="C389" s="47"/>
      <c r="D389" s="5"/>
      <c r="E389" s="5"/>
      <c r="F389" s="5"/>
      <c r="G389" s="5"/>
    </row>
    <row r="390" spans="3:7" ht="13">
      <c r="C390" s="47"/>
      <c r="D390" s="5"/>
      <c r="E390" s="5"/>
      <c r="F390" s="5"/>
      <c r="G390" s="5"/>
    </row>
    <row r="391" spans="3:7" ht="13">
      <c r="C391" s="47"/>
      <c r="D391" s="5"/>
      <c r="E391" s="5"/>
      <c r="F391" s="5"/>
      <c r="G391" s="5"/>
    </row>
    <row r="392" spans="3:7" ht="13">
      <c r="C392" s="47"/>
      <c r="D392" s="5"/>
      <c r="E392" s="5"/>
      <c r="F392" s="5"/>
      <c r="G392" s="5"/>
    </row>
    <row r="393" spans="3:7" ht="13">
      <c r="C393" s="47"/>
      <c r="D393" s="5"/>
      <c r="E393" s="5"/>
      <c r="F393" s="5"/>
      <c r="G393" s="5"/>
    </row>
    <row r="394" spans="3:7" ht="13">
      <c r="C394" s="47"/>
      <c r="D394" s="5"/>
      <c r="E394" s="5"/>
      <c r="F394" s="5"/>
      <c r="G394" s="5"/>
    </row>
    <row r="395" spans="3:7" ht="13">
      <c r="C395" s="47"/>
      <c r="D395" s="5"/>
      <c r="E395" s="5"/>
      <c r="F395" s="5"/>
      <c r="G395" s="5"/>
    </row>
    <row r="396" spans="3:7" ht="13">
      <c r="C396" s="47"/>
      <c r="D396" s="5"/>
      <c r="E396" s="5"/>
      <c r="F396" s="5"/>
      <c r="G396" s="5"/>
    </row>
    <row r="397" spans="3:7" ht="13">
      <c r="C397" s="47"/>
      <c r="D397" s="5"/>
      <c r="E397" s="5"/>
      <c r="F397" s="5"/>
      <c r="G397" s="5"/>
    </row>
    <row r="398" spans="3:7" ht="13">
      <c r="C398" s="47"/>
      <c r="D398" s="5"/>
      <c r="E398" s="5"/>
      <c r="F398" s="5"/>
      <c r="G398" s="5"/>
    </row>
    <row r="399" spans="3:7" ht="13">
      <c r="C399" s="47"/>
      <c r="D399" s="5"/>
      <c r="E399" s="5"/>
      <c r="F399" s="5"/>
      <c r="G399" s="5"/>
    </row>
    <row r="400" spans="3:7" ht="13">
      <c r="C400" s="47"/>
      <c r="D400" s="5"/>
      <c r="E400" s="5"/>
      <c r="F400" s="5"/>
      <c r="G400" s="5"/>
    </row>
    <row r="401" spans="3:7" ht="13">
      <c r="C401" s="47"/>
      <c r="D401" s="5"/>
      <c r="E401" s="5"/>
      <c r="F401" s="5"/>
      <c r="G401" s="5"/>
    </row>
    <row r="402" spans="3:7" ht="13">
      <c r="C402" s="47"/>
      <c r="D402" s="5"/>
      <c r="E402" s="5"/>
      <c r="F402" s="5"/>
      <c r="G402" s="5"/>
    </row>
    <row r="403" spans="3:7" ht="13">
      <c r="C403" s="47"/>
      <c r="D403" s="5"/>
      <c r="E403" s="5"/>
      <c r="F403" s="5"/>
      <c r="G403" s="5"/>
    </row>
    <row r="404" spans="3:7" ht="13">
      <c r="C404" s="47"/>
      <c r="D404" s="5"/>
      <c r="E404" s="5"/>
      <c r="F404" s="5"/>
      <c r="G404" s="5"/>
    </row>
    <row r="405" spans="3:7" ht="13">
      <c r="C405" s="47"/>
      <c r="D405" s="5"/>
      <c r="E405" s="5"/>
      <c r="F405" s="5"/>
      <c r="G405" s="5"/>
    </row>
    <row r="406" spans="3:7" ht="13">
      <c r="C406" s="47"/>
      <c r="D406" s="5"/>
      <c r="E406" s="5"/>
      <c r="F406" s="5"/>
      <c r="G406" s="5"/>
    </row>
    <row r="407" spans="3:7" ht="13">
      <c r="C407" s="47"/>
      <c r="D407" s="5"/>
      <c r="E407" s="5"/>
      <c r="F407" s="5"/>
      <c r="G407" s="5"/>
    </row>
    <row r="408" spans="3:7" ht="13">
      <c r="C408" s="47"/>
      <c r="D408" s="5"/>
      <c r="E408" s="5"/>
      <c r="F408" s="5"/>
      <c r="G408" s="5"/>
    </row>
    <row r="409" spans="3:7" ht="13">
      <c r="C409" s="47"/>
      <c r="D409" s="5"/>
      <c r="E409" s="5"/>
      <c r="F409" s="5"/>
      <c r="G409" s="5"/>
    </row>
    <row r="410" spans="3:7" ht="13">
      <c r="C410" s="47"/>
      <c r="D410" s="5"/>
      <c r="E410" s="5"/>
      <c r="F410" s="5"/>
      <c r="G410" s="5"/>
    </row>
    <row r="411" spans="3:7" ht="13">
      <c r="C411" s="47"/>
      <c r="D411" s="5"/>
      <c r="E411" s="5"/>
      <c r="F411" s="5"/>
      <c r="G411" s="5"/>
    </row>
    <row r="412" spans="3:7" ht="13">
      <c r="C412" s="47"/>
      <c r="D412" s="5"/>
      <c r="E412" s="5"/>
      <c r="F412" s="5"/>
      <c r="G412" s="5"/>
    </row>
    <row r="413" spans="3:7" ht="13">
      <c r="C413" s="47"/>
      <c r="D413" s="5"/>
      <c r="E413" s="5"/>
      <c r="F413" s="5"/>
      <c r="G413" s="5"/>
    </row>
    <row r="414" spans="3:7" ht="13">
      <c r="C414" s="47"/>
      <c r="D414" s="5"/>
      <c r="E414" s="5"/>
      <c r="F414" s="5"/>
      <c r="G414" s="5"/>
    </row>
    <row r="415" spans="3:7" ht="13">
      <c r="C415" s="47"/>
      <c r="D415" s="5"/>
      <c r="E415" s="5"/>
      <c r="F415" s="5"/>
      <c r="G415" s="5"/>
    </row>
    <row r="416" spans="3:7" ht="13">
      <c r="C416" s="47"/>
      <c r="D416" s="5"/>
      <c r="E416" s="5"/>
      <c r="F416" s="5"/>
      <c r="G416" s="5"/>
    </row>
    <row r="417" spans="3:7" ht="13">
      <c r="C417" s="47"/>
      <c r="D417" s="5"/>
      <c r="E417" s="5"/>
      <c r="F417" s="5"/>
      <c r="G417" s="5"/>
    </row>
    <row r="418" spans="3:7" ht="13">
      <c r="C418" s="47"/>
      <c r="D418" s="5"/>
      <c r="E418" s="5"/>
      <c r="F418" s="5"/>
      <c r="G418" s="5"/>
    </row>
    <row r="419" spans="3:7" ht="13">
      <c r="C419" s="47"/>
      <c r="D419" s="5"/>
      <c r="E419" s="5"/>
      <c r="F419" s="5"/>
      <c r="G419" s="5"/>
    </row>
    <row r="420" spans="3:7" ht="13">
      <c r="C420" s="47"/>
      <c r="D420" s="5"/>
      <c r="E420" s="5"/>
      <c r="F420" s="5"/>
      <c r="G420" s="5"/>
    </row>
    <row r="421" spans="3:7" ht="13">
      <c r="C421" s="47"/>
      <c r="D421" s="5"/>
      <c r="E421" s="5"/>
      <c r="F421" s="5"/>
      <c r="G421" s="5"/>
    </row>
    <row r="422" spans="3:7" ht="13">
      <c r="C422" s="47"/>
      <c r="D422" s="5"/>
      <c r="E422" s="5"/>
      <c r="F422" s="5"/>
      <c r="G422" s="5"/>
    </row>
    <row r="423" spans="3:7" ht="13">
      <c r="C423" s="47"/>
      <c r="D423" s="5"/>
      <c r="E423" s="5"/>
      <c r="F423" s="5"/>
      <c r="G423" s="5"/>
    </row>
    <row r="424" spans="3:7" ht="13">
      <c r="C424" s="47"/>
      <c r="D424" s="5"/>
      <c r="E424" s="5"/>
      <c r="F424" s="5"/>
      <c r="G424" s="5"/>
    </row>
    <row r="425" spans="3:7" ht="13">
      <c r="C425" s="47"/>
      <c r="D425" s="5"/>
      <c r="E425" s="5"/>
      <c r="F425" s="5"/>
      <c r="G425" s="5"/>
    </row>
    <row r="426" spans="3:7" ht="13">
      <c r="C426" s="47"/>
      <c r="D426" s="5"/>
      <c r="E426" s="5"/>
      <c r="F426" s="5"/>
      <c r="G426" s="5"/>
    </row>
    <row r="427" spans="3:7" ht="13">
      <c r="C427" s="47"/>
      <c r="D427" s="5"/>
      <c r="E427" s="5"/>
      <c r="F427" s="5"/>
      <c r="G427" s="5"/>
    </row>
    <row r="428" spans="3:7" ht="13">
      <c r="C428" s="47"/>
      <c r="D428" s="5"/>
      <c r="E428" s="5"/>
      <c r="F428" s="5"/>
      <c r="G428" s="5"/>
    </row>
    <row r="429" spans="3:7" ht="13">
      <c r="C429" s="47"/>
      <c r="D429" s="5"/>
      <c r="E429" s="5"/>
      <c r="F429" s="5"/>
      <c r="G429" s="5"/>
    </row>
    <row r="430" spans="3:7" ht="13">
      <c r="C430" s="47"/>
      <c r="D430" s="5"/>
      <c r="E430" s="5"/>
      <c r="F430" s="5"/>
      <c r="G430" s="5"/>
    </row>
    <row r="431" spans="3:7" ht="13">
      <c r="C431" s="47"/>
      <c r="D431" s="5"/>
      <c r="E431" s="5"/>
      <c r="F431" s="5"/>
      <c r="G431" s="5"/>
    </row>
    <row r="432" spans="3:7" ht="13">
      <c r="C432" s="47"/>
      <c r="D432" s="5"/>
      <c r="E432" s="5"/>
      <c r="F432" s="5"/>
      <c r="G432" s="5"/>
    </row>
    <row r="433" spans="3:7" ht="13">
      <c r="C433" s="47"/>
      <c r="D433" s="5"/>
      <c r="E433" s="5"/>
      <c r="F433" s="5"/>
      <c r="G433" s="5"/>
    </row>
    <row r="434" spans="3:7" ht="13">
      <c r="C434" s="47"/>
      <c r="D434" s="5"/>
      <c r="E434" s="5"/>
      <c r="F434" s="5"/>
      <c r="G434" s="5"/>
    </row>
    <row r="435" spans="3:7" ht="13">
      <c r="C435" s="47"/>
      <c r="D435" s="5"/>
      <c r="E435" s="5"/>
      <c r="F435" s="5"/>
      <c r="G435" s="5"/>
    </row>
    <row r="436" spans="3:7" ht="13">
      <c r="C436" s="47"/>
      <c r="D436" s="5"/>
      <c r="E436" s="5"/>
      <c r="F436" s="5"/>
      <c r="G436" s="5"/>
    </row>
    <row r="437" spans="3:7" ht="13">
      <c r="C437" s="47"/>
      <c r="D437" s="5"/>
      <c r="E437" s="5"/>
      <c r="F437" s="5"/>
      <c r="G437" s="5"/>
    </row>
    <row r="438" spans="3:7" ht="13">
      <c r="C438" s="47"/>
      <c r="D438" s="5"/>
      <c r="E438" s="5"/>
      <c r="F438" s="5"/>
      <c r="G438" s="5"/>
    </row>
    <row r="439" spans="3:7" ht="13">
      <c r="C439" s="47"/>
      <c r="D439" s="5"/>
      <c r="E439" s="5"/>
      <c r="F439" s="5"/>
      <c r="G439" s="5"/>
    </row>
    <row r="440" spans="3:7" ht="13">
      <c r="C440" s="47"/>
      <c r="D440" s="5"/>
      <c r="E440" s="5"/>
      <c r="F440" s="5"/>
      <c r="G440" s="5"/>
    </row>
    <row r="441" spans="3:7" ht="13">
      <c r="C441" s="47"/>
      <c r="D441" s="5"/>
      <c r="E441" s="5"/>
      <c r="F441" s="5"/>
      <c r="G441" s="5"/>
    </row>
    <row r="442" spans="3:7" ht="13">
      <c r="C442" s="47"/>
      <c r="D442" s="5"/>
      <c r="E442" s="5"/>
      <c r="F442" s="5"/>
      <c r="G442" s="5"/>
    </row>
    <row r="443" spans="3:7" ht="13">
      <c r="C443" s="47"/>
      <c r="D443" s="5"/>
      <c r="E443" s="5"/>
      <c r="F443" s="5"/>
      <c r="G443" s="5"/>
    </row>
    <row r="444" spans="3:7" ht="13">
      <c r="C444" s="47"/>
      <c r="D444" s="5"/>
      <c r="E444" s="5"/>
      <c r="F444" s="5"/>
      <c r="G444" s="5"/>
    </row>
    <row r="445" spans="3:7" ht="13">
      <c r="C445" s="47"/>
      <c r="D445" s="5"/>
      <c r="E445" s="5"/>
      <c r="F445" s="5"/>
      <c r="G445" s="5"/>
    </row>
    <row r="446" spans="3:7" ht="13">
      <c r="C446" s="47"/>
      <c r="D446" s="5"/>
      <c r="E446" s="5"/>
      <c r="F446" s="5"/>
      <c r="G446" s="5"/>
    </row>
    <row r="447" spans="3:7" ht="13">
      <c r="C447" s="47"/>
      <c r="D447" s="5"/>
      <c r="E447" s="5"/>
      <c r="F447" s="5"/>
      <c r="G447" s="5"/>
    </row>
    <row r="448" spans="3:7" ht="13">
      <c r="C448" s="47"/>
      <c r="D448" s="5"/>
      <c r="E448" s="5"/>
      <c r="F448" s="5"/>
      <c r="G448" s="5"/>
    </row>
    <row r="449" spans="3:7" ht="13">
      <c r="C449" s="47"/>
      <c r="D449" s="5"/>
      <c r="E449" s="5"/>
      <c r="F449" s="5"/>
      <c r="G449" s="5"/>
    </row>
    <row r="450" spans="3:7" ht="13">
      <c r="C450" s="47"/>
      <c r="D450" s="5"/>
      <c r="E450" s="5"/>
      <c r="F450" s="5"/>
      <c r="G450" s="5"/>
    </row>
    <row r="451" spans="3:7" ht="13">
      <c r="C451" s="47"/>
      <c r="D451" s="5"/>
      <c r="E451" s="5"/>
      <c r="F451" s="5"/>
      <c r="G451" s="5"/>
    </row>
    <row r="452" spans="3:7" ht="13">
      <c r="C452" s="47"/>
      <c r="D452" s="5"/>
      <c r="E452" s="5"/>
      <c r="F452" s="5"/>
      <c r="G452" s="5"/>
    </row>
    <row r="453" spans="3:7" ht="13">
      <c r="C453" s="47"/>
      <c r="D453" s="5"/>
      <c r="E453" s="5"/>
      <c r="F453" s="5"/>
      <c r="G453" s="5"/>
    </row>
    <row r="454" spans="3:7" ht="13">
      <c r="C454" s="47"/>
      <c r="D454" s="5"/>
      <c r="E454" s="5"/>
      <c r="F454" s="5"/>
      <c r="G454" s="5"/>
    </row>
    <row r="455" spans="3:7" ht="13">
      <c r="C455" s="47"/>
      <c r="D455" s="5"/>
      <c r="E455" s="5"/>
      <c r="F455" s="5"/>
      <c r="G455" s="5"/>
    </row>
    <row r="456" spans="3:7" ht="13">
      <c r="C456" s="47"/>
      <c r="D456" s="5"/>
      <c r="E456" s="5"/>
      <c r="F456" s="5"/>
      <c r="G456" s="5"/>
    </row>
    <row r="457" spans="3:7" ht="13">
      <c r="C457" s="47"/>
      <c r="D457" s="5"/>
      <c r="E457" s="5"/>
      <c r="F457" s="5"/>
      <c r="G457" s="5"/>
    </row>
    <row r="458" spans="3:7" ht="13">
      <c r="C458" s="47"/>
      <c r="D458" s="5"/>
      <c r="E458" s="5"/>
      <c r="F458" s="5"/>
      <c r="G458" s="5"/>
    </row>
    <row r="459" spans="3:7" ht="13">
      <c r="C459" s="47"/>
      <c r="D459" s="5"/>
      <c r="E459" s="5"/>
      <c r="F459" s="5"/>
      <c r="G459" s="5"/>
    </row>
    <row r="460" spans="3:7" ht="13">
      <c r="C460" s="47"/>
      <c r="D460" s="5"/>
      <c r="E460" s="5"/>
      <c r="F460" s="5"/>
      <c r="G460" s="5"/>
    </row>
    <row r="461" spans="3:7" ht="13">
      <c r="C461" s="47"/>
      <c r="D461" s="5"/>
      <c r="E461" s="5"/>
      <c r="F461" s="5"/>
      <c r="G461" s="5"/>
    </row>
    <row r="462" spans="3:7" ht="13">
      <c r="C462" s="47"/>
      <c r="D462" s="5"/>
      <c r="E462" s="5"/>
      <c r="F462" s="5"/>
      <c r="G462" s="5"/>
    </row>
    <row r="463" spans="3:7" ht="13">
      <c r="C463" s="47"/>
      <c r="D463" s="5"/>
      <c r="E463" s="5"/>
      <c r="F463" s="5"/>
      <c r="G463" s="5"/>
    </row>
    <row r="464" spans="3:7" ht="13">
      <c r="C464" s="47"/>
      <c r="D464" s="5"/>
      <c r="E464" s="5"/>
      <c r="F464" s="5"/>
      <c r="G464" s="5"/>
    </row>
    <row r="465" spans="3:7" ht="13">
      <c r="C465" s="47"/>
      <c r="D465" s="5"/>
      <c r="E465" s="5"/>
      <c r="F465" s="5"/>
      <c r="G465" s="5"/>
    </row>
    <row r="466" spans="3:7" ht="13">
      <c r="C466" s="47"/>
      <c r="D466" s="5"/>
      <c r="E466" s="5"/>
      <c r="F466" s="5"/>
      <c r="G466" s="5"/>
    </row>
    <row r="467" spans="3:7" ht="13">
      <c r="C467" s="47"/>
      <c r="D467" s="5"/>
      <c r="E467" s="5"/>
      <c r="F467" s="5"/>
      <c r="G467" s="5"/>
    </row>
    <row r="468" spans="3:7" ht="13">
      <c r="C468" s="47"/>
      <c r="D468" s="5"/>
      <c r="E468" s="5"/>
      <c r="F468" s="5"/>
      <c r="G468" s="5"/>
    </row>
    <row r="469" spans="3:7" ht="13">
      <c r="C469" s="47"/>
      <c r="D469" s="5"/>
      <c r="E469" s="5"/>
      <c r="F469" s="5"/>
      <c r="G469" s="5"/>
    </row>
    <row r="470" spans="3:7" ht="13">
      <c r="C470" s="47"/>
      <c r="D470" s="5"/>
      <c r="E470" s="5"/>
      <c r="F470" s="5"/>
      <c r="G470" s="5"/>
    </row>
    <row r="471" spans="3:7" ht="13">
      <c r="C471" s="47"/>
      <c r="D471" s="5"/>
      <c r="E471" s="5"/>
      <c r="F471" s="5"/>
      <c r="G471" s="5"/>
    </row>
    <row r="472" spans="3:7" ht="13">
      <c r="C472" s="47"/>
      <c r="D472" s="5"/>
      <c r="E472" s="5"/>
      <c r="F472" s="5"/>
      <c r="G472" s="5"/>
    </row>
    <row r="473" spans="3:7" ht="13">
      <c r="C473" s="47"/>
      <c r="D473" s="5"/>
      <c r="E473" s="5"/>
      <c r="F473" s="5"/>
      <c r="G473" s="5"/>
    </row>
    <row r="474" spans="3:7" ht="13">
      <c r="C474" s="47"/>
      <c r="D474" s="5"/>
      <c r="E474" s="5"/>
      <c r="F474" s="5"/>
      <c r="G474" s="5"/>
    </row>
    <row r="475" spans="3:7" ht="13">
      <c r="C475" s="47"/>
      <c r="D475" s="5"/>
      <c r="E475" s="5"/>
      <c r="F475" s="5"/>
      <c r="G475" s="5"/>
    </row>
    <row r="476" spans="3:7" ht="13">
      <c r="C476" s="47"/>
      <c r="D476" s="5"/>
      <c r="E476" s="5"/>
      <c r="F476" s="5"/>
      <c r="G476" s="5"/>
    </row>
    <row r="477" spans="3:7" ht="13">
      <c r="C477" s="47"/>
      <c r="D477" s="5"/>
      <c r="E477" s="5"/>
      <c r="F477" s="5"/>
      <c r="G477" s="5"/>
    </row>
    <row r="478" spans="3:7" ht="13">
      <c r="C478" s="47"/>
      <c r="D478" s="5"/>
      <c r="E478" s="5"/>
      <c r="F478" s="5"/>
      <c r="G478" s="5"/>
    </row>
    <row r="479" spans="3:7" ht="13">
      <c r="C479" s="47"/>
      <c r="D479" s="5"/>
      <c r="E479" s="5"/>
      <c r="F479" s="5"/>
      <c r="G479" s="5"/>
    </row>
    <row r="480" spans="3:7" ht="13">
      <c r="C480" s="47"/>
      <c r="D480" s="5"/>
      <c r="E480" s="5"/>
      <c r="F480" s="5"/>
      <c r="G480" s="5"/>
    </row>
    <row r="481" spans="3:7" ht="13">
      <c r="C481" s="47"/>
      <c r="D481" s="5"/>
      <c r="E481" s="5"/>
      <c r="F481" s="5"/>
      <c r="G481" s="5"/>
    </row>
    <row r="482" spans="3:7" ht="13">
      <c r="C482" s="47"/>
      <c r="D482" s="5"/>
      <c r="E482" s="5"/>
      <c r="F482" s="5"/>
      <c r="G482" s="5"/>
    </row>
    <row r="483" spans="3:7" ht="13">
      <c r="C483" s="47"/>
      <c r="D483" s="5"/>
      <c r="E483" s="5"/>
      <c r="F483" s="5"/>
      <c r="G483" s="5"/>
    </row>
    <row r="484" spans="3:7" ht="13">
      <c r="C484" s="47"/>
      <c r="D484" s="5"/>
      <c r="E484" s="5"/>
      <c r="F484" s="5"/>
      <c r="G484" s="5"/>
    </row>
    <row r="485" spans="3:7" ht="13">
      <c r="C485" s="47"/>
      <c r="D485" s="5"/>
      <c r="E485" s="5"/>
      <c r="F485" s="5"/>
      <c r="G485" s="5"/>
    </row>
    <row r="486" spans="3:7" ht="13">
      <c r="C486" s="47"/>
      <c r="D486" s="5"/>
      <c r="E486" s="5"/>
      <c r="F486" s="5"/>
      <c r="G486" s="5"/>
    </row>
    <row r="487" spans="3:7" ht="13">
      <c r="C487" s="47"/>
      <c r="D487" s="5"/>
      <c r="E487" s="5"/>
      <c r="F487" s="5"/>
      <c r="G487" s="5"/>
    </row>
    <row r="488" spans="3:7" ht="13">
      <c r="C488" s="47"/>
      <c r="D488" s="5"/>
      <c r="E488" s="5"/>
      <c r="F488" s="5"/>
      <c r="G488" s="5"/>
    </row>
    <row r="489" spans="3:7" ht="13">
      <c r="C489" s="47"/>
      <c r="D489" s="5"/>
      <c r="E489" s="5"/>
      <c r="F489" s="5"/>
      <c r="G489" s="5"/>
    </row>
    <row r="490" spans="3:7" ht="13">
      <c r="C490" s="47"/>
      <c r="D490" s="5"/>
      <c r="E490" s="5"/>
      <c r="F490" s="5"/>
      <c r="G490" s="5"/>
    </row>
    <row r="491" spans="3:7" ht="13">
      <c r="C491" s="47"/>
      <c r="D491" s="5"/>
      <c r="E491" s="5"/>
      <c r="F491" s="5"/>
      <c r="G491" s="5"/>
    </row>
    <row r="492" spans="3:7" ht="13">
      <c r="C492" s="47"/>
      <c r="D492" s="5"/>
      <c r="E492" s="5"/>
      <c r="F492" s="5"/>
      <c r="G492" s="5"/>
    </row>
    <row r="493" spans="3:7" ht="13">
      <c r="C493" s="47"/>
      <c r="D493" s="5"/>
      <c r="E493" s="5"/>
      <c r="F493" s="5"/>
      <c r="G493" s="5"/>
    </row>
    <row r="494" spans="3:7" ht="13">
      <c r="C494" s="47"/>
      <c r="D494" s="5"/>
      <c r="E494" s="5"/>
      <c r="F494" s="5"/>
      <c r="G494" s="5"/>
    </row>
    <row r="495" spans="3:7" ht="13">
      <c r="C495" s="47"/>
      <c r="D495" s="5"/>
      <c r="E495" s="5"/>
      <c r="F495" s="5"/>
      <c r="G495" s="5"/>
    </row>
    <row r="496" spans="3:7" ht="13">
      <c r="C496" s="47"/>
      <c r="D496" s="5"/>
      <c r="E496" s="5"/>
      <c r="F496" s="5"/>
      <c r="G496" s="5"/>
    </row>
    <row r="497" spans="3:7" ht="13">
      <c r="C497" s="47"/>
      <c r="D497" s="5"/>
      <c r="E497" s="5"/>
      <c r="F497" s="5"/>
      <c r="G497" s="5"/>
    </row>
    <row r="498" spans="3:7" ht="13">
      <c r="C498" s="47"/>
      <c r="D498" s="5"/>
      <c r="E498" s="5"/>
      <c r="F498" s="5"/>
      <c r="G498" s="5"/>
    </row>
    <row r="499" spans="3:7" ht="13">
      <c r="C499" s="47"/>
      <c r="D499" s="5"/>
      <c r="E499" s="5"/>
      <c r="F499" s="5"/>
      <c r="G499" s="5"/>
    </row>
    <row r="500" spans="3:7" ht="13">
      <c r="C500" s="47"/>
      <c r="D500" s="5"/>
      <c r="E500" s="5"/>
      <c r="F500" s="5"/>
      <c r="G500" s="5"/>
    </row>
    <row r="501" spans="3:7" ht="13">
      <c r="C501" s="47"/>
      <c r="D501" s="5"/>
      <c r="E501" s="5"/>
      <c r="F501" s="5"/>
      <c r="G501" s="5"/>
    </row>
    <row r="502" spans="3:7" ht="13">
      <c r="C502" s="47"/>
      <c r="D502" s="5"/>
      <c r="E502" s="5"/>
      <c r="F502" s="5"/>
      <c r="G502" s="5"/>
    </row>
    <row r="503" spans="3:7" ht="13">
      <c r="C503" s="47"/>
      <c r="D503" s="5"/>
      <c r="E503" s="5"/>
      <c r="F503" s="5"/>
      <c r="G503" s="5"/>
    </row>
    <row r="504" spans="3:7" ht="13">
      <c r="C504" s="47"/>
      <c r="D504" s="5"/>
      <c r="E504" s="5"/>
      <c r="F504" s="5"/>
      <c r="G504" s="5"/>
    </row>
    <row r="505" spans="3:7" ht="13">
      <c r="C505" s="47"/>
      <c r="D505" s="5"/>
      <c r="E505" s="5"/>
      <c r="F505" s="5"/>
      <c r="G505" s="5"/>
    </row>
    <row r="506" spans="3:7" ht="13">
      <c r="C506" s="47"/>
      <c r="D506" s="5"/>
      <c r="E506" s="5"/>
      <c r="F506" s="5"/>
      <c r="G506" s="5"/>
    </row>
    <row r="507" spans="3:7" ht="13">
      <c r="C507" s="47"/>
      <c r="D507" s="5"/>
      <c r="E507" s="5"/>
      <c r="F507" s="5"/>
      <c r="G507" s="5"/>
    </row>
    <row r="508" spans="3:7" ht="13">
      <c r="C508" s="47"/>
      <c r="D508" s="5"/>
      <c r="E508" s="5"/>
      <c r="F508" s="5"/>
      <c r="G508" s="5"/>
    </row>
    <row r="509" spans="3:7" ht="13">
      <c r="C509" s="47"/>
      <c r="D509" s="5"/>
      <c r="E509" s="5"/>
      <c r="F509" s="5"/>
      <c r="G509" s="5"/>
    </row>
    <row r="510" spans="3:7" ht="13">
      <c r="C510" s="47"/>
      <c r="D510" s="5"/>
      <c r="E510" s="5"/>
      <c r="F510" s="5"/>
      <c r="G510" s="5"/>
    </row>
    <row r="511" spans="3:7" ht="13">
      <c r="C511" s="47"/>
      <c r="D511" s="5"/>
      <c r="E511" s="5"/>
      <c r="F511" s="5"/>
      <c r="G511" s="5"/>
    </row>
    <row r="512" spans="3:7" ht="13">
      <c r="C512" s="47"/>
      <c r="D512" s="5"/>
      <c r="E512" s="5"/>
      <c r="F512" s="5"/>
      <c r="G512" s="5"/>
    </row>
    <row r="513" spans="3:7" ht="13">
      <c r="C513" s="47"/>
      <c r="D513" s="5"/>
      <c r="E513" s="5"/>
      <c r="F513" s="5"/>
      <c r="G513" s="5"/>
    </row>
    <row r="514" spans="3:7" ht="13">
      <c r="C514" s="47"/>
      <c r="D514" s="5"/>
      <c r="E514" s="5"/>
      <c r="F514" s="5"/>
      <c r="G514" s="5"/>
    </row>
    <row r="515" spans="3:7" ht="13">
      <c r="C515" s="47"/>
      <c r="D515" s="5"/>
      <c r="E515" s="5"/>
      <c r="F515" s="5"/>
      <c r="G515" s="5"/>
    </row>
    <row r="516" spans="3:7" ht="13">
      <c r="C516" s="47"/>
      <c r="D516" s="5"/>
      <c r="E516" s="5"/>
      <c r="F516" s="5"/>
      <c r="G516" s="5"/>
    </row>
    <row r="517" spans="3:7" ht="13">
      <c r="C517" s="47"/>
      <c r="D517" s="5"/>
      <c r="E517" s="5"/>
      <c r="F517" s="5"/>
      <c r="G517" s="5"/>
    </row>
    <row r="518" spans="3:7" ht="13">
      <c r="C518" s="47"/>
      <c r="D518" s="5"/>
      <c r="E518" s="5"/>
      <c r="F518" s="5"/>
      <c r="G518" s="5"/>
    </row>
    <row r="519" spans="3:7" ht="13">
      <c r="C519" s="47"/>
      <c r="D519" s="5"/>
      <c r="E519" s="5"/>
      <c r="F519" s="5"/>
      <c r="G519" s="5"/>
    </row>
    <row r="520" spans="3:7" ht="13">
      <c r="C520" s="47"/>
      <c r="D520" s="5"/>
      <c r="E520" s="5"/>
      <c r="F520" s="5"/>
      <c r="G520" s="5"/>
    </row>
    <row r="521" spans="3:7" ht="13">
      <c r="C521" s="47"/>
      <c r="D521" s="5"/>
      <c r="E521" s="5"/>
      <c r="F521" s="5"/>
      <c r="G521" s="5"/>
    </row>
    <row r="522" spans="3:7" ht="13">
      <c r="C522" s="47"/>
      <c r="D522" s="5"/>
      <c r="E522" s="5"/>
      <c r="F522" s="5"/>
      <c r="G522" s="5"/>
    </row>
    <row r="523" spans="3:7" ht="13">
      <c r="C523" s="47"/>
      <c r="D523" s="5"/>
      <c r="E523" s="5"/>
      <c r="F523" s="5"/>
      <c r="G523" s="5"/>
    </row>
    <row r="524" spans="3:7" ht="13">
      <c r="C524" s="47"/>
      <c r="D524" s="5"/>
      <c r="E524" s="5"/>
      <c r="F524" s="5"/>
      <c r="G524" s="5"/>
    </row>
    <row r="525" spans="3:7" ht="13">
      <c r="C525" s="47"/>
      <c r="D525" s="5"/>
      <c r="E525" s="5"/>
      <c r="F525" s="5"/>
      <c r="G525" s="5"/>
    </row>
    <row r="526" spans="3:7" ht="13">
      <c r="C526" s="47"/>
      <c r="D526" s="5"/>
      <c r="E526" s="5"/>
      <c r="F526" s="5"/>
      <c r="G526" s="5"/>
    </row>
    <row r="527" spans="3:7" ht="13">
      <c r="C527" s="47"/>
      <c r="D527" s="5"/>
      <c r="E527" s="5"/>
      <c r="F527" s="5"/>
      <c r="G527" s="5"/>
    </row>
    <row r="528" spans="3:7" ht="13">
      <c r="C528" s="47"/>
      <c r="D528" s="5"/>
      <c r="E528" s="5"/>
      <c r="F528" s="5"/>
      <c r="G528" s="5"/>
    </row>
    <row r="529" spans="3:7" ht="13">
      <c r="C529" s="47"/>
      <c r="D529" s="5"/>
      <c r="E529" s="5"/>
      <c r="F529" s="5"/>
      <c r="G529" s="5"/>
    </row>
    <row r="530" spans="3:7" ht="13">
      <c r="C530" s="47"/>
      <c r="D530" s="5"/>
      <c r="E530" s="5"/>
      <c r="F530" s="5"/>
      <c r="G530" s="5"/>
    </row>
    <row r="531" spans="3:7" ht="13">
      <c r="C531" s="47"/>
      <c r="D531" s="5"/>
      <c r="E531" s="5"/>
      <c r="F531" s="5"/>
      <c r="G531" s="5"/>
    </row>
    <row r="532" spans="3:7" ht="13">
      <c r="C532" s="47"/>
      <c r="D532" s="5"/>
      <c r="E532" s="5"/>
      <c r="F532" s="5"/>
      <c r="G532" s="5"/>
    </row>
    <row r="533" spans="3:7" ht="13">
      <c r="C533" s="47"/>
      <c r="D533" s="5"/>
      <c r="E533" s="5"/>
      <c r="F533" s="5"/>
      <c r="G533" s="5"/>
    </row>
    <row r="534" spans="3:7" ht="13">
      <c r="C534" s="47"/>
      <c r="D534" s="5"/>
      <c r="E534" s="5"/>
      <c r="F534" s="5"/>
      <c r="G534" s="5"/>
    </row>
    <row r="535" spans="3:7" ht="13">
      <c r="C535" s="47"/>
      <c r="D535" s="5"/>
      <c r="E535" s="5"/>
      <c r="F535" s="5"/>
      <c r="G535" s="5"/>
    </row>
    <row r="536" spans="3:7" ht="13">
      <c r="C536" s="47"/>
      <c r="D536" s="5"/>
      <c r="E536" s="5"/>
      <c r="F536" s="5"/>
      <c r="G536" s="5"/>
    </row>
    <row r="537" spans="3:7" ht="13">
      <c r="C537" s="47"/>
      <c r="D537" s="5"/>
      <c r="E537" s="5"/>
      <c r="F537" s="5"/>
      <c r="G537" s="5"/>
    </row>
    <row r="538" spans="3:7" ht="13">
      <c r="C538" s="47"/>
      <c r="D538" s="5"/>
      <c r="E538" s="5"/>
      <c r="F538" s="5"/>
      <c r="G538" s="5"/>
    </row>
    <row r="539" spans="3:7" ht="13">
      <c r="C539" s="47"/>
      <c r="D539" s="5"/>
      <c r="E539" s="5"/>
      <c r="F539" s="5"/>
      <c r="G539" s="5"/>
    </row>
    <row r="540" spans="3:7" ht="13">
      <c r="C540" s="47"/>
      <c r="D540" s="5"/>
      <c r="E540" s="5"/>
      <c r="F540" s="5"/>
      <c r="G540" s="5"/>
    </row>
    <row r="541" spans="3:7" ht="13">
      <c r="C541" s="47"/>
      <c r="D541" s="5"/>
      <c r="E541" s="5"/>
      <c r="F541" s="5"/>
      <c r="G541" s="5"/>
    </row>
    <row r="542" spans="3:7" ht="13">
      <c r="C542" s="47"/>
      <c r="D542" s="5"/>
      <c r="E542" s="5"/>
      <c r="F542" s="5"/>
      <c r="G542" s="5"/>
    </row>
    <row r="543" spans="3:7" ht="13">
      <c r="C543" s="47"/>
      <c r="D543" s="5"/>
      <c r="E543" s="5"/>
      <c r="F543" s="5"/>
      <c r="G543" s="5"/>
    </row>
    <row r="544" spans="3:7" ht="13">
      <c r="C544" s="47"/>
      <c r="D544" s="5"/>
      <c r="E544" s="5"/>
      <c r="F544" s="5"/>
      <c r="G544" s="5"/>
    </row>
    <row r="545" spans="3:7" ht="13">
      <c r="C545" s="47"/>
      <c r="D545" s="5"/>
      <c r="E545" s="5"/>
      <c r="F545" s="5"/>
      <c r="G545" s="5"/>
    </row>
    <row r="546" spans="3:7" ht="13">
      <c r="C546" s="47"/>
      <c r="D546" s="5"/>
      <c r="E546" s="5"/>
      <c r="F546" s="5"/>
      <c r="G546" s="5"/>
    </row>
    <row r="547" spans="3:7" ht="13">
      <c r="C547" s="47"/>
      <c r="D547" s="5"/>
      <c r="E547" s="5"/>
      <c r="F547" s="5"/>
      <c r="G547" s="5"/>
    </row>
    <row r="548" spans="3:7" ht="13">
      <c r="C548" s="47"/>
      <c r="D548" s="5"/>
      <c r="E548" s="5"/>
      <c r="F548" s="5"/>
      <c r="G548" s="5"/>
    </row>
    <row r="549" spans="3:7" ht="13">
      <c r="C549" s="47"/>
      <c r="D549" s="5"/>
      <c r="E549" s="5"/>
      <c r="F549" s="5"/>
      <c r="G549" s="5"/>
    </row>
    <row r="550" spans="3:7" ht="13">
      <c r="C550" s="47"/>
      <c r="D550" s="5"/>
      <c r="E550" s="5"/>
      <c r="F550" s="5"/>
      <c r="G550" s="5"/>
    </row>
    <row r="551" spans="3:7" ht="13">
      <c r="C551" s="47"/>
      <c r="D551" s="5"/>
      <c r="E551" s="5"/>
      <c r="F551" s="5"/>
      <c r="G551" s="5"/>
    </row>
    <row r="552" spans="3:7" ht="13">
      <c r="C552" s="47"/>
      <c r="D552" s="5"/>
      <c r="E552" s="5"/>
      <c r="F552" s="5"/>
      <c r="G552" s="5"/>
    </row>
    <row r="553" spans="3:7" ht="13">
      <c r="C553" s="47"/>
      <c r="D553" s="5"/>
      <c r="E553" s="5"/>
      <c r="F553" s="5"/>
      <c r="G553" s="5"/>
    </row>
    <row r="554" spans="3:7" ht="13">
      <c r="C554" s="47"/>
      <c r="D554" s="5"/>
      <c r="E554" s="5"/>
      <c r="F554" s="5"/>
      <c r="G554" s="5"/>
    </row>
    <row r="555" spans="3:7" ht="13">
      <c r="C555" s="47"/>
      <c r="D555" s="5"/>
      <c r="E555" s="5"/>
      <c r="F555" s="5"/>
      <c r="G555" s="5"/>
    </row>
    <row r="556" spans="3:7" ht="13">
      <c r="C556" s="47"/>
      <c r="D556" s="5"/>
      <c r="E556" s="5"/>
      <c r="F556" s="5"/>
      <c r="G556" s="5"/>
    </row>
    <row r="557" spans="3:7" ht="13">
      <c r="C557" s="47"/>
      <c r="D557" s="5"/>
      <c r="E557" s="5"/>
      <c r="F557" s="5"/>
      <c r="G557" s="5"/>
    </row>
    <row r="558" spans="3:7" ht="13">
      <c r="C558" s="47"/>
      <c r="D558" s="5"/>
      <c r="E558" s="5"/>
      <c r="F558" s="5"/>
      <c r="G558" s="5"/>
    </row>
    <row r="559" spans="3:7" ht="13">
      <c r="C559" s="47"/>
      <c r="D559" s="5"/>
      <c r="E559" s="5"/>
      <c r="F559" s="5"/>
      <c r="G559" s="5"/>
    </row>
    <row r="560" spans="3:7" ht="13">
      <c r="C560" s="47"/>
      <c r="D560" s="5"/>
      <c r="E560" s="5"/>
      <c r="F560" s="5"/>
      <c r="G560" s="5"/>
    </row>
    <row r="561" spans="3:7" ht="13">
      <c r="C561" s="47"/>
      <c r="D561" s="5"/>
      <c r="E561" s="5"/>
      <c r="F561" s="5"/>
      <c r="G561" s="5"/>
    </row>
    <row r="562" spans="3:7" ht="13">
      <c r="C562" s="47"/>
      <c r="D562" s="5"/>
      <c r="E562" s="5"/>
      <c r="F562" s="5"/>
      <c r="G562" s="5"/>
    </row>
    <row r="563" spans="3:7" ht="13">
      <c r="C563" s="47"/>
      <c r="D563" s="5"/>
      <c r="E563" s="5"/>
      <c r="F563" s="5"/>
      <c r="G563" s="5"/>
    </row>
    <row r="564" spans="3:7" ht="13">
      <c r="C564" s="47"/>
      <c r="D564" s="5"/>
      <c r="E564" s="5"/>
      <c r="F564" s="5"/>
      <c r="G564" s="5"/>
    </row>
    <row r="565" spans="3:7" ht="13">
      <c r="C565" s="47"/>
      <c r="D565" s="5"/>
      <c r="E565" s="5"/>
      <c r="F565" s="5"/>
      <c r="G565" s="5"/>
    </row>
    <row r="566" spans="3:7" ht="13">
      <c r="C566" s="47"/>
      <c r="D566" s="5"/>
      <c r="E566" s="5"/>
      <c r="F566" s="5"/>
      <c r="G566" s="5"/>
    </row>
    <row r="567" spans="3:7" ht="13">
      <c r="C567" s="47"/>
      <c r="D567" s="5"/>
      <c r="E567" s="5"/>
      <c r="F567" s="5"/>
      <c r="G567" s="5"/>
    </row>
    <row r="568" spans="3:7" ht="13">
      <c r="C568" s="47"/>
      <c r="D568" s="5"/>
      <c r="E568" s="5"/>
      <c r="F568" s="5"/>
      <c r="G568" s="5"/>
    </row>
    <row r="569" spans="3:7" ht="13">
      <c r="C569" s="47"/>
      <c r="D569" s="5"/>
      <c r="E569" s="5"/>
      <c r="F569" s="5"/>
      <c r="G569" s="5"/>
    </row>
    <row r="570" spans="3:7" ht="13">
      <c r="C570" s="47"/>
      <c r="D570" s="5"/>
      <c r="E570" s="5"/>
      <c r="F570" s="5"/>
      <c r="G570" s="5"/>
    </row>
    <row r="571" spans="3:7" ht="13">
      <c r="C571" s="47"/>
      <c r="D571" s="5"/>
      <c r="E571" s="5"/>
      <c r="F571" s="5"/>
      <c r="G571" s="5"/>
    </row>
    <row r="572" spans="3:7" ht="13">
      <c r="C572" s="47"/>
      <c r="D572" s="5"/>
      <c r="E572" s="5"/>
      <c r="F572" s="5"/>
      <c r="G572" s="5"/>
    </row>
    <row r="573" spans="3:7" ht="13">
      <c r="C573" s="47"/>
      <c r="D573" s="5"/>
      <c r="E573" s="5"/>
      <c r="F573" s="5"/>
      <c r="G573" s="5"/>
    </row>
    <row r="574" spans="3:7" ht="13">
      <c r="C574" s="47"/>
      <c r="D574" s="5"/>
      <c r="E574" s="5"/>
      <c r="F574" s="5"/>
      <c r="G574" s="5"/>
    </row>
    <row r="575" spans="3:7" ht="13">
      <c r="C575" s="47"/>
      <c r="D575" s="5"/>
      <c r="E575" s="5"/>
      <c r="F575" s="5"/>
      <c r="G575" s="5"/>
    </row>
    <row r="576" spans="3:7" ht="13">
      <c r="C576" s="47"/>
      <c r="D576" s="5"/>
      <c r="E576" s="5"/>
      <c r="F576" s="5"/>
      <c r="G576" s="5"/>
    </row>
    <row r="577" spans="3:7" ht="13">
      <c r="C577" s="47"/>
      <c r="D577" s="5"/>
      <c r="E577" s="5"/>
      <c r="F577" s="5"/>
      <c r="G577" s="5"/>
    </row>
    <row r="578" spans="3:7" ht="13">
      <c r="C578" s="47"/>
      <c r="D578" s="5"/>
      <c r="E578" s="5"/>
      <c r="F578" s="5"/>
      <c r="G578" s="5"/>
    </row>
    <row r="579" spans="3:7" ht="13">
      <c r="C579" s="47"/>
      <c r="D579" s="5"/>
      <c r="E579" s="5"/>
      <c r="F579" s="5"/>
      <c r="G579" s="5"/>
    </row>
    <row r="580" spans="3:7" ht="13">
      <c r="C580" s="47"/>
      <c r="D580" s="5"/>
      <c r="E580" s="5"/>
      <c r="F580" s="5"/>
      <c r="G580" s="5"/>
    </row>
    <row r="581" spans="3:7" ht="13">
      <c r="C581" s="47"/>
      <c r="D581" s="5"/>
      <c r="E581" s="5"/>
      <c r="F581" s="5"/>
      <c r="G581" s="5"/>
    </row>
    <row r="582" spans="3:7" ht="13">
      <c r="C582" s="47"/>
      <c r="D582" s="5"/>
      <c r="E582" s="5"/>
      <c r="F582" s="5"/>
      <c r="G582" s="5"/>
    </row>
    <row r="583" spans="3:7" ht="13">
      <c r="C583" s="47"/>
      <c r="D583" s="5"/>
      <c r="E583" s="5"/>
      <c r="F583" s="5"/>
      <c r="G583" s="5"/>
    </row>
    <row r="584" spans="3:7" ht="13">
      <c r="C584" s="47"/>
      <c r="D584" s="5"/>
      <c r="E584" s="5"/>
      <c r="F584" s="5"/>
      <c r="G584" s="5"/>
    </row>
    <row r="585" spans="3:7" ht="13">
      <c r="C585" s="47"/>
      <c r="D585" s="5"/>
      <c r="E585" s="5"/>
      <c r="F585" s="5"/>
      <c r="G585" s="5"/>
    </row>
    <row r="586" spans="3:7" ht="13">
      <c r="C586" s="47"/>
      <c r="D586" s="5"/>
      <c r="E586" s="5"/>
      <c r="F586" s="5"/>
      <c r="G586" s="5"/>
    </row>
    <row r="587" spans="3:7" ht="13">
      <c r="C587" s="47"/>
      <c r="D587" s="5"/>
      <c r="E587" s="5"/>
      <c r="F587" s="5"/>
      <c r="G587" s="5"/>
    </row>
    <row r="588" spans="3:7" ht="13">
      <c r="C588" s="47"/>
      <c r="D588" s="5"/>
      <c r="E588" s="5"/>
      <c r="F588" s="5"/>
      <c r="G588" s="5"/>
    </row>
    <row r="589" spans="3:7" ht="13">
      <c r="C589" s="47"/>
      <c r="D589" s="5"/>
      <c r="E589" s="5"/>
      <c r="F589" s="5"/>
      <c r="G589" s="5"/>
    </row>
    <row r="590" spans="3:7" ht="13">
      <c r="C590" s="47"/>
      <c r="D590" s="5"/>
      <c r="E590" s="5"/>
      <c r="F590" s="5"/>
      <c r="G590" s="5"/>
    </row>
    <row r="591" spans="3:7" ht="13">
      <c r="C591" s="47"/>
      <c r="D591" s="5"/>
      <c r="E591" s="5"/>
      <c r="F591" s="5"/>
      <c r="G591" s="5"/>
    </row>
    <row r="592" spans="3:7" ht="13">
      <c r="C592" s="47"/>
      <c r="D592" s="5"/>
      <c r="E592" s="5"/>
      <c r="F592" s="5"/>
      <c r="G592" s="5"/>
    </row>
    <row r="593" spans="3:7" ht="13">
      <c r="C593" s="47"/>
      <c r="D593" s="5"/>
      <c r="E593" s="5"/>
      <c r="F593" s="5"/>
      <c r="G593" s="5"/>
    </row>
    <row r="594" spans="3:7" ht="13">
      <c r="C594" s="47"/>
      <c r="D594" s="5"/>
      <c r="E594" s="5"/>
      <c r="F594" s="5"/>
      <c r="G594" s="5"/>
    </row>
    <row r="595" spans="3:7" ht="13">
      <c r="C595" s="47"/>
      <c r="D595" s="5"/>
      <c r="E595" s="5"/>
      <c r="F595" s="5"/>
      <c r="G595" s="5"/>
    </row>
    <row r="596" spans="3:7" ht="13">
      <c r="C596" s="47"/>
      <c r="D596" s="5"/>
      <c r="E596" s="5"/>
      <c r="F596" s="5"/>
      <c r="G596" s="5"/>
    </row>
    <row r="597" spans="3:7" ht="13">
      <c r="C597" s="47"/>
      <c r="D597" s="5"/>
      <c r="E597" s="5"/>
      <c r="F597" s="5"/>
      <c r="G597" s="5"/>
    </row>
    <row r="598" spans="3:7" ht="13">
      <c r="C598" s="47"/>
      <c r="D598" s="5"/>
      <c r="E598" s="5"/>
      <c r="F598" s="5"/>
      <c r="G598" s="5"/>
    </row>
    <row r="599" spans="3:7" ht="13">
      <c r="C599" s="47"/>
      <c r="D599" s="5"/>
      <c r="E599" s="5"/>
      <c r="F599" s="5"/>
      <c r="G599" s="5"/>
    </row>
    <row r="600" spans="3:7" ht="13">
      <c r="C600" s="47"/>
      <c r="D600" s="5"/>
      <c r="E600" s="5"/>
      <c r="F600" s="5"/>
      <c r="G600" s="5"/>
    </row>
    <row r="601" spans="3:7" ht="13">
      <c r="C601" s="47"/>
      <c r="D601" s="5"/>
      <c r="E601" s="5"/>
      <c r="F601" s="5"/>
      <c r="G601" s="5"/>
    </row>
    <row r="602" spans="3:7" ht="13">
      <c r="C602" s="47"/>
      <c r="D602" s="5"/>
      <c r="E602" s="5"/>
      <c r="F602" s="5"/>
      <c r="G602" s="5"/>
    </row>
    <row r="603" spans="3:7" ht="13">
      <c r="C603" s="47"/>
      <c r="D603" s="5"/>
      <c r="E603" s="5"/>
      <c r="F603" s="5"/>
      <c r="G603" s="5"/>
    </row>
    <row r="604" spans="3:7" ht="13">
      <c r="C604" s="47"/>
      <c r="D604" s="5"/>
      <c r="E604" s="5"/>
      <c r="F604" s="5"/>
      <c r="G604" s="5"/>
    </row>
    <row r="605" spans="3:7" ht="13">
      <c r="C605" s="47"/>
      <c r="D605" s="5"/>
      <c r="E605" s="5"/>
      <c r="F605" s="5"/>
      <c r="G605" s="5"/>
    </row>
    <row r="606" spans="3:7" ht="13">
      <c r="C606" s="47"/>
      <c r="D606" s="5"/>
      <c r="E606" s="5"/>
      <c r="F606" s="5"/>
      <c r="G606" s="5"/>
    </row>
    <row r="607" spans="3:7" ht="13">
      <c r="C607" s="47"/>
      <c r="D607" s="5"/>
      <c r="E607" s="5"/>
      <c r="F607" s="5"/>
      <c r="G607" s="5"/>
    </row>
    <row r="608" spans="3:7" ht="13">
      <c r="C608" s="47"/>
      <c r="D608" s="5"/>
      <c r="E608" s="5"/>
      <c r="F608" s="5"/>
      <c r="G608" s="5"/>
    </row>
    <row r="609" spans="3:7" ht="13">
      <c r="C609" s="47"/>
      <c r="D609" s="5"/>
      <c r="E609" s="5"/>
      <c r="F609" s="5"/>
      <c r="G609" s="5"/>
    </row>
    <row r="610" spans="3:7" ht="13">
      <c r="C610" s="47"/>
      <c r="D610" s="5"/>
      <c r="E610" s="5"/>
      <c r="F610" s="5"/>
      <c r="G610" s="5"/>
    </row>
    <row r="611" spans="3:7" ht="13">
      <c r="C611" s="47"/>
      <c r="D611" s="5"/>
      <c r="E611" s="5"/>
      <c r="F611" s="5"/>
      <c r="G611" s="5"/>
    </row>
    <row r="612" spans="3:7" ht="13">
      <c r="C612" s="47"/>
      <c r="D612" s="5"/>
      <c r="E612" s="5"/>
      <c r="F612" s="5"/>
      <c r="G612" s="5"/>
    </row>
    <row r="613" spans="3:7" ht="13">
      <c r="C613" s="47"/>
      <c r="D613" s="5"/>
      <c r="E613" s="5"/>
      <c r="F613" s="5"/>
      <c r="G613" s="5"/>
    </row>
    <row r="614" spans="3:7" ht="13">
      <c r="C614" s="47"/>
      <c r="D614" s="5"/>
      <c r="E614" s="5"/>
      <c r="F614" s="5"/>
      <c r="G614" s="5"/>
    </row>
    <row r="615" spans="3:7" ht="13">
      <c r="C615" s="47"/>
      <c r="D615" s="5"/>
      <c r="E615" s="5"/>
      <c r="F615" s="5"/>
      <c r="G615" s="5"/>
    </row>
    <row r="616" spans="3:7" ht="13">
      <c r="C616" s="47"/>
      <c r="D616" s="5"/>
      <c r="E616" s="5"/>
      <c r="F616" s="5"/>
      <c r="G616" s="5"/>
    </row>
    <row r="617" spans="3:7" ht="13">
      <c r="C617" s="47"/>
      <c r="D617" s="5"/>
      <c r="E617" s="5"/>
      <c r="F617" s="5"/>
      <c r="G617" s="5"/>
    </row>
    <row r="618" spans="3:7" ht="13">
      <c r="C618" s="47"/>
      <c r="D618" s="5"/>
      <c r="E618" s="5"/>
      <c r="F618" s="5"/>
      <c r="G618" s="5"/>
    </row>
    <row r="619" spans="3:7" ht="13">
      <c r="C619" s="47"/>
      <c r="D619" s="5"/>
      <c r="E619" s="5"/>
      <c r="F619" s="5"/>
      <c r="G619" s="5"/>
    </row>
    <row r="620" spans="3:7" ht="13">
      <c r="C620" s="47"/>
      <c r="D620" s="5"/>
      <c r="E620" s="5"/>
      <c r="F620" s="5"/>
      <c r="G620" s="5"/>
    </row>
    <row r="621" spans="3:7" ht="13">
      <c r="C621" s="47"/>
      <c r="D621" s="5"/>
      <c r="E621" s="5"/>
      <c r="F621" s="5"/>
      <c r="G621" s="5"/>
    </row>
    <row r="622" spans="3:7" ht="13">
      <c r="C622" s="47"/>
      <c r="D622" s="5"/>
      <c r="E622" s="5"/>
      <c r="F622" s="5"/>
      <c r="G622" s="5"/>
    </row>
    <row r="623" spans="3:7" ht="13">
      <c r="C623" s="47"/>
      <c r="D623" s="5"/>
      <c r="E623" s="5"/>
      <c r="F623" s="5"/>
      <c r="G623" s="5"/>
    </row>
    <row r="624" spans="3:7" ht="13">
      <c r="C624" s="47"/>
      <c r="D624" s="5"/>
      <c r="E624" s="5"/>
      <c r="F624" s="5"/>
      <c r="G624" s="5"/>
    </row>
    <row r="625" spans="3:7" ht="13">
      <c r="C625" s="47"/>
      <c r="D625" s="5"/>
      <c r="E625" s="5"/>
      <c r="F625" s="5"/>
      <c r="G625" s="5"/>
    </row>
    <row r="626" spans="3:7" ht="13">
      <c r="C626" s="47"/>
      <c r="D626" s="5"/>
      <c r="E626" s="5"/>
      <c r="F626" s="5"/>
      <c r="G626" s="5"/>
    </row>
    <row r="627" spans="3:7" ht="13">
      <c r="C627" s="47"/>
      <c r="D627" s="5"/>
      <c r="E627" s="5"/>
      <c r="F627" s="5"/>
      <c r="G627" s="5"/>
    </row>
    <row r="628" spans="3:7" ht="13">
      <c r="C628" s="47"/>
      <c r="D628" s="5"/>
      <c r="E628" s="5"/>
      <c r="F628" s="5"/>
      <c r="G628" s="5"/>
    </row>
    <row r="629" spans="3:7" ht="13">
      <c r="C629" s="47"/>
      <c r="D629" s="5"/>
      <c r="E629" s="5"/>
      <c r="F629" s="5"/>
      <c r="G629" s="5"/>
    </row>
    <row r="630" spans="3:7" ht="13">
      <c r="C630" s="47"/>
      <c r="D630" s="5"/>
      <c r="E630" s="5"/>
      <c r="F630" s="5"/>
      <c r="G630" s="5"/>
    </row>
    <row r="631" spans="3:7" ht="13">
      <c r="C631" s="47"/>
      <c r="D631" s="5"/>
      <c r="E631" s="5"/>
      <c r="F631" s="5"/>
      <c r="G631" s="5"/>
    </row>
    <row r="632" spans="3:7" ht="13">
      <c r="C632" s="47"/>
      <c r="D632" s="5"/>
      <c r="E632" s="5"/>
      <c r="F632" s="5"/>
      <c r="G632" s="5"/>
    </row>
    <row r="633" spans="3:7" ht="13">
      <c r="C633" s="47"/>
      <c r="D633" s="5"/>
      <c r="E633" s="5"/>
      <c r="F633" s="5"/>
      <c r="G633" s="5"/>
    </row>
    <row r="634" spans="3:7" ht="13">
      <c r="C634" s="47"/>
      <c r="D634" s="5"/>
      <c r="E634" s="5"/>
      <c r="F634" s="5"/>
      <c r="G634" s="5"/>
    </row>
    <row r="635" spans="3:7" ht="13">
      <c r="C635" s="47"/>
      <c r="D635" s="5"/>
      <c r="E635" s="5"/>
      <c r="F635" s="5"/>
      <c r="G635" s="5"/>
    </row>
    <row r="636" spans="3:7" ht="13">
      <c r="C636" s="47"/>
      <c r="D636" s="5"/>
      <c r="E636" s="5"/>
      <c r="F636" s="5"/>
      <c r="G636" s="5"/>
    </row>
    <row r="637" spans="3:7" ht="13">
      <c r="C637" s="47"/>
      <c r="D637" s="5"/>
      <c r="E637" s="5"/>
      <c r="F637" s="5"/>
      <c r="G637" s="5"/>
    </row>
    <row r="638" spans="3:7" ht="13">
      <c r="C638" s="47"/>
      <c r="D638" s="5"/>
      <c r="E638" s="5"/>
      <c r="F638" s="5"/>
      <c r="G638" s="5"/>
    </row>
    <row r="639" spans="3:7" ht="13">
      <c r="C639" s="47"/>
      <c r="D639" s="5"/>
      <c r="E639" s="5"/>
      <c r="F639" s="5"/>
      <c r="G639" s="5"/>
    </row>
    <row r="640" spans="3:7" ht="13">
      <c r="C640" s="47"/>
      <c r="D640" s="5"/>
      <c r="E640" s="5"/>
      <c r="F640" s="5"/>
      <c r="G640" s="5"/>
    </row>
    <row r="641" spans="3:7" ht="13">
      <c r="C641" s="47"/>
      <c r="D641" s="5"/>
      <c r="E641" s="5"/>
      <c r="F641" s="5"/>
      <c r="G641" s="5"/>
    </row>
    <row r="642" spans="3:7" ht="13">
      <c r="C642" s="47"/>
      <c r="D642" s="5"/>
      <c r="E642" s="5"/>
      <c r="F642" s="5"/>
      <c r="G642" s="5"/>
    </row>
    <row r="643" spans="3:7" ht="13">
      <c r="C643" s="47"/>
      <c r="D643" s="5"/>
      <c r="E643" s="5"/>
      <c r="F643" s="5"/>
      <c r="G643" s="5"/>
    </row>
    <row r="644" spans="3:7" ht="13">
      <c r="C644" s="47"/>
      <c r="D644" s="5"/>
      <c r="E644" s="5"/>
      <c r="F644" s="5"/>
      <c r="G644" s="5"/>
    </row>
    <row r="645" spans="3:7" ht="13">
      <c r="C645" s="47"/>
      <c r="D645" s="5"/>
      <c r="E645" s="5"/>
      <c r="F645" s="5"/>
      <c r="G645" s="5"/>
    </row>
    <row r="646" spans="3:7" ht="13">
      <c r="C646" s="47"/>
      <c r="D646" s="5"/>
      <c r="E646" s="5"/>
      <c r="F646" s="5"/>
      <c r="G646" s="5"/>
    </row>
    <row r="647" spans="3:7" ht="13">
      <c r="C647" s="47"/>
      <c r="D647" s="5"/>
      <c r="E647" s="5"/>
      <c r="F647" s="5"/>
      <c r="G647" s="5"/>
    </row>
    <row r="648" spans="3:7" ht="13">
      <c r="C648" s="47"/>
      <c r="D648" s="5"/>
      <c r="E648" s="5"/>
      <c r="F648" s="5"/>
      <c r="G648" s="5"/>
    </row>
    <row r="649" spans="3:7" ht="13">
      <c r="C649" s="47"/>
      <c r="D649" s="5"/>
      <c r="E649" s="5"/>
      <c r="F649" s="5"/>
      <c r="G649" s="5"/>
    </row>
    <row r="650" spans="3:7" ht="13">
      <c r="C650" s="47"/>
      <c r="D650" s="5"/>
      <c r="E650" s="5"/>
      <c r="F650" s="5"/>
      <c r="G650" s="5"/>
    </row>
    <row r="651" spans="3:7" ht="13">
      <c r="C651" s="47"/>
      <c r="D651" s="5"/>
      <c r="E651" s="5"/>
      <c r="F651" s="5"/>
      <c r="G651" s="5"/>
    </row>
    <row r="652" spans="3:7" ht="13">
      <c r="C652" s="47"/>
      <c r="D652" s="5"/>
      <c r="E652" s="5"/>
      <c r="F652" s="5"/>
      <c r="G652" s="5"/>
    </row>
    <row r="653" spans="3:7" ht="13">
      <c r="C653" s="47"/>
      <c r="D653" s="5"/>
      <c r="E653" s="5"/>
      <c r="F653" s="5"/>
      <c r="G653" s="5"/>
    </row>
    <row r="654" spans="3:7" ht="13">
      <c r="C654" s="47"/>
      <c r="D654" s="5"/>
      <c r="E654" s="5"/>
      <c r="F654" s="5"/>
      <c r="G654" s="5"/>
    </row>
    <row r="655" spans="3:7" ht="13">
      <c r="C655" s="47"/>
      <c r="D655" s="5"/>
      <c r="E655" s="5"/>
      <c r="F655" s="5"/>
      <c r="G655" s="5"/>
    </row>
    <row r="656" spans="3:7" ht="13">
      <c r="C656" s="47"/>
      <c r="D656" s="5"/>
      <c r="E656" s="5"/>
      <c r="F656" s="5"/>
      <c r="G656" s="5"/>
    </row>
    <row r="657" spans="3:7" ht="13">
      <c r="C657" s="47"/>
      <c r="D657" s="5"/>
      <c r="E657" s="5"/>
      <c r="F657" s="5"/>
      <c r="G657" s="5"/>
    </row>
    <row r="658" spans="3:7" ht="13">
      <c r="C658" s="47"/>
      <c r="D658" s="5"/>
      <c r="E658" s="5"/>
      <c r="F658" s="5"/>
      <c r="G658" s="5"/>
    </row>
    <row r="659" spans="3:7" ht="13">
      <c r="C659" s="47"/>
      <c r="D659" s="5"/>
      <c r="E659" s="5"/>
      <c r="F659" s="5"/>
      <c r="G659" s="5"/>
    </row>
    <row r="660" spans="3:7" ht="13">
      <c r="C660" s="47"/>
      <c r="D660" s="5"/>
      <c r="E660" s="5"/>
      <c r="F660" s="5"/>
      <c r="G660" s="5"/>
    </row>
    <row r="661" spans="3:7" ht="13">
      <c r="C661" s="47"/>
      <c r="D661" s="5"/>
      <c r="E661" s="5"/>
      <c r="F661" s="5"/>
      <c r="G661" s="5"/>
    </row>
    <row r="662" spans="3:7" ht="13">
      <c r="C662" s="47"/>
      <c r="D662" s="5"/>
      <c r="E662" s="5"/>
      <c r="F662" s="5"/>
      <c r="G662" s="5"/>
    </row>
    <row r="663" spans="3:7" ht="13">
      <c r="C663" s="47"/>
      <c r="D663" s="5"/>
      <c r="E663" s="5"/>
      <c r="F663" s="5"/>
      <c r="G663" s="5"/>
    </row>
    <row r="664" spans="3:7" ht="13">
      <c r="C664" s="47"/>
      <c r="D664" s="5"/>
      <c r="E664" s="5"/>
      <c r="F664" s="5"/>
      <c r="G664" s="5"/>
    </row>
    <row r="665" spans="3:7" ht="13">
      <c r="C665" s="47"/>
      <c r="D665" s="5"/>
      <c r="E665" s="5"/>
      <c r="F665" s="5"/>
      <c r="G665" s="5"/>
    </row>
    <row r="666" spans="3:7" ht="13">
      <c r="C666" s="47"/>
      <c r="D666" s="5"/>
      <c r="E666" s="5"/>
      <c r="F666" s="5"/>
      <c r="G666" s="5"/>
    </row>
    <row r="667" spans="3:7" ht="13">
      <c r="C667" s="47"/>
      <c r="D667" s="5"/>
      <c r="E667" s="5"/>
      <c r="F667" s="5"/>
      <c r="G667" s="5"/>
    </row>
    <row r="668" spans="3:7" ht="13">
      <c r="C668" s="47"/>
      <c r="D668" s="5"/>
      <c r="E668" s="5"/>
      <c r="F668" s="5"/>
      <c r="G668" s="5"/>
    </row>
    <row r="669" spans="3:7" ht="13">
      <c r="C669" s="47"/>
      <c r="D669" s="5"/>
      <c r="E669" s="5"/>
      <c r="F669" s="5"/>
      <c r="G669" s="5"/>
    </row>
    <row r="670" spans="3:7" ht="13">
      <c r="C670" s="47"/>
      <c r="D670" s="5"/>
      <c r="E670" s="5"/>
      <c r="F670" s="5"/>
      <c r="G670" s="5"/>
    </row>
    <row r="671" spans="3:7" ht="13">
      <c r="C671" s="47"/>
      <c r="D671" s="5"/>
      <c r="E671" s="5"/>
      <c r="F671" s="5"/>
      <c r="G671" s="5"/>
    </row>
    <row r="672" spans="3:7" ht="13">
      <c r="C672" s="47"/>
      <c r="D672" s="5"/>
      <c r="E672" s="5"/>
      <c r="F672" s="5"/>
      <c r="G672" s="5"/>
    </row>
    <row r="673" spans="3:7" ht="13">
      <c r="C673" s="47"/>
      <c r="D673" s="5"/>
      <c r="E673" s="5"/>
      <c r="F673" s="5"/>
      <c r="G673" s="5"/>
    </row>
    <row r="674" spans="3:7" ht="13">
      <c r="C674" s="47"/>
      <c r="D674" s="5"/>
      <c r="E674" s="5"/>
      <c r="F674" s="5"/>
      <c r="G674" s="5"/>
    </row>
    <row r="675" spans="3:7" ht="13">
      <c r="C675" s="47"/>
      <c r="D675" s="5"/>
      <c r="E675" s="5"/>
      <c r="F675" s="5"/>
      <c r="G675" s="5"/>
    </row>
    <row r="676" spans="3:7" ht="13">
      <c r="C676" s="47"/>
      <c r="D676" s="5"/>
      <c r="E676" s="5"/>
      <c r="F676" s="5"/>
      <c r="G676" s="5"/>
    </row>
    <row r="677" spans="3:7" ht="13">
      <c r="C677" s="47"/>
      <c r="D677" s="5"/>
      <c r="E677" s="5"/>
      <c r="F677" s="5"/>
      <c r="G677" s="5"/>
    </row>
    <row r="678" spans="3:7" ht="13">
      <c r="C678" s="47"/>
      <c r="D678" s="5"/>
      <c r="E678" s="5"/>
      <c r="F678" s="5"/>
      <c r="G678" s="5"/>
    </row>
    <row r="679" spans="3:7" ht="13">
      <c r="C679" s="47"/>
      <c r="D679" s="5"/>
      <c r="E679" s="5"/>
      <c r="F679" s="5"/>
      <c r="G679" s="5"/>
    </row>
    <row r="680" spans="3:7" ht="13">
      <c r="C680" s="47"/>
      <c r="D680" s="5"/>
      <c r="E680" s="5"/>
      <c r="F680" s="5"/>
      <c r="G680" s="5"/>
    </row>
    <row r="681" spans="3:7" ht="13">
      <c r="C681" s="47"/>
      <c r="D681" s="5"/>
      <c r="E681" s="5"/>
      <c r="F681" s="5"/>
      <c r="G681" s="5"/>
    </row>
    <row r="682" spans="3:7" ht="13">
      <c r="C682" s="47"/>
      <c r="D682" s="5"/>
      <c r="E682" s="5"/>
      <c r="F682" s="5"/>
      <c r="G682" s="5"/>
    </row>
    <row r="683" spans="3:7" ht="13">
      <c r="C683" s="47"/>
      <c r="D683" s="5"/>
      <c r="E683" s="5"/>
      <c r="F683" s="5"/>
      <c r="G683" s="5"/>
    </row>
    <row r="684" spans="3:7" ht="13">
      <c r="C684" s="47"/>
      <c r="D684" s="5"/>
      <c r="E684" s="5"/>
      <c r="F684" s="5"/>
      <c r="G684" s="5"/>
    </row>
    <row r="685" spans="3:7" ht="13">
      <c r="C685" s="47"/>
      <c r="D685" s="5"/>
      <c r="E685" s="5"/>
      <c r="F685" s="5"/>
      <c r="G685" s="5"/>
    </row>
    <row r="686" spans="3:7" ht="13">
      <c r="C686" s="47"/>
      <c r="D686" s="5"/>
      <c r="E686" s="5"/>
      <c r="F686" s="5"/>
      <c r="G686" s="5"/>
    </row>
    <row r="687" spans="3:7" ht="13">
      <c r="C687" s="47"/>
      <c r="D687" s="5"/>
      <c r="E687" s="5"/>
      <c r="F687" s="5"/>
      <c r="G687" s="5"/>
    </row>
    <row r="688" spans="3:7" ht="13">
      <c r="C688" s="47"/>
      <c r="D688" s="5"/>
      <c r="E688" s="5"/>
      <c r="F688" s="5"/>
      <c r="G688" s="5"/>
    </row>
    <row r="689" spans="3:7" ht="13">
      <c r="C689" s="47"/>
      <c r="D689" s="5"/>
      <c r="E689" s="5"/>
      <c r="F689" s="5"/>
      <c r="G689" s="5"/>
    </row>
    <row r="690" spans="3:7" ht="13">
      <c r="C690" s="47"/>
      <c r="D690" s="5"/>
      <c r="E690" s="5"/>
      <c r="F690" s="5"/>
      <c r="G690" s="5"/>
    </row>
    <row r="691" spans="3:7" ht="13">
      <c r="C691" s="47"/>
      <c r="D691" s="5"/>
      <c r="E691" s="5"/>
      <c r="F691" s="5"/>
      <c r="G691" s="5"/>
    </row>
    <row r="692" spans="3:7" ht="13">
      <c r="C692" s="47"/>
      <c r="D692" s="5"/>
      <c r="E692" s="5"/>
      <c r="F692" s="5"/>
      <c r="G692" s="5"/>
    </row>
    <row r="693" spans="3:7" ht="13">
      <c r="C693" s="47"/>
      <c r="D693" s="5"/>
      <c r="E693" s="5"/>
      <c r="F693" s="5"/>
      <c r="G693" s="5"/>
    </row>
    <row r="694" spans="3:7" ht="13">
      <c r="C694" s="47"/>
      <c r="D694" s="5"/>
      <c r="E694" s="5"/>
      <c r="F694" s="5"/>
      <c r="G694" s="5"/>
    </row>
    <row r="695" spans="3:7" ht="13">
      <c r="C695" s="47"/>
      <c r="D695" s="5"/>
      <c r="E695" s="5"/>
      <c r="F695" s="5"/>
      <c r="G695" s="5"/>
    </row>
    <row r="696" spans="3:7" ht="13">
      <c r="C696" s="47"/>
      <c r="D696" s="5"/>
      <c r="E696" s="5"/>
      <c r="F696" s="5"/>
      <c r="G696" s="5"/>
    </row>
    <row r="697" spans="3:7" ht="13">
      <c r="C697" s="47"/>
      <c r="D697" s="5"/>
      <c r="E697" s="5"/>
      <c r="F697" s="5"/>
      <c r="G697" s="5"/>
    </row>
    <row r="698" spans="3:7" ht="13">
      <c r="C698" s="47"/>
      <c r="D698" s="5"/>
      <c r="E698" s="5"/>
      <c r="F698" s="5"/>
      <c r="G698" s="5"/>
    </row>
    <row r="699" spans="3:7" ht="13">
      <c r="C699" s="47"/>
      <c r="D699" s="5"/>
      <c r="E699" s="5"/>
      <c r="F699" s="5"/>
      <c r="G699" s="5"/>
    </row>
    <row r="700" spans="3:7" ht="13">
      <c r="C700" s="47"/>
      <c r="D700" s="5"/>
      <c r="E700" s="5"/>
      <c r="F700" s="5"/>
      <c r="G700" s="5"/>
    </row>
    <row r="701" spans="3:7" ht="13">
      <c r="C701" s="47"/>
      <c r="D701" s="5"/>
      <c r="E701" s="5"/>
      <c r="F701" s="5"/>
      <c r="G701" s="5"/>
    </row>
    <row r="702" spans="3:7" ht="13">
      <c r="C702" s="47"/>
      <c r="D702" s="5"/>
      <c r="E702" s="5"/>
      <c r="F702" s="5"/>
      <c r="G702" s="5"/>
    </row>
    <row r="703" spans="3:7" ht="13">
      <c r="C703" s="47"/>
      <c r="D703" s="5"/>
      <c r="E703" s="5"/>
      <c r="F703" s="5"/>
      <c r="G703" s="5"/>
    </row>
    <row r="704" spans="3:7" ht="13">
      <c r="C704" s="47"/>
      <c r="D704" s="5"/>
      <c r="E704" s="5"/>
      <c r="F704" s="5"/>
      <c r="G704" s="5"/>
    </row>
    <row r="705" spans="3:7" ht="13">
      <c r="C705" s="47"/>
      <c r="D705" s="5"/>
      <c r="E705" s="5"/>
      <c r="F705" s="5"/>
      <c r="G705" s="5"/>
    </row>
    <row r="706" spans="3:7" ht="13">
      <c r="C706" s="47"/>
      <c r="D706" s="5"/>
      <c r="E706" s="5"/>
      <c r="F706" s="5"/>
      <c r="G706" s="5"/>
    </row>
    <row r="707" spans="3:7" ht="13">
      <c r="C707" s="47"/>
      <c r="D707" s="5"/>
      <c r="E707" s="5"/>
      <c r="F707" s="5"/>
      <c r="G707" s="5"/>
    </row>
    <row r="708" spans="3:7" ht="13">
      <c r="C708" s="47"/>
      <c r="D708" s="5"/>
      <c r="E708" s="5"/>
      <c r="F708" s="5"/>
      <c r="G708" s="5"/>
    </row>
    <row r="709" spans="3:7" ht="13">
      <c r="C709" s="47"/>
      <c r="D709" s="5"/>
      <c r="E709" s="5"/>
      <c r="F709" s="5"/>
      <c r="G709" s="5"/>
    </row>
    <row r="710" spans="3:7" ht="13">
      <c r="C710" s="47"/>
      <c r="D710" s="5"/>
      <c r="E710" s="5"/>
      <c r="F710" s="5"/>
      <c r="G710" s="5"/>
    </row>
    <row r="711" spans="3:7" ht="13">
      <c r="C711" s="47"/>
      <c r="D711" s="5"/>
      <c r="E711" s="5"/>
      <c r="F711" s="5"/>
      <c r="G711" s="5"/>
    </row>
    <row r="712" spans="3:7" ht="13">
      <c r="C712" s="47"/>
      <c r="D712" s="5"/>
      <c r="E712" s="5"/>
      <c r="F712" s="5"/>
      <c r="G712" s="5"/>
    </row>
    <row r="713" spans="3:7" ht="13">
      <c r="C713" s="47"/>
      <c r="D713" s="5"/>
      <c r="E713" s="5"/>
      <c r="F713" s="5"/>
      <c r="G713" s="5"/>
    </row>
    <row r="714" spans="3:7" ht="13">
      <c r="C714" s="47"/>
      <c r="D714" s="5"/>
      <c r="E714" s="5"/>
      <c r="F714" s="5"/>
      <c r="G714" s="5"/>
    </row>
    <row r="715" spans="3:7" ht="13">
      <c r="C715" s="47"/>
      <c r="D715" s="5"/>
      <c r="E715" s="5"/>
      <c r="F715" s="5"/>
      <c r="G715" s="5"/>
    </row>
    <row r="716" spans="3:7" ht="13">
      <c r="C716" s="47"/>
      <c r="D716" s="5"/>
      <c r="E716" s="5"/>
      <c r="F716" s="5"/>
      <c r="G716" s="5"/>
    </row>
    <row r="717" spans="3:7" ht="13">
      <c r="C717" s="47"/>
      <c r="D717" s="5"/>
      <c r="E717" s="5"/>
      <c r="F717" s="5"/>
      <c r="G717" s="5"/>
    </row>
    <row r="718" spans="3:7" ht="13">
      <c r="C718" s="47"/>
      <c r="D718" s="5"/>
      <c r="E718" s="5"/>
      <c r="F718" s="5"/>
      <c r="G718" s="5"/>
    </row>
    <row r="719" spans="3:7" ht="13">
      <c r="C719" s="47"/>
      <c r="D719" s="5"/>
      <c r="E719" s="5"/>
      <c r="F719" s="5"/>
      <c r="G719" s="5"/>
    </row>
    <row r="720" spans="3:7" ht="13">
      <c r="C720" s="47"/>
      <c r="D720" s="5"/>
      <c r="E720" s="5"/>
      <c r="F720" s="5"/>
      <c r="G720" s="5"/>
    </row>
    <row r="721" spans="3:7" ht="13">
      <c r="C721" s="47"/>
      <c r="D721" s="5"/>
      <c r="E721" s="5"/>
      <c r="F721" s="5"/>
      <c r="G721" s="5"/>
    </row>
    <row r="722" spans="3:7" ht="13">
      <c r="C722" s="47"/>
      <c r="D722" s="5"/>
      <c r="E722" s="5"/>
      <c r="F722" s="5"/>
      <c r="G722" s="5"/>
    </row>
    <row r="723" spans="3:7" ht="13">
      <c r="C723" s="47"/>
      <c r="D723" s="5"/>
      <c r="E723" s="5"/>
      <c r="F723" s="5"/>
      <c r="G723" s="5"/>
    </row>
    <row r="724" spans="3:7" ht="13">
      <c r="C724" s="47"/>
      <c r="D724" s="5"/>
      <c r="E724" s="5"/>
      <c r="F724" s="5"/>
      <c r="G724" s="5"/>
    </row>
    <row r="725" spans="3:7" ht="13">
      <c r="C725" s="47"/>
      <c r="D725" s="5"/>
      <c r="E725" s="5"/>
      <c r="F725" s="5"/>
      <c r="G725" s="5"/>
    </row>
    <row r="726" spans="3:7" ht="13">
      <c r="C726" s="47"/>
      <c r="D726" s="5"/>
      <c r="E726" s="5"/>
      <c r="F726" s="5"/>
      <c r="G726" s="5"/>
    </row>
    <row r="727" spans="3:7" ht="13">
      <c r="C727" s="47"/>
      <c r="D727" s="5"/>
      <c r="E727" s="5"/>
      <c r="F727" s="5"/>
      <c r="G727" s="5"/>
    </row>
    <row r="728" spans="3:7" ht="13">
      <c r="C728" s="47"/>
      <c r="D728" s="5"/>
      <c r="E728" s="5"/>
      <c r="F728" s="5"/>
      <c r="G728" s="5"/>
    </row>
    <row r="729" spans="3:7" ht="13">
      <c r="C729" s="47"/>
      <c r="D729" s="5"/>
      <c r="E729" s="5"/>
      <c r="F729" s="5"/>
      <c r="G729" s="5"/>
    </row>
    <row r="730" spans="3:7" ht="13">
      <c r="C730" s="47"/>
      <c r="D730" s="5"/>
      <c r="E730" s="5"/>
      <c r="F730" s="5"/>
      <c r="G730" s="5"/>
    </row>
    <row r="731" spans="3:7" ht="13">
      <c r="C731" s="47"/>
      <c r="D731" s="5"/>
      <c r="E731" s="5"/>
      <c r="F731" s="5"/>
      <c r="G731" s="5"/>
    </row>
    <row r="732" spans="3:7" ht="13">
      <c r="C732" s="47"/>
      <c r="D732" s="5"/>
      <c r="E732" s="5"/>
      <c r="F732" s="5"/>
      <c r="G732" s="5"/>
    </row>
    <row r="733" spans="3:7" ht="13">
      <c r="C733" s="47"/>
      <c r="D733" s="5"/>
      <c r="E733" s="5"/>
      <c r="F733" s="5"/>
      <c r="G733" s="5"/>
    </row>
    <row r="734" spans="3:7" ht="13">
      <c r="C734" s="47"/>
      <c r="D734" s="5"/>
      <c r="E734" s="5"/>
      <c r="F734" s="5"/>
      <c r="G734" s="5"/>
    </row>
    <row r="735" spans="3:7" ht="13">
      <c r="C735" s="47"/>
      <c r="D735" s="5"/>
      <c r="E735" s="5"/>
      <c r="F735" s="5"/>
      <c r="G735" s="5"/>
    </row>
    <row r="736" spans="3:7" ht="13">
      <c r="C736" s="47"/>
      <c r="D736" s="5"/>
      <c r="E736" s="5"/>
      <c r="F736" s="5"/>
      <c r="G736" s="5"/>
    </row>
    <row r="737" spans="3:7" ht="13">
      <c r="C737" s="47"/>
      <c r="D737" s="5"/>
      <c r="E737" s="5"/>
      <c r="F737" s="5"/>
      <c r="G737" s="5"/>
    </row>
    <row r="738" spans="3:7" ht="13">
      <c r="C738" s="47"/>
      <c r="D738" s="5"/>
      <c r="E738" s="5"/>
      <c r="F738" s="5"/>
      <c r="G738" s="5"/>
    </row>
    <row r="739" spans="3:7" ht="13">
      <c r="C739" s="47"/>
      <c r="D739" s="5"/>
      <c r="E739" s="5"/>
      <c r="F739" s="5"/>
      <c r="G739" s="5"/>
    </row>
    <row r="740" spans="3:7" ht="13">
      <c r="C740" s="47"/>
      <c r="D740" s="5"/>
      <c r="E740" s="5"/>
      <c r="F740" s="5"/>
      <c r="G740" s="5"/>
    </row>
    <row r="741" spans="3:7" ht="13">
      <c r="C741" s="47"/>
      <c r="D741" s="5"/>
      <c r="E741" s="5"/>
      <c r="F741" s="5"/>
      <c r="G741" s="5"/>
    </row>
    <row r="742" spans="3:7" ht="13">
      <c r="C742" s="47"/>
      <c r="D742" s="5"/>
      <c r="E742" s="5"/>
      <c r="F742" s="5"/>
      <c r="G742" s="5"/>
    </row>
    <row r="743" spans="3:7" ht="13">
      <c r="C743" s="47"/>
      <c r="D743" s="5"/>
      <c r="E743" s="5"/>
      <c r="F743" s="5"/>
      <c r="G743" s="5"/>
    </row>
    <row r="744" spans="3:7" ht="13">
      <c r="C744" s="47"/>
      <c r="D744" s="5"/>
      <c r="E744" s="5"/>
      <c r="F744" s="5"/>
      <c r="G744" s="5"/>
    </row>
    <row r="745" spans="3:7" ht="13">
      <c r="C745" s="47"/>
      <c r="D745" s="5"/>
      <c r="E745" s="5"/>
      <c r="F745" s="5"/>
      <c r="G745" s="5"/>
    </row>
    <row r="746" spans="3:7" ht="13">
      <c r="C746" s="47"/>
      <c r="D746" s="5"/>
      <c r="E746" s="5"/>
      <c r="F746" s="5"/>
      <c r="G746" s="5"/>
    </row>
    <row r="747" spans="3:7" ht="13">
      <c r="C747" s="47"/>
      <c r="D747" s="5"/>
      <c r="E747" s="5"/>
      <c r="F747" s="5"/>
      <c r="G747" s="5"/>
    </row>
    <row r="748" spans="3:7" ht="13">
      <c r="C748" s="47"/>
      <c r="D748" s="5"/>
      <c r="E748" s="5"/>
      <c r="F748" s="5"/>
      <c r="G748" s="5"/>
    </row>
    <row r="749" spans="3:7" ht="13">
      <c r="C749" s="47"/>
      <c r="D749" s="5"/>
      <c r="E749" s="5"/>
      <c r="F749" s="5"/>
      <c r="G749" s="5"/>
    </row>
    <row r="750" spans="3:7" ht="13">
      <c r="C750" s="47"/>
      <c r="D750" s="5"/>
      <c r="E750" s="5"/>
      <c r="F750" s="5"/>
      <c r="G750" s="5"/>
    </row>
    <row r="751" spans="3:7" ht="13">
      <c r="C751" s="47"/>
      <c r="D751" s="5"/>
      <c r="E751" s="5"/>
      <c r="F751" s="5"/>
      <c r="G751" s="5"/>
    </row>
    <row r="752" spans="3:7" ht="13">
      <c r="C752" s="47"/>
      <c r="D752" s="5"/>
      <c r="E752" s="5"/>
      <c r="F752" s="5"/>
      <c r="G752" s="5"/>
    </row>
    <row r="753" spans="3:7" ht="13">
      <c r="C753" s="47"/>
      <c r="D753" s="5"/>
      <c r="E753" s="5"/>
      <c r="F753" s="5"/>
      <c r="G753" s="5"/>
    </row>
    <row r="754" spans="3:7" ht="13">
      <c r="C754" s="47"/>
      <c r="D754" s="5"/>
      <c r="E754" s="5"/>
      <c r="F754" s="5"/>
      <c r="G754" s="5"/>
    </row>
    <row r="755" spans="3:7" ht="13">
      <c r="C755" s="47"/>
      <c r="D755" s="5"/>
      <c r="E755" s="5"/>
      <c r="F755" s="5"/>
      <c r="G755" s="5"/>
    </row>
    <row r="756" spans="3:7" ht="13">
      <c r="C756" s="47"/>
      <c r="D756" s="5"/>
      <c r="E756" s="5"/>
      <c r="F756" s="5"/>
      <c r="G756" s="5"/>
    </row>
    <row r="757" spans="3:7" ht="13">
      <c r="C757" s="47"/>
      <c r="D757" s="5"/>
      <c r="E757" s="5"/>
      <c r="F757" s="5"/>
      <c r="G757" s="5"/>
    </row>
    <row r="758" spans="3:7" ht="13">
      <c r="C758" s="47"/>
      <c r="D758" s="5"/>
      <c r="E758" s="5"/>
      <c r="F758" s="5"/>
      <c r="G758" s="5"/>
    </row>
    <row r="759" spans="3:7" ht="13">
      <c r="C759" s="47"/>
      <c r="D759" s="5"/>
      <c r="E759" s="5"/>
      <c r="F759" s="5"/>
      <c r="G759" s="5"/>
    </row>
    <row r="760" spans="3:7" ht="13">
      <c r="C760" s="47"/>
      <c r="D760" s="5"/>
      <c r="E760" s="5"/>
      <c r="F760" s="5"/>
      <c r="G760" s="5"/>
    </row>
    <row r="761" spans="3:7" ht="13">
      <c r="C761" s="47"/>
      <c r="D761" s="5"/>
      <c r="E761" s="5"/>
      <c r="F761" s="5"/>
      <c r="G761" s="5"/>
    </row>
    <row r="762" spans="3:7" ht="13">
      <c r="C762" s="47"/>
      <c r="D762" s="5"/>
      <c r="E762" s="5"/>
      <c r="F762" s="5"/>
      <c r="G762" s="5"/>
    </row>
    <row r="763" spans="3:7" ht="13">
      <c r="C763" s="47"/>
      <c r="D763" s="5"/>
      <c r="E763" s="5"/>
      <c r="F763" s="5"/>
      <c r="G763" s="5"/>
    </row>
    <row r="764" spans="3:7" ht="13">
      <c r="C764" s="47"/>
      <c r="D764" s="5"/>
      <c r="E764" s="5"/>
      <c r="F764" s="5"/>
      <c r="G764" s="5"/>
    </row>
    <row r="765" spans="3:7" ht="13">
      <c r="C765" s="47"/>
      <c r="D765" s="5"/>
      <c r="E765" s="5"/>
      <c r="F765" s="5"/>
      <c r="G765" s="5"/>
    </row>
    <row r="766" spans="3:7" ht="13">
      <c r="C766" s="47"/>
      <c r="D766" s="5"/>
      <c r="E766" s="5"/>
      <c r="F766" s="5"/>
      <c r="G766" s="5"/>
    </row>
    <row r="767" spans="3:7" ht="13">
      <c r="C767" s="47"/>
      <c r="D767" s="5"/>
      <c r="E767" s="5"/>
      <c r="F767" s="5"/>
      <c r="G767" s="5"/>
    </row>
    <row r="768" spans="3:7" ht="13">
      <c r="C768" s="47"/>
      <c r="D768" s="5"/>
      <c r="E768" s="5"/>
      <c r="F768" s="5"/>
      <c r="G768" s="5"/>
    </row>
    <row r="769" spans="3:7" ht="13">
      <c r="C769" s="47"/>
      <c r="D769" s="5"/>
      <c r="E769" s="5"/>
      <c r="F769" s="5"/>
      <c r="G769" s="5"/>
    </row>
    <row r="770" spans="3:7" ht="13">
      <c r="C770" s="47"/>
      <c r="D770" s="5"/>
      <c r="E770" s="5"/>
      <c r="F770" s="5"/>
      <c r="G770" s="5"/>
    </row>
    <row r="771" spans="3:7" ht="13">
      <c r="C771" s="47"/>
      <c r="D771" s="5"/>
      <c r="E771" s="5"/>
      <c r="F771" s="5"/>
      <c r="G771" s="5"/>
    </row>
    <row r="772" spans="3:7" ht="13">
      <c r="C772" s="47"/>
      <c r="D772" s="5"/>
      <c r="E772" s="5"/>
      <c r="F772" s="5"/>
      <c r="G772" s="5"/>
    </row>
    <row r="773" spans="3:7" ht="13">
      <c r="C773" s="47"/>
      <c r="D773" s="5"/>
      <c r="E773" s="5"/>
      <c r="F773" s="5"/>
      <c r="G773" s="5"/>
    </row>
    <row r="774" spans="3:7" ht="13">
      <c r="C774" s="47"/>
      <c r="D774" s="5"/>
      <c r="E774" s="5"/>
      <c r="F774" s="5"/>
      <c r="G774" s="5"/>
    </row>
    <row r="775" spans="3:7" ht="13">
      <c r="C775" s="47"/>
      <c r="D775" s="5"/>
      <c r="E775" s="5"/>
      <c r="F775" s="5"/>
      <c r="G775" s="5"/>
    </row>
    <row r="776" spans="3:7" ht="13">
      <c r="C776" s="47"/>
      <c r="D776" s="5"/>
      <c r="E776" s="5"/>
      <c r="F776" s="5"/>
      <c r="G776" s="5"/>
    </row>
    <row r="777" spans="3:7" ht="13">
      <c r="C777" s="47"/>
      <c r="D777" s="5"/>
      <c r="E777" s="5"/>
      <c r="F777" s="5"/>
      <c r="G777" s="5"/>
    </row>
    <row r="778" spans="3:7" ht="13">
      <c r="C778" s="47"/>
      <c r="D778" s="5"/>
      <c r="E778" s="5"/>
      <c r="F778" s="5"/>
      <c r="G778" s="5"/>
    </row>
    <row r="779" spans="3:7" ht="13">
      <c r="C779" s="47"/>
      <c r="D779" s="5"/>
      <c r="E779" s="5"/>
      <c r="F779" s="5"/>
      <c r="G779" s="5"/>
    </row>
    <row r="780" spans="3:7" ht="13">
      <c r="C780" s="47"/>
      <c r="D780" s="5"/>
      <c r="E780" s="5"/>
      <c r="F780" s="5"/>
      <c r="G780" s="5"/>
    </row>
    <row r="781" spans="3:7" ht="13">
      <c r="C781" s="47"/>
      <c r="D781" s="5"/>
      <c r="E781" s="5"/>
      <c r="F781" s="5"/>
      <c r="G781" s="5"/>
    </row>
    <row r="782" spans="3:7" ht="13">
      <c r="C782" s="47"/>
      <c r="D782" s="5"/>
      <c r="E782" s="5"/>
      <c r="F782" s="5"/>
      <c r="G782" s="5"/>
    </row>
    <row r="783" spans="3:7" ht="13">
      <c r="C783" s="47"/>
      <c r="D783" s="5"/>
      <c r="E783" s="5"/>
      <c r="F783" s="5"/>
      <c r="G783" s="5"/>
    </row>
    <row r="784" spans="3:7" ht="13">
      <c r="C784" s="47"/>
      <c r="D784" s="5"/>
      <c r="E784" s="5"/>
      <c r="F784" s="5"/>
      <c r="G784" s="5"/>
    </row>
    <row r="785" spans="3:7" ht="13">
      <c r="C785" s="47"/>
      <c r="D785" s="5"/>
      <c r="E785" s="5"/>
      <c r="F785" s="5"/>
      <c r="G785" s="5"/>
    </row>
    <row r="786" spans="3:7" ht="13">
      <c r="C786" s="47"/>
      <c r="D786" s="5"/>
      <c r="E786" s="5"/>
      <c r="F786" s="5"/>
      <c r="G786" s="5"/>
    </row>
    <row r="787" spans="3:7" ht="13">
      <c r="C787" s="47"/>
      <c r="D787" s="5"/>
      <c r="E787" s="5"/>
      <c r="F787" s="5"/>
      <c r="G787" s="5"/>
    </row>
    <row r="788" spans="3:7" ht="13">
      <c r="C788" s="47"/>
      <c r="D788" s="5"/>
      <c r="E788" s="5"/>
      <c r="F788" s="5"/>
      <c r="G788" s="5"/>
    </row>
    <row r="789" spans="3:7" ht="13">
      <c r="C789" s="47"/>
      <c r="D789" s="5"/>
      <c r="E789" s="5"/>
      <c r="F789" s="5"/>
      <c r="G789" s="5"/>
    </row>
    <row r="790" spans="3:7" ht="13">
      <c r="C790" s="47"/>
      <c r="D790" s="5"/>
      <c r="E790" s="5"/>
      <c r="F790" s="5"/>
      <c r="G790" s="5"/>
    </row>
    <row r="791" spans="3:7" ht="13">
      <c r="C791" s="47"/>
      <c r="D791" s="5"/>
      <c r="E791" s="5"/>
      <c r="F791" s="5"/>
      <c r="G791" s="5"/>
    </row>
    <row r="792" spans="3:7" ht="13">
      <c r="C792" s="47"/>
      <c r="D792" s="5"/>
      <c r="E792" s="5"/>
      <c r="F792" s="5"/>
      <c r="G792" s="5"/>
    </row>
    <row r="793" spans="3:7" ht="13">
      <c r="C793" s="47"/>
      <c r="D793" s="5"/>
      <c r="E793" s="5"/>
      <c r="F793" s="5"/>
      <c r="G793" s="5"/>
    </row>
    <row r="794" spans="3:7" ht="13">
      <c r="C794" s="47"/>
      <c r="D794" s="5"/>
      <c r="E794" s="5"/>
      <c r="F794" s="5"/>
      <c r="G794" s="5"/>
    </row>
    <row r="795" spans="3:7" ht="13">
      <c r="C795" s="47"/>
      <c r="D795" s="5"/>
      <c r="E795" s="5"/>
      <c r="F795" s="5"/>
      <c r="G795" s="5"/>
    </row>
    <row r="796" spans="3:7" ht="13">
      <c r="C796" s="47"/>
      <c r="D796" s="5"/>
      <c r="E796" s="5"/>
      <c r="F796" s="5"/>
      <c r="G796" s="5"/>
    </row>
    <row r="797" spans="3:7" ht="13">
      <c r="C797" s="47"/>
      <c r="D797" s="5"/>
      <c r="E797" s="5"/>
      <c r="F797" s="5"/>
      <c r="G797" s="5"/>
    </row>
    <row r="798" spans="3:7" ht="13">
      <c r="C798" s="47"/>
      <c r="D798" s="5"/>
      <c r="E798" s="5"/>
      <c r="F798" s="5"/>
      <c r="G798" s="5"/>
    </row>
    <row r="799" spans="3:7" ht="13">
      <c r="C799" s="47"/>
      <c r="D799" s="5"/>
      <c r="E799" s="5"/>
      <c r="F799" s="5"/>
      <c r="G799" s="5"/>
    </row>
    <row r="800" spans="3:7" ht="13">
      <c r="C800" s="47"/>
      <c r="D800" s="5"/>
      <c r="E800" s="5"/>
      <c r="F800" s="5"/>
      <c r="G800" s="5"/>
    </row>
    <row r="801" spans="3:7" ht="13">
      <c r="C801" s="47"/>
      <c r="D801" s="5"/>
      <c r="E801" s="5"/>
      <c r="F801" s="5"/>
      <c r="G801" s="5"/>
    </row>
    <row r="802" spans="3:7" ht="13">
      <c r="C802" s="47"/>
      <c r="D802" s="5"/>
      <c r="E802" s="5"/>
      <c r="F802" s="5"/>
      <c r="G802" s="5"/>
    </row>
    <row r="803" spans="3:7" ht="13">
      <c r="C803" s="47"/>
      <c r="D803" s="5"/>
      <c r="E803" s="5"/>
      <c r="F803" s="5"/>
      <c r="G803" s="5"/>
    </row>
    <row r="804" spans="3:7" ht="13">
      <c r="C804" s="47"/>
      <c r="D804" s="5"/>
      <c r="E804" s="5"/>
      <c r="F804" s="5"/>
      <c r="G804" s="5"/>
    </row>
    <row r="805" spans="3:7" ht="13">
      <c r="C805" s="47"/>
      <c r="D805" s="5"/>
      <c r="E805" s="5"/>
      <c r="F805" s="5"/>
      <c r="G805" s="5"/>
    </row>
    <row r="806" spans="3:7" ht="13">
      <c r="C806" s="47"/>
      <c r="D806" s="5"/>
      <c r="E806" s="5"/>
      <c r="F806" s="5"/>
      <c r="G806" s="5"/>
    </row>
    <row r="807" spans="3:7" ht="13">
      <c r="C807" s="47"/>
      <c r="D807" s="5"/>
      <c r="E807" s="5"/>
      <c r="F807" s="5"/>
      <c r="G807" s="5"/>
    </row>
    <row r="808" spans="3:7" ht="13">
      <c r="C808" s="47"/>
      <c r="D808" s="5"/>
      <c r="E808" s="5"/>
      <c r="F808" s="5"/>
      <c r="G808" s="5"/>
    </row>
    <row r="809" spans="3:7" ht="13">
      <c r="C809" s="47"/>
      <c r="D809" s="5"/>
      <c r="E809" s="5"/>
      <c r="F809" s="5"/>
      <c r="G809" s="5"/>
    </row>
    <row r="810" spans="3:7" ht="13">
      <c r="C810" s="47"/>
      <c r="D810" s="5"/>
      <c r="E810" s="5"/>
      <c r="F810" s="5"/>
      <c r="G810" s="5"/>
    </row>
    <row r="811" spans="3:7" ht="13">
      <c r="C811" s="47"/>
      <c r="D811" s="5"/>
      <c r="E811" s="5"/>
      <c r="F811" s="5"/>
      <c r="G811" s="5"/>
    </row>
    <row r="812" spans="3:7" ht="13">
      <c r="C812" s="47"/>
      <c r="D812" s="5"/>
      <c r="E812" s="5"/>
      <c r="F812" s="5"/>
      <c r="G812" s="5"/>
    </row>
    <row r="813" spans="3:7" ht="13">
      <c r="C813" s="47"/>
      <c r="D813" s="5"/>
      <c r="E813" s="5"/>
      <c r="F813" s="5"/>
      <c r="G813" s="5"/>
    </row>
    <row r="814" spans="3:7" ht="13">
      <c r="C814" s="47"/>
      <c r="D814" s="5"/>
      <c r="E814" s="5"/>
      <c r="F814" s="5"/>
      <c r="G814" s="5"/>
    </row>
    <row r="815" spans="3:7" ht="13">
      <c r="C815" s="47"/>
      <c r="D815" s="5"/>
      <c r="E815" s="5"/>
      <c r="F815" s="5"/>
      <c r="G815" s="5"/>
    </row>
    <row r="816" spans="3:7" ht="13">
      <c r="C816" s="47"/>
      <c r="D816" s="5"/>
      <c r="E816" s="5"/>
      <c r="F816" s="5"/>
      <c r="G816" s="5"/>
    </row>
    <row r="817" spans="3:7" ht="13">
      <c r="C817" s="47"/>
      <c r="D817" s="5"/>
      <c r="E817" s="5"/>
      <c r="F817" s="5"/>
      <c r="G817" s="5"/>
    </row>
    <row r="818" spans="3:7" ht="13">
      <c r="C818" s="47"/>
      <c r="D818" s="5"/>
      <c r="E818" s="5"/>
      <c r="F818" s="5"/>
      <c r="G818" s="5"/>
    </row>
    <row r="819" spans="3:7" ht="13">
      <c r="C819" s="47"/>
      <c r="D819" s="5"/>
      <c r="E819" s="5"/>
      <c r="F819" s="5"/>
      <c r="G819" s="5"/>
    </row>
    <row r="820" spans="3:7" ht="13">
      <c r="C820" s="47"/>
      <c r="D820" s="5"/>
      <c r="E820" s="5"/>
      <c r="F820" s="5"/>
      <c r="G820" s="5"/>
    </row>
    <row r="821" spans="3:7" ht="13">
      <c r="C821" s="47"/>
      <c r="D821" s="5"/>
      <c r="E821" s="5"/>
      <c r="F821" s="5"/>
      <c r="G821" s="5"/>
    </row>
    <row r="822" spans="3:7" ht="13">
      <c r="C822" s="47"/>
      <c r="D822" s="5"/>
      <c r="E822" s="5"/>
      <c r="F822" s="5"/>
      <c r="G822" s="5"/>
    </row>
    <row r="823" spans="3:7" ht="13">
      <c r="C823" s="47"/>
      <c r="D823" s="5"/>
      <c r="E823" s="5"/>
      <c r="F823" s="5"/>
      <c r="G823" s="5"/>
    </row>
    <row r="824" spans="3:7" ht="13">
      <c r="C824" s="47"/>
      <c r="D824" s="5"/>
      <c r="E824" s="5"/>
      <c r="F824" s="5"/>
      <c r="G824" s="5"/>
    </row>
    <row r="825" spans="3:7" ht="13">
      <c r="C825" s="47"/>
      <c r="D825" s="5"/>
      <c r="E825" s="5"/>
      <c r="F825" s="5"/>
      <c r="G825" s="5"/>
    </row>
    <row r="826" spans="3:7" ht="13">
      <c r="C826" s="47"/>
      <c r="D826" s="5"/>
      <c r="E826" s="5"/>
      <c r="F826" s="5"/>
      <c r="G826" s="5"/>
    </row>
    <row r="827" spans="3:7" ht="13">
      <c r="C827" s="47"/>
      <c r="D827" s="5"/>
      <c r="E827" s="5"/>
      <c r="F827" s="5"/>
      <c r="G827" s="5"/>
    </row>
    <row r="828" spans="3:7" ht="13">
      <c r="C828" s="47"/>
      <c r="D828" s="5"/>
      <c r="E828" s="5"/>
      <c r="F828" s="5"/>
      <c r="G828" s="5"/>
    </row>
    <row r="829" spans="3:7" ht="13">
      <c r="C829" s="47"/>
      <c r="D829" s="5"/>
      <c r="E829" s="5"/>
      <c r="F829" s="5"/>
      <c r="G829" s="5"/>
    </row>
    <row r="830" spans="3:7" ht="13">
      <c r="C830" s="47"/>
      <c r="D830" s="5"/>
      <c r="E830" s="5"/>
      <c r="F830" s="5"/>
      <c r="G830" s="5"/>
    </row>
    <row r="831" spans="3:7" ht="13">
      <c r="C831" s="47"/>
      <c r="D831" s="5"/>
      <c r="E831" s="5"/>
      <c r="F831" s="5"/>
      <c r="G831" s="5"/>
    </row>
    <row r="832" spans="3:7" ht="13">
      <c r="C832" s="47"/>
      <c r="D832" s="5"/>
      <c r="E832" s="5"/>
      <c r="F832" s="5"/>
      <c r="G832" s="5"/>
    </row>
    <row r="833" spans="3:7" ht="13">
      <c r="C833" s="47"/>
      <c r="D833" s="5"/>
      <c r="E833" s="5"/>
      <c r="F833" s="5"/>
      <c r="G833" s="5"/>
    </row>
    <row r="834" spans="3:7" ht="13">
      <c r="C834" s="47"/>
      <c r="D834" s="5"/>
      <c r="E834" s="5"/>
      <c r="F834" s="5"/>
      <c r="G834" s="5"/>
    </row>
    <row r="835" spans="3:7" ht="13">
      <c r="C835" s="47"/>
      <c r="D835" s="5"/>
      <c r="E835" s="5"/>
      <c r="F835" s="5"/>
      <c r="G835" s="5"/>
    </row>
    <row r="836" spans="3:7" ht="13">
      <c r="C836" s="47"/>
      <c r="D836" s="5"/>
      <c r="E836" s="5"/>
      <c r="F836" s="5"/>
      <c r="G836" s="5"/>
    </row>
    <row r="837" spans="3:7" ht="13">
      <c r="C837" s="47"/>
      <c r="D837" s="5"/>
      <c r="E837" s="5"/>
      <c r="F837" s="5"/>
      <c r="G837" s="5"/>
    </row>
    <row r="838" spans="3:7" ht="13">
      <c r="C838" s="47"/>
      <c r="D838" s="5"/>
      <c r="E838" s="5"/>
      <c r="F838" s="5"/>
      <c r="G838" s="5"/>
    </row>
    <row r="839" spans="3:7" ht="13">
      <c r="C839" s="47"/>
      <c r="D839" s="5"/>
      <c r="E839" s="5"/>
      <c r="F839" s="5"/>
      <c r="G839" s="5"/>
    </row>
    <row r="840" spans="3:7" ht="13">
      <c r="C840" s="47"/>
      <c r="D840" s="5"/>
      <c r="E840" s="5"/>
      <c r="F840" s="5"/>
      <c r="G840" s="5"/>
    </row>
    <row r="841" spans="3:7" ht="13">
      <c r="C841" s="47"/>
      <c r="D841" s="5"/>
      <c r="E841" s="5"/>
      <c r="F841" s="5"/>
      <c r="G841" s="5"/>
    </row>
    <row r="842" spans="3:7" ht="13">
      <c r="C842" s="47"/>
      <c r="D842" s="5"/>
      <c r="E842" s="5"/>
      <c r="F842" s="5"/>
      <c r="G842" s="5"/>
    </row>
    <row r="843" spans="3:7" ht="13">
      <c r="C843" s="47"/>
      <c r="D843" s="5"/>
      <c r="E843" s="5"/>
      <c r="F843" s="5"/>
      <c r="G843" s="5"/>
    </row>
    <row r="844" spans="3:7" ht="13">
      <c r="C844" s="47"/>
      <c r="D844" s="5"/>
      <c r="E844" s="5"/>
      <c r="F844" s="5"/>
      <c r="G844" s="5"/>
    </row>
    <row r="845" spans="3:7" ht="13">
      <c r="C845" s="47"/>
      <c r="D845" s="5"/>
      <c r="E845" s="5"/>
      <c r="F845" s="5"/>
      <c r="G845" s="5"/>
    </row>
    <row r="846" spans="3:7" ht="13">
      <c r="C846" s="47"/>
      <c r="D846" s="5"/>
      <c r="E846" s="5"/>
      <c r="F846" s="5"/>
      <c r="G846" s="5"/>
    </row>
    <row r="847" spans="3:7" ht="13">
      <c r="C847" s="47"/>
      <c r="D847" s="5"/>
      <c r="E847" s="5"/>
      <c r="F847" s="5"/>
      <c r="G847" s="5"/>
    </row>
    <row r="848" spans="3:7" ht="13">
      <c r="C848" s="47"/>
      <c r="D848" s="5"/>
      <c r="E848" s="5"/>
      <c r="F848" s="5"/>
      <c r="G848" s="5"/>
    </row>
    <row r="849" spans="3:7" ht="13">
      <c r="C849" s="47"/>
      <c r="D849" s="5"/>
      <c r="E849" s="5"/>
      <c r="F849" s="5"/>
      <c r="G849" s="5"/>
    </row>
    <row r="850" spans="3:7" ht="13">
      <c r="C850" s="47"/>
      <c r="D850" s="5"/>
      <c r="E850" s="5"/>
      <c r="F850" s="5"/>
      <c r="G850" s="5"/>
    </row>
    <row r="851" spans="3:7" ht="13">
      <c r="C851" s="47"/>
      <c r="D851" s="5"/>
      <c r="E851" s="5"/>
      <c r="F851" s="5"/>
      <c r="G851" s="5"/>
    </row>
    <row r="852" spans="3:7" ht="13">
      <c r="C852" s="47"/>
      <c r="D852" s="5"/>
      <c r="E852" s="5"/>
      <c r="F852" s="5"/>
      <c r="G852" s="5"/>
    </row>
    <row r="853" spans="3:7" ht="13">
      <c r="C853" s="47"/>
      <c r="D853" s="5"/>
      <c r="E853" s="5"/>
      <c r="F853" s="5"/>
      <c r="G853" s="5"/>
    </row>
    <row r="854" spans="3:7" ht="13">
      <c r="C854" s="47"/>
      <c r="D854" s="5"/>
      <c r="E854" s="5"/>
      <c r="F854" s="5"/>
      <c r="G854" s="5"/>
    </row>
    <row r="855" spans="3:7" ht="13">
      <c r="C855" s="47"/>
      <c r="D855" s="5"/>
      <c r="E855" s="5"/>
      <c r="F855" s="5"/>
      <c r="G855" s="5"/>
    </row>
    <row r="856" spans="3:7" ht="13">
      <c r="C856" s="47"/>
      <c r="D856" s="5"/>
      <c r="E856" s="5"/>
      <c r="F856" s="5"/>
      <c r="G856" s="5"/>
    </row>
    <row r="857" spans="3:7" ht="13">
      <c r="C857" s="47"/>
      <c r="D857" s="5"/>
      <c r="E857" s="5"/>
      <c r="F857" s="5"/>
      <c r="G857" s="5"/>
    </row>
    <row r="858" spans="3:7" ht="13">
      <c r="C858" s="47"/>
      <c r="D858" s="5"/>
      <c r="E858" s="5"/>
      <c r="F858" s="5"/>
      <c r="G858" s="5"/>
    </row>
    <row r="859" spans="3:7" ht="13">
      <c r="C859" s="47"/>
      <c r="D859" s="5"/>
      <c r="E859" s="5"/>
      <c r="F859" s="5"/>
      <c r="G859" s="5"/>
    </row>
    <row r="860" spans="3:7" ht="13">
      <c r="C860" s="47"/>
      <c r="D860" s="5"/>
      <c r="E860" s="5"/>
      <c r="F860" s="5"/>
      <c r="G860" s="5"/>
    </row>
    <row r="861" spans="3:7" ht="13">
      <c r="C861" s="47"/>
      <c r="D861" s="5"/>
      <c r="E861" s="5"/>
      <c r="F861" s="5"/>
      <c r="G861" s="5"/>
    </row>
    <row r="862" spans="3:7" ht="13">
      <c r="C862" s="47"/>
      <c r="D862" s="5"/>
      <c r="E862" s="5"/>
      <c r="F862" s="5"/>
      <c r="G862" s="5"/>
    </row>
    <row r="863" spans="3:7" ht="13">
      <c r="C863" s="47"/>
      <c r="D863" s="5"/>
      <c r="E863" s="5"/>
      <c r="F863" s="5"/>
      <c r="G863" s="5"/>
    </row>
    <row r="864" spans="3:7" ht="13">
      <c r="C864" s="47"/>
      <c r="D864" s="5"/>
      <c r="E864" s="5"/>
      <c r="F864" s="5"/>
      <c r="G864" s="5"/>
    </row>
    <row r="865" spans="3:7" ht="13">
      <c r="C865" s="47"/>
      <c r="D865" s="5"/>
      <c r="E865" s="5"/>
      <c r="F865" s="5"/>
      <c r="G865" s="5"/>
    </row>
    <row r="866" spans="3:7" ht="13">
      <c r="C866" s="47"/>
      <c r="D866" s="5"/>
      <c r="E866" s="5"/>
      <c r="F866" s="5"/>
      <c r="G866" s="5"/>
    </row>
    <row r="867" spans="3:7" ht="13">
      <c r="C867" s="47"/>
      <c r="D867" s="5"/>
      <c r="E867" s="5"/>
      <c r="F867" s="5"/>
      <c r="G867" s="5"/>
    </row>
    <row r="868" spans="3:7" ht="13">
      <c r="C868" s="47"/>
      <c r="D868" s="5"/>
      <c r="E868" s="5"/>
      <c r="F868" s="5"/>
      <c r="G868" s="5"/>
    </row>
    <row r="869" spans="3:7" ht="13">
      <c r="C869" s="47"/>
      <c r="D869" s="5"/>
      <c r="E869" s="5"/>
      <c r="F869" s="5"/>
      <c r="G869" s="5"/>
    </row>
    <row r="870" spans="3:7" ht="13">
      <c r="C870" s="47"/>
      <c r="D870" s="5"/>
      <c r="E870" s="5"/>
      <c r="F870" s="5"/>
      <c r="G870" s="5"/>
    </row>
    <row r="871" spans="3:7" ht="13">
      <c r="C871" s="47"/>
      <c r="D871" s="5"/>
      <c r="E871" s="5"/>
      <c r="F871" s="5"/>
      <c r="G871" s="5"/>
    </row>
    <row r="872" spans="3:7" ht="13">
      <c r="C872" s="47"/>
      <c r="D872" s="5"/>
      <c r="E872" s="5"/>
      <c r="F872" s="5"/>
      <c r="G872" s="5"/>
    </row>
    <row r="873" spans="3:7" ht="13">
      <c r="C873" s="47"/>
      <c r="D873" s="5"/>
      <c r="E873" s="5"/>
      <c r="F873" s="5"/>
      <c r="G873" s="5"/>
    </row>
    <row r="874" spans="3:7" ht="13">
      <c r="C874" s="47"/>
      <c r="D874" s="5"/>
      <c r="E874" s="5"/>
      <c r="F874" s="5"/>
      <c r="G874" s="5"/>
    </row>
    <row r="875" spans="3:7" ht="13">
      <c r="C875" s="47"/>
      <c r="D875" s="5"/>
      <c r="E875" s="5"/>
      <c r="F875" s="5"/>
      <c r="G875" s="5"/>
    </row>
    <row r="876" spans="3:7" ht="13">
      <c r="C876" s="47"/>
      <c r="D876" s="5"/>
      <c r="E876" s="5"/>
      <c r="F876" s="5"/>
      <c r="G876" s="5"/>
    </row>
    <row r="877" spans="3:7" ht="13">
      <c r="C877" s="47"/>
      <c r="D877" s="5"/>
      <c r="E877" s="5"/>
      <c r="F877" s="5"/>
      <c r="G877" s="5"/>
    </row>
    <row r="878" spans="3:7" ht="13">
      <c r="C878" s="47"/>
      <c r="D878" s="5"/>
      <c r="E878" s="5"/>
      <c r="F878" s="5"/>
      <c r="G878" s="5"/>
    </row>
    <row r="879" spans="3:7" ht="13">
      <c r="C879" s="47"/>
      <c r="D879" s="5"/>
      <c r="E879" s="5"/>
      <c r="F879" s="5"/>
      <c r="G879" s="5"/>
    </row>
    <row r="880" spans="3:7" ht="13">
      <c r="C880" s="47"/>
      <c r="D880" s="5"/>
      <c r="E880" s="5"/>
      <c r="F880" s="5"/>
      <c r="G880" s="5"/>
    </row>
    <row r="881" spans="3:7" ht="13">
      <c r="C881" s="47"/>
      <c r="D881" s="5"/>
      <c r="E881" s="5"/>
      <c r="F881" s="5"/>
      <c r="G881" s="5"/>
    </row>
    <row r="882" spans="3:7" ht="13">
      <c r="C882" s="47"/>
      <c r="D882" s="5"/>
      <c r="E882" s="5"/>
      <c r="F882" s="5"/>
      <c r="G882" s="5"/>
    </row>
    <row r="883" spans="3:7" ht="13">
      <c r="C883" s="47"/>
      <c r="D883" s="5"/>
      <c r="E883" s="5"/>
      <c r="F883" s="5"/>
      <c r="G883" s="5"/>
    </row>
    <row r="884" spans="3:7" ht="13">
      <c r="C884" s="47"/>
      <c r="D884" s="5"/>
      <c r="E884" s="5"/>
      <c r="F884" s="5"/>
      <c r="G884" s="5"/>
    </row>
    <row r="885" spans="3:7" ht="13">
      <c r="C885" s="47"/>
      <c r="D885" s="5"/>
      <c r="E885" s="5"/>
      <c r="F885" s="5"/>
      <c r="G885" s="5"/>
    </row>
    <row r="886" spans="3:7" ht="13">
      <c r="C886" s="47"/>
      <c r="D886" s="5"/>
      <c r="E886" s="5"/>
      <c r="F886" s="5"/>
      <c r="G886" s="5"/>
    </row>
    <row r="887" spans="3:7" ht="13">
      <c r="C887" s="47"/>
      <c r="D887" s="5"/>
      <c r="E887" s="5"/>
      <c r="F887" s="5"/>
      <c r="G887" s="5"/>
    </row>
    <row r="888" spans="3:7" ht="13">
      <c r="C888" s="47"/>
      <c r="D888" s="5"/>
      <c r="E888" s="5"/>
      <c r="F888" s="5"/>
      <c r="G888" s="5"/>
    </row>
    <row r="889" spans="3:7" ht="13">
      <c r="C889" s="47"/>
      <c r="D889" s="5"/>
      <c r="E889" s="5"/>
      <c r="F889" s="5"/>
      <c r="G889" s="5"/>
    </row>
    <row r="890" spans="3:7" ht="13">
      <c r="C890" s="47"/>
      <c r="D890" s="5"/>
      <c r="E890" s="5"/>
      <c r="F890" s="5"/>
      <c r="G890" s="5"/>
    </row>
    <row r="891" spans="3:7" ht="13">
      <c r="C891" s="47"/>
      <c r="D891" s="5"/>
      <c r="E891" s="5"/>
      <c r="F891" s="5"/>
      <c r="G891" s="5"/>
    </row>
    <row r="892" spans="3:7" ht="13">
      <c r="C892" s="47"/>
      <c r="D892" s="5"/>
      <c r="E892" s="5"/>
      <c r="F892" s="5"/>
      <c r="G892" s="5"/>
    </row>
    <row r="893" spans="3:7" ht="13">
      <c r="C893" s="47"/>
      <c r="D893" s="5"/>
      <c r="E893" s="5"/>
      <c r="F893" s="5"/>
      <c r="G893" s="5"/>
    </row>
    <row r="894" spans="3:7" ht="13">
      <c r="C894" s="47"/>
      <c r="D894" s="5"/>
      <c r="E894" s="5"/>
      <c r="F894" s="5"/>
      <c r="G894" s="5"/>
    </row>
    <row r="895" spans="3:7" ht="13">
      <c r="C895" s="47"/>
      <c r="D895" s="5"/>
      <c r="E895" s="5"/>
      <c r="F895" s="5"/>
      <c r="G895" s="5"/>
    </row>
    <row r="896" spans="3:7" ht="13">
      <c r="C896" s="47"/>
      <c r="D896" s="5"/>
      <c r="E896" s="5"/>
      <c r="F896" s="5"/>
      <c r="G896" s="5"/>
    </row>
    <row r="897" spans="3:7" ht="13">
      <c r="C897" s="47"/>
      <c r="D897" s="5"/>
      <c r="E897" s="5"/>
      <c r="F897" s="5"/>
      <c r="G897" s="5"/>
    </row>
    <row r="898" spans="3:7" ht="13">
      <c r="C898" s="47"/>
      <c r="D898" s="5"/>
      <c r="E898" s="5"/>
      <c r="F898" s="5"/>
      <c r="G898" s="5"/>
    </row>
    <row r="899" spans="3:7" ht="13">
      <c r="C899" s="47"/>
      <c r="D899" s="5"/>
      <c r="E899" s="5"/>
      <c r="F899" s="5"/>
      <c r="G899" s="5"/>
    </row>
    <row r="900" spans="3:7" ht="13">
      <c r="C900" s="47"/>
      <c r="D900" s="5"/>
      <c r="E900" s="5"/>
      <c r="F900" s="5"/>
      <c r="G900" s="5"/>
    </row>
    <row r="901" spans="3:7" ht="13">
      <c r="C901" s="47"/>
      <c r="D901" s="5"/>
      <c r="E901" s="5"/>
      <c r="F901" s="5"/>
      <c r="G901" s="5"/>
    </row>
    <row r="902" spans="3:7" ht="13">
      <c r="C902" s="47"/>
      <c r="D902" s="5"/>
      <c r="E902" s="5"/>
      <c r="F902" s="5"/>
      <c r="G902" s="5"/>
    </row>
    <row r="903" spans="3:7" ht="13">
      <c r="C903" s="47"/>
      <c r="D903" s="5"/>
      <c r="E903" s="5"/>
      <c r="F903" s="5"/>
      <c r="G903" s="5"/>
    </row>
    <row r="904" spans="3:7" ht="13">
      <c r="C904" s="47"/>
      <c r="D904" s="5"/>
      <c r="E904" s="5"/>
      <c r="F904" s="5"/>
      <c r="G904" s="5"/>
    </row>
    <row r="905" spans="3:7" ht="13">
      <c r="C905" s="47"/>
      <c r="D905" s="5"/>
      <c r="E905" s="5"/>
      <c r="F905" s="5"/>
      <c r="G905" s="5"/>
    </row>
    <row r="906" spans="3:7" ht="13">
      <c r="C906" s="47"/>
      <c r="D906" s="5"/>
      <c r="E906" s="5"/>
      <c r="F906" s="5"/>
      <c r="G906" s="5"/>
    </row>
    <row r="907" spans="3:7" ht="13">
      <c r="C907" s="47"/>
      <c r="D907" s="5"/>
      <c r="E907" s="5"/>
      <c r="F907" s="5"/>
      <c r="G907" s="5"/>
    </row>
    <row r="908" spans="3:7" ht="13">
      <c r="C908" s="47"/>
      <c r="D908" s="5"/>
      <c r="E908" s="5"/>
      <c r="F908" s="5"/>
      <c r="G908" s="5"/>
    </row>
    <row r="909" spans="3:7" ht="13">
      <c r="C909" s="47"/>
      <c r="D909" s="5"/>
      <c r="E909" s="5"/>
      <c r="F909" s="5"/>
      <c r="G909" s="5"/>
    </row>
    <row r="910" spans="3:7" ht="13">
      <c r="C910" s="47"/>
      <c r="D910" s="5"/>
      <c r="E910" s="5"/>
      <c r="F910" s="5"/>
      <c r="G910" s="5"/>
    </row>
    <row r="911" spans="3:7" ht="13">
      <c r="C911" s="47"/>
      <c r="D911" s="5"/>
      <c r="E911" s="5"/>
      <c r="F911" s="5"/>
      <c r="G911" s="5"/>
    </row>
    <row r="912" spans="3:7" ht="13">
      <c r="C912" s="47"/>
      <c r="D912" s="5"/>
      <c r="E912" s="5"/>
      <c r="F912" s="5"/>
      <c r="G912" s="5"/>
    </row>
    <row r="913" spans="3:7" ht="13">
      <c r="C913" s="47"/>
      <c r="D913" s="5"/>
      <c r="E913" s="5"/>
      <c r="F913" s="5"/>
      <c r="G913" s="5"/>
    </row>
    <row r="914" spans="3:7" ht="13">
      <c r="C914" s="47"/>
      <c r="D914" s="5"/>
      <c r="E914" s="5"/>
      <c r="F914" s="5"/>
      <c r="G914" s="5"/>
    </row>
    <row r="915" spans="3:7" ht="13">
      <c r="C915" s="47"/>
      <c r="D915" s="5"/>
      <c r="E915" s="5"/>
      <c r="F915" s="5"/>
      <c r="G915" s="5"/>
    </row>
    <row r="916" spans="3:7" ht="13">
      <c r="C916" s="47"/>
      <c r="D916" s="5"/>
      <c r="E916" s="5"/>
      <c r="F916" s="5"/>
      <c r="G916" s="5"/>
    </row>
    <row r="917" spans="3:7" ht="13">
      <c r="C917" s="47"/>
      <c r="D917" s="5"/>
      <c r="E917" s="5"/>
      <c r="F917" s="5"/>
      <c r="G917" s="5"/>
    </row>
    <row r="918" spans="3:7" ht="13">
      <c r="C918" s="47"/>
      <c r="D918" s="5"/>
      <c r="E918" s="5"/>
      <c r="F918" s="5"/>
      <c r="G918" s="5"/>
    </row>
    <row r="919" spans="3:7" ht="13">
      <c r="C919" s="47"/>
      <c r="D919" s="5"/>
      <c r="E919" s="5"/>
      <c r="F919" s="5"/>
      <c r="G919" s="5"/>
    </row>
    <row r="920" spans="3:7" ht="13">
      <c r="C920" s="47"/>
      <c r="D920" s="5"/>
      <c r="E920" s="5"/>
      <c r="F920" s="5"/>
      <c r="G920" s="5"/>
    </row>
    <row r="921" spans="3:7" ht="13">
      <c r="C921" s="47"/>
      <c r="D921" s="5"/>
      <c r="E921" s="5"/>
      <c r="F921" s="5"/>
      <c r="G921" s="5"/>
    </row>
    <row r="922" spans="3:7" ht="13">
      <c r="C922" s="47"/>
      <c r="D922" s="5"/>
      <c r="E922" s="5"/>
      <c r="F922" s="5"/>
      <c r="G922" s="5"/>
    </row>
    <row r="923" spans="3:7" ht="13">
      <c r="C923" s="47"/>
      <c r="D923" s="5"/>
      <c r="E923" s="5"/>
      <c r="F923" s="5"/>
      <c r="G923" s="5"/>
    </row>
    <row r="924" spans="3:7" ht="13">
      <c r="C924" s="47"/>
      <c r="D924" s="5"/>
      <c r="E924" s="5"/>
      <c r="F924" s="5"/>
      <c r="G924" s="5"/>
    </row>
    <row r="925" spans="3:7" ht="13">
      <c r="C925" s="47"/>
      <c r="D925" s="5"/>
      <c r="E925" s="5"/>
      <c r="F925" s="5"/>
      <c r="G925" s="5"/>
    </row>
    <row r="926" spans="3:7" ht="13">
      <c r="C926" s="47"/>
      <c r="D926" s="5"/>
      <c r="E926" s="5"/>
      <c r="F926" s="5"/>
      <c r="G926" s="5"/>
    </row>
    <row r="927" spans="3:7" ht="13">
      <c r="C927" s="47"/>
      <c r="D927" s="5"/>
      <c r="E927" s="5"/>
      <c r="F927" s="5"/>
      <c r="G927" s="5"/>
    </row>
    <row r="928" spans="3:7" ht="13">
      <c r="C928" s="47"/>
      <c r="D928" s="5"/>
      <c r="E928" s="5"/>
      <c r="F928" s="5"/>
      <c r="G928" s="5"/>
    </row>
    <row r="929" spans="3:7" ht="13">
      <c r="C929" s="47"/>
      <c r="D929" s="5"/>
      <c r="E929" s="5"/>
      <c r="F929" s="5"/>
      <c r="G929" s="5"/>
    </row>
    <row r="930" spans="3:7" ht="13">
      <c r="C930" s="47"/>
      <c r="D930" s="5"/>
      <c r="E930" s="5"/>
      <c r="F930" s="5"/>
      <c r="G930" s="5"/>
    </row>
    <row r="931" spans="3:7" ht="13">
      <c r="C931" s="47"/>
      <c r="D931" s="5"/>
      <c r="E931" s="5"/>
      <c r="F931" s="5"/>
      <c r="G931" s="5"/>
    </row>
    <row r="932" spans="3:7" ht="13">
      <c r="C932" s="47"/>
      <c r="D932" s="5"/>
      <c r="E932" s="5"/>
      <c r="F932" s="5"/>
      <c r="G932" s="5"/>
    </row>
    <row r="933" spans="3:7" ht="13">
      <c r="C933" s="47"/>
      <c r="D933" s="5"/>
      <c r="E933" s="5"/>
      <c r="F933" s="5"/>
      <c r="G933" s="5"/>
    </row>
    <row r="934" spans="3:7" ht="13">
      <c r="C934" s="47"/>
      <c r="D934" s="5"/>
      <c r="E934" s="5"/>
      <c r="F934" s="5"/>
      <c r="G934" s="5"/>
    </row>
    <row r="935" spans="3:7" ht="13">
      <c r="C935" s="47"/>
      <c r="D935" s="5"/>
      <c r="E935" s="5"/>
      <c r="F935" s="5"/>
      <c r="G935" s="5"/>
    </row>
    <row r="936" spans="3:7" ht="13">
      <c r="C936" s="47"/>
      <c r="D936" s="5"/>
      <c r="E936" s="5"/>
      <c r="F936" s="5"/>
      <c r="G936" s="5"/>
    </row>
    <row r="937" spans="3:7" ht="13">
      <c r="C937" s="47"/>
      <c r="D937" s="5"/>
      <c r="E937" s="5"/>
      <c r="F937" s="5"/>
      <c r="G937" s="5"/>
    </row>
    <row r="938" spans="3:7" ht="13">
      <c r="C938" s="47"/>
      <c r="D938" s="5"/>
      <c r="E938" s="5"/>
      <c r="F938" s="5"/>
      <c r="G938" s="5"/>
    </row>
    <row r="939" spans="3:7" ht="13">
      <c r="C939" s="47"/>
      <c r="D939" s="5"/>
      <c r="E939" s="5"/>
      <c r="F939" s="5"/>
      <c r="G939" s="5"/>
    </row>
    <row r="940" spans="3:7" ht="13">
      <c r="C940" s="47"/>
      <c r="D940" s="5"/>
      <c r="E940" s="5"/>
      <c r="F940" s="5"/>
      <c r="G940" s="5"/>
    </row>
    <row r="941" spans="3:7" ht="13">
      <c r="C941" s="47"/>
      <c r="D941" s="5"/>
      <c r="E941" s="5"/>
      <c r="F941" s="5"/>
      <c r="G941" s="5"/>
    </row>
    <row r="942" spans="3:7" ht="13">
      <c r="C942" s="47"/>
      <c r="D942" s="5"/>
      <c r="E942" s="5"/>
      <c r="F942" s="5"/>
      <c r="G942" s="5"/>
    </row>
    <row r="943" spans="3:7" ht="13">
      <c r="C943" s="47"/>
      <c r="D943" s="5"/>
      <c r="E943" s="5"/>
      <c r="F943" s="5"/>
      <c r="G943" s="5"/>
    </row>
    <row r="944" spans="3:7" ht="13">
      <c r="C944" s="47"/>
      <c r="D944" s="5"/>
      <c r="E944" s="5"/>
      <c r="F944" s="5"/>
      <c r="G944" s="5"/>
    </row>
    <row r="945" spans="3:7" ht="13">
      <c r="C945" s="47"/>
      <c r="D945" s="5"/>
      <c r="E945" s="5"/>
      <c r="F945" s="5"/>
      <c r="G945" s="5"/>
    </row>
    <row r="946" spans="3:7" ht="13">
      <c r="C946" s="47"/>
      <c r="D946" s="5"/>
      <c r="E946" s="5"/>
      <c r="F946" s="5"/>
      <c r="G946" s="5"/>
    </row>
    <row r="947" spans="3:7" ht="13">
      <c r="C947" s="47"/>
      <c r="D947" s="5"/>
      <c r="E947" s="5"/>
      <c r="F947" s="5"/>
      <c r="G947" s="5"/>
    </row>
    <row r="948" spans="3:7" ht="13">
      <c r="C948" s="47"/>
      <c r="D948" s="5"/>
      <c r="E948" s="5"/>
      <c r="F948" s="5"/>
      <c r="G948" s="5"/>
    </row>
    <row r="949" spans="3:7" ht="13">
      <c r="C949" s="47"/>
      <c r="D949" s="5"/>
      <c r="E949" s="5"/>
      <c r="F949" s="5"/>
      <c r="G949" s="5"/>
    </row>
    <row r="950" spans="3:7" ht="13">
      <c r="C950" s="47"/>
      <c r="D950" s="5"/>
      <c r="E950" s="5"/>
      <c r="F950" s="5"/>
      <c r="G950" s="5"/>
    </row>
    <row r="951" spans="3:7" ht="13">
      <c r="C951" s="47"/>
      <c r="D951" s="5"/>
      <c r="E951" s="5"/>
      <c r="F951" s="5"/>
      <c r="G951" s="5"/>
    </row>
    <row r="952" spans="3:7" ht="13">
      <c r="C952" s="47"/>
      <c r="D952" s="5"/>
      <c r="E952" s="5"/>
      <c r="F952" s="5"/>
      <c r="G952" s="5"/>
    </row>
    <row r="953" spans="3:7" ht="13">
      <c r="C953" s="47"/>
      <c r="D953" s="5"/>
      <c r="E953" s="5"/>
      <c r="F953" s="5"/>
      <c r="G953" s="5"/>
    </row>
    <row r="954" spans="3:7" ht="13">
      <c r="C954" s="47"/>
      <c r="D954" s="5"/>
      <c r="E954" s="5"/>
      <c r="F954" s="5"/>
      <c r="G954" s="5"/>
    </row>
    <row r="955" spans="3:7" ht="13">
      <c r="C955" s="47"/>
      <c r="D955" s="5"/>
      <c r="E955" s="5"/>
      <c r="F955" s="5"/>
      <c r="G955" s="5"/>
    </row>
    <row r="956" spans="3:7" ht="13">
      <c r="C956" s="47"/>
      <c r="D956" s="5"/>
      <c r="E956" s="5"/>
      <c r="F956" s="5"/>
      <c r="G956" s="5"/>
    </row>
    <row r="957" spans="3:7" ht="13">
      <c r="C957" s="47"/>
      <c r="D957" s="5"/>
      <c r="E957" s="5"/>
      <c r="F957" s="5"/>
      <c r="G957" s="5"/>
    </row>
    <row r="958" spans="3:7" ht="13">
      <c r="C958" s="47"/>
      <c r="D958" s="5"/>
      <c r="E958" s="5"/>
      <c r="F958" s="5"/>
      <c r="G958" s="5"/>
    </row>
    <row r="959" spans="3:7" ht="13">
      <c r="C959" s="47"/>
      <c r="D959" s="5"/>
      <c r="E959" s="5"/>
      <c r="F959" s="5"/>
      <c r="G959" s="5"/>
    </row>
    <row r="960" spans="3:7" ht="13">
      <c r="C960" s="47"/>
      <c r="D960" s="5"/>
      <c r="E960" s="5"/>
      <c r="F960" s="5"/>
      <c r="G960" s="5"/>
    </row>
    <row r="961" spans="3:7" ht="13">
      <c r="C961" s="47"/>
      <c r="D961" s="5"/>
      <c r="E961" s="5"/>
      <c r="F961" s="5"/>
      <c r="G961" s="5"/>
    </row>
    <row r="962" spans="3:7" ht="13">
      <c r="C962" s="47"/>
      <c r="D962" s="5"/>
      <c r="E962" s="5"/>
      <c r="F962" s="5"/>
      <c r="G962" s="5"/>
    </row>
    <row r="963" spans="3:7" ht="13">
      <c r="C963" s="47"/>
      <c r="D963" s="5"/>
      <c r="E963" s="5"/>
      <c r="F963" s="5"/>
      <c r="G963" s="5"/>
    </row>
    <row r="964" spans="3:7" ht="13">
      <c r="C964" s="47"/>
      <c r="D964" s="5"/>
      <c r="E964" s="5"/>
      <c r="F964" s="5"/>
      <c r="G964" s="5"/>
    </row>
    <row r="965" spans="3:7" ht="13">
      <c r="C965" s="47"/>
      <c r="D965" s="5"/>
      <c r="E965" s="5"/>
      <c r="F965" s="5"/>
      <c r="G965" s="5"/>
    </row>
    <row r="966" spans="3:7" ht="13">
      <c r="C966" s="47"/>
      <c r="D966" s="5"/>
      <c r="E966" s="5"/>
      <c r="F966" s="5"/>
      <c r="G966" s="5"/>
    </row>
    <row r="967" spans="3:7" ht="13">
      <c r="C967" s="47"/>
      <c r="D967" s="5"/>
      <c r="E967" s="5"/>
      <c r="F967" s="5"/>
      <c r="G967" s="5"/>
    </row>
    <row r="968" spans="3:7" ht="13">
      <c r="C968" s="47"/>
      <c r="D968" s="5"/>
      <c r="E968" s="5"/>
      <c r="F968" s="5"/>
      <c r="G968" s="5"/>
    </row>
    <row r="969" spans="3:7" ht="13">
      <c r="C969" s="47"/>
      <c r="D969" s="5"/>
      <c r="E969" s="5"/>
      <c r="F969" s="5"/>
      <c r="G969" s="5"/>
    </row>
    <row r="970" spans="3:7" ht="13">
      <c r="C970" s="47"/>
      <c r="D970" s="5"/>
      <c r="E970" s="5"/>
      <c r="F970" s="5"/>
      <c r="G970" s="5"/>
    </row>
    <row r="971" spans="3:7" ht="13">
      <c r="C971" s="47"/>
      <c r="D971" s="5"/>
      <c r="E971" s="5"/>
      <c r="F971" s="5"/>
      <c r="G971" s="5"/>
    </row>
    <row r="972" spans="3:7" ht="13">
      <c r="C972" s="47"/>
      <c r="D972" s="5"/>
      <c r="E972" s="5"/>
      <c r="F972" s="5"/>
      <c r="G972" s="5"/>
    </row>
    <row r="973" spans="3:7" ht="13">
      <c r="C973" s="47"/>
      <c r="D973" s="5"/>
      <c r="E973" s="5"/>
      <c r="F973" s="5"/>
      <c r="G973" s="5"/>
    </row>
    <row r="974" spans="3:7" ht="13">
      <c r="C974" s="47"/>
      <c r="D974" s="5"/>
      <c r="E974" s="5"/>
      <c r="F974" s="5"/>
      <c r="G974" s="5"/>
    </row>
    <row r="975" spans="3:7" ht="13">
      <c r="C975" s="47"/>
      <c r="D975" s="5"/>
      <c r="E975" s="5"/>
      <c r="F975" s="5"/>
      <c r="G975" s="5"/>
    </row>
    <row r="976" spans="3:7" ht="13">
      <c r="C976" s="47"/>
      <c r="D976" s="5"/>
      <c r="E976" s="5"/>
      <c r="F976" s="5"/>
      <c r="G976" s="5"/>
    </row>
    <row r="977" spans="3:7" ht="13">
      <c r="C977" s="47"/>
      <c r="D977" s="5"/>
      <c r="E977" s="5"/>
      <c r="F977" s="5"/>
      <c r="G977" s="5"/>
    </row>
    <row r="978" spans="3:7" ht="13">
      <c r="C978" s="47"/>
      <c r="D978" s="5"/>
      <c r="E978" s="5"/>
      <c r="F978" s="5"/>
      <c r="G978" s="5"/>
    </row>
    <row r="979" spans="3:7" ht="13">
      <c r="C979" s="47"/>
      <c r="D979" s="5"/>
      <c r="E979" s="5"/>
      <c r="F979" s="5"/>
      <c r="G979" s="5"/>
    </row>
    <row r="980" spans="3:7" ht="13">
      <c r="C980" s="47"/>
      <c r="D980" s="5"/>
      <c r="E980" s="5"/>
      <c r="F980" s="5"/>
      <c r="G980" s="5"/>
    </row>
    <row r="981" spans="3:7" ht="13">
      <c r="C981" s="47"/>
      <c r="D981" s="5"/>
      <c r="E981" s="5"/>
      <c r="F981" s="5"/>
      <c r="G981" s="5"/>
    </row>
    <row r="982" spans="3:7" ht="13">
      <c r="C982" s="47"/>
      <c r="D982" s="5"/>
      <c r="E982" s="5"/>
      <c r="F982" s="5"/>
      <c r="G982" s="5"/>
    </row>
    <row r="983" spans="3:7" ht="13">
      <c r="C983" s="47"/>
      <c r="D983" s="5"/>
      <c r="E983" s="5"/>
      <c r="F983" s="5"/>
      <c r="G983" s="5"/>
    </row>
    <row r="984" spans="3:7" ht="13">
      <c r="C984" s="47"/>
      <c r="D984" s="5"/>
      <c r="E984" s="5"/>
      <c r="F984" s="5"/>
      <c r="G984" s="5"/>
    </row>
    <row r="985" spans="3:7" ht="13">
      <c r="C985" s="47"/>
      <c r="D985" s="5"/>
      <c r="E985" s="5"/>
      <c r="F985" s="5"/>
      <c r="G985" s="5"/>
    </row>
    <row r="986" spans="3:7" ht="13">
      <c r="C986" s="47"/>
      <c r="D986" s="5"/>
      <c r="E986" s="5"/>
      <c r="F986" s="5"/>
      <c r="G986" s="5"/>
    </row>
    <row r="987" spans="3:7" ht="13">
      <c r="C987" s="47"/>
      <c r="D987" s="5"/>
      <c r="E987" s="5"/>
      <c r="F987" s="5"/>
      <c r="G987" s="5"/>
    </row>
    <row r="988" spans="3:7" ht="13">
      <c r="C988" s="47"/>
      <c r="D988" s="5"/>
      <c r="E988" s="5"/>
      <c r="F988" s="5"/>
      <c r="G988" s="5"/>
    </row>
    <row r="989" spans="3:7" ht="13">
      <c r="C989" s="47"/>
      <c r="D989" s="5"/>
      <c r="E989" s="5"/>
      <c r="F989" s="5"/>
      <c r="G989" s="5"/>
    </row>
    <row r="990" spans="3:7" ht="13">
      <c r="C990" s="47"/>
      <c r="D990" s="5"/>
      <c r="E990" s="5"/>
      <c r="F990" s="5"/>
      <c r="G990" s="5"/>
    </row>
    <row r="991" spans="3:7" ht="13">
      <c r="C991" s="47"/>
      <c r="D991" s="5"/>
      <c r="E991" s="5"/>
      <c r="F991" s="5"/>
      <c r="G991" s="5"/>
    </row>
    <row r="992" spans="3:7" ht="13">
      <c r="C992" s="47"/>
      <c r="D992" s="5"/>
      <c r="E992" s="5"/>
      <c r="F992" s="5"/>
      <c r="G992" s="5"/>
    </row>
    <row r="993" spans="3:7" ht="13">
      <c r="C993" s="47"/>
      <c r="D993" s="5"/>
      <c r="E993" s="5"/>
      <c r="F993" s="5"/>
      <c r="G993" s="5"/>
    </row>
    <row r="994" spans="3:7" ht="13">
      <c r="C994" s="47"/>
      <c r="D994" s="5"/>
      <c r="E994" s="5"/>
      <c r="F994" s="5"/>
      <c r="G994" s="5"/>
    </row>
    <row r="995" spans="3:7" ht="13">
      <c r="C995" s="47"/>
      <c r="D995" s="5"/>
      <c r="E995" s="5"/>
      <c r="F995" s="5"/>
      <c r="G995" s="5"/>
    </row>
    <row r="996" spans="3:7" ht="13">
      <c r="C996" s="47"/>
      <c r="D996" s="5"/>
      <c r="E996" s="5"/>
      <c r="F996" s="5"/>
      <c r="G996" s="5"/>
    </row>
    <row r="997" spans="3:7" ht="13">
      <c r="C997" s="47"/>
      <c r="D997" s="5"/>
      <c r="E997" s="5"/>
      <c r="F997" s="5"/>
      <c r="G997" s="5"/>
    </row>
    <row r="998" spans="3:7" ht="13">
      <c r="C998" s="47"/>
      <c r="D998" s="5"/>
      <c r="E998" s="5"/>
      <c r="F998" s="5"/>
      <c r="G998" s="5"/>
    </row>
    <row r="999" spans="3:7" ht="13">
      <c r="C999" s="47"/>
      <c r="D999" s="5"/>
      <c r="E999" s="5"/>
      <c r="F999" s="5"/>
      <c r="G999" s="5"/>
    </row>
    <row r="1000" spans="3:7" ht="13">
      <c r="C1000" s="47"/>
      <c r="D1000" s="5"/>
      <c r="E1000" s="5"/>
      <c r="F1000" s="5"/>
      <c r="G1000" s="5"/>
    </row>
    <row r="1001" spans="3:7" ht="13">
      <c r="C1001" s="47"/>
      <c r="D1001" s="5"/>
      <c r="E1001" s="5"/>
      <c r="F1001" s="5"/>
      <c r="G1001" s="5"/>
    </row>
    <row r="1002" spans="3:7" ht="13">
      <c r="C1002" s="47"/>
      <c r="D1002" s="5"/>
      <c r="E1002" s="5"/>
      <c r="F1002" s="5"/>
      <c r="G1002" s="5"/>
    </row>
  </sheetData>
  <hyperlinks>
    <hyperlink ref="B5" r:id="rId1" xr:uid="{00000000-0004-0000-5400-000000000000}"/>
    <hyperlink ref="B6" r:id="rId2" xr:uid="{00000000-0004-0000-5400-000001000000}"/>
    <hyperlink ref="B7" r:id="rId3" xr:uid="{00000000-0004-0000-5400-000002000000}"/>
    <hyperlink ref="B8" r:id="rId4" xr:uid="{00000000-0004-0000-5400-000003000000}"/>
    <hyperlink ref="B9" r:id="rId5" xr:uid="{00000000-0004-0000-5400-000004000000}"/>
    <hyperlink ref="B10" r:id="rId6" xr:uid="{00000000-0004-0000-5400-000005000000}"/>
    <hyperlink ref="B11" r:id="rId7" xr:uid="{00000000-0004-0000-5400-000006000000}"/>
    <hyperlink ref="B12" r:id="rId8" xr:uid="{00000000-0004-0000-5400-000007000000}"/>
    <hyperlink ref="B13" r:id="rId9" xr:uid="{00000000-0004-0000-5400-000008000000}"/>
    <hyperlink ref="B14" r:id="rId10" xr:uid="{00000000-0004-0000-5400-000009000000}"/>
    <hyperlink ref="B15" r:id="rId11" xr:uid="{00000000-0004-0000-5400-00000A000000}"/>
    <hyperlink ref="B17" r:id="rId12" xr:uid="{00000000-0004-0000-5400-00000B000000}"/>
    <hyperlink ref="B18" r:id="rId13" xr:uid="{00000000-0004-0000-5400-00000C000000}"/>
    <hyperlink ref="B20" r:id="rId14" xr:uid="{00000000-0004-0000-5400-00000D000000}"/>
    <hyperlink ref="B21" r:id="rId15" xr:uid="{00000000-0004-0000-5400-00000E000000}"/>
    <hyperlink ref="B22" r:id="rId16" xr:uid="{00000000-0004-0000-5400-00000F000000}"/>
    <hyperlink ref="B23" r:id="rId17" xr:uid="{00000000-0004-0000-5400-000010000000}"/>
    <hyperlink ref="B24" r:id="rId18" xr:uid="{00000000-0004-0000-5400-000011000000}"/>
    <hyperlink ref="B25" r:id="rId19" xr:uid="{00000000-0004-0000-5400-000012000000}"/>
    <hyperlink ref="B26" r:id="rId20" xr:uid="{00000000-0004-0000-5400-000013000000}"/>
    <hyperlink ref="B27" r:id="rId21" xr:uid="{00000000-0004-0000-5400-000014000000}"/>
    <hyperlink ref="B28" r:id="rId22" xr:uid="{00000000-0004-0000-5400-000015000000}"/>
    <hyperlink ref="B29" r:id="rId23" xr:uid="{00000000-0004-0000-5400-000016000000}"/>
    <hyperlink ref="B30" r:id="rId24" xr:uid="{00000000-0004-0000-5400-000017000000}"/>
    <hyperlink ref="B32" r:id="rId25" xr:uid="{00000000-0004-0000-5400-000018000000}"/>
    <hyperlink ref="B33" r:id="rId26" xr:uid="{00000000-0004-0000-5400-000019000000}"/>
    <hyperlink ref="B34" r:id="rId27" xr:uid="{00000000-0004-0000-5400-00001A000000}"/>
    <hyperlink ref="B35" r:id="rId28" xr:uid="{00000000-0004-0000-5400-00001B000000}"/>
    <hyperlink ref="B36" r:id="rId29" xr:uid="{00000000-0004-0000-5400-00001C000000}"/>
    <hyperlink ref="B37" r:id="rId30" xr:uid="{00000000-0004-0000-5400-00001D000000}"/>
    <hyperlink ref="B38" r:id="rId31" xr:uid="{00000000-0004-0000-5400-00001E000000}"/>
    <hyperlink ref="B40" r:id="rId32" xr:uid="{00000000-0004-0000-5400-00001F000000}"/>
    <hyperlink ref="B41" r:id="rId33" xr:uid="{00000000-0004-0000-5400-000020000000}"/>
    <hyperlink ref="B42" r:id="rId34" xr:uid="{00000000-0004-0000-5400-000021000000}"/>
    <hyperlink ref="B43" r:id="rId35" xr:uid="{00000000-0004-0000-5400-000022000000}"/>
    <hyperlink ref="B44" r:id="rId36" xr:uid="{00000000-0004-0000-5400-000023000000}"/>
    <hyperlink ref="B45" r:id="rId37" xr:uid="{00000000-0004-0000-5400-000024000000}"/>
    <hyperlink ref="B47" r:id="rId38" xr:uid="{00000000-0004-0000-5400-000025000000}"/>
    <hyperlink ref="B48" r:id="rId39" xr:uid="{00000000-0004-0000-5400-000026000000}"/>
    <hyperlink ref="B49" r:id="rId40" xr:uid="{00000000-0004-0000-5400-000027000000}"/>
    <hyperlink ref="B50" r:id="rId41" xr:uid="{00000000-0004-0000-5400-000028000000}"/>
    <hyperlink ref="B51" r:id="rId42" xr:uid="{00000000-0004-0000-5400-000029000000}"/>
    <hyperlink ref="B52" r:id="rId43" xr:uid="{00000000-0004-0000-5400-00002A000000}"/>
    <hyperlink ref="B53" r:id="rId44" xr:uid="{00000000-0004-0000-5400-00002B000000}"/>
    <hyperlink ref="B54" r:id="rId45" xr:uid="{00000000-0004-0000-5400-00002C000000}"/>
    <hyperlink ref="B55" r:id="rId46" xr:uid="{00000000-0004-0000-5400-00002D000000}"/>
    <hyperlink ref="B56" r:id="rId47" xr:uid="{00000000-0004-0000-5400-00002E000000}"/>
    <hyperlink ref="B57" r:id="rId48" xr:uid="{00000000-0004-0000-5400-00002F000000}"/>
    <hyperlink ref="B58" r:id="rId49" xr:uid="{00000000-0004-0000-5400-000030000000}"/>
    <hyperlink ref="B59" r:id="rId50" xr:uid="{00000000-0004-0000-5400-000031000000}"/>
    <hyperlink ref="B60" r:id="rId51" xr:uid="{00000000-0004-0000-5400-000032000000}"/>
    <hyperlink ref="B61" r:id="rId52" xr:uid="{00000000-0004-0000-5400-000033000000}"/>
    <hyperlink ref="B62" r:id="rId53" xr:uid="{00000000-0004-0000-5400-000034000000}"/>
    <hyperlink ref="B63" r:id="rId54" xr:uid="{00000000-0004-0000-5400-000035000000}"/>
    <hyperlink ref="B64" r:id="rId55" xr:uid="{00000000-0004-0000-5400-000036000000}"/>
    <hyperlink ref="B66" r:id="rId56" xr:uid="{00000000-0004-0000-5400-000037000000}"/>
    <hyperlink ref="B67" r:id="rId57" xr:uid="{00000000-0004-0000-5400-000038000000}"/>
    <hyperlink ref="B68" r:id="rId58" xr:uid="{00000000-0004-0000-5400-000039000000}"/>
    <hyperlink ref="B69" r:id="rId59" xr:uid="{00000000-0004-0000-5400-00003A000000}"/>
    <hyperlink ref="B71" r:id="rId60" xr:uid="{00000000-0004-0000-5400-00003B000000}"/>
    <hyperlink ref="B72" r:id="rId61" xr:uid="{00000000-0004-0000-5400-00003C000000}"/>
    <hyperlink ref="B73" r:id="rId62" xr:uid="{00000000-0004-0000-5400-00003D000000}"/>
    <hyperlink ref="B74" r:id="rId63" xr:uid="{00000000-0004-0000-5400-00003E000000}"/>
    <hyperlink ref="B75" r:id="rId64" xr:uid="{00000000-0004-0000-5400-00003F000000}"/>
    <hyperlink ref="B76" r:id="rId65" xr:uid="{00000000-0004-0000-5400-000040000000}"/>
    <hyperlink ref="B77" r:id="rId66" xr:uid="{00000000-0004-0000-5400-000041000000}"/>
    <hyperlink ref="B78" r:id="rId67" xr:uid="{00000000-0004-0000-5400-000042000000}"/>
    <hyperlink ref="B79" r:id="rId68" xr:uid="{00000000-0004-0000-5400-000043000000}"/>
    <hyperlink ref="B80" r:id="rId69" xr:uid="{00000000-0004-0000-5400-000044000000}"/>
    <hyperlink ref="B81" r:id="rId70" xr:uid="{00000000-0004-0000-5400-000045000000}"/>
    <hyperlink ref="B82" r:id="rId71" xr:uid="{00000000-0004-0000-5400-000046000000}"/>
    <hyperlink ref="B83" r:id="rId72" xr:uid="{00000000-0004-0000-5400-000047000000}"/>
    <hyperlink ref="B85" r:id="rId73" xr:uid="{00000000-0004-0000-5400-000048000000}"/>
    <hyperlink ref="B86" r:id="rId74" xr:uid="{00000000-0004-0000-5400-000049000000}"/>
    <hyperlink ref="B87" r:id="rId75" xr:uid="{00000000-0004-0000-5400-00004A000000}"/>
    <hyperlink ref="B88" r:id="rId76" xr:uid="{00000000-0004-0000-5400-00004B000000}"/>
    <hyperlink ref="B89" r:id="rId77" xr:uid="{00000000-0004-0000-5400-00004C000000}"/>
    <hyperlink ref="B90" r:id="rId78" xr:uid="{00000000-0004-0000-5400-00004D000000}"/>
    <hyperlink ref="B91" r:id="rId79" xr:uid="{00000000-0004-0000-5400-00004E000000}"/>
    <hyperlink ref="B92" r:id="rId80" xr:uid="{00000000-0004-0000-5400-00004F000000}"/>
    <hyperlink ref="B94" r:id="rId81" xr:uid="{00000000-0004-0000-5400-000050000000}"/>
    <hyperlink ref="B95" r:id="rId82" xr:uid="{00000000-0004-0000-5400-000051000000}"/>
    <hyperlink ref="B96" r:id="rId83" xr:uid="{00000000-0004-0000-5400-000052000000}"/>
    <hyperlink ref="B97" r:id="rId84" xr:uid="{00000000-0004-0000-5400-000053000000}"/>
    <hyperlink ref="B98" r:id="rId85" xr:uid="{00000000-0004-0000-5400-000054000000}"/>
    <hyperlink ref="B99" r:id="rId86" xr:uid="{00000000-0004-0000-5400-000055000000}"/>
    <hyperlink ref="B100" r:id="rId87" xr:uid="{00000000-0004-0000-5400-000056000000}"/>
    <hyperlink ref="B101" r:id="rId88" xr:uid="{00000000-0004-0000-5400-000057000000}"/>
    <hyperlink ref="B102" r:id="rId89" xr:uid="{00000000-0004-0000-5400-000058000000}"/>
    <hyperlink ref="B103" r:id="rId90" xr:uid="{00000000-0004-0000-5400-000059000000}"/>
    <hyperlink ref="B105" r:id="rId91" xr:uid="{00000000-0004-0000-5400-00005A000000}"/>
    <hyperlink ref="B106" r:id="rId92" xr:uid="{00000000-0004-0000-5400-00005B000000}"/>
    <hyperlink ref="B107" r:id="rId93" xr:uid="{00000000-0004-0000-5400-00005C000000}"/>
    <hyperlink ref="B108" r:id="rId94" xr:uid="{00000000-0004-0000-5400-00005D000000}"/>
    <hyperlink ref="B109" r:id="rId95" xr:uid="{00000000-0004-0000-5400-00005E000000}"/>
    <hyperlink ref="B110" r:id="rId96" xr:uid="{00000000-0004-0000-5400-00005F000000}"/>
    <hyperlink ref="B111" r:id="rId97" xr:uid="{00000000-0004-0000-5400-000060000000}"/>
    <hyperlink ref="B112" r:id="rId98" xr:uid="{00000000-0004-0000-5400-000061000000}"/>
    <hyperlink ref="B113" r:id="rId99" xr:uid="{00000000-0004-0000-5400-000062000000}"/>
    <hyperlink ref="B115" r:id="rId100" xr:uid="{00000000-0004-0000-5400-000063000000}"/>
    <hyperlink ref="B116" r:id="rId101" xr:uid="{00000000-0004-0000-5400-000064000000}"/>
    <hyperlink ref="B117" r:id="rId102" xr:uid="{00000000-0004-0000-5400-000065000000}"/>
    <hyperlink ref="B118" r:id="rId103" xr:uid="{00000000-0004-0000-5400-000066000000}"/>
    <hyperlink ref="B119" r:id="rId104" xr:uid="{00000000-0004-0000-5400-000067000000}"/>
    <hyperlink ref="B120" r:id="rId105" xr:uid="{00000000-0004-0000-5400-000068000000}"/>
    <hyperlink ref="B121" r:id="rId106" xr:uid="{00000000-0004-0000-5400-000069000000}"/>
    <hyperlink ref="B122" r:id="rId107" xr:uid="{00000000-0004-0000-5400-00006A000000}"/>
    <hyperlink ref="B123" r:id="rId108" xr:uid="{00000000-0004-0000-5400-00006B000000}"/>
    <hyperlink ref="B124" r:id="rId109" xr:uid="{00000000-0004-0000-5400-00006C000000}"/>
    <hyperlink ref="B125" r:id="rId110" xr:uid="{00000000-0004-0000-5400-00006D000000}"/>
    <hyperlink ref="B126" r:id="rId111" xr:uid="{00000000-0004-0000-5400-00006E000000}"/>
    <hyperlink ref="B127" r:id="rId112" xr:uid="{00000000-0004-0000-5400-00006F000000}"/>
    <hyperlink ref="B128" r:id="rId113" xr:uid="{00000000-0004-0000-5400-000070000000}"/>
    <hyperlink ref="B129" r:id="rId114" xr:uid="{00000000-0004-0000-5400-000071000000}"/>
    <hyperlink ref="B130" r:id="rId115" xr:uid="{00000000-0004-0000-5400-000072000000}"/>
    <hyperlink ref="B131" r:id="rId116" xr:uid="{00000000-0004-0000-5400-000073000000}"/>
    <hyperlink ref="B132" r:id="rId117" xr:uid="{00000000-0004-0000-5400-000074000000}"/>
    <hyperlink ref="B133" r:id="rId118" xr:uid="{00000000-0004-0000-5400-000075000000}"/>
    <hyperlink ref="B134" r:id="rId119" xr:uid="{00000000-0004-0000-5400-000076000000}"/>
    <hyperlink ref="B135" r:id="rId120" xr:uid="{00000000-0004-0000-5400-000077000000}"/>
    <hyperlink ref="B136" r:id="rId121" xr:uid="{00000000-0004-0000-5400-000078000000}"/>
    <hyperlink ref="B137" r:id="rId122" xr:uid="{00000000-0004-0000-5400-000079000000}"/>
    <hyperlink ref="B138" r:id="rId123" xr:uid="{00000000-0004-0000-5400-00007A000000}"/>
    <hyperlink ref="B139" r:id="rId124" xr:uid="{00000000-0004-0000-5400-00007B000000}"/>
    <hyperlink ref="B140" r:id="rId125" xr:uid="{00000000-0004-0000-5400-00007C000000}"/>
    <hyperlink ref="B141" r:id="rId126" xr:uid="{00000000-0004-0000-5400-00007D000000}"/>
    <hyperlink ref="B150" r:id="rId127" xr:uid="{00000000-0004-0000-5400-00007E000000}"/>
    <hyperlink ref="B151" r:id="rId128" xr:uid="{00000000-0004-0000-5400-00007F000000}"/>
    <hyperlink ref="B152" r:id="rId129" xr:uid="{00000000-0004-0000-5400-000080000000}"/>
    <hyperlink ref="B153" r:id="rId130" xr:uid="{00000000-0004-0000-5400-000081000000}"/>
    <hyperlink ref="B162" r:id="rId131" xr:uid="{00000000-0004-0000-5400-000082000000}"/>
    <hyperlink ref="B163" r:id="rId132" xr:uid="{00000000-0004-0000-5400-000083000000}"/>
    <hyperlink ref="B164" r:id="rId133" xr:uid="{00000000-0004-0000-5400-000084000000}"/>
    <hyperlink ref="B165" r:id="rId134" xr:uid="{00000000-0004-0000-5400-000085000000}"/>
    <hyperlink ref="B166" r:id="rId135" xr:uid="{00000000-0004-0000-5400-000086000000}"/>
    <hyperlink ref="B167" r:id="rId136" xr:uid="{00000000-0004-0000-5400-000087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6">
    <outlinePr summaryBelow="0" summaryRight="0"/>
  </sheetPr>
  <dimension ref="A1:J101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7" customWidth="1"/>
    <col min="3" max="3" width="9.6640625" customWidth="1"/>
    <col min="4" max="4" width="14.83203125" customWidth="1"/>
    <col min="5" max="5" width="14.33203125" customWidth="1"/>
  </cols>
  <sheetData>
    <row r="1" spans="1:10" ht="15.75" customHeight="1">
      <c r="A1" s="1" t="s">
        <v>85</v>
      </c>
      <c r="C1" s="80"/>
      <c r="D1" s="81" t="s">
        <v>181</v>
      </c>
      <c r="E1" s="5"/>
      <c r="F1" s="5"/>
      <c r="G1" s="5"/>
    </row>
    <row r="2" spans="1:10" ht="15.75" customHeight="1">
      <c r="A2" s="7" t="s">
        <v>182</v>
      </c>
      <c r="B2" s="123">
        <v>42860</v>
      </c>
      <c r="C2" s="80"/>
      <c r="D2" s="82">
        <f>SUM(D5:G183)</f>
        <v>0</v>
      </c>
      <c r="E2" s="5"/>
      <c r="F2" s="5"/>
      <c r="G2" s="5"/>
    </row>
    <row r="3" spans="1:10" ht="15.75" customHeight="1">
      <c r="C3" s="80"/>
      <c r="D3" s="5"/>
      <c r="E3" s="5"/>
      <c r="F3" s="5"/>
      <c r="G3" s="5"/>
    </row>
    <row r="4" spans="1:10" ht="15.75" customHeight="1">
      <c r="A4" s="42" t="s">
        <v>183</v>
      </c>
      <c r="B4" s="42" t="s">
        <v>184</v>
      </c>
      <c r="C4" s="48" t="s">
        <v>185</v>
      </c>
      <c r="D4" s="83" t="s">
        <v>186</v>
      </c>
      <c r="E4" s="84" t="s">
        <v>187</v>
      </c>
      <c r="F4" s="84" t="s">
        <v>188</v>
      </c>
      <c r="G4" s="85" t="s">
        <v>189</v>
      </c>
      <c r="H4" s="84" t="s">
        <v>190</v>
      </c>
      <c r="I4" s="85"/>
    </row>
    <row r="5" spans="1:10" ht="15.75" customHeight="1">
      <c r="A5" s="48" t="s">
        <v>6527</v>
      </c>
      <c r="B5" s="49" t="s">
        <v>346</v>
      </c>
      <c r="C5" s="48" t="s">
        <v>205</v>
      </c>
      <c r="D5" s="86"/>
      <c r="E5" s="87"/>
      <c r="F5" s="87"/>
      <c r="G5" s="87"/>
      <c r="H5" s="88"/>
      <c r="I5" s="88"/>
      <c r="J5" s="88"/>
    </row>
    <row r="6" spans="1:10" ht="15.75" customHeight="1">
      <c r="A6" s="48" t="s">
        <v>6528</v>
      </c>
      <c r="B6" s="49" t="s">
        <v>345</v>
      </c>
      <c r="C6" s="48" t="s">
        <v>205</v>
      </c>
      <c r="D6" s="48"/>
      <c r="E6" s="51"/>
      <c r="F6" s="5"/>
      <c r="G6" s="5"/>
      <c r="J6" s="88"/>
    </row>
    <row r="7" spans="1:10" ht="15.75" customHeight="1">
      <c r="A7" s="48" t="s">
        <v>6529</v>
      </c>
      <c r="B7" s="49" t="s">
        <v>328</v>
      </c>
      <c r="C7" s="48" t="s">
        <v>205</v>
      </c>
      <c r="D7" s="48"/>
      <c r="E7" s="51"/>
      <c r="F7" s="5"/>
      <c r="G7" s="5"/>
    </row>
    <row r="8" spans="1:10" ht="15.75" customHeight="1">
      <c r="A8" s="48" t="s">
        <v>6530</v>
      </c>
      <c r="B8" s="49" t="s">
        <v>4043</v>
      </c>
      <c r="C8" s="48" t="s">
        <v>205</v>
      </c>
      <c r="D8" s="48"/>
      <c r="E8" s="51"/>
      <c r="F8" s="5"/>
      <c r="G8" s="5"/>
    </row>
    <row r="9" spans="1:10" ht="15.75" customHeight="1">
      <c r="A9" s="48" t="s">
        <v>6531</v>
      </c>
      <c r="B9" s="49" t="s">
        <v>4044</v>
      </c>
      <c r="C9" s="48" t="s">
        <v>205</v>
      </c>
      <c r="D9" s="48"/>
      <c r="E9" s="51"/>
      <c r="F9" s="5"/>
      <c r="G9" s="5"/>
    </row>
    <row r="10" spans="1:10" ht="15.75" customHeight="1">
      <c r="A10" s="48" t="s">
        <v>6532</v>
      </c>
      <c r="B10" s="49" t="s">
        <v>5042</v>
      </c>
      <c r="C10" s="48" t="s">
        <v>205</v>
      </c>
      <c r="D10" s="48"/>
      <c r="E10" s="5"/>
      <c r="F10" s="5"/>
      <c r="G10" s="5"/>
    </row>
    <row r="11" spans="1:10" ht="15.75" customHeight="1">
      <c r="A11" s="48" t="s">
        <v>6533</v>
      </c>
      <c r="B11" s="49" t="s">
        <v>4758</v>
      </c>
      <c r="C11" s="48" t="s">
        <v>205</v>
      </c>
      <c r="D11" s="48"/>
      <c r="E11" s="5"/>
      <c r="F11" s="5"/>
      <c r="G11" s="5"/>
    </row>
    <row r="12" spans="1:10" ht="15.75" customHeight="1">
      <c r="A12" s="48" t="s">
        <v>6534</v>
      </c>
      <c r="B12" s="49" t="s">
        <v>6535</v>
      </c>
      <c r="C12" s="48" t="s">
        <v>205</v>
      </c>
      <c r="D12" s="48"/>
      <c r="E12" s="5"/>
      <c r="F12" s="5"/>
      <c r="G12" s="5"/>
    </row>
    <row r="13" spans="1:10" ht="15.75" customHeight="1">
      <c r="A13" s="48" t="s">
        <v>6536</v>
      </c>
      <c r="B13" s="49" t="s">
        <v>6247</v>
      </c>
      <c r="C13" s="48" t="s">
        <v>205</v>
      </c>
      <c r="D13" s="48"/>
      <c r="E13" s="51"/>
      <c r="F13" s="51"/>
      <c r="G13" s="5"/>
    </row>
    <row r="14" spans="1:10" ht="15.75" customHeight="1">
      <c r="A14" s="48" t="s">
        <v>6537</v>
      </c>
      <c r="B14" s="49" t="s">
        <v>4053</v>
      </c>
      <c r="C14" s="48" t="s">
        <v>199</v>
      </c>
      <c r="D14" s="48"/>
      <c r="E14" s="51"/>
      <c r="F14" s="51"/>
      <c r="G14" s="5"/>
    </row>
    <row r="15" spans="1:10" ht="15.75" customHeight="1">
      <c r="A15" s="48" t="s">
        <v>6538</v>
      </c>
      <c r="B15" s="49" t="s">
        <v>4086</v>
      </c>
      <c r="C15" s="48" t="s">
        <v>199</v>
      </c>
      <c r="D15" s="48"/>
      <c r="E15" s="51"/>
      <c r="F15" s="5"/>
      <c r="G15" s="5"/>
    </row>
    <row r="16" spans="1:10" ht="15.75" customHeight="1">
      <c r="A16" s="48" t="s">
        <v>6539</v>
      </c>
      <c r="B16" s="49" t="s">
        <v>4087</v>
      </c>
      <c r="C16" s="48" t="s">
        <v>199</v>
      </c>
      <c r="D16" s="48"/>
      <c r="E16" s="51"/>
      <c r="F16" s="5"/>
      <c r="G16" s="5"/>
    </row>
    <row r="17" spans="1:7" ht="15.75" customHeight="1">
      <c r="A17" s="48" t="s">
        <v>6540</v>
      </c>
      <c r="B17" s="49" t="s">
        <v>4088</v>
      </c>
      <c r="C17" s="48" t="s">
        <v>199</v>
      </c>
      <c r="D17" s="48"/>
      <c r="E17" s="5"/>
      <c r="F17" s="51"/>
      <c r="G17" s="5"/>
    </row>
    <row r="18" spans="1:7" ht="15.75" customHeight="1">
      <c r="A18" s="48" t="s">
        <v>6541</v>
      </c>
      <c r="B18" s="49" t="s">
        <v>6542</v>
      </c>
      <c r="C18" s="48" t="s">
        <v>199</v>
      </c>
      <c r="D18" s="48"/>
      <c r="E18" s="5"/>
      <c r="F18" s="5"/>
      <c r="G18" s="5"/>
    </row>
    <row r="19" spans="1:7" ht="15.75" customHeight="1">
      <c r="A19" s="48" t="s">
        <v>6543</v>
      </c>
      <c r="B19" s="49" t="s">
        <v>6366</v>
      </c>
      <c r="C19" s="48" t="s">
        <v>199</v>
      </c>
      <c r="D19" s="48"/>
      <c r="E19" s="5"/>
      <c r="F19" s="5"/>
      <c r="G19" s="5"/>
    </row>
    <row r="20" spans="1:7" ht="15.75" customHeight="1">
      <c r="A20" s="48" t="s">
        <v>6544</v>
      </c>
      <c r="B20" s="49" t="s">
        <v>6545</v>
      </c>
      <c r="C20" s="48" t="s">
        <v>199</v>
      </c>
      <c r="D20" s="48"/>
      <c r="E20" s="5"/>
      <c r="F20" s="5"/>
      <c r="G20" s="5"/>
    </row>
    <row r="21" spans="1:7" ht="15.75" customHeight="1">
      <c r="A21" s="48" t="s">
        <v>6546</v>
      </c>
      <c r="B21" s="49" t="s">
        <v>6214</v>
      </c>
      <c r="C21" s="48" t="s">
        <v>199</v>
      </c>
      <c r="D21" s="48"/>
      <c r="E21" s="51"/>
      <c r="F21" s="5"/>
      <c r="G21" s="5"/>
    </row>
    <row r="22" spans="1:7" ht="15.75" customHeight="1">
      <c r="A22" s="48" t="s">
        <v>6547</v>
      </c>
      <c r="B22" s="58" t="str">
        <f>HYPERLINK("https://bulbapedia.bulbagarden.net/wiki/Turtonator-GX_(Guardians_Rising_18)","TurtonatorGX")</f>
        <v>TurtonatorGX</v>
      </c>
      <c r="C22" s="48" t="s">
        <v>199</v>
      </c>
      <c r="D22" s="47"/>
      <c r="E22" s="5"/>
      <c r="F22" s="5"/>
      <c r="G22" s="5"/>
    </row>
    <row r="23" spans="1:7" ht="15.75" customHeight="1">
      <c r="A23" s="48" t="s">
        <v>6548</v>
      </c>
      <c r="B23" s="49" t="s">
        <v>6549</v>
      </c>
      <c r="C23" s="48" t="s">
        <v>208</v>
      </c>
      <c r="D23" s="48"/>
      <c r="E23" s="5"/>
      <c r="F23" s="5"/>
      <c r="G23" s="5"/>
    </row>
    <row r="24" spans="1:7" ht="15.75" customHeight="1">
      <c r="A24" s="48" t="s">
        <v>6550</v>
      </c>
      <c r="B24" s="49" t="s">
        <v>6549</v>
      </c>
      <c r="C24" s="48" t="s">
        <v>208</v>
      </c>
      <c r="D24" s="48"/>
      <c r="E24" s="5"/>
      <c r="F24" s="51"/>
      <c r="G24" s="5"/>
    </row>
    <row r="25" spans="1:7" ht="15.75" customHeight="1">
      <c r="A25" s="48" t="s">
        <v>6551</v>
      </c>
      <c r="B25" s="49" t="s">
        <v>6337</v>
      </c>
      <c r="C25" s="48" t="s">
        <v>208</v>
      </c>
      <c r="D25" s="48"/>
      <c r="E25" s="5"/>
      <c r="F25" s="5"/>
      <c r="G25" s="5"/>
    </row>
    <row r="26" spans="1:7" ht="15.75" customHeight="1">
      <c r="A26" s="48" t="s">
        <v>6552</v>
      </c>
      <c r="B26" s="49" t="s">
        <v>6553</v>
      </c>
      <c r="C26" s="48" t="s">
        <v>208</v>
      </c>
      <c r="D26" s="48"/>
      <c r="E26" s="51"/>
      <c r="F26" s="5"/>
      <c r="G26" s="5"/>
    </row>
    <row r="27" spans="1:7" ht="15.75" customHeight="1">
      <c r="A27" s="48" t="s">
        <v>6554</v>
      </c>
      <c r="B27" s="49" t="s">
        <v>6553</v>
      </c>
      <c r="C27" s="48" t="s">
        <v>208</v>
      </c>
      <c r="D27" s="48"/>
      <c r="E27" s="51"/>
      <c r="F27" s="51"/>
      <c r="G27" s="5"/>
    </row>
    <row r="28" spans="1:7" ht="15.75" customHeight="1">
      <c r="A28" s="48" t="s">
        <v>6555</v>
      </c>
      <c r="B28" s="58" t="str">
        <f>HYPERLINK("https://bulbapedia.bulbagarden.net/wiki/Alolan_Ninetales-GX_(Guardians_Rising_22)","Alolan NinetalesGX")</f>
        <v>Alolan NinetalesGX</v>
      </c>
      <c r="C28" s="48" t="s">
        <v>208</v>
      </c>
      <c r="D28" s="48"/>
      <c r="E28" s="5"/>
      <c r="F28" s="5"/>
      <c r="G28" s="5"/>
    </row>
    <row r="29" spans="1:7" ht="15.75" customHeight="1">
      <c r="A29" s="48" t="s">
        <v>6556</v>
      </c>
      <c r="B29" s="49" t="s">
        <v>388</v>
      </c>
      <c r="C29" s="48" t="s">
        <v>208</v>
      </c>
      <c r="D29" s="48"/>
      <c r="E29" s="5"/>
      <c r="F29" s="5"/>
      <c r="G29" s="5"/>
    </row>
    <row r="30" spans="1:7" ht="15.75" customHeight="1">
      <c r="A30" s="48" t="s">
        <v>6557</v>
      </c>
      <c r="B30" s="49" t="s">
        <v>377</v>
      </c>
      <c r="C30" s="48" t="s">
        <v>208</v>
      </c>
      <c r="D30" s="48"/>
      <c r="E30" s="5"/>
      <c r="F30" s="5"/>
      <c r="G30" s="5"/>
    </row>
    <row r="31" spans="1:7" ht="15.75" customHeight="1">
      <c r="A31" s="48" t="s">
        <v>6558</v>
      </c>
      <c r="B31" s="49" t="s">
        <v>940</v>
      </c>
      <c r="C31" s="48" t="s">
        <v>208</v>
      </c>
      <c r="D31" s="48"/>
      <c r="E31" s="5"/>
      <c r="F31" s="51"/>
      <c r="G31" s="5"/>
    </row>
    <row r="32" spans="1:7" ht="15.75" customHeight="1">
      <c r="A32" s="48" t="s">
        <v>6559</v>
      </c>
      <c r="B32" s="49" t="s">
        <v>970</v>
      </c>
      <c r="C32" s="48" t="s">
        <v>208</v>
      </c>
      <c r="D32" s="48"/>
      <c r="E32" s="51"/>
      <c r="F32" s="5"/>
      <c r="G32" s="5"/>
    </row>
    <row r="33" spans="1:7" ht="15.75" customHeight="1">
      <c r="A33" s="48" t="s">
        <v>6560</v>
      </c>
      <c r="B33" s="49" t="s">
        <v>1288</v>
      </c>
      <c r="C33" s="48" t="s">
        <v>208</v>
      </c>
      <c r="D33" s="48"/>
      <c r="E33" s="51"/>
      <c r="F33" s="5"/>
      <c r="G33" s="5"/>
    </row>
    <row r="34" spans="1:7" ht="15.75" customHeight="1">
      <c r="A34" s="48" t="s">
        <v>6561</v>
      </c>
      <c r="B34" s="49" t="s">
        <v>1246</v>
      </c>
      <c r="C34" s="48" t="s">
        <v>208</v>
      </c>
      <c r="D34" s="48"/>
      <c r="E34" s="51"/>
      <c r="F34" s="5"/>
      <c r="G34" s="5"/>
    </row>
    <row r="35" spans="1:7" ht="15.75" customHeight="1">
      <c r="A35" s="48" t="s">
        <v>6562</v>
      </c>
      <c r="B35" s="49" t="s">
        <v>1284</v>
      </c>
      <c r="C35" s="48" t="s">
        <v>208</v>
      </c>
      <c r="D35" s="48"/>
      <c r="E35" s="5"/>
      <c r="F35" s="5"/>
      <c r="G35" s="5"/>
    </row>
    <row r="36" spans="1:7" ht="15.75" customHeight="1">
      <c r="A36" s="48" t="s">
        <v>6563</v>
      </c>
      <c r="B36" s="49" t="s">
        <v>1234</v>
      </c>
      <c r="C36" s="48" t="s">
        <v>208</v>
      </c>
      <c r="D36" s="48"/>
      <c r="E36" s="51"/>
      <c r="F36" s="5"/>
      <c r="G36" s="5"/>
    </row>
    <row r="37" spans="1:7" ht="15.75" customHeight="1">
      <c r="A37" s="48" t="s">
        <v>6564</v>
      </c>
      <c r="B37" s="49" t="s">
        <v>1550</v>
      </c>
      <c r="C37" s="48" t="s">
        <v>208</v>
      </c>
      <c r="D37" s="48"/>
      <c r="E37" s="51"/>
      <c r="F37" s="5"/>
      <c r="G37" s="5"/>
    </row>
    <row r="38" spans="1:7" ht="15.75" customHeight="1">
      <c r="A38" s="48" t="s">
        <v>6565</v>
      </c>
      <c r="B38" s="49" t="s">
        <v>1839</v>
      </c>
      <c r="C38" s="48" t="s">
        <v>208</v>
      </c>
      <c r="D38" s="48"/>
      <c r="E38" s="5"/>
      <c r="F38" s="5"/>
      <c r="G38" s="5"/>
    </row>
    <row r="39" spans="1:7" ht="15.75" customHeight="1">
      <c r="A39" s="48" t="s">
        <v>6566</v>
      </c>
      <c r="B39" s="49" t="s">
        <v>4064</v>
      </c>
      <c r="C39" s="48" t="s">
        <v>208</v>
      </c>
      <c r="D39" s="48"/>
      <c r="E39" s="5"/>
      <c r="F39" s="5"/>
      <c r="G39" s="5"/>
    </row>
    <row r="40" spans="1:7" ht="15.75" customHeight="1">
      <c r="A40" s="48" t="s">
        <v>6567</v>
      </c>
      <c r="B40" s="49" t="s">
        <v>4065</v>
      </c>
      <c r="C40" s="48" t="s">
        <v>208</v>
      </c>
      <c r="D40" s="48"/>
      <c r="E40" s="51"/>
      <c r="F40" s="5"/>
      <c r="G40" s="5"/>
    </row>
    <row r="41" spans="1:7" ht="15.75" customHeight="1">
      <c r="A41" s="48" t="s">
        <v>6568</v>
      </c>
      <c r="B41" s="49" t="s">
        <v>4066</v>
      </c>
      <c r="C41" s="48" t="s">
        <v>208</v>
      </c>
      <c r="D41" s="48"/>
      <c r="E41" s="51"/>
      <c r="F41" s="5"/>
      <c r="G41" s="5"/>
    </row>
    <row r="42" spans="1:7" ht="15.75" customHeight="1">
      <c r="A42" s="48" t="s">
        <v>6569</v>
      </c>
      <c r="B42" s="49" t="s">
        <v>4032</v>
      </c>
      <c r="C42" s="48" t="s">
        <v>208</v>
      </c>
      <c r="D42" s="48"/>
      <c r="E42" s="51"/>
      <c r="F42" s="5"/>
      <c r="G42" s="5"/>
    </row>
    <row r="43" spans="1:7" ht="15.75" customHeight="1">
      <c r="A43" s="48" t="s">
        <v>6570</v>
      </c>
      <c r="B43" s="49" t="s">
        <v>6477</v>
      </c>
      <c r="C43" s="48" t="s">
        <v>208</v>
      </c>
      <c r="D43" s="48"/>
      <c r="E43" s="5"/>
      <c r="F43" s="5"/>
      <c r="G43" s="5"/>
    </row>
    <row r="44" spans="1:7" ht="15.75" customHeight="1">
      <c r="A44" s="48" t="s">
        <v>6571</v>
      </c>
      <c r="B44" s="58" t="str">
        <f>HYPERLINK("https://bulbapedia.bulbagarden.net/wiki/Wishiwashi-GX_(Guardians_Rising_38)","WishiwashiGX")</f>
        <v>WishiwashiGX</v>
      </c>
      <c r="C44" s="48" t="s">
        <v>208</v>
      </c>
      <c r="D44" s="48"/>
      <c r="E44" s="5"/>
      <c r="F44" s="5"/>
      <c r="G44" s="5"/>
    </row>
    <row r="45" spans="1:7" ht="15.75" customHeight="1">
      <c r="A45" s="48" t="s">
        <v>6572</v>
      </c>
      <c r="B45" s="49" t="s">
        <v>6485</v>
      </c>
      <c r="C45" s="48" t="s">
        <v>208</v>
      </c>
      <c r="D45" s="48"/>
      <c r="E45" s="5"/>
      <c r="F45" s="5"/>
      <c r="G45" s="5"/>
    </row>
    <row r="46" spans="1:7" ht="15.75" customHeight="1">
      <c r="A46" s="48" t="s">
        <v>6573</v>
      </c>
      <c r="B46" s="49" t="s">
        <v>6574</v>
      </c>
      <c r="C46" s="48" t="s">
        <v>192</v>
      </c>
      <c r="D46" s="48"/>
      <c r="E46" s="51"/>
      <c r="F46" s="5"/>
      <c r="G46" s="5"/>
    </row>
    <row r="47" spans="1:7" ht="15.75" customHeight="1">
      <c r="A47" s="48" t="s">
        <v>6575</v>
      </c>
      <c r="B47" s="49" t="s">
        <v>6576</v>
      </c>
      <c r="C47" s="48" t="s">
        <v>192</v>
      </c>
      <c r="D47" s="48"/>
      <c r="E47" s="51"/>
      <c r="F47" s="5"/>
      <c r="G47" s="5"/>
    </row>
    <row r="48" spans="1:7" ht="15.75" customHeight="1">
      <c r="A48" s="48" t="s">
        <v>6577</v>
      </c>
      <c r="B48" s="49" t="s">
        <v>6578</v>
      </c>
      <c r="C48" s="48" t="s">
        <v>192</v>
      </c>
      <c r="D48" s="48"/>
      <c r="E48" s="51"/>
      <c r="F48" s="51"/>
      <c r="G48" s="5"/>
    </row>
    <row r="49" spans="1:7" ht="15.75" customHeight="1">
      <c r="A49" s="48" t="s">
        <v>6579</v>
      </c>
      <c r="B49" s="49" t="s">
        <v>5093</v>
      </c>
      <c r="C49" s="48" t="s">
        <v>192</v>
      </c>
      <c r="D49" s="48"/>
      <c r="E49" s="5"/>
      <c r="F49" s="5"/>
      <c r="G49" s="5"/>
    </row>
    <row r="50" spans="1:7" ht="15.75" customHeight="1">
      <c r="A50" s="48" t="s">
        <v>6580</v>
      </c>
      <c r="B50" s="49" t="s">
        <v>4797</v>
      </c>
      <c r="C50" s="48" t="s">
        <v>192</v>
      </c>
      <c r="D50" s="48"/>
      <c r="E50" s="51"/>
      <c r="F50" s="5"/>
      <c r="G50" s="5"/>
    </row>
    <row r="51" spans="1:7" ht="15.75" customHeight="1">
      <c r="A51" s="48" t="s">
        <v>6581</v>
      </c>
      <c r="B51" s="58" t="str">
        <f>HYPERLINK("https://bulbapedia.bulbagarden.net/wiki/Vikavolt-GX_(Guardians_Rising_45)","VikavoltGX")</f>
        <v>VikavoltGX</v>
      </c>
      <c r="C51" s="48" t="s">
        <v>192</v>
      </c>
      <c r="D51" s="48"/>
      <c r="E51" s="5"/>
      <c r="F51" s="5"/>
      <c r="G51" s="5"/>
    </row>
    <row r="52" spans="1:7" ht="15.75" customHeight="1">
      <c r="A52" s="48" t="s">
        <v>6582</v>
      </c>
      <c r="B52" s="49" t="s">
        <v>6542</v>
      </c>
      <c r="C52" s="48" t="s">
        <v>192</v>
      </c>
      <c r="D52" s="48"/>
      <c r="E52" s="5"/>
      <c r="F52" s="5"/>
      <c r="G52" s="5"/>
    </row>
    <row r="53" spans="1:7" ht="13">
      <c r="A53" s="48" t="s">
        <v>6583</v>
      </c>
      <c r="B53" s="58" t="str">
        <f>HYPERLINK("https://bulbapedia.bulbagarden.net/wiki/Tapu_Koko-GX_(Guardians_Rising_47)","Tapu KokoGX")</f>
        <v>Tapu KokoGX</v>
      </c>
      <c r="C53" s="48" t="s">
        <v>192</v>
      </c>
      <c r="D53" s="48"/>
      <c r="E53" s="5"/>
      <c r="F53" s="5"/>
      <c r="G53" s="5"/>
    </row>
    <row r="54" spans="1:7" ht="13">
      <c r="A54" s="48" t="s">
        <v>6584</v>
      </c>
      <c r="B54" s="49" t="s">
        <v>387</v>
      </c>
      <c r="C54" s="48" t="s">
        <v>195</v>
      </c>
      <c r="D54" s="48"/>
      <c r="E54" s="51"/>
      <c r="F54" s="5"/>
      <c r="G54" s="5"/>
    </row>
    <row r="55" spans="1:7" ht="13">
      <c r="A55" s="48" t="s">
        <v>6585</v>
      </c>
      <c r="B55" s="49" t="s">
        <v>376</v>
      </c>
      <c r="C55" s="48" t="s">
        <v>195</v>
      </c>
      <c r="D55" s="48"/>
      <c r="E55" s="51"/>
      <c r="F55" s="5"/>
      <c r="G55" s="5"/>
    </row>
    <row r="56" spans="1:7" ht="13">
      <c r="A56" s="48" t="s">
        <v>6586</v>
      </c>
      <c r="B56" s="49" t="s">
        <v>4079</v>
      </c>
      <c r="C56" s="48" t="s">
        <v>195</v>
      </c>
      <c r="D56" s="48"/>
      <c r="E56" s="51"/>
      <c r="F56" s="5"/>
      <c r="G56" s="5"/>
    </row>
    <row r="57" spans="1:7" ht="13">
      <c r="A57" s="48" t="s">
        <v>6587</v>
      </c>
      <c r="B57" s="49" t="s">
        <v>4080</v>
      </c>
      <c r="C57" s="48" t="s">
        <v>195</v>
      </c>
      <c r="D57" s="48"/>
      <c r="E57" s="51"/>
      <c r="F57" s="5"/>
      <c r="G57" s="5"/>
    </row>
    <row r="58" spans="1:7" ht="13">
      <c r="A58" s="48" t="s">
        <v>6588</v>
      </c>
      <c r="B58" s="49" t="s">
        <v>4080</v>
      </c>
      <c r="C58" s="48" t="s">
        <v>195</v>
      </c>
      <c r="D58" s="48"/>
      <c r="E58" s="5"/>
      <c r="F58" s="51"/>
      <c r="G58" s="5"/>
    </row>
    <row r="59" spans="1:7" ht="13">
      <c r="A59" s="48" t="s">
        <v>6589</v>
      </c>
      <c r="B59" s="49" t="s">
        <v>4247</v>
      </c>
      <c r="C59" s="48" t="s">
        <v>195</v>
      </c>
      <c r="D59" s="48"/>
      <c r="E59" s="51"/>
      <c r="F59" s="5"/>
      <c r="G59" s="5"/>
    </row>
    <row r="60" spans="1:7" ht="13">
      <c r="A60" s="48" t="s">
        <v>6590</v>
      </c>
      <c r="B60" s="49" t="s">
        <v>4249</v>
      </c>
      <c r="C60" s="48" t="s">
        <v>195</v>
      </c>
      <c r="D60" s="48"/>
      <c r="E60" s="51"/>
      <c r="F60" s="5"/>
      <c r="G60" s="5"/>
    </row>
    <row r="61" spans="1:7" ht="13">
      <c r="A61" s="48" t="s">
        <v>6591</v>
      </c>
      <c r="B61" s="49" t="s">
        <v>4251</v>
      </c>
      <c r="C61" s="48" t="s">
        <v>195</v>
      </c>
      <c r="D61" s="47"/>
      <c r="E61" s="5"/>
      <c r="F61" s="5"/>
      <c r="G61" s="5"/>
    </row>
    <row r="62" spans="1:7" ht="13">
      <c r="A62" s="48" t="s">
        <v>6592</v>
      </c>
      <c r="B62" s="49" t="s">
        <v>6542</v>
      </c>
      <c r="C62" s="48" t="s">
        <v>195</v>
      </c>
      <c r="D62" s="48"/>
      <c r="E62" s="5"/>
      <c r="F62" s="5"/>
      <c r="G62" s="5"/>
    </row>
    <row r="63" spans="1:7" ht="13">
      <c r="A63" s="48" t="s">
        <v>6593</v>
      </c>
      <c r="B63" s="49" t="s">
        <v>6542</v>
      </c>
      <c r="C63" s="48" t="s">
        <v>195</v>
      </c>
      <c r="D63" s="48"/>
      <c r="E63" s="5"/>
      <c r="F63" s="5"/>
      <c r="G63" s="51"/>
    </row>
    <row r="64" spans="1:7" ht="13">
      <c r="A64" s="48" t="s">
        <v>6594</v>
      </c>
      <c r="B64" s="58" t="str">
        <f>HYPERLINK("https://bulbapedia.bulbagarden.net/wiki/Toxapex-GX_(Guardians_Rising_57)","ToxapexGX")</f>
        <v>ToxapexGX</v>
      </c>
      <c r="C64" s="48" t="s">
        <v>195</v>
      </c>
      <c r="D64" s="48"/>
      <c r="E64" s="5"/>
      <c r="F64" s="5"/>
      <c r="G64" s="5"/>
    </row>
    <row r="65" spans="1:7" ht="13">
      <c r="A65" s="48" t="s">
        <v>6595</v>
      </c>
      <c r="B65" s="49" t="s">
        <v>6218</v>
      </c>
      <c r="C65" s="48" t="s">
        <v>195</v>
      </c>
      <c r="D65" s="47"/>
      <c r="E65" s="51"/>
      <c r="F65" s="5"/>
      <c r="G65" s="5"/>
    </row>
    <row r="66" spans="1:7" ht="13">
      <c r="A66" s="48" t="s">
        <v>6596</v>
      </c>
      <c r="B66" s="49" t="s">
        <v>6249</v>
      </c>
      <c r="C66" s="48" t="s">
        <v>195</v>
      </c>
      <c r="D66" s="47"/>
      <c r="E66" s="5"/>
      <c r="F66" s="5"/>
      <c r="G66" s="5"/>
    </row>
    <row r="67" spans="1:7" ht="13">
      <c r="A67" s="48" t="s">
        <v>6597</v>
      </c>
      <c r="B67" s="58" t="str">
        <f t="shared" ref="B67:B68" si="0">HYPERLINK("https://bulbapedia.bulbagarden.net/wiki/Tapu_Lele-GX_(Guardians_Rising_60)","Tapu LeleGX")</f>
        <v>Tapu LeleGX</v>
      </c>
      <c r="C67" s="48" t="s">
        <v>195</v>
      </c>
      <c r="D67" s="48"/>
      <c r="E67" s="5"/>
      <c r="F67" s="5"/>
      <c r="G67" s="5"/>
    </row>
    <row r="68" spans="1:7" ht="13">
      <c r="A68" s="48" t="s">
        <v>6598</v>
      </c>
      <c r="B68" s="58" t="str">
        <f t="shared" si="0"/>
        <v>Tapu LeleGX</v>
      </c>
      <c r="C68" s="48" t="s">
        <v>195</v>
      </c>
      <c r="D68" s="48"/>
      <c r="E68" s="5"/>
      <c r="F68" s="5"/>
      <c r="G68" s="5"/>
    </row>
    <row r="69" spans="1:7" ht="13">
      <c r="A69" s="48" t="s">
        <v>6599</v>
      </c>
      <c r="B69" s="49" t="s">
        <v>6600</v>
      </c>
      <c r="C69" s="48" t="s">
        <v>195</v>
      </c>
      <c r="D69" s="47"/>
      <c r="E69" s="51"/>
      <c r="F69" s="5"/>
      <c r="G69" s="5"/>
    </row>
    <row r="70" spans="1:7" ht="13">
      <c r="A70" s="48" t="s">
        <v>6601</v>
      </c>
      <c r="B70" s="49" t="s">
        <v>284</v>
      </c>
      <c r="C70" s="48" t="s">
        <v>225</v>
      </c>
      <c r="D70" s="48"/>
      <c r="E70" s="51"/>
      <c r="F70" s="5"/>
      <c r="G70" s="5"/>
    </row>
    <row r="71" spans="1:7" ht="13">
      <c r="A71" s="48" t="s">
        <v>6602</v>
      </c>
      <c r="B71" s="49" t="s">
        <v>284</v>
      </c>
      <c r="C71" s="48" t="s">
        <v>225</v>
      </c>
      <c r="D71" s="48"/>
      <c r="E71" s="5"/>
      <c r="F71" s="5"/>
      <c r="G71" s="5"/>
    </row>
    <row r="72" spans="1:7" ht="13">
      <c r="A72" s="48" t="s">
        <v>6603</v>
      </c>
      <c r="B72" s="49" t="s">
        <v>267</v>
      </c>
      <c r="C72" s="48" t="s">
        <v>225</v>
      </c>
      <c r="D72" s="48"/>
      <c r="E72" s="5"/>
      <c r="F72" s="5"/>
      <c r="G72" s="5"/>
    </row>
    <row r="73" spans="1:7" ht="13">
      <c r="A73" s="48" t="s">
        <v>6604</v>
      </c>
      <c r="B73" s="49" t="s">
        <v>230</v>
      </c>
      <c r="C73" s="48" t="s">
        <v>225</v>
      </c>
      <c r="D73" s="48"/>
      <c r="E73" s="5"/>
      <c r="F73" s="51"/>
      <c r="G73" s="5"/>
    </row>
    <row r="74" spans="1:7" ht="13">
      <c r="A74" s="48" t="s">
        <v>6605</v>
      </c>
      <c r="B74" s="49" t="s">
        <v>897</v>
      </c>
      <c r="C74" s="48" t="s">
        <v>225</v>
      </c>
      <c r="D74" s="48"/>
      <c r="E74" s="51"/>
      <c r="F74" s="5"/>
      <c r="G74" s="5"/>
    </row>
    <row r="75" spans="1:7" ht="13">
      <c r="A75" s="48" t="s">
        <v>6606</v>
      </c>
      <c r="B75" s="49" t="s">
        <v>867</v>
      </c>
      <c r="C75" s="48" t="s">
        <v>225</v>
      </c>
      <c r="D75" s="48"/>
      <c r="E75" s="5"/>
      <c r="F75" s="5"/>
      <c r="G75" s="5"/>
    </row>
    <row r="76" spans="1:7" ht="13">
      <c r="A76" s="48" t="s">
        <v>6607</v>
      </c>
      <c r="B76" s="49" t="s">
        <v>3082</v>
      </c>
      <c r="C76" s="48" t="s">
        <v>225</v>
      </c>
      <c r="D76" s="48"/>
      <c r="E76" s="51"/>
      <c r="F76" s="5"/>
      <c r="G76" s="5"/>
    </row>
    <row r="77" spans="1:7" ht="13">
      <c r="A77" s="48" t="s">
        <v>6608</v>
      </c>
      <c r="B77" s="49" t="s">
        <v>1240</v>
      </c>
      <c r="C77" s="48" t="s">
        <v>225</v>
      </c>
      <c r="D77" s="48"/>
      <c r="E77" s="51"/>
      <c r="F77" s="5"/>
      <c r="G77" s="5"/>
    </row>
    <row r="78" spans="1:7" ht="13">
      <c r="A78" s="48" t="s">
        <v>6609</v>
      </c>
      <c r="B78" s="49" t="s">
        <v>1559</v>
      </c>
      <c r="C78" s="48" t="s">
        <v>225</v>
      </c>
      <c r="D78" s="48"/>
      <c r="E78" s="51"/>
      <c r="F78" s="5"/>
      <c r="G78" s="5"/>
    </row>
    <row r="79" spans="1:7" ht="13">
      <c r="A79" s="48" t="s">
        <v>6610</v>
      </c>
      <c r="B79" s="49" t="s">
        <v>1555</v>
      </c>
      <c r="C79" s="48" t="s">
        <v>225</v>
      </c>
      <c r="D79" s="48"/>
      <c r="E79" s="5"/>
      <c r="F79" s="5"/>
      <c r="G79" s="5"/>
    </row>
    <row r="80" spans="1:7" ht="13">
      <c r="A80" s="48" t="s">
        <v>6611</v>
      </c>
      <c r="B80" s="49" t="s">
        <v>5121</v>
      </c>
      <c r="C80" s="48" t="s">
        <v>225</v>
      </c>
      <c r="D80" s="48"/>
      <c r="E80" s="51"/>
      <c r="F80" s="5"/>
      <c r="G80" s="5"/>
    </row>
    <row r="81" spans="1:7" ht="13">
      <c r="A81" s="48" t="s">
        <v>6612</v>
      </c>
      <c r="B81" s="49" t="s">
        <v>6329</v>
      </c>
      <c r="C81" s="48" t="s">
        <v>225</v>
      </c>
      <c r="D81" s="48"/>
      <c r="E81" s="51"/>
      <c r="F81" s="5"/>
      <c r="G81" s="5"/>
    </row>
    <row r="82" spans="1:7" ht="13">
      <c r="A82" s="48" t="s">
        <v>6613</v>
      </c>
      <c r="B82" s="58" t="str">
        <f>HYPERLINK("https://bulbapedia.bulbagarden.net/wiki/Lycanroc-GX_(Guardians_Rising_74)","LycanrocGX")</f>
        <v>LycanrocGX</v>
      </c>
      <c r="C82" s="48" t="s">
        <v>225</v>
      </c>
      <c r="D82" s="47"/>
      <c r="E82" s="5"/>
      <c r="F82" s="5"/>
      <c r="G82" s="5"/>
    </row>
    <row r="83" spans="1:7" ht="13">
      <c r="A83" s="48" t="s">
        <v>6614</v>
      </c>
      <c r="B83" s="49" t="s">
        <v>6615</v>
      </c>
      <c r="C83" s="48" t="s">
        <v>225</v>
      </c>
      <c r="D83" s="48"/>
      <c r="E83" s="5"/>
      <c r="F83" s="5"/>
      <c r="G83" s="5"/>
    </row>
    <row r="84" spans="1:7" ht="13">
      <c r="A84" s="48" t="s">
        <v>6616</v>
      </c>
      <c r="B84" s="49" t="s">
        <v>6617</v>
      </c>
      <c r="C84" s="48" t="s">
        <v>225</v>
      </c>
      <c r="D84" s="47"/>
      <c r="E84" s="51"/>
      <c r="F84" s="5"/>
      <c r="G84" s="5"/>
    </row>
    <row r="85" spans="1:7" ht="13">
      <c r="A85" s="48" t="s">
        <v>6618</v>
      </c>
      <c r="B85" s="49" t="s">
        <v>6619</v>
      </c>
      <c r="C85" s="48" t="s">
        <v>225</v>
      </c>
      <c r="D85" s="48"/>
      <c r="E85" s="51"/>
      <c r="F85" s="51"/>
      <c r="G85" s="5"/>
    </row>
    <row r="86" spans="1:7" ht="13">
      <c r="A86" s="48" t="s">
        <v>6620</v>
      </c>
      <c r="B86" s="49" t="s">
        <v>807</v>
      </c>
      <c r="C86" s="48" t="s">
        <v>808</v>
      </c>
      <c r="D86" s="48"/>
      <c r="E86" s="51"/>
      <c r="F86" s="5"/>
      <c r="G86" s="5"/>
    </row>
    <row r="87" spans="1:7" ht="13">
      <c r="A87" s="48" t="s">
        <v>6621</v>
      </c>
      <c r="B87" s="49" t="s">
        <v>3169</v>
      </c>
      <c r="C87" s="48" t="s">
        <v>808</v>
      </c>
      <c r="D87" s="48"/>
      <c r="E87" s="51"/>
      <c r="F87" s="5"/>
      <c r="G87" s="5"/>
    </row>
    <row r="88" spans="1:7" ht="13">
      <c r="A88" s="48" t="s">
        <v>6622</v>
      </c>
      <c r="B88" s="49" t="s">
        <v>1370</v>
      </c>
      <c r="C88" s="48" t="s">
        <v>808</v>
      </c>
      <c r="D88" s="48"/>
      <c r="E88" s="5"/>
      <c r="F88" s="5"/>
      <c r="G88" s="5"/>
    </row>
    <row r="89" spans="1:7" ht="13">
      <c r="A89" s="48" t="s">
        <v>6623</v>
      </c>
      <c r="B89" s="49" t="s">
        <v>1491</v>
      </c>
      <c r="C89" s="48" t="s">
        <v>808</v>
      </c>
      <c r="D89" s="47"/>
      <c r="E89" s="51"/>
      <c r="F89" s="5"/>
      <c r="G89" s="5"/>
    </row>
    <row r="90" spans="1:7" ht="13">
      <c r="A90" s="48" t="s">
        <v>6624</v>
      </c>
      <c r="B90" s="49" t="s">
        <v>4802</v>
      </c>
      <c r="C90" s="48" t="s">
        <v>808</v>
      </c>
      <c r="D90" s="48"/>
      <c r="E90" s="51"/>
      <c r="F90" s="5"/>
      <c r="G90" s="5"/>
    </row>
    <row r="91" spans="1:7" ht="13">
      <c r="A91" s="48" t="s">
        <v>6625</v>
      </c>
      <c r="B91" s="49" t="s">
        <v>1197</v>
      </c>
      <c r="C91" s="48" t="s">
        <v>220</v>
      </c>
      <c r="D91" s="48"/>
      <c r="E91" s="51"/>
      <c r="F91" s="5"/>
      <c r="G91" s="5"/>
    </row>
    <row r="92" spans="1:7" ht="13">
      <c r="A92" s="48" t="s">
        <v>6626</v>
      </c>
      <c r="B92" s="49" t="s">
        <v>1198</v>
      </c>
      <c r="C92" s="48" t="s">
        <v>220</v>
      </c>
      <c r="D92" s="48"/>
      <c r="E92" s="51"/>
      <c r="F92" s="5"/>
      <c r="G92" s="5"/>
    </row>
    <row r="93" spans="1:7" ht="13">
      <c r="A93" s="48" t="s">
        <v>6627</v>
      </c>
      <c r="B93" s="58" t="str">
        <f>HYPERLINK("https://bulbapedia.bulbagarden.net/wiki/Metagross-GX_(Guardians_Rising_85)","MetagrossGX")</f>
        <v>MetagrossGX</v>
      </c>
      <c r="C93" s="48" t="s">
        <v>220</v>
      </c>
      <c r="D93" s="48"/>
      <c r="E93" s="5"/>
      <c r="F93" s="5"/>
      <c r="G93" s="5"/>
    </row>
    <row r="94" spans="1:7" ht="13">
      <c r="A94" s="48" t="s">
        <v>6628</v>
      </c>
      <c r="B94" s="49" t="s">
        <v>3386</v>
      </c>
      <c r="C94" s="48" t="s">
        <v>220</v>
      </c>
      <c r="D94" s="48"/>
      <c r="E94" s="51"/>
      <c r="F94" s="5"/>
      <c r="G94" s="5"/>
    </row>
    <row r="95" spans="1:7" ht="13">
      <c r="A95" s="48" t="s">
        <v>6629</v>
      </c>
      <c r="B95" s="49" t="s">
        <v>6630</v>
      </c>
      <c r="C95" s="48" t="s">
        <v>220</v>
      </c>
      <c r="D95" s="48"/>
      <c r="E95" s="51"/>
      <c r="F95" s="5"/>
      <c r="G95" s="5"/>
    </row>
    <row r="96" spans="1:7" ht="13">
      <c r="A96" s="48" t="s">
        <v>6631</v>
      </c>
      <c r="B96" s="49" t="s">
        <v>244</v>
      </c>
      <c r="C96" s="48" t="s">
        <v>4743</v>
      </c>
      <c r="D96" s="48"/>
      <c r="E96" s="5"/>
      <c r="F96" s="5"/>
      <c r="G96" s="5"/>
    </row>
    <row r="97" spans="1:7" ht="13">
      <c r="A97" s="48" t="s">
        <v>6632</v>
      </c>
      <c r="B97" s="49" t="s">
        <v>318</v>
      </c>
      <c r="C97" s="48" t="s">
        <v>4743</v>
      </c>
      <c r="D97" s="48"/>
      <c r="E97" s="51"/>
      <c r="F97" s="5"/>
      <c r="G97" s="5"/>
    </row>
    <row r="98" spans="1:7" ht="13">
      <c r="A98" s="48" t="s">
        <v>6633</v>
      </c>
      <c r="B98" s="49" t="s">
        <v>4356</v>
      </c>
      <c r="C98" s="48" t="s">
        <v>4743</v>
      </c>
      <c r="D98" s="48"/>
      <c r="E98" s="51"/>
      <c r="F98" s="5"/>
      <c r="G98" s="5"/>
    </row>
    <row r="99" spans="1:7" ht="13">
      <c r="A99" s="48" t="s">
        <v>6634</v>
      </c>
      <c r="B99" s="49" t="s">
        <v>4358</v>
      </c>
      <c r="C99" s="48" t="s">
        <v>4743</v>
      </c>
      <c r="D99" s="48"/>
      <c r="E99" s="5"/>
      <c r="F99" s="5"/>
      <c r="G99" s="5"/>
    </row>
    <row r="100" spans="1:7" ht="13">
      <c r="A100" s="48" t="s">
        <v>6635</v>
      </c>
      <c r="B100" s="58" t="str">
        <f t="shared" ref="B100:B101" si="1">HYPERLINK("https://bulbapedia.bulbagarden.net/wiki/Sylveon-GX_(Guardians_Rising_92)","SylveonGX")</f>
        <v>SylveonGX</v>
      </c>
      <c r="C100" s="48" t="s">
        <v>4743</v>
      </c>
      <c r="D100" s="48"/>
      <c r="E100" s="5"/>
      <c r="F100" s="5"/>
      <c r="G100" s="5"/>
    </row>
    <row r="101" spans="1:7" ht="13">
      <c r="A101" s="48" t="s">
        <v>6636</v>
      </c>
      <c r="B101" s="58" t="str">
        <f t="shared" si="1"/>
        <v>SylveonGX</v>
      </c>
      <c r="C101" s="48" t="s">
        <v>4743</v>
      </c>
      <c r="D101" s="48"/>
      <c r="E101" s="5"/>
      <c r="F101" s="5"/>
      <c r="G101" s="5"/>
    </row>
    <row r="102" spans="1:7" ht="13">
      <c r="A102" s="48" t="s">
        <v>6637</v>
      </c>
      <c r="B102" s="49" t="s">
        <v>6638</v>
      </c>
      <c r="C102" s="48" t="s">
        <v>4743</v>
      </c>
      <c r="D102" s="48"/>
      <c r="E102" s="5"/>
      <c r="F102" s="51"/>
      <c r="G102" s="5"/>
    </row>
    <row r="103" spans="1:7" ht="13">
      <c r="A103" s="48" t="s">
        <v>6639</v>
      </c>
      <c r="B103" s="49" t="s">
        <v>5102</v>
      </c>
      <c r="C103" s="48" t="s">
        <v>4285</v>
      </c>
      <c r="D103" s="48"/>
      <c r="E103" s="51"/>
      <c r="F103" s="5"/>
      <c r="G103" s="5"/>
    </row>
    <row r="104" spans="1:7" ht="13">
      <c r="A104" s="48" t="s">
        <v>6640</v>
      </c>
      <c r="B104" s="49" t="s">
        <v>5103</v>
      </c>
      <c r="C104" s="48" t="s">
        <v>4285</v>
      </c>
      <c r="D104" s="48"/>
      <c r="E104" s="5"/>
      <c r="F104" s="5"/>
      <c r="G104" s="5"/>
    </row>
    <row r="105" spans="1:7" ht="13">
      <c r="A105" s="48" t="s">
        <v>6641</v>
      </c>
      <c r="B105" s="49" t="s">
        <v>5104</v>
      </c>
      <c r="C105" s="48" t="s">
        <v>4285</v>
      </c>
      <c r="D105" s="48"/>
      <c r="E105" s="5"/>
      <c r="F105" s="51"/>
      <c r="G105" s="5"/>
    </row>
    <row r="106" spans="1:7" ht="13">
      <c r="A106" s="48" t="s">
        <v>6642</v>
      </c>
      <c r="B106" s="49" t="s">
        <v>6643</v>
      </c>
      <c r="C106" s="48" t="s">
        <v>4285</v>
      </c>
      <c r="D106" s="48"/>
      <c r="E106" s="5"/>
      <c r="F106" s="51"/>
      <c r="G106" s="5"/>
    </row>
    <row r="107" spans="1:7" ht="13">
      <c r="A107" s="48" t="s">
        <v>6644</v>
      </c>
      <c r="B107" s="49" t="s">
        <v>6645</v>
      </c>
      <c r="C107" s="48" t="s">
        <v>4285</v>
      </c>
      <c r="D107" s="48"/>
      <c r="E107" s="5"/>
      <c r="F107" s="5"/>
      <c r="G107" s="5"/>
    </row>
    <row r="108" spans="1:7" ht="13">
      <c r="A108" s="48" t="s">
        <v>6646</v>
      </c>
      <c r="B108" s="49" t="s">
        <v>6647</v>
      </c>
      <c r="C108" s="48" t="s">
        <v>4285</v>
      </c>
      <c r="D108" s="48"/>
      <c r="E108" s="51"/>
      <c r="F108" s="5"/>
      <c r="G108" s="5"/>
    </row>
    <row r="109" spans="1:7" ht="13">
      <c r="A109" s="48" t="s">
        <v>6648</v>
      </c>
      <c r="B109" s="58" t="str">
        <f>HYPERLINK("https://bulbapedia.bulbagarden.net/wiki/Kommo-o-GX_(Guardians_Rising_100)","Kommo-oGX")</f>
        <v>Kommo-oGX</v>
      </c>
      <c r="C109" s="48" t="s">
        <v>4285</v>
      </c>
      <c r="D109" s="48"/>
      <c r="E109" s="5"/>
      <c r="F109" s="5"/>
      <c r="G109" s="5"/>
    </row>
    <row r="110" spans="1:7" ht="13">
      <c r="A110" s="48" t="s">
        <v>6649</v>
      </c>
      <c r="B110" s="49" t="s">
        <v>241</v>
      </c>
      <c r="C110" s="48" t="s">
        <v>197</v>
      </c>
      <c r="D110" s="48"/>
      <c r="E110" s="5"/>
      <c r="F110" s="5"/>
      <c r="G110" s="5"/>
    </row>
    <row r="111" spans="1:7" ht="13">
      <c r="A111" s="48" t="s">
        <v>6650</v>
      </c>
      <c r="B111" s="49" t="s">
        <v>968</v>
      </c>
      <c r="C111" s="48" t="s">
        <v>197</v>
      </c>
      <c r="D111" s="48"/>
      <c r="E111" s="5"/>
      <c r="F111" s="51"/>
      <c r="G111" s="5"/>
    </row>
    <row r="112" spans="1:7" ht="13">
      <c r="A112" s="48" t="s">
        <v>6651</v>
      </c>
      <c r="B112" s="49" t="s">
        <v>1315</v>
      </c>
      <c r="C112" s="48" t="s">
        <v>197</v>
      </c>
      <c r="D112" s="48"/>
      <c r="E112" s="5"/>
      <c r="F112" s="5"/>
      <c r="G112" s="5"/>
    </row>
    <row r="113" spans="1:7" ht="13">
      <c r="A113" s="48" t="s">
        <v>6652</v>
      </c>
      <c r="B113" s="49" t="s">
        <v>1280</v>
      </c>
      <c r="C113" s="48" t="s">
        <v>197</v>
      </c>
      <c r="D113" s="48"/>
      <c r="E113" s="51"/>
      <c r="F113" s="5"/>
      <c r="G113" s="5"/>
    </row>
    <row r="114" spans="1:7" ht="13">
      <c r="A114" s="48" t="s">
        <v>6653</v>
      </c>
      <c r="B114" s="49" t="s">
        <v>1834</v>
      </c>
      <c r="C114" s="48" t="s">
        <v>197</v>
      </c>
      <c r="D114" s="48"/>
      <c r="E114" s="51"/>
      <c r="F114" s="5"/>
      <c r="G114" s="5"/>
    </row>
    <row r="115" spans="1:7" ht="13">
      <c r="A115" s="48" t="s">
        <v>6654</v>
      </c>
      <c r="B115" s="49" t="s">
        <v>2128</v>
      </c>
      <c r="C115" s="48" t="s">
        <v>197</v>
      </c>
      <c r="D115" s="48"/>
      <c r="E115" s="51"/>
      <c r="F115" s="5"/>
      <c r="G115" s="5"/>
    </row>
    <row r="116" spans="1:7" ht="13">
      <c r="A116" s="48" t="s">
        <v>6655</v>
      </c>
      <c r="B116" s="49" t="s">
        <v>4478</v>
      </c>
      <c r="C116" s="48" t="s">
        <v>197</v>
      </c>
      <c r="D116" s="48"/>
      <c r="E116" s="5"/>
      <c r="F116" s="5"/>
      <c r="G116" s="5"/>
    </row>
    <row r="117" spans="1:7" ht="13">
      <c r="A117" s="48" t="s">
        <v>6656</v>
      </c>
      <c r="B117" s="49" t="s">
        <v>4480</v>
      </c>
      <c r="C117" s="48" t="s">
        <v>197</v>
      </c>
      <c r="D117" s="48"/>
      <c r="E117" s="51"/>
      <c r="F117" s="5"/>
      <c r="G117" s="5"/>
    </row>
    <row r="118" spans="1:7" ht="13">
      <c r="A118" s="48" t="s">
        <v>6657</v>
      </c>
      <c r="B118" s="49" t="s">
        <v>5027</v>
      </c>
      <c r="C118" s="48" t="s">
        <v>197</v>
      </c>
      <c r="D118" s="48"/>
      <c r="E118" s="51"/>
      <c r="F118" s="5"/>
      <c r="G118" s="5"/>
    </row>
    <row r="119" spans="1:7" ht="13">
      <c r="A119" s="48" t="s">
        <v>6658</v>
      </c>
      <c r="B119" s="49" t="s">
        <v>5040</v>
      </c>
      <c r="C119" s="48" t="s">
        <v>197</v>
      </c>
      <c r="D119" s="48"/>
      <c r="E119" s="51"/>
      <c r="F119" s="5"/>
      <c r="G119" s="5"/>
    </row>
    <row r="120" spans="1:7" ht="13">
      <c r="A120" s="48" t="s">
        <v>6659</v>
      </c>
      <c r="B120" s="49" t="s">
        <v>5041</v>
      </c>
      <c r="C120" s="48" t="s">
        <v>197</v>
      </c>
      <c r="D120" s="48"/>
      <c r="E120" s="51"/>
      <c r="F120" s="5"/>
      <c r="G120" s="5"/>
    </row>
    <row r="121" spans="1:7" ht="13">
      <c r="A121" s="48" t="s">
        <v>6660</v>
      </c>
      <c r="B121" s="49" t="s">
        <v>6503</v>
      </c>
      <c r="C121" s="48" t="s">
        <v>197</v>
      </c>
      <c r="D121" s="48"/>
      <c r="E121" s="5"/>
      <c r="F121" s="5"/>
      <c r="G121" s="5"/>
    </row>
    <row r="122" spans="1:7" ht="13">
      <c r="A122" s="48" t="s">
        <v>6661</v>
      </c>
      <c r="B122" s="49" t="s">
        <v>6504</v>
      </c>
      <c r="C122" s="48" t="s">
        <v>197</v>
      </c>
      <c r="D122" s="48"/>
      <c r="E122" s="5"/>
      <c r="F122" s="5"/>
      <c r="G122" s="5"/>
    </row>
    <row r="123" spans="1:7" ht="13">
      <c r="A123" s="48" t="s">
        <v>6662</v>
      </c>
      <c r="B123" s="49" t="s">
        <v>6233</v>
      </c>
      <c r="C123" s="48" t="s">
        <v>197</v>
      </c>
      <c r="D123" s="48"/>
      <c r="E123" s="51"/>
      <c r="F123" s="5"/>
      <c r="G123" s="5"/>
    </row>
    <row r="124" spans="1:7" ht="13">
      <c r="A124" s="48" t="s">
        <v>6663</v>
      </c>
      <c r="B124" s="58" t="str">
        <f>HYPERLINK("https://bulbapedia.bulbagarden.net/wiki/Drampa-GX_(Guardians_Rising_115)","DrampaGX")</f>
        <v>DrampaGX</v>
      </c>
      <c r="C124" s="48" t="s">
        <v>197</v>
      </c>
      <c r="D124" s="47"/>
      <c r="E124" s="5"/>
      <c r="F124" s="5"/>
      <c r="G124" s="5"/>
    </row>
    <row r="125" spans="1:7" ht="13">
      <c r="A125" s="48" t="s">
        <v>6664</v>
      </c>
      <c r="B125" s="49" t="s">
        <v>6665</v>
      </c>
      <c r="C125" s="48" t="s">
        <v>229</v>
      </c>
      <c r="D125" s="48"/>
      <c r="E125" s="5"/>
      <c r="F125" s="5"/>
      <c r="G125" s="5"/>
    </row>
    <row r="126" spans="1:7" ht="13">
      <c r="A126" s="48" t="s">
        <v>6666</v>
      </c>
      <c r="B126" s="49" t="s">
        <v>6667</v>
      </c>
      <c r="C126" s="48" t="s">
        <v>229</v>
      </c>
      <c r="D126" s="48"/>
      <c r="E126" s="51"/>
      <c r="F126" s="5"/>
      <c r="G126" s="5"/>
    </row>
    <row r="127" spans="1:7" ht="13">
      <c r="A127" s="48" t="s">
        <v>6668</v>
      </c>
      <c r="B127" s="49" t="s">
        <v>6669</v>
      </c>
      <c r="C127" s="48" t="s">
        <v>229</v>
      </c>
      <c r="D127" s="48"/>
      <c r="E127" s="5"/>
      <c r="F127" s="5"/>
      <c r="G127" s="5"/>
    </row>
    <row r="128" spans="1:7" ht="13">
      <c r="A128" s="48" t="s">
        <v>6670</v>
      </c>
      <c r="B128" s="49" t="s">
        <v>6671</v>
      </c>
      <c r="C128" s="48" t="s">
        <v>4114</v>
      </c>
      <c r="D128" s="48"/>
      <c r="E128" s="5"/>
      <c r="F128" s="5"/>
      <c r="G128" s="5"/>
    </row>
    <row r="129" spans="1:7" ht="13">
      <c r="A129" s="48" t="s">
        <v>6672</v>
      </c>
      <c r="B129" s="49" t="s">
        <v>6673</v>
      </c>
      <c r="C129" s="48" t="s">
        <v>229</v>
      </c>
      <c r="D129" s="48"/>
      <c r="E129" s="51"/>
      <c r="F129" s="5"/>
      <c r="G129" s="5"/>
    </row>
    <row r="130" spans="1:7" ht="13">
      <c r="A130" s="48" t="s">
        <v>6674</v>
      </c>
      <c r="B130" s="49" t="s">
        <v>6675</v>
      </c>
      <c r="C130" s="48" t="s">
        <v>4114</v>
      </c>
      <c r="D130" s="48"/>
      <c r="E130" s="51"/>
      <c r="F130" s="5"/>
      <c r="G130" s="5"/>
    </row>
    <row r="131" spans="1:7" ht="13">
      <c r="A131" s="48" t="s">
        <v>6676</v>
      </c>
      <c r="B131" s="49" t="s">
        <v>6677</v>
      </c>
      <c r="C131" s="48" t="s">
        <v>4114</v>
      </c>
      <c r="D131" s="48"/>
      <c r="E131" s="51"/>
      <c r="F131" s="5"/>
      <c r="G131" s="5"/>
    </row>
    <row r="132" spans="1:7" ht="13">
      <c r="A132" s="48" t="s">
        <v>6678</v>
      </c>
      <c r="B132" s="49" t="s">
        <v>5548</v>
      </c>
      <c r="C132" s="48" t="s">
        <v>4114</v>
      </c>
      <c r="D132" s="48"/>
      <c r="E132" s="51"/>
      <c r="F132" s="5"/>
      <c r="G132" s="5"/>
    </row>
    <row r="133" spans="1:7" ht="13">
      <c r="A133" s="48" t="s">
        <v>6679</v>
      </c>
      <c r="B133" s="49" t="s">
        <v>4167</v>
      </c>
      <c r="C133" s="48" t="s">
        <v>4114</v>
      </c>
      <c r="D133" s="48"/>
      <c r="E133" s="51"/>
      <c r="F133" s="5"/>
      <c r="G133" s="5"/>
    </row>
    <row r="134" spans="1:7" ht="13">
      <c r="A134" s="48" t="s">
        <v>6680</v>
      </c>
      <c r="B134" s="49" t="s">
        <v>4167</v>
      </c>
      <c r="C134" s="48" t="s">
        <v>4114</v>
      </c>
      <c r="D134" s="48"/>
      <c r="E134" s="51"/>
      <c r="F134" s="5"/>
      <c r="G134" s="51"/>
    </row>
    <row r="135" spans="1:7" ht="13">
      <c r="A135" s="48" t="s">
        <v>6681</v>
      </c>
      <c r="B135" s="49" t="s">
        <v>6682</v>
      </c>
      <c r="C135" s="48" t="s">
        <v>4114</v>
      </c>
      <c r="D135" s="48"/>
      <c r="E135" s="51"/>
      <c r="F135" s="5"/>
      <c r="G135" s="5"/>
    </row>
    <row r="136" spans="1:7" ht="13">
      <c r="A136" s="48" t="s">
        <v>6683</v>
      </c>
      <c r="B136" s="49" t="s">
        <v>6682</v>
      </c>
      <c r="C136" s="48" t="s">
        <v>4114</v>
      </c>
      <c r="D136" s="48"/>
      <c r="E136" s="51"/>
      <c r="F136" s="5"/>
      <c r="G136" s="51"/>
    </row>
    <row r="137" spans="1:7" ht="13">
      <c r="A137" s="48" t="s">
        <v>6684</v>
      </c>
      <c r="B137" s="49" t="s">
        <v>6685</v>
      </c>
      <c r="C137" s="48" t="s">
        <v>1013</v>
      </c>
      <c r="D137" s="48"/>
      <c r="E137" s="5"/>
      <c r="F137" s="5"/>
      <c r="G137" s="5"/>
    </row>
    <row r="138" spans="1:7" ht="13">
      <c r="A138" s="48" t="s">
        <v>6686</v>
      </c>
      <c r="B138" s="49" t="s">
        <v>6687</v>
      </c>
      <c r="C138" s="48" t="s">
        <v>1013</v>
      </c>
      <c r="D138" s="48"/>
      <c r="E138" s="51"/>
      <c r="F138" s="5"/>
      <c r="G138" s="5"/>
    </row>
    <row r="139" spans="1:7" ht="13">
      <c r="A139" s="48" t="s">
        <v>6688</v>
      </c>
      <c r="B139" s="49" t="s">
        <v>5872</v>
      </c>
      <c r="C139" s="48" t="s">
        <v>4114</v>
      </c>
      <c r="D139" s="48"/>
      <c r="E139" s="51"/>
      <c r="F139" s="5"/>
      <c r="G139" s="5"/>
    </row>
    <row r="140" spans="1:7" ht="13">
      <c r="A140" s="48" t="s">
        <v>6689</v>
      </c>
      <c r="B140" s="49" t="s">
        <v>5872</v>
      </c>
      <c r="C140" s="48" t="s">
        <v>4114</v>
      </c>
      <c r="D140" s="48"/>
      <c r="E140" s="51"/>
      <c r="F140" s="5"/>
      <c r="G140" s="51"/>
    </row>
    <row r="141" spans="1:7" ht="13">
      <c r="A141" s="48" t="s">
        <v>6690</v>
      </c>
      <c r="B141" s="49" t="s">
        <v>6691</v>
      </c>
      <c r="C141" s="48" t="s">
        <v>4114</v>
      </c>
      <c r="D141" s="48"/>
      <c r="E141" s="51"/>
      <c r="F141" s="5"/>
      <c r="G141" s="5"/>
    </row>
    <row r="142" spans="1:7" ht="13">
      <c r="A142" s="48" t="s">
        <v>6692</v>
      </c>
      <c r="B142" s="49" t="s">
        <v>6693</v>
      </c>
      <c r="C142" s="48" t="s">
        <v>4114</v>
      </c>
      <c r="D142" s="48"/>
      <c r="E142" s="51"/>
      <c r="F142" s="5"/>
      <c r="G142" s="5"/>
    </row>
    <row r="143" spans="1:7" ht="13">
      <c r="A143" s="48" t="s">
        <v>6694</v>
      </c>
      <c r="B143" s="49" t="s">
        <v>6693</v>
      </c>
      <c r="C143" s="48" t="s">
        <v>4114</v>
      </c>
      <c r="D143" s="48"/>
      <c r="E143" s="51"/>
      <c r="F143" s="5"/>
      <c r="G143" s="5"/>
    </row>
    <row r="144" spans="1:7" ht="13">
      <c r="A144" s="48" t="s">
        <v>6695</v>
      </c>
      <c r="B144" s="58" t="str">
        <f>HYPERLINK("https://bulbapedia.bulbagarden.net/wiki/Turtonator-GX_(Guardians_Rising_131)","TurtonatorGX")</f>
        <v>TurtonatorGX</v>
      </c>
      <c r="C144" s="48" t="s">
        <v>199</v>
      </c>
      <c r="D144" s="47"/>
      <c r="E144" s="5"/>
      <c r="F144" s="5"/>
      <c r="G144" s="5"/>
    </row>
    <row r="145" spans="1:7" ht="13">
      <c r="A145" s="48" t="s">
        <v>6696</v>
      </c>
      <c r="B145" s="58" t="str">
        <f>HYPERLINK("https://bulbapedia.bulbagarden.net/wiki/Alolan_Ninetales-GX_(Guardians_Rising_132)","Alolan NinetalesGX")</f>
        <v>Alolan NinetalesGX</v>
      </c>
      <c r="C145" s="48" t="s">
        <v>208</v>
      </c>
      <c r="D145" s="48"/>
      <c r="E145" s="5"/>
      <c r="F145" s="5"/>
      <c r="G145" s="5"/>
    </row>
    <row r="146" spans="1:7" ht="13">
      <c r="A146" s="48" t="s">
        <v>6697</v>
      </c>
      <c r="B146" s="58" t="str">
        <f>HYPERLINK("https://bulbapedia.bulbagarden.net/wiki/Wishiwashi-GX_(Guardians_Rising_133)","WishiwashiGX")</f>
        <v>WishiwashiGX</v>
      </c>
      <c r="C146" s="48" t="s">
        <v>208</v>
      </c>
      <c r="D146" s="48"/>
      <c r="E146" s="5"/>
      <c r="F146" s="5"/>
      <c r="G146" s="5"/>
    </row>
    <row r="147" spans="1:7" ht="13">
      <c r="A147" s="48" t="s">
        <v>6698</v>
      </c>
      <c r="B147" s="58" t="str">
        <f>HYPERLINK("https://bulbapedia.bulbagarden.net/wiki/Vikavolt-GX_(Guardians_Rising_134)","VikavoltGX")</f>
        <v>VikavoltGX</v>
      </c>
      <c r="C147" s="48" t="s">
        <v>192</v>
      </c>
      <c r="D147" s="47"/>
      <c r="E147" s="5"/>
      <c r="F147" s="5"/>
      <c r="G147" s="5"/>
    </row>
    <row r="148" spans="1:7" ht="13">
      <c r="A148" s="48" t="s">
        <v>6699</v>
      </c>
      <c r="B148" s="58" t="str">
        <f>HYPERLINK("https://bulbapedia.bulbagarden.net/wiki/Tapu_Koko-GX_(Guardians_Rising_135)","Tapu KokoGX")</f>
        <v>Tapu KokoGX</v>
      </c>
      <c r="C148" s="48" t="s">
        <v>192</v>
      </c>
      <c r="D148" s="48"/>
      <c r="E148" s="5"/>
      <c r="F148" s="5"/>
      <c r="G148" s="5"/>
    </row>
    <row r="149" spans="1:7" ht="13">
      <c r="A149" s="48" t="s">
        <v>6700</v>
      </c>
      <c r="B149" s="58" t="str">
        <f>HYPERLINK("https://bulbapedia.bulbagarden.net/wiki/Toxapex-GX_(Guardians_Rising_136)","ToxapexGX")</f>
        <v>ToxapexGX</v>
      </c>
      <c r="C149" s="48" t="s">
        <v>195</v>
      </c>
      <c r="D149" s="47"/>
      <c r="E149" s="5"/>
      <c r="F149" s="5"/>
      <c r="G149" s="5"/>
    </row>
    <row r="150" spans="1:7" ht="13">
      <c r="A150" s="48" t="s">
        <v>6701</v>
      </c>
      <c r="B150" s="58" t="str">
        <f>HYPERLINK("https://bulbapedia.bulbagarden.net/wiki/Tapu_Lele-GX_(Guardians_Rising_137)","Tapu LeleGX")</f>
        <v>Tapu LeleGX</v>
      </c>
      <c r="C150" s="48" t="s">
        <v>195</v>
      </c>
      <c r="D150" s="47"/>
      <c r="E150" s="5"/>
      <c r="F150" s="5"/>
      <c r="G150" s="5"/>
    </row>
    <row r="151" spans="1:7" ht="13">
      <c r="A151" s="48" t="s">
        <v>6702</v>
      </c>
      <c r="B151" s="58" t="str">
        <f>HYPERLINK("https://bulbapedia.bulbagarden.net/wiki/Lycanroc-GX_(Guardians_Rising_138)","LycanrocGX")</f>
        <v>LycanrocGX</v>
      </c>
      <c r="C151" s="48" t="s">
        <v>225</v>
      </c>
      <c r="D151" s="47"/>
      <c r="E151" s="5"/>
      <c r="F151" s="5"/>
      <c r="G151" s="5"/>
    </row>
    <row r="152" spans="1:7" ht="13">
      <c r="A152" s="48" t="s">
        <v>6703</v>
      </c>
      <c r="B152" s="58" t="str">
        <f>HYPERLINK("https://bulbapedia.bulbagarden.net/wiki/Metagross-GX_(Guardians_Rising_139)","MetagrossGX")</f>
        <v>MetagrossGX</v>
      </c>
      <c r="C152" s="48" t="s">
        <v>220</v>
      </c>
      <c r="D152" s="48"/>
      <c r="E152" s="5"/>
      <c r="F152" s="5"/>
      <c r="G152" s="5"/>
    </row>
    <row r="153" spans="1:7" ht="13">
      <c r="A153" s="48" t="s">
        <v>6704</v>
      </c>
      <c r="B153" s="58" t="str">
        <f>HYPERLINK("https://bulbapedia.bulbagarden.net/wiki/Sylveon-GX_(Guardians_Rising_140)","SylveonGX")</f>
        <v>SylveonGX</v>
      </c>
      <c r="C153" s="48" t="s">
        <v>4743</v>
      </c>
      <c r="D153" s="47"/>
      <c r="E153" s="5"/>
      <c r="F153" s="5"/>
      <c r="G153" s="5"/>
    </row>
    <row r="154" spans="1:7" ht="13">
      <c r="A154" s="48" t="s">
        <v>6705</v>
      </c>
      <c r="B154" s="58" t="str">
        <f>HYPERLINK("https://bulbapedia.bulbagarden.net/wiki/Kommo-o-GX_(Guardians_Rising_141)","Kommo-oGX")</f>
        <v>Kommo-oGX</v>
      </c>
      <c r="C154" s="48" t="s">
        <v>4285</v>
      </c>
      <c r="D154" s="47"/>
      <c r="E154" s="5"/>
      <c r="F154" s="5"/>
      <c r="G154" s="5"/>
    </row>
    <row r="155" spans="1:7" ht="13">
      <c r="A155" s="48" t="s">
        <v>6706</v>
      </c>
      <c r="B155" s="58" t="str">
        <f>HYPERLINK("https://bulbapedia.bulbagarden.net/wiki/Drampa-GX_(Guardians_Rising_142)","DrampaGX")</f>
        <v>DrampaGX</v>
      </c>
      <c r="C155" s="48" t="s">
        <v>197</v>
      </c>
      <c r="D155" s="48"/>
      <c r="E155" s="5"/>
      <c r="F155" s="5"/>
      <c r="G155" s="5"/>
    </row>
    <row r="156" spans="1:7" ht="13">
      <c r="A156" s="48" t="s">
        <v>6707</v>
      </c>
      <c r="B156" s="49" t="s">
        <v>6685</v>
      </c>
      <c r="C156" s="48" t="s">
        <v>1013</v>
      </c>
      <c r="D156" s="47"/>
      <c r="E156" s="5"/>
      <c r="F156" s="5"/>
      <c r="G156" s="5"/>
    </row>
    <row r="157" spans="1:7" ht="13">
      <c r="A157" s="48" t="s">
        <v>6708</v>
      </c>
      <c r="B157" s="49" t="s">
        <v>6507</v>
      </c>
      <c r="C157" s="48" t="s">
        <v>1013</v>
      </c>
      <c r="D157" s="47"/>
      <c r="E157" s="5"/>
      <c r="F157" s="5"/>
      <c r="G157" s="5"/>
    </row>
    <row r="158" spans="1:7" ht="13">
      <c r="A158" s="48" t="s">
        <v>6709</v>
      </c>
      <c r="B158" s="49" t="s">
        <v>6687</v>
      </c>
      <c r="C158" s="48" t="s">
        <v>1013</v>
      </c>
      <c r="D158" s="47"/>
      <c r="E158" s="5"/>
      <c r="F158" s="5"/>
      <c r="G158" s="5"/>
    </row>
    <row r="159" spans="1:7" ht="13">
      <c r="A159" s="48" t="s">
        <v>6710</v>
      </c>
      <c r="B159" s="58" t="str">
        <f>HYPERLINK("https://bulbapedia.bulbagarden.net/wiki/Decidueye-GX_(Guardians_Rising_146)","DecidueyeGX")</f>
        <v>DecidueyeGX</v>
      </c>
      <c r="C159" s="48" t="s">
        <v>205</v>
      </c>
      <c r="D159" s="47"/>
      <c r="E159" s="5"/>
      <c r="F159" s="5"/>
      <c r="G159" s="5"/>
    </row>
    <row r="160" spans="1:7" ht="13">
      <c r="A160" s="48" t="s">
        <v>6711</v>
      </c>
      <c r="B160" s="58" t="str">
        <f>HYPERLINK("https://bulbapedia.bulbagarden.net/wiki/Decidueye-GX_(Guardians_Rising_146)","IncineroarGX")</f>
        <v>IncineroarGX</v>
      </c>
      <c r="C160" s="48" t="s">
        <v>199</v>
      </c>
      <c r="D160" s="47"/>
      <c r="E160" s="5"/>
      <c r="F160" s="5"/>
      <c r="G160" s="5"/>
    </row>
    <row r="161" spans="1:7" ht="13">
      <c r="A161" s="48" t="s">
        <v>6712</v>
      </c>
      <c r="B161" s="58" t="str">
        <f>HYPERLINK("https://bulbapedia.bulbagarden.net/wiki/Turtonator-GX_(Guardians_Rising_148)","TurtonatorGX")</f>
        <v>TurtonatorGX</v>
      </c>
      <c r="C161" s="48" t="s">
        <v>199</v>
      </c>
      <c r="D161" s="47"/>
      <c r="E161" s="5"/>
      <c r="F161" s="5"/>
      <c r="G161" s="5"/>
    </row>
    <row r="162" spans="1:7" ht="13">
      <c r="A162" s="48" t="s">
        <v>6713</v>
      </c>
      <c r="B162" s="58" t="str">
        <f>HYPERLINK("https://bulbapedia.bulbagarden.net/wiki/Primarina-GX_(Guardians_Rising_149)","PrimarinaGX")</f>
        <v>PrimarinaGX</v>
      </c>
      <c r="C162" s="48" t="s">
        <v>208</v>
      </c>
      <c r="D162" s="47"/>
      <c r="E162" s="5"/>
      <c r="F162" s="5"/>
      <c r="G162" s="5"/>
    </row>
    <row r="163" spans="1:7" ht="13">
      <c r="A163" s="48" t="s">
        <v>6714</v>
      </c>
      <c r="B163" s="58" t="str">
        <f>HYPERLINK("https://bulbapedia.bulbagarden.net/wiki/Alolan_Ninetales-GX_(Guardians_Rising_150)","Alolan NinetalesGX")</f>
        <v>Alolan NinetalesGX</v>
      </c>
      <c r="C163" s="48" t="s">
        <v>208</v>
      </c>
      <c r="D163" s="47"/>
      <c r="E163" s="5"/>
      <c r="F163" s="5"/>
      <c r="G163" s="5"/>
    </row>
    <row r="164" spans="1:7" ht="13">
      <c r="A164" s="48" t="s">
        <v>6715</v>
      </c>
      <c r="B164" s="58" t="str">
        <f>HYPERLINK("https://bulbapedia.bulbagarden.net/wiki/Wishiwashi-GX_(Guardians_Rising_151)","WishiwashiGX")</f>
        <v>WishiwashiGX</v>
      </c>
      <c r="C164" s="48" t="s">
        <v>208</v>
      </c>
      <c r="D164" s="47"/>
      <c r="E164" s="5"/>
      <c r="F164" s="5"/>
      <c r="G164" s="5"/>
    </row>
    <row r="165" spans="1:7" ht="13">
      <c r="A165" s="48" t="s">
        <v>6716</v>
      </c>
      <c r="B165" s="58" t="str">
        <f>HYPERLINK("https://bulbapedia.bulbagarden.net/wiki/Vikavolt-GX_(Guardians_Rising_152)","VikavoltGX")</f>
        <v>VikavoltGX</v>
      </c>
      <c r="C165" s="48" t="s">
        <v>192</v>
      </c>
      <c r="D165" s="47"/>
      <c r="E165" s="5"/>
      <c r="F165" s="5"/>
      <c r="G165" s="5"/>
    </row>
    <row r="166" spans="1:7" ht="13">
      <c r="A166" s="48" t="s">
        <v>6717</v>
      </c>
      <c r="B166" s="58" t="str">
        <f>HYPERLINK("https://bulbapedia.bulbagarden.net/wiki/Tapu_Koko-GX_(Guardians_Rising_153)","Tapu KokoGX")</f>
        <v>Tapu KokoGX</v>
      </c>
      <c r="C166" s="48" t="s">
        <v>192</v>
      </c>
      <c r="D166" s="47"/>
      <c r="E166" s="5"/>
      <c r="F166" s="5"/>
      <c r="G166" s="5"/>
    </row>
    <row r="167" spans="1:7" ht="13">
      <c r="A167" s="48" t="s">
        <v>6718</v>
      </c>
      <c r="B167" s="58" t="str">
        <f>HYPERLINK("https://bulbapedia.bulbagarden.net/wiki/Toxapex-GX_(Guardians_Rising_154)","ToxapexGX")</f>
        <v>ToxapexGX</v>
      </c>
      <c r="C167" s="48" t="s">
        <v>195</v>
      </c>
      <c r="D167" s="47"/>
      <c r="E167" s="5"/>
      <c r="F167" s="5"/>
      <c r="G167" s="5"/>
    </row>
    <row r="168" spans="1:7" ht="13">
      <c r="A168" s="48" t="s">
        <v>6719</v>
      </c>
      <c r="B168" s="58" t="str">
        <f>HYPERLINK("https://bulbapedia.bulbagarden.net/wiki/Tapu_Lele-GX_(Guardians_Rising_155)","Tapu LeleGX")</f>
        <v>Tapu LeleGX</v>
      </c>
      <c r="C168" s="48" t="s">
        <v>195</v>
      </c>
      <c r="D168" s="47"/>
      <c r="E168" s="5"/>
      <c r="F168" s="5"/>
      <c r="G168" s="5"/>
    </row>
    <row r="169" spans="1:7" ht="13">
      <c r="A169" s="48" t="s">
        <v>6720</v>
      </c>
      <c r="B169" s="58" t="str">
        <f>HYPERLINK("https://bulbapedia.bulbagarden.net/wiki/Lycanroc-GX_(Guardians_Rising_156)","LycanrocGX")</f>
        <v>LycanrocGX</v>
      </c>
      <c r="C169" s="48" t="s">
        <v>225</v>
      </c>
      <c r="D169" s="47"/>
      <c r="E169" s="5"/>
      <c r="F169" s="5"/>
      <c r="G169" s="5"/>
    </row>
    <row r="170" spans="1:7" ht="13">
      <c r="A170" s="48" t="s">
        <v>6721</v>
      </c>
      <c r="B170" s="58" t="str">
        <f t="shared" ref="B170:B171" si="2">HYPERLINK("https://bulbapedia.bulbagarden.net/wiki/Metagross-GX_(Guardians_Rising_157)","MetagrossGX")</f>
        <v>MetagrossGX</v>
      </c>
      <c r="C170" s="48" t="s">
        <v>220</v>
      </c>
      <c r="D170" s="47"/>
      <c r="E170" s="5"/>
      <c r="F170" s="5"/>
      <c r="G170" s="5"/>
    </row>
    <row r="171" spans="1:7" ht="13">
      <c r="A171" s="48" t="s">
        <v>6722</v>
      </c>
      <c r="B171" s="58" t="str">
        <f t="shared" si="2"/>
        <v>MetagrossGX</v>
      </c>
      <c r="C171" s="48" t="s">
        <v>220</v>
      </c>
      <c r="D171" s="47"/>
      <c r="E171" s="5"/>
      <c r="F171" s="5"/>
      <c r="G171" s="5"/>
    </row>
    <row r="172" spans="1:7" ht="13">
      <c r="A172" s="48" t="s">
        <v>6723</v>
      </c>
      <c r="B172" s="58" t="str">
        <f>HYPERLINK("https://bulbapedia.bulbagarden.net/wiki/Sylveon-GX_(Guardians_Rising_158)","SylveonGX")</f>
        <v>SylveonGX</v>
      </c>
      <c r="C172" s="48" t="s">
        <v>4743</v>
      </c>
      <c r="D172" s="47"/>
      <c r="E172" s="5"/>
      <c r="F172" s="5"/>
      <c r="G172" s="5"/>
    </row>
    <row r="173" spans="1:7" ht="13">
      <c r="A173" s="48" t="s">
        <v>6724</v>
      </c>
      <c r="B173" s="58" t="str">
        <f>HYPERLINK("https://bulbapedia.bulbagarden.net/wiki/Kommo-o-GX_(Guardians_Rising_159)","Kommo-oGX")</f>
        <v>Kommo-oGX</v>
      </c>
      <c r="C173" s="48" t="s">
        <v>4285</v>
      </c>
      <c r="D173" s="47"/>
      <c r="E173" s="5"/>
      <c r="F173" s="5"/>
      <c r="G173" s="5"/>
    </row>
    <row r="174" spans="1:7" ht="13">
      <c r="A174" s="48" t="s">
        <v>6725</v>
      </c>
      <c r="B174" s="58" t="str">
        <f>HYPERLINK("https://bulbapedia.bulbagarden.net/wiki/Drampa-GX_(Guardians_Rising_160)","DrampaGX")</f>
        <v>DrampaGX</v>
      </c>
      <c r="C174" s="48" t="s">
        <v>197</v>
      </c>
      <c r="D174" s="47"/>
      <c r="E174" s="5"/>
      <c r="F174" s="5"/>
      <c r="G174" s="5"/>
    </row>
    <row r="175" spans="1:7" ht="13">
      <c r="A175" s="48" t="s">
        <v>6726</v>
      </c>
      <c r="B175" s="49" t="s">
        <v>6671</v>
      </c>
      <c r="C175" s="48" t="s">
        <v>4114</v>
      </c>
      <c r="D175" s="47"/>
      <c r="E175" s="5"/>
      <c r="F175" s="5"/>
      <c r="G175" s="5"/>
    </row>
    <row r="176" spans="1:7" ht="13">
      <c r="A176" s="48" t="s">
        <v>6727</v>
      </c>
      <c r="B176" s="49" t="s">
        <v>4167</v>
      </c>
      <c r="C176" s="48" t="s">
        <v>4114</v>
      </c>
      <c r="D176" s="47"/>
      <c r="E176" s="5"/>
      <c r="F176" s="5"/>
      <c r="G176" s="5"/>
    </row>
    <row r="177" spans="1:7" ht="13">
      <c r="A177" s="48" t="s">
        <v>6728</v>
      </c>
      <c r="B177" s="49" t="s">
        <v>6682</v>
      </c>
      <c r="C177" s="48" t="s">
        <v>4114</v>
      </c>
      <c r="D177" s="47"/>
      <c r="E177" s="5"/>
      <c r="F177" s="5"/>
      <c r="G177" s="5"/>
    </row>
    <row r="178" spans="1:7" ht="13">
      <c r="A178" s="48" t="s">
        <v>6729</v>
      </c>
      <c r="B178" s="49" t="s">
        <v>5872</v>
      </c>
      <c r="C178" s="48" t="s">
        <v>4114</v>
      </c>
      <c r="D178" s="47"/>
      <c r="E178" s="5"/>
      <c r="F178" s="5"/>
      <c r="G178" s="5"/>
    </row>
    <row r="179" spans="1:7" ht="13">
      <c r="A179" s="48" t="s">
        <v>6730</v>
      </c>
      <c r="B179" s="49" t="s">
        <v>1470</v>
      </c>
      <c r="C179" s="48" t="s">
        <v>4114</v>
      </c>
      <c r="D179" s="47"/>
      <c r="E179" s="5"/>
      <c r="F179" s="5"/>
      <c r="G179" s="5"/>
    </row>
    <row r="180" spans="1:7" ht="13">
      <c r="A180" s="48" t="s">
        <v>6731</v>
      </c>
      <c r="B180" s="49" t="s">
        <v>316</v>
      </c>
      <c r="C180" s="48" t="s">
        <v>317</v>
      </c>
      <c r="D180" s="47"/>
      <c r="E180" s="5"/>
      <c r="F180" s="5"/>
      <c r="G180" s="5"/>
    </row>
    <row r="181" spans="1:7" ht="13">
      <c r="A181" s="48" t="s">
        <v>6732</v>
      </c>
      <c r="B181" s="49" t="s">
        <v>5062</v>
      </c>
      <c r="C181" s="48" t="s">
        <v>317</v>
      </c>
      <c r="D181" s="47"/>
      <c r="E181" s="5"/>
      <c r="F181" s="5"/>
      <c r="G181" s="5"/>
    </row>
    <row r="182" spans="1:7" ht="13">
      <c r="A182" s="48" t="s">
        <v>6733</v>
      </c>
      <c r="B182" s="49" t="s">
        <v>5065</v>
      </c>
      <c r="C182" s="48" t="s">
        <v>317</v>
      </c>
      <c r="D182" s="47"/>
      <c r="E182" s="5"/>
      <c r="F182" s="5"/>
      <c r="G182" s="5"/>
    </row>
    <row r="183" spans="1:7" ht="13">
      <c r="A183" s="48" t="s">
        <v>6734</v>
      </c>
      <c r="B183" s="49" t="s">
        <v>5067</v>
      </c>
      <c r="C183" s="48" t="s">
        <v>317</v>
      </c>
      <c r="D183" s="5"/>
      <c r="E183" s="5"/>
      <c r="F183" s="5"/>
      <c r="G183" s="5"/>
    </row>
    <row r="185" spans="1:7" ht="13">
      <c r="C185" s="80"/>
      <c r="D185" s="5"/>
      <c r="E185" s="5"/>
      <c r="F185" s="5"/>
      <c r="G185" s="5"/>
    </row>
    <row r="186" spans="1:7" ht="13">
      <c r="C186" s="80"/>
      <c r="D186" s="5"/>
      <c r="E186" s="5"/>
      <c r="F186" s="5"/>
      <c r="G186" s="5"/>
    </row>
    <row r="187" spans="1:7" ht="13">
      <c r="C187" s="80"/>
      <c r="D187" s="5"/>
      <c r="E187" s="5"/>
      <c r="F187" s="5"/>
      <c r="G187" s="5"/>
    </row>
    <row r="188" spans="1:7" ht="13">
      <c r="C188" s="80"/>
      <c r="D188" s="5"/>
      <c r="E188" s="5"/>
      <c r="F188" s="5"/>
      <c r="G188" s="5"/>
    </row>
    <row r="189" spans="1:7" ht="13">
      <c r="C189" s="80"/>
      <c r="D189" s="5"/>
      <c r="E189" s="5"/>
      <c r="F189" s="5"/>
      <c r="G189" s="5"/>
    </row>
    <row r="190" spans="1:7" ht="13">
      <c r="C190" s="80"/>
      <c r="D190" s="5"/>
      <c r="E190" s="5"/>
      <c r="F190" s="5"/>
      <c r="G190" s="5"/>
    </row>
    <row r="191" spans="1:7" ht="13">
      <c r="C191" s="80"/>
      <c r="D191" s="5"/>
      <c r="E191" s="5"/>
      <c r="F191" s="5"/>
      <c r="G191" s="5"/>
    </row>
    <row r="192" spans="1:7" ht="13">
      <c r="C192" s="80"/>
      <c r="D192" s="5"/>
      <c r="E192" s="5"/>
      <c r="F192" s="5"/>
      <c r="G192" s="5"/>
    </row>
    <row r="193" spans="3:7" ht="13">
      <c r="C193" s="80"/>
      <c r="D193" s="5"/>
      <c r="E193" s="5"/>
      <c r="F193" s="5"/>
      <c r="G193" s="5"/>
    </row>
    <row r="194" spans="3:7" ht="13">
      <c r="C194" s="80"/>
      <c r="D194" s="5"/>
      <c r="E194" s="5"/>
      <c r="F194" s="5"/>
      <c r="G194" s="5"/>
    </row>
    <row r="195" spans="3:7" ht="13">
      <c r="C195" s="80"/>
      <c r="D195" s="5"/>
      <c r="E195" s="5"/>
      <c r="F195" s="5"/>
      <c r="G195" s="5"/>
    </row>
    <row r="196" spans="3:7" ht="13">
      <c r="C196" s="80"/>
      <c r="D196" s="5"/>
      <c r="E196" s="5"/>
      <c r="F196" s="5"/>
      <c r="G196" s="5"/>
    </row>
    <row r="197" spans="3:7" ht="13">
      <c r="C197" s="80"/>
      <c r="D197" s="5"/>
      <c r="E197" s="5"/>
      <c r="F197" s="5"/>
      <c r="G197" s="5"/>
    </row>
    <row r="198" spans="3:7" ht="13">
      <c r="C198" s="80"/>
      <c r="D198" s="5"/>
      <c r="E198" s="5"/>
      <c r="F198" s="5"/>
      <c r="G198" s="5"/>
    </row>
    <row r="199" spans="3:7" ht="13">
      <c r="C199" s="80"/>
      <c r="D199" s="5"/>
      <c r="E199" s="5"/>
      <c r="F199" s="5"/>
      <c r="G199" s="5"/>
    </row>
    <row r="200" spans="3:7" ht="13">
      <c r="C200" s="80"/>
      <c r="D200" s="5"/>
      <c r="E200" s="5"/>
      <c r="F200" s="5"/>
      <c r="G200" s="5"/>
    </row>
    <row r="201" spans="3:7" ht="13">
      <c r="C201" s="80"/>
      <c r="D201" s="5"/>
      <c r="E201" s="5"/>
      <c r="F201" s="5"/>
      <c r="G201" s="5"/>
    </row>
    <row r="202" spans="3:7" ht="13">
      <c r="C202" s="80"/>
      <c r="D202" s="5"/>
      <c r="E202" s="5"/>
      <c r="F202" s="5"/>
      <c r="G202" s="5"/>
    </row>
    <row r="203" spans="3:7" ht="13">
      <c r="C203" s="80"/>
      <c r="D203" s="5"/>
      <c r="E203" s="5"/>
      <c r="F203" s="5"/>
      <c r="G203" s="5"/>
    </row>
    <row r="204" spans="3:7" ht="13">
      <c r="C204" s="80"/>
      <c r="D204" s="5"/>
      <c r="E204" s="5"/>
      <c r="F204" s="5"/>
      <c r="G204" s="5"/>
    </row>
    <row r="205" spans="3:7" ht="13">
      <c r="C205" s="80"/>
      <c r="D205" s="5"/>
      <c r="E205" s="5"/>
      <c r="F205" s="5"/>
      <c r="G205" s="5"/>
    </row>
    <row r="206" spans="3:7" ht="13">
      <c r="C206" s="80"/>
      <c r="D206" s="5"/>
      <c r="E206" s="5"/>
      <c r="F206" s="5"/>
      <c r="G206" s="5"/>
    </row>
    <row r="207" spans="3:7" ht="13">
      <c r="C207" s="80"/>
      <c r="D207" s="5"/>
      <c r="E207" s="5"/>
      <c r="F207" s="5"/>
      <c r="G207" s="5"/>
    </row>
    <row r="208" spans="3:7" ht="13">
      <c r="C208" s="80"/>
      <c r="D208" s="5"/>
      <c r="E208" s="5"/>
      <c r="F208" s="5"/>
      <c r="G208" s="5"/>
    </row>
    <row r="209" spans="3:7" ht="13">
      <c r="C209" s="80"/>
      <c r="D209" s="5"/>
      <c r="E209" s="5"/>
      <c r="F209" s="5"/>
      <c r="G209" s="5"/>
    </row>
    <row r="210" spans="3:7" ht="13">
      <c r="C210" s="80"/>
      <c r="D210" s="5"/>
      <c r="E210" s="5"/>
      <c r="F210" s="5"/>
      <c r="G210" s="5"/>
    </row>
    <row r="211" spans="3:7" ht="13">
      <c r="C211" s="80"/>
      <c r="D211" s="5"/>
      <c r="E211" s="5"/>
      <c r="F211" s="5"/>
      <c r="G211" s="5"/>
    </row>
    <row r="212" spans="3:7" ht="13">
      <c r="C212" s="80"/>
      <c r="D212" s="5"/>
      <c r="E212" s="5"/>
      <c r="F212" s="5"/>
      <c r="G212" s="5"/>
    </row>
    <row r="213" spans="3:7" ht="13">
      <c r="C213" s="80"/>
      <c r="D213" s="5"/>
      <c r="E213" s="5"/>
      <c r="F213" s="5"/>
      <c r="G213" s="5"/>
    </row>
    <row r="214" spans="3:7" ht="13">
      <c r="C214" s="80"/>
      <c r="D214" s="5"/>
      <c r="E214" s="5"/>
      <c r="F214" s="5"/>
      <c r="G214" s="5"/>
    </row>
    <row r="215" spans="3:7" ht="13">
      <c r="C215" s="80"/>
      <c r="D215" s="5"/>
      <c r="E215" s="5"/>
      <c r="F215" s="5"/>
      <c r="G215" s="5"/>
    </row>
    <row r="216" spans="3:7" ht="13">
      <c r="C216" s="80"/>
      <c r="D216" s="5"/>
      <c r="E216" s="5"/>
      <c r="F216" s="5"/>
      <c r="G216" s="5"/>
    </row>
    <row r="217" spans="3:7" ht="13">
      <c r="C217" s="80"/>
      <c r="D217" s="5"/>
      <c r="E217" s="5"/>
      <c r="F217" s="5"/>
      <c r="G217" s="5"/>
    </row>
    <row r="218" spans="3:7" ht="13">
      <c r="C218" s="80"/>
      <c r="D218" s="5"/>
      <c r="E218" s="5"/>
      <c r="F218" s="5"/>
      <c r="G218" s="5"/>
    </row>
    <row r="219" spans="3:7" ht="13">
      <c r="C219" s="80"/>
      <c r="D219" s="5"/>
      <c r="E219" s="5"/>
      <c r="F219" s="5"/>
      <c r="G219" s="5"/>
    </row>
    <row r="220" spans="3:7" ht="13">
      <c r="C220" s="80"/>
      <c r="D220" s="5"/>
      <c r="E220" s="5"/>
      <c r="F220" s="5"/>
      <c r="G220" s="5"/>
    </row>
    <row r="221" spans="3:7" ht="13">
      <c r="C221" s="80"/>
      <c r="D221" s="5"/>
      <c r="E221" s="5"/>
      <c r="F221" s="5"/>
      <c r="G221" s="5"/>
    </row>
    <row r="222" spans="3:7" ht="13">
      <c r="C222" s="80"/>
      <c r="D222" s="5"/>
      <c r="E222" s="5"/>
      <c r="F222" s="5"/>
      <c r="G222" s="5"/>
    </row>
    <row r="223" spans="3:7" ht="13">
      <c r="C223" s="80"/>
      <c r="D223" s="5"/>
      <c r="E223" s="5"/>
      <c r="F223" s="5"/>
      <c r="G223" s="5"/>
    </row>
    <row r="224" spans="3:7" ht="13">
      <c r="C224" s="80"/>
      <c r="D224" s="5"/>
      <c r="E224" s="5"/>
      <c r="F224" s="5"/>
      <c r="G224" s="5"/>
    </row>
    <row r="225" spans="3:7" ht="13">
      <c r="C225" s="80"/>
      <c r="D225" s="5"/>
      <c r="E225" s="5"/>
      <c r="F225" s="5"/>
      <c r="G225" s="5"/>
    </row>
    <row r="226" spans="3:7" ht="13">
      <c r="C226" s="80"/>
      <c r="D226" s="5"/>
      <c r="E226" s="5"/>
      <c r="F226" s="5"/>
      <c r="G226" s="5"/>
    </row>
    <row r="227" spans="3:7" ht="13">
      <c r="C227" s="80"/>
      <c r="D227" s="5"/>
      <c r="E227" s="5"/>
      <c r="F227" s="5"/>
      <c r="G227" s="5"/>
    </row>
    <row r="228" spans="3:7" ht="13">
      <c r="C228" s="80"/>
      <c r="D228" s="5"/>
      <c r="E228" s="5"/>
      <c r="F228" s="5"/>
      <c r="G228" s="5"/>
    </row>
    <row r="229" spans="3:7" ht="13">
      <c r="C229" s="80"/>
      <c r="D229" s="5"/>
      <c r="E229" s="5"/>
      <c r="F229" s="5"/>
      <c r="G229" s="5"/>
    </row>
    <row r="230" spans="3:7" ht="13">
      <c r="C230" s="80"/>
      <c r="D230" s="5"/>
      <c r="E230" s="5"/>
      <c r="F230" s="5"/>
      <c r="G230" s="5"/>
    </row>
    <row r="231" spans="3:7" ht="13">
      <c r="C231" s="80"/>
      <c r="D231" s="5"/>
      <c r="E231" s="5"/>
      <c r="F231" s="5"/>
      <c r="G231" s="5"/>
    </row>
    <row r="232" spans="3:7" ht="13">
      <c r="C232" s="80"/>
      <c r="D232" s="5"/>
      <c r="E232" s="5"/>
      <c r="F232" s="5"/>
      <c r="G232" s="5"/>
    </row>
    <row r="233" spans="3:7" ht="13">
      <c r="C233" s="80"/>
      <c r="D233" s="5"/>
      <c r="E233" s="5"/>
      <c r="F233" s="5"/>
      <c r="G233" s="5"/>
    </row>
    <row r="234" spans="3:7" ht="13">
      <c r="C234" s="80"/>
      <c r="D234" s="5"/>
      <c r="E234" s="5"/>
      <c r="F234" s="5"/>
      <c r="G234" s="5"/>
    </row>
    <row r="235" spans="3:7" ht="13">
      <c r="C235" s="80"/>
      <c r="D235" s="5"/>
      <c r="E235" s="5"/>
      <c r="F235" s="5"/>
      <c r="G235" s="5"/>
    </row>
    <row r="236" spans="3:7" ht="13">
      <c r="C236" s="80"/>
      <c r="D236" s="5"/>
      <c r="E236" s="5"/>
      <c r="F236" s="5"/>
      <c r="G236" s="5"/>
    </row>
    <row r="237" spans="3:7" ht="13">
      <c r="C237" s="80"/>
      <c r="D237" s="5"/>
      <c r="E237" s="5"/>
      <c r="F237" s="5"/>
      <c r="G237" s="5"/>
    </row>
    <row r="238" spans="3:7" ht="13">
      <c r="C238" s="80"/>
      <c r="D238" s="5"/>
      <c r="E238" s="5"/>
      <c r="F238" s="5"/>
      <c r="G238" s="5"/>
    </row>
    <row r="239" spans="3:7" ht="13">
      <c r="C239" s="80"/>
      <c r="D239" s="5"/>
      <c r="E239" s="5"/>
      <c r="F239" s="5"/>
      <c r="G239" s="5"/>
    </row>
    <row r="240" spans="3:7" ht="13">
      <c r="C240" s="80"/>
      <c r="D240" s="5"/>
      <c r="E240" s="5"/>
      <c r="F240" s="5"/>
      <c r="G240" s="5"/>
    </row>
    <row r="241" spans="3:7" ht="13">
      <c r="C241" s="80"/>
      <c r="D241" s="5"/>
      <c r="E241" s="5"/>
      <c r="F241" s="5"/>
      <c r="G241" s="5"/>
    </row>
    <row r="242" spans="3:7" ht="13">
      <c r="C242" s="80"/>
      <c r="D242" s="5"/>
      <c r="E242" s="5"/>
      <c r="F242" s="5"/>
      <c r="G242" s="5"/>
    </row>
    <row r="243" spans="3:7" ht="13">
      <c r="C243" s="80"/>
      <c r="D243" s="5"/>
      <c r="E243" s="5"/>
      <c r="F243" s="5"/>
      <c r="G243" s="5"/>
    </row>
    <row r="244" spans="3:7" ht="13">
      <c r="C244" s="80"/>
      <c r="D244" s="5"/>
      <c r="E244" s="5"/>
      <c r="F244" s="5"/>
      <c r="G244" s="5"/>
    </row>
    <row r="245" spans="3:7" ht="13">
      <c r="C245" s="80"/>
      <c r="D245" s="5"/>
      <c r="E245" s="5"/>
      <c r="F245" s="5"/>
      <c r="G245" s="5"/>
    </row>
    <row r="246" spans="3:7" ht="13">
      <c r="C246" s="80"/>
      <c r="D246" s="5"/>
      <c r="E246" s="5"/>
      <c r="F246" s="5"/>
      <c r="G246" s="5"/>
    </row>
    <row r="247" spans="3:7" ht="13">
      <c r="C247" s="80"/>
      <c r="D247" s="5"/>
      <c r="E247" s="5"/>
      <c r="F247" s="5"/>
      <c r="G247" s="5"/>
    </row>
    <row r="248" spans="3:7" ht="13">
      <c r="C248" s="80"/>
      <c r="D248" s="5"/>
      <c r="E248" s="5"/>
      <c r="F248" s="5"/>
      <c r="G248" s="5"/>
    </row>
    <row r="249" spans="3:7" ht="13">
      <c r="C249" s="80"/>
      <c r="D249" s="5"/>
      <c r="E249" s="5"/>
      <c r="F249" s="5"/>
      <c r="G249" s="5"/>
    </row>
    <row r="250" spans="3:7" ht="13">
      <c r="C250" s="80"/>
      <c r="D250" s="5"/>
      <c r="E250" s="5"/>
      <c r="F250" s="5"/>
      <c r="G250" s="5"/>
    </row>
    <row r="251" spans="3:7" ht="13">
      <c r="C251" s="80"/>
      <c r="D251" s="5"/>
      <c r="E251" s="5"/>
      <c r="F251" s="5"/>
      <c r="G251" s="5"/>
    </row>
    <row r="252" spans="3:7" ht="13">
      <c r="C252" s="80"/>
      <c r="D252" s="5"/>
      <c r="E252" s="5"/>
      <c r="F252" s="5"/>
      <c r="G252" s="5"/>
    </row>
    <row r="253" spans="3:7" ht="13">
      <c r="C253" s="80"/>
      <c r="D253" s="5"/>
      <c r="E253" s="5"/>
      <c r="F253" s="5"/>
      <c r="G253" s="5"/>
    </row>
    <row r="254" spans="3:7" ht="13">
      <c r="C254" s="80"/>
      <c r="D254" s="5"/>
      <c r="E254" s="5"/>
      <c r="F254" s="5"/>
      <c r="G254" s="5"/>
    </row>
    <row r="255" spans="3:7" ht="13">
      <c r="C255" s="80"/>
      <c r="D255" s="5"/>
      <c r="E255" s="5"/>
      <c r="F255" s="5"/>
      <c r="G255" s="5"/>
    </row>
    <row r="256" spans="3:7" ht="13">
      <c r="C256" s="80"/>
      <c r="D256" s="5"/>
      <c r="E256" s="5"/>
      <c r="F256" s="5"/>
      <c r="G256" s="5"/>
    </row>
    <row r="257" spans="3:7" ht="13">
      <c r="C257" s="80"/>
      <c r="D257" s="5"/>
      <c r="E257" s="5"/>
      <c r="F257" s="5"/>
      <c r="G257" s="5"/>
    </row>
    <row r="258" spans="3:7" ht="13">
      <c r="C258" s="80"/>
      <c r="D258" s="5"/>
      <c r="E258" s="5"/>
      <c r="F258" s="5"/>
      <c r="G258" s="5"/>
    </row>
    <row r="259" spans="3:7" ht="13">
      <c r="C259" s="80"/>
      <c r="D259" s="5"/>
      <c r="E259" s="5"/>
      <c r="F259" s="5"/>
      <c r="G259" s="5"/>
    </row>
    <row r="260" spans="3:7" ht="13">
      <c r="C260" s="80"/>
      <c r="D260" s="5"/>
      <c r="E260" s="5"/>
      <c r="F260" s="5"/>
      <c r="G260" s="5"/>
    </row>
    <row r="261" spans="3:7" ht="13">
      <c r="C261" s="80"/>
      <c r="D261" s="5"/>
      <c r="E261" s="5"/>
      <c r="F261" s="5"/>
      <c r="G261" s="5"/>
    </row>
    <row r="262" spans="3:7" ht="13">
      <c r="C262" s="80"/>
      <c r="D262" s="5"/>
      <c r="E262" s="5"/>
      <c r="F262" s="5"/>
      <c r="G262" s="5"/>
    </row>
    <row r="263" spans="3:7" ht="13">
      <c r="C263" s="80"/>
      <c r="D263" s="5"/>
      <c r="E263" s="5"/>
      <c r="F263" s="5"/>
      <c r="G263" s="5"/>
    </row>
    <row r="264" spans="3:7" ht="13">
      <c r="C264" s="80"/>
      <c r="D264" s="5"/>
      <c r="E264" s="5"/>
      <c r="F264" s="5"/>
      <c r="G264" s="5"/>
    </row>
    <row r="265" spans="3:7" ht="13">
      <c r="C265" s="80"/>
      <c r="D265" s="5"/>
      <c r="E265" s="5"/>
      <c r="F265" s="5"/>
      <c r="G265" s="5"/>
    </row>
    <row r="266" spans="3:7" ht="13">
      <c r="C266" s="80"/>
      <c r="D266" s="5"/>
      <c r="E266" s="5"/>
      <c r="F266" s="5"/>
      <c r="G266" s="5"/>
    </row>
    <row r="267" spans="3:7" ht="13">
      <c r="C267" s="80"/>
      <c r="D267" s="5"/>
      <c r="E267" s="5"/>
      <c r="F267" s="5"/>
      <c r="G267" s="5"/>
    </row>
    <row r="268" spans="3:7" ht="13">
      <c r="C268" s="80"/>
      <c r="D268" s="5"/>
      <c r="E268" s="5"/>
      <c r="F268" s="5"/>
      <c r="G268" s="5"/>
    </row>
    <row r="269" spans="3:7" ht="13">
      <c r="C269" s="80"/>
      <c r="D269" s="5"/>
      <c r="E269" s="5"/>
      <c r="F269" s="5"/>
      <c r="G269" s="5"/>
    </row>
    <row r="270" spans="3:7" ht="13">
      <c r="C270" s="80"/>
      <c r="D270" s="5"/>
      <c r="E270" s="5"/>
      <c r="F270" s="5"/>
      <c r="G270" s="5"/>
    </row>
    <row r="271" spans="3:7" ht="13">
      <c r="C271" s="80"/>
      <c r="D271" s="5"/>
      <c r="E271" s="5"/>
      <c r="F271" s="5"/>
      <c r="G271" s="5"/>
    </row>
    <row r="272" spans="3:7" ht="13">
      <c r="C272" s="80"/>
      <c r="D272" s="5"/>
      <c r="E272" s="5"/>
      <c r="F272" s="5"/>
      <c r="G272" s="5"/>
    </row>
    <row r="273" spans="3:7" ht="13">
      <c r="C273" s="80"/>
      <c r="D273" s="5"/>
      <c r="E273" s="5"/>
      <c r="F273" s="5"/>
      <c r="G273" s="5"/>
    </row>
    <row r="274" spans="3:7" ht="13">
      <c r="C274" s="80"/>
      <c r="D274" s="5"/>
      <c r="E274" s="5"/>
      <c r="F274" s="5"/>
      <c r="G274" s="5"/>
    </row>
    <row r="275" spans="3:7" ht="13">
      <c r="C275" s="80"/>
      <c r="D275" s="5"/>
      <c r="E275" s="5"/>
      <c r="F275" s="5"/>
      <c r="G275" s="5"/>
    </row>
    <row r="276" spans="3:7" ht="13">
      <c r="C276" s="80"/>
      <c r="D276" s="5"/>
      <c r="E276" s="5"/>
      <c r="F276" s="5"/>
      <c r="G276" s="5"/>
    </row>
    <row r="277" spans="3:7" ht="13">
      <c r="C277" s="80"/>
      <c r="D277" s="5"/>
      <c r="E277" s="5"/>
      <c r="F277" s="5"/>
      <c r="G277" s="5"/>
    </row>
    <row r="278" spans="3:7" ht="13">
      <c r="C278" s="80"/>
      <c r="D278" s="5"/>
      <c r="E278" s="5"/>
      <c r="F278" s="5"/>
      <c r="G278" s="5"/>
    </row>
    <row r="279" spans="3:7" ht="13">
      <c r="C279" s="80"/>
      <c r="D279" s="5"/>
      <c r="E279" s="5"/>
      <c r="F279" s="5"/>
      <c r="G279" s="5"/>
    </row>
    <row r="280" spans="3:7" ht="13">
      <c r="C280" s="80"/>
      <c r="D280" s="5"/>
      <c r="E280" s="5"/>
      <c r="F280" s="5"/>
      <c r="G280" s="5"/>
    </row>
    <row r="281" spans="3:7" ht="13">
      <c r="C281" s="80"/>
      <c r="D281" s="5"/>
      <c r="E281" s="5"/>
      <c r="F281" s="5"/>
      <c r="G281" s="5"/>
    </row>
    <row r="282" spans="3:7" ht="13">
      <c r="C282" s="80"/>
      <c r="D282" s="5"/>
      <c r="E282" s="5"/>
      <c r="F282" s="5"/>
      <c r="G282" s="5"/>
    </row>
    <row r="283" spans="3:7" ht="13">
      <c r="C283" s="80"/>
      <c r="D283" s="5"/>
      <c r="E283" s="5"/>
      <c r="F283" s="5"/>
      <c r="G283" s="5"/>
    </row>
    <row r="284" spans="3:7" ht="13">
      <c r="C284" s="80"/>
      <c r="D284" s="5"/>
      <c r="E284" s="5"/>
      <c r="F284" s="5"/>
      <c r="G284" s="5"/>
    </row>
    <row r="285" spans="3:7" ht="13">
      <c r="C285" s="80"/>
      <c r="D285" s="5"/>
      <c r="E285" s="5"/>
      <c r="F285" s="5"/>
      <c r="G285" s="5"/>
    </row>
    <row r="286" spans="3:7" ht="13">
      <c r="C286" s="80"/>
      <c r="D286" s="5"/>
      <c r="E286" s="5"/>
      <c r="F286" s="5"/>
      <c r="G286" s="5"/>
    </row>
    <row r="287" spans="3:7" ht="13">
      <c r="C287" s="80"/>
      <c r="D287" s="5"/>
      <c r="E287" s="5"/>
      <c r="F287" s="5"/>
      <c r="G287" s="5"/>
    </row>
    <row r="288" spans="3:7" ht="13">
      <c r="C288" s="80"/>
      <c r="D288" s="5"/>
      <c r="E288" s="5"/>
      <c r="F288" s="5"/>
      <c r="G288" s="5"/>
    </row>
    <row r="289" spans="3:7" ht="13">
      <c r="C289" s="80"/>
      <c r="D289" s="5"/>
      <c r="E289" s="5"/>
      <c r="F289" s="5"/>
      <c r="G289" s="5"/>
    </row>
    <row r="290" spans="3:7" ht="13">
      <c r="C290" s="80"/>
      <c r="D290" s="5"/>
      <c r="E290" s="5"/>
      <c r="F290" s="5"/>
      <c r="G290" s="5"/>
    </row>
    <row r="291" spans="3:7" ht="13">
      <c r="C291" s="80"/>
      <c r="D291" s="5"/>
      <c r="E291" s="5"/>
      <c r="F291" s="5"/>
      <c r="G291" s="5"/>
    </row>
    <row r="292" spans="3:7" ht="13">
      <c r="C292" s="80"/>
      <c r="D292" s="5"/>
      <c r="E292" s="5"/>
      <c r="F292" s="5"/>
      <c r="G292" s="5"/>
    </row>
    <row r="293" spans="3:7" ht="13">
      <c r="C293" s="80"/>
      <c r="D293" s="5"/>
      <c r="E293" s="5"/>
      <c r="F293" s="5"/>
      <c r="G293" s="5"/>
    </row>
    <row r="294" spans="3:7" ht="13">
      <c r="C294" s="80"/>
      <c r="D294" s="5"/>
      <c r="E294" s="5"/>
      <c r="F294" s="5"/>
      <c r="G294" s="5"/>
    </row>
    <row r="295" spans="3:7" ht="13">
      <c r="C295" s="80"/>
      <c r="D295" s="5"/>
      <c r="E295" s="5"/>
      <c r="F295" s="5"/>
      <c r="G295" s="5"/>
    </row>
    <row r="296" spans="3:7" ht="13">
      <c r="C296" s="80"/>
      <c r="D296" s="5"/>
      <c r="E296" s="5"/>
      <c r="F296" s="5"/>
      <c r="G296" s="5"/>
    </row>
    <row r="297" spans="3:7" ht="13">
      <c r="C297" s="80"/>
      <c r="D297" s="5"/>
      <c r="E297" s="5"/>
      <c r="F297" s="5"/>
      <c r="G297" s="5"/>
    </row>
    <row r="298" spans="3:7" ht="13">
      <c r="C298" s="80"/>
      <c r="D298" s="5"/>
      <c r="E298" s="5"/>
      <c r="F298" s="5"/>
      <c r="G298" s="5"/>
    </row>
    <row r="299" spans="3:7" ht="13">
      <c r="C299" s="80"/>
      <c r="D299" s="5"/>
      <c r="E299" s="5"/>
      <c r="F299" s="5"/>
      <c r="G299" s="5"/>
    </row>
    <row r="300" spans="3:7" ht="13">
      <c r="C300" s="80"/>
      <c r="D300" s="5"/>
      <c r="E300" s="5"/>
      <c r="F300" s="5"/>
      <c r="G300" s="5"/>
    </row>
    <row r="301" spans="3:7" ht="13">
      <c r="C301" s="80"/>
      <c r="D301" s="5"/>
      <c r="E301" s="5"/>
      <c r="F301" s="5"/>
      <c r="G301" s="5"/>
    </row>
    <row r="302" spans="3:7" ht="13">
      <c r="C302" s="80"/>
      <c r="D302" s="5"/>
      <c r="E302" s="5"/>
      <c r="F302" s="5"/>
      <c r="G302" s="5"/>
    </row>
    <row r="303" spans="3:7" ht="13">
      <c r="C303" s="80"/>
      <c r="D303" s="5"/>
      <c r="E303" s="5"/>
      <c r="F303" s="5"/>
      <c r="G303" s="5"/>
    </row>
    <row r="304" spans="3:7" ht="13">
      <c r="C304" s="80"/>
      <c r="D304" s="5"/>
      <c r="E304" s="5"/>
      <c r="F304" s="5"/>
      <c r="G304" s="5"/>
    </row>
    <row r="305" spans="3:7" ht="13">
      <c r="C305" s="80"/>
      <c r="D305" s="5"/>
      <c r="E305" s="5"/>
      <c r="F305" s="5"/>
      <c r="G305" s="5"/>
    </row>
    <row r="306" spans="3:7" ht="13">
      <c r="C306" s="80"/>
      <c r="D306" s="5"/>
      <c r="E306" s="5"/>
      <c r="F306" s="5"/>
      <c r="G306" s="5"/>
    </row>
    <row r="307" spans="3:7" ht="13">
      <c r="C307" s="80"/>
      <c r="D307" s="5"/>
      <c r="E307" s="5"/>
      <c r="F307" s="5"/>
      <c r="G307" s="5"/>
    </row>
    <row r="308" spans="3:7" ht="13">
      <c r="C308" s="80"/>
      <c r="D308" s="5"/>
      <c r="E308" s="5"/>
      <c r="F308" s="5"/>
      <c r="G308" s="5"/>
    </row>
    <row r="309" spans="3:7" ht="13">
      <c r="C309" s="80"/>
      <c r="D309" s="5"/>
      <c r="E309" s="5"/>
      <c r="F309" s="5"/>
      <c r="G309" s="5"/>
    </row>
    <row r="310" spans="3:7" ht="13">
      <c r="C310" s="80"/>
      <c r="D310" s="5"/>
      <c r="E310" s="5"/>
      <c r="F310" s="5"/>
      <c r="G310" s="5"/>
    </row>
    <row r="311" spans="3:7" ht="13">
      <c r="C311" s="80"/>
      <c r="D311" s="5"/>
      <c r="E311" s="5"/>
      <c r="F311" s="5"/>
      <c r="G311" s="5"/>
    </row>
    <row r="312" spans="3:7" ht="13">
      <c r="C312" s="80"/>
      <c r="D312" s="5"/>
      <c r="E312" s="5"/>
      <c r="F312" s="5"/>
      <c r="G312" s="5"/>
    </row>
    <row r="313" spans="3:7" ht="13">
      <c r="C313" s="80"/>
      <c r="D313" s="5"/>
      <c r="E313" s="5"/>
      <c r="F313" s="5"/>
      <c r="G313" s="5"/>
    </row>
    <row r="314" spans="3:7" ht="13">
      <c r="C314" s="80"/>
      <c r="D314" s="5"/>
      <c r="E314" s="5"/>
      <c r="F314" s="5"/>
      <c r="G314" s="5"/>
    </row>
    <row r="315" spans="3:7" ht="13">
      <c r="C315" s="80"/>
      <c r="D315" s="5"/>
      <c r="E315" s="5"/>
      <c r="F315" s="5"/>
      <c r="G315" s="5"/>
    </row>
    <row r="316" spans="3:7" ht="13">
      <c r="C316" s="80"/>
      <c r="D316" s="5"/>
      <c r="E316" s="5"/>
      <c r="F316" s="5"/>
      <c r="G316" s="5"/>
    </row>
    <row r="317" spans="3:7" ht="13">
      <c r="C317" s="80"/>
      <c r="D317" s="5"/>
      <c r="E317" s="5"/>
      <c r="F317" s="5"/>
      <c r="G317" s="5"/>
    </row>
    <row r="318" spans="3:7" ht="13">
      <c r="C318" s="80"/>
      <c r="D318" s="5"/>
      <c r="E318" s="5"/>
      <c r="F318" s="5"/>
      <c r="G318" s="5"/>
    </row>
    <row r="319" spans="3:7" ht="13">
      <c r="C319" s="80"/>
      <c r="D319" s="5"/>
      <c r="E319" s="5"/>
      <c r="F319" s="5"/>
      <c r="G319" s="5"/>
    </row>
    <row r="320" spans="3:7" ht="13">
      <c r="C320" s="80"/>
      <c r="D320" s="5"/>
      <c r="E320" s="5"/>
      <c r="F320" s="5"/>
      <c r="G320" s="5"/>
    </row>
    <row r="321" spans="3:7" ht="13">
      <c r="C321" s="80"/>
      <c r="D321" s="5"/>
      <c r="E321" s="5"/>
      <c r="F321" s="5"/>
      <c r="G321" s="5"/>
    </row>
    <row r="322" spans="3:7" ht="13">
      <c r="C322" s="80"/>
      <c r="D322" s="5"/>
      <c r="E322" s="5"/>
      <c r="F322" s="5"/>
      <c r="G322" s="5"/>
    </row>
    <row r="323" spans="3:7" ht="13">
      <c r="C323" s="80"/>
      <c r="D323" s="5"/>
      <c r="E323" s="5"/>
      <c r="F323" s="5"/>
      <c r="G323" s="5"/>
    </row>
    <row r="324" spans="3:7" ht="13">
      <c r="C324" s="80"/>
      <c r="D324" s="5"/>
      <c r="E324" s="5"/>
      <c r="F324" s="5"/>
      <c r="G324" s="5"/>
    </row>
    <row r="325" spans="3:7" ht="13">
      <c r="C325" s="80"/>
      <c r="D325" s="5"/>
      <c r="E325" s="5"/>
      <c r="F325" s="5"/>
      <c r="G325" s="5"/>
    </row>
    <row r="326" spans="3:7" ht="13">
      <c r="C326" s="80"/>
      <c r="D326" s="5"/>
      <c r="E326" s="5"/>
      <c r="F326" s="5"/>
      <c r="G326" s="5"/>
    </row>
    <row r="327" spans="3:7" ht="13">
      <c r="C327" s="80"/>
      <c r="D327" s="5"/>
      <c r="E327" s="5"/>
      <c r="F327" s="5"/>
      <c r="G327" s="5"/>
    </row>
    <row r="328" spans="3:7" ht="13">
      <c r="C328" s="80"/>
      <c r="D328" s="5"/>
      <c r="E328" s="5"/>
      <c r="F328" s="5"/>
      <c r="G328" s="5"/>
    </row>
    <row r="329" spans="3:7" ht="13">
      <c r="C329" s="80"/>
      <c r="D329" s="5"/>
      <c r="E329" s="5"/>
      <c r="F329" s="5"/>
      <c r="G329" s="5"/>
    </row>
    <row r="330" spans="3:7" ht="13">
      <c r="C330" s="80"/>
      <c r="D330" s="5"/>
      <c r="E330" s="5"/>
      <c r="F330" s="5"/>
      <c r="G330" s="5"/>
    </row>
    <row r="331" spans="3:7" ht="13">
      <c r="C331" s="80"/>
      <c r="D331" s="5"/>
      <c r="E331" s="5"/>
      <c r="F331" s="5"/>
      <c r="G331" s="5"/>
    </row>
    <row r="332" spans="3:7" ht="13">
      <c r="C332" s="80"/>
      <c r="D332" s="5"/>
      <c r="E332" s="5"/>
      <c r="F332" s="5"/>
      <c r="G332" s="5"/>
    </row>
    <row r="333" spans="3:7" ht="13">
      <c r="C333" s="80"/>
      <c r="D333" s="5"/>
      <c r="E333" s="5"/>
      <c r="F333" s="5"/>
      <c r="G333" s="5"/>
    </row>
    <row r="334" spans="3:7" ht="13">
      <c r="C334" s="80"/>
      <c r="D334" s="5"/>
      <c r="E334" s="5"/>
      <c r="F334" s="5"/>
      <c r="G334" s="5"/>
    </row>
    <row r="335" spans="3:7" ht="13">
      <c r="C335" s="80"/>
      <c r="D335" s="5"/>
      <c r="E335" s="5"/>
      <c r="F335" s="5"/>
      <c r="G335" s="5"/>
    </row>
    <row r="336" spans="3:7" ht="13">
      <c r="C336" s="80"/>
      <c r="D336" s="5"/>
      <c r="E336" s="5"/>
      <c r="F336" s="5"/>
      <c r="G336" s="5"/>
    </row>
    <row r="337" spans="3:7" ht="13">
      <c r="C337" s="80"/>
      <c r="D337" s="5"/>
      <c r="E337" s="5"/>
      <c r="F337" s="5"/>
      <c r="G337" s="5"/>
    </row>
    <row r="338" spans="3:7" ht="13">
      <c r="C338" s="80"/>
      <c r="D338" s="5"/>
      <c r="E338" s="5"/>
      <c r="F338" s="5"/>
      <c r="G338" s="5"/>
    </row>
    <row r="339" spans="3:7" ht="13">
      <c r="C339" s="80"/>
      <c r="D339" s="5"/>
      <c r="E339" s="5"/>
      <c r="F339" s="5"/>
      <c r="G339" s="5"/>
    </row>
    <row r="340" spans="3:7" ht="13">
      <c r="C340" s="80"/>
      <c r="D340" s="5"/>
      <c r="E340" s="5"/>
      <c r="F340" s="5"/>
      <c r="G340" s="5"/>
    </row>
    <row r="341" spans="3:7" ht="13">
      <c r="C341" s="80"/>
      <c r="D341" s="5"/>
      <c r="E341" s="5"/>
      <c r="F341" s="5"/>
      <c r="G341" s="5"/>
    </row>
    <row r="342" spans="3:7" ht="13">
      <c r="C342" s="80"/>
      <c r="D342" s="5"/>
      <c r="E342" s="5"/>
      <c r="F342" s="5"/>
      <c r="G342" s="5"/>
    </row>
    <row r="343" spans="3:7" ht="13">
      <c r="C343" s="80"/>
      <c r="D343" s="5"/>
      <c r="E343" s="5"/>
      <c r="F343" s="5"/>
      <c r="G343" s="5"/>
    </row>
    <row r="344" spans="3:7" ht="13">
      <c r="C344" s="80"/>
      <c r="D344" s="5"/>
      <c r="E344" s="5"/>
      <c r="F344" s="5"/>
      <c r="G344" s="5"/>
    </row>
    <row r="345" spans="3:7" ht="13">
      <c r="C345" s="80"/>
      <c r="D345" s="5"/>
      <c r="E345" s="5"/>
      <c r="F345" s="5"/>
      <c r="G345" s="5"/>
    </row>
    <row r="346" spans="3:7" ht="13">
      <c r="C346" s="80"/>
      <c r="D346" s="5"/>
      <c r="E346" s="5"/>
      <c r="F346" s="5"/>
      <c r="G346" s="5"/>
    </row>
    <row r="347" spans="3:7" ht="13">
      <c r="C347" s="80"/>
      <c r="D347" s="5"/>
      <c r="E347" s="5"/>
      <c r="F347" s="5"/>
      <c r="G347" s="5"/>
    </row>
    <row r="348" spans="3:7" ht="13">
      <c r="C348" s="80"/>
      <c r="D348" s="5"/>
      <c r="E348" s="5"/>
      <c r="F348" s="5"/>
      <c r="G348" s="5"/>
    </row>
    <row r="349" spans="3:7" ht="13">
      <c r="C349" s="80"/>
      <c r="D349" s="5"/>
      <c r="E349" s="5"/>
      <c r="F349" s="5"/>
      <c r="G349" s="5"/>
    </row>
    <row r="350" spans="3:7" ht="13">
      <c r="C350" s="80"/>
      <c r="D350" s="5"/>
      <c r="E350" s="5"/>
      <c r="F350" s="5"/>
      <c r="G350" s="5"/>
    </row>
    <row r="351" spans="3:7" ht="13">
      <c r="C351" s="80"/>
      <c r="D351" s="5"/>
      <c r="E351" s="5"/>
      <c r="F351" s="5"/>
      <c r="G351" s="5"/>
    </row>
    <row r="352" spans="3:7" ht="13">
      <c r="C352" s="80"/>
      <c r="D352" s="5"/>
      <c r="E352" s="5"/>
      <c r="F352" s="5"/>
      <c r="G352" s="5"/>
    </row>
    <row r="353" spans="3:7" ht="13">
      <c r="C353" s="80"/>
      <c r="D353" s="5"/>
      <c r="E353" s="5"/>
      <c r="F353" s="5"/>
      <c r="G353" s="5"/>
    </row>
    <row r="354" spans="3:7" ht="13">
      <c r="C354" s="80"/>
      <c r="D354" s="5"/>
      <c r="E354" s="5"/>
      <c r="F354" s="5"/>
      <c r="G354" s="5"/>
    </row>
    <row r="355" spans="3:7" ht="13">
      <c r="C355" s="80"/>
      <c r="D355" s="5"/>
      <c r="E355" s="5"/>
      <c r="F355" s="5"/>
      <c r="G355" s="5"/>
    </row>
    <row r="356" spans="3:7" ht="13">
      <c r="C356" s="80"/>
      <c r="D356" s="5"/>
      <c r="E356" s="5"/>
      <c r="F356" s="5"/>
      <c r="G356" s="5"/>
    </row>
    <row r="357" spans="3:7" ht="13">
      <c r="C357" s="80"/>
      <c r="D357" s="5"/>
      <c r="E357" s="5"/>
      <c r="F357" s="5"/>
      <c r="G357" s="5"/>
    </row>
    <row r="358" spans="3:7" ht="13">
      <c r="C358" s="80"/>
      <c r="D358" s="5"/>
      <c r="E358" s="5"/>
      <c r="F358" s="5"/>
      <c r="G358" s="5"/>
    </row>
    <row r="359" spans="3:7" ht="13">
      <c r="C359" s="80"/>
      <c r="D359" s="5"/>
      <c r="E359" s="5"/>
      <c r="F359" s="5"/>
      <c r="G359" s="5"/>
    </row>
    <row r="360" spans="3:7" ht="13">
      <c r="C360" s="80"/>
      <c r="D360" s="5"/>
      <c r="E360" s="5"/>
      <c r="F360" s="5"/>
      <c r="G360" s="5"/>
    </row>
    <row r="361" spans="3:7" ht="13">
      <c r="C361" s="80"/>
      <c r="D361" s="5"/>
      <c r="E361" s="5"/>
      <c r="F361" s="5"/>
      <c r="G361" s="5"/>
    </row>
    <row r="362" spans="3:7" ht="13">
      <c r="C362" s="80"/>
      <c r="D362" s="5"/>
      <c r="E362" s="5"/>
      <c r="F362" s="5"/>
      <c r="G362" s="5"/>
    </row>
    <row r="363" spans="3:7" ht="13">
      <c r="C363" s="80"/>
      <c r="D363" s="5"/>
      <c r="E363" s="5"/>
      <c r="F363" s="5"/>
      <c r="G363" s="5"/>
    </row>
    <row r="364" spans="3:7" ht="13">
      <c r="C364" s="80"/>
      <c r="D364" s="5"/>
      <c r="E364" s="5"/>
      <c r="F364" s="5"/>
      <c r="G364" s="5"/>
    </row>
    <row r="365" spans="3:7" ht="13">
      <c r="C365" s="80"/>
      <c r="D365" s="5"/>
      <c r="E365" s="5"/>
      <c r="F365" s="5"/>
      <c r="G365" s="5"/>
    </row>
    <row r="366" spans="3:7" ht="13">
      <c r="C366" s="80"/>
      <c r="D366" s="5"/>
      <c r="E366" s="5"/>
      <c r="F366" s="5"/>
      <c r="G366" s="5"/>
    </row>
    <row r="367" spans="3:7" ht="13">
      <c r="C367" s="80"/>
      <c r="D367" s="5"/>
      <c r="E367" s="5"/>
      <c r="F367" s="5"/>
      <c r="G367" s="5"/>
    </row>
    <row r="368" spans="3:7" ht="13">
      <c r="C368" s="80"/>
      <c r="D368" s="5"/>
      <c r="E368" s="5"/>
      <c r="F368" s="5"/>
      <c r="G368" s="5"/>
    </row>
    <row r="369" spans="3:7" ht="13">
      <c r="C369" s="80"/>
      <c r="D369" s="5"/>
      <c r="E369" s="5"/>
      <c r="F369" s="5"/>
      <c r="G369" s="5"/>
    </row>
    <row r="370" spans="3:7" ht="13">
      <c r="C370" s="80"/>
      <c r="D370" s="5"/>
      <c r="E370" s="5"/>
      <c r="F370" s="5"/>
      <c r="G370" s="5"/>
    </row>
    <row r="371" spans="3:7" ht="13">
      <c r="C371" s="80"/>
      <c r="D371" s="5"/>
      <c r="E371" s="5"/>
      <c r="F371" s="5"/>
      <c r="G371" s="5"/>
    </row>
    <row r="372" spans="3:7" ht="13">
      <c r="C372" s="80"/>
      <c r="D372" s="5"/>
      <c r="E372" s="5"/>
      <c r="F372" s="5"/>
      <c r="G372" s="5"/>
    </row>
    <row r="373" spans="3:7" ht="13">
      <c r="C373" s="80"/>
      <c r="D373" s="5"/>
      <c r="E373" s="5"/>
      <c r="F373" s="5"/>
      <c r="G373" s="5"/>
    </row>
    <row r="374" spans="3:7" ht="13">
      <c r="C374" s="80"/>
      <c r="D374" s="5"/>
      <c r="E374" s="5"/>
      <c r="F374" s="5"/>
      <c r="G374" s="5"/>
    </row>
    <row r="375" spans="3:7" ht="13">
      <c r="C375" s="80"/>
      <c r="D375" s="5"/>
      <c r="E375" s="5"/>
      <c r="F375" s="5"/>
      <c r="G375" s="5"/>
    </row>
    <row r="376" spans="3:7" ht="13">
      <c r="C376" s="80"/>
      <c r="D376" s="5"/>
      <c r="E376" s="5"/>
      <c r="F376" s="5"/>
      <c r="G376" s="5"/>
    </row>
    <row r="377" spans="3:7" ht="13">
      <c r="C377" s="80"/>
      <c r="D377" s="5"/>
      <c r="E377" s="5"/>
      <c r="F377" s="5"/>
      <c r="G377" s="5"/>
    </row>
    <row r="378" spans="3:7" ht="13">
      <c r="C378" s="80"/>
      <c r="D378" s="5"/>
      <c r="E378" s="5"/>
      <c r="F378" s="5"/>
      <c r="G378" s="5"/>
    </row>
    <row r="379" spans="3:7" ht="13">
      <c r="C379" s="80"/>
      <c r="D379" s="5"/>
      <c r="E379" s="5"/>
      <c r="F379" s="5"/>
      <c r="G379" s="5"/>
    </row>
    <row r="380" spans="3:7" ht="13">
      <c r="C380" s="80"/>
      <c r="D380" s="5"/>
      <c r="E380" s="5"/>
      <c r="F380" s="5"/>
      <c r="G380" s="5"/>
    </row>
    <row r="381" spans="3:7" ht="13">
      <c r="C381" s="80"/>
      <c r="D381" s="5"/>
      <c r="E381" s="5"/>
      <c r="F381" s="5"/>
      <c r="G381" s="5"/>
    </row>
    <row r="382" spans="3:7" ht="13">
      <c r="C382" s="80"/>
      <c r="D382" s="5"/>
      <c r="E382" s="5"/>
      <c r="F382" s="5"/>
      <c r="G382" s="5"/>
    </row>
    <row r="383" spans="3:7" ht="13">
      <c r="C383" s="80"/>
      <c r="D383" s="5"/>
      <c r="E383" s="5"/>
      <c r="F383" s="5"/>
      <c r="G383" s="5"/>
    </row>
    <row r="384" spans="3:7" ht="13">
      <c r="C384" s="80"/>
      <c r="D384" s="5"/>
      <c r="E384" s="5"/>
      <c r="F384" s="5"/>
      <c r="G384" s="5"/>
    </row>
    <row r="385" spans="3:7" ht="13">
      <c r="C385" s="80"/>
      <c r="D385" s="5"/>
      <c r="E385" s="5"/>
      <c r="F385" s="5"/>
      <c r="G385" s="5"/>
    </row>
    <row r="386" spans="3:7" ht="13">
      <c r="C386" s="80"/>
      <c r="D386" s="5"/>
      <c r="E386" s="5"/>
      <c r="F386" s="5"/>
      <c r="G386" s="5"/>
    </row>
    <row r="387" spans="3:7" ht="13">
      <c r="C387" s="80"/>
      <c r="D387" s="5"/>
      <c r="E387" s="5"/>
      <c r="F387" s="5"/>
      <c r="G387" s="5"/>
    </row>
    <row r="388" spans="3:7" ht="13">
      <c r="C388" s="80"/>
      <c r="D388" s="5"/>
      <c r="E388" s="5"/>
      <c r="F388" s="5"/>
      <c r="G388" s="5"/>
    </row>
    <row r="389" spans="3:7" ht="13">
      <c r="C389" s="80"/>
      <c r="D389" s="5"/>
      <c r="E389" s="5"/>
      <c r="F389" s="5"/>
      <c r="G389" s="5"/>
    </row>
    <row r="390" spans="3:7" ht="13">
      <c r="C390" s="80"/>
      <c r="D390" s="5"/>
      <c r="E390" s="5"/>
      <c r="F390" s="5"/>
      <c r="G390" s="5"/>
    </row>
    <row r="391" spans="3:7" ht="13">
      <c r="C391" s="80"/>
      <c r="D391" s="5"/>
      <c r="E391" s="5"/>
      <c r="F391" s="5"/>
      <c r="G391" s="5"/>
    </row>
    <row r="392" spans="3:7" ht="13">
      <c r="C392" s="80"/>
      <c r="D392" s="5"/>
      <c r="E392" s="5"/>
      <c r="F392" s="5"/>
      <c r="G392" s="5"/>
    </row>
    <row r="393" spans="3:7" ht="13">
      <c r="C393" s="80"/>
      <c r="D393" s="5"/>
      <c r="E393" s="5"/>
      <c r="F393" s="5"/>
      <c r="G393" s="5"/>
    </row>
    <row r="394" spans="3:7" ht="13">
      <c r="C394" s="80"/>
      <c r="D394" s="5"/>
      <c r="E394" s="5"/>
      <c r="F394" s="5"/>
      <c r="G394" s="5"/>
    </row>
    <row r="395" spans="3:7" ht="13">
      <c r="C395" s="80"/>
      <c r="D395" s="5"/>
      <c r="E395" s="5"/>
      <c r="F395" s="5"/>
      <c r="G395" s="5"/>
    </row>
    <row r="396" spans="3:7" ht="13">
      <c r="C396" s="80"/>
      <c r="D396" s="5"/>
      <c r="E396" s="5"/>
      <c r="F396" s="5"/>
      <c r="G396" s="5"/>
    </row>
    <row r="397" spans="3:7" ht="13">
      <c r="C397" s="80"/>
      <c r="D397" s="5"/>
      <c r="E397" s="5"/>
      <c r="F397" s="5"/>
      <c r="G397" s="5"/>
    </row>
    <row r="398" spans="3:7" ht="13">
      <c r="C398" s="80"/>
      <c r="D398" s="5"/>
      <c r="E398" s="5"/>
      <c r="F398" s="5"/>
      <c r="G398" s="5"/>
    </row>
    <row r="399" spans="3:7" ht="13">
      <c r="C399" s="80"/>
      <c r="D399" s="5"/>
      <c r="E399" s="5"/>
      <c r="F399" s="5"/>
      <c r="G399" s="5"/>
    </row>
    <row r="400" spans="3:7" ht="13">
      <c r="C400" s="80"/>
      <c r="D400" s="5"/>
      <c r="E400" s="5"/>
      <c r="F400" s="5"/>
      <c r="G400" s="5"/>
    </row>
    <row r="401" spans="3:7" ht="13">
      <c r="C401" s="80"/>
      <c r="D401" s="5"/>
      <c r="E401" s="5"/>
      <c r="F401" s="5"/>
      <c r="G401" s="5"/>
    </row>
    <row r="402" spans="3:7" ht="13">
      <c r="C402" s="80"/>
      <c r="D402" s="5"/>
      <c r="E402" s="5"/>
      <c r="F402" s="5"/>
      <c r="G402" s="5"/>
    </row>
    <row r="403" spans="3:7" ht="13">
      <c r="C403" s="80"/>
      <c r="D403" s="5"/>
      <c r="E403" s="5"/>
      <c r="F403" s="5"/>
      <c r="G403" s="5"/>
    </row>
    <row r="404" spans="3:7" ht="13">
      <c r="C404" s="80"/>
      <c r="D404" s="5"/>
      <c r="E404" s="5"/>
      <c r="F404" s="5"/>
      <c r="G404" s="5"/>
    </row>
    <row r="405" spans="3:7" ht="13">
      <c r="C405" s="80"/>
      <c r="D405" s="5"/>
      <c r="E405" s="5"/>
      <c r="F405" s="5"/>
      <c r="G405" s="5"/>
    </row>
    <row r="406" spans="3:7" ht="13">
      <c r="C406" s="80"/>
      <c r="D406" s="5"/>
      <c r="E406" s="5"/>
      <c r="F406" s="5"/>
      <c r="G406" s="5"/>
    </row>
    <row r="407" spans="3:7" ht="13">
      <c r="C407" s="80"/>
      <c r="D407" s="5"/>
      <c r="E407" s="5"/>
      <c r="F407" s="5"/>
      <c r="G407" s="5"/>
    </row>
    <row r="408" spans="3:7" ht="13">
      <c r="C408" s="80"/>
      <c r="D408" s="5"/>
      <c r="E408" s="5"/>
      <c r="F408" s="5"/>
      <c r="G408" s="5"/>
    </row>
    <row r="409" spans="3:7" ht="13">
      <c r="C409" s="80"/>
      <c r="D409" s="5"/>
      <c r="E409" s="5"/>
      <c r="F409" s="5"/>
      <c r="G409" s="5"/>
    </row>
    <row r="410" spans="3:7" ht="13">
      <c r="C410" s="80"/>
      <c r="D410" s="5"/>
      <c r="E410" s="5"/>
      <c r="F410" s="5"/>
      <c r="G410" s="5"/>
    </row>
    <row r="411" spans="3:7" ht="13">
      <c r="C411" s="80"/>
      <c r="D411" s="5"/>
      <c r="E411" s="5"/>
      <c r="F411" s="5"/>
      <c r="G411" s="5"/>
    </row>
    <row r="412" spans="3:7" ht="13">
      <c r="C412" s="80"/>
      <c r="D412" s="5"/>
      <c r="E412" s="5"/>
      <c r="F412" s="5"/>
      <c r="G412" s="5"/>
    </row>
    <row r="413" spans="3:7" ht="13">
      <c r="C413" s="80"/>
      <c r="D413" s="5"/>
      <c r="E413" s="5"/>
      <c r="F413" s="5"/>
      <c r="G413" s="5"/>
    </row>
    <row r="414" spans="3:7" ht="13">
      <c r="C414" s="80"/>
      <c r="D414" s="5"/>
      <c r="E414" s="5"/>
      <c r="F414" s="5"/>
      <c r="G414" s="5"/>
    </row>
    <row r="415" spans="3:7" ht="13">
      <c r="C415" s="80"/>
      <c r="D415" s="5"/>
      <c r="E415" s="5"/>
      <c r="F415" s="5"/>
      <c r="G415" s="5"/>
    </row>
    <row r="416" spans="3:7" ht="13">
      <c r="C416" s="80"/>
      <c r="D416" s="5"/>
      <c r="E416" s="5"/>
      <c r="F416" s="5"/>
      <c r="G416" s="5"/>
    </row>
    <row r="417" spans="3:7" ht="13">
      <c r="C417" s="80"/>
      <c r="D417" s="5"/>
      <c r="E417" s="5"/>
      <c r="F417" s="5"/>
      <c r="G417" s="5"/>
    </row>
    <row r="418" spans="3:7" ht="13">
      <c r="C418" s="80"/>
      <c r="D418" s="5"/>
      <c r="E418" s="5"/>
      <c r="F418" s="5"/>
      <c r="G418" s="5"/>
    </row>
    <row r="419" spans="3:7" ht="13">
      <c r="C419" s="80"/>
      <c r="D419" s="5"/>
      <c r="E419" s="5"/>
      <c r="F419" s="5"/>
      <c r="G419" s="5"/>
    </row>
    <row r="420" spans="3:7" ht="13">
      <c r="C420" s="80"/>
      <c r="D420" s="5"/>
      <c r="E420" s="5"/>
      <c r="F420" s="5"/>
      <c r="G420" s="5"/>
    </row>
    <row r="421" spans="3:7" ht="13">
      <c r="C421" s="80"/>
      <c r="D421" s="5"/>
      <c r="E421" s="5"/>
      <c r="F421" s="5"/>
      <c r="G421" s="5"/>
    </row>
    <row r="422" spans="3:7" ht="13">
      <c r="C422" s="80"/>
      <c r="D422" s="5"/>
      <c r="E422" s="5"/>
      <c r="F422" s="5"/>
      <c r="G422" s="5"/>
    </row>
    <row r="423" spans="3:7" ht="13">
      <c r="C423" s="80"/>
      <c r="D423" s="5"/>
      <c r="E423" s="5"/>
      <c r="F423" s="5"/>
      <c r="G423" s="5"/>
    </row>
    <row r="424" spans="3:7" ht="13">
      <c r="C424" s="80"/>
      <c r="D424" s="5"/>
      <c r="E424" s="5"/>
      <c r="F424" s="5"/>
      <c r="G424" s="5"/>
    </row>
    <row r="425" spans="3:7" ht="13">
      <c r="C425" s="80"/>
      <c r="D425" s="5"/>
      <c r="E425" s="5"/>
      <c r="F425" s="5"/>
      <c r="G425" s="5"/>
    </row>
    <row r="426" spans="3:7" ht="13">
      <c r="C426" s="80"/>
      <c r="D426" s="5"/>
      <c r="E426" s="5"/>
      <c r="F426" s="5"/>
      <c r="G426" s="5"/>
    </row>
    <row r="427" spans="3:7" ht="13">
      <c r="C427" s="80"/>
      <c r="D427" s="5"/>
      <c r="E427" s="5"/>
      <c r="F427" s="5"/>
      <c r="G427" s="5"/>
    </row>
    <row r="428" spans="3:7" ht="13">
      <c r="C428" s="80"/>
      <c r="D428" s="5"/>
      <c r="E428" s="5"/>
      <c r="F428" s="5"/>
      <c r="G428" s="5"/>
    </row>
    <row r="429" spans="3:7" ht="13">
      <c r="C429" s="80"/>
      <c r="D429" s="5"/>
      <c r="E429" s="5"/>
      <c r="F429" s="5"/>
      <c r="G429" s="5"/>
    </row>
    <row r="430" spans="3:7" ht="13">
      <c r="C430" s="80"/>
      <c r="D430" s="5"/>
      <c r="E430" s="5"/>
      <c r="F430" s="5"/>
      <c r="G430" s="5"/>
    </row>
    <row r="431" spans="3:7" ht="13">
      <c r="C431" s="80"/>
      <c r="D431" s="5"/>
      <c r="E431" s="5"/>
      <c r="F431" s="5"/>
      <c r="G431" s="5"/>
    </row>
    <row r="432" spans="3:7" ht="13">
      <c r="C432" s="80"/>
      <c r="D432" s="5"/>
      <c r="E432" s="5"/>
      <c r="F432" s="5"/>
      <c r="G432" s="5"/>
    </row>
    <row r="433" spans="3:7" ht="13">
      <c r="C433" s="80"/>
      <c r="D433" s="5"/>
      <c r="E433" s="5"/>
      <c r="F433" s="5"/>
      <c r="G433" s="5"/>
    </row>
    <row r="434" spans="3:7" ht="13">
      <c r="C434" s="80"/>
      <c r="D434" s="5"/>
      <c r="E434" s="5"/>
      <c r="F434" s="5"/>
      <c r="G434" s="5"/>
    </row>
    <row r="435" spans="3:7" ht="13">
      <c r="C435" s="80"/>
      <c r="D435" s="5"/>
      <c r="E435" s="5"/>
      <c r="F435" s="5"/>
      <c r="G435" s="5"/>
    </row>
    <row r="436" spans="3:7" ht="13">
      <c r="C436" s="80"/>
      <c r="D436" s="5"/>
      <c r="E436" s="5"/>
      <c r="F436" s="5"/>
      <c r="G436" s="5"/>
    </row>
    <row r="437" spans="3:7" ht="13">
      <c r="C437" s="80"/>
      <c r="D437" s="5"/>
      <c r="E437" s="5"/>
      <c r="F437" s="5"/>
      <c r="G437" s="5"/>
    </row>
    <row r="438" spans="3:7" ht="13">
      <c r="C438" s="80"/>
      <c r="D438" s="5"/>
      <c r="E438" s="5"/>
      <c r="F438" s="5"/>
      <c r="G438" s="5"/>
    </row>
    <row r="439" spans="3:7" ht="13">
      <c r="C439" s="80"/>
      <c r="D439" s="5"/>
      <c r="E439" s="5"/>
      <c r="F439" s="5"/>
      <c r="G439" s="5"/>
    </row>
    <row r="440" spans="3:7" ht="13">
      <c r="C440" s="80"/>
      <c r="D440" s="5"/>
      <c r="E440" s="5"/>
      <c r="F440" s="5"/>
      <c r="G440" s="5"/>
    </row>
    <row r="441" spans="3:7" ht="13">
      <c r="C441" s="80"/>
      <c r="D441" s="5"/>
      <c r="E441" s="5"/>
      <c r="F441" s="5"/>
      <c r="G441" s="5"/>
    </row>
    <row r="442" spans="3:7" ht="13">
      <c r="C442" s="80"/>
      <c r="D442" s="5"/>
      <c r="E442" s="5"/>
      <c r="F442" s="5"/>
      <c r="G442" s="5"/>
    </row>
    <row r="443" spans="3:7" ht="13">
      <c r="C443" s="80"/>
      <c r="D443" s="5"/>
      <c r="E443" s="5"/>
      <c r="F443" s="5"/>
      <c r="G443" s="5"/>
    </row>
    <row r="444" spans="3:7" ht="13">
      <c r="C444" s="80"/>
      <c r="D444" s="5"/>
      <c r="E444" s="5"/>
      <c r="F444" s="5"/>
      <c r="G444" s="5"/>
    </row>
    <row r="445" spans="3:7" ht="13">
      <c r="C445" s="80"/>
      <c r="D445" s="5"/>
      <c r="E445" s="5"/>
      <c r="F445" s="5"/>
      <c r="G445" s="5"/>
    </row>
    <row r="446" spans="3:7" ht="13">
      <c r="C446" s="80"/>
      <c r="D446" s="5"/>
      <c r="E446" s="5"/>
      <c r="F446" s="5"/>
      <c r="G446" s="5"/>
    </row>
    <row r="447" spans="3:7" ht="13">
      <c r="C447" s="80"/>
      <c r="D447" s="5"/>
      <c r="E447" s="5"/>
      <c r="F447" s="5"/>
      <c r="G447" s="5"/>
    </row>
    <row r="448" spans="3:7" ht="13">
      <c r="C448" s="80"/>
      <c r="D448" s="5"/>
      <c r="E448" s="5"/>
      <c r="F448" s="5"/>
      <c r="G448" s="5"/>
    </row>
    <row r="449" spans="3:7" ht="13">
      <c r="C449" s="80"/>
      <c r="D449" s="5"/>
      <c r="E449" s="5"/>
      <c r="F449" s="5"/>
      <c r="G449" s="5"/>
    </row>
    <row r="450" spans="3:7" ht="13">
      <c r="C450" s="80"/>
      <c r="D450" s="5"/>
      <c r="E450" s="5"/>
      <c r="F450" s="5"/>
      <c r="G450" s="5"/>
    </row>
    <row r="451" spans="3:7" ht="13">
      <c r="C451" s="80"/>
      <c r="D451" s="5"/>
      <c r="E451" s="5"/>
      <c r="F451" s="5"/>
      <c r="G451" s="5"/>
    </row>
    <row r="452" spans="3:7" ht="13">
      <c r="C452" s="80"/>
      <c r="D452" s="5"/>
      <c r="E452" s="5"/>
      <c r="F452" s="5"/>
      <c r="G452" s="5"/>
    </row>
    <row r="453" spans="3:7" ht="13">
      <c r="C453" s="80"/>
      <c r="D453" s="5"/>
      <c r="E453" s="5"/>
      <c r="F453" s="5"/>
      <c r="G453" s="5"/>
    </row>
    <row r="454" spans="3:7" ht="13">
      <c r="C454" s="80"/>
      <c r="D454" s="5"/>
      <c r="E454" s="5"/>
      <c r="F454" s="5"/>
      <c r="G454" s="5"/>
    </row>
    <row r="455" spans="3:7" ht="13">
      <c r="C455" s="80"/>
      <c r="D455" s="5"/>
      <c r="E455" s="5"/>
      <c r="F455" s="5"/>
      <c r="G455" s="5"/>
    </row>
    <row r="456" spans="3:7" ht="13">
      <c r="C456" s="80"/>
      <c r="D456" s="5"/>
      <c r="E456" s="5"/>
      <c r="F456" s="5"/>
      <c r="G456" s="5"/>
    </row>
    <row r="457" spans="3:7" ht="13">
      <c r="C457" s="80"/>
      <c r="D457" s="5"/>
      <c r="E457" s="5"/>
      <c r="F457" s="5"/>
      <c r="G457" s="5"/>
    </row>
    <row r="458" spans="3:7" ht="13">
      <c r="C458" s="80"/>
      <c r="D458" s="5"/>
      <c r="E458" s="5"/>
      <c r="F458" s="5"/>
      <c r="G458" s="5"/>
    </row>
    <row r="459" spans="3:7" ht="13">
      <c r="C459" s="80"/>
      <c r="D459" s="5"/>
      <c r="E459" s="5"/>
      <c r="F459" s="5"/>
      <c r="G459" s="5"/>
    </row>
    <row r="460" spans="3:7" ht="13">
      <c r="C460" s="80"/>
      <c r="D460" s="5"/>
      <c r="E460" s="5"/>
      <c r="F460" s="5"/>
      <c r="G460" s="5"/>
    </row>
    <row r="461" spans="3:7" ht="13">
      <c r="C461" s="80"/>
      <c r="D461" s="5"/>
      <c r="E461" s="5"/>
      <c r="F461" s="5"/>
      <c r="G461" s="5"/>
    </row>
    <row r="462" spans="3:7" ht="13">
      <c r="C462" s="80"/>
      <c r="D462" s="5"/>
      <c r="E462" s="5"/>
      <c r="F462" s="5"/>
      <c r="G462" s="5"/>
    </row>
    <row r="463" spans="3:7" ht="13">
      <c r="C463" s="80"/>
      <c r="D463" s="5"/>
      <c r="E463" s="5"/>
      <c r="F463" s="5"/>
      <c r="G463" s="5"/>
    </row>
    <row r="464" spans="3:7" ht="13">
      <c r="C464" s="80"/>
      <c r="D464" s="5"/>
      <c r="E464" s="5"/>
      <c r="F464" s="5"/>
      <c r="G464" s="5"/>
    </row>
    <row r="465" spans="3:7" ht="13">
      <c r="C465" s="80"/>
      <c r="D465" s="5"/>
      <c r="E465" s="5"/>
      <c r="F465" s="5"/>
      <c r="G465" s="5"/>
    </row>
    <row r="466" spans="3:7" ht="13">
      <c r="C466" s="80"/>
      <c r="D466" s="5"/>
      <c r="E466" s="5"/>
      <c r="F466" s="5"/>
      <c r="G466" s="5"/>
    </row>
    <row r="467" spans="3:7" ht="13">
      <c r="C467" s="80"/>
      <c r="D467" s="5"/>
      <c r="E467" s="5"/>
      <c r="F467" s="5"/>
      <c r="G467" s="5"/>
    </row>
    <row r="468" spans="3:7" ht="13">
      <c r="C468" s="80"/>
      <c r="D468" s="5"/>
      <c r="E468" s="5"/>
      <c r="F468" s="5"/>
      <c r="G468" s="5"/>
    </row>
    <row r="469" spans="3:7" ht="13">
      <c r="C469" s="80"/>
      <c r="D469" s="5"/>
      <c r="E469" s="5"/>
      <c r="F469" s="5"/>
      <c r="G469" s="5"/>
    </row>
    <row r="470" spans="3:7" ht="13">
      <c r="C470" s="80"/>
      <c r="D470" s="5"/>
      <c r="E470" s="5"/>
      <c r="F470" s="5"/>
      <c r="G470" s="5"/>
    </row>
    <row r="471" spans="3:7" ht="13">
      <c r="C471" s="80"/>
      <c r="D471" s="5"/>
      <c r="E471" s="5"/>
      <c r="F471" s="5"/>
      <c r="G471" s="5"/>
    </row>
    <row r="472" spans="3:7" ht="13">
      <c r="C472" s="80"/>
      <c r="D472" s="5"/>
      <c r="E472" s="5"/>
      <c r="F472" s="5"/>
      <c r="G472" s="5"/>
    </row>
    <row r="473" spans="3:7" ht="13">
      <c r="C473" s="80"/>
      <c r="D473" s="5"/>
      <c r="E473" s="5"/>
      <c r="F473" s="5"/>
      <c r="G473" s="5"/>
    </row>
    <row r="474" spans="3:7" ht="13">
      <c r="C474" s="80"/>
      <c r="D474" s="5"/>
      <c r="E474" s="5"/>
      <c r="F474" s="5"/>
      <c r="G474" s="5"/>
    </row>
    <row r="475" spans="3:7" ht="13">
      <c r="C475" s="80"/>
      <c r="D475" s="5"/>
      <c r="E475" s="5"/>
      <c r="F475" s="5"/>
      <c r="G475" s="5"/>
    </row>
    <row r="476" spans="3:7" ht="13">
      <c r="C476" s="80"/>
      <c r="D476" s="5"/>
      <c r="E476" s="5"/>
      <c r="F476" s="5"/>
      <c r="G476" s="5"/>
    </row>
    <row r="477" spans="3:7" ht="13">
      <c r="C477" s="80"/>
      <c r="D477" s="5"/>
      <c r="E477" s="5"/>
      <c r="F477" s="5"/>
      <c r="G477" s="5"/>
    </row>
    <row r="478" spans="3:7" ht="13">
      <c r="C478" s="80"/>
      <c r="D478" s="5"/>
      <c r="E478" s="5"/>
      <c r="F478" s="5"/>
      <c r="G478" s="5"/>
    </row>
    <row r="479" spans="3:7" ht="13">
      <c r="C479" s="80"/>
      <c r="D479" s="5"/>
      <c r="E479" s="5"/>
      <c r="F479" s="5"/>
      <c r="G479" s="5"/>
    </row>
    <row r="480" spans="3:7" ht="13">
      <c r="C480" s="80"/>
      <c r="D480" s="5"/>
      <c r="E480" s="5"/>
      <c r="F480" s="5"/>
      <c r="G480" s="5"/>
    </row>
    <row r="481" spans="3:7" ht="13">
      <c r="C481" s="80"/>
      <c r="D481" s="5"/>
      <c r="E481" s="5"/>
      <c r="F481" s="5"/>
      <c r="G481" s="5"/>
    </row>
    <row r="482" spans="3:7" ht="13">
      <c r="C482" s="80"/>
      <c r="D482" s="5"/>
      <c r="E482" s="5"/>
      <c r="F482" s="5"/>
      <c r="G482" s="5"/>
    </row>
    <row r="483" spans="3:7" ht="13">
      <c r="C483" s="80"/>
      <c r="D483" s="5"/>
      <c r="E483" s="5"/>
      <c r="F483" s="5"/>
      <c r="G483" s="5"/>
    </row>
    <row r="484" spans="3:7" ht="13">
      <c r="C484" s="80"/>
      <c r="D484" s="5"/>
      <c r="E484" s="5"/>
      <c r="F484" s="5"/>
      <c r="G484" s="5"/>
    </row>
    <row r="485" spans="3:7" ht="13">
      <c r="C485" s="80"/>
      <c r="D485" s="5"/>
      <c r="E485" s="5"/>
      <c r="F485" s="5"/>
      <c r="G485" s="5"/>
    </row>
    <row r="486" spans="3:7" ht="13">
      <c r="C486" s="80"/>
      <c r="D486" s="5"/>
      <c r="E486" s="5"/>
      <c r="F486" s="5"/>
      <c r="G486" s="5"/>
    </row>
    <row r="487" spans="3:7" ht="13">
      <c r="C487" s="80"/>
      <c r="D487" s="5"/>
      <c r="E487" s="5"/>
      <c r="F487" s="5"/>
      <c r="G487" s="5"/>
    </row>
    <row r="488" spans="3:7" ht="13">
      <c r="C488" s="80"/>
      <c r="D488" s="5"/>
      <c r="E488" s="5"/>
      <c r="F488" s="5"/>
      <c r="G488" s="5"/>
    </row>
    <row r="489" spans="3:7" ht="13">
      <c r="C489" s="80"/>
      <c r="D489" s="5"/>
      <c r="E489" s="5"/>
      <c r="F489" s="5"/>
      <c r="G489" s="5"/>
    </row>
    <row r="490" spans="3:7" ht="13">
      <c r="C490" s="80"/>
      <c r="D490" s="5"/>
      <c r="E490" s="5"/>
      <c r="F490" s="5"/>
      <c r="G490" s="5"/>
    </row>
    <row r="491" spans="3:7" ht="13">
      <c r="C491" s="80"/>
      <c r="D491" s="5"/>
      <c r="E491" s="5"/>
      <c r="F491" s="5"/>
      <c r="G491" s="5"/>
    </row>
    <row r="492" spans="3:7" ht="13">
      <c r="C492" s="80"/>
      <c r="D492" s="5"/>
      <c r="E492" s="5"/>
      <c r="F492" s="5"/>
      <c r="G492" s="5"/>
    </row>
    <row r="493" spans="3:7" ht="13">
      <c r="C493" s="80"/>
      <c r="D493" s="5"/>
      <c r="E493" s="5"/>
      <c r="F493" s="5"/>
      <c r="G493" s="5"/>
    </row>
    <row r="494" spans="3:7" ht="13">
      <c r="C494" s="80"/>
      <c r="D494" s="5"/>
      <c r="E494" s="5"/>
      <c r="F494" s="5"/>
      <c r="G494" s="5"/>
    </row>
    <row r="495" spans="3:7" ht="13">
      <c r="C495" s="80"/>
      <c r="D495" s="5"/>
      <c r="E495" s="5"/>
      <c r="F495" s="5"/>
      <c r="G495" s="5"/>
    </row>
    <row r="496" spans="3:7" ht="13">
      <c r="C496" s="80"/>
      <c r="D496" s="5"/>
      <c r="E496" s="5"/>
      <c r="F496" s="5"/>
      <c r="G496" s="5"/>
    </row>
    <row r="497" spans="3:7" ht="13">
      <c r="C497" s="80"/>
      <c r="D497" s="5"/>
      <c r="E497" s="5"/>
      <c r="F497" s="5"/>
      <c r="G497" s="5"/>
    </row>
    <row r="498" spans="3:7" ht="13">
      <c r="C498" s="80"/>
      <c r="D498" s="5"/>
      <c r="E498" s="5"/>
      <c r="F498" s="5"/>
      <c r="G498" s="5"/>
    </row>
    <row r="499" spans="3:7" ht="13">
      <c r="C499" s="80"/>
      <c r="D499" s="5"/>
      <c r="E499" s="5"/>
      <c r="F499" s="5"/>
      <c r="G499" s="5"/>
    </row>
    <row r="500" spans="3:7" ht="13">
      <c r="C500" s="80"/>
      <c r="D500" s="5"/>
      <c r="E500" s="5"/>
      <c r="F500" s="5"/>
      <c r="G500" s="5"/>
    </row>
    <row r="501" spans="3:7" ht="13">
      <c r="C501" s="80"/>
      <c r="D501" s="5"/>
      <c r="E501" s="5"/>
      <c r="F501" s="5"/>
      <c r="G501" s="5"/>
    </row>
    <row r="502" spans="3:7" ht="13">
      <c r="C502" s="80"/>
      <c r="D502" s="5"/>
      <c r="E502" s="5"/>
      <c r="F502" s="5"/>
      <c r="G502" s="5"/>
    </row>
    <row r="503" spans="3:7" ht="13">
      <c r="C503" s="80"/>
      <c r="D503" s="5"/>
      <c r="E503" s="5"/>
      <c r="F503" s="5"/>
      <c r="G503" s="5"/>
    </row>
    <row r="504" spans="3:7" ht="13">
      <c r="C504" s="80"/>
      <c r="D504" s="5"/>
      <c r="E504" s="5"/>
      <c r="F504" s="5"/>
      <c r="G504" s="5"/>
    </row>
    <row r="505" spans="3:7" ht="13">
      <c r="C505" s="80"/>
      <c r="D505" s="5"/>
      <c r="E505" s="5"/>
      <c r="F505" s="5"/>
      <c r="G505" s="5"/>
    </row>
    <row r="506" spans="3:7" ht="13">
      <c r="C506" s="80"/>
      <c r="D506" s="5"/>
      <c r="E506" s="5"/>
      <c r="F506" s="5"/>
      <c r="G506" s="5"/>
    </row>
    <row r="507" spans="3:7" ht="13">
      <c r="C507" s="80"/>
      <c r="D507" s="5"/>
      <c r="E507" s="5"/>
      <c r="F507" s="5"/>
      <c r="G507" s="5"/>
    </row>
    <row r="508" spans="3:7" ht="13">
      <c r="C508" s="80"/>
      <c r="D508" s="5"/>
      <c r="E508" s="5"/>
      <c r="F508" s="5"/>
      <c r="G508" s="5"/>
    </row>
    <row r="509" spans="3:7" ht="13">
      <c r="C509" s="80"/>
      <c r="D509" s="5"/>
      <c r="E509" s="5"/>
      <c r="F509" s="5"/>
      <c r="G509" s="5"/>
    </row>
    <row r="510" spans="3:7" ht="13">
      <c r="C510" s="80"/>
      <c r="D510" s="5"/>
      <c r="E510" s="5"/>
      <c r="F510" s="5"/>
      <c r="G510" s="5"/>
    </row>
    <row r="511" spans="3:7" ht="13">
      <c r="C511" s="80"/>
      <c r="D511" s="5"/>
      <c r="E511" s="5"/>
      <c r="F511" s="5"/>
      <c r="G511" s="5"/>
    </row>
    <row r="512" spans="3:7" ht="13">
      <c r="C512" s="80"/>
      <c r="D512" s="5"/>
      <c r="E512" s="5"/>
      <c r="F512" s="5"/>
      <c r="G512" s="5"/>
    </row>
    <row r="513" spans="3:7" ht="13">
      <c r="C513" s="80"/>
      <c r="D513" s="5"/>
      <c r="E513" s="5"/>
      <c r="F513" s="5"/>
      <c r="G513" s="5"/>
    </row>
    <row r="514" spans="3:7" ht="13">
      <c r="C514" s="80"/>
      <c r="D514" s="5"/>
      <c r="E514" s="5"/>
      <c r="F514" s="5"/>
      <c r="G514" s="5"/>
    </row>
    <row r="515" spans="3:7" ht="13">
      <c r="C515" s="80"/>
      <c r="D515" s="5"/>
      <c r="E515" s="5"/>
      <c r="F515" s="5"/>
      <c r="G515" s="5"/>
    </row>
    <row r="516" spans="3:7" ht="13">
      <c r="C516" s="80"/>
      <c r="D516" s="5"/>
      <c r="E516" s="5"/>
      <c r="F516" s="5"/>
      <c r="G516" s="5"/>
    </row>
    <row r="517" spans="3:7" ht="13">
      <c r="C517" s="80"/>
      <c r="D517" s="5"/>
      <c r="E517" s="5"/>
      <c r="F517" s="5"/>
      <c r="G517" s="5"/>
    </row>
    <row r="518" spans="3:7" ht="13">
      <c r="C518" s="80"/>
      <c r="D518" s="5"/>
      <c r="E518" s="5"/>
      <c r="F518" s="5"/>
      <c r="G518" s="5"/>
    </row>
    <row r="519" spans="3:7" ht="13">
      <c r="C519" s="80"/>
      <c r="D519" s="5"/>
      <c r="E519" s="5"/>
      <c r="F519" s="5"/>
      <c r="G519" s="5"/>
    </row>
    <row r="520" spans="3:7" ht="13">
      <c r="C520" s="80"/>
      <c r="D520" s="5"/>
      <c r="E520" s="5"/>
      <c r="F520" s="5"/>
      <c r="G520" s="5"/>
    </row>
    <row r="521" spans="3:7" ht="13">
      <c r="C521" s="80"/>
      <c r="D521" s="5"/>
      <c r="E521" s="5"/>
      <c r="F521" s="5"/>
      <c r="G521" s="5"/>
    </row>
    <row r="522" spans="3:7" ht="13">
      <c r="C522" s="80"/>
      <c r="D522" s="5"/>
      <c r="E522" s="5"/>
      <c r="F522" s="5"/>
      <c r="G522" s="5"/>
    </row>
    <row r="523" spans="3:7" ht="13">
      <c r="C523" s="80"/>
      <c r="D523" s="5"/>
      <c r="E523" s="5"/>
      <c r="F523" s="5"/>
      <c r="G523" s="5"/>
    </row>
    <row r="524" spans="3:7" ht="13">
      <c r="C524" s="80"/>
      <c r="D524" s="5"/>
      <c r="E524" s="5"/>
      <c r="F524" s="5"/>
      <c r="G524" s="5"/>
    </row>
    <row r="525" spans="3:7" ht="13">
      <c r="C525" s="80"/>
      <c r="D525" s="5"/>
      <c r="E525" s="5"/>
      <c r="F525" s="5"/>
      <c r="G525" s="5"/>
    </row>
    <row r="526" spans="3:7" ht="13">
      <c r="C526" s="80"/>
      <c r="D526" s="5"/>
      <c r="E526" s="5"/>
      <c r="F526" s="5"/>
      <c r="G526" s="5"/>
    </row>
    <row r="527" spans="3:7" ht="13">
      <c r="C527" s="80"/>
      <c r="D527" s="5"/>
      <c r="E527" s="5"/>
      <c r="F527" s="5"/>
      <c r="G527" s="5"/>
    </row>
    <row r="528" spans="3:7" ht="13">
      <c r="C528" s="80"/>
      <c r="D528" s="5"/>
      <c r="E528" s="5"/>
      <c r="F528" s="5"/>
      <c r="G528" s="5"/>
    </row>
    <row r="529" spans="3:7" ht="13">
      <c r="C529" s="80"/>
      <c r="D529" s="5"/>
      <c r="E529" s="5"/>
      <c r="F529" s="5"/>
      <c r="G529" s="5"/>
    </row>
    <row r="530" spans="3:7" ht="13">
      <c r="C530" s="80"/>
      <c r="D530" s="5"/>
      <c r="E530" s="5"/>
      <c r="F530" s="5"/>
      <c r="G530" s="5"/>
    </row>
    <row r="531" spans="3:7" ht="13">
      <c r="C531" s="80"/>
      <c r="D531" s="5"/>
      <c r="E531" s="5"/>
      <c r="F531" s="5"/>
      <c r="G531" s="5"/>
    </row>
    <row r="532" spans="3:7" ht="13">
      <c r="C532" s="80"/>
      <c r="D532" s="5"/>
      <c r="E532" s="5"/>
      <c r="F532" s="5"/>
      <c r="G532" s="5"/>
    </row>
    <row r="533" spans="3:7" ht="13">
      <c r="C533" s="80"/>
      <c r="D533" s="5"/>
      <c r="E533" s="5"/>
      <c r="F533" s="5"/>
      <c r="G533" s="5"/>
    </row>
    <row r="534" spans="3:7" ht="13">
      <c r="C534" s="80"/>
      <c r="D534" s="5"/>
      <c r="E534" s="5"/>
      <c r="F534" s="5"/>
      <c r="G534" s="5"/>
    </row>
    <row r="535" spans="3:7" ht="13">
      <c r="C535" s="80"/>
      <c r="D535" s="5"/>
      <c r="E535" s="5"/>
      <c r="F535" s="5"/>
      <c r="G535" s="5"/>
    </row>
    <row r="536" spans="3:7" ht="13">
      <c r="C536" s="80"/>
      <c r="D536" s="5"/>
      <c r="E536" s="5"/>
      <c r="F536" s="5"/>
      <c r="G536" s="5"/>
    </row>
    <row r="537" spans="3:7" ht="13">
      <c r="C537" s="80"/>
      <c r="D537" s="5"/>
      <c r="E537" s="5"/>
      <c r="F537" s="5"/>
      <c r="G537" s="5"/>
    </row>
    <row r="538" spans="3:7" ht="13">
      <c r="C538" s="80"/>
      <c r="D538" s="5"/>
      <c r="E538" s="5"/>
      <c r="F538" s="5"/>
      <c r="G538" s="5"/>
    </row>
    <row r="539" spans="3:7" ht="13">
      <c r="C539" s="80"/>
      <c r="D539" s="5"/>
      <c r="E539" s="5"/>
      <c r="F539" s="5"/>
      <c r="G539" s="5"/>
    </row>
    <row r="540" spans="3:7" ht="13">
      <c r="C540" s="80"/>
      <c r="D540" s="5"/>
      <c r="E540" s="5"/>
      <c r="F540" s="5"/>
      <c r="G540" s="5"/>
    </row>
    <row r="541" spans="3:7" ht="13">
      <c r="C541" s="80"/>
      <c r="D541" s="5"/>
      <c r="E541" s="5"/>
      <c r="F541" s="5"/>
      <c r="G541" s="5"/>
    </row>
    <row r="542" spans="3:7" ht="13">
      <c r="C542" s="80"/>
      <c r="D542" s="5"/>
      <c r="E542" s="5"/>
      <c r="F542" s="5"/>
      <c r="G542" s="5"/>
    </row>
    <row r="543" spans="3:7" ht="13">
      <c r="C543" s="80"/>
      <c r="D543" s="5"/>
      <c r="E543" s="5"/>
      <c r="F543" s="5"/>
      <c r="G543" s="5"/>
    </row>
    <row r="544" spans="3:7" ht="13">
      <c r="C544" s="80"/>
      <c r="D544" s="5"/>
      <c r="E544" s="5"/>
      <c r="F544" s="5"/>
      <c r="G544" s="5"/>
    </row>
    <row r="545" spans="3:7" ht="13">
      <c r="C545" s="80"/>
      <c r="D545" s="5"/>
      <c r="E545" s="5"/>
      <c r="F545" s="5"/>
      <c r="G545" s="5"/>
    </row>
    <row r="546" spans="3:7" ht="13">
      <c r="C546" s="80"/>
      <c r="D546" s="5"/>
      <c r="E546" s="5"/>
      <c r="F546" s="5"/>
      <c r="G546" s="5"/>
    </row>
    <row r="547" spans="3:7" ht="13">
      <c r="C547" s="80"/>
      <c r="D547" s="5"/>
      <c r="E547" s="5"/>
      <c r="F547" s="5"/>
      <c r="G547" s="5"/>
    </row>
    <row r="548" spans="3:7" ht="13">
      <c r="C548" s="80"/>
      <c r="D548" s="5"/>
      <c r="E548" s="5"/>
      <c r="F548" s="5"/>
      <c r="G548" s="5"/>
    </row>
    <row r="549" spans="3:7" ht="13">
      <c r="C549" s="80"/>
      <c r="D549" s="5"/>
      <c r="E549" s="5"/>
      <c r="F549" s="5"/>
      <c r="G549" s="5"/>
    </row>
    <row r="550" spans="3:7" ht="13">
      <c r="C550" s="80"/>
      <c r="D550" s="5"/>
      <c r="E550" s="5"/>
      <c r="F550" s="5"/>
      <c r="G550" s="5"/>
    </row>
    <row r="551" spans="3:7" ht="13">
      <c r="C551" s="80"/>
      <c r="D551" s="5"/>
      <c r="E551" s="5"/>
      <c r="F551" s="5"/>
      <c r="G551" s="5"/>
    </row>
    <row r="552" spans="3:7" ht="13">
      <c r="C552" s="80"/>
      <c r="D552" s="5"/>
      <c r="E552" s="5"/>
      <c r="F552" s="5"/>
      <c r="G552" s="5"/>
    </row>
    <row r="553" spans="3:7" ht="13">
      <c r="C553" s="80"/>
      <c r="D553" s="5"/>
      <c r="E553" s="5"/>
      <c r="F553" s="5"/>
      <c r="G553" s="5"/>
    </row>
    <row r="554" spans="3:7" ht="13">
      <c r="C554" s="80"/>
      <c r="D554" s="5"/>
      <c r="E554" s="5"/>
      <c r="F554" s="5"/>
      <c r="G554" s="5"/>
    </row>
    <row r="555" spans="3:7" ht="13">
      <c r="C555" s="80"/>
      <c r="D555" s="5"/>
      <c r="E555" s="5"/>
      <c r="F555" s="5"/>
      <c r="G555" s="5"/>
    </row>
    <row r="556" spans="3:7" ht="13">
      <c r="C556" s="80"/>
      <c r="D556" s="5"/>
      <c r="E556" s="5"/>
      <c r="F556" s="5"/>
      <c r="G556" s="5"/>
    </row>
    <row r="557" spans="3:7" ht="13">
      <c r="C557" s="80"/>
      <c r="D557" s="5"/>
      <c r="E557" s="5"/>
      <c r="F557" s="5"/>
      <c r="G557" s="5"/>
    </row>
    <row r="558" spans="3:7" ht="13">
      <c r="C558" s="80"/>
      <c r="D558" s="5"/>
      <c r="E558" s="5"/>
      <c r="F558" s="5"/>
      <c r="G558" s="5"/>
    </row>
    <row r="559" spans="3:7" ht="13">
      <c r="C559" s="80"/>
      <c r="D559" s="5"/>
      <c r="E559" s="5"/>
      <c r="F559" s="5"/>
      <c r="G559" s="5"/>
    </row>
    <row r="560" spans="3:7" ht="13">
      <c r="C560" s="80"/>
      <c r="D560" s="5"/>
      <c r="E560" s="5"/>
      <c r="F560" s="5"/>
      <c r="G560" s="5"/>
    </row>
    <row r="561" spans="3:7" ht="13">
      <c r="C561" s="80"/>
      <c r="D561" s="5"/>
      <c r="E561" s="5"/>
      <c r="F561" s="5"/>
      <c r="G561" s="5"/>
    </row>
    <row r="562" spans="3:7" ht="13">
      <c r="C562" s="80"/>
      <c r="D562" s="5"/>
      <c r="E562" s="5"/>
      <c r="F562" s="5"/>
      <c r="G562" s="5"/>
    </row>
    <row r="563" spans="3:7" ht="13">
      <c r="C563" s="80"/>
      <c r="D563" s="5"/>
      <c r="E563" s="5"/>
      <c r="F563" s="5"/>
      <c r="G563" s="5"/>
    </row>
    <row r="564" spans="3:7" ht="13">
      <c r="C564" s="80"/>
      <c r="D564" s="5"/>
      <c r="E564" s="5"/>
      <c r="F564" s="5"/>
      <c r="G564" s="5"/>
    </row>
    <row r="565" spans="3:7" ht="13">
      <c r="C565" s="80"/>
      <c r="D565" s="5"/>
      <c r="E565" s="5"/>
      <c r="F565" s="5"/>
      <c r="G565" s="5"/>
    </row>
    <row r="566" spans="3:7" ht="13">
      <c r="C566" s="80"/>
      <c r="D566" s="5"/>
      <c r="E566" s="5"/>
      <c r="F566" s="5"/>
      <c r="G566" s="5"/>
    </row>
    <row r="567" spans="3:7" ht="13">
      <c r="C567" s="80"/>
      <c r="D567" s="5"/>
      <c r="E567" s="5"/>
      <c r="F567" s="5"/>
      <c r="G567" s="5"/>
    </row>
    <row r="568" spans="3:7" ht="13">
      <c r="C568" s="80"/>
      <c r="D568" s="5"/>
      <c r="E568" s="5"/>
      <c r="F568" s="5"/>
      <c r="G568" s="5"/>
    </row>
    <row r="569" spans="3:7" ht="13">
      <c r="C569" s="80"/>
      <c r="D569" s="5"/>
      <c r="E569" s="5"/>
      <c r="F569" s="5"/>
      <c r="G569" s="5"/>
    </row>
    <row r="570" spans="3:7" ht="13">
      <c r="C570" s="80"/>
      <c r="D570" s="5"/>
      <c r="E570" s="5"/>
      <c r="F570" s="5"/>
      <c r="G570" s="5"/>
    </row>
    <row r="571" spans="3:7" ht="13">
      <c r="C571" s="80"/>
      <c r="D571" s="5"/>
      <c r="E571" s="5"/>
      <c r="F571" s="5"/>
      <c r="G571" s="5"/>
    </row>
    <row r="572" spans="3:7" ht="13">
      <c r="C572" s="80"/>
      <c r="D572" s="5"/>
      <c r="E572" s="5"/>
      <c r="F572" s="5"/>
      <c r="G572" s="5"/>
    </row>
    <row r="573" spans="3:7" ht="13">
      <c r="C573" s="80"/>
      <c r="D573" s="5"/>
      <c r="E573" s="5"/>
      <c r="F573" s="5"/>
      <c r="G573" s="5"/>
    </row>
    <row r="574" spans="3:7" ht="13">
      <c r="C574" s="80"/>
      <c r="D574" s="5"/>
      <c r="E574" s="5"/>
      <c r="F574" s="5"/>
      <c r="G574" s="5"/>
    </row>
    <row r="575" spans="3:7" ht="13">
      <c r="C575" s="80"/>
      <c r="D575" s="5"/>
      <c r="E575" s="5"/>
      <c r="F575" s="5"/>
      <c r="G575" s="5"/>
    </row>
    <row r="576" spans="3:7" ht="13">
      <c r="C576" s="80"/>
      <c r="D576" s="5"/>
      <c r="E576" s="5"/>
      <c r="F576" s="5"/>
      <c r="G576" s="5"/>
    </row>
    <row r="577" spans="3:7" ht="13">
      <c r="C577" s="80"/>
      <c r="D577" s="5"/>
      <c r="E577" s="5"/>
      <c r="F577" s="5"/>
      <c r="G577" s="5"/>
    </row>
    <row r="578" spans="3:7" ht="13">
      <c r="C578" s="80"/>
      <c r="D578" s="5"/>
      <c r="E578" s="5"/>
      <c r="F578" s="5"/>
      <c r="G578" s="5"/>
    </row>
    <row r="579" spans="3:7" ht="13">
      <c r="C579" s="80"/>
      <c r="D579" s="5"/>
      <c r="E579" s="5"/>
      <c r="F579" s="5"/>
      <c r="G579" s="5"/>
    </row>
    <row r="580" spans="3:7" ht="13">
      <c r="C580" s="80"/>
      <c r="D580" s="5"/>
      <c r="E580" s="5"/>
      <c r="F580" s="5"/>
      <c r="G580" s="5"/>
    </row>
    <row r="581" spans="3:7" ht="13">
      <c r="C581" s="80"/>
      <c r="D581" s="5"/>
      <c r="E581" s="5"/>
      <c r="F581" s="5"/>
      <c r="G581" s="5"/>
    </row>
    <row r="582" spans="3:7" ht="13">
      <c r="C582" s="80"/>
      <c r="D582" s="5"/>
      <c r="E582" s="5"/>
      <c r="F582" s="5"/>
      <c r="G582" s="5"/>
    </row>
    <row r="583" spans="3:7" ht="13">
      <c r="C583" s="80"/>
      <c r="D583" s="5"/>
      <c r="E583" s="5"/>
      <c r="F583" s="5"/>
      <c r="G583" s="5"/>
    </row>
    <row r="584" spans="3:7" ht="13">
      <c r="C584" s="80"/>
      <c r="D584" s="5"/>
      <c r="E584" s="5"/>
      <c r="F584" s="5"/>
      <c r="G584" s="5"/>
    </row>
    <row r="585" spans="3:7" ht="13">
      <c r="C585" s="80"/>
      <c r="D585" s="5"/>
      <c r="E585" s="5"/>
      <c r="F585" s="5"/>
      <c r="G585" s="5"/>
    </row>
    <row r="586" spans="3:7" ht="13">
      <c r="C586" s="80"/>
      <c r="D586" s="5"/>
      <c r="E586" s="5"/>
      <c r="F586" s="5"/>
      <c r="G586" s="5"/>
    </row>
    <row r="587" spans="3:7" ht="13">
      <c r="C587" s="80"/>
      <c r="D587" s="5"/>
      <c r="E587" s="5"/>
      <c r="F587" s="5"/>
      <c r="G587" s="5"/>
    </row>
    <row r="588" spans="3:7" ht="13">
      <c r="C588" s="80"/>
      <c r="D588" s="5"/>
      <c r="E588" s="5"/>
      <c r="F588" s="5"/>
      <c r="G588" s="5"/>
    </row>
    <row r="589" spans="3:7" ht="13">
      <c r="C589" s="80"/>
      <c r="D589" s="5"/>
      <c r="E589" s="5"/>
      <c r="F589" s="5"/>
      <c r="G589" s="5"/>
    </row>
    <row r="590" spans="3:7" ht="13">
      <c r="C590" s="80"/>
      <c r="D590" s="5"/>
      <c r="E590" s="5"/>
      <c r="F590" s="5"/>
      <c r="G590" s="5"/>
    </row>
    <row r="591" spans="3:7" ht="13">
      <c r="C591" s="80"/>
      <c r="D591" s="5"/>
      <c r="E591" s="5"/>
      <c r="F591" s="5"/>
      <c r="G591" s="5"/>
    </row>
    <row r="592" spans="3:7" ht="13">
      <c r="C592" s="80"/>
      <c r="D592" s="5"/>
      <c r="E592" s="5"/>
      <c r="F592" s="5"/>
      <c r="G592" s="5"/>
    </row>
    <row r="593" spans="3:7" ht="13">
      <c r="C593" s="80"/>
      <c r="D593" s="5"/>
      <c r="E593" s="5"/>
      <c r="F593" s="5"/>
      <c r="G593" s="5"/>
    </row>
    <row r="594" spans="3:7" ht="13">
      <c r="C594" s="80"/>
      <c r="D594" s="5"/>
      <c r="E594" s="5"/>
      <c r="F594" s="5"/>
      <c r="G594" s="5"/>
    </row>
    <row r="595" spans="3:7" ht="13">
      <c r="C595" s="80"/>
      <c r="D595" s="5"/>
      <c r="E595" s="5"/>
      <c r="F595" s="5"/>
      <c r="G595" s="5"/>
    </row>
    <row r="596" spans="3:7" ht="13">
      <c r="C596" s="80"/>
      <c r="D596" s="5"/>
      <c r="E596" s="5"/>
      <c r="F596" s="5"/>
      <c r="G596" s="5"/>
    </row>
    <row r="597" spans="3:7" ht="13">
      <c r="C597" s="80"/>
      <c r="D597" s="5"/>
      <c r="E597" s="5"/>
      <c r="F597" s="5"/>
      <c r="G597" s="5"/>
    </row>
    <row r="598" spans="3:7" ht="13">
      <c r="C598" s="80"/>
      <c r="D598" s="5"/>
      <c r="E598" s="5"/>
      <c r="F598" s="5"/>
      <c r="G598" s="5"/>
    </row>
    <row r="599" spans="3:7" ht="13">
      <c r="C599" s="80"/>
      <c r="D599" s="5"/>
      <c r="E599" s="5"/>
      <c r="F599" s="5"/>
      <c r="G599" s="5"/>
    </row>
    <row r="600" spans="3:7" ht="13">
      <c r="C600" s="80"/>
      <c r="D600" s="5"/>
      <c r="E600" s="5"/>
      <c r="F600" s="5"/>
      <c r="G600" s="5"/>
    </row>
    <row r="601" spans="3:7" ht="13">
      <c r="C601" s="80"/>
      <c r="D601" s="5"/>
      <c r="E601" s="5"/>
      <c r="F601" s="5"/>
      <c r="G601" s="5"/>
    </row>
    <row r="602" spans="3:7" ht="13">
      <c r="C602" s="80"/>
      <c r="D602" s="5"/>
      <c r="E602" s="5"/>
      <c r="F602" s="5"/>
      <c r="G602" s="5"/>
    </row>
    <row r="603" spans="3:7" ht="13">
      <c r="C603" s="80"/>
      <c r="D603" s="5"/>
      <c r="E603" s="5"/>
      <c r="F603" s="5"/>
      <c r="G603" s="5"/>
    </row>
    <row r="604" spans="3:7" ht="13">
      <c r="C604" s="80"/>
      <c r="D604" s="5"/>
      <c r="E604" s="5"/>
      <c r="F604" s="5"/>
      <c r="G604" s="5"/>
    </row>
    <row r="605" spans="3:7" ht="13">
      <c r="C605" s="80"/>
      <c r="D605" s="5"/>
      <c r="E605" s="5"/>
      <c r="F605" s="5"/>
      <c r="G605" s="5"/>
    </row>
    <row r="606" spans="3:7" ht="13">
      <c r="C606" s="80"/>
      <c r="D606" s="5"/>
      <c r="E606" s="5"/>
      <c r="F606" s="5"/>
      <c r="G606" s="5"/>
    </row>
    <row r="607" spans="3:7" ht="13">
      <c r="C607" s="80"/>
      <c r="D607" s="5"/>
      <c r="E607" s="5"/>
      <c r="F607" s="5"/>
      <c r="G607" s="5"/>
    </row>
    <row r="608" spans="3:7" ht="13">
      <c r="C608" s="80"/>
      <c r="D608" s="5"/>
      <c r="E608" s="5"/>
      <c r="F608" s="5"/>
      <c r="G608" s="5"/>
    </row>
    <row r="609" spans="3:7" ht="13">
      <c r="C609" s="80"/>
      <c r="D609" s="5"/>
      <c r="E609" s="5"/>
      <c r="F609" s="5"/>
      <c r="G609" s="5"/>
    </row>
    <row r="610" spans="3:7" ht="13">
      <c r="C610" s="80"/>
      <c r="D610" s="5"/>
      <c r="E610" s="5"/>
      <c r="F610" s="5"/>
      <c r="G610" s="5"/>
    </row>
    <row r="611" spans="3:7" ht="13">
      <c r="C611" s="80"/>
      <c r="D611" s="5"/>
      <c r="E611" s="5"/>
      <c r="F611" s="5"/>
      <c r="G611" s="5"/>
    </row>
    <row r="612" spans="3:7" ht="13">
      <c r="C612" s="80"/>
      <c r="D612" s="5"/>
      <c r="E612" s="5"/>
      <c r="F612" s="5"/>
      <c r="G612" s="5"/>
    </row>
    <row r="613" spans="3:7" ht="13">
      <c r="C613" s="80"/>
      <c r="D613" s="5"/>
      <c r="E613" s="5"/>
      <c r="F613" s="5"/>
      <c r="G613" s="5"/>
    </row>
    <row r="614" spans="3:7" ht="13">
      <c r="C614" s="80"/>
      <c r="D614" s="5"/>
      <c r="E614" s="5"/>
      <c r="F614" s="5"/>
      <c r="G614" s="5"/>
    </row>
    <row r="615" spans="3:7" ht="13">
      <c r="C615" s="80"/>
      <c r="D615" s="5"/>
      <c r="E615" s="5"/>
      <c r="F615" s="5"/>
      <c r="G615" s="5"/>
    </row>
    <row r="616" spans="3:7" ht="13">
      <c r="C616" s="80"/>
      <c r="D616" s="5"/>
      <c r="E616" s="5"/>
      <c r="F616" s="5"/>
      <c r="G616" s="5"/>
    </row>
    <row r="617" spans="3:7" ht="13">
      <c r="C617" s="80"/>
      <c r="D617" s="5"/>
      <c r="E617" s="5"/>
      <c r="F617" s="5"/>
      <c r="G617" s="5"/>
    </row>
    <row r="618" spans="3:7" ht="13">
      <c r="C618" s="80"/>
      <c r="D618" s="5"/>
      <c r="E618" s="5"/>
      <c r="F618" s="5"/>
      <c r="G618" s="5"/>
    </row>
    <row r="619" spans="3:7" ht="13">
      <c r="C619" s="80"/>
      <c r="D619" s="5"/>
      <c r="E619" s="5"/>
      <c r="F619" s="5"/>
      <c r="G619" s="5"/>
    </row>
    <row r="620" spans="3:7" ht="13">
      <c r="C620" s="80"/>
      <c r="D620" s="5"/>
      <c r="E620" s="5"/>
      <c r="F620" s="5"/>
      <c r="G620" s="5"/>
    </row>
    <row r="621" spans="3:7" ht="13">
      <c r="C621" s="80"/>
      <c r="D621" s="5"/>
      <c r="E621" s="5"/>
      <c r="F621" s="5"/>
      <c r="G621" s="5"/>
    </row>
    <row r="622" spans="3:7" ht="13">
      <c r="C622" s="80"/>
      <c r="D622" s="5"/>
      <c r="E622" s="5"/>
      <c r="F622" s="5"/>
      <c r="G622" s="5"/>
    </row>
    <row r="623" spans="3:7" ht="13">
      <c r="C623" s="80"/>
      <c r="D623" s="5"/>
      <c r="E623" s="5"/>
      <c r="F623" s="5"/>
      <c r="G623" s="5"/>
    </row>
    <row r="624" spans="3:7" ht="13">
      <c r="C624" s="80"/>
      <c r="D624" s="5"/>
      <c r="E624" s="5"/>
      <c r="F624" s="5"/>
      <c r="G624" s="5"/>
    </row>
    <row r="625" spans="3:7" ht="13">
      <c r="C625" s="80"/>
      <c r="D625" s="5"/>
      <c r="E625" s="5"/>
      <c r="F625" s="5"/>
      <c r="G625" s="5"/>
    </row>
    <row r="626" spans="3:7" ht="13">
      <c r="C626" s="80"/>
      <c r="D626" s="5"/>
      <c r="E626" s="5"/>
      <c r="F626" s="5"/>
      <c r="G626" s="5"/>
    </row>
    <row r="627" spans="3:7" ht="13">
      <c r="C627" s="80"/>
      <c r="D627" s="5"/>
      <c r="E627" s="5"/>
      <c r="F627" s="5"/>
      <c r="G627" s="5"/>
    </row>
    <row r="628" spans="3:7" ht="13">
      <c r="C628" s="80"/>
      <c r="D628" s="5"/>
      <c r="E628" s="5"/>
      <c r="F628" s="5"/>
      <c r="G628" s="5"/>
    </row>
    <row r="629" spans="3:7" ht="13">
      <c r="C629" s="80"/>
      <c r="D629" s="5"/>
      <c r="E629" s="5"/>
      <c r="F629" s="5"/>
      <c r="G629" s="5"/>
    </row>
    <row r="630" spans="3:7" ht="13">
      <c r="C630" s="80"/>
      <c r="D630" s="5"/>
      <c r="E630" s="5"/>
      <c r="F630" s="5"/>
      <c r="G630" s="5"/>
    </row>
    <row r="631" spans="3:7" ht="13">
      <c r="C631" s="80"/>
      <c r="D631" s="5"/>
      <c r="E631" s="5"/>
      <c r="F631" s="5"/>
      <c r="G631" s="5"/>
    </row>
    <row r="632" spans="3:7" ht="13">
      <c r="C632" s="80"/>
      <c r="D632" s="5"/>
      <c r="E632" s="5"/>
      <c r="F632" s="5"/>
      <c r="G632" s="5"/>
    </row>
    <row r="633" spans="3:7" ht="13">
      <c r="C633" s="80"/>
      <c r="D633" s="5"/>
      <c r="E633" s="5"/>
      <c r="F633" s="5"/>
      <c r="G633" s="5"/>
    </row>
    <row r="634" spans="3:7" ht="13">
      <c r="C634" s="80"/>
      <c r="D634" s="5"/>
      <c r="E634" s="5"/>
      <c r="F634" s="5"/>
      <c r="G634" s="5"/>
    </row>
    <row r="635" spans="3:7" ht="13">
      <c r="C635" s="80"/>
      <c r="D635" s="5"/>
      <c r="E635" s="5"/>
      <c r="F635" s="5"/>
      <c r="G635" s="5"/>
    </row>
    <row r="636" spans="3:7" ht="13">
      <c r="C636" s="80"/>
      <c r="D636" s="5"/>
      <c r="E636" s="5"/>
      <c r="F636" s="5"/>
      <c r="G636" s="5"/>
    </row>
    <row r="637" spans="3:7" ht="13">
      <c r="C637" s="80"/>
      <c r="D637" s="5"/>
      <c r="E637" s="5"/>
      <c r="F637" s="5"/>
      <c r="G637" s="5"/>
    </row>
    <row r="638" spans="3:7" ht="13">
      <c r="C638" s="80"/>
      <c r="D638" s="5"/>
      <c r="E638" s="5"/>
      <c r="F638" s="5"/>
      <c r="G638" s="5"/>
    </row>
    <row r="639" spans="3:7" ht="13">
      <c r="C639" s="80"/>
      <c r="D639" s="5"/>
      <c r="E639" s="5"/>
      <c r="F639" s="5"/>
      <c r="G639" s="5"/>
    </row>
    <row r="640" spans="3:7" ht="13">
      <c r="C640" s="80"/>
      <c r="D640" s="5"/>
      <c r="E640" s="5"/>
      <c r="F640" s="5"/>
      <c r="G640" s="5"/>
    </row>
    <row r="641" spans="3:7" ht="13">
      <c r="C641" s="80"/>
      <c r="D641" s="5"/>
      <c r="E641" s="5"/>
      <c r="F641" s="5"/>
      <c r="G641" s="5"/>
    </row>
    <row r="642" spans="3:7" ht="13">
      <c r="C642" s="80"/>
      <c r="D642" s="5"/>
      <c r="E642" s="5"/>
      <c r="F642" s="5"/>
      <c r="G642" s="5"/>
    </row>
    <row r="643" spans="3:7" ht="13">
      <c r="C643" s="80"/>
      <c r="D643" s="5"/>
      <c r="E643" s="5"/>
      <c r="F643" s="5"/>
      <c r="G643" s="5"/>
    </row>
    <row r="644" spans="3:7" ht="13">
      <c r="C644" s="80"/>
      <c r="D644" s="5"/>
      <c r="E644" s="5"/>
      <c r="F644" s="5"/>
      <c r="G644" s="5"/>
    </row>
    <row r="645" spans="3:7" ht="13">
      <c r="C645" s="80"/>
      <c r="D645" s="5"/>
      <c r="E645" s="5"/>
      <c r="F645" s="5"/>
      <c r="G645" s="5"/>
    </row>
    <row r="646" spans="3:7" ht="13">
      <c r="C646" s="80"/>
      <c r="D646" s="5"/>
      <c r="E646" s="5"/>
      <c r="F646" s="5"/>
      <c r="G646" s="5"/>
    </row>
    <row r="647" spans="3:7" ht="13">
      <c r="C647" s="80"/>
      <c r="D647" s="5"/>
      <c r="E647" s="5"/>
      <c r="F647" s="5"/>
      <c r="G647" s="5"/>
    </row>
    <row r="648" spans="3:7" ht="13">
      <c r="C648" s="80"/>
      <c r="D648" s="5"/>
      <c r="E648" s="5"/>
      <c r="F648" s="5"/>
      <c r="G648" s="5"/>
    </row>
    <row r="649" spans="3:7" ht="13">
      <c r="C649" s="80"/>
      <c r="D649" s="5"/>
      <c r="E649" s="5"/>
      <c r="F649" s="5"/>
      <c r="G649" s="5"/>
    </row>
    <row r="650" spans="3:7" ht="13">
      <c r="C650" s="80"/>
      <c r="D650" s="5"/>
      <c r="E650" s="5"/>
      <c r="F650" s="5"/>
      <c r="G650" s="5"/>
    </row>
    <row r="651" spans="3:7" ht="13">
      <c r="C651" s="80"/>
      <c r="D651" s="5"/>
      <c r="E651" s="5"/>
      <c r="F651" s="5"/>
      <c r="G651" s="5"/>
    </row>
    <row r="652" spans="3:7" ht="13">
      <c r="C652" s="80"/>
      <c r="D652" s="5"/>
      <c r="E652" s="5"/>
      <c r="F652" s="5"/>
      <c r="G652" s="5"/>
    </row>
    <row r="653" spans="3:7" ht="13">
      <c r="C653" s="80"/>
      <c r="D653" s="5"/>
      <c r="E653" s="5"/>
      <c r="F653" s="5"/>
      <c r="G653" s="5"/>
    </row>
    <row r="654" spans="3:7" ht="13">
      <c r="C654" s="80"/>
      <c r="D654" s="5"/>
      <c r="E654" s="5"/>
      <c r="F654" s="5"/>
      <c r="G654" s="5"/>
    </row>
    <row r="655" spans="3:7" ht="13">
      <c r="C655" s="80"/>
      <c r="D655" s="5"/>
      <c r="E655" s="5"/>
      <c r="F655" s="5"/>
      <c r="G655" s="5"/>
    </row>
    <row r="656" spans="3:7" ht="13">
      <c r="C656" s="80"/>
      <c r="D656" s="5"/>
      <c r="E656" s="5"/>
      <c r="F656" s="5"/>
      <c r="G656" s="5"/>
    </row>
    <row r="657" spans="3:7" ht="13">
      <c r="C657" s="80"/>
      <c r="D657" s="5"/>
      <c r="E657" s="5"/>
      <c r="F657" s="5"/>
      <c r="G657" s="5"/>
    </row>
    <row r="658" spans="3:7" ht="13">
      <c r="C658" s="80"/>
      <c r="D658" s="5"/>
      <c r="E658" s="5"/>
      <c r="F658" s="5"/>
      <c r="G658" s="5"/>
    </row>
    <row r="659" spans="3:7" ht="13">
      <c r="C659" s="80"/>
      <c r="D659" s="5"/>
      <c r="E659" s="5"/>
      <c r="F659" s="5"/>
      <c r="G659" s="5"/>
    </row>
    <row r="660" spans="3:7" ht="13">
      <c r="C660" s="80"/>
      <c r="D660" s="5"/>
      <c r="E660" s="5"/>
      <c r="F660" s="5"/>
      <c r="G660" s="5"/>
    </row>
    <row r="661" spans="3:7" ht="13">
      <c r="C661" s="80"/>
      <c r="D661" s="5"/>
      <c r="E661" s="5"/>
      <c r="F661" s="5"/>
      <c r="G661" s="5"/>
    </row>
    <row r="662" spans="3:7" ht="13">
      <c r="C662" s="80"/>
      <c r="D662" s="5"/>
      <c r="E662" s="5"/>
      <c r="F662" s="5"/>
      <c r="G662" s="5"/>
    </row>
    <row r="663" spans="3:7" ht="13">
      <c r="C663" s="80"/>
      <c r="D663" s="5"/>
      <c r="E663" s="5"/>
      <c r="F663" s="5"/>
      <c r="G663" s="5"/>
    </row>
    <row r="664" spans="3:7" ht="13">
      <c r="C664" s="80"/>
      <c r="D664" s="5"/>
      <c r="E664" s="5"/>
      <c r="F664" s="5"/>
      <c r="G664" s="5"/>
    </row>
    <row r="665" spans="3:7" ht="13">
      <c r="C665" s="80"/>
      <c r="D665" s="5"/>
      <c r="E665" s="5"/>
      <c r="F665" s="5"/>
      <c r="G665" s="5"/>
    </row>
    <row r="666" spans="3:7" ht="13">
      <c r="C666" s="80"/>
      <c r="D666" s="5"/>
      <c r="E666" s="5"/>
      <c r="F666" s="5"/>
      <c r="G666" s="5"/>
    </row>
    <row r="667" spans="3:7" ht="13">
      <c r="C667" s="80"/>
      <c r="D667" s="5"/>
      <c r="E667" s="5"/>
      <c r="F667" s="5"/>
      <c r="G667" s="5"/>
    </row>
    <row r="668" spans="3:7" ht="13">
      <c r="C668" s="80"/>
      <c r="D668" s="5"/>
      <c r="E668" s="5"/>
      <c r="F668" s="5"/>
      <c r="G668" s="5"/>
    </row>
    <row r="669" spans="3:7" ht="13">
      <c r="C669" s="80"/>
      <c r="D669" s="5"/>
      <c r="E669" s="5"/>
      <c r="F669" s="5"/>
      <c r="G669" s="5"/>
    </row>
    <row r="670" spans="3:7" ht="13">
      <c r="C670" s="80"/>
      <c r="D670" s="5"/>
      <c r="E670" s="5"/>
      <c r="F670" s="5"/>
      <c r="G670" s="5"/>
    </row>
    <row r="671" spans="3:7" ht="13">
      <c r="C671" s="80"/>
      <c r="D671" s="5"/>
      <c r="E671" s="5"/>
      <c r="F671" s="5"/>
      <c r="G671" s="5"/>
    </row>
    <row r="672" spans="3:7" ht="13">
      <c r="C672" s="80"/>
      <c r="D672" s="5"/>
      <c r="E672" s="5"/>
      <c r="F672" s="5"/>
      <c r="G672" s="5"/>
    </row>
    <row r="673" spans="3:7" ht="13">
      <c r="C673" s="80"/>
      <c r="D673" s="5"/>
      <c r="E673" s="5"/>
      <c r="F673" s="5"/>
      <c r="G673" s="5"/>
    </row>
    <row r="674" spans="3:7" ht="13">
      <c r="C674" s="80"/>
      <c r="D674" s="5"/>
      <c r="E674" s="5"/>
      <c r="F674" s="5"/>
      <c r="G674" s="5"/>
    </row>
    <row r="675" spans="3:7" ht="13">
      <c r="C675" s="80"/>
      <c r="D675" s="5"/>
      <c r="E675" s="5"/>
      <c r="F675" s="5"/>
      <c r="G675" s="5"/>
    </row>
    <row r="676" spans="3:7" ht="13">
      <c r="C676" s="80"/>
      <c r="D676" s="5"/>
      <c r="E676" s="5"/>
      <c r="F676" s="5"/>
      <c r="G676" s="5"/>
    </row>
    <row r="677" spans="3:7" ht="13">
      <c r="C677" s="80"/>
      <c r="D677" s="5"/>
      <c r="E677" s="5"/>
      <c r="F677" s="5"/>
      <c r="G677" s="5"/>
    </row>
    <row r="678" spans="3:7" ht="13">
      <c r="C678" s="80"/>
      <c r="D678" s="5"/>
      <c r="E678" s="5"/>
      <c r="F678" s="5"/>
      <c r="G678" s="5"/>
    </row>
    <row r="679" spans="3:7" ht="13">
      <c r="C679" s="80"/>
      <c r="D679" s="5"/>
      <c r="E679" s="5"/>
      <c r="F679" s="5"/>
      <c r="G679" s="5"/>
    </row>
    <row r="680" spans="3:7" ht="13">
      <c r="C680" s="80"/>
      <c r="D680" s="5"/>
      <c r="E680" s="5"/>
      <c r="F680" s="5"/>
      <c r="G680" s="5"/>
    </row>
    <row r="681" spans="3:7" ht="13">
      <c r="C681" s="80"/>
      <c r="D681" s="5"/>
      <c r="E681" s="5"/>
      <c r="F681" s="5"/>
      <c r="G681" s="5"/>
    </row>
    <row r="682" spans="3:7" ht="13">
      <c r="C682" s="80"/>
      <c r="D682" s="5"/>
      <c r="E682" s="5"/>
      <c r="F682" s="5"/>
      <c r="G682" s="5"/>
    </row>
    <row r="683" spans="3:7" ht="13">
      <c r="C683" s="80"/>
      <c r="D683" s="5"/>
      <c r="E683" s="5"/>
      <c r="F683" s="5"/>
      <c r="G683" s="5"/>
    </row>
    <row r="684" spans="3:7" ht="13">
      <c r="C684" s="80"/>
      <c r="D684" s="5"/>
      <c r="E684" s="5"/>
      <c r="F684" s="5"/>
      <c r="G684" s="5"/>
    </row>
    <row r="685" spans="3:7" ht="13">
      <c r="C685" s="80"/>
      <c r="D685" s="5"/>
      <c r="E685" s="5"/>
      <c r="F685" s="5"/>
      <c r="G685" s="5"/>
    </row>
    <row r="686" spans="3:7" ht="13">
      <c r="C686" s="80"/>
      <c r="D686" s="5"/>
      <c r="E686" s="5"/>
      <c r="F686" s="5"/>
      <c r="G686" s="5"/>
    </row>
    <row r="687" spans="3:7" ht="13">
      <c r="C687" s="80"/>
      <c r="D687" s="5"/>
      <c r="E687" s="5"/>
      <c r="F687" s="5"/>
      <c r="G687" s="5"/>
    </row>
    <row r="688" spans="3:7" ht="13">
      <c r="C688" s="80"/>
      <c r="D688" s="5"/>
      <c r="E688" s="5"/>
      <c r="F688" s="5"/>
      <c r="G688" s="5"/>
    </row>
    <row r="689" spans="3:7" ht="13">
      <c r="C689" s="80"/>
      <c r="D689" s="5"/>
      <c r="E689" s="5"/>
      <c r="F689" s="5"/>
      <c r="G689" s="5"/>
    </row>
    <row r="690" spans="3:7" ht="13">
      <c r="C690" s="80"/>
      <c r="D690" s="5"/>
      <c r="E690" s="5"/>
      <c r="F690" s="5"/>
      <c r="G690" s="5"/>
    </row>
    <row r="691" spans="3:7" ht="13">
      <c r="C691" s="80"/>
      <c r="D691" s="5"/>
      <c r="E691" s="5"/>
      <c r="F691" s="5"/>
      <c r="G691" s="5"/>
    </row>
    <row r="692" spans="3:7" ht="13">
      <c r="C692" s="80"/>
      <c r="D692" s="5"/>
      <c r="E692" s="5"/>
      <c r="F692" s="5"/>
      <c r="G692" s="5"/>
    </row>
    <row r="693" spans="3:7" ht="13">
      <c r="C693" s="80"/>
      <c r="D693" s="5"/>
      <c r="E693" s="5"/>
      <c r="F693" s="5"/>
      <c r="G693" s="5"/>
    </row>
    <row r="694" spans="3:7" ht="13">
      <c r="C694" s="80"/>
      <c r="D694" s="5"/>
      <c r="E694" s="5"/>
      <c r="F694" s="5"/>
      <c r="G694" s="5"/>
    </row>
    <row r="695" spans="3:7" ht="13">
      <c r="C695" s="80"/>
      <c r="D695" s="5"/>
      <c r="E695" s="5"/>
      <c r="F695" s="5"/>
      <c r="G695" s="5"/>
    </row>
    <row r="696" spans="3:7" ht="13">
      <c r="C696" s="80"/>
      <c r="D696" s="5"/>
      <c r="E696" s="5"/>
      <c r="F696" s="5"/>
      <c r="G696" s="5"/>
    </row>
    <row r="697" spans="3:7" ht="13">
      <c r="C697" s="80"/>
      <c r="D697" s="5"/>
      <c r="E697" s="5"/>
      <c r="F697" s="5"/>
      <c r="G697" s="5"/>
    </row>
    <row r="698" spans="3:7" ht="13">
      <c r="C698" s="80"/>
      <c r="D698" s="5"/>
      <c r="E698" s="5"/>
      <c r="F698" s="5"/>
      <c r="G698" s="5"/>
    </row>
    <row r="699" spans="3:7" ht="13">
      <c r="C699" s="80"/>
      <c r="D699" s="5"/>
      <c r="E699" s="5"/>
      <c r="F699" s="5"/>
      <c r="G699" s="5"/>
    </row>
    <row r="700" spans="3:7" ht="13">
      <c r="C700" s="80"/>
      <c r="D700" s="5"/>
      <c r="E700" s="5"/>
      <c r="F700" s="5"/>
      <c r="G700" s="5"/>
    </row>
    <row r="701" spans="3:7" ht="13">
      <c r="C701" s="80"/>
      <c r="D701" s="5"/>
      <c r="E701" s="5"/>
      <c r="F701" s="5"/>
      <c r="G701" s="5"/>
    </row>
    <row r="702" spans="3:7" ht="13">
      <c r="C702" s="80"/>
      <c r="D702" s="5"/>
      <c r="E702" s="5"/>
      <c r="F702" s="5"/>
      <c r="G702" s="5"/>
    </row>
    <row r="703" spans="3:7" ht="13">
      <c r="C703" s="80"/>
      <c r="D703" s="5"/>
      <c r="E703" s="5"/>
      <c r="F703" s="5"/>
      <c r="G703" s="5"/>
    </row>
    <row r="704" spans="3:7" ht="13">
      <c r="C704" s="80"/>
      <c r="D704" s="5"/>
      <c r="E704" s="5"/>
      <c r="F704" s="5"/>
      <c r="G704" s="5"/>
    </row>
    <row r="705" spans="3:7" ht="13">
      <c r="C705" s="80"/>
      <c r="D705" s="5"/>
      <c r="E705" s="5"/>
      <c r="F705" s="5"/>
      <c r="G705" s="5"/>
    </row>
    <row r="706" spans="3:7" ht="13">
      <c r="C706" s="80"/>
      <c r="D706" s="5"/>
      <c r="E706" s="5"/>
      <c r="F706" s="5"/>
      <c r="G706" s="5"/>
    </row>
    <row r="707" spans="3:7" ht="13">
      <c r="C707" s="80"/>
      <c r="D707" s="5"/>
      <c r="E707" s="5"/>
      <c r="F707" s="5"/>
      <c r="G707" s="5"/>
    </row>
    <row r="708" spans="3:7" ht="13">
      <c r="C708" s="80"/>
      <c r="D708" s="5"/>
      <c r="E708" s="5"/>
      <c r="F708" s="5"/>
      <c r="G708" s="5"/>
    </row>
    <row r="709" spans="3:7" ht="13">
      <c r="C709" s="80"/>
      <c r="D709" s="5"/>
      <c r="E709" s="5"/>
      <c r="F709" s="5"/>
      <c r="G709" s="5"/>
    </row>
    <row r="710" spans="3:7" ht="13">
      <c r="C710" s="80"/>
      <c r="D710" s="5"/>
      <c r="E710" s="5"/>
      <c r="F710" s="5"/>
      <c r="G710" s="5"/>
    </row>
    <row r="711" spans="3:7" ht="13">
      <c r="C711" s="80"/>
      <c r="D711" s="5"/>
      <c r="E711" s="5"/>
      <c r="F711" s="5"/>
      <c r="G711" s="5"/>
    </row>
    <row r="712" spans="3:7" ht="13">
      <c r="C712" s="80"/>
      <c r="D712" s="5"/>
      <c r="E712" s="5"/>
      <c r="F712" s="5"/>
      <c r="G712" s="5"/>
    </row>
    <row r="713" spans="3:7" ht="13">
      <c r="C713" s="80"/>
      <c r="D713" s="5"/>
      <c r="E713" s="5"/>
      <c r="F713" s="5"/>
      <c r="G713" s="5"/>
    </row>
    <row r="714" spans="3:7" ht="13">
      <c r="C714" s="80"/>
      <c r="D714" s="5"/>
      <c r="E714" s="5"/>
      <c r="F714" s="5"/>
      <c r="G714" s="5"/>
    </row>
    <row r="715" spans="3:7" ht="13">
      <c r="C715" s="80"/>
      <c r="D715" s="5"/>
      <c r="E715" s="5"/>
      <c r="F715" s="5"/>
      <c r="G715" s="5"/>
    </row>
    <row r="716" spans="3:7" ht="13">
      <c r="C716" s="80"/>
      <c r="D716" s="5"/>
      <c r="E716" s="5"/>
      <c r="F716" s="5"/>
      <c r="G716" s="5"/>
    </row>
    <row r="717" spans="3:7" ht="13">
      <c r="C717" s="80"/>
      <c r="D717" s="5"/>
      <c r="E717" s="5"/>
      <c r="F717" s="5"/>
      <c r="G717" s="5"/>
    </row>
    <row r="718" spans="3:7" ht="13">
      <c r="C718" s="80"/>
      <c r="D718" s="5"/>
      <c r="E718" s="5"/>
      <c r="F718" s="5"/>
      <c r="G718" s="5"/>
    </row>
    <row r="719" spans="3:7" ht="13">
      <c r="C719" s="80"/>
      <c r="D719" s="5"/>
      <c r="E719" s="5"/>
      <c r="F719" s="5"/>
      <c r="G719" s="5"/>
    </row>
    <row r="720" spans="3:7" ht="13">
      <c r="C720" s="80"/>
      <c r="D720" s="5"/>
      <c r="E720" s="5"/>
      <c r="F720" s="5"/>
      <c r="G720" s="5"/>
    </row>
    <row r="721" spans="3:7" ht="13">
      <c r="C721" s="80"/>
      <c r="D721" s="5"/>
      <c r="E721" s="5"/>
      <c r="F721" s="5"/>
      <c r="G721" s="5"/>
    </row>
    <row r="722" spans="3:7" ht="13">
      <c r="C722" s="80"/>
      <c r="D722" s="5"/>
      <c r="E722" s="5"/>
      <c r="F722" s="5"/>
      <c r="G722" s="5"/>
    </row>
    <row r="723" spans="3:7" ht="13">
      <c r="C723" s="80"/>
      <c r="D723" s="5"/>
      <c r="E723" s="5"/>
      <c r="F723" s="5"/>
      <c r="G723" s="5"/>
    </row>
    <row r="724" spans="3:7" ht="13">
      <c r="C724" s="80"/>
      <c r="D724" s="5"/>
      <c r="E724" s="5"/>
      <c r="F724" s="5"/>
      <c r="G724" s="5"/>
    </row>
    <row r="725" spans="3:7" ht="13">
      <c r="C725" s="80"/>
      <c r="D725" s="5"/>
      <c r="E725" s="5"/>
      <c r="F725" s="5"/>
      <c r="G725" s="5"/>
    </row>
    <row r="726" spans="3:7" ht="13">
      <c r="C726" s="80"/>
      <c r="D726" s="5"/>
      <c r="E726" s="5"/>
      <c r="F726" s="5"/>
      <c r="G726" s="5"/>
    </row>
    <row r="727" spans="3:7" ht="13">
      <c r="C727" s="80"/>
      <c r="D727" s="5"/>
      <c r="E727" s="5"/>
      <c r="F727" s="5"/>
      <c r="G727" s="5"/>
    </row>
    <row r="728" spans="3:7" ht="13">
      <c r="C728" s="80"/>
      <c r="D728" s="5"/>
      <c r="E728" s="5"/>
      <c r="F728" s="5"/>
      <c r="G728" s="5"/>
    </row>
    <row r="729" spans="3:7" ht="13">
      <c r="C729" s="80"/>
      <c r="D729" s="5"/>
      <c r="E729" s="5"/>
      <c r="F729" s="5"/>
      <c r="G729" s="5"/>
    </row>
    <row r="730" spans="3:7" ht="13">
      <c r="C730" s="80"/>
      <c r="D730" s="5"/>
      <c r="E730" s="5"/>
      <c r="F730" s="5"/>
      <c r="G730" s="5"/>
    </row>
    <row r="731" spans="3:7" ht="13">
      <c r="C731" s="80"/>
      <c r="D731" s="5"/>
      <c r="E731" s="5"/>
      <c r="F731" s="5"/>
      <c r="G731" s="5"/>
    </row>
    <row r="732" spans="3:7" ht="13">
      <c r="C732" s="80"/>
      <c r="D732" s="5"/>
      <c r="E732" s="5"/>
      <c r="F732" s="5"/>
      <c r="G732" s="5"/>
    </row>
    <row r="733" spans="3:7" ht="13">
      <c r="C733" s="80"/>
      <c r="D733" s="5"/>
      <c r="E733" s="5"/>
      <c r="F733" s="5"/>
      <c r="G733" s="5"/>
    </row>
    <row r="734" spans="3:7" ht="13">
      <c r="C734" s="80"/>
      <c r="D734" s="5"/>
      <c r="E734" s="5"/>
      <c r="F734" s="5"/>
      <c r="G734" s="5"/>
    </row>
    <row r="735" spans="3:7" ht="13">
      <c r="C735" s="80"/>
      <c r="D735" s="5"/>
      <c r="E735" s="5"/>
      <c r="F735" s="5"/>
      <c r="G735" s="5"/>
    </row>
    <row r="736" spans="3:7" ht="13">
      <c r="C736" s="80"/>
      <c r="D736" s="5"/>
      <c r="E736" s="5"/>
      <c r="F736" s="5"/>
      <c r="G736" s="5"/>
    </row>
    <row r="737" spans="3:7" ht="13">
      <c r="C737" s="80"/>
      <c r="D737" s="5"/>
      <c r="E737" s="5"/>
      <c r="F737" s="5"/>
      <c r="G737" s="5"/>
    </row>
    <row r="738" spans="3:7" ht="13">
      <c r="C738" s="80"/>
      <c r="D738" s="5"/>
      <c r="E738" s="5"/>
      <c r="F738" s="5"/>
      <c r="G738" s="5"/>
    </row>
    <row r="739" spans="3:7" ht="13">
      <c r="C739" s="80"/>
      <c r="D739" s="5"/>
      <c r="E739" s="5"/>
      <c r="F739" s="5"/>
      <c r="G739" s="5"/>
    </row>
    <row r="740" spans="3:7" ht="13">
      <c r="C740" s="80"/>
      <c r="D740" s="5"/>
      <c r="E740" s="5"/>
      <c r="F740" s="5"/>
      <c r="G740" s="5"/>
    </row>
    <row r="741" spans="3:7" ht="13">
      <c r="C741" s="80"/>
      <c r="D741" s="5"/>
      <c r="E741" s="5"/>
      <c r="F741" s="5"/>
      <c r="G741" s="5"/>
    </row>
    <row r="742" spans="3:7" ht="13">
      <c r="C742" s="80"/>
      <c r="D742" s="5"/>
      <c r="E742" s="5"/>
      <c r="F742" s="5"/>
      <c r="G742" s="5"/>
    </row>
    <row r="743" spans="3:7" ht="13">
      <c r="C743" s="80"/>
      <c r="D743" s="5"/>
      <c r="E743" s="5"/>
      <c r="F743" s="5"/>
      <c r="G743" s="5"/>
    </row>
    <row r="744" spans="3:7" ht="13">
      <c r="C744" s="80"/>
      <c r="D744" s="5"/>
      <c r="E744" s="5"/>
      <c r="F744" s="5"/>
      <c r="G744" s="5"/>
    </row>
    <row r="745" spans="3:7" ht="13">
      <c r="C745" s="80"/>
      <c r="D745" s="5"/>
      <c r="E745" s="5"/>
      <c r="F745" s="5"/>
      <c r="G745" s="5"/>
    </row>
    <row r="746" spans="3:7" ht="13">
      <c r="C746" s="80"/>
      <c r="D746" s="5"/>
      <c r="E746" s="5"/>
      <c r="F746" s="5"/>
      <c r="G746" s="5"/>
    </row>
    <row r="747" spans="3:7" ht="13">
      <c r="C747" s="80"/>
      <c r="D747" s="5"/>
      <c r="E747" s="5"/>
      <c r="F747" s="5"/>
      <c r="G747" s="5"/>
    </row>
    <row r="748" spans="3:7" ht="13">
      <c r="C748" s="80"/>
      <c r="D748" s="5"/>
      <c r="E748" s="5"/>
      <c r="F748" s="5"/>
      <c r="G748" s="5"/>
    </row>
    <row r="749" spans="3:7" ht="13">
      <c r="C749" s="80"/>
      <c r="D749" s="5"/>
      <c r="E749" s="5"/>
      <c r="F749" s="5"/>
      <c r="G749" s="5"/>
    </row>
    <row r="750" spans="3:7" ht="13">
      <c r="C750" s="80"/>
      <c r="D750" s="5"/>
      <c r="E750" s="5"/>
      <c r="F750" s="5"/>
      <c r="G750" s="5"/>
    </row>
    <row r="751" spans="3:7" ht="13">
      <c r="C751" s="80"/>
      <c r="D751" s="5"/>
      <c r="E751" s="5"/>
      <c r="F751" s="5"/>
      <c r="G751" s="5"/>
    </row>
    <row r="752" spans="3:7" ht="13">
      <c r="C752" s="80"/>
      <c r="D752" s="5"/>
      <c r="E752" s="5"/>
      <c r="F752" s="5"/>
      <c r="G752" s="5"/>
    </row>
    <row r="753" spans="3:7" ht="13">
      <c r="C753" s="80"/>
      <c r="D753" s="5"/>
      <c r="E753" s="5"/>
      <c r="F753" s="5"/>
      <c r="G753" s="5"/>
    </row>
    <row r="754" spans="3:7" ht="13">
      <c r="C754" s="80"/>
      <c r="D754" s="5"/>
      <c r="E754" s="5"/>
      <c r="F754" s="5"/>
      <c r="G754" s="5"/>
    </row>
    <row r="755" spans="3:7" ht="13">
      <c r="C755" s="80"/>
      <c r="D755" s="5"/>
      <c r="E755" s="5"/>
      <c r="F755" s="5"/>
      <c r="G755" s="5"/>
    </row>
    <row r="756" spans="3:7" ht="13">
      <c r="C756" s="80"/>
      <c r="D756" s="5"/>
      <c r="E756" s="5"/>
      <c r="F756" s="5"/>
      <c r="G756" s="5"/>
    </row>
    <row r="757" spans="3:7" ht="13">
      <c r="C757" s="80"/>
      <c r="D757" s="5"/>
      <c r="E757" s="5"/>
      <c r="F757" s="5"/>
      <c r="G757" s="5"/>
    </row>
    <row r="758" spans="3:7" ht="13">
      <c r="C758" s="80"/>
      <c r="D758" s="5"/>
      <c r="E758" s="5"/>
      <c r="F758" s="5"/>
      <c r="G758" s="5"/>
    </row>
    <row r="759" spans="3:7" ht="13">
      <c r="C759" s="80"/>
      <c r="D759" s="5"/>
      <c r="E759" s="5"/>
      <c r="F759" s="5"/>
      <c r="G759" s="5"/>
    </row>
    <row r="760" spans="3:7" ht="13">
      <c r="C760" s="80"/>
      <c r="D760" s="5"/>
      <c r="E760" s="5"/>
      <c r="F760" s="5"/>
      <c r="G760" s="5"/>
    </row>
    <row r="761" spans="3:7" ht="13">
      <c r="C761" s="80"/>
      <c r="D761" s="5"/>
      <c r="E761" s="5"/>
      <c r="F761" s="5"/>
      <c r="G761" s="5"/>
    </row>
    <row r="762" spans="3:7" ht="13">
      <c r="C762" s="80"/>
      <c r="D762" s="5"/>
      <c r="E762" s="5"/>
      <c r="F762" s="5"/>
      <c r="G762" s="5"/>
    </row>
    <row r="763" spans="3:7" ht="13">
      <c r="C763" s="80"/>
      <c r="D763" s="5"/>
      <c r="E763" s="5"/>
      <c r="F763" s="5"/>
      <c r="G763" s="5"/>
    </row>
    <row r="764" spans="3:7" ht="13">
      <c r="C764" s="80"/>
      <c r="D764" s="5"/>
      <c r="E764" s="5"/>
      <c r="F764" s="5"/>
      <c r="G764" s="5"/>
    </row>
    <row r="765" spans="3:7" ht="13">
      <c r="C765" s="80"/>
      <c r="D765" s="5"/>
      <c r="E765" s="5"/>
      <c r="F765" s="5"/>
      <c r="G765" s="5"/>
    </row>
    <row r="766" spans="3:7" ht="13">
      <c r="C766" s="80"/>
      <c r="D766" s="5"/>
      <c r="E766" s="5"/>
      <c r="F766" s="5"/>
      <c r="G766" s="5"/>
    </row>
    <row r="767" spans="3:7" ht="13">
      <c r="C767" s="80"/>
      <c r="D767" s="5"/>
      <c r="E767" s="5"/>
      <c r="F767" s="5"/>
      <c r="G767" s="5"/>
    </row>
    <row r="768" spans="3:7" ht="13">
      <c r="C768" s="80"/>
      <c r="D768" s="5"/>
      <c r="E768" s="5"/>
      <c r="F768" s="5"/>
      <c r="G768" s="5"/>
    </row>
    <row r="769" spans="3:7" ht="13">
      <c r="C769" s="80"/>
      <c r="D769" s="5"/>
      <c r="E769" s="5"/>
      <c r="F769" s="5"/>
      <c r="G769" s="5"/>
    </row>
    <row r="770" spans="3:7" ht="13">
      <c r="C770" s="80"/>
      <c r="D770" s="5"/>
      <c r="E770" s="5"/>
      <c r="F770" s="5"/>
      <c r="G770" s="5"/>
    </row>
    <row r="771" spans="3:7" ht="13">
      <c r="C771" s="80"/>
      <c r="D771" s="5"/>
      <c r="E771" s="5"/>
      <c r="F771" s="5"/>
      <c r="G771" s="5"/>
    </row>
    <row r="772" spans="3:7" ht="13">
      <c r="C772" s="80"/>
      <c r="D772" s="5"/>
      <c r="E772" s="5"/>
      <c r="F772" s="5"/>
      <c r="G772" s="5"/>
    </row>
    <row r="773" spans="3:7" ht="13">
      <c r="C773" s="80"/>
      <c r="D773" s="5"/>
      <c r="E773" s="5"/>
      <c r="F773" s="5"/>
      <c r="G773" s="5"/>
    </row>
    <row r="774" spans="3:7" ht="13">
      <c r="C774" s="80"/>
      <c r="D774" s="5"/>
      <c r="E774" s="5"/>
      <c r="F774" s="5"/>
      <c r="G774" s="5"/>
    </row>
    <row r="775" spans="3:7" ht="13">
      <c r="C775" s="80"/>
      <c r="D775" s="5"/>
      <c r="E775" s="5"/>
      <c r="F775" s="5"/>
      <c r="G775" s="5"/>
    </row>
    <row r="776" spans="3:7" ht="13">
      <c r="C776" s="80"/>
      <c r="D776" s="5"/>
      <c r="E776" s="5"/>
      <c r="F776" s="5"/>
      <c r="G776" s="5"/>
    </row>
    <row r="777" spans="3:7" ht="13">
      <c r="C777" s="80"/>
      <c r="D777" s="5"/>
      <c r="E777" s="5"/>
      <c r="F777" s="5"/>
      <c r="G777" s="5"/>
    </row>
    <row r="778" spans="3:7" ht="13">
      <c r="C778" s="80"/>
      <c r="D778" s="5"/>
      <c r="E778" s="5"/>
      <c r="F778" s="5"/>
      <c r="G778" s="5"/>
    </row>
    <row r="779" spans="3:7" ht="13">
      <c r="C779" s="80"/>
      <c r="D779" s="5"/>
      <c r="E779" s="5"/>
      <c r="F779" s="5"/>
      <c r="G779" s="5"/>
    </row>
    <row r="780" spans="3:7" ht="13">
      <c r="C780" s="80"/>
      <c r="D780" s="5"/>
      <c r="E780" s="5"/>
      <c r="F780" s="5"/>
      <c r="G780" s="5"/>
    </row>
    <row r="781" spans="3:7" ht="13">
      <c r="C781" s="80"/>
      <c r="D781" s="5"/>
      <c r="E781" s="5"/>
      <c r="F781" s="5"/>
      <c r="G781" s="5"/>
    </row>
    <row r="782" spans="3:7" ht="13">
      <c r="C782" s="80"/>
      <c r="D782" s="5"/>
      <c r="E782" s="5"/>
      <c r="F782" s="5"/>
      <c r="G782" s="5"/>
    </row>
    <row r="783" spans="3:7" ht="13">
      <c r="C783" s="80"/>
      <c r="D783" s="5"/>
      <c r="E783" s="5"/>
      <c r="F783" s="5"/>
      <c r="G783" s="5"/>
    </row>
    <row r="784" spans="3:7" ht="13">
      <c r="C784" s="80"/>
      <c r="D784" s="5"/>
      <c r="E784" s="5"/>
      <c r="F784" s="5"/>
      <c r="G784" s="5"/>
    </row>
    <row r="785" spans="3:7" ht="13">
      <c r="C785" s="80"/>
      <c r="D785" s="5"/>
      <c r="E785" s="5"/>
      <c r="F785" s="5"/>
      <c r="G785" s="5"/>
    </row>
    <row r="786" spans="3:7" ht="13">
      <c r="C786" s="80"/>
      <c r="D786" s="5"/>
      <c r="E786" s="5"/>
      <c r="F786" s="5"/>
      <c r="G786" s="5"/>
    </row>
    <row r="787" spans="3:7" ht="13">
      <c r="C787" s="80"/>
      <c r="D787" s="5"/>
      <c r="E787" s="5"/>
      <c r="F787" s="5"/>
      <c r="G787" s="5"/>
    </row>
    <row r="788" spans="3:7" ht="13">
      <c r="C788" s="80"/>
      <c r="D788" s="5"/>
      <c r="E788" s="5"/>
      <c r="F788" s="5"/>
      <c r="G788" s="5"/>
    </row>
    <row r="789" spans="3:7" ht="13">
      <c r="C789" s="80"/>
      <c r="D789" s="5"/>
      <c r="E789" s="5"/>
      <c r="F789" s="5"/>
      <c r="G789" s="5"/>
    </row>
    <row r="790" spans="3:7" ht="13">
      <c r="C790" s="80"/>
      <c r="D790" s="5"/>
      <c r="E790" s="5"/>
      <c r="F790" s="5"/>
      <c r="G790" s="5"/>
    </row>
    <row r="791" spans="3:7" ht="13">
      <c r="C791" s="80"/>
      <c r="D791" s="5"/>
      <c r="E791" s="5"/>
      <c r="F791" s="5"/>
      <c r="G791" s="5"/>
    </row>
    <row r="792" spans="3:7" ht="13">
      <c r="C792" s="80"/>
      <c r="D792" s="5"/>
      <c r="E792" s="5"/>
      <c r="F792" s="5"/>
      <c r="G792" s="5"/>
    </row>
    <row r="793" spans="3:7" ht="13">
      <c r="C793" s="80"/>
      <c r="D793" s="5"/>
      <c r="E793" s="5"/>
      <c r="F793" s="5"/>
      <c r="G793" s="5"/>
    </row>
    <row r="794" spans="3:7" ht="13">
      <c r="C794" s="80"/>
      <c r="D794" s="5"/>
      <c r="E794" s="5"/>
      <c r="F794" s="5"/>
      <c r="G794" s="5"/>
    </row>
    <row r="795" spans="3:7" ht="13">
      <c r="C795" s="80"/>
      <c r="D795" s="5"/>
      <c r="E795" s="5"/>
      <c r="F795" s="5"/>
      <c r="G795" s="5"/>
    </row>
    <row r="796" spans="3:7" ht="13">
      <c r="C796" s="80"/>
      <c r="D796" s="5"/>
      <c r="E796" s="5"/>
      <c r="F796" s="5"/>
      <c r="G796" s="5"/>
    </row>
    <row r="797" spans="3:7" ht="13">
      <c r="C797" s="80"/>
      <c r="D797" s="5"/>
      <c r="E797" s="5"/>
      <c r="F797" s="5"/>
      <c r="G797" s="5"/>
    </row>
    <row r="798" spans="3:7" ht="13">
      <c r="C798" s="80"/>
      <c r="D798" s="5"/>
      <c r="E798" s="5"/>
      <c r="F798" s="5"/>
      <c r="G798" s="5"/>
    </row>
    <row r="799" spans="3:7" ht="13">
      <c r="C799" s="80"/>
      <c r="D799" s="5"/>
      <c r="E799" s="5"/>
      <c r="F799" s="5"/>
      <c r="G799" s="5"/>
    </row>
    <row r="800" spans="3:7" ht="13">
      <c r="C800" s="80"/>
      <c r="D800" s="5"/>
      <c r="E800" s="5"/>
      <c r="F800" s="5"/>
      <c r="G800" s="5"/>
    </row>
    <row r="801" spans="3:7" ht="13">
      <c r="C801" s="80"/>
      <c r="D801" s="5"/>
      <c r="E801" s="5"/>
      <c r="F801" s="5"/>
      <c r="G801" s="5"/>
    </row>
    <row r="802" spans="3:7" ht="13">
      <c r="C802" s="80"/>
      <c r="D802" s="5"/>
      <c r="E802" s="5"/>
      <c r="F802" s="5"/>
      <c r="G802" s="5"/>
    </row>
    <row r="803" spans="3:7" ht="13">
      <c r="C803" s="80"/>
      <c r="D803" s="5"/>
      <c r="E803" s="5"/>
      <c r="F803" s="5"/>
      <c r="G803" s="5"/>
    </row>
    <row r="804" spans="3:7" ht="13">
      <c r="C804" s="80"/>
      <c r="D804" s="5"/>
      <c r="E804" s="5"/>
      <c r="F804" s="5"/>
      <c r="G804" s="5"/>
    </row>
    <row r="805" spans="3:7" ht="13">
      <c r="C805" s="80"/>
      <c r="D805" s="5"/>
      <c r="E805" s="5"/>
      <c r="F805" s="5"/>
      <c r="G805" s="5"/>
    </row>
    <row r="806" spans="3:7" ht="13">
      <c r="C806" s="80"/>
      <c r="D806" s="5"/>
      <c r="E806" s="5"/>
      <c r="F806" s="5"/>
      <c r="G806" s="5"/>
    </row>
    <row r="807" spans="3:7" ht="13">
      <c r="C807" s="80"/>
      <c r="D807" s="5"/>
      <c r="E807" s="5"/>
      <c r="F807" s="5"/>
      <c r="G807" s="5"/>
    </row>
    <row r="808" spans="3:7" ht="13">
      <c r="C808" s="80"/>
      <c r="D808" s="5"/>
      <c r="E808" s="5"/>
      <c r="F808" s="5"/>
      <c r="G808" s="5"/>
    </row>
    <row r="809" spans="3:7" ht="13">
      <c r="C809" s="80"/>
      <c r="D809" s="5"/>
      <c r="E809" s="5"/>
      <c r="F809" s="5"/>
      <c r="G809" s="5"/>
    </row>
    <row r="810" spans="3:7" ht="13">
      <c r="C810" s="80"/>
      <c r="D810" s="5"/>
      <c r="E810" s="5"/>
      <c r="F810" s="5"/>
      <c r="G810" s="5"/>
    </row>
    <row r="811" spans="3:7" ht="13">
      <c r="C811" s="80"/>
      <c r="D811" s="5"/>
      <c r="E811" s="5"/>
      <c r="F811" s="5"/>
      <c r="G811" s="5"/>
    </row>
    <row r="812" spans="3:7" ht="13">
      <c r="C812" s="80"/>
      <c r="D812" s="5"/>
      <c r="E812" s="5"/>
      <c r="F812" s="5"/>
      <c r="G812" s="5"/>
    </row>
    <row r="813" spans="3:7" ht="13">
      <c r="C813" s="80"/>
      <c r="D813" s="5"/>
      <c r="E813" s="5"/>
      <c r="F813" s="5"/>
      <c r="G813" s="5"/>
    </row>
    <row r="814" spans="3:7" ht="13">
      <c r="C814" s="80"/>
      <c r="D814" s="5"/>
      <c r="E814" s="5"/>
      <c r="F814" s="5"/>
      <c r="G814" s="5"/>
    </row>
    <row r="815" spans="3:7" ht="13">
      <c r="C815" s="80"/>
      <c r="D815" s="5"/>
      <c r="E815" s="5"/>
      <c r="F815" s="5"/>
      <c r="G815" s="5"/>
    </row>
    <row r="816" spans="3:7" ht="13">
      <c r="C816" s="80"/>
      <c r="D816" s="5"/>
      <c r="E816" s="5"/>
      <c r="F816" s="5"/>
      <c r="G816" s="5"/>
    </row>
    <row r="817" spans="3:7" ht="13">
      <c r="C817" s="80"/>
      <c r="D817" s="5"/>
      <c r="E817" s="5"/>
      <c r="F817" s="5"/>
      <c r="G817" s="5"/>
    </row>
    <row r="818" spans="3:7" ht="13">
      <c r="C818" s="80"/>
      <c r="D818" s="5"/>
      <c r="E818" s="5"/>
      <c r="F818" s="5"/>
      <c r="G818" s="5"/>
    </row>
    <row r="819" spans="3:7" ht="13">
      <c r="C819" s="80"/>
      <c r="D819" s="5"/>
      <c r="E819" s="5"/>
      <c r="F819" s="5"/>
      <c r="G819" s="5"/>
    </row>
    <row r="820" spans="3:7" ht="13">
      <c r="C820" s="80"/>
      <c r="D820" s="5"/>
      <c r="E820" s="5"/>
      <c r="F820" s="5"/>
      <c r="G820" s="5"/>
    </row>
    <row r="821" spans="3:7" ht="13">
      <c r="C821" s="80"/>
      <c r="D821" s="5"/>
      <c r="E821" s="5"/>
      <c r="F821" s="5"/>
      <c r="G821" s="5"/>
    </row>
    <row r="822" spans="3:7" ht="13">
      <c r="C822" s="80"/>
      <c r="D822" s="5"/>
      <c r="E822" s="5"/>
      <c r="F822" s="5"/>
      <c r="G822" s="5"/>
    </row>
    <row r="823" spans="3:7" ht="13">
      <c r="C823" s="80"/>
      <c r="D823" s="5"/>
      <c r="E823" s="5"/>
      <c r="F823" s="5"/>
      <c r="G823" s="5"/>
    </row>
    <row r="824" spans="3:7" ht="13">
      <c r="C824" s="80"/>
      <c r="D824" s="5"/>
      <c r="E824" s="5"/>
      <c r="F824" s="5"/>
      <c r="G824" s="5"/>
    </row>
    <row r="825" spans="3:7" ht="13">
      <c r="C825" s="80"/>
      <c r="D825" s="5"/>
      <c r="E825" s="5"/>
      <c r="F825" s="5"/>
      <c r="G825" s="5"/>
    </row>
    <row r="826" spans="3:7" ht="13">
      <c r="C826" s="80"/>
      <c r="D826" s="5"/>
      <c r="E826" s="5"/>
      <c r="F826" s="5"/>
      <c r="G826" s="5"/>
    </row>
    <row r="827" spans="3:7" ht="13">
      <c r="C827" s="80"/>
      <c r="D827" s="5"/>
      <c r="E827" s="5"/>
      <c r="F827" s="5"/>
      <c r="G827" s="5"/>
    </row>
    <row r="828" spans="3:7" ht="13">
      <c r="C828" s="80"/>
      <c r="D828" s="5"/>
      <c r="E828" s="5"/>
      <c r="F828" s="5"/>
      <c r="G828" s="5"/>
    </row>
    <row r="829" spans="3:7" ht="13">
      <c r="C829" s="80"/>
      <c r="D829" s="5"/>
      <c r="E829" s="5"/>
      <c r="F829" s="5"/>
      <c r="G829" s="5"/>
    </row>
    <row r="830" spans="3:7" ht="13">
      <c r="C830" s="80"/>
      <c r="D830" s="5"/>
      <c r="E830" s="5"/>
      <c r="F830" s="5"/>
      <c r="G830" s="5"/>
    </row>
    <row r="831" spans="3:7" ht="13">
      <c r="C831" s="80"/>
      <c r="D831" s="5"/>
      <c r="E831" s="5"/>
      <c r="F831" s="5"/>
      <c r="G831" s="5"/>
    </row>
    <row r="832" spans="3:7" ht="13">
      <c r="C832" s="80"/>
      <c r="D832" s="5"/>
      <c r="E832" s="5"/>
      <c r="F832" s="5"/>
      <c r="G832" s="5"/>
    </row>
    <row r="833" spans="3:7" ht="13">
      <c r="C833" s="80"/>
      <c r="D833" s="5"/>
      <c r="E833" s="5"/>
      <c r="F833" s="5"/>
      <c r="G833" s="5"/>
    </row>
    <row r="834" spans="3:7" ht="13">
      <c r="C834" s="80"/>
      <c r="D834" s="5"/>
      <c r="E834" s="5"/>
      <c r="F834" s="5"/>
      <c r="G834" s="5"/>
    </row>
    <row r="835" spans="3:7" ht="13">
      <c r="C835" s="80"/>
      <c r="D835" s="5"/>
      <c r="E835" s="5"/>
      <c r="F835" s="5"/>
      <c r="G835" s="5"/>
    </row>
    <row r="836" spans="3:7" ht="13">
      <c r="C836" s="80"/>
      <c r="D836" s="5"/>
      <c r="E836" s="5"/>
      <c r="F836" s="5"/>
      <c r="G836" s="5"/>
    </row>
    <row r="837" spans="3:7" ht="13">
      <c r="C837" s="80"/>
      <c r="D837" s="5"/>
      <c r="E837" s="5"/>
      <c r="F837" s="5"/>
      <c r="G837" s="5"/>
    </row>
    <row r="838" spans="3:7" ht="13">
      <c r="C838" s="80"/>
      <c r="D838" s="5"/>
      <c r="E838" s="5"/>
      <c r="F838" s="5"/>
      <c r="G838" s="5"/>
    </row>
    <row r="839" spans="3:7" ht="13">
      <c r="C839" s="80"/>
      <c r="D839" s="5"/>
      <c r="E839" s="5"/>
      <c r="F839" s="5"/>
      <c r="G839" s="5"/>
    </row>
    <row r="840" spans="3:7" ht="13">
      <c r="C840" s="80"/>
      <c r="D840" s="5"/>
      <c r="E840" s="5"/>
      <c r="F840" s="5"/>
      <c r="G840" s="5"/>
    </row>
    <row r="841" spans="3:7" ht="13">
      <c r="C841" s="80"/>
      <c r="D841" s="5"/>
      <c r="E841" s="5"/>
      <c r="F841" s="5"/>
      <c r="G841" s="5"/>
    </row>
    <row r="842" spans="3:7" ht="13">
      <c r="C842" s="80"/>
      <c r="D842" s="5"/>
      <c r="E842" s="5"/>
      <c r="F842" s="5"/>
      <c r="G842" s="5"/>
    </row>
    <row r="843" spans="3:7" ht="13">
      <c r="C843" s="80"/>
      <c r="D843" s="5"/>
      <c r="E843" s="5"/>
      <c r="F843" s="5"/>
      <c r="G843" s="5"/>
    </row>
    <row r="844" spans="3:7" ht="13">
      <c r="C844" s="80"/>
      <c r="D844" s="5"/>
      <c r="E844" s="5"/>
      <c r="F844" s="5"/>
      <c r="G844" s="5"/>
    </row>
    <row r="845" spans="3:7" ht="13">
      <c r="C845" s="80"/>
      <c r="D845" s="5"/>
      <c r="E845" s="5"/>
      <c r="F845" s="5"/>
      <c r="G845" s="5"/>
    </row>
    <row r="846" spans="3:7" ht="13">
      <c r="C846" s="80"/>
      <c r="D846" s="5"/>
      <c r="E846" s="5"/>
      <c r="F846" s="5"/>
      <c r="G846" s="5"/>
    </row>
    <row r="847" spans="3:7" ht="13">
      <c r="C847" s="80"/>
      <c r="D847" s="5"/>
      <c r="E847" s="5"/>
      <c r="F847" s="5"/>
      <c r="G847" s="5"/>
    </row>
    <row r="848" spans="3:7" ht="13">
      <c r="C848" s="80"/>
      <c r="D848" s="5"/>
      <c r="E848" s="5"/>
      <c r="F848" s="5"/>
      <c r="G848" s="5"/>
    </row>
    <row r="849" spans="3:7" ht="13">
      <c r="C849" s="80"/>
      <c r="D849" s="5"/>
      <c r="E849" s="5"/>
      <c r="F849" s="5"/>
      <c r="G849" s="5"/>
    </row>
    <row r="850" spans="3:7" ht="13">
      <c r="C850" s="80"/>
      <c r="D850" s="5"/>
      <c r="E850" s="5"/>
      <c r="F850" s="5"/>
      <c r="G850" s="5"/>
    </row>
    <row r="851" spans="3:7" ht="13">
      <c r="C851" s="80"/>
      <c r="D851" s="5"/>
      <c r="E851" s="5"/>
      <c r="F851" s="5"/>
      <c r="G851" s="5"/>
    </row>
    <row r="852" spans="3:7" ht="13">
      <c r="C852" s="80"/>
      <c r="D852" s="5"/>
      <c r="E852" s="5"/>
      <c r="F852" s="5"/>
      <c r="G852" s="5"/>
    </row>
    <row r="853" spans="3:7" ht="13">
      <c r="C853" s="80"/>
      <c r="D853" s="5"/>
      <c r="E853" s="5"/>
      <c r="F853" s="5"/>
      <c r="G853" s="5"/>
    </row>
    <row r="854" spans="3:7" ht="13">
      <c r="C854" s="80"/>
      <c r="D854" s="5"/>
      <c r="E854" s="5"/>
      <c r="F854" s="5"/>
      <c r="G854" s="5"/>
    </row>
    <row r="855" spans="3:7" ht="13">
      <c r="C855" s="80"/>
      <c r="D855" s="5"/>
      <c r="E855" s="5"/>
      <c r="F855" s="5"/>
      <c r="G855" s="5"/>
    </row>
    <row r="856" spans="3:7" ht="13">
      <c r="C856" s="80"/>
      <c r="D856" s="5"/>
      <c r="E856" s="5"/>
      <c r="F856" s="5"/>
      <c r="G856" s="5"/>
    </row>
    <row r="857" spans="3:7" ht="13">
      <c r="C857" s="80"/>
      <c r="D857" s="5"/>
      <c r="E857" s="5"/>
      <c r="F857" s="5"/>
      <c r="G857" s="5"/>
    </row>
    <row r="858" spans="3:7" ht="13">
      <c r="C858" s="80"/>
      <c r="D858" s="5"/>
      <c r="E858" s="5"/>
      <c r="F858" s="5"/>
      <c r="G858" s="5"/>
    </row>
    <row r="859" spans="3:7" ht="13">
      <c r="C859" s="80"/>
      <c r="D859" s="5"/>
      <c r="E859" s="5"/>
      <c r="F859" s="5"/>
      <c r="G859" s="5"/>
    </row>
    <row r="860" spans="3:7" ht="13">
      <c r="C860" s="80"/>
      <c r="D860" s="5"/>
      <c r="E860" s="5"/>
      <c r="F860" s="5"/>
      <c r="G860" s="5"/>
    </row>
    <row r="861" spans="3:7" ht="13">
      <c r="C861" s="80"/>
      <c r="D861" s="5"/>
      <c r="E861" s="5"/>
      <c r="F861" s="5"/>
      <c r="G861" s="5"/>
    </row>
    <row r="862" spans="3:7" ht="13">
      <c r="C862" s="80"/>
      <c r="D862" s="5"/>
      <c r="E862" s="5"/>
      <c r="F862" s="5"/>
      <c r="G862" s="5"/>
    </row>
    <row r="863" spans="3:7" ht="13">
      <c r="C863" s="80"/>
      <c r="D863" s="5"/>
      <c r="E863" s="5"/>
      <c r="F863" s="5"/>
      <c r="G863" s="5"/>
    </row>
    <row r="864" spans="3:7" ht="13">
      <c r="C864" s="80"/>
      <c r="D864" s="5"/>
      <c r="E864" s="5"/>
      <c r="F864" s="5"/>
      <c r="G864" s="5"/>
    </row>
    <row r="865" spans="3:7" ht="13">
      <c r="C865" s="80"/>
      <c r="D865" s="5"/>
      <c r="E865" s="5"/>
      <c r="F865" s="5"/>
      <c r="G865" s="5"/>
    </row>
    <row r="866" spans="3:7" ht="13">
      <c r="C866" s="80"/>
      <c r="D866" s="5"/>
      <c r="E866" s="5"/>
      <c r="F866" s="5"/>
      <c r="G866" s="5"/>
    </row>
    <row r="867" spans="3:7" ht="13">
      <c r="C867" s="80"/>
      <c r="D867" s="5"/>
      <c r="E867" s="5"/>
      <c r="F867" s="5"/>
      <c r="G867" s="5"/>
    </row>
    <row r="868" spans="3:7" ht="13">
      <c r="C868" s="80"/>
      <c r="D868" s="5"/>
      <c r="E868" s="5"/>
      <c r="F868" s="5"/>
      <c r="G868" s="5"/>
    </row>
    <row r="869" spans="3:7" ht="13">
      <c r="C869" s="80"/>
      <c r="D869" s="5"/>
      <c r="E869" s="5"/>
      <c r="F869" s="5"/>
      <c r="G869" s="5"/>
    </row>
    <row r="870" spans="3:7" ht="13">
      <c r="C870" s="80"/>
      <c r="D870" s="5"/>
      <c r="E870" s="5"/>
      <c r="F870" s="5"/>
      <c r="G870" s="5"/>
    </row>
    <row r="871" spans="3:7" ht="13">
      <c r="C871" s="80"/>
      <c r="D871" s="5"/>
      <c r="E871" s="5"/>
      <c r="F871" s="5"/>
      <c r="G871" s="5"/>
    </row>
    <row r="872" spans="3:7" ht="13">
      <c r="C872" s="80"/>
      <c r="D872" s="5"/>
      <c r="E872" s="5"/>
      <c r="F872" s="5"/>
      <c r="G872" s="5"/>
    </row>
    <row r="873" spans="3:7" ht="13">
      <c r="C873" s="80"/>
      <c r="D873" s="5"/>
      <c r="E873" s="5"/>
      <c r="F873" s="5"/>
      <c r="G873" s="5"/>
    </row>
    <row r="874" spans="3:7" ht="13">
      <c r="C874" s="80"/>
      <c r="D874" s="5"/>
      <c r="E874" s="5"/>
      <c r="F874" s="5"/>
      <c r="G874" s="5"/>
    </row>
    <row r="875" spans="3:7" ht="13">
      <c r="C875" s="80"/>
      <c r="D875" s="5"/>
      <c r="E875" s="5"/>
      <c r="F875" s="5"/>
      <c r="G875" s="5"/>
    </row>
    <row r="876" spans="3:7" ht="13">
      <c r="C876" s="80"/>
      <c r="D876" s="5"/>
      <c r="E876" s="5"/>
      <c r="F876" s="5"/>
      <c r="G876" s="5"/>
    </row>
    <row r="877" spans="3:7" ht="13">
      <c r="C877" s="80"/>
      <c r="D877" s="5"/>
      <c r="E877" s="5"/>
      <c r="F877" s="5"/>
      <c r="G877" s="5"/>
    </row>
    <row r="878" spans="3:7" ht="13">
      <c r="C878" s="80"/>
      <c r="D878" s="5"/>
      <c r="E878" s="5"/>
      <c r="F878" s="5"/>
      <c r="G878" s="5"/>
    </row>
    <row r="879" spans="3:7" ht="13">
      <c r="C879" s="80"/>
      <c r="D879" s="5"/>
      <c r="E879" s="5"/>
      <c r="F879" s="5"/>
      <c r="G879" s="5"/>
    </row>
    <row r="880" spans="3:7" ht="13">
      <c r="C880" s="80"/>
      <c r="D880" s="5"/>
      <c r="E880" s="5"/>
      <c r="F880" s="5"/>
      <c r="G880" s="5"/>
    </row>
    <row r="881" spans="3:7" ht="13">
      <c r="C881" s="80"/>
      <c r="D881" s="5"/>
      <c r="E881" s="5"/>
      <c r="F881" s="5"/>
      <c r="G881" s="5"/>
    </row>
    <row r="882" spans="3:7" ht="13">
      <c r="C882" s="80"/>
      <c r="D882" s="5"/>
      <c r="E882" s="5"/>
      <c r="F882" s="5"/>
      <c r="G882" s="5"/>
    </row>
    <row r="883" spans="3:7" ht="13">
      <c r="C883" s="80"/>
      <c r="D883" s="5"/>
      <c r="E883" s="5"/>
      <c r="F883" s="5"/>
      <c r="G883" s="5"/>
    </row>
    <row r="884" spans="3:7" ht="13">
      <c r="C884" s="80"/>
      <c r="D884" s="5"/>
      <c r="E884" s="5"/>
      <c r="F884" s="5"/>
      <c r="G884" s="5"/>
    </row>
    <row r="885" spans="3:7" ht="13">
      <c r="C885" s="80"/>
      <c r="D885" s="5"/>
      <c r="E885" s="5"/>
      <c r="F885" s="5"/>
      <c r="G885" s="5"/>
    </row>
    <row r="886" spans="3:7" ht="13">
      <c r="C886" s="80"/>
      <c r="D886" s="5"/>
      <c r="E886" s="5"/>
      <c r="F886" s="5"/>
      <c r="G886" s="5"/>
    </row>
    <row r="887" spans="3:7" ht="13">
      <c r="C887" s="80"/>
      <c r="D887" s="5"/>
      <c r="E887" s="5"/>
      <c r="F887" s="5"/>
      <c r="G887" s="5"/>
    </row>
    <row r="888" spans="3:7" ht="13">
      <c r="C888" s="80"/>
      <c r="D888" s="5"/>
      <c r="E888" s="5"/>
      <c r="F888" s="5"/>
      <c r="G888" s="5"/>
    </row>
    <row r="889" spans="3:7" ht="13">
      <c r="C889" s="80"/>
      <c r="D889" s="5"/>
      <c r="E889" s="5"/>
      <c r="F889" s="5"/>
      <c r="G889" s="5"/>
    </row>
    <row r="890" spans="3:7" ht="13">
      <c r="C890" s="80"/>
      <c r="D890" s="5"/>
      <c r="E890" s="5"/>
      <c r="F890" s="5"/>
      <c r="G890" s="5"/>
    </row>
    <row r="891" spans="3:7" ht="13">
      <c r="C891" s="80"/>
      <c r="D891" s="5"/>
      <c r="E891" s="5"/>
      <c r="F891" s="5"/>
      <c r="G891" s="5"/>
    </row>
    <row r="892" spans="3:7" ht="13">
      <c r="C892" s="80"/>
      <c r="D892" s="5"/>
      <c r="E892" s="5"/>
      <c r="F892" s="5"/>
      <c r="G892" s="5"/>
    </row>
    <row r="893" spans="3:7" ht="13">
      <c r="C893" s="80"/>
      <c r="D893" s="5"/>
      <c r="E893" s="5"/>
      <c r="F893" s="5"/>
      <c r="G893" s="5"/>
    </row>
    <row r="894" spans="3:7" ht="13">
      <c r="C894" s="80"/>
      <c r="D894" s="5"/>
      <c r="E894" s="5"/>
      <c r="F894" s="5"/>
      <c r="G894" s="5"/>
    </row>
    <row r="895" spans="3:7" ht="13">
      <c r="C895" s="80"/>
      <c r="D895" s="5"/>
      <c r="E895" s="5"/>
      <c r="F895" s="5"/>
      <c r="G895" s="5"/>
    </row>
    <row r="896" spans="3:7" ht="13">
      <c r="C896" s="80"/>
      <c r="D896" s="5"/>
      <c r="E896" s="5"/>
      <c r="F896" s="5"/>
      <c r="G896" s="5"/>
    </row>
    <row r="897" spans="3:7" ht="13">
      <c r="C897" s="80"/>
      <c r="D897" s="5"/>
      <c r="E897" s="5"/>
      <c r="F897" s="5"/>
      <c r="G897" s="5"/>
    </row>
    <row r="898" spans="3:7" ht="13">
      <c r="C898" s="80"/>
      <c r="D898" s="5"/>
      <c r="E898" s="5"/>
      <c r="F898" s="5"/>
      <c r="G898" s="5"/>
    </row>
    <row r="899" spans="3:7" ht="13">
      <c r="C899" s="80"/>
      <c r="D899" s="5"/>
      <c r="E899" s="5"/>
      <c r="F899" s="5"/>
      <c r="G899" s="5"/>
    </row>
    <row r="900" spans="3:7" ht="13">
      <c r="C900" s="80"/>
      <c r="D900" s="5"/>
      <c r="E900" s="5"/>
      <c r="F900" s="5"/>
      <c r="G900" s="5"/>
    </row>
    <row r="901" spans="3:7" ht="13">
      <c r="C901" s="80"/>
      <c r="D901" s="5"/>
      <c r="E901" s="5"/>
      <c r="F901" s="5"/>
      <c r="G901" s="5"/>
    </row>
    <row r="902" spans="3:7" ht="13">
      <c r="C902" s="80"/>
      <c r="D902" s="5"/>
      <c r="E902" s="5"/>
      <c r="F902" s="5"/>
      <c r="G902" s="5"/>
    </row>
    <row r="903" spans="3:7" ht="13">
      <c r="C903" s="80"/>
      <c r="D903" s="5"/>
      <c r="E903" s="5"/>
      <c r="F903" s="5"/>
      <c r="G903" s="5"/>
    </row>
    <row r="904" spans="3:7" ht="13">
      <c r="C904" s="80"/>
      <c r="D904" s="5"/>
      <c r="E904" s="5"/>
      <c r="F904" s="5"/>
      <c r="G904" s="5"/>
    </row>
    <row r="905" spans="3:7" ht="13">
      <c r="C905" s="80"/>
      <c r="D905" s="5"/>
      <c r="E905" s="5"/>
      <c r="F905" s="5"/>
      <c r="G905" s="5"/>
    </row>
    <row r="906" spans="3:7" ht="13">
      <c r="C906" s="80"/>
      <c r="D906" s="5"/>
      <c r="E906" s="5"/>
      <c r="F906" s="5"/>
      <c r="G906" s="5"/>
    </row>
    <row r="907" spans="3:7" ht="13">
      <c r="C907" s="80"/>
      <c r="D907" s="5"/>
      <c r="E907" s="5"/>
      <c r="F907" s="5"/>
      <c r="G907" s="5"/>
    </row>
    <row r="908" spans="3:7" ht="13">
      <c r="C908" s="80"/>
      <c r="D908" s="5"/>
      <c r="E908" s="5"/>
      <c r="F908" s="5"/>
      <c r="G908" s="5"/>
    </row>
    <row r="909" spans="3:7" ht="13">
      <c r="C909" s="80"/>
      <c r="D909" s="5"/>
      <c r="E909" s="5"/>
      <c r="F909" s="5"/>
      <c r="G909" s="5"/>
    </row>
    <row r="910" spans="3:7" ht="13">
      <c r="C910" s="80"/>
      <c r="D910" s="5"/>
      <c r="E910" s="5"/>
      <c r="F910" s="5"/>
      <c r="G910" s="5"/>
    </row>
    <row r="911" spans="3:7" ht="13">
      <c r="C911" s="80"/>
      <c r="D911" s="5"/>
      <c r="E911" s="5"/>
      <c r="F911" s="5"/>
      <c r="G911" s="5"/>
    </row>
    <row r="912" spans="3:7" ht="13">
      <c r="C912" s="80"/>
      <c r="D912" s="5"/>
      <c r="E912" s="5"/>
      <c r="F912" s="5"/>
      <c r="G912" s="5"/>
    </row>
    <row r="913" spans="3:7" ht="13">
      <c r="C913" s="80"/>
      <c r="D913" s="5"/>
      <c r="E913" s="5"/>
      <c r="F913" s="5"/>
      <c r="G913" s="5"/>
    </row>
    <row r="914" spans="3:7" ht="13">
      <c r="C914" s="80"/>
      <c r="D914" s="5"/>
      <c r="E914" s="5"/>
      <c r="F914" s="5"/>
      <c r="G914" s="5"/>
    </row>
    <row r="915" spans="3:7" ht="13">
      <c r="C915" s="80"/>
      <c r="D915" s="5"/>
      <c r="E915" s="5"/>
      <c r="F915" s="5"/>
      <c r="G915" s="5"/>
    </row>
    <row r="916" spans="3:7" ht="13">
      <c r="C916" s="80"/>
      <c r="D916" s="5"/>
      <c r="E916" s="5"/>
      <c r="F916" s="5"/>
      <c r="G916" s="5"/>
    </row>
    <row r="917" spans="3:7" ht="13">
      <c r="C917" s="80"/>
      <c r="D917" s="5"/>
      <c r="E917" s="5"/>
      <c r="F917" s="5"/>
      <c r="G917" s="5"/>
    </row>
    <row r="918" spans="3:7" ht="13">
      <c r="C918" s="80"/>
      <c r="D918" s="5"/>
      <c r="E918" s="5"/>
      <c r="F918" s="5"/>
      <c r="G918" s="5"/>
    </row>
    <row r="919" spans="3:7" ht="13">
      <c r="C919" s="80"/>
      <c r="D919" s="5"/>
      <c r="E919" s="5"/>
      <c r="F919" s="5"/>
      <c r="G919" s="5"/>
    </row>
    <row r="920" spans="3:7" ht="13">
      <c r="C920" s="80"/>
      <c r="D920" s="5"/>
      <c r="E920" s="5"/>
      <c r="F920" s="5"/>
      <c r="G920" s="5"/>
    </row>
    <row r="921" spans="3:7" ht="13">
      <c r="C921" s="80"/>
      <c r="D921" s="5"/>
      <c r="E921" s="5"/>
      <c r="F921" s="5"/>
      <c r="G921" s="5"/>
    </row>
    <row r="922" spans="3:7" ht="13">
      <c r="C922" s="80"/>
      <c r="D922" s="5"/>
      <c r="E922" s="5"/>
      <c r="F922" s="5"/>
      <c r="G922" s="5"/>
    </row>
    <row r="923" spans="3:7" ht="13">
      <c r="C923" s="80"/>
      <c r="D923" s="5"/>
      <c r="E923" s="5"/>
      <c r="F923" s="5"/>
      <c r="G923" s="5"/>
    </row>
    <row r="924" spans="3:7" ht="13">
      <c r="C924" s="80"/>
      <c r="D924" s="5"/>
      <c r="E924" s="5"/>
      <c r="F924" s="5"/>
      <c r="G924" s="5"/>
    </row>
    <row r="925" spans="3:7" ht="13">
      <c r="C925" s="80"/>
      <c r="D925" s="5"/>
      <c r="E925" s="5"/>
      <c r="F925" s="5"/>
      <c r="G925" s="5"/>
    </row>
    <row r="926" spans="3:7" ht="13">
      <c r="C926" s="80"/>
      <c r="D926" s="5"/>
      <c r="E926" s="5"/>
      <c r="F926" s="5"/>
      <c r="G926" s="5"/>
    </row>
    <row r="927" spans="3:7" ht="13">
      <c r="C927" s="80"/>
      <c r="D927" s="5"/>
      <c r="E927" s="5"/>
      <c r="F927" s="5"/>
      <c r="G927" s="5"/>
    </row>
    <row r="928" spans="3:7" ht="13">
      <c r="C928" s="80"/>
      <c r="D928" s="5"/>
      <c r="E928" s="5"/>
      <c r="F928" s="5"/>
      <c r="G928" s="5"/>
    </row>
    <row r="929" spans="3:7" ht="13">
      <c r="C929" s="80"/>
      <c r="D929" s="5"/>
      <c r="E929" s="5"/>
      <c r="F929" s="5"/>
      <c r="G929" s="5"/>
    </row>
    <row r="930" spans="3:7" ht="13">
      <c r="C930" s="80"/>
      <c r="D930" s="5"/>
      <c r="E930" s="5"/>
      <c r="F930" s="5"/>
      <c r="G930" s="5"/>
    </row>
    <row r="931" spans="3:7" ht="13">
      <c r="C931" s="80"/>
      <c r="D931" s="5"/>
      <c r="E931" s="5"/>
      <c r="F931" s="5"/>
      <c r="G931" s="5"/>
    </row>
    <row r="932" spans="3:7" ht="13">
      <c r="C932" s="80"/>
      <c r="D932" s="5"/>
      <c r="E932" s="5"/>
      <c r="F932" s="5"/>
      <c r="G932" s="5"/>
    </row>
    <row r="933" spans="3:7" ht="13">
      <c r="C933" s="80"/>
      <c r="D933" s="5"/>
      <c r="E933" s="5"/>
      <c r="F933" s="5"/>
      <c r="G933" s="5"/>
    </row>
    <row r="934" spans="3:7" ht="13">
      <c r="C934" s="80"/>
      <c r="D934" s="5"/>
      <c r="E934" s="5"/>
      <c r="F934" s="5"/>
      <c r="G934" s="5"/>
    </row>
    <row r="935" spans="3:7" ht="13">
      <c r="C935" s="80"/>
      <c r="D935" s="5"/>
      <c r="E935" s="5"/>
      <c r="F935" s="5"/>
      <c r="G935" s="5"/>
    </row>
    <row r="936" spans="3:7" ht="13">
      <c r="C936" s="80"/>
      <c r="D936" s="5"/>
      <c r="E936" s="5"/>
      <c r="F936" s="5"/>
      <c r="G936" s="5"/>
    </row>
    <row r="937" spans="3:7" ht="13">
      <c r="C937" s="80"/>
      <c r="D937" s="5"/>
      <c r="E937" s="5"/>
      <c r="F937" s="5"/>
      <c r="G937" s="5"/>
    </row>
    <row r="938" spans="3:7" ht="13">
      <c r="C938" s="80"/>
      <c r="D938" s="5"/>
      <c r="E938" s="5"/>
      <c r="F938" s="5"/>
      <c r="G938" s="5"/>
    </row>
    <row r="939" spans="3:7" ht="13">
      <c r="C939" s="80"/>
      <c r="D939" s="5"/>
      <c r="E939" s="5"/>
      <c r="F939" s="5"/>
      <c r="G939" s="5"/>
    </row>
    <row r="940" spans="3:7" ht="13">
      <c r="C940" s="80"/>
      <c r="D940" s="5"/>
      <c r="E940" s="5"/>
      <c r="F940" s="5"/>
      <c r="G940" s="5"/>
    </row>
    <row r="941" spans="3:7" ht="13">
      <c r="C941" s="80"/>
      <c r="D941" s="5"/>
      <c r="E941" s="5"/>
      <c r="F941" s="5"/>
      <c r="G941" s="5"/>
    </row>
    <row r="942" spans="3:7" ht="13">
      <c r="C942" s="80"/>
      <c r="D942" s="5"/>
      <c r="E942" s="5"/>
      <c r="F942" s="5"/>
      <c r="G942" s="5"/>
    </row>
    <row r="943" spans="3:7" ht="13">
      <c r="C943" s="80"/>
      <c r="D943" s="5"/>
      <c r="E943" s="5"/>
      <c r="F943" s="5"/>
      <c r="G943" s="5"/>
    </row>
    <row r="944" spans="3:7" ht="13">
      <c r="C944" s="80"/>
      <c r="D944" s="5"/>
      <c r="E944" s="5"/>
      <c r="F944" s="5"/>
      <c r="G944" s="5"/>
    </row>
    <row r="945" spans="3:7" ht="13">
      <c r="C945" s="80"/>
      <c r="D945" s="5"/>
      <c r="E945" s="5"/>
      <c r="F945" s="5"/>
      <c r="G945" s="5"/>
    </row>
    <row r="946" spans="3:7" ht="13">
      <c r="C946" s="80"/>
      <c r="D946" s="5"/>
      <c r="E946" s="5"/>
      <c r="F946" s="5"/>
      <c r="G946" s="5"/>
    </row>
    <row r="947" spans="3:7" ht="13">
      <c r="C947" s="80"/>
      <c r="D947" s="5"/>
      <c r="E947" s="5"/>
      <c r="F947" s="5"/>
      <c r="G947" s="5"/>
    </row>
    <row r="948" spans="3:7" ht="13">
      <c r="C948" s="80"/>
      <c r="D948" s="5"/>
      <c r="E948" s="5"/>
      <c r="F948" s="5"/>
      <c r="G948" s="5"/>
    </row>
    <row r="949" spans="3:7" ht="13">
      <c r="C949" s="80"/>
      <c r="D949" s="5"/>
      <c r="E949" s="5"/>
      <c r="F949" s="5"/>
      <c r="G949" s="5"/>
    </row>
    <row r="950" spans="3:7" ht="13">
      <c r="C950" s="80"/>
      <c r="D950" s="5"/>
      <c r="E950" s="5"/>
      <c r="F950" s="5"/>
      <c r="G950" s="5"/>
    </row>
    <row r="951" spans="3:7" ht="13">
      <c r="C951" s="80"/>
      <c r="D951" s="5"/>
      <c r="E951" s="5"/>
      <c r="F951" s="5"/>
      <c r="G951" s="5"/>
    </row>
    <row r="952" spans="3:7" ht="13">
      <c r="C952" s="80"/>
      <c r="D952" s="5"/>
      <c r="E952" s="5"/>
      <c r="F952" s="5"/>
      <c r="G952" s="5"/>
    </row>
    <row r="953" spans="3:7" ht="13">
      <c r="C953" s="80"/>
      <c r="D953" s="5"/>
      <c r="E953" s="5"/>
      <c r="F953" s="5"/>
      <c r="G953" s="5"/>
    </row>
    <row r="954" spans="3:7" ht="13">
      <c r="C954" s="80"/>
      <c r="D954" s="5"/>
      <c r="E954" s="5"/>
      <c r="F954" s="5"/>
      <c r="G954" s="5"/>
    </row>
    <row r="955" spans="3:7" ht="13">
      <c r="C955" s="80"/>
      <c r="D955" s="5"/>
      <c r="E955" s="5"/>
      <c r="F955" s="5"/>
      <c r="G955" s="5"/>
    </row>
    <row r="956" spans="3:7" ht="13">
      <c r="C956" s="80"/>
      <c r="D956" s="5"/>
      <c r="E956" s="5"/>
      <c r="F956" s="5"/>
      <c r="G956" s="5"/>
    </row>
    <row r="957" spans="3:7" ht="13">
      <c r="C957" s="80"/>
      <c r="D957" s="5"/>
      <c r="E957" s="5"/>
      <c r="F957" s="5"/>
      <c r="G957" s="5"/>
    </row>
    <row r="958" spans="3:7" ht="13">
      <c r="C958" s="80"/>
      <c r="D958" s="5"/>
      <c r="E958" s="5"/>
      <c r="F958" s="5"/>
      <c r="G958" s="5"/>
    </row>
    <row r="959" spans="3:7" ht="13">
      <c r="C959" s="80"/>
      <c r="D959" s="5"/>
      <c r="E959" s="5"/>
      <c r="F959" s="5"/>
      <c r="G959" s="5"/>
    </row>
    <row r="960" spans="3:7" ht="13">
      <c r="C960" s="80"/>
      <c r="D960" s="5"/>
      <c r="E960" s="5"/>
      <c r="F960" s="5"/>
      <c r="G960" s="5"/>
    </row>
    <row r="961" spans="3:7" ht="13">
      <c r="C961" s="80"/>
      <c r="D961" s="5"/>
      <c r="E961" s="5"/>
      <c r="F961" s="5"/>
      <c r="G961" s="5"/>
    </row>
    <row r="962" spans="3:7" ht="13">
      <c r="C962" s="80"/>
      <c r="D962" s="5"/>
      <c r="E962" s="5"/>
      <c r="F962" s="5"/>
      <c r="G962" s="5"/>
    </row>
    <row r="963" spans="3:7" ht="13">
      <c r="C963" s="80"/>
      <c r="D963" s="5"/>
      <c r="E963" s="5"/>
      <c r="F963" s="5"/>
      <c r="G963" s="5"/>
    </row>
    <row r="964" spans="3:7" ht="13">
      <c r="C964" s="80"/>
      <c r="D964" s="5"/>
      <c r="E964" s="5"/>
      <c r="F964" s="5"/>
      <c r="G964" s="5"/>
    </row>
    <row r="965" spans="3:7" ht="13">
      <c r="C965" s="80"/>
      <c r="D965" s="5"/>
      <c r="E965" s="5"/>
      <c r="F965" s="5"/>
      <c r="G965" s="5"/>
    </row>
    <row r="966" spans="3:7" ht="13">
      <c r="C966" s="80"/>
      <c r="D966" s="5"/>
      <c r="E966" s="5"/>
      <c r="F966" s="5"/>
      <c r="G966" s="5"/>
    </row>
    <row r="967" spans="3:7" ht="13">
      <c r="C967" s="80"/>
      <c r="D967" s="5"/>
      <c r="E967" s="5"/>
      <c r="F967" s="5"/>
      <c r="G967" s="5"/>
    </row>
    <row r="968" spans="3:7" ht="13">
      <c r="C968" s="80"/>
      <c r="D968" s="5"/>
      <c r="E968" s="5"/>
      <c r="F968" s="5"/>
      <c r="G968" s="5"/>
    </row>
    <row r="969" spans="3:7" ht="13">
      <c r="C969" s="80"/>
      <c r="D969" s="5"/>
      <c r="E969" s="5"/>
      <c r="F969" s="5"/>
      <c r="G969" s="5"/>
    </row>
    <row r="970" spans="3:7" ht="13">
      <c r="C970" s="80"/>
      <c r="D970" s="5"/>
      <c r="E970" s="5"/>
      <c r="F970" s="5"/>
      <c r="G970" s="5"/>
    </row>
    <row r="971" spans="3:7" ht="13">
      <c r="C971" s="80"/>
      <c r="D971" s="5"/>
      <c r="E971" s="5"/>
      <c r="F971" s="5"/>
      <c r="G971" s="5"/>
    </row>
    <row r="972" spans="3:7" ht="13">
      <c r="C972" s="80"/>
      <c r="D972" s="5"/>
      <c r="E972" s="5"/>
      <c r="F972" s="5"/>
      <c r="G972" s="5"/>
    </row>
    <row r="973" spans="3:7" ht="13">
      <c r="C973" s="80"/>
      <c r="D973" s="5"/>
      <c r="E973" s="5"/>
      <c r="F973" s="5"/>
      <c r="G973" s="5"/>
    </row>
    <row r="974" spans="3:7" ht="13">
      <c r="C974" s="80"/>
      <c r="D974" s="5"/>
      <c r="E974" s="5"/>
      <c r="F974" s="5"/>
      <c r="G974" s="5"/>
    </row>
    <row r="975" spans="3:7" ht="13">
      <c r="C975" s="80"/>
      <c r="D975" s="5"/>
      <c r="E975" s="5"/>
      <c r="F975" s="5"/>
      <c r="G975" s="5"/>
    </row>
    <row r="976" spans="3:7" ht="13">
      <c r="C976" s="80"/>
      <c r="D976" s="5"/>
      <c r="E976" s="5"/>
      <c r="F976" s="5"/>
      <c r="G976" s="5"/>
    </row>
    <row r="977" spans="3:7" ht="13">
      <c r="C977" s="80"/>
      <c r="D977" s="5"/>
      <c r="E977" s="5"/>
      <c r="F977" s="5"/>
      <c r="G977" s="5"/>
    </row>
    <row r="978" spans="3:7" ht="13">
      <c r="C978" s="80"/>
      <c r="D978" s="5"/>
      <c r="E978" s="5"/>
      <c r="F978" s="5"/>
      <c r="G978" s="5"/>
    </row>
    <row r="979" spans="3:7" ht="13">
      <c r="C979" s="80"/>
      <c r="D979" s="5"/>
      <c r="E979" s="5"/>
      <c r="F979" s="5"/>
      <c r="G979" s="5"/>
    </row>
    <row r="980" spans="3:7" ht="13">
      <c r="C980" s="80"/>
      <c r="D980" s="5"/>
      <c r="E980" s="5"/>
      <c r="F980" s="5"/>
      <c r="G980" s="5"/>
    </row>
    <row r="981" spans="3:7" ht="13">
      <c r="C981" s="80"/>
      <c r="D981" s="5"/>
      <c r="E981" s="5"/>
      <c r="F981" s="5"/>
      <c r="G981" s="5"/>
    </row>
    <row r="982" spans="3:7" ht="13">
      <c r="C982" s="80"/>
      <c r="D982" s="5"/>
      <c r="E982" s="5"/>
      <c r="F982" s="5"/>
      <c r="G982" s="5"/>
    </row>
    <row r="983" spans="3:7" ht="13">
      <c r="C983" s="80"/>
      <c r="D983" s="5"/>
      <c r="E983" s="5"/>
      <c r="F983" s="5"/>
      <c r="G983" s="5"/>
    </row>
    <row r="984" spans="3:7" ht="13">
      <c r="C984" s="80"/>
      <c r="D984" s="5"/>
      <c r="E984" s="5"/>
      <c r="F984" s="5"/>
      <c r="G984" s="5"/>
    </row>
    <row r="985" spans="3:7" ht="13">
      <c r="C985" s="80"/>
      <c r="D985" s="5"/>
      <c r="E985" s="5"/>
      <c r="F985" s="5"/>
      <c r="G985" s="5"/>
    </row>
    <row r="986" spans="3:7" ht="13">
      <c r="C986" s="80"/>
      <c r="D986" s="5"/>
      <c r="E986" s="5"/>
      <c r="F986" s="5"/>
      <c r="G986" s="5"/>
    </row>
    <row r="987" spans="3:7" ht="13">
      <c r="C987" s="80"/>
      <c r="D987" s="5"/>
      <c r="E987" s="5"/>
      <c r="F987" s="5"/>
      <c r="G987" s="5"/>
    </row>
    <row r="988" spans="3:7" ht="13">
      <c r="C988" s="80"/>
      <c r="D988" s="5"/>
      <c r="E988" s="5"/>
      <c r="F988" s="5"/>
      <c r="G988" s="5"/>
    </row>
    <row r="989" spans="3:7" ht="13">
      <c r="C989" s="80"/>
      <c r="D989" s="5"/>
      <c r="E989" s="5"/>
      <c r="F989" s="5"/>
      <c r="G989" s="5"/>
    </row>
    <row r="990" spans="3:7" ht="13">
      <c r="C990" s="80"/>
      <c r="D990" s="5"/>
      <c r="E990" s="5"/>
      <c r="F990" s="5"/>
      <c r="G990" s="5"/>
    </row>
    <row r="991" spans="3:7" ht="13">
      <c r="C991" s="80"/>
      <c r="D991" s="5"/>
      <c r="E991" s="5"/>
      <c r="F991" s="5"/>
      <c r="G991" s="5"/>
    </row>
    <row r="992" spans="3:7" ht="13">
      <c r="C992" s="80"/>
      <c r="D992" s="5"/>
      <c r="E992" s="5"/>
      <c r="F992" s="5"/>
      <c r="G992" s="5"/>
    </row>
    <row r="993" spans="3:7" ht="13">
      <c r="C993" s="80"/>
      <c r="D993" s="5"/>
      <c r="E993" s="5"/>
      <c r="F993" s="5"/>
      <c r="G993" s="5"/>
    </row>
    <row r="994" spans="3:7" ht="13">
      <c r="C994" s="80"/>
      <c r="D994" s="5"/>
      <c r="E994" s="5"/>
      <c r="F994" s="5"/>
      <c r="G994" s="5"/>
    </row>
    <row r="995" spans="3:7" ht="13">
      <c r="C995" s="80"/>
      <c r="D995" s="5"/>
      <c r="E995" s="5"/>
      <c r="F995" s="5"/>
      <c r="G995" s="5"/>
    </row>
    <row r="996" spans="3:7" ht="13">
      <c r="C996" s="80"/>
      <c r="D996" s="5"/>
      <c r="E996" s="5"/>
      <c r="F996" s="5"/>
      <c r="G996" s="5"/>
    </row>
    <row r="997" spans="3:7" ht="13">
      <c r="C997" s="80"/>
      <c r="D997" s="5"/>
      <c r="E997" s="5"/>
      <c r="F997" s="5"/>
      <c r="G997" s="5"/>
    </row>
    <row r="998" spans="3:7" ht="13">
      <c r="C998" s="80"/>
      <c r="D998" s="5"/>
      <c r="E998" s="5"/>
      <c r="F998" s="5"/>
      <c r="G998" s="5"/>
    </row>
    <row r="999" spans="3:7" ht="13">
      <c r="C999" s="80"/>
      <c r="D999" s="5"/>
      <c r="E999" s="5"/>
      <c r="F999" s="5"/>
      <c r="G999" s="5"/>
    </row>
    <row r="1000" spans="3:7" ht="13">
      <c r="C1000" s="80"/>
      <c r="D1000" s="5"/>
      <c r="E1000" s="5"/>
      <c r="F1000" s="5"/>
      <c r="G1000" s="5"/>
    </row>
    <row r="1001" spans="3:7" ht="13">
      <c r="C1001" s="80"/>
      <c r="D1001" s="5"/>
      <c r="E1001" s="5"/>
      <c r="F1001" s="5"/>
      <c r="G1001" s="5"/>
    </row>
    <row r="1002" spans="3:7" ht="13">
      <c r="C1002" s="80"/>
      <c r="D1002" s="5"/>
      <c r="E1002" s="5"/>
      <c r="F1002" s="5"/>
      <c r="G1002" s="5"/>
    </row>
    <row r="1003" spans="3:7" ht="13">
      <c r="C1003" s="80"/>
      <c r="D1003" s="5"/>
      <c r="E1003" s="5"/>
      <c r="F1003" s="5"/>
      <c r="G1003" s="5"/>
    </row>
    <row r="1004" spans="3:7" ht="13">
      <c r="C1004" s="80"/>
      <c r="D1004" s="5"/>
      <c r="E1004" s="5"/>
      <c r="F1004" s="5"/>
      <c r="G1004" s="5"/>
    </row>
    <row r="1005" spans="3:7" ht="13">
      <c r="C1005" s="80"/>
      <c r="D1005" s="5"/>
      <c r="E1005" s="5"/>
      <c r="F1005" s="5"/>
      <c r="G1005" s="5"/>
    </row>
    <row r="1006" spans="3:7" ht="13">
      <c r="C1006" s="80"/>
      <c r="D1006" s="5"/>
      <c r="E1006" s="5"/>
      <c r="F1006" s="5"/>
      <c r="G1006" s="5"/>
    </row>
    <row r="1007" spans="3:7" ht="13">
      <c r="C1007" s="80"/>
      <c r="D1007" s="5"/>
      <c r="E1007" s="5"/>
      <c r="F1007" s="5"/>
      <c r="G1007" s="5"/>
    </row>
    <row r="1008" spans="3:7" ht="13">
      <c r="C1008" s="80"/>
      <c r="D1008" s="5"/>
      <c r="E1008" s="5"/>
      <c r="F1008" s="5"/>
      <c r="G1008" s="5"/>
    </row>
    <row r="1009" spans="3:7" ht="13">
      <c r="C1009" s="80"/>
      <c r="D1009" s="5"/>
      <c r="E1009" s="5"/>
      <c r="F1009" s="5"/>
      <c r="G1009" s="5"/>
    </row>
    <row r="1010" spans="3:7" ht="13">
      <c r="C1010" s="80"/>
      <c r="D1010" s="5"/>
      <c r="E1010" s="5"/>
      <c r="F1010" s="5"/>
      <c r="G1010" s="5"/>
    </row>
    <row r="1011" spans="3:7" ht="13">
      <c r="C1011" s="80"/>
      <c r="D1011" s="5"/>
      <c r="E1011" s="5"/>
      <c r="F1011" s="5"/>
      <c r="G1011" s="5"/>
    </row>
    <row r="1012" spans="3:7" ht="13">
      <c r="C1012" s="80"/>
      <c r="D1012" s="5"/>
      <c r="E1012" s="5"/>
      <c r="F1012" s="5"/>
      <c r="G1012" s="5"/>
    </row>
  </sheetData>
  <hyperlinks>
    <hyperlink ref="B5" r:id="rId1" xr:uid="{00000000-0004-0000-5500-000000000000}"/>
    <hyperlink ref="B6" r:id="rId2" xr:uid="{00000000-0004-0000-5500-000001000000}"/>
    <hyperlink ref="B7" r:id="rId3" xr:uid="{00000000-0004-0000-5500-000002000000}"/>
    <hyperlink ref="B8" r:id="rId4" xr:uid="{00000000-0004-0000-5500-000003000000}"/>
    <hyperlink ref="B9" r:id="rId5" xr:uid="{00000000-0004-0000-5500-000004000000}"/>
    <hyperlink ref="B10" r:id="rId6" xr:uid="{00000000-0004-0000-5500-000005000000}"/>
    <hyperlink ref="B11" r:id="rId7" xr:uid="{00000000-0004-0000-5500-000006000000}"/>
    <hyperlink ref="B12" r:id="rId8" xr:uid="{00000000-0004-0000-5500-000007000000}"/>
    <hyperlink ref="B13" r:id="rId9" xr:uid="{00000000-0004-0000-5500-000008000000}"/>
    <hyperlink ref="B14" r:id="rId10" xr:uid="{00000000-0004-0000-5500-000009000000}"/>
    <hyperlink ref="B15" r:id="rId11" xr:uid="{00000000-0004-0000-5500-00000A000000}"/>
    <hyperlink ref="B16" r:id="rId12" xr:uid="{00000000-0004-0000-5500-00000B000000}"/>
    <hyperlink ref="B17" r:id="rId13" xr:uid="{00000000-0004-0000-5500-00000C000000}"/>
    <hyperlink ref="B18" r:id="rId14" xr:uid="{00000000-0004-0000-5500-00000D000000}"/>
    <hyperlink ref="B19" r:id="rId15" xr:uid="{00000000-0004-0000-5500-00000E000000}"/>
    <hyperlink ref="B20" r:id="rId16" xr:uid="{00000000-0004-0000-5500-00000F000000}"/>
    <hyperlink ref="B21" r:id="rId17" xr:uid="{00000000-0004-0000-5500-000010000000}"/>
    <hyperlink ref="B23" r:id="rId18" xr:uid="{00000000-0004-0000-5500-000011000000}"/>
    <hyperlink ref="B24" r:id="rId19" xr:uid="{00000000-0004-0000-5500-000012000000}"/>
    <hyperlink ref="B25" r:id="rId20" xr:uid="{00000000-0004-0000-5500-000013000000}"/>
    <hyperlink ref="B26" r:id="rId21" xr:uid="{00000000-0004-0000-5500-000014000000}"/>
    <hyperlink ref="B27" r:id="rId22" xr:uid="{00000000-0004-0000-5500-000015000000}"/>
    <hyperlink ref="B29" r:id="rId23" xr:uid="{00000000-0004-0000-5500-000016000000}"/>
    <hyperlink ref="B30" r:id="rId24" xr:uid="{00000000-0004-0000-5500-000017000000}"/>
    <hyperlink ref="B31" r:id="rId25" xr:uid="{00000000-0004-0000-5500-000018000000}"/>
    <hyperlink ref="B32" r:id="rId26" xr:uid="{00000000-0004-0000-5500-000019000000}"/>
    <hyperlink ref="B33" r:id="rId27" xr:uid="{00000000-0004-0000-5500-00001A000000}"/>
    <hyperlink ref="B34" r:id="rId28" xr:uid="{00000000-0004-0000-5500-00001B000000}"/>
    <hyperlink ref="B35" r:id="rId29" xr:uid="{00000000-0004-0000-5500-00001C000000}"/>
    <hyperlink ref="B36" r:id="rId30" xr:uid="{00000000-0004-0000-5500-00001D000000}"/>
    <hyperlink ref="B37" r:id="rId31" xr:uid="{00000000-0004-0000-5500-00001E000000}"/>
    <hyperlink ref="B38" r:id="rId32" xr:uid="{00000000-0004-0000-5500-00001F000000}"/>
    <hyperlink ref="B39" r:id="rId33" xr:uid="{00000000-0004-0000-5500-000020000000}"/>
    <hyperlink ref="B40" r:id="rId34" xr:uid="{00000000-0004-0000-5500-000021000000}"/>
    <hyperlink ref="B41" r:id="rId35" xr:uid="{00000000-0004-0000-5500-000022000000}"/>
    <hyperlink ref="B42" r:id="rId36" xr:uid="{00000000-0004-0000-5500-000023000000}"/>
    <hyperlink ref="B43" r:id="rId37" xr:uid="{00000000-0004-0000-5500-000024000000}"/>
    <hyperlink ref="B45" r:id="rId38" xr:uid="{00000000-0004-0000-5500-000025000000}"/>
    <hyperlink ref="B46" r:id="rId39" xr:uid="{00000000-0004-0000-5500-000026000000}"/>
    <hyperlink ref="B47" r:id="rId40" xr:uid="{00000000-0004-0000-5500-000027000000}"/>
    <hyperlink ref="B48" r:id="rId41" xr:uid="{00000000-0004-0000-5500-000028000000}"/>
    <hyperlink ref="B49" r:id="rId42" xr:uid="{00000000-0004-0000-5500-000029000000}"/>
    <hyperlink ref="B50" r:id="rId43" xr:uid="{00000000-0004-0000-5500-00002A000000}"/>
    <hyperlink ref="B52" r:id="rId44" xr:uid="{00000000-0004-0000-5500-00002B000000}"/>
    <hyperlink ref="B54" r:id="rId45" xr:uid="{00000000-0004-0000-5500-00002C000000}"/>
    <hyperlink ref="B55" r:id="rId46" xr:uid="{00000000-0004-0000-5500-00002D000000}"/>
    <hyperlink ref="B56" r:id="rId47" xr:uid="{00000000-0004-0000-5500-00002E000000}"/>
    <hyperlink ref="B57" r:id="rId48" xr:uid="{00000000-0004-0000-5500-00002F000000}"/>
    <hyperlink ref="B58" r:id="rId49" xr:uid="{00000000-0004-0000-5500-000030000000}"/>
    <hyperlink ref="B59" r:id="rId50" xr:uid="{00000000-0004-0000-5500-000031000000}"/>
    <hyperlink ref="B60" r:id="rId51" xr:uid="{00000000-0004-0000-5500-000032000000}"/>
    <hyperlink ref="B61" r:id="rId52" xr:uid="{00000000-0004-0000-5500-000033000000}"/>
    <hyperlink ref="B62" r:id="rId53" xr:uid="{00000000-0004-0000-5500-000034000000}"/>
    <hyperlink ref="B63" r:id="rId54" xr:uid="{00000000-0004-0000-5500-000035000000}"/>
    <hyperlink ref="B65" r:id="rId55" xr:uid="{00000000-0004-0000-5500-000036000000}"/>
    <hyperlink ref="B66" r:id="rId56" xr:uid="{00000000-0004-0000-5500-000037000000}"/>
    <hyperlink ref="B69" r:id="rId57" xr:uid="{00000000-0004-0000-5500-000038000000}"/>
    <hyperlink ref="B70" r:id="rId58" xr:uid="{00000000-0004-0000-5500-000039000000}"/>
    <hyperlink ref="B71" r:id="rId59" xr:uid="{00000000-0004-0000-5500-00003A000000}"/>
    <hyperlink ref="B72" r:id="rId60" xr:uid="{00000000-0004-0000-5500-00003B000000}"/>
    <hyperlink ref="B73" r:id="rId61" xr:uid="{00000000-0004-0000-5500-00003C000000}"/>
    <hyperlink ref="B74" r:id="rId62" xr:uid="{00000000-0004-0000-5500-00003D000000}"/>
    <hyperlink ref="B75" r:id="rId63" xr:uid="{00000000-0004-0000-5500-00003E000000}"/>
    <hyperlink ref="B76" r:id="rId64" xr:uid="{00000000-0004-0000-5500-00003F000000}"/>
    <hyperlink ref="B77" r:id="rId65" xr:uid="{00000000-0004-0000-5500-000040000000}"/>
    <hyperlink ref="B78" r:id="rId66" xr:uid="{00000000-0004-0000-5500-000041000000}"/>
    <hyperlink ref="B79" r:id="rId67" xr:uid="{00000000-0004-0000-5500-000042000000}"/>
    <hyperlink ref="B80" r:id="rId68" xr:uid="{00000000-0004-0000-5500-000043000000}"/>
    <hyperlink ref="B81" r:id="rId69" xr:uid="{00000000-0004-0000-5500-000044000000}"/>
    <hyperlink ref="B83" r:id="rId70" xr:uid="{00000000-0004-0000-5500-000045000000}"/>
    <hyperlink ref="B84" r:id="rId71" xr:uid="{00000000-0004-0000-5500-000046000000}"/>
    <hyperlink ref="B85" r:id="rId72" xr:uid="{00000000-0004-0000-5500-000047000000}"/>
    <hyperlink ref="B86" r:id="rId73" xr:uid="{00000000-0004-0000-5500-000048000000}"/>
    <hyperlink ref="B87" r:id="rId74" xr:uid="{00000000-0004-0000-5500-000049000000}"/>
    <hyperlink ref="B88" r:id="rId75" xr:uid="{00000000-0004-0000-5500-00004A000000}"/>
    <hyperlink ref="B89" r:id="rId76" xr:uid="{00000000-0004-0000-5500-00004B000000}"/>
    <hyperlink ref="B90" r:id="rId77" xr:uid="{00000000-0004-0000-5500-00004C000000}"/>
    <hyperlink ref="B91" r:id="rId78" xr:uid="{00000000-0004-0000-5500-00004D000000}"/>
    <hyperlink ref="B92" r:id="rId79" xr:uid="{00000000-0004-0000-5500-00004E000000}"/>
    <hyperlink ref="B94" r:id="rId80" xr:uid="{00000000-0004-0000-5500-00004F000000}"/>
    <hyperlink ref="B95" r:id="rId81" xr:uid="{00000000-0004-0000-5500-000050000000}"/>
    <hyperlink ref="B96" r:id="rId82" xr:uid="{00000000-0004-0000-5500-000051000000}"/>
    <hyperlink ref="B97" r:id="rId83" xr:uid="{00000000-0004-0000-5500-000052000000}"/>
    <hyperlink ref="B98" r:id="rId84" xr:uid="{00000000-0004-0000-5500-000053000000}"/>
    <hyperlink ref="B99" r:id="rId85" xr:uid="{00000000-0004-0000-5500-000054000000}"/>
    <hyperlink ref="B102" r:id="rId86" xr:uid="{00000000-0004-0000-5500-000055000000}"/>
    <hyperlink ref="B103" r:id="rId87" xr:uid="{00000000-0004-0000-5500-000056000000}"/>
    <hyperlink ref="B104" r:id="rId88" xr:uid="{00000000-0004-0000-5500-000057000000}"/>
    <hyperlink ref="B105" r:id="rId89" xr:uid="{00000000-0004-0000-5500-000058000000}"/>
    <hyperlink ref="B106" r:id="rId90" xr:uid="{00000000-0004-0000-5500-000059000000}"/>
    <hyperlink ref="B107" r:id="rId91" xr:uid="{00000000-0004-0000-5500-00005A000000}"/>
    <hyperlink ref="B108" r:id="rId92" xr:uid="{00000000-0004-0000-5500-00005B000000}"/>
    <hyperlink ref="B110" r:id="rId93" xr:uid="{00000000-0004-0000-5500-00005C000000}"/>
    <hyperlink ref="B111" r:id="rId94" xr:uid="{00000000-0004-0000-5500-00005D000000}"/>
    <hyperlink ref="B112" r:id="rId95" xr:uid="{00000000-0004-0000-5500-00005E000000}"/>
    <hyperlink ref="B113" r:id="rId96" xr:uid="{00000000-0004-0000-5500-00005F000000}"/>
    <hyperlink ref="B114" r:id="rId97" xr:uid="{00000000-0004-0000-5500-000060000000}"/>
    <hyperlink ref="B115" r:id="rId98" xr:uid="{00000000-0004-0000-5500-000061000000}"/>
    <hyperlink ref="B116" r:id="rId99" xr:uid="{00000000-0004-0000-5500-000062000000}"/>
    <hyperlink ref="B117" r:id="rId100" xr:uid="{00000000-0004-0000-5500-000063000000}"/>
    <hyperlink ref="B118" r:id="rId101" xr:uid="{00000000-0004-0000-5500-000064000000}"/>
    <hyperlink ref="B119" r:id="rId102" xr:uid="{00000000-0004-0000-5500-000065000000}"/>
    <hyperlink ref="B120" r:id="rId103" xr:uid="{00000000-0004-0000-5500-000066000000}"/>
    <hyperlink ref="B121" r:id="rId104" xr:uid="{00000000-0004-0000-5500-000067000000}"/>
    <hyperlink ref="B122" r:id="rId105" xr:uid="{00000000-0004-0000-5500-000068000000}"/>
    <hyperlink ref="B123" r:id="rId106" xr:uid="{00000000-0004-0000-5500-000069000000}"/>
    <hyperlink ref="B125" r:id="rId107" xr:uid="{00000000-0004-0000-5500-00006A000000}"/>
    <hyperlink ref="B126" r:id="rId108" xr:uid="{00000000-0004-0000-5500-00006B000000}"/>
    <hyperlink ref="B127" r:id="rId109" xr:uid="{00000000-0004-0000-5500-00006C000000}"/>
    <hyperlink ref="B128" r:id="rId110" xr:uid="{00000000-0004-0000-5500-00006D000000}"/>
    <hyperlink ref="B129" r:id="rId111" xr:uid="{00000000-0004-0000-5500-00006E000000}"/>
    <hyperlink ref="B130" r:id="rId112" xr:uid="{00000000-0004-0000-5500-00006F000000}"/>
    <hyperlink ref="B131" r:id="rId113" xr:uid="{00000000-0004-0000-5500-000070000000}"/>
    <hyperlink ref="B132" r:id="rId114" xr:uid="{00000000-0004-0000-5500-000071000000}"/>
    <hyperlink ref="B133" r:id="rId115" xr:uid="{00000000-0004-0000-5500-000072000000}"/>
    <hyperlink ref="B134" r:id="rId116" xr:uid="{00000000-0004-0000-5500-000073000000}"/>
    <hyperlink ref="B135" r:id="rId117" xr:uid="{00000000-0004-0000-5500-000074000000}"/>
    <hyperlink ref="B136" r:id="rId118" xr:uid="{00000000-0004-0000-5500-000075000000}"/>
    <hyperlink ref="B137" r:id="rId119" xr:uid="{00000000-0004-0000-5500-000076000000}"/>
    <hyperlink ref="B138" r:id="rId120" xr:uid="{00000000-0004-0000-5500-000077000000}"/>
    <hyperlink ref="B139" r:id="rId121" xr:uid="{00000000-0004-0000-5500-000078000000}"/>
    <hyperlink ref="B140" r:id="rId122" xr:uid="{00000000-0004-0000-5500-000079000000}"/>
    <hyperlink ref="B141" r:id="rId123" xr:uid="{00000000-0004-0000-5500-00007A000000}"/>
    <hyperlink ref="B142" r:id="rId124" xr:uid="{00000000-0004-0000-5500-00007B000000}"/>
    <hyperlink ref="B143" r:id="rId125" xr:uid="{00000000-0004-0000-5500-00007C000000}"/>
    <hyperlink ref="B156" r:id="rId126" xr:uid="{00000000-0004-0000-5500-00007D000000}"/>
    <hyperlink ref="B157" r:id="rId127" xr:uid="{00000000-0004-0000-5500-00007E000000}"/>
    <hyperlink ref="B158" r:id="rId128" xr:uid="{00000000-0004-0000-5500-00007F000000}"/>
    <hyperlink ref="B175" r:id="rId129" xr:uid="{00000000-0004-0000-5500-000080000000}"/>
    <hyperlink ref="B176" r:id="rId130" xr:uid="{00000000-0004-0000-5500-000081000000}"/>
    <hyperlink ref="B177" r:id="rId131" xr:uid="{00000000-0004-0000-5500-000082000000}"/>
    <hyperlink ref="B178" r:id="rId132" xr:uid="{00000000-0004-0000-5500-000083000000}"/>
    <hyperlink ref="B179" r:id="rId133" xr:uid="{00000000-0004-0000-5500-000084000000}"/>
    <hyperlink ref="B180" r:id="rId134" xr:uid="{00000000-0004-0000-5500-000085000000}"/>
    <hyperlink ref="B181" r:id="rId135" xr:uid="{00000000-0004-0000-5500-000086000000}"/>
    <hyperlink ref="B182" r:id="rId136" xr:uid="{00000000-0004-0000-5500-000087000000}"/>
    <hyperlink ref="B183" r:id="rId137" xr:uid="{00000000-0004-0000-5500-000088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7">
    <outlinePr summaryBelow="0" summaryRight="0"/>
  </sheetPr>
  <dimension ref="A1:Z1008"/>
  <sheetViews>
    <sheetView workbookViewId="0">
      <pane ySplit="4" topLeftCell="A5" activePane="bottomLeft" state="frozen"/>
      <selection pane="bottomLeft" activeCell="B6" sqref="B6"/>
    </sheetView>
  </sheetViews>
  <sheetFormatPr baseColWidth="10" defaultColWidth="12.6640625" defaultRowHeight="15.75" customHeight="1"/>
  <cols>
    <col min="2" max="2" width="23" customWidth="1"/>
    <col min="3" max="3" width="9.6640625" customWidth="1"/>
    <col min="4" max="4" width="14.83203125" customWidth="1"/>
    <col min="5" max="5" width="14.33203125" customWidth="1"/>
  </cols>
  <sheetData>
    <row r="1" spans="1:10" ht="15.75" customHeight="1">
      <c r="A1" s="1" t="s">
        <v>89</v>
      </c>
      <c r="C1" s="80"/>
      <c r="D1" s="81" t="s">
        <v>181</v>
      </c>
      <c r="E1" s="5"/>
      <c r="F1" s="5"/>
      <c r="G1" s="5"/>
    </row>
    <row r="2" spans="1:10" ht="15.75" customHeight="1">
      <c r="A2" s="7" t="s">
        <v>182</v>
      </c>
      <c r="B2" s="123">
        <v>42951</v>
      </c>
      <c r="C2" s="80"/>
      <c r="D2" s="82">
        <f>SUM(D5:G179)</f>
        <v>0</v>
      </c>
      <c r="E2" s="5"/>
      <c r="F2" s="5"/>
      <c r="G2" s="5"/>
    </row>
    <row r="3" spans="1:10" ht="15.75" customHeight="1">
      <c r="C3" s="80"/>
      <c r="D3" s="5"/>
      <c r="E3" s="5"/>
      <c r="F3" s="5"/>
      <c r="G3" s="5"/>
    </row>
    <row r="4" spans="1:10" ht="15.75" customHeight="1">
      <c r="A4" s="42" t="s">
        <v>183</v>
      </c>
      <c r="B4" s="42" t="s">
        <v>184</v>
      </c>
      <c r="C4" s="42" t="s">
        <v>185</v>
      </c>
      <c r="D4" s="83" t="s">
        <v>186</v>
      </c>
      <c r="E4" s="84" t="s">
        <v>187</v>
      </c>
      <c r="F4" s="84" t="s">
        <v>188</v>
      </c>
      <c r="G4" s="85" t="s">
        <v>189</v>
      </c>
      <c r="H4" s="84" t="s">
        <v>190</v>
      </c>
      <c r="I4" s="85"/>
    </row>
    <row r="5" spans="1:10" ht="15.75" customHeight="1">
      <c r="A5" s="48" t="s">
        <v>1024</v>
      </c>
      <c r="B5" s="49" t="s">
        <v>277</v>
      </c>
      <c r="C5" s="48" t="s">
        <v>205</v>
      </c>
      <c r="D5" s="86"/>
      <c r="E5" s="87"/>
      <c r="F5" s="87"/>
      <c r="G5" s="87"/>
      <c r="H5" s="88"/>
      <c r="I5" s="88"/>
      <c r="J5" s="88"/>
    </row>
    <row r="6" spans="1:10" ht="15.75" customHeight="1">
      <c r="A6" s="48" t="s">
        <v>1025</v>
      </c>
      <c r="B6" s="49" t="s">
        <v>286</v>
      </c>
      <c r="C6" s="48" t="s">
        <v>205</v>
      </c>
      <c r="D6" s="48"/>
      <c r="E6" s="5"/>
      <c r="F6" s="5"/>
      <c r="G6" s="5"/>
      <c r="J6" s="88"/>
    </row>
    <row r="7" spans="1:10" ht="15.75" customHeight="1">
      <c r="A7" s="48" t="s">
        <v>1026</v>
      </c>
      <c r="B7" s="49" t="s">
        <v>331</v>
      </c>
      <c r="C7" s="48" t="s">
        <v>205</v>
      </c>
      <c r="D7" s="48"/>
      <c r="E7" s="5"/>
      <c r="F7" s="5"/>
      <c r="G7" s="5"/>
    </row>
    <row r="8" spans="1:10" ht="15.75" customHeight="1">
      <c r="A8" s="48" t="s">
        <v>1027</v>
      </c>
      <c r="B8" s="49" t="s">
        <v>352</v>
      </c>
      <c r="C8" s="48" t="s">
        <v>205</v>
      </c>
      <c r="D8" s="48"/>
      <c r="E8" s="5"/>
      <c r="F8" s="5"/>
      <c r="G8" s="5"/>
    </row>
    <row r="9" spans="1:10" ht="15.75" customHeight="1">
      <c r="A9" s="48" t="s">
        <v>1028</v>
      </c>
      <c r="B9" s="49" t="s">
        <v>335</v>
      </c>
      <c r="C9" s="48" t="s">
        <v>205</v>
      </c>
      <c r="D9" s="48"/>
      <c r="E9" s="51"/>
      <c r="F9" s="5"/>
      <c r="G9" s="5"/>
    </row>
    <row r="10" spans="1:10" ht="15.75" customHeight="1">
      <c r="A10" s="48" t="s">
        <v>1029</v>
      </c>
      <c r="B10" s="49" t="s">
        <v>329</v>
      </c>
      <c r="C10" s="48" t="s">
        <v>205</v>
      </c>
      <c r="D10" s="47"/>
      <c r="E10" s="51"/>
      <c r="F10" s="5"/>
      <c r="G10" s="5"/>
    </row>
    <row r="11" spans="1:10" ht="15.75" customHeight="1">
      <c r="A11" s="48" t="s">
        <v>1030</v>
      </c>
      <c r="B11" s="49" t="s">
        <v>297</v>
      </c>
      <c r="C11" s="48" t="s">
        <v>205</v>
      </c>
      <c r="D11" s="48"/>
      <c r="E11" s="5"/>
      <c r="F11" s="5"/>
      <c r="G11" s="5"/>
    </row>
    <row r="12" spans="1:10" ht="15.75" customHeight="1">
      <c r="A12" s="48" t="s">
        <v>1031</v>
      </c>
      <c r="B12" s="49" t="s">
        <v>3339</v>
      </c>
      <c r="C12" s="48" t="s">
        <v>205</v>
      </c>
      <c r="D12" s="48"/>
      <c r="E12" s="51"/>
      <c r="F12" s="5"/>
      <c r="G12" s="5"/>
    </row>
    <row r="13" spans="1:10" ht="15.75" customHeight="1">
      <c r="A13" s="48" t="s">
        <v>1032</v>
      </c>
      <c r="B13" s="49" t="s">
        <v>874</v>
      </c>
      <c r="C13" s="48" t="s">
        <v>205</v>
      </c>
      <c r="D13" s="48"/>
      <c r="E13" s="51"/>
      <c r="F13" s="5"/>
      <c r="G13" s="5"/>
    </row>
    <row r="14" spans="1:10" ht="15.75" customHeight="1">
      <c r="A14" s="48" t="s">
        <v>1033</v>
      </c>
      <c r="B14" s="49" t="s">
        <v>833</v>
      </c>
      <c r="C14" s="48" t="s">
        <v>205</v>
      </c>
      <c r="D14" s="48"/>
      <c r="E14" s="5"/>
      <c r="F14" s="5"/>
      <c r="G14" s="5"/>
    </row>
    <row r="15" spans="1:10" ht="15.75" customHeight="1">
      <c r="A15" s="48" t="s">
        <v>1034</v>
      </c>
      <c r="B15" s="49" t="s">
        <v>775</v>
      </c>
      <c r="C15" s="48" t="s">
        <v>205</v>
      </c>
      <c r="D15" s="47"/>
      <c r="E15" s="5"/>
      <c r="F15" s="5"/>
      <c r="G15" s="5"/>
    </row>
    <row r="16" spans="1:10" ht="15.75" customHeight="1">
      <c r="A16" s="48" t="s">
        <v>1035</v>
      </c>
      <c r="B16" s="49" t="s">
        <v>4120</v>
      </c>
      <c r="C16" s="48" t="s">
        <v>205</v>
      </c>
      <c r="D16" s="48"/>
      <c r="E16" s="51"/>
      <c r="F16" s="5"/>
      <c r="G16" s="5"/>
    </row>
    <row r="17" spans="1:7" ht="15.75" customHeight="1">
      <c r="A17" s="48" t="s">
        <v>1036</v>
      </c>
      <c r="B17" s="49" t="s">
        <v>4121</v>
      </c>
      <c r="C17" s="48" t="s">
        <v>205</v>
      </c>
      <c r="D17" s="48"/>
      <c r="E17" s="5"/>
      <c r="F17" s="5"/>
      <c r="G17" s="5"/>
    </row>
    <row r="18" spans="1:7" ht="15.75" customHeight="1">
      <c r="A18" s="48" t="s">
        <v>1037</v>
      </c>
      <c r="B18" s="49" t="s">
        <v>6478</v>
      </c>
      <c r="C18" s="48" t="s">
        <v>205</v>
      </c>
      <c r="D18" s="48"/>
      <c r="E18" s="5"/>
      <c r="F18" s="5"/>
      <c r="G18" s="5"/>
    </row>
    <row r="19" spans="1:7" ht="15.75" customHeight="1">
      <c r="A19" s="48" t="s">
        <v>1038</v>
      </c>
      <c r="B19" s="49" t="s">
        <v>6479</v>
      </c>
      <c r="C19" s="48" t="s">
        <v>205</v>
      </c>
      <c r="D19" s="48"/>
      <c r="E19" s="5"/>
      <c r="F19" s="5"/>
      <c r="G19" s="5"/>
    </row>
    <row r="20" spans="1:7" ht="15.75" customHeight="1">
      <c r="A20" s="48" t="s">
        <v>1039</v>
      </c>
      <c r="B20" s="49" t="s">
        <v>6535</v>
      </c>
      <c r="C20" s="48" t="s">
        <v>205</v>
      </c>
      <c r="D20" s="48"/>
      <c r="E20" s="51"/>
      <c r="F20" s="5"/>
      <c r="G20" s="5"/>
    </row>
    <row r="21" spans="1:7" ht="15.75" customHeight="1">
      <c r="A21" s="48" t="s">
        <v>1040</v>
      </c>
      <c r="B21" s="58" t="str">
        <f>HYPERLINK("https://bulbapedia.bulbagarden.net/wiki/Golisopod-GX_(Burning_Shadows_17)","GolisopodGX")</f>
        <v>GolisopodGX</v>
      </c>
      <c r="C21" s="48" t="s">
        <v>205</v>
      </c>
      <c r="D21" s="47"/>
      <c r="E21" s="5"/>
      <c r="F21" s="5"/>
      <c r="G21" s="5"/>
    </row>
    <row r="22" spans="1:7" ht="15.75" customHeight="1">
      <c r="A22" s="48" t="s">
        <v>1041</v>
      </c>
      <c r="B22" s="49" t="s">
        <v>278</v>
      </c>
      <c r="C22" s="48" t="s">
        <v>199</v>
      </c>
      <c r="D22" s="48"/>
      <c r="E22" s="5"/>
      <c r="F22" s="5"/>
      <c r="G22" s="5"/>
    </row>
    <row r="23" spans="1:7" ht="15.75" customHeight="1">
      <c r="A23" s="48" t="s">
        <v>1042</v>
      </c>
      <c r="B23" s="49" t="s">
        <v>258</v>
      </c>
      <c r="C23" s="48" t="s">
        <v>199</v>
      </c>
      <c r="D23" s="48"/>
      <c r="E23" s="5"/>
      <c r="F23" s="5"/>
      <c r="G23" s="5"/>
    </row>
    <row r="24" spans="1:7" ht="15.75" customHeight="1">
      <c r="A24" s="48" t="s">
        <v>1043</v>
      </c>
      <c r="B24" s="58" t="str">
        <f>HYPERLINK("https://bulbapedia.bulbagarden.net/wiki/Charizard-GX_(Burning_Shadows_20)","CharizardGX")</f>
        <v>CharizardGX</v>
      </c>
      <c r="C24" s="48" t="s">
        <v>199</v>
      </c>
      <c r="D24" s="48"/>
      <c r="E24" s="5"/>
      <c r="F24" s="5"/>
      <c r="G24" s="5"/>
    </row>
    <row r="25" spans="1:7" ht="15.75" customHeight="1">
      <c r="A25" s="48" t="s">
        <v>1044</v>
      </c>
      <c r="B25" s="58" t="str">
        <f>HYPERLINK("https://bulbapedia.bulbagarden.net/wiki/Ho-Oh-GX_(Burning_Shadows_21)","Ho-OhGX")</f>
        <v>Ho-OhGX</v>
      </c>
      <c r="C25" s="48" t="s">
        <v>199</v>
      </c>
      <c r="D25" s="47"/>
      <c r="E25" s="5"/>
      <c r="F25" s="5"/>
      <c r="G25" s="5"/>
    </row>
    <row r="26" spans="1:7" ht="15.75" customHeight="1">
      <c r="A26" s="48" t="s">
        <v>1045</v>
      </c>
      <c r="B26" s="49" t="s">
        <v>4054</v>
      </c>
      <c r="C26" s="48" t="s">
        <v>199</v>
      </c>
      <c r="D26" s="48"/>
      <c r="E26" s="5"/>
      <c r="F26" s="5"/>
      <c r="G26" s="5"/>
    </row>
    <row r="27" spans="1:7" ht="15.75" customHeight="1">
      <c r="A27" s="48" t="s">
        <v>1046</v>
      </c>
      <c r="B27" s="49" t="s">
        <v>4055</v>
      </c>
      <c r="C27" s="48" t="s">
        <v>199</v>
      </c>
      <c r="D27" s="48"/>
      <c r="E27" s="51"/>
      <c r="F27" s="5"/>
      <c r="G27" s="5"/>
    </row>
    <row r="28" spans="1:7" ht="15.75" customHeight="1">
      <c r="A28" s="48" t="s">
        <v>1047</v>
      </c>
      <c r="B28" s="49" t="s">
        <v>4056</v>
      </c>
      <c r="C28" s="48" t="s">
        <v>199</v>
      </c>
      <c r="D28" s="48"/>
      <c r="E28" s="51"/>
      <c r="F28" s="5"/>
      <c r="G28" s="5"/>
    </row>
    <row r="29" spans="1:7" ht="15.75" customHeight="1">
      <c r="A29" s="48" t="s">
        <v>1048</v>
      </c>
      <c r="B29" s="58" t="str">
        <f>HYPERLINK("https://bulbapedia.bulbagarden.net/wiki/Salazzle-GX_(Burning_Shadows_25)","SalazzleGX")</f>
        <v>SalazzleGX</v>
      </c>
      <c r="C29" s="48" t="s">
        <v>199</v>
      </c>
      <c r="D29" s="47"/>
      <c r="E29" s="5"/>
      <c r="F29" s="5"/>
      <c r="G29" s="5"/>
    </row>
    <row r="30" spans="1:7" ht="15.75" customHeight="1">
      <c r="A30" s="48" t="s">
        <v>1049</v>
      </c>
      <c r="B30" s="49" t="s">
        <v>6214</v>
      </c>
      <c r="C30" s="48" t="s">
        <v>199</v>
      </c>
      <c r="D30" s="47"/>
      <c r="E30" s="51"/>
      <c r="F30" s="5"/>
      <c r="G30" s="5"/>
    </row>
    <row r="31" spans="1:7" ht="15.75" customHeight="1">
      <c r="A31" s="48" t="s">
        <v>1050</v>
      </c>
      <c r="B31" s="49" t="s">
        <v>6553</v>
      </c>
      <c r="C31" s="48" t="s">
        <v>208</v>
      </c>
      <c r="D31" s="48"/>
      <c r="E31" s="5"/>
      <c r="F31" s="5"/>
      <c r="G31" s="5"/>
    </row>
    <row r="32" spans="1:7" ht="15.75" customHeight="1">
      <c r="A32" s="48" t="s">
        <v>1051</v>
      </c>
      <c r="B32" s="49" t="s">
        <v>6339</v>
      </c>
      <c r="C32" s="48" t="s">
        <v>208</v>
      </c>
      <c r="D32" s="48"/>
      <c r="E32" s="51"/>
      <c r="F32" s="5"/>
      <c r="G32" s="5"/>
    </row>
    <row r="33" spans="1:7" ht="15.75" customHeight="1">
      <c r="A33" s="48" t="s">
        <v>1052</v>
      </c>
      <c r="B33" s="49" t="s">
        <v>382</v>
      </c>
      <c r="C33" s="48" t="s">
        <v>208</v>
      </c>
      <c r="D33" s="48"/>
      <c r="E33" s="5"/>
      <c r="F33" s="5"/>
      <c r="G33" s="5"/>
    </row>
    <row r="34" spans="1:7" ht="15.75" customHeight="1">
      <c r="A34" s="48" t="s">
        <v>1053</v>
      </c>
      <c r="B34" s="49" t="s">
        <v>375</v>
      </c>
      <c r="C34" s="48" t="s">
        <v>208</v>
      </c>
      <c r="D34" s="48"/>
      <c r="E34" s="51"/>
      <c r="F34" s="5"/>
      <c r="G34" s="5"/>
    </row>
    <row r="35" spans="1:7" ht="15.75" customHeight="1">
      <c r="A35" s="48" t="s">
        <v>1054</v>
      </c>
      <c r="B35" s="49" t="s">
        <v>779</v>
      </c>
      <c r="C35" s="48" t="s">
        <v>208</v>
      </c>
      <c r="D35" s="47"/>
      <c r="E35" s="5"/>
      <c r="F35" s="5"/>
      <c r="G35" s="5"/>
    </row>
    <row r="36" spans="1:7" ht="15.75" customHeight="1">
      <c r="A36" s="48" t="s">
        <v>1055</v>
      </c>
      <c r="B36" s="49" t="s">
        <v>268</v>
      </c>
      <c r="C36" s="48" t="s">
        <v>208</v>
      </c>
      <c r="D36" s="48"/>
      <c r="E36" s="51"/>
      <c r="F36" s="5"/>
      <c r="G36" s="5"/>
    </row>
    <row r="37" spans="1:7" ht="15.75" customHeight="1">
      <c r="A37" s="48" t="s">
        <v>1056</v>
      </c>
      <c r="B37" s="49" t="s">
        <v>245</v>
      </c>
      <c r="C37" s="48" t="s">
        <v>208</v>
      </c>
      <c r="D37" s="48"/>
      <c r="E37" s="51"/>
      <c r="F37" s="51"/>
      <c r="G37" s="5"/>
    </row>
    <row r="38" spans="1:7" ht="15.75" customHeight="1">
      <c r="A38" s="48" t="s">
        <v>1057</v>
      </c>
      <c r="B38" s="49" t="s">
        <v>215</v>
      </c>
      <c r="C38" s="48" t="s">
        <v>208</v>
      </c>
      <c r="D38" s="48"/>
      <c r="E38" s="5"/>
      <c r="F38" s="5"/>
      <c r="G38" s="5"/>
    </row>
    <row r="39" spans="1:7" ht="15.75" customHeight="1">
      <c r="A39" s="48" t="s">
        <v>1058</v>
      </c>
      <c r="B39" s="49" t="s">
        <v>768</v>
      </c>
      <c r="C39" s="48" t="s">
        <v>208</v>
      </c>
      <c r="D39" s="48"/>
      <c r="E39" s="51"/>
      <c r="F39" s="5"/>
      <c r="G39" s="5"/>
    </row>
    <row r="40" spans="1:7" ht="15.75" customHeight="1">
      <c r="A40" s="48" t="s">
        <v>1059</v>
      </c>
      <c r="B40" s="49" t="s">
        <v>4124</v>
      </c>
      <c r="C40" s="48" t="s">
        <v>208</v>
      </c>
      <c r="D40" s="48"/>
      <c r="E40" s="5"/>
      <c r="F40" s="5"/>
      <c r="G40" s="5"/>
    </row>
    <row r="41" spans="1:7" ht="15.75" customHeight="1">
      <c r="A41" s="48" t="s">
        <v>1060</v>
      </c>
      <c r="B41" s="49" t="s">
        <v>4125</v>
      </c>
      <c r="C41" s="48" t="s">
        <v>208</v>
      </c>
      <c r="D41" s="48"/>
      <c r="F41" s="5"/>
      <c r="G41" s="5"/>
    </row>
    <row r="42" spans="1:7" ht="15.75" customHeight="1">
      <c r="A42" s="48" t="s">
        <v>1061</v>
      </c>
      <c r="B42" s="49" t="s">
        <v>6481</v>
      </c>
      <c r="C42" s="48" t="s">
        <v>208</v>
      </c>
      <c r="D42" s="47"/>
      <c r="E42" s="51"/>
      <c r="F42" s="5"/>
      <c r="G42" s="5"/>
    </row>
    <row r="43" spans="1:7" ht="15.75" customHeight="1">
      <c r="A43" s="48" t="s">
        <v>1062</v>
      </c>
      <c r="B43" s="58" t="str">
        <f t="shared" ref="B43:B44" si="0">HYPERLINK("https://bulbapedia.bulbagarden.net/wiki/Tapu_Fini-GX_(Burning_Shadows_39)","Tapu FiniGX")</f>
        <v>Tapu FiniGX</v>
      </c>
      <c r="C43" s="48" t="s">
        <v>208</v>
      </c>
      <c r="D43" s="48"/>
      <c r="E43" s="5"/>
      <c r="F43" s="5"/>
      <c r="G43" s="5"/>
    </row>
    <row r="44" spans="1:7" ht="15.75" customHeight="1">
      <c r="A44" s="48" t="s">
        <v>6735</v>
      </c>
      <c r="B44" s="58" t="str">
        <f t="shared" si="0"/>
        <v>Tapu FiniGX</v>
      </c>
      <c r="C44" s="48" t="s">
        <v>208</v>
      </c>
      <c r="D44" s="48"/>
      <c r="E44" s="5"/>
      <c r="F44" s="5"/>
      <c r="G44" s="5"/>
    </row>
    <row r="45" spans="1:7" ht="15.75" customHeight="1">
      <c r="A45" s="48" t="s">
        <v>1063</v>
      </c>
      <c r="B45" s="49" t="s">
        <v>191</v>
      </c>
      <c r="C45" s="48" t="s">
        <v>192</v>
      </c>
      <c r="D45" s="48"/>
      <c r="E45" s="51"/>
      <c r="F45" s="5"/>
      <c r="G45" s="5"/>
    </row>
    <row r="46" spans="1:7" ht="15.75" customHeight="1">
      <c r="A46" s="48" t="s">
        <v>1064</v>
      </c>
      <c r="B46" s="49" t="s">
        <v>251</v>
      </c>
      <c r="C46" s="48" t="s">
        <v>192</v>
      </c>
      <c r="D46" s="48"/>
      <c r="E46" s="5"/>
      <c r="F46" s="51"/>
      <c r="G46" s="5"/>
    </row>
    <row r="47" spans="1:7" ht="15.75" customHeight="1">
      <c r="A47" s="48" t="s">
        <v>1065</v>
      </c>
      <c r="B47" s="49" t="s">
        <v>193</v>
      </c>
      <c r="C47" s="48" t="s">
        <v>192</v>
      </c>
      <c r="D47" s="48"/>
      <c r="E47" s="51"/>
      <c r="F47" s="5"/>
      <c r="G47" s="5"/>
    </row>
    <row r="48" spans="1:7" ht="15.75" customHeight="1">
      <c r="A48" s="48" t="s">
        <v>1066</v>
      </c>
      <c r="B48" s="49" t="s">
        <v>3110</v>
      </c>
      <c r="C48" s="48" t="s">
        <v>192</v>
      </c>
      <c r="D48" s="48"/>
      <c r="E48" s="51"/>
      <c r="F48" s="5"/>
      <c r="G48" s="5"/>
    </row>
    <row r="49" spans="1:7" ht="15.75" customHeight="1">
      <c r="A49" s="48" t="s">
        <v>1067</v>
      </c>
      <c r="B49" s="49" t="s">
        <v>4073</v>
      </c>
      <c r="C49" s="48" t="s">
        <v>192</v>
      </c>
      <c r="D49" s="48"/>
      <c r="E49" s="5"/>
      <c r="F49" s="5"/>
      <c r="G49" s="5"/>
    </row>
    <row r="50" spans="1:7" ht="15.75" customHeight="1">
      <c r="A50" s="48" t="s">
        <v>1068</v>
      </c>
      <c r="B50" s="49" t="s">
        <v>4074</v>
      </c>
      <c r="C50" s="48" t="s">
        <v>192</v>
      </c>
      <c r="D50" s="48"/>
      <c r="E50" s="5"/>
      <c r="F50" s="5"/>
      <c r="G50" s="5"/>
    </row>
    <row r="51" spans="1:7" ht="15.75" customHeight="1">
      <c r="A51" s="48" t="s">
        <v>1069</v>
      </c>
      <c r="B51" s="49" t="s">
        <v>4075</v>
      </c>
      <c r="C51" s="48" t="s">
        <v>192</v>
      </c>
      <c r="D51" s="48"/>
      <c r="E51" s="51"/>
      <c r="F51" s="5"/>
      <c r="G51" s="5"/>
    </row>
    <row r="52" spans="1:7" ht="15.75" customHeight="1">
      <c r="A52" s="48" t="s">
        <v>1070</v>
      </c>
      <c r="B52" s="49" t="s">
        <v>6191</v>
      </c>
      <c r="C52" s="48" t="s">
        <v>192</v>
      </c>
      <c r="D52" s="48"/>
      <c r="E52" s="51"/>
      <c r="F52" s="5"/>
      <c r="G52" s="5"/>
    </row>
    <row r="53" spans="1:7" ht="13">
      <c r="A53" s="48" t="s">
        <v>1071</v>
      </c>
      <c r="B53" s="49" t="s">
        <v>789</v>
      </c>
      <c r="C53" s="48" t="s">
        <v>195</v>
      </c>
      <c r="D53" s="47"/>
      <c r="E53" s="5"/>
      <c r="F53" s="5"/>
      <c r="G53" s="5"/>
    </row>
    <row r="54" spans="1:7" ht="13">
      <c r="A54" s="48" t="s">
        <v>1072</v>
      </c>
      <c r="B54" s="49" t="s">
        <v>945</v>
      </c>
      <c r="C54" s="48" t="s">
        <v>195</v>
      </c>
      <c r="D54" s="48"/>
      <c r="E54" s="51"/>
      <c r="F54" s="5"/>
      <c r="G54" s="5"/>
    </row>
    <row r="55" spans="1:7" ht="13">
      <c r="A55" s="48" t="s">
        <v>6736</v>
      </c>
      <c r="B55" s="49" t="s">
        <v>1372</v>
      </c>
      <c r="C55" s="48" t="s">
        <v>195</v>
      </c>
      <c r="D55" s="48"/>
      <c r="E55" s="5"/>
      <c r="F55" s="5"/>
      <c r="G55" s="5"/>
    </row>
    <row r="56" spans="1:7" ht="13">
      <c r="A56" s="48" t="s">
        <v>1073</v>
      </c>
      <c r="B56" s="49" t="s">
        <v>1437</v>
      </c>
      <c r="C56" s="48" t="s">
        <v>195</v>
      </c>
      <c r="D56" s="48"/>
      <c r="E56" s="51"/>
      <c r="F56" s="5"/>
      <c r="G56" s="5"/>
    </row>
    <row r="57" spans="1:7" ht="13">
      <c r="A57" s="48" t="s">
        <v>1074</v>
      </c>
      <c r="B57" s="49" t="s">
        <v>1361</v>
      </c>
      <c r="C57" s="48" t="s">
        <v>195</v>
      </c>
      <c r="D57" s="48"/>
      <c r="E57" s="5"/>
      <c r="F57" s="5"/>
      <c r="G57" s="5"/>
    </row>
    <row r="58" spans="1:7" ht="13">
      <c r="A58" s="48" t="s">
        <v>1075</v>
      </c>
      <c r="B58" s="49" t="s">
        <v>3076</v>
      </c>
      <c r="C58" s="48" t="s">
        <v>195</v>
      </c>
      <c r="D58" s="47"/>
      <c r="E58" s="5"/>
      <c r="F58" s="5"/>
      <c r="G58" s="5"/>
    </row>
    <row r="59" spans="1:7" ht="13">
      <c r="A59" s="48" t="s">
        <v>1076</v>
      </c>
      <c r="B59" s="49" t="s">
        <v>3250</v>
      </c>
      <c r="C59" s="48" t="s">
        <v>195</v>
      </c>
      <c r="D59" s="48"/>
      <c r="E59" s="5"/>
      <c r="F59" s="5"/>
      <c r="G59" s="5"/>
    </row>
    <row r="60" spans="1:7" ht="13">
      <c r="A60" s="48" t="s">
        <v>1077</v>
      </c>
      <c r="B60" s="49" t="s">
        <v>3203</v>
      </c>
      <c r="C60" s="48" t="s">
        <v>195</v>
      </c>
      <c r="D60" s="48"/>
      <c r="E60" s="5"/>
      <c r="F60" s="5"/>
      <c r="G60" s="5"/>
    </row>
    <row r="61" spans="1:7" ht="13">
      <c r="A61" s="48" t="s">
        <v>1078</v>
      </c>
      <c r="B61" s="49" t="s">
        <v>4421</v>
      </c>
      <c r="C61" s="48" t="s">
        <v>195</v>
      </c>
      <c r="D61" s="48"/>
      <c r="E61" s="51"/>
      <c r="F61" s="5"/>
      <c r="G61" s="5"/>
    </row>
    <row r="62" spans="1:7" ht="13">
      <c r="A62" s="48" t="s">
        <v>1079</v>
      </c>
      <c r="B62" s="49" t="s">
        <v>4423</v>
      </c>
      <c r="C62" s="48" t="s">
        <v>195</v>
      </c>
      <c r="D62" s="48"/>
      <c r="E62" s="5"/>
      <c r="F62" s="5"/>
      <c r="G62" s="5"/>
    </row>
    <row r="63" spans="1:7" ht="13">
      <c r="A63" s="48" t="s">
        <v>1080</v>
      </c>
      <c r="B63" s="49" t="s">
        <v>4425</v>
      </c>
      <c r="C63" s="48" t="s">
        <v>195</v>
      </c>
      <c r="D63" s="48"/>
      <c r="E63" s="5"/>
      <c r="F63" s="5"/>
      <c r="G63" s="5"/>
    </row>
    <row r="64" spans="1:7" ht="13">
      <c r="A64" s="48" t="s">
        <v>1081</v>
      </c>
      <c r="B64" s="49" t="s">
        <v>5094</v>
      </c>
      <c r="C64" s="48" t="s">
        <v>195</v>
      </c>
      <c r="D64" s="48"/>
      <c r="E64" s="51"/>
      <c r="F64" s="5"/>
      <c r="G64" s="5"/>
    </row>
    <row r="65" spans="1:7" ht="13">
      <c r="A65" s="48" t="s">
        <v>1082</v>
      </c>
      <c r="B65" s="49" t="s">
        <v>4799</v>
      </c>
      <c r="C65" s="48" t="s">
        <v>195</v>
      </c>
      <c r="D65" s="48"/>
      <c r="E65" s="5"/>
      <c r="F65" s="5"/>
      <c r="G65" s="5"/>
    </row>
    <row r="66" spans="1:7" ht="13">
      <c r="A66" s="48" t="s">
        <v>1083</v>
      </c>
      <c r="B66" s="49" t="s">
        <v>6491</v>
      </c>
      <c r="C66" s="48" t="s">
        <v>195</v>
      </c>
      <c r="D66" s="48"/>
      <c r="E66" s="5"/>
      <c r="F66" s="5"/>
      <c r="G66" s="5"/>
    </row>
    <row r="67" spans="1:7" ht="13">
      <c r="A67" s="48" t="s">
        <v>1084</v>
      </c>
      <c r="B67" s="49" t="s">
        <v>6492</v>
      </c>
      <c r="C67" s="48" t="s">
        <v>195</v>
      </c>
      <c r="D67" s="47"/>
      <c r="E67" s="51"/>
      <c r="F67" s="5"/>
      <c r="G67" s="5"/>
    </row>
    <row r="68" spans="1:7" ht="13">
      <c r="A68" s="48" t="s">
        <v>1085</v>
      </c>
      <c r="B68" s="58" t="str">
        <f>HYPERLINK("https://bulbapedia.bulbagarden.net/wiki/Necrozma-GX_(Burning_Shadows_63)","NecrozmaGX")</f>
        <v>NecrozmaGX</v>
      </c>
      <c r="C68" s="48" t="s">
        <v>195</v>
      </c>
      <c r="D68" s="48"/>
      <c r="E68" s="5"/>
      <c r="F68" s="5"/>
      <c r="G68" s="5"/>
    </row>
    <row r="69" spans="1:7" ht="13">
      <c r="A69" s="48" t="s">
        <v>1086</v>
      </c>
      <c r="B69" s="58" t="str">
        <f>HYPERLINK("https://bulbapedia.bulbagarden.net/wiki/Machamp-GX_(Burning_Shadows_64)","MachampGX")</f>
        <v>MachampGX</v>
      </c>
      <c r="C69" s="48" t="s">
        <v>225</v>
      </c>
      <c r="D69" s="48"/>
      <c r="E69" s="5"/>
      <c r="F69" s="5"/>
      <c r="G69" s="5"/>
    </row>
    <row r="70" spans="1:7" ht="13">
      <c r="A70" s="48" t="s">
        <v>1087</v>
      </c>
      <c r="B70" s="49" t="s">
        <v>354</v>
      </c>
      <c r="C70" s="48" t="s">
        <v>225</v>
      </c>
      <c r="D70" s="48"/>
      <c r="E70" s="5"/>
      <c r="F70" s="5"/>
      <c r="G70" s="5"/>
    </row>
    <row r="71" spans="1:7" ht="13">
      <c r="A71" s="48" t="s">
        <v>1088</v>
      </c>
      <c r="B71" s="49" t="s">
        <v>342</v>
      </c>
      <c r="C71" s="48" t="s">
        <v>225</v>
      </c>
      <c r="D71" s="48"/>
      <c r="E71" s="5"/>
      <c r="F71" s="5"/>
      <c r="G71" s="5"/>
    </row>
    <row r="72" spans="1:7" ht="13">
      <c r="A72" s="48" t="s">
        <v>1089</v>
      </c>
      <c r="B72" s="49" t="s">
        <v>3117</v>
      </c>
      <c r="C72" s="48" t="s">
        <v>225</v>
      </c>
      <c r="D72" s="48"/>
      <c r="E72" s="5"/>
      <c r="F72" s="51"/>
      <c r="G72" s="5"/>
    </row>
    <row r="73" spans="1:7" ht="13">
      <c r="A73" s="48" t="s">
        <v>1090</v>
      </c>
      <c r="B73" s="49" t="s">
        <v>1366</v>
      </c>
      <c r="C73" s="48" t="s">
        <v>225</v>
      </c>
      <c r="D73" s="48"/>
      <c r="E73" s="51"/>
      <c r="F73" s="5"/>
      <c r="G73" s="5"/>
    </row>
    <row r="74" spans="1:7" ht="13">
      <c r="A74" s="48" t="s">
        <v>1091</v>
      </c>
      <c r="B74" s="49" t="s">
        <v>1376</v>
      </c>
      <c r="C74" s="48" t="s">
        <v>225</v>
      </c>
      <c r="D74" s="48"/>
      <c r="E74" s="51"/>
      <c r="F74" s="5"/>
      <c r="G74" s="5"/>
    </row>
    <row r="75" spans="1:7" ht="13">
      <c r="A75" s="48" t="s">
        <v>1092</v>
      </c>
      <c r="B75" s="49" t="s">
        <v>3141</v>
      </c>
      <c r="C75" s="48" t="s">
        <v>225</v>
      </c>
      <c r="D75" s="48"/>
      <c r="E75" s="51"/>
      <c r="F75" s="5"/>
      <c r="G75" s="5"/>
    </row>
    <row r="76" spans="1:7" ht="13">
      <c r="A76" s="48" t="s">
        <v>1093</v>
      </c>
      <c r="B76" s="49" t="s">
        <v>3113</v>
      </c>
      <c r="C76" s="48" t="s">
        <v>225</v>
      </c>
      <c r="D76" s="47"/>
      <c r="E76" s="5"/>
      <c r="F76" s="5"/>
      <c r="G76" s="5"/>
    </row>
    <row r="77" spans="1:7" ht="13">
      <c r="A77" s="48" t="s">
        <v>1094</v>
      </c>
      <c r="B77" s="49" t="s">
        <v>4267</v>
      </c>
      <c r="C77" s="48" t="s">
        <v>225</v>
      </c>
      <c r="D77" s="48"/>
      <c r="E77" s="5"/>
      <c r="F77" s="5"/>
      <c r="G77" s="5"/>
    </row>
    <row r="78" spans="1:7" ht="13">
      <c r="A78" s="48" t="s">
        <v>1095</v>
      </c>
      <c r="B78" s="49" t="s">
        <v>6489</v>
      </c>
      <c r="C78" s="48" t="s">
        <v>225</v>
      </c>
      <c r="D78" s="48"/>
      <c r="E78" s="51"/>
      <c r="F78" s="5"/>
      <c r="G78" s="5"/>
    </row>
    <row r="79" spans="1:7" ht="13">
      <c r="A79" s="48" t="s">
        <v>6737</v>
      </c>
      <c r="B79" s="49" t="s">
        <v>6476</v>
      </c>
      <c r="C79" s="48" t="s">
        <v>225</v>
      </c>
      <c r="D79" s="48"/>
      <c r="E79" s="51"/>
      <c r="F79" s="5"/>
      <c r="G79" s="5"/>
    </row>
    <row r="80" spans="1:7" ht="13">
      <c r="A80" s="48" t="s">
        <v>1096</v>
      </c>
      <c r="B80" s="49" t="s">
        <v>6310</v>
      </c>
      <c r="C80" s="48" t="s">
        <v>225</v>
      </c>
      <c r="D80" s="48"/>
      <c r="E80" s="5"/>
      <c r="F80" s="51"/>
      <c r="G80" s="5"/>
    </row>
    <row r="81" spans="1:7" ht="13">
      <c r="A81" s="48" t="s">
        <v>1097</v>
      </c>
      <c r="B81" s="49" t="s">
        <v>6310</v>
      </c>
      <c r="C81" s="48" t="s">
        <v>225</v>
      </c>
      <c r="D81" s="48"/>
      <c r="E81" s="5"/>
      <c r="F81" s="5"/>
      <c r="G81" s="5"/>
    </row>
    <row r="82" spans="1:7" ht="13">
      <c r="A82" s="48" t="s">
        <v>1098</v>
      </c>
      <c r="B82" s="49" t="s">
        <v>6615</v>
      </c>
      <c r="C82" s="48" t="s">
        <v>225</v>
      </c>
      <c r="D82" s="48"/>
      <c r="E82" s="5"/>
      <c r="F82" s="5"/>
      <c r="G82" s="5"/>
    </row>
    <row r="83" spans="1:7" ht="13">
      <c r="A83" s="48" t="s">
        <v>1099</v>
      </c>
      <c r="B83" s="49" t="s">
        <v>6617</v>
      </c>
      <c r="C83" s="48" t="s">
        <v>225</v>
      </c>
      <c r="D83" s="47"/>
      <c r="E83" s="51"/>
      <c r="F83" s="5"/>
      <c r="G83" s="5"/>
    </row>
    <row r="84" spans="1:7" ht="13">
      <c r="A84" s="48" t="s">
        <v>1100</v>
      </c>
      <c r="B84" s="49" t="s">
        <v>6490</v>
      </c>
      <c r="C84" s="48" t="s">
        <v>225</v>
      </c>
      <c r="D84" s="48"/>
      <c r="E84" s="5"/>
      <c r="F84" s="5"/>
      <c r="G84" s="5"/>
    </row>
    <row r="85" spans="1:7" ht="13">
      <c r="A85" s="48" t="s">
        <v>1101</v>
      </c>
      <c r="B85" s="58" t="str">
        <f>HYPERLINK("https://bulbapedia.bulbagarden.net/wiki/Marshadow-GX_(Burning_Shadows_80)","MarshadowGX")</f>
        <v>MarshadowGX</v>
      </c>
      <c r="C85" s="48" t="s">
        <v>225</v>
      </c>
      <c r="D85" s="47"/>
      <c r="E85" s="5"/>
      <c r="F85" s="5"/>
      <c r="G85" s="5"/>
    </row>
    <row r="86" spans="1:7" ht="13">
      <c r="A86" s="48" t="s">
        <v>1102</v>
      </c>
      <c r="B86" s="49" t="s">
        <v>6493</v>
      </c>
      <c r="C86" s="48" t="s">
        <v>808</v>
      </c>
      <c r="D86" s="48"/>
      <c r="E86" s="51"/>
      <c r="F86" s="5"/>
      <c r="G86" s="5"/>
    </row>
    <row r="87" spans="1:7" ht="13">
      <c r="A87" s="48" t="s">
        <v>1103</v>
      </c>
      <c r="B87" s="49" t="s">
        <v>6494</v>
      </c>
      <c r="C87" s="48" t="s">
        <v>808</v>
      </c>
      <c r="D87" s="48"/>
      <c r="E87" s="5"/>
      <c r="F87" s="5"/>
      <c r="G87" s="5"/>
    </row>
    <row r="88" spans="1:7" ht="13">
      <c r="A88" s="48" t="s">
        <v>1104</v>
      </c>
      <c r="B88" s="49" t="s">
        <v>6483</v>
      </c>
      <c r="C88" s="48" t="s">
        <v>808</v>
      </c>
      <c r="D88" s="48"/>
      <c r="E88" s="51"/>
      <c r="F88" s="5"/>
      <c r="G88" s="5"/>
    </row>
    <row r="89" spans="1:7" ht="13">
      <c r="A89" s="48" t="s">
        <v>1105</v>
      </c>
      <c r="B89" s="58" t="str">
        <f>HYPERLINK("https://bulbapedia.bulbagarden.net/wiki/Alolan_Muk-GX_(Burning_Shadows_84)","Alolan MukGX")</f>
        <v>Alolan MukGX</v>
      </c>
      <c r="C89" s="48" t="s">
        <v>808</v>
      </c>
      <c r="D89" s="48"/>
      <c r="E89" s="5"/>
      <c r="F89" s="5"/>
      <c r="G89" s="5"/>
    </row>
    <row r="90" spans="1:7" ht="13">
      <c r="A90" s="48" t="s">
        <v>1106</v>
      </c>
      <c r="B90" s="49" t="s">
        <v>810</v>
      </c>
      <c r="C90" s="48" t="s">
        <v>808</v>
      </c>
      <c r="D90" s="48"/>
      <c r="E90" s="5"/>
      <c r="F90" s="5"/>
      <c r="G90" s="5"/>
    </row>
    <row r="91" spans="1:7" ht="13">
      <c r="A91" s="48" t="s">
        <v>1107</v>
      </c>
      <c r="B91" s="58" t="str">
        <f>HYPERLINK("https://bulbapedia.bulbagarden.net/wiki/Weavile_(Burning_Shadows_86)","Weavile")</f>
        <v>Weavile</v>
      </c>
      <c r="C91" s="48" t="s">
        <v>808</v>
      </c>
      <c r="D91" s="48"/>
      <c r="E91" s="51"/>
      <c r="F91" s="5"/>
      <c r="G91" s="5"/>
    </row>
    <row r="92" spans="1:7" ht="13">
      <c r="A92" s="48" t="s">
        <v>1108</v>
      </c>
      <c r="B92" s="49" t="s">
        <v>3059</v>
      </c>
      <c r="C92" s="48" t="s">
        <v>808</v>
      </c>
      <c r="D92" s="47"/>
      <c r="E92" s="5"/>
      <c r="F92" s="5"/>
      <c r="G92" s="5"/>
    </row>
    <row r="93" spans="1:7" ht="13">
      <c r="A93" s="48" t="s">
        <v>1109</v>
      </c>
      <c r="B93" s="58" t="str">
        <f>HYPERLINK("https://bulbapedia.bulbagarden.net/wiki/Darkrai-GX_(Burning_Shadows_88)","DarkraiGX")</f>
        <v>DarkraiGX</v>
      </c>
      <c r="C93" s="48" t="s">
        <v>808</v>
      </c>
      <c r="D93" s="47"/>
      <c r="E93" s="5"/>
      <c r="F93" s="5"/>
      <c r="G93" s="5"/>
    </row>
    <row r="94" spans="1:7" ht="13">
      <c r="A94" s="48" t="s">
        <v>1110</v>
      </c>
      <c r="B94" s="49" t="s">
        <v>5011</v>
      </c>
      <c r="C94" s="48" t="s">
        <v>808</v>
      </c>
      <c r="D94" s="48"/>
      <c r="E94" s="5"/>
      <c r="F94" s="5"/>
      <c r="G94" s="5"/>
    </row>
    <row r="95" spans="1:7" ht="13">
      <c r="A95" s="48" t="s">
        <v>1111</v>
      </c>
      <c r="B95" s="49" t="s">
        <v>4811</v>
      </c>
      <c r="C95" s="48" t="s">
        <v>808</v>
      </c>
      <c r="D95" s="48"/>
      <c r="E95" s="51"/>
      <c r="F95" s="5"/>
      <c r="G95" s="5"/>
    </row>
    <row r="96" spans="1:7" ht="13">
      <c r="A96" s="48" t="s">
        <v>1112</v>
      </c>
      <c r="B96" s="49" t="s">
        <v>1307</v>
      </c>
      <c r="C96" s="48" t="s">
        <v>4743</v>
      </c>
      <c r="D96" s="48"/>
      <c r="E96" s="51"/>
      <c r="F96" s="5"/>
      <c r="G96" s="5"/>
    </row>
    <row r="97" spans="1:7" ht="13">
      <c r="A97" s="48" t="s">
        <v>1113</v>
      </c>
      <c r="B97" s="49" t="s">
        <v>1262</v>
      </c>
      <c r="C97" s="48" t="s">
        <v>4743</v>
      </c>
      <c r="D97" s="48"/>
      <c r="E97" s="51"/>
      <c r="F97" s="5"/>
      <c r="G97" s="5"/>
    </row>
    <row r="98" spans="1:7" ht="13">
      <c r="A98" s="48" t="s">
        <v>6738</v>
      </c>
      <c r="B98" s="49" t="s">
        <v>1262</v>
      </c>
      <c r="C98" s="48" t="s">
        <v>4743</v>
      </c>
      <c r="D98" s="48"/>
      <c r="E98" s="5"/>
      <c r="F98" s="51"/>
      <c r="G98" s="5"/>
    </row>
    <row r="99" spans="1:7" ht="13">
      <c r="A99" s="48" t="s">
        <v>1114</v>
      </c>
      <c r="B99" s="58" t="str">
        <f>HYPERLINK("https://bulbapedia.bulbagarden.net/wiki/Gardevoir-GX_(Burning_Shadows_93)","GardevoirGX")</f>
        <v>GardevoirGX</v>
      </c>
      <c r="C99" s="48" t="s">
        <v>4743</v>
      </c>
      <c r="D99" s="47"/>
      <c r="E99" s="5"/>
      <c r="F99" s="5"/>
      <c r="G99" s="5"/>
    </row>
    <row r="100" spans="1:7" ht="13">
      <c r="A100" s="48" t="s">
        <v>1115</v>
      </c>
      <c r="B100" s="49" t="s">
        <v>5210</v>
      </c>
      <c r="C100" s="48" t="s">
        <v>4743</v>
      </c>
      <c r="D100" s="47"/>
      <c r="E100" s="51"/>
      <c r="F100" s="5"/>
      <c r="G100" s="51"/>
    </row>
    <row r="101" spans="1:7" ht="13">
      <c r="A101" s="48" t="s">
        <v>6739</v>
      </c>
      <c r="B101" s="49" t="s">
        <v>6498</v>
      </c>
      <c r="C101" s="48" t="s">
        <v>4743</v>
      </c>
      <c r="D101" s="48"/>
      <c r="E101" s="5"/>
      <c r="F101" s="5"/>
      <c r="G101" s="5"/>
    </row>
    <row r="102" spans="1:7" ht="13">
      <c r="A102" s="48" t="s">
        <v>1116</v>
      </c>
      <c r="B102" s="49" t="s">
        <v>6499</v>
      </c>
      <c r="C102" s="48" t="s">
        <v>4743</v>
      </c>
      <c r="D102" s="48"/>
      <c r="E102" s="5"/>
      <c r="F102" s="5"/>
      <c r="G102" s="5"/>
    </row>
    <row r="103" spans="1:7" ht="13">
      <c r="A103" s="48" t="s">
        <v>1117</v>
      </c>
      <c r="B103" s="49" t="s">
        <v>6468</v>
      </c>
      <c r="C103" s="48" t="s">
        <v>4743</v>
      </c>
      <c r="D103" s="48"/>
      <c r="E103" s="5"/>
      <c r="F103" s="5"/>
      <c r="G103" s="5"/>
    </row>
    <row r="104" spans="1:7" ht="13">
      <c r="A104" s="48" t="s">
        <v>1118</v>
      </c>
      <c r="B104" s="49" t="s">
        <v>6469</v>
      </c>
      <c r="C104" s="48" t="s">
        <v>4743</v>
      </c>
      <c r="D104" s="48"/>
      <c r="E104" s="5"/>
      <c r="F104" s="5"/>
      <c r="G104" s="5"/>
    </row>
    <row r="105" spans="1:7" ht="13">
      <c r="A105" s="48" t="s">
        <v>1119</v>
      </c>
      <c r="B105" s="58" t="str">
        <f>HYPERLINK("https://bulbapedia.bulbagarden.net/wiki/Noivern-GX_(Burning_Shadows_99)","NoivernGX")</f>
        <v>NoivernGX</v>
      </c>
      <c r="C105" s="48" t="s">
        <v>4285</v>
      </c>
      <c r="D105" s="47"/>
      <c r="E105" s="5"/>
      <c r="F105" s="5"/>
      <c r="G105" s="5"/>
    </row>
    <row r="106" spans="1:7" ht="13">
      <c r="A106" s="48" t="s">
        <v>1120</v>
      </c>
      <c r="B106" s="49" t="s">
        <v>4913</v>
      </c>
      <c r="C106" s="48" t="s">
        <v>4285</v>
      </c>
      <c r="D106" s="47"/>
      <c r="E106" s="5"/>
      <c r="F106" s="5"/>
      <c r="G106" s="51"/>
    </row>
    <row r="107" spans="1:7" ht="13">
      <c r="A107" s="48" t="s">
        <v>1121</v>
      </c>
      <c r="B107" s="49" t="s">
        <v>202</v>
      </c>
      <c r="C107" s="48" t="s">
        <v>197</v>
      </c>
      <c r="D107" s="48"/>
      <c r="E107" s="5"/>
      <c r="F107" s="5"/>
      <c r="G107" s="5"/>
    </row>
    <row r="108" spans="1:7" ht="13">
      <c r="A108" s="48" t="s">
        <v>1122</v>
      </c>
      <c r="B108" s="49" t="s">
        <v>340</v>
      </c>
      <c r="C108" s="48" t="s">
        <v>197</v>
      </c>
      <c r="D108" s="48"/>
      <c r="E108" s="5"/>
      <c r="F108" s="5"/>
      <c r="G108" s="5"/>
    </row>
    <row r="109" spans="1:7" ht="13">
      <c r="A109" s="48" t="s">
        <v>6740</v>
      </c>
      <c r="B109" s="49" t="s">
        <v>271</v>
      </c>
      <c r="C109" s="48" t="s">
        <v>197</v>
      </c>
      <c r="D109" s="48"/>
      <c r="E109" s="51"/>
      <c r="F109" s="5"/>
      <c r="G109" s="5"/>
    </row>
    <row r="110" spans="1:7" ht="13">
      <c r="A110" s="48" t="s">
        <v>1123</v>
      </c>
      <c r="B110" s="49" t="s">
        <v>971</v>
      </c>
      <c r="C110" s="48" t="s">
        <v>197</v>
      </c>
      <c r="D110" s="48"/>
      <c r="E110" s="5"/>
      <c r="F110" s="5"/>
      <c r="G110" s="5"/>
    </row>
    <row r="111" spans="1:7" ht="13">
      <c r="A111" s="48" t="s">
        <v>1124</v>
      </c>
      <c r="B111" s="49" t="s">
        <v>3080</v>
      </c>
      <c r="C111" s="48" t="s">
        <v>197</v>
      </c>
      <c r="D111" s="48"/>
      <c r="E111" s="5"/>
      <c r="F111" s="51"/>
      <c r="G111" s="5"/>
    </row>
    <row r="112" spans="1:7" ht="13">
      <c r="A112" s="48" t="s">
        <v>6741</v>
      </c>
      <c r="B112" s="49" t="s">
        <v>3080</v>
      </c>
      <c r="C112" s="48" t="s">
        <v>197</v>
      </c>
      <c r="D112" s="48"/>
      <c r="E112" s="5"/>
      <c r="F112" s="51"/>
      <c r="G112" s="5"/>
    </row>
    <row r="113" spans="1:26" ht="13">
      <c r="A113" s="48" t="s">
        <v>1125</v>
      </c>
      <c r="B113" s="49" t="s">
        <v>869</v>
      </c>
      <c r="C113" s="48" t="s">
        <v>197</v>
      </c>
      <c r="D113" s="48"/>
      <c r="E113" s="5"/>
      <c r="F113" s="5"/>
      <c r="G113" s="5"/>
    </row>
    <row r="114" spans="1:26" ht="13">
      <c r="A114" s="48" t="s">
        <v>1126</v>
      </c>
      <c r="B114" s="49" t="s">
        <v>838</v>
      </c>
      <c r="C114" s="48" t="s">
        <v>197</v>
      </c>
      <c r="D114" s="48"/>
      <c r="E114" s="5"/>
      <c r="F114" s="5"/>
      <c r="G114" s="5"/>
    </row>
    <row r="115" spans="1:26" ht="13">
      <c r="A115" s="48" t="s">
        <v>1127</v>
      </c>
      <c r="B115" s="49" t="s">
        <v>4314</v>
      </c>
      <c r="C115" s="48" t="s">
        <v>197</v>
      </c>
      <c r="D115" s="48"/>
      <c r="E115" s="51"/>
      <c r="F115" s="5"/>
      <c r="G115" s="5"/>
    </row>
    <row r="116" spans="1:26" ht="13">
      <c r="A116" s="48" t="s">
        <v>1128</v>
      </c>
      <c r="B116" s="49" t="s">
        <v>5088</v>
      </c>
      <c r="C116" s="48" t="s">
        <v>197</v>
      </c>
      <c r="D116" s="48"/>
      <c r="E116" s="51"/>
      <c r="F116" s="5"/>
      <c r="G116" s="5"/>
    </row>
    <row r="117" spans="1:26" ht="13">
      <c r="A117" s="48" t="s">
        <v>1129</v>
      </c>
      <c r="B117" s="49" t="s">
        <v>6503</v>
      </c>
      <c r="C117" s="48" t="s">
        <v>197</v>
      </c>
      <c r="D117" s="48"/>
      <c r="E117" s="51"/>
      <c r="F117" s="5"/>
      <c r="G117" s="5"/>
    </row>
    <row r="118" spans="1:26" ht="13">
      <c r="A118" s="48" t="s">
        <v>1130</v>
      </c>
      <c r="B118" s="49" t="s">
        <v>6504</v>
      </c>
      <c r="C118" s="48" t="s">
        <v>197</v>
      </c>
      <c r="D118" s="48"/>
      <c r="E118" s="51"/>
      <c r="F118" s="5"/>
      <c r="G118" s="5"/>
    </row>
    <row r="119" spans="1:26" ht="13">
      <c r="A119" s="107" t="s">
        <v>1131</v>
      </c>
      <c r="B119" s="108" t="s">
        <v>6742</v>
      </c>
      <c r="C119" s="97" t="s">
        <v>1013</v>
      </c>
      <c r="D119" s="107"/>
      <c r="E119" s="86"/>
      <c r="F119" s="88"/>
      <c r="G119" s="88"/>
    </row>
    <row r="120" spans="1:26" ht="13">
      <c r="A120" s="48" t="s">
        <v>6743</v>
      </c>
      <c r="B120" s="49" t="s">
        <v>6742</v>
      </c>
      <c r="C120" s="48" t="s">
        <v>1013</v>
      </c>
      <c r="D120" s="48"/>
      <c r="E120" s="5"/>
      <c r="F120" s="5"/>
      <c r="G120" s="51"/>
      <c r="J120" s="88"/>
      <c r="K120" s="88"/>
      <c r="L120" s="88"/>
      <c r="M120" s="88"/>
      <c r="N120" s="88"/>
      <c r="O120" s="88"/>
      <c r="P120" s="88"/>
      <c r="Q120" s="88"/>
      <c r="R120" s="88"/>
      <c r="S120" s="88"/>
      <c r="T120" s="88"/>
      <c r="U120" s="88"/>
      <c r="V120" s="88"/>
      <c r="W120" s="88"/>
      <c r="X120" s="88"/>
      <c r="Y120" s="88"/>
      <c r="Z120" s="88"/>
    </row>
    <row r="121" spans="1:26" ht="13">
      <c r="A121" s="48" t="s">
        <v>1132</v>
      </c>
      <c r="B121" s="49" t="s">
        <v>6744</v>
      </c>
      <c r="C121" s="48" t="s">
        <v>4114</v>
      </c>
      <c r="D121" s="48"/>
      <c r="E121" s="51"/>
      <c r="F121" s="5"/>
      <c r="G121" s="51"/>
    </row>
    <row r="122" spans="1:26" ht="13">
      <c r="A122" s="48" t="s">
        <v>1133</v>
      </c>
      <c r="B122" s="49" t="s">
        <v>4654</v>
      </c>
      <c r="C122" s="48" t="s">
        <v>4114</v>
      </c>
      <c r="D122" s="48"/>
      <c r="E122" s="5"/>
      <c r="F122" s="5"/>
      <c r="G122" s="5"/>
    </row>
    <row r="123" spans="1:26" ht="13">
      <c r="A123" s="48" t="s">
        <v>1134</v>
      </c>
      <c r="B123" s="49" t="s">
        <v>6745</v>
      </c>
      <c r="C123" s="48" t="s">
        <v>1013</v>
      </c>
      <c r="D123" s="48"/>
      <c r="E123" s="5"/>
      <c r="F123" s="5"/>
      <c r="G123" s="5"/>
    </row>
    <row r="124" spans="1:26" ht="13">
      <c r="A124" s="48" t="s">
        <v>6746</v>
      </c>
      <c r="B124" s="49" t="s">
        <v>6745</v>
      </c>
      <c r="C124" s="48" t="s">
        <v>1013</v>
      </c>
      <c r="D124" s="48"/>
      <c r="E124" s="5"/>
      <c r="F124" s="5"/>
      <c r="G124" s="51"/>
    </row>
    <row r="125" spans="1:26" ht="13">
      <c r="A125" s="48" t="s">
        <v>1135</v>
      </c>
      <c r="B125" s="49" t="s">
        <v>6747</v>
      </c>
      <c r="C125" s="48" t="s">
        <v>1013</v>
      </c>
      <c r="D125" s="48"/>
      <c r="E125" s="5"/>
      <c r="F125" s="5"/>
      <c r="G125" s="5"/>
    </row>
    <row r="126" spans="1:26" ht="13">
      <c r="A126" s="48" t="s">
        <v>6748</v>
      </c>
      <c r="B126" s="49" t="s">
        <v>6747</v>
      </c>
      <c r="C126" s="48" t="s">
        <v>1013</v>
      </c>
      <c r="D126" s="48"/>
      <c r="E126" s="51"/>
      <c r="F126" s="5"/>
      <c r="G126" s="5"/>
    </row>
    <row r="127" spans="1:26" ht="13">
      <c r="A127" s="48" t="s">
        <v>1136</v>
      </c>
      <c r="B127" s="49" t="s">
        <v>6749</v>
      </c>
      <c r="C127" s="48" t="s">
        <v>1013</v>
      </c>
      <c r="D127" s="48"/>
      <c r="E127" s="5"/>
      <c r="F127" s="5"/>
      <c r="G127" s="5"/>
    </row>
    <row r="128" spans="1:26" ht="13">
      <c r="A128" s="48" t="s">
        <v>1137</v>
      </c>
      <c r="B128" s="49" t="s">
        <v>6750</v>
      </c>
      <c r="C128" s="48" t="s">
        <v>229</v>
      </c>
      <c r="D128" s="48"/>
      <c r="E128" s="5"/>
      <c r="F128" s="5"/>
      <c r="G128" s="5"/>
    </row>
    <row r="129" spans="1:7" ht="13">
      <c r="A129" s="48" t="s">
        <v>1138</v>
      </c>
      <c r="B129" s="49" t="s">
        <v>6751</v>
      </c>
      <c r="C129" s="48" t="s">
        <v>1013</v>
      </c>
      <c r="D129" s="48"/>
      <c r="E129" s="51"/>
      <c r="F129" s="5"/>
      <c r="G129" s="5"/>
    </row>
    <row r="130" spans="1:7" ht="13">
      <c r="A130" s="48" t="s">
        <v>1139</v>
      </c>
      <c r="B130" s="49" t="s">
        <v>6752</v>
      </c>
      <c r="C130" s="48" t="s">
        <v>1013</v>
      </c>
      <c r="D130" s="48"/>
      <c r="E130" s="5"/>
      <c r="F130" s="5"/>
      <c r="G130" s="5"/>
    </row>
    <row r="131" spans="1:7" ht="13">
      <c r="A131" s="48" t="s">
        <v>1141</v>
      </c>
      <c r="B131" s="49" t="s">
        <v>6753</v>
      </c>
      <c r="C131" s="48" t="s">
        <v>229</v>
      </c>
      <c r="D131" s="48"/>
      <c r="E131" s="5"/>
      <c r="F131" s="5"/>
      <c r="G131" s="5"/>
    </row>
    <row r="132" spans="1:7" ht="13">
      <c r="A132" s="48" t="s">
        <v>1142</v>
      </c>
      <c r="B132" s="49" t="s">
        <v>6754</v>
      </c>
      <c r="C132" s="48" t="s">
        <v>4114</v>
      </c>
      <c r="D132" s="48"/>
      <c r="E132" s="5"/>
      <c r="F132" s="5"/>
      <c r="G132" s="5"/>
    </row>
    <row r="133" spans="1:7" ht="13">
      <c r="A133" s="48" t="s">
        <v>1143</v>
      </c>
      <c r="B133" s="49" t="s">
        <v>6755</v>
      </c>
      <c r="C133" s="48" t="s">
        <v>1013</v>
      </c>
      <c r="D133" s="48"/>
      <c r="E133" s="5"/>
      <c r="F133" s="5"/>
      <c r="G133" s="5"/>
    </row>
    <row r="134" spans="1:7" ht="13">
      <c r="A134" s="48" t="s">
        <v>1144</v>
      </c>
      <c r="B134" s="49" t="s">
        <v>925</v>
      </c>
      <c r="C134" s="48" t="s">
        <v>4114</v>
      </c>
      <c r="D134" s="48"/>
      <c r="E134" s="5"/>
      <c r="F134" s="5"/>
      <c r="G134" s="5"/>
    </row>
    <row r="135" spans="1:7" ht="13">
      <c r="A135" s="48" t="s">
        <v>1145</v>
      </c>
      <c r="B135" s="49" t="s">
        <v>6756</v>
      </c>
      <c r="C135" s="48" t="s">
        <v>4114</v>
      </c>
      <c r="D135" s="48"/>
      <c r="E135" s="5"/>
      <c r="F135" s="5"/>
      <c r="G135" s="5"/>
    </row>
    <row r="136" spans="1:7" ht="13">
      <c r="A136" s="48" t="s">
        <v>1146</v>
      </c>
      <c r="B136" s="49" t="s">
        <v>5435</v>
      </c>
      <c r="C136" s="48" t="s">
        <v>4114</v>
      </c>
      <c r="D136" s="48"/>
      <c r="E136" s="5"/>
      <c r="F136" s="5"/>
      <c r="G136" s="5"/>
    </row>
    <row r="137" spans="1:7" ht="13">
      <c r="A137" s="48" t="s">
        <v>1147</v>
      </c>
      <c r="B137" s="49" t="s">
        <v>6757</v>
      </c>
      <c r="C137" s="48" t="s">
        <v>1013</v>
      </c>
      <c r="D137" s="48"/>
      <c r="E137" s="5"/>
      <c r="F137" s="5"/>
      <c r="G137" s="5"/>
    </row>
    <row r="138" spans="1:7" ht="13">
      <c r="A138" s="48" t="s">
        <v>1148</v>
      </c>
      <c r="B138" s="49" t="s">
        <v>6758</v>
      </c>
      <c r="C138" s="48" t="s">
        <v>4114</v>
      </c>
      <c r="D138" s="48"/>
      <c r="E138" s="5"/>
      <c r="F138" s="5"/>
      <c r="G138" s="5"/>
    </row>
    <row r="139" spans="1:7" ht="13">
      <c r="A139" s="48" t="s">
        <v>1150</v>
      </c>
      <c r="B139" s="58" t="str">
        <f>HYPERLINK("https://bulbapedia.bulbagarden.net/wiki/Golisopod-GX_(Burning_Shadows_129)","GolisopodGX")</f>
        <v>GolisopodGX</v>
      </c>
      <c r="C139" s="48" t="s">
        <v>205</v>
      </c>
      <c r="D139" s="47"/>
      <c r="E139" s="5"/>
      <c r="F139" s="5"/>
      <c r="G139" s="5"/>
    </row>
    <row r="140" spans="1:7" ht="13">
      <c r="A140" s="48" t="s">
        <v>1151</v>
      </c>
      <c r="B140" s="58" t="str">
        <f>HYPERLINK("https://bulbapedia.bulbagarden.net/wiki/Tapu_Bulu-GX_(Burning_Shadows_130)","Tapu BuluGX")</f>
        <v>Tapu BuluGX</v>
      </c>
      <c r="C140" s="48" t="s">
        <v>205</v>
      </c>
      <c r="D140" s="47"/>
      <c r="E140" s="5"/>
      <c r="F140" s="5"/>
      <c r="G140" s="5"/>
    </row>
    <row r="141" spans="1:7" ht="13">
      <c r="A141" s="48" t="s">
        <v>1153</v>
      </c>
      <c r="B141" s="58" t="str">
        <f>HYPERLINK("https://bulbapedia.bulbagarden.net/wiki/Ho-Oh-GX_(Burning_Shadows_131)","Ho-OhGX")</f>
        <v>Ho-OhGX</v>
      </c>
      <c r="C141" s="48" t="s">
        <v>199</v>
      </c>
      <c r="D141" s="47"/>
      <c r="E141" s="5"/>
      <c r="F141" s="5"/>
      <c r="G141" s="5"/>
    </row>
    <row r="142" spans="1:7" ht="13">
      <c r="A142" s="48" t="s">
        <v>1155</v>
      </c>
      <c r="B142" s="58" t="str">
        <f>HYPERLINK("https://bulbapedia.bulbagarden.net/wiki/Salazzle-GX_(Burning_Shadows_132)","SalazzleGX")</f>
        <v>SalazzleGX</v>
      </c>
      <c r="C142" s="48" t="s">
        <v>199</v>
      </c>
      <c r="D142" s="47"/>
      <c r="E142" s="5"/>
      <c r="F142" s="5"/>
      <c r="G142" s="5"/>
    </row>
    <row r="143" spans="1:7" ht="13">
      <c r="A143" s="48" t="s">
        <v>1156</v>
      </c>
      <c r="B143" s="58" t="str">
        <f>HYPERLINK("https://bulbapedia.bulbagarden.net/wiki/Tapu_Fini-GX_(Burning_Shadows_133)","Tapu FiniGX")</f>
        <v>Tapu FiniGX</v>
      </c>
      <c r="C143" s="48" t="s">
        <v>208</v>
      </c>
      <c r="D143" s="47"/>
      <c r="E143" s="5"/>
      <c r="F143" s="5"/>
      <c r="G143" s="5"/>
    </row>
    <row r="144" spans="1:7" ht="13">
      <c r="A144" s="48" t="s">
        <v>1157</v>
      </c>
      <c r="B144" s="58" t="str">
        <f>HYPERLINK("https://bulbapedia.bulbagarden.net/wiki/Necrozma-GX_(Burning_Shadows_134)","NecrozmaGX")</f>
        <v>NecrozmaGX</v>
      </c>
      <c r="C144" s="48" t="s">
        <v>195</v>
      </c>
      <c r="D144" s="47"/>
      <c r="E144" s="5"/>
      <c r="F144" s="5"/>
      <c r="G144" s="5"/>
    </row>
    <row r="145" spans="1:7" ht="13">
      <c r="A145" s="48" t="s">
        <v>1158</v>
      </c>
      <c r="B145" s="58" t="str">
        <f>HYPERLINK("https://bulbapedia.bulbagarden.net/wiki/Machamp-GX_(Burning_Shadows_135)","MachampGX")</f>
        <v>MachampGX</v>
      </c>
      <c r="C145" s="48" t="s">
        <v>225</v>
      </c>
      <c r="D145" s="47"/>
      <c r="E145" s="5"/>
      <c r="F145" s="5"/>
      <c r="G145" s="5"/>
    </row>
    <row r="146" spans="1:7" ht="13">
      <c r="A146" s="48" t="s">
        <v>1159</v>
      </c>
      <c r="B146" s="58" t="str">
        <f>HYPERLINK("https://bulbapedia.bulbagarden.net/wiki/Lycanroc-GX_(Burning_Shadows_136)","LycanrocGX")</f>
        <v>LycanrocGX</v>
      </c>
      <c r="C146" s="48" t="s">
        <v>225</v>
      </c>
      <c r="D146" s="47"/>
      <c r="E146" s="5"/>
      <c r="F146" s="5"/>
      <c r="G146" s="5"/>
    </row>
    <row r="147" spans="1:7" ht="13">
      <c r="A147" s="48" t="s">
        <v>1160</v>
      </c>
      <c r="B147" s="58" t="str">
        <f>HYPERLINK("https://bulbapedia.bulbagarden.net/wiki/Marshadow-GX_(Burning_Shadows_137)","MarshadowGX")</f>
        <v>MarshadowGX</v>
      </c>
      <c r="C147" s="48" t="s">
        <v>225</v>
      </c>
      <c r="D147" s="47"/>
      <c r="E147" s="5"/>
      <c r="F147" s="5"/>
      <c r="G147" s="5"/>
    </row>
    <row r="148" spans="1:7" ht="13">
      <c r="A148" s="48" t="s">
        <v>1161</v>
      </c>
      <c r="B148" s="58" t="str">
        <f>HYPERLINK("https://bulbapedia.bulbagarden.net/wiki/Alolan_Muk-GX_(Burning_Shadows_138)","Alolan MukGX")</f>
        <v>Alolan MukGX</v>
      </c>
      <c r="C148" s="48" t="s">
        <v>808</v>
      </c>
      <c r="D148" s="47"/>
      <c r="E148" s="5"/>
      <c r="F148" s="5"/>
      <c r="G148" s="5"/>
    </row>
    <row r="149" spans="1:7" ht="13">
      <c r="A149" s="48" t="s">
        <v>1162</v>
      </c>
      <c r="B149" s="58" t="str">
        <f>HYPERLINK("https://bulbapedia.bulbagarden.net/wiki/Darkrai-GX_(Burning_Shadows_139)","DarkraiGX")</f>
        <v>DarkraiGX</v>
      </c>
      <c r="C149" s="48" t="s">
        <v>808</v>
      </c>
      <c r="D149" s="47"/>
      <c r="E149" s="5"/>
      <c r="F149" s="5"/>
      <c r="G149" s="5"/>
    </row>
    <row r="150" spans="1:7" ht="13">
      <c r="A150" s="48" t="s">
        <v>1164</v>
      </c>
      <c r="B150" s="58" t="str">
        <f>HYPERLINK("https://bulbapedia.bulbagarden.net/wiki/Gardevoir-GX_(Burning_Shadows_140)","GardevoirGX")</f>
        <v>GardevoirGX</v>
      </c>
      <c r="C150" s="48" t="s">
        <v>4743</v>
      </c>
      <c r="D150" s="47"/>
      <c r="E150" s="5"/>
      <c r="F150" s="5"/>
      <c r="G150" s="5"/>
    </row>
    <row r="151" spans="1:7" ht="13">
      <c r="A151" s="48" t="s">
        <v>1165</v>
      </c>
      <c r="B151" s="58" t="str">
        <f>HYPERLINK("https://bulbapedia.bulbagarden.net/wiki/Noivern-GX_(Burning_Shadows_141)","NoivernGX")</f>
        <v>NoivernGX</v>
      </c>
      <c r="C151" s="48" t="s">
        <v>4285</v>
      </c>
      <c r="D151" s="47"/>
      <c r="E151" s="5"/>
      <c r="F151" s="5"/>
      <c r="G151" s="5"/>
    </row>
    <row r="152" spans="1:7" ht="13">
      <c r="A152" s="48" t="s">
        <v>1166</v>
      </c>
      <c r="B152" s="49" t="s">
        <v>6742</v>
      </c>
      <c r="C152" s="48" t="s">
        <v>1013</v>
      </c>
      <c r="D152" s="47"/>
      <c r="E152" s="5"/>
      <c r="F152" s="5"/>
      <c r="G152" s="5"/>
    </row>
    <row r="153" spans="1:7" ht="13">
      <c r="A153" s="48" t="s">
        <v>1167</v>
      </c>
      <c r="B153" s="49" t="s">
        <v>6745</v>
      </c>
      <c r="C153" s="48" t="s">
        <v>1013</v>
      </c>
      <c r="D153" s="47"/>
      <c r="E153" s="5"/>
      <c r="F153" s="5"/>
      <c r="G153" s="5"/>
    </row>
    <row r="154" spans="1:7" ht="13">
      <c r="A154" s="48" t="s">
        <v>1168</v>
      </c>
      <c r="B154" s="49" t="s">
        <v>6747</v>
      </c>
      <c r="C154" s="48" t="s">
        <v>1013</v>
      </c>
      <c r="D154" s="48"/>
      <c r="E154" s="5"/>
      <c r="F154" s="5"/>
      <c r="G154" s="5"/>
    </row>
    <row r="155" spans="1:7" ht="13">
      <c r="A155" s="48" t="s">
        <v>1169</v>
      </c>
      <c r="B155" s="49" t="s">
        <v>6752</v>
      </c>
      <c r="C155" s="48" t="s">
        <v>1013</v>
      </c>
      <c r="D155" s="47"/>
      <c r="E155" s="5"/>
      <c r="F155" s="5"/>
      <c r="G155" s="5"/>
    </row>
    <row r="156" spans="1:7" ht="13">
      <c r="A156" s="48" t="s">
        <v>1171</v>
      </c>
      <c r="B156" s="49" t="s">
        <v>6755</v>
      </c>
      <c r="C156" s="48" t="s">
        <v>1013</v>
      </c>
      <c r="D156" s="47"/>
      <c r="E156" s="5"/>
      <c r="F156" s="5"/>
      <c r="G156" s="5"/>
    </row>
    <row r="157" spans="1:7" ht="13">
      <c r="A157" s="48" t="s">
        <v>1172</v>
      </c>
      <c r="B157" s="49" t="s">
        <v>6757</v>
      </c>
      <c r="C157" s="48" t="s">
        <v>1013</v>
      </c>
      <c r="D157" s="47"/>
      <c r="E157" s="5"/>
      <c r="F157" s="5"/>
      <c r="G157" s="5"/>
    </row>
    <row r="158" spans="1:7" ht="13">
      <c r="A158" s="48" t="s">
        <v>1174</v>
      </c>
      <c r="B158" s="58" t="str">
        <f>HYPERLINK("https://bulbapedia.bulbagarden.net/wiki/Golisopod-GX_(Burning_Shadows_148)","GolisopodGX")</f>
        <v>GolisopodGX</v>
      </c>
      <c r="C158" s="48" t="s">
        <v>205</v>
      </c>
      <c r="D158" s="47"/>
      <c r="E158" s="5"/>
      <c r="F158" s="5"/>
      <c r="G158" s="5"/>
    </row>
    <row r="159" spans="1:7" ht="13">
      <c r="A159" s="48" t="s">
        <v>1175</v>
      </c>
      <c r="B159" s="58" t="str">
        <f>HYPERLINK("https://bulbapedia.bulbagarden.net/wiki/Tapu_Bulu-GX_(Burning_Shadows_149)","Tapu BuluGX")</f>
        <v>Tapu BuluGX</v>
      </c>
      <c r="C159" s="48" t="s">
        <v>205</v>
      </c>
      <c r="D159" s="47"/>
      <c r="E159" s="5"/>
      <c r="F159" s="5"/>
      <c r="G159" s="5"/>
    </row>
    <row r="160" spans="1:7" ht="13">
      <c r="A160" s="48" t="s">
        <v>1176</v>
      </c>
      <c r="B160" s="58" t="str">
        <f>HYPERLINK("https://bulbapedia.bulbagarden.net/wiki/Charizard-GX_(Burning_Shadows_150)","CharizardGX")</f>
        <v>CharizardGX</v>
      </c>
      <c r="C160" s="48" t="s">
        <v>199</v>
      </c>
      <c r="D160" s="47"/>
      <c r="E160" s="5"/>
      <c r="F160" s="5"/>
      <c r="G160" s="5"/>
    </row>
    <row r="161" spans="1:7" ht="13">
      <c r="A161" s="48" t="s">
        <v>6759</v>
      </c>
      <c r="B161" s="58" t="str">
        <f>HYPERLINK("https://bulbapedia.bulbagarden.net/wiki/Salazzle-GX_(Burning_Shadows_151)","SalazzleGX")</f>
        <v>SalazzleGX</v>
      </c>
      <c r="C161" s="48" t="s">
        <v>199</v>
      </c>
      <c r="D161" s="47"/>
      <c r="E161" s="5"/>
      <c r="F161" s="5"/>
      <c r="G161" s="5"/>
    </row>
    <row r="162" spans="1:7" ht="13">
      <c r="A162" s="48" t="s">
        <v>6760</v>
      </c>
      <c r="B162" s="58" t="str">
        <f>HYPERLINK("https://bulbapedia.bulbagarden.net/wiki/Tapu_Fini-GX_(Burning_Shadows_152)","Tapu FiniGX")</f>
        <v>Tapu FiniGX</v>
      </c>
      <c r="C162" s="48" t="s">
        <v>208</v>
      </c>
      <c r="D162" s="47"/>
      <c r="E162" s="5"/>
      <c r="F162" s="5"/>
      <c r="G162" s="5"/>
    </row>
    <row r="163" spans="1:7" ht="13">
      <c r="A163" s="48" t="s">
        <v>6761</v>
      </c>
      <c r="B163" s="58" t="str">
        <f>HYPERLINK("https://bulbapedia.bulbagarden.net/wiki/Necrozma-GX_(Burning_Shadows_153)","NecrozmaGX")</f>
        <v>NecrozmaGX</v>
      </c>
      <c r="C163" s="48" t="s">
        <v>195</v>
      </c>
      <c r="D163" s="47"/>
      <c r="E163" s="5"/>
      <c r="F163" s="5"/>
      <c r="G163" s="5"/>
    </row>
    <row r="164" spans="1:7" ht="13">
      <c r="A164" s="48" t="s">
        <v>6762</v>
      </c>
      <c r="B164" s="58" t="str">
        <f>HYPERLINK("https://bulbapedia.bulbagarden.net/wiki/Machamp-GX_(Burning_Shadows_154)","MachampGX")</f>
        <v>MachampGX</v>
      </c>
      <c r="C164" s="48" t="s">
        <v>225</v>
      </c>
      <c r="D164" s="47"/>
      <c r="E164" s="5"/>
      <c r="F164" s="5"/>
      <c r="G164" s="5"/>
    </row>
    <row r="165" spans="1:7" ht="13">
      <c r="A165" s="48" t="s">
        <v>6763</v>
      </c>
      <c r="B165" s="58" t="str">
        <f>HYPERLINK("https://bulbapedia.bulbagarden.net/wiki/Lycanroc-GX_(Burning_Shadows_155)","LycanrocGX")</f>
        <v>LycanrocGX</v>
      </c>
      <c r="C165" s="48" t="s">
        <v>225</v>
      </c>
      <c r="D165" s="48"/>
      <c r="E165" s="5"/>
      <c r="F165" s="5"/>
      <c r="G165" s="5"/>
    </row>
    <row r="166" spans="1:7" ht="13">
      <c r="A166" s="48" t="s">
        <v>6764</v>
      </c>
      <c r="B166" s="58" t="str">
        <f>HYPERLINK("https://bulbapedia.bulbagarden.net/wiki/Marshadow-GX_(Burning_Shadows_156)","MarshadowGX")</f>
        <v>MarshadowGX</v>
      </c>
      <c r="C166" s="48" t="s">
        <v>225</v>
      </c>
      <c r="D166" s="47"/>
      <c r="E166" s="5"/>
      <c r="F166" s="5"/>
      <c r="G166" s="5"/>
    </row>
    <row r="167" spans="1:7" ht="13">
      <c r="A167" s="48" t="s">
        <v>6765</v>
      </c>
      <c r="B167" s="58" t="str">
        <f>HYPERLINK("https://bulbapedia.bulbagarden.net/wiki/Alolan_Muk-GX_(Burning_Shadows_157)","Alolan MukGX")</f>
        <v>Alolan MukGX</v>
      </c>
      <c r="C167" s="48" t="s">
        <v>808</v>
      </c>
      <c r="D167" s="48"/>
      <c r="E167" s="5"/>
      <c r="F167" s="5"/>
      <c r="G167" s="5"/>
    </row>
    <row r="168" spans="1:7" ht="13">
      <c r="A168" s="48" t="s">
        <v>6766</v>
      </c>
      <c r="B168" s="58" t="str">
        <f>HYPERLINK("https://bulbapedia.bulbagarden.net/wiki/Darkrai-GX_(Burning_Shadows_158)","DarkraiGX")</f>
        <v>DarkraiGX</v>
      </c>
      <c r="C168" s="48" t="s">
        <v>808</v>
      </c>
      <c r="D168" s="47"/>
      <c r="E168" s="5"/>
      <c r="F168" s="5"/>
      <c r="G168" s="5"/>
    </row>
    <row r="169" spans="1:7" ht="13">
      <c r="A169" s="48" t="s">
        <v>6767</v>
      </c>
      <c r="B169" s="58" t="str">
        <f>HYPERLINK("https://bulbapedia.bulbagarden.net/wiki/Gardevoir-GX_(Burning_Shadows_159)","GardevoirGX")</f>
        <v>GardevoirGX</v>
      </c>
      <c r="C169" s="48" t="s">
        <v>4743</v>
      </c>
      <c r="D169" s="47"/>
      <c r="E169" s="5"/>
      <c r="F169" s="5"/>
      <c r="G169" s="5"/>
    </row>
    <row r="170" spans="1:7" ht="13">
      <c r="A170" s="48" t="s">
        <v>6768</v>
      </c>
      <c r="B170" s="58" t="str">
        <f>HYPERLINK("https://bulbapedia.bulbagarden.net/wiki/Noivern-GX_(Burning_Shadows_160)","NoivernGX")</f>
        <v>NoivernGX</v>
      </c>
      <c r="C170" s="48" t="s">
        <v>4285</v>
      </c>
      <c r="D170" s="47"/>
      <c r="E170" s="5"/>
      <c r="F170" s="5"/>
      <c r="G170" s="5"/>
    </row>
    <row r="171" spans="1:7" ht="13">
      <c r="A171" s="48" t="s">
        <v>6769</v>
      </c>
      <c r="B171" s="49" t="s">
        <v>6744</v>
      </c>
      <c r="C171" s="48" t="s">
        <v>4114</v>
      </c>
      <c r="D171" s="47"/>
      <c r="E171" s="5"/>
      <c r="F171" s="5"/>
      <c r="G171" s="5"/>
    </row>
    <row r="172" spans="1:7" ht="13">
      <c r="A172" s="48" t="s">
        <v>6770</v>
      </c>
      <c r="B172" s="49" t="s">
        <v>6675</v>
      </c>
      <c r="C172" s="48" t="s">
        <v>4114</v>
      </c>
      <c r="D172" s="47"/>
      <c r="E172" s="5"/>
      <c r="F172" s="5"/>
      <c r="G172" s="5"/>
    </row>
    <row r="173" spans="1:7" ht="13">
      <c r="A173" s="48" t="s">
        <v>6771</v>
      </c>
      <c r="B173" s="49" t="s">
        <v>4654</v>
      </c>
      <c r="C173" s="48" t="s">
        <v>4114</v>
      </c>
      <c r="D173" s="47"/>
      <c r="E173" s="5"/>
      <c r="F173" s="5"/>
      <c r="G173" s="5"/>
    </row>
    <row r="174" spans="1:7" ht="13">
      <c r="A174" s="48" t="s">
        <v>6772</v>
      </c>
      <c r="B174" s="49" t="s">
        <v>6691</v>
      </c>
      <c r="C174" s="48" t="s">
        <v>4114</v>
      </c>
      <c r="D174" s="47"/>
      <c r="E174" s="5"/>
      <c r="F174" s="5"/>
      <c r="G174" s="5"/>
    </row>
    <row r="175" spans="1:7" ht="13">
      <c r="A175" s="48" t="s">
        <v>6773</v>
      </c>
      <c r="B175" s="49" t="s">
        <v>6693</v>
      </c>
      <c r="C175" s="48" t="s">
        <v>4114</v>
      </c>
      <c r="D175" s="47"/>
      <c r="E175" s="5"/>
      <c r="F175" s="5"/>
      <c r="G175" s="5"/>
    </row>
    <row r="176" spans="1:7" ht="13">
      <c r="A176" s="48" t="s">
        <v>6774</v>
      </c>
      <c r="B176" s="49" t="s">
        <v>925</v>
      </c>
      <c r="C176" s="48" t="s">
        <v>4114</v>
      </c>
      <c r="D176" s="47"/>
      <c r="E176" s="5"/>
      <c r="F176" s="5"/>
      <c r="G176" s="5"/>
    </row>
    <row r="177" spans="1:7" ht="13">
      <c r="A177" s="48" t="s">
        <v>6775</v>
      </c>
      <c r="B177" s="49" t="s">
        <v>5063</v>
      </c>
      <c r="C177" s="48" t="s">
        <v>317</v>
      </c>
      <c r="D177" s="47"/>
      <c r="E177" s="5"/>
      <c r="F177" s="5"/>
      <c r="G177" s="5"/>
    </row>
    <row r="178" spans="1:7" ht="13">
      <c r="A178" s="48" t="s">
        <v>6776</v>
      </c>
      <c r="B178" s="49" t="s">
        <v>933</v>
      </c>
      <c r="C178" s="48" t="s">
        <v>317</v>
      </c>
      <c r="D178" s="47"/>
      <c r="E178" s="5"/>
      <c r="F178" s="5"/>
      <c r="G178" s="5"/>
    </row>
    <row r="179" spans="1:7" ht="13">
      <c r="A179" s="48" t="s">
        <v>6777</v>
      </c>
      <c r="B179" s="49" t="s">
        <v>5068</v>
      </c>
      <c r="C179" s="48" t="s">
        <v>317</v>
      </c>
      <c r="D179" s="48"/>
      <c r="E179" s="5"/>
      <c r="F179" s="5"/>
      <c r="G179" s="5"/>
    </row>
    <row r="180" spans="1:7" ht="13">
      <c r="F180" s="5"/>
      <c r="G180" s="5"/>
    </row>
    <row r="181" spans="1:7" ht="13">
      <c r="C181" s="80"/>
      <c r="D181" s="5"/>
      <c r="E181" s="5"/>
      <c r="F181" s="5"/>
      <c r="G181" s="5"/>
    </row>
    <row r="182" spans="1:7" ht="13">
      <c r="C182" s="80"/>
      <c r="D182" s="5"/>
      <c r="E182" s="5"/>
      <c r="F182" s="5"/>
      <c r="G182" s="5"/>
    </row>
    <row r="183" spans="1:7" ht="13">
      <c r="C183" s="80"/>
      <c r="D183" s="5"/>
      <c r="E183" s="5"/>
      <c r="F183" s="5"/>
      <c r="G183" s="5"/>
    </row>
    <row r="184" spans="1:7" ht="13">
      <c r="C184" s="80"/>
      <c r="D184" s="5"/>
      <c r="E184" s="5"/>
      <c r="F184" s="5"/>
      <c r="G184" s="5"/>
    </row>
    <row r="185" spans="1:7" ht="13">
      <c r="C185" s="80"/>
      <c r="D185" s="5"/>
      <c r="E185" s="5"/>
      <c r="F185" s="5"/>
      <c r="G185" s="5"/>
    </row>
    <row r="186" spans="1:7" ht="13">
      <c r="C186" s="80"/>
      <c r="D186" s="5"/>
      <c r="E186" s="5"/>
      <c r="F186" s="5"/>
      <c r="G186" s="5"/>
    </row>
    <row r="187" spans="1:7" ht="13">
      <c r="C187" s="80"/>
      <c r="D187" s="5"/>
      <c r="E187" s="5"/>
      <c r="F187" s="5"/>
      <c r="G187" s="5"/>
    </row>
    <row r="188" spans="1:7" ht="13">
      <c r="C188" s="80"/>
      <c r="D188" s="5"/>
      <c r="E188" s="5"/>
      <c r="F188" s="5"/>
      <c r="G188" s="5"/>
    </row>
    <row r="189" spans="1:7" ht="13">
      <c r="C189" s="80"/>
      <c r="D189" s="5"/>
      <c r="E189" s="5"/>
      <c r="F189" s="5"/>
      <c r="G189" s="5"/>
    </row>
    <row r="190" spans="1:7" ht="13">
      <c r="C190" s="80"/>
      <c r="D190" s="5"/>
      <c r="E190" s="5"/>
      <c r="F190" s="5"/>
      <c r="G190" s="5"/>
    </row>
    <row r="191" spans="1:7" ht="13">
      <c r="C191" s="80"/>
      <c r="D191" s="5"/>
      <c r="E191" s="5"/>
      <c r="F191" s="5"/>
      <c r="G191" s="5"/>
    </row>
    <row r="192" spans="1:7" ht="13">
      <c r="C192" s="80"/>
      <c r="D192" s="5"/>
      <c r="E192" s="5"/>
      <c r="F192" s="5"/>
      <c r="G192" s="5"/>
    </row>
    <row r="193" spans="3:7" ht="13">
      <c r="C193" s="80"/>
      <c r="D193" s="5"/>
      <c r="E193" s="5"/>
      <c r="F193" s="5"/>
      <c r="G193" s="5"/>
    </row>
    <row r="194" spans="3:7" ht="13">
      <c r="C194" s="80"/>
      <c r="D194" s="5"/>
      <c r="E194" s="5"/>
      <c r="F194" s="5"/>
      <c r="G194" s="5"/>
    </row>
    <row r="195" spans="3:7" ht="13">
      <c r="C195" s="80"/>
      <c r="D195" s="5"/>
      <c r="E195" s="5"/>
      <c r="F195" s="5"/>
      <c r="G195" s="5"/>
    </row>
    <row r="196" spans="3:7" ht="13">
      <c r="C196" s="80"/>
      <c r="D196" s="5"/>
      <c r="E196" s="5"/>
      <c r="F196" s="5"/>
      <c r="G196" s="5"/>
    </row>
    <row r="197" spans="3:7" ht="13">
      <c r="C197" s="80"/>
      <c r="D197" s="5"/>
      <c r="E197" s="5"/>
      <c r="F197" s="5"/>
      <c r="G197" s="5"/>
    </row>
    <row r="198" spans="3:7" ht="13">
      <c r="C198" s="80"/>
      <c r="D198" s="5"/>
      <c r="E198" s="5"/>
      <c r="F198" s="5"/>
      <c r="G198" s="5"/>
    </row>
    <row r="199" spans="3:7" ht="13">
      <c r="C199" s="80"/>
      <c r="D199" s="5"/>
      <c r="E199" s="5"/>
      <c r="F199" s="5"/>
      <c r="G199" s="5"/>
    </row>
    <row r="200" spans="3:7" ht="13">
      <c r="C200" s="80"/>
      <c r="D200" s="5"/>
      <c r="E200" s="5"/>
      <c r="F200" s="5"/>
      <c r="G200" s="5"/>
    </row>
    <row r="201" spans="3:7" ht="13">
      <c r="C201" s="80"/>
      <c r="D201" s="5"/>
      <c r="E201" s="5"/>
      <c r="F201" s="5"/>
      <c r="G201" s="5"/>
    </row>
    <row r="202" spans="3:7" ht="13">
      <c r="C202" s="80"/>
      <c r="D202" s="5"/>
      <c r="E202" s="5"/>
      <c r="F202" s="5"/>
      <c r="G202" s="5"/>
    </row>
    <row r="203" spans="3:7" ht="13">
      <c r="C203" s="80"/>
      <c r="D203" s="5"/>
      <c r="E203" s="5"/>
      <c r="F203" s="5"/>
      <c r="G203" s="5"/>
    </row>
    <row r="204" spans="3:7" ht="13">
      <c r="C204" s="80"/>
      <c r="D204" s="5"/>
      <c r="E204" s="5"/>
      <c r="F204" s="5"/>
      <c r="G204" s="5"/>
    </row>
    <row r="205" spans="3:7" ht="13">
      <c r="C205" s="80"/>
      <c r="D205" s="5"/>
      <c r="E205" s="5"/>
      <c r="F205" s="5"/>
      <c r="G205" s="5"/>
    </row>
    <row r="206" spans="3:7" ht="13">
      <c r="C206" s="80"/>
      <c r="D206" s="5"/>
      <c r="E206" s="5"/>
      <c r="F206" s="5"/>
      <c r="G206" s="5"/>
    </row>
    <row r="207" spans="3:7" ht="13">
      <c r="C207" s="80"/>
      <c r="D207" s="5"/>
      <c r="E207" s="5"/>
      <c r="F207" s="5"/>
      <c r="G207" s="5"/>
    </row>
    <row r="208" spans="3:7" ht="13">
      <c r="C208" s="80"/>
      <c r="D208" s="5"/>
      <c r="E208" s="5"/>
      <c r="F208" s="5"/>
      <c r="G208" s="5"/>
    </row>
    <row r="209" spans="3:7" ht="13">
      <c r="C209" s="80"/>
      <c r="D209" s="5"/>
      <c r="E209" s="5"/>
      <c r="F209" s="5"/>
      <c r="G209" s="5"/>
    </row>
    <row r="210" spans="3:7" ht="13">
      <c r="C210" s="80"/>
      <c r="D210" s="5"/>
      <c r="E210" s="5"/>
      <c r="F210" s="5"/>
      <c r="G210" s="5"/>
    </row>
    <row r="211" spans="3:7" ht="13">
      <c r="C211" s="80"/>
      <c r="D211" s="5"/>
      <c r="E211" s="5"/>
      <c r="F211" s="5"/>
      <c r="G211" s="5"/>
    </row>
    <row r="212" spans="3:7" ht="13">
      <c r="C212" s="80"/>
      <c r="D212" s="5"/>
      <c r="E212" s="5"/>
      <c r="F212" s="5"/>
      <c r="G212" s="5"/>
    </row>
    <row r="213" spans="3:7" ht="13">
      <c r="C213" s="80"/>
      <c r="D213" s="5"/>
      <c r="E213" s="5"/>
      <c r="F213" s="5"/>
      <c r="G213" s="5"/>
    </row>
    <row r="214" spans="3:7" ht="13">
      <c r="C214" s="80"/>
      <c r="D214" s="5"/>
      <c r="E214" s="5"/>
      <c r="F214" s="5"/>
      <c r="G214" s="5"/>
    </row>
    <row r="215" spans="3:7" ht="13">
      <c r="C215" s="80"/>
      <c r="D215" s="5"/>
      <c r="E215" s="5"/>
      <c r="F215" s="5"/>
      <c r="G215" s="5"/>
    </row>
    <row r="216" spans="3:7" ht="13">
      <c r="C216" s="80"/>
      <c r="D216" s="5"/>
      <c r="E216" s="5"/>
      <c r="F216" s="5"/>
      <c r="G216" s="5"/>
    </row>
    <row r="217" spans="3:7" ht="13">
      <c r="C217" s="80"/>
      <c r="D217" s="5"/>
      <c r="E217" s="5"/>
      <c r="F217" s="5"/>
      <c r="G217" s="5"/>
    </row>
    <row r="218" spans="3:7" ht="13">
      <c r="C218" s="80"/>
      <c r="D218" s="5"/>
      <c r="E218" s="5"/>
      <c r="F218" s="5"/>
      <c r="G218" s="5"/>
    </row>
    <row r="219" spans="3:7" ht="13">
      <c r="C219" s="80"/>
      <c r="D219" s="5"/>
      <c r="E219" s="5"/>
      <c r="F219" s="5"/>
      <c r="G219" s="5"/>
    </row>
    <row r="220" spans="3:7" ht="13">
      <c r="C220" s="80"/>
      <c r="D220" s="5"/>
      <c r="E220" s="5"/>
      <c r="F220" s="5"/>
      <c r="G220" s="5"/>
    </row>
    <row r="221" spans="3:7" ht="13">
      <c r="C221" s="80"/>
      <c r="D221" s="5"/>
      <c r="E221" s="5"/>
      <c r="F221" s="5"/>
      <c r="G221" s="5"/>
    </row>
    <row r="222" spans="3:7" ht="13">
      <c r="C222" s="80"/>
      <c r="D222" s="5"/>
      <c r="E222" s="5"/>
      <c r="F222" s="5"/>
      <c r="G222" s="5"/>
    </row>
    <row r="223" spans="3:7" ht="13">
      <c r="C223" s="80"/>
      <c r="D223" s="5"/>
      <c r="E223" s="5"/>
      <c r="F223" s="5"/>
      <c r="G223" s="5"/>
    </row>
    <row r="224" spans="3:7" ht="13">
      <c r="C224" s="80"/>
      <c r="D224" s="5"/>
      <c r="E224" s="5"/>
      <c r="F224" s="5"/>
      <c r="G224" s="5"/>
    </row>
    <row r="225" spans="3:7" ht="13">
      <c r="C225" s="80"/>
      <c r="D225" s="5"/>
      <c r="E225" s="5"/>
      <c r="F225" s="5"/>
      <c r="G225" s="5"/>
    </row>
    <row r="226" spans="3:7" ht="13">
      <c r="C226" s="80"/>
      <c r="D226" s="5"/>
      <c r="E226" s="5"/>
      <c r="F226" s="5"/>
      <c r="G226" s="5"/>
    </row>
    <row r="227" spans="3:7" ht="13">
      <c r="C227" s="80"/>
      <c r="D227" s="5"/>
      <c r="E227" s="5"/>
      <c r="F227" s="5"/>
      <c r="G227" s="5"/>
    </row>
    <row r="228" spans="3:7" ht="13">
      <c r="C228" s="80"/>
      <c r="D228" s="5"/>
      <c r="E228" s="5"/>
      <c r="F228" s="5"/>
      <c r="G228" s="5"/>
    </row>
    <row r="229" spans="3:7" ht="13">
      <c r="C229" s="80"/>
      <c r="D229" s="5"/>
      <c r="E229" s="5"/>
      <c r="F229" s="5"/>
      <c r="G229" s="5"/>
    </row>
    <row r="230" spans="3:7" ht="13">
      <c r="C230" s="80"/>
      <c r="D230" s="5"/>
      <c r="E230" s="5"/>
      <c r="F230" s="5"/>
      <c r="G230" s="5"/>
    </row>
    <row r="231" spans="3:7" ht="13">
      <c r="C231" s="80"/>
      <c r="D231" s="5"/>
      <c r="E231" s="5"/>
      <c r="F231" s="5"/>
      <c r="G231" s="5"/>
    </row>
    <row r="232" spans="3:7" ht="13">
      <c r="C232" s="80"/>
      <c r="D232" s="5"/>
      <c r="E232" s="5"/>
      <c r="F232" s="5"/>
      <c r="G232" s="5"/>
    </row>
    <row r="233" spans="3:7" ht="13">
      <c r="C233" s="80"/>
      <c r="D233" s="5"/>
      <c r="E233" s="5"/>
      <c r="F233" s="5"/>
      <c r="G233" s="5"/>
    </row>
    <row r="234" spans="3:7" ht="13">
      <c r="C234" s="80"/>
      <c r="D234" s="5"/>
      <c r="E234" s="5"/>
      <c r="F234" s="5"/>
      <c r="G234" s="5"/>
    </row>
    <row r="235" spans="3:7" ht="13">
      <c r="C235" s="80"/>
      <c r="D235" s="5"/>
      <c r="E235" s="5"/>
      <c r="F235" s="5"/>
      <c r="G235" s="5"/>
    </row>
    <row r="236" spans="3:7" ht="13">
      <c r="C236" s="80"/>
      <c r="D236" s="5"/>
      <c r="E236" s="5"/>
      <c r="F236" s="5"/>
      <c r="G236" s="5"/>
    </row>
    <row r="237" spans="3:7" ht="13">
      <c r="C237" s="80"/>
      <c r="D237" s="5"/>
      <c r="E237" s="5"/>
      <c r="F237" s="5"/>
      <c r="G237" s="5"/>
    </row>
    <row r="238" spans="3:7" ht="13">
      <c r="C238" s="80"/>
      <c r="D238" s="5"/>
      <c r="E238" s="5"/>
      <c r="F238" s="5"/>
      <c r="G238" s="5"/>
    </row>
    <row r="239" spans="3:7" ht="13">
      <c r="C239" s="80"/>
      <c r="D239" s="5"/>
      <c r="E239" s="5"/>
      <c r="F239" s="5"/>
      <c r="G239" s="5"/>
    </row>
    <row r="240" spans="3:7" ht="13">
      <c r="C240" s="80"/>
      <c r="D240" s="5"/>
      <c r="E240" s="5"/>
      <c r="F240" s="5"/>
      <c r="G240" s="5"/>
    </row>
    <row r="241" spans="3:7" ht="13">
      <c r="C241" s="80"/>
      <c r="D241" s="5"/>
      <c r="E241" s="5"/>
      <c r="F241" s="5"/>
      <c r="G241" s="5"/>
    </row>
    <row r="242" spans="3:7" ht="13">
      <c r="C242" s="80"/>
      <c r="D242" s="5"/>
      <c r="E242" s="5"/>
      <c r="F242" s="5"/>
      <c r="G242" s="5"/>
    </row>
    <row r="243" spans="3:7" ht="13">
      <c r="C243" s="80"/>
      <c r="D243" s="5"/>
      <c r="E243" s="5"/>
      <c r="F243" s="5"/>
      <c r="G243" s="5"/>
    </row>
    <row r="244" spans="3:7" ht="13">
      <c r="C244" s="80"/>
      <c r="D244" s="5"/>
      <c r="E244" s="5"/>
      <c r="F244" s="5"/>
      <c r="G244" s="5"/>
    </row>
    <row r="245" spans="3:7" ht="13">
      <c r="C245" s="80"/>
      <c r="D245" s="5"/>
      <c r="E245" s="5"/>
      <c r="F245" s="5"/>
      <c r="G245" s="5"/>
    </row>
    <row r="246" spans="3:7" ht="13">
      <c r="C246" s="80"/>
      <c r="D246" s="5"/>
      <c r="E246" s="5"/>
      <c r="F246" s="5"/>
      <c r="G246" s="5"/>
    </row>
    <row r="247" spans="3:7" ht="13">
      <c r="C247" s="80"/>
      <c r="D247" s="5"/>
      <c r="E247" s="5"/>
      <c r="F247" s="5"/>
      <c r="G247" s="5"/>
    </row>
    <row r="248" spans="3:7" ht="13">
      <c r="C248" s="80"/>
      <c r="D248" s="5"/>
      <c r="E248" s="5"/>
      <c r="F248" s="5"/>
      <c r="G248" s="5"/>
    </row>
    <row r="249" spans="3:7" ht="13">
      <c r="C249" s="80"/>
      <c r="D249" s="5"/>
      <c r="E249" s="5"/>
      <c r="F249" s="5"/>
      <c r="G249" s="5"/>
    </row>
    <row r="250" spans="3:7" ht="13">
      <c r="C250" s="80"/>
      <c r="D250" s="5"/>
      <c r="E250" s="5"/>
      <c r="F250" s="5"/>
      <c r="G250" s="5"/>
    </row>
    <row r="251" spans="3:7" ht="13">
      <c r="C251" s="80"/>
      <c r="D251" s="5"/>
      <c r="E251" s="5"/>
      <c r="F251" s="5"/>
      <c r="G251" s="5"/>
    </row>
    <row r="252" spans="3:7" ht="13">
      <c r="C252" s="80"/>
      <c r="D252" s="5"/>
      <c r="E252" s="5"/>
      <c r="F252" s="5"/>
      <c r="G252" s="5"/>
    </row>
    <row r="253" spans="3:7" ht="13">
      <c r="C253" s="80"/>
      <c r="D253" s="5"/>
      <c r="E253" s="5"/>
      <c r="F253" s="5"/>
      <c r="G253" s="5"/>
    </row>
    <row r="254" spans="3:7" ht="13">
      <c r="C254" s="80"/>
      <c r="D254" s="5"/>
      <c r="E254" s="5"/>
      <c r="F254" s="5"/>
      <c r="G254" s="5"/>
    </row>
    <row r="255" spans="3:7" ht="13">
      <c r="C255" s="80"/>
      <c r="D255" s="5"/>
      <c r="E255" s="5"/>
      <c r="F255" s="5"/>
      <c r="G255" s="5"/>
    </row>
    <row r="256" spans="3:7" ht="13">
      <c r="C256" s="80"/>
      <c r="D256" s="5"/>
      <c r="E256" s="5"/>
      <c r="F256" s="5"/>
      <c r="G256" s="5"/>
    </row>
    <row r="257" spans="3:7" ht="13">
      <c r="C257" s="80"/>
      <c r="D257" s="5"/>
      <c r="E257" s="5"/>
      <c r="F257" s="5"/>
      <c r="G257" s="5"/>
    </row>
    <row r="258" spans="3:7" ht="13">
      <c r="C258" s="80"/>
      <c r="D258" s="5"/>
      <c r="E258" s="5"/>
      <c r="F258" s="5"/>
      <c r="G258" s="5"/>
    </row>
    <row r="259" spans="3:7" ht="13">
      <c r="C259" s="80"/>
      <c r="D259" s="5"/>
      <c r="E259" s="5"/>
      <c r="F259" s="5"/>
      <c r="G259" s="5"/>
    </row>
    <row r="260" spans="3:7" ht="13">
      <c r="C260" s="80"/>
      <c r="D260" s="5"/>
      <c r="E260" s="5"/>
      <c r="F260" s="5"/>
      <c r="G260" s="5"/>
    </row>
    <row r="261" spans="3:7" ht="13">
      <c r="C261" s="80"/>
      <c r="D261" s="5"/>
      <c r="E261" s="5"/>
      <c r="F261" s="5"/>
      <c r="G261" s="5"/>
    </row>
    <row r="262" spans="3:7" ht="13">
      <c r="C262" s="80"/>
      <c r="D262" s="5"/>
      <c r="E262" s="5"/>
      <c r="F262" s="5"/>
      <c r="G262" s="5"/>
    </row>
    <row r="263" spans="3:7" ht="13">
      <c r="C263" s="80"/>
      <c r="D263" s="5"/>
      <c r="E263" s="5"/>
      <c r="F263" s="5"/>
      <c r="G263" s="5"/>
    </row>
    <row r="264" spans="3:7" ht="13">
      <c r="C264" s="80"/>
      <c r="D264" s="5"/>
      <c r="E264" s="5"/>
      <c r="F264" s="5"/>
      <c r="G264" s="5"/>
    </row>
    <row r="265" spans="3:7" ht="13">
      <c r="C265" s="80"/>
      <c r="D265" s="5"/>
      <c r="E265" s="5"/>
      <c r="F265" s="5"/>
      <c r="G265" s="5"/>
    </row>
    <row r="266" spans="3:7" ht="13">
      <c r="C266" s="80"/>
      <c r="D266" s="5"/>
      <c r="E266" s="5"/>
      <c r="F266" s="5"/>
      <c r="G266" s="5"/>
    </row>
    <row r="267" spans="3:7" ht="13">
      <c r="C267" s="80"/>
      <c r="D267" s="5"/>
      <c r="E267" s="5"/>
      <c r="F267" s="5"/>
      <c r="G267" s="5"/>
    </row>
    <row r="268" spans="3:7" ht="13">
      <c r="C268" s="80"/>
      <c r="D268" s="5"/>
      <c r="E268" s="5"/>
      <c r="F268" s="5"/>
      <c r="G268" s="5"/>
    </row>
    <row r="269" spans="3:7" ht="13">
      <c r="C269" s="80"/>
      <c r="D269" s="5"/>
      <c r="E269" s="5"/>
      <c r="F269" s="5"/>
      <c r="G269" s="5"/>
    </row>
    <row r="270" spans="3:7" ht="13">
      <c r="C270" s="80"/>
      <c r="D270" s="5"/>
      <c r="E270" s="5"/>
      <c r="F270" s="5"/>
      <c r="G270" s="5"/>
    </row>
    <row r="271" spans="3:7" ht="13">
      <c r="C271" s="80"/>
      <c r="D271" s="5"/>
      <c r="E271" s="5"/>
      <c r="F271" s="5"/>
      <c r="G271" s="5"/>
    </row>
    <row r="272" spans="3:7" ht="13">
      <c r="C272" s="80"/>
      <c r="D272" s="5"/>
      <c r="E272" s="5"/>
      <c r="F272" s="5"/>
      <c r="G272" s="5"/>
    </row>
    <row r="273" spans="3:7" ht="13">
      <c r="C273" s="80"/>
      <c r="D273" s="5"/>
      <c r="E273" s="5"/>
      <c r="F273" s="5"/>
      <c r="G273" s="5"/>
    </row>
    <row r="274" spans="3:7" ht="13">
      <c r="C274" s="80"/>
      <c r="D274" s="5"/>
      <c r="E274" s="5"/>
      <c r="F274" s="5"/>
      <c r="G274" s="5"/>
    </row>
    <row r="275" spans="3:7" ht="13">
      <c r="C275" s="80"/>
      <c r="D275" s="5"/>
      <c r="E275" s="5"/>
      <c r="F275" s="5"/>
      <c r="G275" s="5"/>
    </row>
    <row r="276" spans="3:7" ht="13">
      <c r="C276" s="80"/>
      <c r="D276" s="5"/>
      <c r="E276" s="5"/>
      <c r="F276" s="5"/>
      <c r="G276" s="5"/>
    </row>
    <row r="277" spans="3:7" ht="13">
      <c r="C277" s="80"/>
      <c r="D277" s="5"/>
      <c r="E277" s="5"/>
      <c r="F277" s="5"/>
      <c r="G277" s="5"/>
    </row>
    <row r="278" spans="3:7" ht="13">
      <c r="C278" s="80"/>
      <c r="D278" s="5"/>
      <c r="E278" s="5"/>
      <c r="F278" s="5"/>
      <c r="G278" s="5"/>
    </row>
    <row r="279" spans="3:7" ht="13">
      <c r="C279" s="80"/>
      <c r="D279" s="5"/>
      <c r="E279" s="5"/>
      <c r="F279" s="5"/>
      <c r="G279" s="5"/>
    </row>
    <row r="280" spans="3:7" ht="13">
      <c r="C280" s="80"/>
      <c r="D280" s="5"/>
      <c r="E280" s="5"/>
      <c r="F280" s="5"/>
      <c r="G280" s="5"/>
    </row>
    <row r="281" spans="3:7" ht="13">
      <c r="C281" s="80"/>
      <c r="D281" s="5"/>
      <c r="E281" s="5"/>
      <c r="F281" s="5"/>
      <c r="G281" s="5"/>
    </row>
    <row r="282" spans="3:7" ht="13">
      <c r="C282" s="80"/>
      <c r="D282" s="5"/>
      <c r="E282" s="5"/>
      <c r="F282" s="5"/>
      <c r="G282" s="5"/>
    </row>
    <row r="283" spans="3:7" ht="13">
      <c r="C283" s="80"/>
      <c r="D283" s="5"/>
      <c r="E283" s="5"/>
      <c r="F283" s="5"/>
      <c r="G283" s="5"/>
    </row>
    <row r="284" spans="3:7" ht="13">
      <c r="C284" s="80"/>
      <c r="D284" s="5"/>
      <c r="E284" s="5"/>
      <c r="F284" s="5"/>
      <c r="G284" s="5"/>
    </row>
    <row r="285" spans="3:7" ht="13">
      <c r="C285" s="80"/>
      <c r="D285" s="5"/>
      <c r="E285" s="5"/>
      <c r="F285" s="5"/>
      <c r="G285" s="5"/>
    </row>
    <row r="286" spans="3:7" ht="13">
      <c r="C286" s="80"/>
      <c r="D286" s="5"/>
      <c r="E286" s="5"/>
      <c r="F286" s="5"/>
      <c r="G286" s="5"/>
    </row>
    <row r="287" spans="3:7" ht="13">
      <c r="C287" s="80"/>
      <c r="D287" s="5"/>
      <c r="E287" s="5"/>
      <c r="F287" s="5"/>
      <c r="G287" s="5"/>
    </row>
    <row r="288" spans="3:7" ht="13">
      <c r="C288" s="80"/>
      <c r="D288" s="5"/>
      <c r="E288" s="5"/>
      <c r="F288" s="5"/>
      <c r="G288" s="5"/>
    </row>
    <row r="289" spans="3:7" ht="13">
      <c r="C289" s="80"/>
      <c r="D289" s="5"/>
      <c r="E289" s="5"/>
      <c r="F289" s="5"/>
      <c r="G289" s="5"/>
    </row>
    <row r="290" spans="3:7" ht="13">
      <c r="C290" s="80"/>
      <c r="D290" s="5"/>
      <c r="E290" s="5"/>
      <c r="F290" s="5"/>
      <c r="G290" s="5"/>
    </row>
    <row r="291" spans="3:7" ht="13">
      <c r="C291" s="80"/>
      <c r="D291" s="5"/>
      <c r="E291" s="5"/>
      <c r="F291" s="5"/>
      <c r="G291" s="5"/>
    </row>
    <row r="292" spans="3:7" ht="13">
      <c r="C292" s="80"/>
      <c r="D292" s="5"/>
      <c r="E292" s="5"/>
      <c r="F292" s="5"/>
      <c r="G292" s="5"/>
    </row>
    <row r="293" spans="3:7" ht="13">
      <c r="C293" s="80"/>
      <c r="D293" s="5"/>
      <c r="E293" s="5"/>
      <c r="F293" s="5"/>
      <c r="G293" s="5"/>
    </row>
    <row r="294" spans="3:7" ht="13">
      <c r="C294" s="80"/>
      <c r="D294" s="5"/>
      <c r="E294" s="5"/>
      <c r="F294" s="5"/>
      <c r="G294" s="5"/>
    </row>
    <row r="295" spans="3:7" ht="13">
      <c r="C295" s="80"/>
      <c r="D295" s="5"/>
      <c r="E295" s="5"/>
      <c r="F295" s="5"/>
      <c r="G295" s="5"/>
    </row>
    <row r="296" spans="3:7" ht="13">
      <c r="C296" s="80"/>
      <c r="D296" s="5"/>
      <c r="E296" s="5"/>
      <c r="F296" s="5"/>
      <c r="G296" s="5"/>
    </row>
    <row r="297" spans="3:7" ht="13">
      <c r="C297" s="80"/>
      <c r="D297" s="5"/>
      <c r="E297" s="5"/>
      <c r="F297" s="5"/>
      <c r="G297" s="5"/>
    </row>
    <row r="298" spans="3:7" ht="13">
      <c r="C298" s="80"/>
      <c r="D298" s="5"/>
      <c r="E298" s="5"/>
      <c r="F298" s="5"/>
      <c r="G298" s="5"/>
    </row>
    <row r="299" spans="3:7" ht="13">
      <c r="C299" s="80"/>
      <c r="D299" s="5"/>
      <c r="E299" s="5"/>
      <c r="F299" s="5"/>
      <c r="G299" s="5"/>
    </row>
    <row r="300" spans="3:7" ht="13">
      <c r="C300" s="80"/>
      <c r="D300" s="5"/>
      <c r="E300" s="5"/>
      <c r="F300" s="5"/>
      <c r="G300" s="5"/>
    </row>
    <row r="301" spans="3:7" ht="13">
      <c r="C301" s="80"/>
      <c r="D301" s="5"/>
      <c r="E301" s="5"/>
      <c r="F301" s="5"/>
      <c r="G301" s="5"/>
    </row>
    <row r="302" spans="3:7" ht="13">
      <c r="C302" s="80"/>
      <c r="D302" s="5"/>
      <c r="E302" s="5"/>
      <c r="F302" s="5"/>
      <c r="G302" s="5"/>
    </row>
    <row r="303" spans="3:7" ht="13">
      <c r="C303" s="80"/>
      <c r="D303" s="5"/>
      <c r="E303" s="5"/>
      <c r="F303" s="5"/>
      <c r="G303" s="5"/>
    </row>
    <row r="304" spans="3:7" ht="13">
      <c r="C304" s="80"/>
      <c r="D304" s="5"/>
      <c r="E304" s="5"/>
      <c r="F304" s="5"/>
      <c r="G304" s="5"/>
    </row>
    <row r="305" spans="3:7" ht="13">
      <c r="C305" s="80"/>
      <c r="D305" s="5"/>
      <c r="E305" s="5"/>
      <c r="F305" s="5"/>
      <c r="G305" s="5"/>
    </row>
    <row r="306" spans="3:7" ht="13">
      <c r="C306" s="80"/>
      <c r="D306" s="5"/>
      <c r="E306" s="5"/>
      <c r="F306" s="5"/>
      <c r="G306" s="5"/>
    </row>
    <row r="307" spans="3:7" ht="13">
      <c r="C307" s="80"/>
      <c r="D307" s="5"/>
      <c r="E307" s="5"/>
      <c r="F307" s="5"/>
      <c r="G307" s="5"/>
    </row>
    <row r="308" spans="3:7" ht="13">
      <c r="C308" s="80"/>
      <c r="D308" s="5"/>
      <c r="E308" s="5"/>
      <c r="F308" s="5"/>
      <c r="G308" s="5"/>
    </row>
    <row r="309" spans="3:7" ht="13">
      <c r="C309" s="80"/>
      <c r="D309" s="5"/>
      <c r="E309" s="5"/>
      <c r="F309" s="5"/>
      <c r="G309" s="5"/>
    </row>
    <row r="310" spans="3:7" ht="13">
      <c r="C310" s="80"/>
      <c r="D310" s="5"/>
      <c r="E310" s="5"/>
      <c r="F310" s="5"/>
      <c r="G310" s="5"/>
    </row>
    <row r="311" spans="3:7" ht="13">
      <c r="C311" s="80"/>
      <c r="D311" s="5"/>
      <c r="E311" s="5"/>
      <c r="F311" s="5"/>
      <c r="G311" s="5"/>
    </row>
    <row r="312" spans="3:7" ht="13">
      <c r="C312" s="80"/>
      <c r="D312" s="5"/>
      <c r="E312" s="5"/>
      <c r="F312" s="5"/>
      <c r="G312" s="5"/>
    </row>
    <row r="313" spans="3:7" ht="13">
      <c r="C313" s="80"/>
      <c r="D313" s="5"/>
      <c r="E313" s="5"/>
      <c r="F313" s="5"/>
      <c r="G313" s="5"/>
    </row>
    <row r="314" spans="3:7" ht="13">
      <c r="C314" s="80"/>
      <c r="D314" s="5"/>
      <c r="E314" s="5"/>
      <c r="F314" s="5"/>
      <c r="G314" s="5"/>
    </row>
    <row r="315" spans="3:7" ht="13">
      <c r="C315" s="80"/>
      <c r="D315" s="5"/>
      <c r="E315" s="5"/>
      <c r="F315" s="5"/>
      <c r="G315" s="5"/>
    </row>
    <row r="316" spans="3:7" ht="13">
      <c r="C316" s="80"/>
      <c r="D316" s="5"/>
      <c r="E316" s="5"/>
      <c r="F316" s="5"/>
      <c r="G316" s="5"/>
    </row>
    <row r="317" spans="3:7" ht="13">
      <c r="C317" s="80"/>
      <c r="D317" s="5"/>
      <c r="E317" s="5"/>
      <c r="F317" s="5"/>
      <c r="G317" s="5"/>
    </row>
    <row r="318" spans="3:7" ht="13">
      <c r="C318" s="80"/>
      <c r="D318" s="5"/>
      <c r="E318" s="5"/>
      <c r="F318" s="5"/>
      <c r="G318" s="5"/>
    </row>
    <row r="319" spans="3:7" ht="13">
      <c r="C319" s="80"/>
      <c r="D319" s="5"/>
      <c r="E319" s="5"/>
      <c r="F319" s="5"/>
      <c r="G319" s="5"/>
    </row>
    <row r="320" spans="3:7" ht="13">
      <c r="C320" s="80"/>
      <c r="D320" s="5"/>
      <c r="E320" s="5"/>
      <c r="F320" s="5"/>
      <c r="G320" s="5"/>
    </row>
    <row r="321" spans="3:7" ht="13">
      <c r="C321" s="80"/>
      <c r="D321" s="5"/>
      <c r="E321" s="5"/>
      <c r="F321" s="5"/>
      <c r="G321" s="5"/>
    </row>
    <row r="322" spans="3:7" ht="13">
      <c r="C322" s="80"/>
      <c r="D322" s="5"/>
      <c r="E322" s="5"/>
      <c r="F322" s="5"/>
      <c r="G322" s="5"/>
    </row>
    <row r="323" spans="3:7" ht="13">
      <c r="C323" s="80"/>
      <c r="D323" s="5"/>
      <c r="E323" s="5"/>
      <c r="F323" s="5"/>
      <c r="G323" s="5"/>
    </row>
    <row r="324" spans="3:7" ht="13">
      <c r="C324" s="80"/>
      <c r="D324" s="5"/>
      <c r="E324" s="5"/>
      <c r="F324" s="5"/>
      <c r="G324" s="5"/>
    </row>
    <row r="325" spans="3:7" ht="13">
      <c r="C325" s="80"/>
      <c r="D325" s="5"/>
      <c r="E325" s="5"/>
      <c r="F325" s="5"/>
      <c r="G325" s="5"/>
    </row>
    <row r="326" spans="3:7" ht="13">
      <c r="C326" s="80"/>
      <c r="D326" s="5"/>
      <c r="E326" s="5"/>
      <c r="F326" s="5"/>
      <c r="G326" s="5"/>
    </row>
    <row r="327" spans="3:7" ht="13">
      <c r="C327" s="80"/>
      <c r="D327" s="5"/>
      <c r="E327" s="5"/>
      <c r="F327" s="5"/>
      <c r="G327" s="5"/>
    </row>
    <row r="328" spans="3:7" ht="13">
      <c r="C328" s="80"/>
      <c r="D328" s="5"/>
      <c r="E328" s="5"/>
      <c r="F328" s="5"/>
      <c r="G328" s="5"/>
    </row>
    <row r="329" spans="3:7" ht="13">
      <c r="C329" s="80"/>
      <c r="D329" s="5"/>
      <c r="E329" s="5"/>
      <c r="F329" s="5"/>
      <c r="G329" s="5"/>
    </row>
    <row r="330" spans="3:7" ht="13">
      <c r="C330" s="80"/>
      <c r="D330" s="5"/>
      <c r="E330" s="5"/>
      <c r="F330" s="5"/>
      <c r="G330" s="5"/>
    </row>
    <row r="331" spans="3:7" ht="13">
      <c r="C331" s="80"/>
      <c r="D331" s="5"/>
      <c r="E331" s="5"/>
      <c r="F331" s="5"/>
      <c r="G331" s="5"/>
    </row>
    <row r="332" spans="3:7" ht="13">
      <c r="C332" s="80"/>
      <c r="D332" s="5"/>
      <c r="E332" s="5"/>
      <c r="F332" s="5"/>
      <c r="G332" s="5"/>
    </row>
    <row r="333" spans="3:7" ht="13">
      <c r="C333" s="80"/>
      <c r="D333" s="5"/>
      <c r="E333" s="5"/>
      <c r="F333" s="5"/>
      <c r="G333" s="5"/>
    </row>
    <row r="334" spans="3:7" ht="13">
      <c r="C334" s="80"/>
      <c r="D334" s="5"/>
      <c r="E334" s="5"/>
      <c r="F334" s="5"/>
      <c r="G334" s="5"/>
    </row>
    <row r="335" spans="3:7" ht="13">
      <c r="C335" s="80"/>
      <c r="D335" s="5"/>
      <c r="E335" s="5"/>
      <c r="F335" s="5"/>
      <c r="G335" s="5"/>
    </row>
    <row r="336" spans="3:7" ht="13">
      <c r="C336" s="80"/>
      <c r="D336" s="5"/>
      <c r="E336" s="5"/>
      <c r="F336" s="5"/>
      <c r="G336" s="5"/>
    </row>
    <row r="337" spans="3:7" ht="13">
      <c r="C337" s="80"/>
      <c r="D337" s="5"/>
      <c r="E337" s="5"/>
      <c r="F337" s="5"/>
      <c r="G337" s="5"/>
    </row>
    <row r="338" spans="3:7" ht="13">
      <c r="C338" s="80"/>
      <c r="D338" s="5"/>
      <c r="E338" s="5"/>
      <c r="F338" s="5"/>
      <c r="G338" s="5"/>
    </row>
    <row r="339" spans="3:7" ht="13">
      <c r="C339" s="80"/>
      <c r="D339" s="5"/>
      <c r="E339" s="5"/>
      <c r="F339" s="5"/>
      <c r="G339" s="5"/>
    </row>
    <row r="340" spans="3:7" ht="13">
      <c r="C340" s="80"/>
      <c r="D340" s="5"/>
      <c r="E340" s="5"/>
      <c r="F340" s="5"/>
      <c r="G340" s="5"/>
    </row>
    <row r="341" spans="3:7" ht="13">
      <c r="C341" s="80"/>
      <c r="D341" s="5"/>
      <c r="E341" s="5"/>
      <c r="F341" s="5"/>
      <c r="G341" s="5"/>
    </row>
    <row r="342" spans="3:7" ht="13">
      <c r="C342" s="80"/>
      <c r="D342" s="5"/>
      <c r="E342" s="5"/>
      <c r="F342" s="5"/>
      <c r="G342" s="5"/>
    </row>
    <row r="343" spans="3:7" ht="13">
      <c r="C343" s="80"/>
      <c r="D343" s="5"/>
      <c r="E343" s="5"/>
      <c r="F343" s="5"/>
      <c r="G343" s="5"/>
    </row>
    <row r="344" spans="3:7" ht="13">
      <c r="C344" s="80"/>
      <c r="D344" s="5"/>
      <c r="E344" s="5"/>
      <c r="F344" s="5"/>
      <c r="G344" s="5"/>
    </row>
    <row r="345" spans="3:7" ht="13">
      <c r="C345" s="80"/>
      <c r="D345" s="5"/>
      <c r="E345" s="5"/>
      <c r="F345" s="5"/>
      <c r="G345" s="5"/>
    </row>
    <row r="346" spans="3:7" ht="13">
      <c r="C346" s="80"/>
      <c r="D346" s="5"/>
      <c r="E346" s="5"/>
      <c r="F346" s="5"/>
      <c r="G346" s="5"/>
    </row>
    <row r="347" spans="3:7" ht="13">
      <c r="C347" s="80"/>
      <c r="D347" s="5"/>
      <c r="E347" s="5"/>
      <c r="F347" s="5"/>
      <c r="G347" s="5"/>
    </row>
    <row r="348" spans="3:7" ht="13">
      <c r="C348" s="80"/>
      <c r="D348" s="5"/>
      <c r="E348" s="5"/>
      <c r="F348" s="5"/>
      <c r="G348" s="5"/>
    </row>
    <row r="349" spans="3:7" ht="13">
      <c r="C349" s="80"/>
      <c r="D349" s="5"/>
      <c r="E349" s="5"/>
      <c r="F349" s="5"/>
      <c r="G349" s="5"/>
    </row>
    <row r="350" spans="3:7" ht="13">
      <c r="C350" s="80"/>
      <c r="D350" s="5"/>
      <c r="E350" s="5"/>
      <c r="F350" s="5"/>
      <c r="G350" s="5"/>
    </row>
    <row r="351" spans="3:7" ht="13">
      <c r="C351" s="80"/>
      <c r="D351" s="5"/>
      <c r="E351" s="5"/>
      <c r="F351" s="5"/>
      <c r="G351" s="5"/>
    </row>
    <row r="352" spans="3:7" ht="13">
      <c r="C352" s="80"/>
      <c r="D352" s="5"/>
      <c r="E352" s="5"/>
      <c r="F352" s="5"/>
      <c r="G352" s="5"/>
    </row>
    <row r="353" spans="3:7" ht="13">
      <c r="C353" s="80"/>
      <c r="D353" s="5"/>
      <c r="E353" s="5"/>
      <c r="F353" s="5"/>
      <c r="G353" s="5"/>
    </row>
    <row r="354" spans="3:7" ht="13">
      <c r="C354" s="80"/>
      <c r="D354" s="5"/>
      <c r="E354" s="5"/>
      <c r="F354" s="5"/>
      <c r="G354" s="5"/>
    </row>
    <row r="355" spans="3:7" ht="13">
      <c r="C355" s="80"/>
      <c r="D355" s="5"/>
      <c r="E355" s="5"/>
      <c r="F355" s="5"/>
      <c r="G355" s="5"/>
    </row>
    <row r="356" spans="3:7" ht="13">
      <c r="C356" s="80"/>
      <c r="D356" s="5"/>
      <c r="E356" s="5"/>
      <c r="F356" s="5"/>
      <c r="G356" s="5"/>
    </row>
    <row r="357" spans="3:7" ht="13">
      <c r="C357" s="80"/>
      <c r="D357" s="5"/>
      <c r="E357" s="5"/>
      <c r="F357" s="5"/>
      <c r="G357" s="5"/>
    </row>
    <row r="358" spans="3:7" ht="13">
      <c r="C358" s="80"/>
      <c r="D358" s="5"/>
      <c r="E358" s="5"/>
      <c r="F358" s="5"/>
      <c r="G358" s="5"/>
    </row>
    <row r="359" spans="3:7" ht="13">
      <c r="C359" s="80"/>
      <c r="D359" s="5"/>
      <c r="E359" s="5"/>
      <c r="F359" s="5"/>
      <c r="G359" s="5"/>
    </row>
    <row r="360" spans="3:7" ht="13">
      <c r="C360" s="80"/>
      <c r="D360" s="5"/>
      <c r="E360" s="5"/>
      <c r="F360" s="5"/>
      <c r="G360" s="5"/>
    </row>
    <row r="361" spans="3:7" ht="13">
      <c r="C361" s="80"/>
      <c r="D361" s="5"/>
      <c r="E361" s="5"/>
      <c r="F361" s="5"/>
      <c r="G361" s="5"/>
    </row>
    <row r="362" spans="3:7" ht="13">
      <c r="C362" s="80"/>
      <c r="D362" s="5"/>
      <c r="E362" s="5"/>
      <c r="F362" s="5"/>
      <c r="G362" s="5"/>
    </row>
    <row r="363" spans="3:7" ht="13">
      <c r="C363" s="80"/>
      <c r="D363" s="5"/>
      <c r="E363" s="5"/>
      <c r="F363" s="5"/>
      <c r="G363" s="5"/>
    </row>
    <row r="364" spans="3:7" ht="13">
      <c r="C364" s="80"/>
      <c r="D364" s="5"/>
      <c r="E364" s="5"/>
      <c r="F364" s="5"/>
      <c r="G364" s="5"/>
    </row>
    <row r="365" spans="3:7" ht="13">
      <c r="C365" s="80"/>
      <c r="D365" s="5"/>
      <c r="E365" s="5"/>
      <c r="F365" s="5"/>
      <c r="G365" s="5"/>
    </row>
    <row r="366" spans="3:7" ht="13">
      <c r="C366" s="80"/>
      <c r="D366" s="5"/>
      <c r="E366" s="5"/>
      <c r="F366" s="5"/>
      <c r="G366" s="5"/>
    </row>
    <row r="367" spans="3:7" ht="13">
      <c r="C367" s="80"/>
      <c r="D367" s="5"/>
      <c r="E367" s="5"/>
      <c r="F367" s="5"/>
      <c r="G367" s="5"/>
    </row>
    <row r="368" spans="3:7" ht="13">
      <c r="C368" s="80"/>
      <c r="D368" s="5"/>
      <c r="E368" s="5"/>
      <c r="F368" s="5"/>
      <c r="G368" s="5"/>
    </row>
    <row r="369" spans="3:7" ht="13">
      <c r="C369" s="80"/>
      <c r="D369" s="5"/>
      <c r="E369" s="5"/>
      <c r="F369" s="5"/>
      <c r="G369" s="5"/>
    </row>
    <row r="370" spans="3:7" ht="13">
      <c r="C370" s="80"/>
      <c r="D370" s="5"/>
      <c r="E370" s="5"/>
      <c r="F370" s="5"/>
      <c r="G370" s="5"/>
    </row>
    <row r="371" spans="3:7" ht="13">
      <c r="C371" s="80"/>
      <c r="D371" s="5"/>
      <c r="E371" s="5"/>
      <c r="F371" s="5"/>
      <c r="G371" s="5"/>
    </row>
    <row r="372" spans="3:7" ht="13">
      <c r="C372" s="80"/>
      <c r="D372" s="5"/>
      <c r="E372" s="5"/>
      <c r="F372" s="5"/>
      <c r="G372" s="5"/>
    </row>
    <row r="373" spans="3:7" ht="13">
      <c r="C373" s="80"/>
      <c r="D373" s="5"/>
      <c r="E373" s="5"/>
      <c r="F373" s="5"/>
      <c r="G373" s="5"/>
    </row>
    <row r="374" spans="3:7" ht="13">
      <c r="C374" s="80"/>
      <c r="D374" s="5"/>
      <c r="E374" s="5"/>
      <c r="F374" s="5"/>
      <c r="G374" s="5"/>
    </row>
    <row r="375" spans="3:7" ht="13">
      <c r="C375" s="80"/>
      <c r="D375" s="5"/>
      <c r="E375" s="5"/>
      <c r="F375" s="5"/>
      <c r="G375" s="5"/>
    </row>
    <row r="376" spans="3:7" ht="13">
      <c r="C376" s="80"/>
      <c r="D376" s="5"/>
      <c r="E376" s="5"/>
      <c r="F376" s="5"/>
      <c r="G376" s="5"/>
    </row>
    <row r="377" spans="3:7" ht="13">
      <c r="C377" s="80"/>
      <c r="D377" s="5"/>
      <c r="E377" s="5"/>
      <c r="F377" s="5"/>
      <c r="G377" s="5"/>
    </row>
    <row r="378" spans="3:7" ht="13">
      <c r="C378" s="80"/>
      <c r="D378" s="5"/>
      <c r="E378" s="5"/>
      <c r="F378" s="5"/>
      <c r="G378" s="5"/>
    </row>
    <row r="379" spans="3:7" ht="13">
      <c r="C379" s="80"/>
      <c r="D379" s="5"/>
      <c r="E379" s="5"/>
      <c r="F379" s="5"/>
      <c r="G379" s="5"/>
    </row>
    <row r="380" spans="3:7" ht="13">
      <c r="C380" s="80"/>
      <c r="D380" s="5"/>
      <c r="E380" s="5"/>
      <c r="F380" s="5"/>
      <c r="G380" s="5"/>
    </row>
    <row r="381" spans="3:7" ht="13">
      <c r="C381" s="80"/>
      <c r="D381" s="5"/>
      <c r="E381" s="5"/>
      <c r="F381" s="5"/>
      <c r="G381" s="5"/>
    </row>
    <row r="382" spans="3:7" ht="13">
      <c r="C382" s="80"/>
      <c r="D382" s="5"/>
      <c r="E382" s="5"/>
      <c r="F382" s="5"/>
      <c r="G382" s="5"/>
    </row>
    <row r="383" spans="3:7" ht="13">
      <c r="C383" s="80"/>
      <c r="D383" s="5"/>
      <c r="E383" s="5"/>
      <c r="F383" s="5"/>
      <c r="G383" s="5"/>
    </row>
    <row r="384" spans="3:7" ht="13">
      <c r="C384" s="80"/>
      <c r="D384" s="5"/>
      <c r="E384" s="5"/>
      <c r="F384" s="5"/>
      <c r="G384" s="5"/>
    </row>
    <row r="385" spans="3:7" ht="13">
      <c r="C385" s="80"/>
      <c r="D385" s="5"/>
      <c r="E385" s="5"/>
      <c r="F385" s="5"/>
      <c r="G385" s="5"/>
    </row>
    <row r="386" spans="3:7" ht="13">
      <c r="C386" s="80"/>
      <c r="D386" s="5"/>
      <c r="E386" s="5"/>
      <c r="F386" s="5"/>
      <c r="G386" s="5"/>
    </row>
    <row r="387" spans="3:7" ht="13">
      <c r="C387" s="80"/>
      <c r="D387" s="5"/>
      <c r="E387" s="5"/>
      <c r="F387" s="5"/>
      <c r="G387" s="5"/>
    </row>
    <row r="388" spans="3:7" ht="13">
      <c r="C388" s="80"/>
      <c r="D388" s="5"/>
      <c r="E388" s="5"/>
      <c r="F388" s="5"/>
      <c r="G388" s="5"/>
    </row>
    <row r="389" spans="3:7" ht="13">
      <c r="C389" s="80"/>
      <c r="D389" s="5"/>
      <c r="E389" s="5"/>
      <c r="F389" s="5"/>
      <c r="G389" s="5"/>
    </row>
    <row r="390" spans="3:7" ht="13">
      <c r="C390" s="80"/>
      <c r="D390" s="5"/>
      <c r="E390" s="5"/>
      <c r="F390" s="5"/>
      <c r="G390" s="5"/>
    </row>
    <row r="391" spans="3:7" ht="13">
      <c r="C391" s="80"/>
      <c r="D391" s="5"/>
      <c r="E391" s="5"/>
      <c r="F391" s="5"/>
      <c r="G391" s="5"/>
    </row>
    <row r="392" spans="3:7" ht="13">
      <c r="C392" s="80"/>
      <c r="D392" s="5"/>
      <c r="E392" s="5"/>
      <c r="F392" s="5"/>
      <c r="G392" s="5"/>
    </row>
    <row r="393" spans="3:7" ht="13">
      <c r="C393" s="80"/>
      <c r="D393" s="5"/>
      <c r="E393" s="5"/>
      <c r="F393" s="5"/>
      <c r="G393" s="5"/>
    </row>
    <row r="394" spans="3:7" ht="13">
      <c r="C394" s="80"/>
      <c r="D394" s="5"/>
      <c r="E394" s="5"/>
      <c r="F394" s="5"/>
      <c r="G394" s="5"/>
    </row>
    <row r="395" spans="3:7" ht="13">
      <c r="C395" s="80"/>
      <c r="D395" s="5"/>
      <c r="E395" s="5"/>
      <c r="F395" s="5"/>
      <c r="G395" s="5"/>
    </row>
    <row r="396" spans="3:7" ht="13">
      <c r="C396" s="80"/>
      <c r="D396" s="5"/>
      <c r="E396" s="5"/>
      <c r="F396" s="5"/>
      <c r="G396" s="5"/>
    </row>
    <row r="397" spans="3:7" ht="13">
      <c r="C397" s="80"/>
      <c r="D397" s="5"/>
      <c r="E397" s="5"/>
      <c r="F397" s="5"/>
      <c r="G397" s="5"/>
    </row>
    <row r="398" spans="3:7" ht="13">
      <c r="C398" s="80"/>
      <c r="D398" s="5"/>
      <c r="E398" s="5"/>
      <c r="F398" s="5"/>
      <c r="G398" s="5"/>
    </row>
    <row r="399" spans="3:7" ht="13">
      <c r="C399" s="80"/>
      <c r="D399" s="5"/>
      <c r="E399" s="5"/>
      <c r="F399" s="5"/>
      <c r="G399" s="5"/>
    </row>
    <row r="400" spans="3:7" ht="13">
      <c r="C400" s="80"/>
      <c r="D400" s="5"/>
      <c r="E400" s="5"/>
      <c r="F400" s="5"/>
      <c r="G400" s="5"/>
    </row>
    <row r="401" spans="3:7" ht="13">
      <c r="C401" s="80"/>
      <c r="D401" s="5"/>
      <c r="E401" s="5"/>
      <c r="F401" s="5"/>
      <c r="G401" s="5"/>
    </row>
    <row r="402" spans="3:7" ht="13">
      <c r="C402" s="80"/>
      <c r="D402" s="5"/>
      <c r="E402" s="5"/>
      <c r="F402" s="5"/>
      <c r="G402" s="5"/>
    </row>
    <row r="403" spans="3:7" ht="13">
      <c r="C403" s="80"/>
      <c r="D403" s="5"/>
      <c r="E403" s="5"/>
      <c r="F403" s="5"/>
      <c r="G403" s="5"/>
    </row>
    <row r="404" spans="3:7" ht="13">
      <c r="C404" s="80"/>
      <c r="D404" s="5"/>
      <c r="E404" s="5"/>
      <c r="F404" s="5"/>
      <c r="G404" s="5"/>
    </row>
    <row r="405" spans="3:7" ht="13">
      <c r="C405" s="80"/>
      <c r="D405" s="5"/>
      <c r="E405" s="5"/>
      <c r="F405" s="5"/>
      <c r="G405" s="5"/>
    </row>
    <row r="406" spans="3:7" ht="13">
      <c r="C406" s="80"/>
      <c r="D406" s="5"/>
      <c r="E406" s="5"/>
      <c r="F406" s="5"/>
      <c r="G406" s="5"/>
    </row>
    <row r="407" spans="3:7" ht="13">
      <c r="C407" s="80"/>
      <c r="D407" s="5"/>
      <c r="E407" s="5"/>
      <c r="F407" s="5"/>
      <c r="G407" s="5"/>
    </row>
    <row r="408" spans="3:7" ht="13">
      <c r="C408" s="80"/>
      <c r="D408" s="5"/>
      <c r="E408" s="5"/>
      <c r="F408" s="5"/>
      <c r="G408" s="5"/>
    </row>
    <row r="409" spans="3:7" ht="13">
      <c r="C409" s="80"/>
      <c r="D409" s="5"/>
      <c r="E409" s="5"/>
      <c r="F409" s="5"/>
      <c r="G409" s="5"/>
    </row>
    <row r="410" spans="3:7" ht="13">
      <c r="C410" s="80"/>
      <c r="D410" s="5"/>
      <c r="E410" s="5"/>
      <c r="F410" s="5"/>
      <c r="G410" s="5"/>
    </row>
    <row r="411" spans="3:7" ht="13">
      <c r="C411" s="80"/>
      <c r="D411" s="5"/>
      <c r="E411" s="5"/>
      <c r="F411" s="5"/>
      <c r="G411" s="5"/>
    </row>
    <row r="412" spans="3:7" ht="13">
      <c r="C412" s="80"/>
      <c r="D412" s="5"/>
      <c r="E412" s="5"/>
      <c r="F412" s="5"/>
      <c r="G412" s="5"/>
    </row>
    <row r="413" spans="3:7" ht="13">
      <c r="C413" s="80"/>
      <c r="D413" s="5"/>
      <c r="E413" s="5"/>
      <c r="F413" s="5"/>
      <c r="G413" s="5"/>
    </row>
    <row r="414" spans="3:7" ht="13">
      <c r="C414" s="80"/>
      <c r="D414" s="5"/>
      <c r="E414" s="5"/>
      <c r="F414" s="5"/>
      <c r="G414" s="5"/>
    </row>
    <row r="415" spans="3:7" ht="13">
      <c r="C415" s="80"/>
      <c r="D415" s="5"/>
      <c r="E415" s="5"/>
      <c r="F415" s="5"/>
      <c r="G415" s="5"/>
    </row>
    <row r="416" spans="3:7" ht="13">
      <c r="C416" s="80"/>
      <c r="D416" s="5"/>
      <c r="E416" s="5"/>
      <c r="F416" s="5"/>
      <c r="G416" s="5"/>
    </row>
    <row r="417" spans="3:7" ht="13">
      <c r="C417" s="80"/>
      <c r="D417" s="5"/>
      <c r="E417" s="5"/>
      <c r="F417" s="5"/>
      <c r="G417" s="5"/>
    </row>
    <row r="418" spans="3:7" ht="13">
      <c r="C418" s="80"/>
      <c r="D418" s="5"/>
      <c r="E418" s="5"/>
      <c r="F418" s="5"/>
      <c r="G418" s="5"/>
    </row>
    <row r="419" spans="3:7" ht="13">
      <c r="C419" s="80"/>
      <c r="D419" s="5"/>
      <c r="E419" s="5"/>
      <c r="F419" s="5"/>
      <c r="G419" s="5"/>
    </row>
    <row r="420" spans="3:7" ht="13">
      <c r="C420" s="80"/>
      <c r="D420" s="5"/>
      <c r="E420" s="5"/>
      <c r="F420" s="5"/>
      <c r="G420" s="5"/>
    </row>
    <row r="421" spans="3:7" ht="13">
      <c r="C421" s="80"/>
      <c r="D421" s="5"/>
      <c r="E421" s="5"/>
      <c r="F421" s="5"/>
      <c r="G421" s="5"/>
    </row>
    <row r="422" spans="3:7" ht="13">
      <c r="C422" s="80"/>
      <c r="D422" s="5"/>
      <c r="E422" s="5"/>
      <c r="F422" s="5"/>
      <c r="G422" s="5"/>
    </row>
    <row r="423" spans="3:7" ht="13">
      <c r="C423" s="80"/>
      <c r="D423" s="5"/>
      <c r="E423" s="5"/>
      <c r="F423" s="5"/>
      <c r="G423" s="5"/>
    </row>
    <row r="424" spans="3:7" ht="13">
      <c r="C424" s="80"/>
      <c r="D424" s="5"/>
      <c r="E424" s="5"/>
      <c r="F424" s="5"/>
      <c r="G424" s="5"/>
    </row>
    <row r="425" spans="3:7" ht="13">
      <c r="C425" s="80"/>
      <c r="D425" s="5"/>
      <c r="E425" s="5"/>
      <c r="F425" s="5"/>
      <c r="G425" s="5"/>
    </row>
    <row r="426" spans="3:7" ht="13">
      <c r="C426" s="80"/>
      <c r="D426" s="5"/>
      <c r="E426" s="5"/>
      <c r="F426" s="5"/>
      <c r="G426" s="5"/>
    </row>
    <row r="427" spans="3:7" ht="13">
      <c r="C427" s="80"/>
      <c r="D427" s="5"/>
      <c r="E427" s="5"/>
      <c r="F427" s="5"/>
      <c r="G427" s="5"/>
    </row>
    <row r="428" spans="3:7" ht="13">
      <c r="C428" s="80"/>
      <c r="D428" s="5"/>
      <c r="E428" s="5"/>
      <c r="F428" s="5"/>
      <c r="G428" s="5"/>
    </row>
    <row r="429" spans="3:7" ht="13">
      <c r="C429" s="80"/>
      <c r="D429" s="5"/>
      <c r="E429" s="5"/>
      <c r="F429" s="5"/>
      <c r="G429" s="5"/>
    </row>
    <row r="430" spans="3:7" ht="13">
      <c r="C430" s="80"/>
      <c r="D430" s="5"/>
      <c r="E430" s="5"/>
      <c r="F430" s="5"/>
      <c r="G430" s="5"/>
    </row>
    <row r="431" spans="3:7" ht="13">
      <c r="C431" s="80"/>
      <c r="D431" s="5"/>
      <c r="E431" s="5"/>
      <c r="F431" s="5"/>
      <c r="G431" s="5"/>
    </row>
    <row r="432" spans="3:7" ht="13">
      <c r="C432" s="80"/>
      <c r="D432" s="5"/>
      <c r="E432" s="5"/>
      <c r="F432" s="5"/>
      <c r="G432" s="5"/>
    </row>
    <row r="433" spans="3:7" ht="13">
      <c r="C433" s="80"/>
      <c r="D433" s="5"/>
      <c r="E433" s="5"/>
      <c r="F433" s="5"/>
      <c r="G433" s="5"/>
    </row>
    <row r="434" spans="3:7" ht="13">
      <c r="C434" s="80"/>
      <c r="D434" s="5"/>
      <c r="E434" s="5"/>
      <c r="F434" s="5"/>
      <c r="G434" s="5"/>
    </row>
    <row r="435" spans="3:7" ht="13">
      <c r="C435" s="80"/>
      <c r="D435" s="5"/>
      <c r="E435" s="5"/>
      <c r="F435" s="5"/>
      <c r="G435" s="5"/>
    </row>
    <row r="436" spans="3:7" ht="13">
      <c r="C436" s="80"/>
      <c r="D436" s="5"/>
      <c r="E436" s="5"/>
      <c r="F436" s="5"/>
      <c r="G436" s="5"/>
    </row>
    <row r="437" spans="3:7" ht="13">
      <c r="C437" s="80"/>
      <c r="D437" s="5"/>
      <c r="E437" s="5"/>
      <c r="F437" s="5"/>
      <c r="G437" s="5"/>
    </row>
    <row r="438" spans="3:7" ht="13">
      <c r="C438" s="80"/>
      <c r="D438" s="5"/>
      <c r="E438" s="5"/>
      <c r="F438" s="5"/>
      <c r="G438" s="5"/>
    </row>
    <row r="439" spans="3:7" ht="13">
      <c r="C439" s="80"/>
      <c r="D439" s="5"/>
      <c r="E439" s="5"/>
      <c r="F439" s="5"/>
      <c r="G439" s="5"/>
    </row>
    <row r="440" spans="3:7" ht="13">
      <c r="C440" s="80"/>
      <c r="D440" s="5"/>
      <c r="E440" s="5"/>
      <c r="F440" s="5"/>
      <c r="G440" s="5"/>
    </row>
    <row r="441" spans="3:7" ht="13">
      <c r="C441" s="80"/>
      <c r="D441" s="5"/>
      <c r="E441" s="5"/>
      <c r="F441" s="5"/>
      <c r="G441" s="5"/>
    </row>
    <row r="442" spans="3:7" ht="13">
      <c r="C442" s="80"/>
      <c r="D442" s="5"/>
      <c r="E442" s="5"/>
      <c r="F442" s="5"/>
      <c r="G442" s="5"/>
    </row>
    <row r="443" spans="3:7" ht="13">
      <c r="C443" s="80"/>
      <c r="D443" s="5"/>
      <c r="E443" s="5"/>
      <c r="F443" s="5"/>
      <c r="G443" s="5"/>
    </row>
    <row r="444" spans="3:7" ht="13">
      <c r="C444" s="80"/>
      <c r="D444" s="5"/>
      <c r="E444" s="5"/>
      <c r="F444" s="5"/>
      <c r="G444" s="5"/>
    </row>
    <row r="445" spans="3:7" ht="13">
      <c r="C445" s="80"/>
      <c r="D445" s="5"/>
      <c r="E445" s="5"/>
      <c r="F445" s="5"/>
      <c r="G445" s="5"/>
    </row>
    <row r="446" spans="3:7" ht="13">
      <c r="C446" s="80"/>
      <c r="D446" s="5"/>
      <c r="E446" s="5"/>
      <c r="F446" s="5"/>
      <c r="G446" s="5"/>
    </row>
    <row r="447" spans="3:7" ht="13">
      <c r="C447" s="80"/>
      <c r="D447" s="5"/>
      <c r="E447" s="5"/>
      <c r="F447" s="5"/>
      <c r="G447" s="5"/>
    </row>
    <row r="448" spans="3:7" ht="13">
      <c r="C448" s="80"/>
      <c r="D448" s="5"/>
      <c r="E448" s="5"/>
      <c r="F448" s="5"/>
      <c r="G448" s="5"/>
    </row>
    <row r="449" spans="3:7" ht="13">
      <c r="C449" s="80"/>
      <c r="D449" s="5"/>
      <c r="E449" s="5"/>
      <c r="F449" s="5"/>
      <c r="G449" s="5"/>
    </row>
    <row r="450" spans="3:7" ht="13">
      <c r="C450" s="80"/>
      <c r="D450" s="5"/>
      <c r="E450" s="5"/>
      <c r="F450" s="5"/>
      <c r="G450" s="5"/>
    </row>
    <row r="451" spans="3:7" ht="13">
      <c r="C451" s="80"/>
      <c r="D451" s="5"/>
      <c r="E451" s="5"/>
      <c r="F451" s="5"/>
      <c r="G451" s="5"/>
    </row>
    <row r="452" spans="3:7" ht="13">
      <c r="C452" s="80"/>
      <c r="D452" s="5"/>
      <c r="E452" s="5"/>
      <c r="F452" s="5"/>
      <c r="G452" s="5"/>
    </row>
    <row r="453" spans="3:7" ht="13">
      <c r="C453" s="80"/>
      <c r="D453" s="5"/>
      <c r="E453" s="5"/>
      <c r="F453" s="5"/>
      <c r="G453" s="5"/>
    </row>
    <row r="454" spans="3:7" ht="13">
      <c r="C454" s="80"/>
      <c r="D454" s="5"/>
      <c r="E454" s="5"/>
      <c r="F454" s="5"/>
      <c r="G454" s="5"/>
    </row>
    <row r="455" spans="3:7" ht="13">
      <c r="C455" s="80"/>
      <c r="D455" s="5"/>
      <c r="E455" s="5"/>
      <c r="F455" s="5"/>
      <c r="G455" s="5"/>
    </row>
    <row r="456" spans="3:7" ht="13">
      <c r="C456" s="80"/>
      <c r="D456" s="5"/>
      <c r="E456" s="5"/>
      <c r="F456" s="5"/>
      <c r="G456" s="5"/>
    </row>
    <row r="457" spans="3:7" ht="13">
      <c r="C457" s="80"/>
      <c r="D457" s="5"/>
      <c r="E457" s="5"/>
      <c r="F457" s="5"/>
      <c r="G457" s="5"/>
    </row>
    <row r="458" spans="3:7" ht="13">
      <c r="C458" s="80"/>
      <c r="D458" s="5"/>
      <c r="E458" s="5"/>
      <c r="F458" s="5"/>
      <c r="G458" s="5"/>
    </row>
    <row r="459" spans="3:7" ht="13">
      <c r="C459" s="80"/>
      <c r="D459" s="5"/>
      <c r="E459" s="5"/>
      <c r="F459" s="5"/>
      <c r="G459" s="5"/>
    </row>
    <row r="460" spans="3:7" ht="13">
      <c r="C460" s="80"/>
      <c r="D460" s="5"/>
      <c r="E460" s="5"/>
      <c r="F460" s="5"/>
      <c r="G460" s="5"/>
    </row>
    <row r="461" spans="3:7" ht="13">
      <c r="C461" s="80"/>
      <c r="D461" s="5"/>
      <c r="E461" s="5"/>
      <c r="F461" s="5"/>
      <c r="G461" s="5"/>
    </row>
    <row r="462" spans="3:7" ht="13">
      <c r="C462" s="80"/>
      <c r="D462" s="5"/>
      <c r="E462" s="5"/>
      <c r="F462" s="5"/>
      <c r="G462" s="5"/>
    </row>
    <row r="463" spans="3:7" ht="13">
      <c r="C463" s="80"/>
      <c r="D463" s="5"/>
      <c r="E463" s="5"/>
      <c r="F463" s="5"/>
      <c r="G463" s="5"/>
    </row>
    <row r="464" spans="3:7" ht="13">
      <c r="C464" s="80"/>
      <c r="D464" s="5"/>
      <c r="E464" s="5"/>
      <c r="F464" s="5"/>
      <c r="G464" s="5"/>
    </row>
    <row r="465" spans="3:7" ht="13">
      <c r="C465" s="80"/>
      <c r="D465" s="5"/>
      <c r="E465" s="5"/>
      <c r="F465" s="5"/>
      <c r="G465" s="5"/>
    </row>
    <row r="466" spans="3:7" ht="13">
      <c r="C466" s="80"/>
      <c r="D466" s="5"/>
      <c r="E466" s="5"/>
      <c r="F466" s="5"/>
      <c r="G466" s="5"/>
    </row>
    <row r="467" spans="3:7" ht="13">
      <c r="C467" s="80"/>
      <c r="D467" s="5"/>
      <c r="E467" s="5"/>
      <c r="F467" s="5"/>
      <c r="G467" s="5"/>
    </row>
    <row r="468" spans="3:7" ht="13">
      <c r="C468" s="80"/>
      <c r="D468" s="5"/>
      <c r="E468" s="5"/>
      <c r="F468" s="5"/>
      <c r="G468" s="5"/>
    </row>
    <row r="469" spans="3:7" ht="13">
      <c r="C469" s="80"/>
      <c r="D469" s="5"/>
      <c r="E469" s="5"/>
      <c r="F469" s="5"/>
      <c r="G469" s="5"/>
    </row>
    <row r="470" spans="3:7" ht="13">
      <c r="C470" s="80"/>
      <c r="D470" s="5"/>
      <c r="E470" s="5"/>
      <c r="F470" s="5"/>
      <c r="G470" s="5"/>
    </row>
    <row r="471" spans="3:7" ht="13">
      <c r="C471" s="80"/>
      <c r="D471" s="5"/>
      <c r="E471" s="5"/>
      <c r="F471" s="5"/>
      <c r="G471" s="5"/>
    </row>
    <row r="472" spans="3:7" ht="13">
      <c r="C472" s="80"/>
      <c r="D472" s="5"/>
      <c r="E472" s="5"/>
      <c r="F472" s="5"/>
      <c r="G472" s="5"/>
    </row>
    <row r="473" spans="3:7" ht="13">
      <c r="C473" s="80"/>
      <c r="D473" s="5"/>
      <c r="E473" s="5"/>
      <c r="F473" s="5"/>
      <c r="G473" s="5"/>
    </row>
    <row r="474" spans="3:7" ht="13">
      <c r="C474" s="80"/>
      <c r="D474" s="5"/>
      <c r="E474" s="5"/>
      <c r="F474" s="5"/>
      <c r="G474" s="5"/>
    </row>
    <row r="475" spans="3:7" ht="13">
      <c r="C475" s="80"/>
      <c r="D475" s="5"/>
      <c r="E475" s="5"/>
      <c r="F475" s="5"/>
      <c r="G475" s="5"/>
    </row>
    <row r="476" spans="3:7" ht="13">
      <c r="C476" s="80"/>
      <c r="D476" s="5"/>
      <c r="E476" s="5"/>
      <c r="F476" s="5"/>
      <c r="G476" s="5"/>
    </row>
    <row r="477" spans="3:7" ht="13">
      <c r="C477" s="80"/>
      <c r="D477" s="5"/>
      <c r="E477" s="5"/>
      <c r="F477" s="5"/>
      <c r="G477" s="5"/>
    </row>
    <row r="478" spans="3:7" ht="13">
      <c r="C478" s="80"/>
      <c r="D478" s="5"/>
      <c r="E478" s="5"/>
      <c r="F478" s="5"/>
      <c r="G478" s="5"/>
    </row>
    <row r="479" spans="3:7" ht="13">
      <c r="C479" s="80"/>
      <c r="D479" s="5"/>
      <c r="E479" s="5"/>
      <c r="F479" s="5"/>
      <c r="G479" s="5"/>
    </row>
    <row r="480" spans="3:7" ht="13">
      <c r="C480" s="80"/>
      <c r="D480" s="5"/>
      <c r="E480" s="5"/>
      <c r="F480" s="5"/>
      <c r="G480" s="5"/>
    </row>
    <row r="481" spans="3:7" ht="13">
      <c r="C481" s="80"/>
      <c r="D481" s="5"/>
      <c r="E481" s="5"/>
      <c r="F481" s="5"/>
      <c r="G481" s="5"/>
    </row>
    <row r="482" spans="3:7" ht="13">
      <c r="C482" s="80"/>
      <c r="D482" s="5"/>
      <c r="E482" s="5"/>
      <c r="F482" s="5"/>
      <c r="G482" s="5"/>
    </row>
    <row r="483" spans="3:7" ht="13">
      <c r="C483" s="80"/>
      <c r="D483" s="5"/>
      <c r="E483" s="5"/>
      <c r="F483" s="5"/>
      <c r="G483" s="5"/>
    </row>
    <row r="484" spans="3:7" ht="13">
      <c r="C484" s="80"/>
      <c r="D484" s="5"/>
      <c r="E484" s="5"/>
      <c r="F484" s="5"/>
      <c r="G484" s="5"/>
    </row>
    <row r="485" spans="3:7" ht="13">
      <c r="C485" s="80"/>
      <c r="D485" s="5"/>
      <c r="E485" s="5"/>
      <c r="F485" s="5"/>
      <c r="G485" s="5"/>
    </row>
    <row r="486" spans="3:7" ht="13">
      <c r="C486" s="80"/>
      <c r="D486" s="5"/>
      <c r="E486" s="5"/>
      <c r="F486" s="5"/>
      <c r="G486" s="5"/>
    </row>
    <row r="487" spans="3:7" ht="13">
      <c r="C487" s="80"/>
      <c r="D487" s="5"/>
      <c r="E487" s="5"/>
      <c r="F487" s="5"/>
      <c r="G487" s="5"/>
    </row>
    <row r="488" spans="3:7" ht="13">
      <c r="C488" s="80"/>
      <c r="D488" s="5"/>
      <c r="E488" s="5"/>
      <c r="F488" s="5"/>
      <c r="G488" s="5"/>
    </row>
    <row r="489" spans="3:7" ht="13">
      <c r="C489" s="80"/>
      <c r="D489" s="5"/>
      <c r="E489" s="5"/>
      <c r="F489" s="5"/>
      <c r="G489" s="5"/>
    </row>
    <row r="490" spans="3:7" ht="13">
      <c r="C490" s="80"/>
      <c r="D490" s="5"/>
      <c r="E490" s="5"/>
      <c r="F490" s="5"/>
      <c r="G490" s="5"/>
    </row>
    <row r="491" spans="3:7" ht="13">
      <c r="C491" s="80"/>
      <c r="D491" s="5"/>
      <c r="E491" s="5"/>
      <c r="F491" s="5"/>
      <c r="G491" s="5"/>
    </row>
    <row r="492" spans="3:7" ht="13">
      <c r="C492" s="80"/>
      <c r="D492" s="5"/>
      <c r="E492" s="5"/>
      <c r="F492" s="5"/>
      <c r="G492" s="5"/>
    </row>
    <row r="493" spans="3:7" ht="13">
      <c r="C493" s="80"/>
      <c r="D493" s="5"/>
      <c r="E493" s="5"/>
      <c r="F493" s="5"/>
      <c r="G493" s="5"/>
    </row>
    <row r="494" spans="3:7" ht="13">
      <c r="C494" s="80"/>
      <c r="D494" s="5"/>
      <c r="E494" s="5"/>
      <c r="F494" s="5"/>
      <c r="G494" s="5"/>
    </row>
    <row r="495" spans="3:7" ht="13">
      <c r="C495" s="80"/>
      <c r="D495" s="5"/>
      <c r="E495" s="5"/>
      <c r="F495" s="5"/>
      <c r="G495" s="5"/>
    </row>
    <row r="496" spans="3:7" ht="13">
      <c r="C496" s="80"/>
      <c r="D496" s="5"/>
      <c r="E496" s="5"/>
      <c r="F496" s="5"/>
      <c r="G496" s="5"/>
    </row>
    <row r="497" spans="3:7" ht="13">
      <c r="C497" s="80"/>
      <c r="D497" s="5"/>
      <c r="E497" s="5"/>
      <c r="F497" s="5"/>
      <c r="G497" s="5"/>
    </row>
    <row r="498" spans="3:7" ht="13">
      <c r="C498" s="80"/>
      <c r="D498" s="5"/>
      <c r="E498" s="5"/>
      <c r="F498" s="5"/>
      <c r="G498" s="5"/>
    </row>
    <row r="499" spans="3:7" ht="13">
      <c r="C499" s="80"/>
      <c r="D499" s="5"/>
      <c r="E499" s="5"/>
      <c r="F499" s="5"/>
      <c r="G499" s="5"/>
    </row>
    <row r="500" spans="3:7" ht="13">
      <c r="C500" s="80"/>
      <c r="D500" s="5"/>
      <c r="E500" s="5"/>
      <c r="F500" s="5"/>
      <c r="G500" s="5"/>
    </row>
    <row r="501" spans="3:7" ht="13">
      <c r="C501" s="80"/>
      <c r="D501" s="5"/>
      <c r="E501" s="5"/>
      <c r="F501" s="5"/>
      <c r="G501" s="5"/>
    </row>
    <row r="502" spans="3:7" ht="13">
      <c r="C502" s="80"/>
      <c r="D502" s="5"/>
      <c r="E502" s="5"/>
      <c r="F502" s="5"/>
      <c r="G502" s="5"/>
    </row>
    <row r="503" spans="3:7" ht="13">
      <c r="C503" s="80"/>
      <c r="D503" s="5"/>
      <c r="E503" s="5"/>
      <c r="F503" s="5"/>
      <c r="G503" s="5"/>
    </row>
    <row r="504" spans="3:7" ht="13">
      <c r="C504" s="80"/>
      <c r="D504" s="5"/>
      <c r="E504" s="5"/>
      <c r="F504" s="5"/>
      <c r="G504" s="5"/>
    </row>
    <row r="505" spans="3:7" ht="13">
      <c r="C505" s="80"/>
      <c r="D505" s="5"/>
      <c r="E505" s="5"/>
      <c r="F505" s="5"/>
      <c r="G505" s="5"/>
    </row>
    <row r="506" spans="3:7" ht="13">
      <c r="C506" s="80"/>
      <c r="D506" s="5"/>
      <c r="E506" s="5"/>
      <c r="F506" s="5"/>
      <c r="G506" s="5"/>
    </row>
    <row r="507" spans="3:7" ht="13">
      <c r="C507" s="80"/>
      <c r="D507" s="5"/>
      <c r="E507" s="5"/>
      <c r="F507" s="5"/>
      <c r="G507" s="5"/>
    </row>
    <row r="508" spans="3:7" ht="13">
      <c r="C508" s="80"/>
      <c r="D508" s="5"/>
      <c r="E508" s="5"/>
      <c r="F508" s="5"/>
      <c r="G508" s="5"/>
    </row>
    <row r="509" spans="3:7" ht="13">
      <c r="C509" s="80"/>
      <c r="D509" s="5"/>
      <c r="E509" s="5"/>
      <c r="F509" s="5"/>
      <c r="G509" s="5"/>
    </row>
    <row r="510" spans="3:7" ht="13">
      <c r="C510" s="80"/>
      <c r="D510" s="5"/>
      <c r="E510" s="5"/>
      <c r="F510" s="5"/>
      <c r="G510" s="5"/>
    </row>
    <row r="511" spans="3:7" ht="13">
      <c r="C511" s="80"/>
      <c r="D511" s="5"/>
      <c r="E511" s="5"/>
      <c r="F511" s="5"/>
      <c r="G511" s="5"/>
    </row>
    <row r="512" spans="3:7" ht="13">
      <c r="C512" s="80"/>
      <c r="D512" s="5"/>
      <c r="E512" s="5"/>
      <c r="F512" s="5"/>
      <c r="G512" s="5"/>
    </row>
    <row r="513" spans="3:7" ht="13">
      <c r="C513" s="80"/>
      <c r="D513" s="5"/>
      <c r="E513" s="5"/>
      <c r="F513" s="5"/>
      <c r="G513" s="5"/>
    </row>
    <row r="514" spans="3:7" ht="13">
      <c r="C514" s="80"/>
      <c r="D514" s="5"/>
      <c r="E514" s="5"/>
      <c r="F514" s="5"/>
      <c r="G514" s="5"/>
    </row>
    <row r="515" spans="3:7" ht="13">
      <c r="C515" s="80"/>
      <c r="D515" s="5"/>
      <c r="E515" s="5"/>
      <c r="F515" s="5"/>
      <c r="G515" s="5"/>
    </row>
    <row r="516" spans="3:7" ht="13">
      <c r="C516" s="80"/>
      <c r="D516" s="5"/>
      <c r="E516" s="5"/>
      <c r="F516" s="5"/>
      <c r="G516" s="5"/>
    </row>
    <row r="517" spans="3:7" ht="13">
      <c r="C517" s="80"/>
      <c r="D517" s="5"/>
      <c r="E517" s="5"/>
      <c r="F517" s="5"/>
      <c r="G517" s="5"/>
    </row>
    <row r="518" spans="3:7" ht="13">
      <c r="C518" s="80"/>
      <c r="D518" s="5"/>
      <c r="E518" s="5"/>
      <c r="F518" s="5"/>
      <c r="G518" s="5"/>
    </row>
    <row r="519" spans="3:7" ht="13">
      <c r="C519" s="80"/>
      <c r="D519" s="5"/>
      <c r="E519" s="5"/>
      <c r="F519" s="5"/>
      <c r="G519" s="5"/>
    </row>
    <row r="520" spans="3:7" ht="13">
      <c r="C520" s="80"/>
      <c r="D520" s="5"/>
      <c r="E520" s="5"/>
      <c r="F520" s="5"/>
      <c r="G520" s="5"/>
    </row>
    <row r="521" spans="3:7" ht="13">
      <c r="C521" s="80"/>
      <c r="D521" s="5"/>
      <c r="E521" s="5"/>
      <c r="F521" s="5"/>
      <c r="G521" s="5"/>
    </row>
    <row r="522" spans="3:7" ht="13">
      <c r="C522" s="80"/>
      <c r="D522" s="5"/>
      <c r="E522" s="5"/>
      <c r="F522" s="5"/>
      <c r="G522" s="5"/>
    </row>
    <row r="523" spans="3:7" ht="13">
      <c r="C523" s="80"/>
      <c r="D523" s="5"/>
      <c r="E523" s="5"/>
      <c r="F523" s="5"/>
      <c r="G523" s="5"/>
    </row>
    <row r="524" spans="3:7" ht="13">
      <c r="C524" s="80"/>
      <c r="D524" s="5"/>
      <c r="E524" s="5"/>
      <c r="F524" s="5"/>
      <c r="G524" s="5"/>
    </row>
    <row r="525" spans="3:7" ht="13">
      <c r="C525" s="80"/>
      <c r="D525" s="5"/>
      <c r="E525" s="5"/>
      <c r="F525" s="5"/>
      <c r="G525" s="5"/>
    </row>
    <row r="526" spans="3:7" ht="13">
      <c r="C526" s="80"/>
      <c r="D526" s="5"/>
      <c r="E526" s="5"/>
      <c r="F526" s="5"/>
      <c r="G526" s="5"/>
    </row>
    <row r="527" spans="3:7" ht="13">
      <c r="C527" s="80"/>
      <c r="D527" s="5"/>
      <c r="E527" s="5"/>
      <c r="F527" s="5"/>
      <c r="G527" s="5"/>
    </row>
    <row r="528" spans="3:7" ht="13">
      <c r="C528" s="80"/>
      <c r="D528" s="5"/>
      <c r="E528" s="5"/>
      <c r="F528" s="5"/>
      <c r="G528" s="5"/>
    </row>
    <row r="529" spans="3:7" ht="13">
      <c r="C529" s="80"/>
      <c r="D529" s="5"/>
      <c r="E529" s="5"/>
      <c r="F529" s="5"/>
      <c r="G529" s="5"/>
    </row>
    <row r="530" spans="3:7" ht="13">
      <c r="C530" s="80"/>
      <c r="D530" s="5"/>
      <c r="E530" s="5"/>
      <c r="F530" s="5"/>
      <c r="G530" s="5"/>
    </row>
    <row r="531" spans="3:7" ht="13">
      <c r="C531" s="80"/>
      <c r="D531" s="5"/>
      <c r="E531" s="5"/>
      <c r="F531" s="5"/>
      <c r="G531" s="5"/>
    </row>
    <row r="532" spans="3:7" ht="13">
      <c r="C532" s="80"/>
      <c r="D532" s="5"/>
      <c r="E532" s="5"/>
      <c r="F532" s="5"/>
      <c r="G532" s="5"/>
    </row>
    <row r="533" spans="3:7" ht="13">
      <c r="C533" s="80"/>
      <c r="D533" s="5"/>
      <c r="E533" s="5"/>
      <c r="F533" s="5"/>
      <c r="G533" s="5"/>
    </row>
    <row r="534" spans="3:7" ht="13">
      <c r="C534" s="80"/>
      <c r="D534" s="5"/>
      <c r="E534" s="5"/>
      <c r="F534" s="5"/>
      <c r="G534" s="5"/>
    </row>
    <row r="535" spans="3:7" ht="13">
      <c r="C535" s="80"/>
      <c r="D535" s="5"/>
      <c r="E535" s="5"/>
      <c r="F535" s="5"/>
      <c r="G535" s="5"/>
    </row>
    <row r="536" spans="3:7" ht="13">
      <c r="C536" s="80"/>
      <c r="D536" s="5"/>
      <c r="E536" s="5"/>
      <c r="F536" s="5"/>
      <c r="G536" s="5"/>
    </row>
    <row r="537" spans="3:7" ht="13">
      <c r="C537" s="80"/>
      <c r="D537" s="5"/>
      <c r="E537" s="5"/>
      <c r="F537" s="5"/>
      <c r="G537" s="5"/>
    </row>
    <row r="538" spans="3:7" ht="13">
      <c r="C538" s="80"/>
      <c r="D538" s="5"/>
      <c r="E538" s="5"/>
      <c r="F538" s="5"/>
      <c r="G538" s="5"/>
    </row>
    <row r="539" spans="3:7" ht="13">
      <c r="C539" s="80"/>
      <c r="D539" s="5"/>
      <c r="E539" s="5"/>
      <c r="F539" s="5"/>
      <c r="G539" s="5"/>
    </row>
    <row r="540" spans="3:7" ht="13">
      <c r="C540" s="80"/>
      <c r="D540" s="5"/>
      <c r="E540" s="5"/>
      <c r="F540" s="5"/>
      <c r="G540" s="5"/>
    </row>
    <row r="541" spans="3:7" ht="13">
      <c r="C541" s="80"/>
      <c r="D541" s="5"/>
      <c r="E541" s="5"/>
      <c r="F541" s="5"/>
      <c r="G541" s="5"/>
    </row>
    <row r="542" spans="3:7" ht="13">
      <c r="C542" s="80"/>
      <c r="D542" s="5"/>
      <c r="E542" s="5"/>
      <c r="F542" s="5"/>
      <c r="G542" s="5"/>
    </row>
    <row r="543" spans="3:7" ht="13">
      <c r="C543" s="80"/>
      <c r="D543" s="5"/>
      <c r="E543" s="5"/>
      <c r="F543" s="5"/>
      <c r="G543" s="5"/>
    </row>
    <row r="544" spans="3:7" ht="13">
      <c r="C544" s="80"/>
      <c r="D544" s="5"/>
      <c r="E544" s="5"/>
      <c r="F544" s="5"/>
      <c r="G544" s="5"/>
    </row>
    <row r="545" spans="3:7" ht="13">
      <c r="C545" s="80"/>
      <c r="D545" s="5"/>
      <c r="E545" s="5"/>
      <c r="F545" s="5"/>
      <c r="G545" s="5"/>
    </row>
    <row r="546" spans="3:7" ht="13">
      <c r="C546" s="80"/>
      <c r="D546" s="5"/>
      <c r="E546" s="5"/>
      <c r="F546" s="5"/>
      <c r="G546" s="5"/>
    </row>
    <row r="547" spans="3:7" ht="13">
      <c r="C547" s="80"/>
      <c r="D547" s="5"/>
      <c r="E547" s="5"/>
      <c r="F547" s="5"/>
      <c r="G547" s="5"/>
    </row>
    <row r="548" spans="3:7" ht="13">
      <c r="C548" s="80"/>
      <c r="D548" s="5"/>
      <c r="E548" s="5"/>
      <c r="F548" s="5"/>
      <c r="G548" s="5"/>
    </row>
    <row r="549" spans="3:7" ht="13">
      <c r="C549" s="80"/>
      <c r="D549" s="5"/>
      <c r="E549" s="5"/>
      <c r="F549" s="5"/>
      <c r="G549" s="5"/>
    </row>
    <row r="550" spans="3:7" ht="13">
      <c r="C550" s="80"/>
      <c r="D550" s="5"/>
      <c r="E550" s="5"/>
      <c r="F550" s="5"/>
      <c r="G550" s="5"/>
    </row>
    <row r="551" spans="3:7" ht="13">
      <c r="C551" s="80"/>
      <c r="D551" s="5"/>
      <c r="E551" s="5"/>
      <c r="F551" s="5"/>
      <c r="G551" s="5"/>
    </row>
    <row r="552" spans="3:7" ht="13">
      <c r="C552" s="80"/>
      <c r="D552" s="5"/>
      <c r="E552" s="5"/>
      <c r="F552" s="5"/>
      <c r="G552" s="5"/>
    </row>
    <row r="553" spans="3:7" ht="13">
      <c r="C553" s="80"/>
      <c r="D553" s="5"/>
      <c r="E553" s="5"/>
      <c r="F553" s="5"/>
      <c r="G553" s="5"/>
    </row>
    <row r="554" spans="3:7" ht="13">
      <c r="C554" s="80"/>
      <c r="D554" s="5"/>
      <c r="E554" s="5"/>
      <c r="F554" s="5"/>
      <c r="G554" s="5"/>
    </row>
    <row r="555" spans="3:7" ht="13">
      <c r="C555" s="80"/>
      <c r="D555" s="5"/>
      <c r="E555" s="5"/>
      <c r="F555" s="5"/>
      <c r="G555" s="5"/>
    </row>
    <row r="556" spans="3:7" ht="13">
      <c r="C556" s="80"/>
      <c r="D556" s="5"/>
      <c r="E556" s="5"/>
      <c r="F556" s="5"/>
      <c r="G556" s="5"/>
    </row>
    <row r="557" spans="3:7" ht="13">
      <c r="C557" s="80"/>
      <c r="D557" s="5"/>
      <c r="E557" s="5"/>
      <c r="F557" s="5"/>
      <c r="G557" s="5"/>
    </row>
    <row r="558" spans="3:7" ht="13">
      <c r="C558" s="80"/>
      <c r="D558" s="5"/>
      <c r="E558" s="5"/>
      <c r="F558" s="5"/>
      <c r="G558" s="5"/>
    </row>
    <row r="559" spans="3:7" ht="13">
      <c r="C559" s="80"/>
      <c r="D559" s="5"/>
      <c r="E559" s="5"/>
      <c r="F559" s="5"/>
      <c r="G559" s="5"/>
    </row>
    <row r="560" spans="3:7" ht="13">
      <c r="C560" s="80"/>
      <c r="D560" s="5"/>
      <c r="E560" s="5"/>
      <c r="F560" s="5"/>
      <c r="G560" s="5"/>
    </row>
    <row r="561" spans="3:7" ht="13">
      <c r="C561" s="80"/>
      <c r="D561" s="5"/>
      <c r="E561" s="5"/>
      <c r="F561" s="5"/>
      <c r="G561" s="5"/>
    </row>
    <row r="562" spans="3:7" ht="13">
      <c r="C562" s="80"/>
      <c r="D562" s="5"/>
      <c r="E562" s="5"/>
      <c r="F562" s="5"/>
      <c r="G562" s="5"/>
    </row>
    <row r="563" spans="3:7" ht="13">
      <c r="C563" s="80"/>
      <c r="D563" s="5"/>
      <c r="E563" s="5"/>
      <c r="F563" s="5"/>
      <c r="G563" s="5"/>
    </row>
    <row r="564" spans="3:7" ht="13">
      <c r="C564" s="80"/>
      <c r="D564" s="5"/>
      <c r="E564" s="5"/>
      <c r="F564" s="5"/>
      <c r="G564" s="5"/>
    </row>
    <row r="565" spans="3:7" ht="13">
      <c r="C565" s="80"/>
      <c r="D565" s="5"/>
      <c r="E565" s="5"/>
      <c r="F565" s="5"/>
      <c r="G565" s="5"/>
    </row>
    <row r="566" spans="3:7" ht="13">
      <c r="C566" s="80"/>
      <c r="D566" s="5"/>
      <c r="E566" s="5"/>
      <c r="F566" s="5"/>
      <c r="G566" s="5"/>
    </row>
    <row r="567" spans="3:7" ht="13">
      <c r="C567" s="80"/>
      <c r="D567" s="5"/>
      <c r="E567" s="5"/>
      <c r="F567" s="5"/>
      <c r="G567" s="5"/>
    </row>
    <row r="568" spans="3:7" ht="13">
      <c r="C568" s="80"/>
      <c r="D568" s="5"/>
      <c r="E568" s="5"/>
      <c r="F568" s="5"/>
      <c r="G568" s="5"/>
    </row>
    <row r="569" spans="3:7" ht="13">
      <c r="C569" s="80"/>
      <c r="D569" s="5"/>
      <c r="E569" s="5"/>
      <c r="F569" s="5"/>
      <c r="G569" s="5"/>
    </row>
    <row r="570" spans="3:7" ht="13">
      <c r="C570" s="80"/>
      <c r="D570" s="5"/>
      <c r="E570" s="5"/>
      <c r="F570" s="5"/>
      <c r="G570" s="5"/>
    </row>
    <row r="571" spans="3:7" ht="13">
      <c r="C571" s="80"/>
      <c r="D571" s="5"/>
      <c r="E571" s="5"/>
      <c r="F571" s="5"/>
      <c r="G571" s="5"/>
    </row>
    <row r="572" spans="3:7" ht="13">
      <c r="C572" s="80"/>
      <c r="D572" s="5"/>
      <c r="E572" s="5"/>
      <c r="F572" s="5"/>
      <c r="G572" s="5"/>
    </row>
    <row r="573" spans="3:7" ht="13">
      <c r="C573" s="80"/>
      <c r="D573" s="5"/>
      <c r="E573" s="5"/>
      <c r="F573" s="5"/>
      <c r="G573" s="5"/>
    </row>
    <row r="574" spans="3:7" ht="13">
      <c r="C574" s="80"/>
      <c r="D574" s="5"/>
      <c r="E574" s="5"/>
      <c r="F574" s="5"/>
      <c r="G574" s="5"/>
    </row>
    <row r="575" spans="3:7" ht="13">
      <c r="C575" s="80"/>
      <c r="D575" s="5"/>
      <c r="E575" s="5"/>
      <c r="F575" s="5"/>
      <c r="G575" s="5"/>
    </row>
    <row r="576" spans="3:7" ht="13">
      <c r="C576" s="80"/>
      <c r="D576" s="5"/>
      <c r="E576" s="5"/>
      <c r="F576" s="5"/>
      <c r="G576" s="5"/>
    </row>
    <row r="577" spans="3:7" ht="13">
      <c r="C577" s="80"/>
      <c r="D577" s="5"/>
      <c r="E577" s="5"/>
      <c r="F577" s="5"/>
      <c r="G577" s="5"/>
    </row>
    <row r="578" spans="3:7" ht="13">
      <c r="C578" s="80"/>
      <c r="D578" s="5"/>
      <c r="E578" s="5"/>
      <c r="F578" s="5"/>
      <c r="G578" s="5"/>
    </row>
    <row r="579" spans="3:7" ht="13">
      <c r="C579" s="80"/>
      <c r="D579" s="5"/>
      <c r="E579" s="5"/>
      <c r="F579" s="5"/>
      <c r="G579" s="5"/>
    </row>
    <row r="580" spans="3:7" ht="13">
      <c r="C580" s="80"/>
      <c r="D580" s="5"/>
      <c r="E580" s="5"/>
      <c r="F580" s="5"/>
      <c r="G580" s="5"/>
    </row>
    <row r="581" spans="3:7" ht="13">
      <c r="C581" s="80"/>
      <c r="D581" s="5"/>
      <c r="E581" s="5"/>
      <c r="F581" s="5"/>
      <c r="G581" s="5"/>
    </row>
    <row r="582" spans="3:7" ht="13">
      <c r="C582" s="80"/>
      <c r="D582" s="5"/>
      <c r="E582" s="5"/>
      <c r="F582" s="5"/>
      <c r="G582" s="5"/>
    </row>
    <row r="583" spans="3:7" ht="13">
      <c r="C583" s="80"/>
      <c r="D583" s="5"/>
      <c r="E583" s="5"/>
      <c r="F583" s="5"/>
      <c r="G583" s="5"/>
    </row>
    <row r="584" spans="3:7" ht="13">
      <c r="C584" s="80"/>
      <c r="D584" s="5"/>
      <c r="E584" s="5"/>
      <c r="F584" s="5"/>
      <c r="G584" s="5"/>
    </row>
    <row r="585" spans="3:7" ht="13">
      <c r="C585" s="80"/>
      <c r="D585" s="5"/>
      <c r="E585" s="5"/>
      <c r="F585" s="5"/>
      <c r="G585" s="5"/>
    </row>
    <row r="586" spans="3:7" ht="13">
      <c r="C586" s="80"/>
      <c r="D586" s="5"/>
      <c r="E586" s="5"/>
      <c r="F586" s="5"/>
      <c r="G586" s="5"/>
    </row>
    <row r="587" spans="3:7" ht="13">
      <c r="C587" s="80"/>
      <c r="D587" s="5"/>
      <c r="E587" s="5"/>
      <c r="F587" s="5"/>
      <c r="G587" s="5"/>
    </row>
    <row r="588" spans="3:7" ht="13">
      <c r="C588" s="80"/>
      <c r="D588" s="5"/>
      <c r="E588" s="5"/>
      <c r="F588" s="5"/>
      <c r="G588" s="5"/>
    </row>
    <row r="589" spans="3:7" ht="13">
      <c r="C589" s="80"/>
      <c r="D589" s="5"/>
      <c r="E589" s="5"/>
      <c r="F589" s="5"/>
      <c r="G589" s="5"/>
    </row>
    <row r="590" spans="3:7" ht="13">
      <c r="C590" s="80"/>
      <c r="D590" s="5"/>
      <c r="E590" s="5"/>
      <c r="F590" s="5"/>
      <c r="G590" s="5"/>
    </row>
    <row r="591" spans="3:7" ht="13">
      <c r="C591" s="80"/>
      <c r="D591" s="5"/>
      <c r="E591" s="5"/>
      <c r="F591" s="5"/>
      <c r="G591" s="5"/>
    </row>
    <row r="592" spans="3:7" ht="13">
      <c r="C592" s="80"/>
      <c r="D592" s="5"/>
      <c r="E592" s="5"/>
      <c r="F592" s="5"/>
      <c r="G592" s="5"/>
    </row>
    <row r="593" spans="3:7" ht="13">
      <c r="C593" s="80"/>
      <c r="D593" s="5"/>
      <c r="E593" s="5"/>
      <c r="F593" s="5"/>
      <c r="G593" s="5"/>
    </row>
    <row r="594" spans="3:7" ht="13">
      <c r="C594" s="80"/>
      <c r="D594" s="5"/>
      <c r="E594" s="5"/>
      <c r="F594" s="5"/>
      <c r="G594" s="5"/>
    </row>
    <row r="595" spans="3:7" ht="13">
      <c r="C595" s="80"/>
      <c r="D595" s="5"/>
      <c r="E595" s="5"/>
      <c r="F595" s="5"/>
      <c r="G595" s="5"/>
    </row>
    <row r="596" spans="3:7" ht="13">
      <c r="C596" s="80"/>
      <c r="D596" s="5"/>
      <c r="E596" s="5"/>
      <c r="F596" s="5"/>
      <c r="G596" s="5"/>
    </row>
    <row r="597" spans="3:7" ht="13">
      <c r="C597" s="80"/>
      <c r="D597" s="5"/>
      <c r="E597" s="5"/>
      <c r="F597" s="5"/>
      <c r="G597" s="5"/>
    </row>
    <row r="598" spans="3:7" ht="13">
      <c r="C598" s="80"/>
      <c r="D598" s="5"/>
      <c r="E598" s="5"/>
      <c r="F598" s="5"/>
      <c r="G598" s="5"/>
    </row>
    <row r="599" spans="3:7" ht="13">
      <c r="C599" s="80"/>
      <c r="D599" s="5"/>
      <c r="E599" s="5"/>
      <c r="F599" s="5"/>
      <c r="G599" s="5"/>
    </row>
    <row r="600" spans="3:7" ht="13">
      <c r="C600" s="80"/>
      <c r="D600" s="5"/>
      <c r="E600" s="5"/>
      <c r="F600" s="5"/>
      <c r="G600" s="5"/>
    </row>
    <row r="601" spans="3:7" ht="13">
      <c r="C601" s="80"/>
      <c r="D601" s="5"/>
      <c r="E601" s="5"/>
      <c r="F601" s="5"/>
      <c r="G601" s="5"/>
    </row>
    <row r="602" spans="3:7" ht="13">
      <c r="C602" s="80"/>
      <c r="D602" s="5"/>
      <c r="E602" s="5"/>
      <c r="F602" s="5"/>
      <c r="G602" s="5"/>
    </row>
    <row r="603" spans="3:7" ht="13">
      <c r="C603" s="80"/>
      <c r="D603" s="5"/>
      <c r="E603" s="5"/>
      <c r="F603" s="5"/>
      <c r="G603" s="5"/>
    </row>
    <row r="604" spans="3:7" ht="13">
      <c r="C604" s="80"/>
      <c r="D604" s="5"/>
      <c r="E604" s="5"/>
      <c r="F604" s="5"/>
      <c r="G604" s="5"/>
    </row>
    <row r="605" spans="3:7" ht="13">
      <c r="C605" s="80"/>
      <c r="D605" s="5"/>
      <c r="E605" s="5"/>
      <c r="F605" s="5"/>
      <c r="G605" s="5"/>
    </row>
    <row r="606" spans="3:7" ht="13">
      <c r="C606" s="80"/>
      <c r="D606" s="5"/>
      <c r="E606" s="5"/>
      <c r="F606" s="5"/>
      <c r="G606" s="5"/>
    </row>
    <row r="607" spans="3:7" ht="13">
      <c r="C607" s="80"/>
      <c r="D607" s="5"/>
      <c r="E607" s="5"/>
      <c r="F607" s="5"/>
      <c r="G607" s="5"/>
    </row>
    <row r="608" spans="3:7" ht="13">
      <c r="C608" s="80"/>
      <c r="D608" s="5"/>
      <c r="E608" s="5"/>
      <c r="F608" s="5"/>
      <c r="G608" s="5"/>
    </row>
    <row r="609" spans="3:7" ht="13">
      <c r="C609" s="80"/>
      <c r="D609" s="5"/>
      <c r="E609" s="5"/>
      <c r="F609" s="5"/>
      <c r="G609" s="5"/>
    </row>
    <row r="610" spans="3:7" ht="13">
      <c r="C610" s="80"/>
      <c r="D610" s="5"/>
      <c r="E610" s="5"/>
      <c r="F610" s="5"/>
      <c r="G610" s="5"/>
    </row>
    <row r="611" spans="3:7" ht="13">
      <c r="C611" s="80"/>
      <c r="D611" s="5"/>
      <c r="E611" s="5"/>
      <c r="F611" s="5"/>
      <c r="G611" s="5"/>
    </row>
    <row r="612" spans="3:7" ht="13">
      <c r="C612" s="80"/>
      <c r="D612" s="5"/>
      <c r="E612" s="5"/>
      <c r="F612" s="5"/>
      <c r="G612" s="5"/>
    </row>
    <row r="613" spans="3:7" ht="13">
      <c r="C613" s="80"/>
      <c r="D613" s="5"/>
      <c r="E613" s="5"/>
      <c r="F613" s="5"/>
      <c r="G613" s="5"/>
    </row>
    <row r="614" spans="3:7" ht="13">
      <c r="C614" s="80"/>
      <c r="D614" s="5"/>
      <c r="E614" s="5"/>
      <c r="F614" s="5"/>
      <c r="G614" s="5"/>
    </row>
    <row r="615" spans="3:7" ht="13">
      <c r="C615" s="80"/>
      <c r="D615" s="5"/>
      <c r="E615" s="5"/>
      <c r="F615" s="5"/>
      <c r="G615" s="5"/>
    </row>
    <row r="616" spans="3:7" ht="13">
      <c r="C616" s="80"/>
      <c r="D616" s="5"/>
      <c r="E616" s="5"/>
      <c r="F616" s="5"/>
      <c r="G616" s="5"/>
    </row>
    <row r="617" spans="3:7" ht="13">
      <c r="C617" s="80"/>
      <c r="D617" s="5"/>
      <c r="E617" s="5"/>
      <c r="F617" s="5"/>
      <c r="G617" s="5"/>
    </row>
    <row r="618" spans="3:7" ht="13">
      <c r="C618" s="80"/>
      <c r="D618" s="5"/>
      <c r="E618" s="5"/>
      <c r="F618" s="5"/>
      <c r="G618" s="5"/>
    </row>
    <row r="619" spans="3:7" ht="13">
      <c r="C619" s="80"/>
      <c r="D619" s="5"/>
      <c r="E619" s="5"/>
      <c r="F619" s="5"/>
      <c r="G619" s="5"/>
    </row>
    <row r="620" spans="3:7" ht="13">
      <c r="C620" s="80"/>
      <c r="D620" s="5"/>
      <c r="E620" s="5"/>
      <c r="F620" s="5"/>
      <c r="G620" s="5"/>
    </row>
    <row r="621" spans="3:7" ht="13">
      <c r="C621" s="80"/>
      <c r="D621" s="5"/>
      <c r="E621" s="5"/>
      <c r="F621" s="5"/>
      <c r="G621" s="5"/>
    </row>
    <row r="622" spans="3:7" ht="13">
      <c r="C622" s="80"/>
      <c r="D622" s="5"/>
      <c r="E622" s="5"/>
      <c r="F622" s="5"/>
      <c r="G622" s="5"/>
    </row>
    <row r="623" spans="3:7" ht="13">
      <c r="C623" s="80"/>
      <c r="D623" s="5"/>
      <c r="E623" s="5"/>
      <c r="F623" s="5"/>
      <c r="G623" s="5"/>
    </row>
    <row r="624" spans="3:7" ht="13">
      <c r="C624" s="80"/>
      <c r="D624" s="5"/>
      <c r="E624" s="5"/>
      <c r="F624" s="5"/>
      <c r="G624" s="5"/>
    </row>
    <row r="625" spans="3:7" ht="13">
      <c r="C625" s="80"/>
      <c r="D625" s="5"/>
      <c r="E625" s="5"/>
      <c r="F625" s="5"/>
      <c r="G625" s="5"/>
    </row>
    <row r="626" spans="3:7" ht="13">
      <c r="C626" s="80"/>
      <c r="D626" s="5"/>
      <c r="E626" s="5"/>
      <c r="F626" s="5"/>
      <c r="G626" s="5"/>
    </row>
    <row r="627" spans="3:7" ht="13">
      <c r="C627" s="80"/>
      <c r="D627" s="5"/>
      <c r="E627" s="5"/>
      <c r="F627" s="5"/>
      <c r="G627" s="5"/>
    </row>
    <row r="628" spans="3:7" ht="13">
      <c r="C628" s="80"/>
      <c r="D628" s="5"/>
      <c r="E628" s="5"/>
      <c r="F628" s="5"/>
      <c r="G628" s="5"/>
    </row>
    <row r="629" spans="3:7" ht="13">
      <c r="C629" s="80"/>
      <c r="D629" s="5"/>
      <c r="E629" s="5"/>
      <c r="F629" s="5"/>
      <c r="G629" s="5"/>
    </row>
    <row r="630" spans="3:7" ht="13">
      <c r="C630" s="80"/>
      <c r="D630" s="5"/>
      <c r="E630" s="5"/>
      <c r="F630" s="5"/>
      <c r="G630" s="5"/>
    </row>
    <row r="631" spans="3:7" ht="13">
      <c r="C631" s="80"/>
      <c r="D631" s="5"/>
      <c r="E631" s="5"/>
      <c r="F631" s="5"/>
      <c r="G631" s="5"/>
    </row>
    <row r="632" spans="3:7" ht="13">
      <c r="C632" s="80"/>
      <c r="D632" s="5"/>
      <c r="E632" s="5"/>
      <c r="F632" s="5"/>
      <c r="G632" s="5"/>
    </row>
    <row r="633" spans="3:7" ht="13">
      <c r="C633" s="80"/>
      <c r="D633" s="5"/>
      <c r="E633" s="5"/>
      <c r="F633" s="5"/>
      <c r="G633" s="5"/>
    </row>
    <row r="634" spans="3:7" ht="13">
      <c r="C634" s="80"/>
      <c r="D634" s="5"/>
      <c r="E634" s="5"/>
      <c r="F634" s="5"/>
      <c r="G634" s="5"/>
    </row>
    <row r="635" spans="3:7" ht="13">
      <c r="C635" s="80"/>
      <c r="D635" s="5"/>
      <c r="E635" s="5"/>
      <c r="F635" s="5"/>
      <c r="G635" s="5"/>
    </row>
    <row r="636" spans="3:7" ht="13">
      <c r="C636" s="80"/>
      <c r="D636" s="5"/>
      <c r="E636" s="5"/>
      <c r="F636" s="5"/>
      <c r="G636" s="5"/>
    </row>
    <row r="637" spans="3:7" ht="13">
      <c r="C637" s="80"/>
      <c r="D637" s="5"/>
      <c r="E637" s="5"/>
      <c r="F637" s="5"/>
      <c r="G637" s="5"/>
    </row>
    <row r="638" spans="3:7" ht="13">
      <c r="C638" s="80"/>
      <c r="D638" s="5"/>
      <c r="E638" s="5"/>
      <c r="F638" s="5"/>
      <c r="G638" s="5"/>
    </row>
    <row r="639" spans="3:7" ht="13">
      <c r="C639" s="80"/>
      <c r="D639" s="5"/>
      <c r="E639" s="5"/>
      <c r="F639" s="5"/>
      <c r="G639" s="5"/>
    </row>
    <row r="640" spans="3:7" ht="13">
      <c r="C640" s="80"/>
      <c r="D640" s="5"/>
      <c r="E640" s="5"/>
      <c r="F640" s="5"/>
      <c r="G640" s="5"/>
    </row>
    <row r="641" spans="3:7" ht="13">
      <c r="C641" s="80"/>
      <c r="D641" s="5"/>
      <c r="E641" s="5"/>
      <c r="F641" s="5"/>
      <c r="G641" s="5"/>
    </row>
    <row r="642" spans="3:7" ht="13">
      <c r="C642" s="80"/>
      <c r="D642" s="5"/>
      <c r="E642" s="5"/>
      <c r="F642" s="5"/>
      <c r="G642" s="5"/>
    </row>
    <row r="643" spans="3:7" ht="13">
      <c r="C643" s="80"/>
      <c r="D643" s="5"/>
      <c r="E643" s="5"/>
      <c r="F643" s="5"/>
      <c r="G643" s="5"/>
    </row>
    <row r="644" spans="3:7" ht="13">
      <c r="C644" s="80"/>
      <c r="D644" s="5"/>
      <c r="E644" s="5"/>
      <c r="F644" s="5"/>
      <c r="G644" s="5"/>
    </row>
    <row r="645" spans="3:7" ht="13">
      <c r="C645" s="80"/>
      <c r="D645" s="5"/>
      <c r="E645" s="5"/>
      <c r="F645" s="5"/>
      <c r="G645" s="5"/>
    </row>
    <row r="646" spans="3:7" ht="13">
      <c r="C646" s="80"/>
      <c r="D646" s="5"/>
      <c r="E646" s="5"/>
      <c r="F646" s="5"/>
      <c r="G646" s="5"/>
    </row>
    <row r="647" spans="3:7" ht="13">
      <c r="C647" s="80"/>
      <c r="D647" s="5"/>
      <c r="E647" s="5"/>
      <c r="F647" s="5"/>
      <c r="G647" s="5"/>
    </row>
    <row r="648" spans="3:7" ht="13">
      <c r="C648" s="80"/>
      <c r="D648" s="5"/>
      <c r="E648" s="5"/>
      <c r="F648" s="5"/>
      <c r="G648" s="5"/>
    </row>
    <row r="649" spans="3:7" ht="13">
      <c r="C649" s="80"/>
      <c r="D649" s="5"/>
      <c r="E649" s="5"/>
      <c r="F649" s="5"/>
      <c r="G649" s="5"/>
    </row>
    <row r="650" spans="3:7" ht="13">
      <c r="C650" s="80"/>
      <c r="D650" s="5"/>
      <c r="E650" s="5"/>
      <c r="F650" s="5"/>
      <c r="G650" s="5"/>
    </row>
    <row r="651" spans="3:7" ht="13">
      <c r="C651" s="80"/>
      <c r="D651" s="5"/>
      <c r="E651" s="5"/>
      <c r="F651" s="5"/>
      <c r="G651" s="5"/>
    </row>
    <row r="652" spans="3:7" ht="13">
      <c r="C652" s="80"/>
      <c r="D652" s="5"/>
      <c r="E652" s="5"/>
      <c r="F652" s="5"/>
      <c r="G652" s="5"/>
    </row>
    <row r="653" spans="3:7" ht="13">
      <c r="C653" s="80"/>
      <c r="D653" s="5"/>
      <c r="E653" s="5"/>
      <c r="F653" s="5"/>
      <c r="G653" s="5"/>
    </row>
    <row r="654" spans="3:7" ht="13">
      <c r="C654" s="80"/>
      <c r="D654" s="5"/>
      <c r="E654" s="5"/>
      <c r="F654" s="5"/>
      <c r="G654" s="5"/>
    </row>
    <row r="655" spans="3:7" ht="13">
      <c r="C655" s="80"/>
      <c r="D655" s="5"/>
      <c r="E655" s="5"/>
      <c r="F655" s="5"/>
      <c r="G655" s="5"/>
    </row>
    <row r="656" spans="3:7" ht="13">
      <c r="C656" s="80"/>
      <c r="D656" s="5"/>
      <c r="E656" s="5"/>
      <c r="F656" s="5"/>
      <c r="G656" s="5"/>
    </row>
    <row r="657" spans="3:7" ht="13">
      <c r="C657" s="80"/>
      <c r="D657" s="5"/>
      <c r="E657" s="5"/>
      <c r="F657" s="5"/>
      <c r="G657" s="5"/>
    </row>
    <row r="658" spans="3:7" ht="13">
      <c r="C658" s="80"/>
      <c r="D658" s="5"/>
      <c r="E658" s="5"/>
      <c r="F658" s="5"/>
      <c r="G658" s="5"/>
    </row>
    <row r="659" spans="3:7" ht="13">
      <c r="C659" s="80"/>
      <c r="D659" s="5"/>
      <c r="E659" s="5"/>
      <c r="F659" s="5"/>
      <c r="G659" s="5"/>
    </row>
    <row r="660" spans="3:7" ht="13">
      <c r="C660" s="80"/>
      <c r="D660" s="5"/>
      <c r="E660" s="5"/>
      <c r="F660" s="5"/>
      <c r="G660" s="5"/>
    </row>
    <row r="661" spans="3:7" ht="13">
      <c r="C661" s="80"/>
      <c r="D661" s="5"/>
      <c r="E661" s="5"/>
      <c r="F661" s="5"/>
      <c r="G661" s="5"/>
    </row>
    <row r="662" spans="3:7" ht="13">
      <c r="C662" s="80"/>
      <c r="D662" s="5"/>
      <c r="E662" s="5"/>
      <c r="F662" s="5"/>
      <c r="G662" s="5"/>
    </row>
    <row r="663" spans="3:7" ht="13">
      <c r="C663" s="80"/>
      <c r="D663" s="5"/>
      <c r="E663" s="5"/>
      <c r="F663" s="5"/>
      <c r="G663" s="5"/>
    </row>
    <row r="664" spans="3:7" ht="13">
      <c r="C664" s="80"/>
      <c r="D664" s="5"/>
      <c r="E664" s="5"/>
      <c r="F664" s="5"/>
      <c r="G664" s="5"/>
    </row>
    <row r="665" spans="3:7" ht="13">
      <c r="C665" s="80"/>
      <c r="D665" s="5"/>
      <c r="E665" s="5"/>
      <c r="F665" s="5"/>
      <c r="G665" s="5"/>
    </row>
    <row r="666" spans="3:7" ht="13">
      <c r="C666" s="80"/>
      <c r="D666" s="5"/>
      <c r="E666" s="5"/>
      <c r="F666" s="5"/>
      <c r="G666" s="5"/>
    </row>
    <row r="667" spans="3:7" ht="13">
      <c r="C667" s="80"/>
      <c r="D667" s="5"/>
      <c r="E667" s="5"/>
      <c r="F667" s="5"/>
      <c r="G667" s="5"/>
    </row>
    <row r="668" spans="3:7" ht="13">
      <c r="C668" s="80"/>
      <c r="D668" s="5"/>
      <c r="E668" s="5"/>
      <c r="F668" s="5"/>
      <c r="G668" s="5"/>
    </row>
    <row r="669" spans="3:7" ht="13">
      <c r="C669" s="80"/>
      <c r="D669" s="5"/>
      <c r="E669" s="5"/>
      <c r="F669" s="5"/>
      <c r="G669" s="5"/>
    </row>
    <row r="670" spans="3:7" ht="13">
      <c r="C670" s="80"/>
      <c r="D670" s="5"/>
      <c r="E670" s="5"/>
      <c r="F670" s="5"/>
      <c r="G670" s="5"/>
    </row>
    <row r="671" spans="3:7" ht="13">
      <c r="C671" s="80"/>
      <c r="D671" s="5"/>
      <c r="E671" s="5"/>
      <c r="F671" s="5"/>
      <c r="G671" s="5"/>
    </row>
    <row r="672" spans="3:7" ht="13">
      <c r="C672" s="80"/>
      <c r="D672" s="5"/>
      <c r="E672" s="5"/>
      <c r="F672" s="5"/>
      <c r="G672" s="5"/>
    </row>
    <row r="673" spans="3:7" ht="13">
      <c r="C673" s="80"/>
      <c r="D673" s="5"/>
      <c r="E673" s="5"/>
      <c r="F673" s="5"/>
      <c r="G673" s="5"/>
    </row>
    <row r="674" spans="3:7" ht="13">
      <c r="C674" s="80"/>
      <c r="D674" s="5"/>
      <c r="E674" s="5"/>
      <c r="F674" s="5"/>
      <c r="G674" s="5"/>
    </row>
    <row r="675" spans="3:7" ht="13">
      <c r="C675" s="80"/>
      <c r="D675" s="5"/>
      <c r="E675" s="5"/>
      <c r="F675" s="5"/>
      <c r="G675" s="5"/>
    </row>
    <row r="676" spans="3:7" ht="13">
      <c r="C676" s="80"/>
      <c r="D676" s="5"/>
      <c r="E676" s="5"/>
      <c r="F676" s="5"/>
      <c r="G676" s="5"/>
    </row>
    <row r="677" spans="3:7" ht="13">
      <c r="C677" s="80"/>
      <c r="D677" s="5"/>
      <c r="E677" s="5"/>
      <c r="F677" s="5"/>
      <c r="G677" s="5"/>
    </row>
    <row r="678" spans="3:7" ht="13">
      <c r="C678" s="80"/>
      <c r="D678" s="5"/>
      <c r="E678" s="5"/>
      <c r="F678" s="5"/>
      <c r="G678" s="5"/>
    </row>
    <row r="679" spans="3:7" ht="13">
      <c r="C679" s="80"/>
      <c r="D679" s="5"/>
      <c r="E679" s="5"/>
      <c r="F679" s="5"/>
      <c r="G679" s="5"/>
    </row>
    <row r="680" spans="3:7" ht="13">
      <c r="C680" s="80"/>
      <c r="D680" s="5"/>
      <c r="E680" s="5"/>
      <c r="F680" s="5"/>
      <c r="G680" s="5"/>
    </row>
    <row r="681" spans="3:7" ht="13">
      <c r="C681" s="80"/>
      <c r="D681" s="5"/>
      <c r="E681" s="5"/>
      <c r="F681" s="5"/>
      <c r="G681" s="5"/>
    </row>
    <row r="682" spans="3:7" ht="13">
      <c r="C682" s="80"/>
      <c r="D682" s="5"/>
      <c r="E682" s="5"/>
      <c r="F682" s="5"/>
      <c r="G682" s="5"/>
    </row>
    <row r="683" spans="3:7" ht="13">
      <c r="C683" s="80"/>
      <c r="D683" s="5"/>
      <c r="E683" s="5"/>
      <c r="F683" s="5"/>
      <c r="G683" s="5"/>
    </row>
    <row r="684" spans="3:7" ht="13">
      <c r="C684" s="80"/>
      <c r="D684" s="5"/>
      <c r="E684" s="5"/>
      <c r="F684" s="5"/>
      <c r="G684" s="5"/>
    </row>
    <row r="685" spans="3:7" ht="13">
      <c r="C685" s="80"/>
      <c r="D685" s="5"/>
      <c r="E685" s="5"/>
      <c r="F685" s="5"/>
      <c r="G685" s="5"/>
    </row>
    <row r="686" spans="3:7" ht="13">
      <c r="C686" s="80"/>
      <c r="D686" s="5"/>
      <c r="E686" s="5"/>
      <c r="F686" s="5"/>
      <c r="G686" s="5"/>
    </row>
    <row r="687" spans="3:7" ht="13">
      <c r="C687" s="80"/>
      <c r="D687" s="5"/>
      <c r="E687" s="5"/>
      <c r="F687" s="5"/>
      <c r="G687" s="5"/>
    </row>
    <row r="688" spans="3:7" ht="13">
      <c r="C688" s="80"/>
      <c r="D688" s="5"/>
      <c r="E688" s="5"/>
      <c r="F688" s="5"/>
      <c r="G688" s="5"/>
    </row>
    <row r="689" spans="3:7" ht="13">
      <c r="C689" s="80"/>
      <c r="D689" s="5"/>
      <c r="E689" s="5"/>
      <c r="F689" s="5"/>
      <c r="G689" s="5"/>
    </row>
    <row r="690" spans="3:7" ht="13">
      <c r="C690" s="80"/>
      <c r="D690" s="5"/>
      <c r="E690" s="5"/>
      <c r="F690" s="5"/>
      <c r="G690" s="5"/>
    </row>
    <row r="691" spans="3:7" ht="13">
      <c r="C691" s="80"/>
      <c r="D691" s="5"/>
      <c r="E691" s="5"/>
      <c r="F691" s="5"/>
      <c r="G691" s="5"/>
    </row>
    <row r="692" spans="3:7" ht="13">
      <c r="C692" s="80"/>
      <c r="D692" s="5"/>
      <c r="E692" s="5"/>
      <c r="F692" s="5"/>
      <c r="G692" s="5"/>
    </row>
    <row r="693" spans="3:7" ht="13">
      <c r="C693" s="80"/>
      <c r="D693" s="5"/>
      <c r="E693" s="5"/>
      <c r="F693" s="5"/>
      <c r="G693" s="5"/>
    </row>
    <row r="694" spans="3:7" ht="13">
      <c r="C694" s="80"/>
      <c r="D694" s="5"/>
      <c r="E694" s="5"/>
      <c r="F694" s="5"/>
      <c r="G694" s="5"/>
    </row>
    <row r="695" spans="3:7" ht="13">
      <c r="C695" s="80"/>
      <c r="D695" s="5"/>
      <c r="E695" s="5"/>
      <c r="F695" s="5"/>
      <c r="G695" s="5"/>
    </row>
    <row r="696" spans="3:7" ht="13">
      <c r="C696" s="80"/>
      <c r="D696" s="5"/>
      <c r="E696" s="5"/>
      <c r="F696" s="5"/>
      <c r="G696" s="5"/>
    </row>
    <row r="697" spans="3:7" ht="13">
      <c r="C697" s="80"/>
      <c r="D697" s="5"/>
      <c r="E697" s="5"/>
      <c r="F697" s="5"/>
      <c r="G697" s="5"/>
    </row>
    <row r="698" spans="3:7" ht="13">
      <c r="C698" s="80"/>
      <c r="D698" s="5"/>
      <c r="E698" s="5"/>
      <c r="F698" s="5"/>
      <c r="G698" s="5"/>
    </row>
    <row r="699" spans="3:7" ht="13">
      <c r="C699" s="80"/>
      <c r="D699" s="5"/>
      <c r="E699" s="5"/>
      <c r="F699" s="5"/>
      <c r="G699" s="5"/>
    </row>
    <row r="700" spans="3:7" ht="13">
      <c r="C700" s="80"/>
      <c r="D700" s="5"/>
      <c r="E700" s="5"/>
      <c r="F700" s="5"/>
      <c r="G700" s="5"/>
    </row>
    <row r="701" spans="3:7" ht="13">
      <c r="C701" s="80"/>
      <c r="D701" s="5"/>
      <c r="E701" s="5"/>
      <c r="F701" s="5"/>
      <c r="G701" s="5"/>
    </row>
    <row r="702" spans="3:7" ht="13">
      <c r="C702" s="80"/>
      <c r="D702" s="5"/>
      <c r="E702" s="5"/>
      <c r="F702" s="5"/>
      <c r="G702" s="5"/>
    </row>
    <row r="703" spans="3:7" ht="13">
      <c r="C703" s="80"/>
      <c r="D703" s="5"/>
      <c r="E703" s="5"/>
      <c r="F703" s="5"/>
      <c r="G703" s="5"/>
    </row>
    <row r="704" spans="3:7" ht="13">
      <c r="C704" s="80"/>
      <c r="D704" s="5"/>
      <c r="E704" s="5"/>
      <c r="F704" s="5"/>
      <c r="G704" s="5"/>
    </row>
    <row r="705" spans="3:7" ht="13">
      <c r="C705" s="80"/>
      <c r="D705" s="5"/>
      <c r="E705" s="5"/>
      <c r="F705" s="5"/>
      <c r="G705" s="5"/>
    </row>
    <row r="706" spans="3:7" ht="13">
      <c r="C706" s="80"/>
      <c r="D706" s="5"/>
      <c r="E706" s="5"/>
      <c r="F706" s="5"/>
      <c r="G706" s="5"/>
    </row>
    <row r="707" spans="3:7" ht="13">
      <c r="C707" s="80"/>
      <c r="D707" s="5"/>
      <c r="E707" s="5"/>
      <c r="F707" s="5"/>
      <c r="G707" s="5"/>
    </row>
    <row r="708" spans="3:7" ht="13">
      <c r="C708" s="80"/>
      <c r="D708" s="5"/>
      <c r="E708" s="5"/>
      <c r="F708" s="5"/>
      <c r="G708" s="5"/>
    </row>
    <row r="709" spans="3:7" ht="13">
      <c r="C709" s="80"/>
      <c r="D709" s="5"/>
      <c r="E709" s="5"/>
      <c r="F709" s="5"/>
      <c r="G709" s="5"/>
    </row>
    <row r="710" spans="3:7" ht="13">
      <c r="C710" s="80"/>
      <c r="D710" s="5"/>
      <c r="E710" s="5"/>
      <c r="F710" s="5"/>
      <c r="G710" s="5"/>
    </row>
    <row r="711" spans="3:7" ht="13">
      <c r="C711" s="80"/>
      <c r="D711" s="5"/>
      <c r="E711" s="5"/>
      <c r="F711" s="5"/>
      <c r="G711" s="5"/>
    </row>
    <row r="712" spans="3:7" ht="13">
      <c r="C712" s="80"/>
      <c r="D712" s="5"/>
      <c r="E712" s="5"/>
      <c r="F712" s="5"/>
      <c r="G712" s="5"/>
    </row>
    <row r="713" spans="3:7" ht="13">
      <c r="C713" s="80"/>
      <c r="D713" s="5"/>
      <c r="E713" s="5"/>
      <c r="F713" s="5"/>
      <c r="G713" s="5"/>
    </row>
    <row r="714" spans="3:7" ht="13">
      <c r="C714" s="80"/>
      <c r="D714" s="5"/>
      <c r="E714" s="5"/>
      <c r="F714" s="5"/>
      <c r="G714" s="5"/>
    </row>
    <row r="715" spans="3:7" ht="13">
      <c r="C715" s="80"/>
      <c r="D715" s="5"/>
      <c r="E715" s="5"/>
      <c r="F715" s="5"/>
      <c r="G715" s="5"/>
    </row>
    <row r="716" spans="3:7" ht="13">
      <c r="C716" s="80"/>
      <c r="D716" s="5"/>
      <c r="E716" s="5"/>
      <c r="F716" s="5"/>
      <c r="G716" s="5"/>
    </row>
    <row r="717" spans="3:7" ht="13">
      <c r="C717" s="80"/>
      <c r="D717" s="5"/>
      <c r="E717" s="5"/>
      <c r="F717" s="5"/>
      <c r="G717" s="5"/>
    </row>
    <row r="718" spans="3:7" ht="13">
      <c r="C718" s="80"/>
      <c r="D718" s="5"/>
      <c r="E718" s="5"/>
      <c r="F718" s="5"/>
      <c r="G718" s="5"/>
    </row>
    <row r="719" spans="3:7" ht="13">
      <c r="C719" s="80"/>
      <c r="D719" s="5"/>
      <c r="E719" s="5"/>
      <c r="F719" s="5"/>
      <c r="G719" s="5"/>
    </row>
    <row r="720" spans="3:7" ht="13">
      <c r="C720" s="80"/>
      <c r="D720" s="5"/>
      <c r="E720" s="5"/>
      <c r="F720" s="5"/>
      <c r="G720" s="5"/>
    </row>
    <row r="721" spans="3:7" ht="13">
      <c r="C721" s="80"/>
      <c r="D721" s="5"/>
      <c r="E721" s="5"/>
      <c r="F721" s="5"/>
      <c r="G721" s="5"/>
    </row>
    <row r="722" spans="3:7" ht="13">
      <c r="C722" s="80"/>
      <c r="D722" s="5"/>
      <c r="E722" s="5"/>
      <c r="F722" s="5"/>
      <c r="G722" s="5"/>
    </row>
    <row r="723" spans="3:7" ht="13">
      <c r="C723" s="80"/>
      <c r="D723" s="5"/>
      <c r="E723" s="5"/>
      <c r="F723" s="5"/>
      <c r="G723" s="5"/>
    </row>
    <row r="724" spans="3:7" ht="13">
      <c r="C724" s="80"/>
      <c r="D724" s="5"/>
      <c r="E724" s="5"/>
      <c r="F724" s="5"/>
      <c r="G724" s="5"/>
    </row>
    <row r="725" spans="3:7" ht="13">
      <c r="C725" s="80"/>
      <c r="D725" s="5"/>
      <c r="E725" s="5"/>
      <c r="F725" s="5"/>
      <c r="G725" s="5"/>
    </row>
    <row r="726" spans="3:7" ht="13">
      <c r="C726" s="80"/>
      <c r="D726" s="5"/>
      <c r="E726" s="5"/>
      <c r="F726" s="5"/>
      <c r="G726" s="5"/>
    </row>
    <row r="727" spans="3:7" ht="13">
      <c r="C727" s="80"/>
      <c r="D727" s="5"/>
      <c r="E727" s="5"/>
      <c r="F727" s="5"/>
      <c r="G727" s="5"/>
    </row>
    <row r="728" spans="3:7" ht="13">
      <c r="C728" s="80"/>
      <c r="D728" s="5"/>
      <c r="E728" s="5"/>
      <c r="F728" s="5"/>
      <c r="G728" s="5"/>
    </row>
    <row r="729" spans="3:7" ht="13">
      <c r="C729" s="80"/>
      <c r="D729" s="5"/>
      <c r="E729" s="5"/>
      <c r="F729" s="5"/>
      <c r="G729" s="5"/>
    </row>
    <row r="730" spans="3:7" ht="13">
      <c r="C730" s="80"/>
      <c r="D730" s="5"/>
      <c r="E730" s="5"/>
      <c r="F730" s="5"/>
      <c r="G730" s="5"/>
    </row>
    <row r="731" spans="3:7" ht="13">
      <c r="C731" s="80"/>
      <c r="D731" s="5"/>
      <c r="E731" s="5"/>
      <c r="F731" s="5"/>
      <c r="G731" s="5"/>
    </row>
    <row r="732" spans="3:7" ht="13">
      <c r="C732" s="80"/>
      <c r="D732" s="5"/>
      <c r="E732" s="5"/>
      <c r="F732" s="5"/>
      <c r="G732" s="5"/>
    </row>
    <row r="733" spans="3:7" ht="13">
      <c r="C733" s="80"/>
      <c r="D733" s="5"/>
      <c r="E733" s="5"/>
      <c r="F733" s="5"/>
      <c r="G733" s="5"/>
    </row>
    <row r="734" spans="3:7" ht="13">
      <c r="C734" s="80"/>
      <c r="D734" s="5"/>
      <c r="E734" s="5"/>
      <c r="F734" s="5"/>
      <c r="G734" s="5"/>
    </row>
    <row r="735" spans="3:7" ht="13">
      <c r="C735" s="80"/>
      <c r="D735" s="5"/>
      <c r="E735" s="5"/>
      <c r="F735" s="5"/>
      <c r="G735" s="5"/>
    </row>
    <row r="736" spans="3:7" ht="13">
      <c r="C736" s="80"/>
      <c r="D736" s="5"/>
      <c r="E736" s="5"/>
      <c r="F736" s="5"/>
      <c r="G736" s="5"/>
    </row>
    <row r="737" spans="3:7" ht="13">
      <c r="C737" s="80"/>
      <c r="D737" s="5"/>
      <c r="E737" s="5"/>
      <c r="F737" s="5"/>
      <c r="G737" s="5"/>
    </row>
    <row r="738" spans="3:7" ht="13">
      <c r="C738" s="80"/>
      <c r="D738" s="5"/>
      <c r="E738" s="5"/>
      <c r="F738" s="5"/>
      <c r="G738" s="5"/>
    </row>
    <row r="739" spans="3:7" ht="13">
      <c r="C739" s="80"/>
      <c r="D739" s="5"/>
      <c r="E739" s="5"/>
      <c r="F739" s="5"/>
      <c r="G739" s="5"/>
    </row>
    <row r="740" spans="3:7" ht="13">
      <c r="C740" s="80"/>
      <c r="D740" s="5"/>
      <c r="E740" s="5"/>
      <c r="F740" s="5"/>
      <c r="G740" s="5"/>
    </row>
    <row r="741" spans="3:7" ht="13">
      <c r="C741" s="80"/>
      <c r="D741" s="5"/>
      <c r="E741" s="5"/>
      <c r="F741" s="5"/>
      <c r="G741" s="5"/>
    </row>
    <row r="742" spans="3:7" ht="13">
      <c r="C742" s="80"/>
      <c r="D742" s="5"/>
      <c r="E742" s="5"/>
      <c r="F742" s="5"/>
      <c r="G742" s="5"/>
    </row>
    <row r="743" spans="3:7" ht="13">
      <c r="C743" s="80"/>
      <c r="D743" s="5"/>
      <c r="E743" s="5"/>
      <c r="F743" s="5"/>
      <c r="G743" s="5"/>
    </row>
    <row r="744" spans="3:7" ht="13">
      <c r="C744" s="80"/>
      <c r="D744" s="5"/>
      <c r="E744" s="5"/>
      <c r="F744" s="5"/>
      <c r="G744" s="5"/>
    </row>
    <row r="745" spans="3:7" ht="13">
      <c r="C745" s="80"/>
      <c r="D745" s="5"/>
      <c r="E745" s="5"/>
      <c r="F745" s="5"/>
      <c r="G745" s="5"/>
    </row>
    <row r="746" spans="3:7" ht="13">
      <c r="C746" s="80"/>
      <c r="D746" s="5"/>
      <c r="E746" s="5"/>
      <c r="F746" s="5"/>
      <c r="G746" s="5"/>
    </row>
    <row r="747" spans="3:7" ht="13">
      <c r="C747" s="80"/>
      <c r="D747" s="5"/>
      <c r="E747" s="5"/>
      <c r="F747" s="5"/>
      <c r="G747" s="5"/>
    </row>
    <row r="748" spans="3:7" ht="13">
      <c r="C748" s="80"/>
      <c r="D748" s="5"/>
      <c r="E748" s="5"/>
      <c r="F748" s="5"/>
      <c r="G748" s="5"/>
    </row>
    <row r="749" spans="3:7" ht="13">
      <c r="C749" s="80"/>
      <c r="D749" s="5"/>
      <c r="E749" s="5"/>
      <c r="F749" s="5"/>
      <c r="G749" s="5"/>
    </row>
    <row r="750" spans="3:7" ht="13">
      <c r="C750" s="80"/>
      <c r="D750" s="5"/>
      <c r="E750" s="5"/>
      <c r="F750" s="5"/>
      <c r="G750" s="5"/>
    </row>
    <row r="751" spans="3:7" ht="13">
      <c r="C751" s="80"/>
      <c r="D751" s="5"/>
      <c r="E751" s="5"/>
      <c r="F751" s="5"/>
      <c r="G751" s="5"/>
    </row>
    <row r="752" spans="3:7" ht="13">
      <c r="C752" s="80"/>
      <c r="D752" s="5"/>
      <c r="E752" s="5"/>
      <c r="F752" s="5"/>
      <c r="G752" s="5"/>
    </row>
    <row r="753" spans="3:7" ht="13">
      <c r="C753" s="80"/>
      <c r="D753" s="5"/>
      <c r="E753" s="5"/>
      <c r="F753" s="5"/>
      <c r="G753" s="5"/>
    </row>
    <row r="754" spans="3:7" ht="13">
      <c r="C754" s="80"/>
      <c r="D754" s="5"/>
      <c r="E754" s="5"/>
      <c r="F754" s="5"/>
      <c r="G754" s="5"/>
    </row>
    <row r="755" spans="3:7" ht="13">
      <c r="C755" s="80"/>
      <c r="D755" s="5"/>
      <c r="E755" s="5"/>
      <c r="F755" s="5"/>
      <c r="G755" s="5"/>
    </row>
    <row r="756" spans="3:7" ht="13">
      <c r="C756" s="80"/>
      <c r="D756" s="5"/>
      <c r="E756" s="5"/>
      <c r="F756" s="5"/>
      <c r="G756" s="5"/>
    </row>
    <row r="757" spans="3:7" ht="13">
      <c r="C757" s="80"/>
      <c r="D757" s="5"/>
      <c r="E757" s="5"/>
      <c r="F757" s="5"/>
      <c r="G757" s="5"/>
    </row>
    <row r="758" spans="3:7" ht="13">
      <c r="C758" s="80"/>
      <c r="D758" s="5"/>
      <c r="E758" s="5"/>
      <c r="F758" s="5"/>
      <c r="G758" s="5"/>
    </row>
    <row r="759" spans="3:7" ht="13">
      <c r="C759" s="80"/>
      <c r="D759" s="5"/>
      <c r="E759" s="5"/>
      <c r="F759" s="5"/>
      <c r="G759" s="5"/>
    </row>
    <row r="760" spans="3:7" ht="13">
      <c r="C760" s="80"/>
      <c r="D760" s="5"/>
      <c r="E760" s="5"/>
      <c r="F760" s="5"/>
      <c r="G760" s="5"/>
    </row>
    <row r="761" spans="3:7" ht="13">
      <c r="C761" s="80"/>
      <c r="D761" s="5"/>
      <c r="E761" s="5"/>
      <c r="F761" s="5"/>
      <c r="G761" s="5"/>
    </row>
    <row r="762" spans="3:7" ht="13">
      <c r="C762" s="80"/>
      <c r="D762" s="5"/>
      <c r="E762" s="5"/>
      <c r="F762" s="5"/>
      <c r="G762" s="5"/>
    </row>
    <row r="763" spans="3:7" ht="13">
      <c r="C763" s="80"/>
      <c r="D763" s="5"/>
      <c r="E763" s="5"/>
      <c r="F763" s="5"/>
      <c r="G763" s="5"/>
    </row>
    <row r="764" spans="3:7" ht="13">
      <c r="C764" s="80"/>
      <c r="D764" s="5"/>
      <c r="E764" s="5"/>
      <c r="F764" s="5"/>
      <c r="G764" s="5"/>
    </row>
    <row r="765" spans="3:7" ht="13">
      <c r="C765" s="80"/>
      <c r="D765" s="5"/>
      <c r="E765" s="5"/>
      <c r="F765" s="5"/>
      <c r="G765" s="5"/>
    </row>
    <row r="766" spans="3:7" ht="13">
      <c r="C766" s="80"/>
      <c r="D766" s="5"/>
      <c r="E766" s="5"/>
      <c r="F766" s="5"/>
      <c r="G766" s="5"/>
    </row>
    <row r="767" spans="3:7" ht="13">
      <c r="C767" s="80"/>
      <c r="D767" s="5"/>
      <c r="E767" s="5"/>
      <c r="F767" s="5"/>
      <c r="G767" s="5"/>
    </row>
    <row r="768" spans="3:7" ht="13">
      <c r="C768" s="80"/>
      <c r="D768" s="5"/>
      <c r="E768" s="5"/>
      <c r="F768" s="5"/>
      <c r="G768" s="5"/>
    </row>
    <row r="769" spans="3:7" ht="13">
      <c r="C769" s="80"/>
      <c r="D769" s="5"/>
      <c r="E769" s="5"/>
      <c r="F769" s="5"/>
      <c r="G769" s="5"/>
    </row>
    <row r="770" spans="3:7" ht="13">
      <c r="C770" s="80"/>
      <c r="D770" s="5"/>
      <c r="E770" s="5"/>
      <c r="F770" s="5"/>
      <c r="G770" s="5"/>
    </row>
    <row r="771" spans="3:7" ht="13">
      <c r="C771" s="80"/>
      <c r="D771" s="5"/>
      <c r="E771" s="5"/>
      <c r="F771" s="5"/>
      <c r="G771" s="5"/>
    </row>
    <row r="772" spans="3:7" ht="13">
      <c r="C772" s="80"/>
      <c r="D772" s="5"/>
      <c r="E772" s="5"/>
      <c r="F772" s="5"/>
      <c r="G772" s="5"/>
    </row>
    <row r="773" spans="3:7" ht="13">
      <c r="C773" s="80"/>
      <c r="D773" s="5"/>
      <c r="E773" s="5"/>
      <c r="F773" s="5"/>
      <c r="G773" s="5"/>
    </row>
    <row r="774" spans="3:7" ht="13">
      <c r="C774" s="80"/>
      <c r="D774" s="5"/>
      <c r="E774" s="5"/>
      <c r="F774" s="5"/>
      <c r="G774" s="5"/>
    </row>
    <row r="775" spans="3:7" ht="13">
      <c r="C775" s="80"/>
      <c r="D775" s="5"/>
      <c r="E775" s="5"/>
      <c r="F775" s="5"/>
      <c r="G775" s="5"/>
    </row>
    <row r="776" spans="3:7" ht="13">
      <c r="C776" s="80"/>
      <c r="D776" s="5"/>
      <c r="E776" s="5"/>
      <c r="F776" s="5"/>
      <c r="G776" s="5"/>
    </row>
    <row r="777" spans="3:7" ht="13">
      <c r="C777" s="80"/>
      <c r="D777" s="5"/>
      <c r="E777" s="5"/>
      <c r="F777" s="5"/>
      <c r="G777" s="5"/>
    </row>
    <row r="778" spans="3:7" ht="13">
      <c r="C778" s="80"/>
      <c r="D778" s="5"/>
      <c r="E778" s="5"/>
      <c r="F778" s="5"/>
      <c r="G778" s="5"/>
    </row>
    <row r="779" spans="3:7" ht="13">
      <c r="C779" s="80"/>
      <c r="D779" s="5"/>
      <c r="E779" s="5"/>
      <c r="F779" s="5"/>
      <c r="G779" s="5"/>
    </row>
    <row r="780" spans="3:7" ht="13">
      <c r="C780" s="80"/>
      <c r="D780" s="5"/>
      <c r="E780" s="5"/>
      <c r="F780" s="5"/>
      <c r="G780" s="5"/>
    </row>
    <row r="781" spans="3:7" ht="13">
      <c r="C781" s="80"/>
      <c r="D781" s="5"/>
      <c r="E781" s="5"/>
      <c r="F781" s="5"/>
      <c r="G781" s="5"/>
    </row>
    <row r="782" spans="3:7" ht="13">
      <c r="C782" s="80"/>
      <c r="D782" s="5"/>
      <c r="E782" s="5"/>
      <c r="F782" s="5"/>
      <c r="G782" s="5"/>
    </row>
    <row r="783" spans="3:7" ht="13">
      <c r="C783" s="80"/>
      <c r="D783" s="5"/>
      <c r="E783" s="5"/>
      <c r="F783" s="5"/>
      <c r="G783" s="5"/>
    </row>
    <row r="784" spans="3:7" ht="13">
      <c r="C784" s="80"/>
      <c r="D784" s="5"/>
      <c r="E784" s="5"/>
      <c r="F784" s="5"/>
      <c r="G784" s="5"/>
    </row>
    <row r="785" spans="3:7" ht="13">
      <c r="C785" s="80"/>
      <c r="D785" s="5"/>
      <c r="E785" s="5"/>
      <c r="F785" s="5"/>
      <c r="G785" s="5"/>
    </row>
    <row r="786" spans="3:7" ht="13">
      <c r="C786" s="80"/>
      <c r="D786" s="5"/>
      <c r="E786" s="5"/>
      <c r="F786" s="5"/>
      <c r="G786" s="5"/>
    </row>
    <row r="787" spans="3:7" ht="13">
      <c r="C787" s="80"/>
      <c r="D787" s="5"/>
      <c r="E787" s="5"/>
      <c r="F787" s="5"/>
      <c r="G787" s="5"/>
    </row>
    <row r="788" spans="3:7" ht="13">
      <c r="C788" s="80"/>
      <c r="D788" s="5"/>
      <c r="E788" s="5"/>
      <c r="F788" s="5"/>
      <c r="G788" s="5"/>
    </row>
    <row r="789" spans="3:7" ht="13">
      <c r="C789" s="80"/>
      <c r="D789" s="5"/>
      <c r="E789" s="5"/>
      <c r="F789" s="5"/>
      <c r="G789" s="5"/>
    </row>
    <row r="790" spans="3:7" ht="13">
      <c r="C790" s="80"/>
      <c r="D790" s="5"/>
      <c r="E790" s="5"/>
      <c r="F790" s="5"/>
      <c r="G790" s="5"/>
    </row>
    <row r="791" spans="3:7" ht="13">
      <c r="C791" s="80"/>
      <c r="D791" s="5"/>
      <c r="E791" s="5"/>
      <c r="F791" s="5"/>
      <c r="G791" s="5"/>
    </row>
    <row r="792" spans="3:7" ht="13">
      <c r="C792" s="80"/>
      <c r="D792" s="5"/>
      <c r="E792" s="5"/>
      <c r="F792" s="5"/>
      <c r="G792" s="5"/>
    </row>
    <row r="793" spans="3:7" ht="13">
      <c r="C793" s="80"/>
      <c r="D793" s="5"/>
      <c r="E793" s="5"/>
      <c r="F793" s="5"/>
      <c r="G793" s="5"/>
    </row>
    <row r="794" spans="3:7" ht="13">
      <c r="C794" s="80"/>
      <c r="D794" s="5"/>
      <c r="E794" s="5"/>
      <c r="F794" s="5"/>
      <c r="G794" s="5"/>
    </row>
    <row r="795" spans="3:7" ht="13">
      <c r="C795" s="80"/>
      <c r="D795" s="5"/>
      <c r="E795" s="5"/>
      <c r="F795" s="5"/>
      <c r="G795" s="5"/>
    </row>
    <row r="796" spans="3:7" ht="13">
      <c r="C796" s="80"/>
      <c r="D796" s="5"/>
      <c r="E796" s="5"/>
      <c r="F796" s="5"/>
      <c r="G796" s="5"/>
    </row>
    <row r="797" spans="3:7" ht="13">
      <c r="C797" s="80"/>
      <c r="D797" s="5"/>
      <c r="E797" s="5"/>
      <c r="F797" s="5"/>
      <c r="G797" s="5"/>
    </row>
    <row r="798" spans="3:7" ht="13">
      <c r="C798" s="80"/>
      <c r="D798" s="5"/>
      <c r="E798" s="5"/>
      <c r="F798" s="5"/>
      <c r="G798" s="5"/>
    </row>
    <row r="799" spans="3:7" ht="13">
      <c r="C799" s="80"/>
      <c r="D799" s="5"/>
      <c r="E799" s="5"/>
      <c r="F799" s="5"/>
      <c r="G799" s="5"/>
    </row>
    <row r="800" spans="3:7" ht="13">
      <c r="C800" s="80"/>
      <c r="D800" s="5"/>
      <c r="E800" s="5"/>
      <c r="F800" s="5"/>
      <c r="G800" s="5"/>
    </row>
    <row r="801" spans="3:7" ht="13">
      <c r="C801" s="80"/>
      <c r="D801" s="5"/>
      <c r="E801" s="5"/>
      <c r="F801" s="5"/>
      <c r="G801" s="5"/>
    </row>
    <row r="802" spans="3:7" ht="13">
      <c r="C802" s="80"/>
      <c r="D802" s="5"/>
      <c r="E802" s="5"/>
      <c r="F802" s="5"/>
      <c r="G802" s="5"/>
    </row>
    <row r="803" spans="3:7" ht="13">
      <c r="C803" s="80"/>
      <c r="D803" s="5"/>
      <c r="E803" s="5"/>
      <c r="F803" s="5"/>
      <c r="G803" s="5"/>
    </row>
    <row r="804" spans="3:7" ht="13">
      <c r="C804" s="80"/>
      <c r="D804" s="5"/>
      <c r="E804" s="5"/>
      <c r="F804" s="5"/>
      <c r="G804" s="5"/>
    </row>
    <row r="805" spans="3:7" ht="13">
      <c r="C805" s="80"/>
      <c r="D805" s="5"/>
      <c r="E805" s="5"/>
      <c r="F805" s="5"/>
      <c r="G805" s="5"/>
    </row>
    <row r="806" spans="3:7" ht="13">
      <c r="C806" s="80"/>
      <c r="D806" s="5"/>
      <c r="E806" s="5"/>
      <c r="F806" s="5"/>
      <c r="G806" s="5"/>
    </row>
    <row r="807" spans="3:7" ht="13">
      <c r="C807" s="80"/>
      <c r="D807" s="5"/>
      <c r="E807" s="5"/>
      <c r="F807" s="5"/>
      <c r="G807" s="5"/>
    </row>
    <row r="808" spans="3:7" ht="13">
      <c r="C808" s="80"/>
      <c r="D808" s="5"/>
      <c r="E808" s="5"/>
      <c r="F808" s="5"/>
      <c r="G808" s="5"/>
    </row>
    <row r="809" spans="3:7" ht="13">
      <c r="C809" s="80"/>
      <c r="D809" s="5"/>
      <c r="E809" s="5"/>
      <c r="F809" s="5"/>
      <c r="G809" s="5"/>
    </row>
    <row r="810" spans="3:7" ht="13">
      <c r="C810" s="80"/>
      <c r="D810" s="5"/>
      <c r="E810" s="5"/>
      <c r="F810" s="5"/>
      <c r="G810" s="5"/>
    </row>
    <row r="811" spans="3:7" ht="13">
      <c r="C811" s="80"/>
      <c r="D811" s="5"/>
      <c r="E811" s="5"/>
      <c r="F811" s="5"/>
      <c r="G811" s="5"/>
    </row>
    <row r="812" spans="3:7" ht="13">
      <c r="C812" s="80"/>
      <c r="D812" s="5"/>
      <c r="E812" s="5"/>
      <c r="F812" s="5"/>
      <c r="G812" s="5"/>
    </row>
    <row r="813" spans="3:7" ht="13">
      <c r="C813" s="80"/>
      <c r="D813" s="5"/>
      <c r="E813" s="5"/>
      <c r="F813" s="5"/>
      <c r="G813" s="5"/>
    </row>
    <row r="814" spans="3:7" ht="13">
      <c r="C814" s="80"/>
      <c r="D814" s="5"/>
      <c r="E814" s="5"/>
      <c r="F814" s="5"/>
      <c r="G814" s="5"/>
    </row>
    <row r="815" spans="3:7" ht="13">
      <c r="C815" s="80"/>
      <c r="D815" s="5"/>
      <c r="E815" s="5"/>
      <c r="F815" s="5"/>
      <c r="G815" s="5"/>
    </row>
    <row r="816" spans="3:7" ht="13">
      <c r="C816" s="80"/>
      <c r="D816" s="5"/>
      <c r="E816" s="5"/>
      <c r="F816" s="5"/>
      <c r="G816" s="5"/>
    </row>
    <row r="817" spans="3:7" ht="13">
      <c r="C817" s="80"/>
      <c r="D817" s="5"/>
      <c r="E817" s="5"/>
      <c r="F817" s="5"/>
      <c r="G817" s="5"/>
    </row>
    <row r="818" spans="3:7" ht="13">
      <c r="C818" s="80"/>
      <c r="D818" s="5"/>
      <c r="E818" s="5"/>
      <c r="F818" s="5"/>
      <c r="G818" s="5"/>
    </row>
    <row r="819" spans="3:7" ht="13">
      <c r="C819" s="80"/>
      <c r="D819" s="5"/>
      <c r="E819" s="5"/>
      <c r="F819" s="5"/>
      <c r="G819" s="5"/>
    </row>
    <row r="820" spans="3:7" ht="13">
      <c r="C820" s="80"/>
      <c r="D820" s="5"/>
      <c r="E820" s="5"/>
      <c r="F820" s="5"/>
      <c r="G820" s="5"/>
    </row>
    <row r="821" spans="3:7" ht="13">
      <c r="C821" s="80"/>
      <c r="D821" s="5"/>
      <c r="E821" s="5"/>
      <c r="F821" s="5"/>
      <c r="G821" s="5"/>
    </row>
    <row r="822" spans="3:7" ht="13">
      <c r="C822" s="80"/>
      <c r="D822" s="5"/>
      <c r="E822" s="5"/>
      <c r="F822" s="5"/>
      <c r="G822" s="5"/>
    </row>
    <row r="823" spans="3:7" ht="13">
      <c r="C823" s="80"/>
      <c r="D823" s="5"/>
      <c r="E823" s="5"/>
      <c r="F823" s="5"/>
      <c r="G823" s="5"/>
    </row>
    <row r="824" spans="3:7" ht="13">
      <c r="C824" s="80"/>
      <c r="D824" s="5"/>
      <c r="E824" s="5"/>
      <c r="F824" s="5"/>
      <c r="G824" s="5"/>
    </row>
    <row r="825" spans="3:7" ht="13">
      <c r="C825" s="80"/>
      <c r="D825" s="5"/>
      <c r="E825" s="5"/>
      <c r="F825" s="5"/>
      <c r="G825" s="5"/>
    </row>
    <row r="826" spans="3:7" ht="13">
      <c r="C826" s="80"/>
      <c r="D826" s="5"/>
      <c r="E826" s="5"/>
      <c r="F826" s="5"/>
      <c r="G826" s="5"/>
    </row>
    <row r="827" spans="3:7" ht="13">
      <c r="C827" s="80"/>
      <c r="D827" s="5"/>
      <c r="E827" s="5"/>
      <c r="F827" s="5"/>
      <c r="G827" s="5"/>
    </row>
    <row r="828" spans="3:7" ht="13">
      <c r="C828" s="80"/>
      <c r="D828" s="5"/>
      <c r="E828" s="5"/>
      <c r="F828" s="5"/>
      <c r="G828" s="5"/>
    </row>
    <row r="829" spans="3:7" ht="13">
      <c r="C829" s="80"/>
      <c r="D829" s="5"/>
      <c r="E829" s="5"/>
      <c r="F829" s="5"/>
      <c r="G829" s="5"/>
    </row>
    <row r="830" spans="3:7" ht="13">
      <c r="C830" s="80"/>
      <c r="D830" s="5"/>
      <c r="E830" s="5"/>
      <c r="F830" s="5"/>
      <c r="G830" s="5"/>
    </row>
    <row r="831" spans="3:7" ht="13">
      <c r="C831" s="80"/>
      <c r="D831" s="5"/>
      <c r="E831" s="5"/>
      <c r="F831" s="5"/>
      <c r="G831" s="5"/>
    </row>
    <row r="832" spans="3:7" ht="13">
      <c r="C832" s="80"/>
      <c r="D832" s="5"/>
      <c r="E832" s="5"/>
      <c r="F832" s="5"/>
      <c r="G832" s="5"/>
    </row>
    <row r="833" spans="3:7" ht="13">
      <c r="C833" s="80"/>
      <c r="D833" s="5"/>
      <c r="E833" s="5"/>
      <c r="F833" s="5"/>
      <c r="G833" s="5"/>
    </row>
    <row r="834" spans="3:7" ht="13">
      <c r="C834" s="80"/>
      <c r="D834" s="5"/>
      <c r="E834" s="5"/>
      <c r="F834" s="5"/>
      <c r="G834" s="5"/>
    </row>
    <row r="835" spans="3:7" ht="13">
      <c r="C835" s="80"/>
      <c r="D835" s="5"/>
      <c r="E835" s="5"/>
      <c r="F835" s="5"/>
      <c r="G835" s="5"/>
    </row>
    <row r="836" spans="3:7" ht="13">
      <c r="C836" s="80"/>
      <c r="D836" s="5"/>
      <c r="E836" s="5"/>
      <c r="F836" s="5"/>
      <c r="G836" s="5"/>
    </row>
    <row r="837" spans="3:7" ht="13">
      <c r="C837" s="80"/>
      <c r="D837" s="5"/>
      <c r="E837" s="5"/>
      <c r="F837" s="5"/>
      <c r="G837" s="5"/>
    </row>
    <row r="838" spans="3:7" ht="13">
      <c r="C838" s="80"/>
      <c r="D838" s="5"/>
      <c r="E838" s="5"/>
      <c r="F838" s="5"/>
      <c r="G838" s="5"/>
    </row>
    <row r="839" spans="3:7" ht="13">
      <c r="C839" s="80"/>
      <c r="D839" s="5"/>
      <c r="E839" s="5"/>
      <c r="F839" s="5"/>
      <c r="G839" s="5"/>
    </row>
    <row r="840" spans="3:7" ht="13">
      <c r="C840" s="80"/>
      <c r="D840" s="5"/>
      <c r="E840" s="5"/>
      <c r="F840" s="5"/>
      <c r="G840" s="5"/>
    </row>
    <row r="841" spans="3:7" ht="13">
      <c r="C841" s="80"/>
      <c r="D841" s="5"/>
      <c r="E841" s="5"/>
      <c r="F841" s="5"/>
      <c r="G841" s="5"/>
    </row>
    <row r="842" spans="3:7" ht="13">
      <c r="C842" s="80"/>
      <c r="D842" s="5"/>
      <c r="E842" s="5"/>
      <c r="F842" s="5"/>
      <c r="G842" s="5"/>
    </row>
    <row r="843" spans="3:7" ht="13">
      <c r="C843" s="80"/>
      <c r="D843" s="5"/>
      <c r="E843" s="5"/>
      <c r="F843" s="5"/>
      <c r="G843" s="5"/>
    </row>
    <row r="844" spans="3:7" ht="13">
      <c r="C844" s="80"/>
      <c r="D844" s="5"/>
      <c r="E844" s="5"/>
      <c r="F844" s="5"/>
      <c r="G844" s="5"/>
    </row>
    <row r="845" spans="3:7" ht="13">
      <c r="C845" s="80"/>
      <c r="D845" s="5"/>
      <c r="E845" s="5"/>
      <c r="F845" s="5"/>
      <c r="G845" s="5"/>
    </row>
    <row r="846" spans="3:7" ht="13">
      <c r="C846" s="80"/>
      <c r="D846" s="5"/>
      <c r="E846" s="5"/>
      <c r="F846" s="5"/>
      <c r="G846" s="5"/>
    </row>
    <row r="847" spans="3:7" ht="13">
      <c r="C847" s="80"/>
      <c r="D847" s="5"/>
      <c r="E847" s="5"/>
      <c r="F847" s="5"/>
      <c r="G847" s="5"/>
    </row>
    <row r="848" spans="3:7" ht="13">
      <c r="C848" s="80"/>
      <c r="D848" s="5"/>
      <c r="E848" s="5"/>
      <c r="F848" s="5"/>
      <c r="G848" s="5"/>
    </row>
    <row r="849" spans="3:7" ht="13">
      <c r="C849" s="80"/>
      <c r="D849" s="5"/>
      <c r="E849" s="5"/>
      <c r="F849" s="5"/>
      <c r="G849" s="5"/>
    </row>
    <row r="850" spans="3:7" ht="13">
      <c r="C850" s="80"/>
      <c r="D850" s="5"/>
      <c r="E850" s="5"/>
      <c r="F850" s="5"/>
      <c r="G850" s="5"/>
    </row>
    <row r="851" spans="3:7" ht="13">
      <c r="C851" s="80"/>
      <c r="D851" s="5"/>
      <c r="E851" s="5"/>
      <c r="F851" s="5"/>
      <c r="G851" s="5"/>
    </row>
    <row r="852" spans="3:7" ht="13">
      <c r="C852" s="80"/>
      <c r="D852" s="5"/>
      <c r="E852" s="5"/>
      <c r="F852" s="5"/>
      <c r="G852" s="5"/>
    </row>
    <row r="853" spans="3:7" ht="13">
      <c r="C853" s="80"/>
      <c r="D853" s="5"/>
      <c r="E853" s="5"/>
      <c r="F853" s="5"/>
      <c r="G853" s="5"/>
    </row>
    <row r="854" spans="3:7" ht="13">
      <c r="C854" s="80"/>
      <c r="D854" s="5"/>
      <c r="E854" s="5"/>
      <c r="F854" s="5"/>
      <c r="G854" s="5"/>
    </row>
    <row r="855" spans="3:7" ht="13">
      <c r="C855" s="80"/>
      <c r="D855" s="5"/>
      <c r="E855" s="5"/>
      <c r="F855" s="5"/>
      <c r="G855" s="5"/>
    </row>
    <row r="856" spans="3:7" ht="13">
      <c r="C856" s="80"/>
      <c r="D856" s="5"/>
      <c r="E856" s="5"/>
      <c r="F856" s="5"/>
      <c r="G856" s="5"/>
    </row>
    <row r="857" spans="3:7" ht="13">
      <c r="C857" s="80"/>
      <c r="D857" s="5"/>
      <c r="E857" s="5"/>
      <c r="F857" s="5"/>
      <c r="G857" s="5"/>
    </row>
    <row r="858" spans="3:7" ht="13">
      <c r="C858" s="80"/>
      <c r="D858" s="5"/>
      <c r="E858" s="5"/>
      <c r="F858" s="5"/>
      <c r="G858" s="5"/>
    </row>
    <row r="859" spans="3:7" ht="13">
      <c r="C859" s="80"/>
      <c r="D859" s="5"/>
      <c r="E859" s="5"/>
      <c r="F859" s="5"/>
      <c r="G859" s="5"/>
    </row>
    <row r="860" spans="3:7" ht="13">
      <c r="C860" s="80"/>
      <c r="D860" s="5"/>
      <c r="E860" s="5"/>
      <c r="F860" s="5"/>
      <c r="G860" s="5"/>
    </row>
    <row r="861" spans="3:7" ht="13">
      <c r="C861" s="80"/>
      <c r="D861" s="5"/>
      <c r="E861" s="5"/>
      <c r="F861" s="5"/>
      <c r="G861" s="5"/>
    </row>
    <row r="862" spans="3:7" ht="13">
      <c r="C862" s="80"/>
      <c r="D862" s="5"/>
      <c r="E862" s="5"/>
      <c r="F862" s="5"/>
      <c r="G862" s="5"/>
    </row>
    <row r="863" spans="3:7" ht="13">
      <c r="C863" s="80"/>
      <c r="D863" s="5"/>
      <c r="E863" s="5"/>
      <c r="F863" s="5"/>
      <c r="G863" s="5"/>
    </row>
    <row r="864" spans="3:7" ht="13">
      <c r="C864" s="80"/>
      <c r="D864" s="5"/>
      <c r="E864" s="5"/>
      <c r="F864" s="5"/>
      <c r="G864" s="5"/>
    </row>
    <row r="865" spans="3:7" ht="13">
      <c r="C865" s="80"/>
      <c r="D865" s="5"/>
      <c r="E865" s="5"/>
      <c r="F865" s="5"/>
      <c r="G865" s="5"/>
    </row>
    <row r="866" spans="3:7" ht="13">
      <c r="C866" s="80"/>
      <c r="D866" s="5"/>
      <c r="E866" s="5"/>
      <c r="F866" s="5"/>
      <c r="G866" s="5"/>
    </row>
    <row r="867" spans="3:7" ht="13">
      <c r="C867" s="80"/>
      <c r="D867" s="5"/>
      <c r="E867" s="5"/>
      <c r="F867" s="5"/>
      <c r="G867" s="5"/>
    </row>
    <row r="868" spans="3:7" ht="13">
      <c r="C868" s="80"/>
      <c r="D868" s="5"/>
      <c r="E868" s="5"/>
      <c r="F868" s="5"/>
      <c r="G868" s="5"/>
    </row>
    <row r="869" spans="3:7" ht="13">
      <c r="C869" s="80"/>
      <c r="D869" s="5"/>
      <c r="E869" s="5"/>
      <c r="F869" s="5"/>
      <c r="G869" s="5"/>
    </row>
    <row r="870" spans="3:7" ht="13">
      <c r="C870" s="80"/>
      <c r="D870" s="5"/>
      <c r="E870" s="5"/>
      <c r="F870" s="5"/>
      <c r="G870" s="5"/>
    </row>
    <row r="871" spans="3:7" ht="13">
      <c r="C871" s="80"/>
      <c r="D871" s="5"/>
      <c r="E871" s="5"/>
      <c r="F871" s="5"/>
      <c r="G871" s="5"/>
    </row>
    <row r="872" spans="3:7" ht="13">
      <c r="C872" s="80"/>
      <c r="D872" s="5"/>
      <c r="E872" s="5"/>
      <c r="F872" s="5"/>
      <c r="G872" s="5"/>
    </row>
    <row r="873" spans="3:7" ht="13">
      <c r="C873" s="80"/>
      <c r="D873" s="5"/>
      <c r="E873" s="5"/>
      <c r="F873" s="5"/>
      <c r="G873" s="5"/>
    </row>
    <row r="874" spans="3:7" ht="13">
      <c r="C874" s="80"/>
      <c r="D874" s="5"/>
      <c r="E874" s="5"/>
      <c r="F874" s="5"/>
      <c r="G874" s="5"/>
    </row>
    <row r="875" spans="3:7" ht="13">
      <c r="C875" s="80"/>
      <c r="D875" s="5"/>
      <c r="E875" s="5"/>
      <c r="F875" s="5"/>
      <c r="G875" s="5"/>
    </row>
    <row r="876" spans="3:7" ht="13">
      <c r="C876" s="80"/>
      <c r="D876" s="5"/>
      <c r="E876" s="5"/>
      <c r="F876" s="5"/>
      <c r="G876" s="5"/>
    </row>
    <row r="877" spans="3:7" ht="13">
      <c r="C877" s="80"/>
      <c r="D877" s="5"/>
      <c r="E877" s="5"/>
      <c r="F877" s="5"/>
      <c r="G877" s="5"/>
    </row>
    <row r="878" spans="3:7" ht="13">
      <c r="C878" s="80"/>
      <c r="D878" s="5"/>
      <c r="E878" s="5"/>
      <c r="F878" s="5"/>
      <c r="G878" s="5"/>
    </row>
    <row r="879" spans="3:7" ht="13">
      <c r="C879" s="80"/>
      <c r="D879" s="5"/>
      <c r="E879" s="5"/>
      <c r="F879" s="5"/>
      <c r="G879" s="5"/>
    </row>
    <row r="880" spans="3:7" ht="13">
      <c r="C880" s="80"/>
      <c r="D880" s="5"/>
      <c r="E880" s="5"/>
      <c r="F880" s="5"/>
      <c r="G880" s="5"/>
    </row>
    <row r="881" spans="3:7" ht="13">
      <c r="C881" s="80"/>
      <c r="D881" s="5"/>
      <c r="E881" s="5"/>
      <c r="F881" s="5"/>
      <c r="G881" s="5"/>
    </row>
    <row r="882" spans="3:7" ht="13">
      <c r="C882" s="80"/>
      <c r="D882" s="5"/>
      <c r="E882" s="5"/>
      <c r="F882" s="5"/>
      <c r="G882" s="5"/>
    </row>
    <row r="883" spans="3:7" ht="13">
      <c r="C883" s="80"/>
      <c r="D883" s="5"/>
      <c r="E883" s="5"/>
      <c r="F883" s="5"/>
      <c r="G883" s="5"/>
    </row>
    <row r="884" spans="3:7" ht="13">
      <c r="C884" s="80"/>
      <c r="D884" s="5"/>
      <c r="E884" s="5"/>
      <c r="F884" s="5"/>
      <c r="G884" s="5"/>
    </row>
    <row r="885" spans="3:7" ht="13">
      <c r="C885" s="80"/>
      <c r="D885" s="5"/>
      <c r="E885" s="5"/>
      <c r="F885" s="5"/>
      <c r="G885" s="5"/>
    </row>
    <row r="886" spans="3:7" ht="13">
      <c r="C886" s="80"/>
      <c r="D886" s="5"/>
      <c r="E886" s="5"/>
      <c r="F886" s="5"/>
      <c r="G886" s="5"/>
    </row>
    <row r="887" spans="3:7" ht="13">
      <c r="C887" s="80"/>
      <c r="D887" s="5"/>
      <c r="E887" s="5"/>
      <c r="F887" s="5"/>
      <c r="G887" s="5"/>
    </row>
    <row r="888" spans="3:7" ht="13">
      <c r="C888" s="80"/>
      <c r="D888" s="5"/>
      <c r="E888" s="5"/>
      <c r="F888" s="5"/>
      <c r="G888" s="5"/>
    </row>
    <row r="889" spans="3:7" ht="13">
      <c r="C889" s="80"/>
      <c r="D889" s="5"/>
      <c r="E889" s="5"/>
      <c r="F889" s="5"/>
      <c r="G889" s="5"/>
    </row>
    <row r="890" spans="3:7" ht="13">
      <c r="C890" s="80"/>
      <c r="D890" s="5"/>
      <c r="E890" s="5"/>
      <c r="F890" s="5"/>
      <c r="G890" s="5"/>
    </row>
    <row r="891" spans="3:7" ht="13">
      <c r="C891" s="80"/>
      <c r="D891" s="5"/>
      <c r="E891" s="5"/>
      <c r="F891" s="5"/>
      <c r="G891" s="5"/>
    </row>
    <row r="892" spans="3:7" ht="13">
      <c r="C892" s="80"/>
      <c r="D892" s="5"/>
      <c r="E892" s="5"/>
      <c r="F892" s="5"/>
      <c r="G892" s="5"/>
    </row>
    <row r="893" spans="3:7" ht="13">
      <c r="C893" s="80"/>
      <c r="D893" s="5"/>
      <c r="E893" s="5"/>
      <c r="F893" s="5"/>
      <c r="G893" s="5"/>
    </row>
    <row r="894" spans="3:7" ht="13">
      <c r="C894" s="80"/>
      <c r="D894" s="5"/>
      <c r="E894" s="5"/>
      <c r="F894" s="5"/>
      <c r="G894" s="5"/>
    </row>
    <row r="895" spans="3:7" ht="13">
      <c r="C895" s="80"/>
      <c r="D895" s="5"/>
      <c r="E895" s="5"/>
      <c r="F895" s="5"/>
      <c r="G895" s="5"/>
    </row>
    <row r="896" spans="3:7" ht="13">
      <c r="C896" s="80"/>
      <c r="D896" s="5"/>
      <c r="E896" s="5"/>
      <c r="F896" s="5"/>
      <c r="G896" s="5"/>
    </row>
    <row r="897" spans="3:7" ht="13">
      <c r="C897" s="80"/>
      <c r="D897" s="5"/>
      <c r="E897" s="5"/>
      <c r="F897" s="5"/>
      <c r="G897" s="5"/>
    </row>
    <row r="898" spans="3:7" ht="13">
      <c r="C898" s="80"/>
      <c r="D898" s="5"/>
      <c r="E898" s="5"/>
      <c r="F898" s="5"/>
      <c r="G898" s="5"/>
    </row>
    <row r="899" spans="3:7" ht="13">
      <c r="C899" s="80"/>
      <c r="D899" s="5"/>
      <c r="E899" s="5"/>
      <c r="F899" s="5"/>
      <c r="G899" s="5"/>
    </row>
    <row r="900" spans="3:7" ht="13">
      <c r="C900" s="80"/>
      <c r="D900" s="5"/>
      <c r="E900" s="5"/>
      <c r="F900" s="5"/>
      <c r="G900" s="5"/>
    </row>
    <row r="901" spans="3:7" ht="13">
      <c r="C901" s="80"/>
      <c r="D901" s="5"/>
      <c r="E901" s="5"/>
      <c r="F901" s="5"/>
      <c r="G901" s="5"/>
    </row>
    <row r="902" spans="3:7" ht="13">
      <c r="C902" s="80"/>
      <c r="D902" s="5"/>
      <c r="E902" s="5"/>
      <c r="F902" s="5"/>
      <c r="G902" s="5"/>
    </row>
    <row r="903" spans="3:7" ht="13">
      <c r="C903" s="80"/>
      <c r="D903" s="5"/>
      <c r="E903" s="5"/>
      <c r="F903" s="5"/>
      <c r="G903" s="5"/>
    </row>
    <row r="904" spans="3:7" ht="13">
      <c r="C904" s="80"/>
      <c r="D904" s="5"/>
      <c r="E904" s="5"/>
      <c r="F904" s="5"/>
      <c r="G904" s="5"/>
    </row>
    <row r="905" spans="3:7" ht="13">
      <c r="C905" s="80"/>
      <c r="D905" s="5"/>
      <c r="E905" s="5"/>
      <c r="F905" s="5"/>
      <c r="G905" s="5"/>
    </row>
    <row r="906" spans="3:7" ht="13">
      <c r="C906" s="80"/>
      <c r="D906" s="5"/>
      <c r="E906" s="5"/>
      <c r="F906" s="5"/>
      <c r="G906" s="5"/>
    </row>
    <row r="907" spans="3:7" ht="13">
      <c r="C907" s="80"/>
      <c r="D907" s="5"/>
      <c r="E907" s="5"/>
      <c r="F907" s="5"/>
      <c r="G907" s="5"/>
    </row>
    <row r="908" spans="3:7" ht="13">
      <c r="C908" s="80"/>
      <c r="D908" s="5"/>
      <c r="E908" s="5"/>
      <c r="F908" s="5"/>
      <c r="G908" s="5"/>
    </row>
    <row r="909" spans="3:7" ht="13">
      <c r="C909" s="80"/>
      <c r="D909" s="5"/>
      <c r="E909" s="5"/>
      <c r="F909" s="5"/>
      <c r="G909" s="5"/>
    </row>
    <row r="910" spans="3:7" ht="13">
      <c r="C910" s="80"/>
      <c r="D910" s="5"/>
      <c r="E910" s="5"/>
      <c r="F910" s="5"/>
      <c r="G910" s="5"/>
    </row>
    <row r="911" spans="3:7" ht="13">
      <c r="C911" s="80"/>
      <c r="D911" s="5"/>
      <c r="E911" s="5"/>
      <c r="F911" s="5"/>
      <c r="G911" s="5"/>
    </row>
    <row r="912" spans="3:7" ht="13">
      <c r="C912" s="80"/>
      <c r="D912" s="5"/>
      <c r="E912" s="5"/>
      <c r="F912" s="5"/>
      <c r="G912" s="5"/>
    </row>
    <row r="913" spans="3:7" ht="13">
      <c r="C913" s="80"/>
      <c r="D913" s="5"/>
      <c r="E913" s="5"/>
      <c r="F913" s="5"/>
      <c r="G913" s="5"/>
    </row>
    <row r="914" spans="3:7" ht="13">
      <c r="C914" s="80"/>
      <c r="D914" s="5"/>
      <c r="E914" s="5"/>
      <c r="F914" s="5"/>
      <c r="G914" s="5"/>
    </row>
    <row r="915" spans="3:7" ht="13">
      <c r="C915" s="80"/>
      <c r="D915" s="5"/>
      <c r="E915" s="5"/>
      <c r="F915" s="5"/>
      <c r="G915" s="5"/>
    </row>
    <row r="916" spans="3:7" ht="13">
      <c r="C916" s="80"/>
      <c r="D916" s="5"/>
      <c r="E916" s="5"/>
      <c r="F916" s="5"/>
      <c r="G916" s="5"/>
    </row>
    <row r="917" spans="3:7" ht="13">
      <c r="C917" s="80"/>
      <c r="D917" s="5"/>
      <c r="E917" s="5"/>
      <c r="F917" s="5"/>
      <c r="G917" s="5"/>
    </row>
    <row r="918" spans="3:7" ht="13">
      <c r="C918" s="80"/>
      <c r="D918" s="5"/>
      <c r="E918" s="5"/>
      <c r="F918" s="5"/>
      <c r="G918" s="5"/>
    </row>
    <row r="919" spans="3:7" ht="13">
      <c r="C919" s="80"/>
      <c r="D919" s="5"/>
      <c r="E919" s="5"/>
      <c r="F919" s="5"/>
      <c r="G919" s="5"/>
    </row>
    <row r="920" spans="3:7" ht="13">
      <c r="C920" s="80"/>
      <c r="D920" s="5"/>
      <c r="E920" s="5"/>
      <c r="F920" s="5"/>
      <c r="G920" s="5"/>
    </row>
    <row r="921" spans="3:7" ht="13">
      <c r="C921" s="80"/>
      <c r="D921" s="5"/>
      <c r="E921" s="5"/>
      <c r="F921" s="5"/>
      <c r="G921" s="5"/>
    </row>
    <row r="922" spans="3:7" ht="13">
      <c r="C922" s="80"/>
      <c r="D922" s="5"/>
      <c r="E922" s="5"/>
      <c r="F922" s="5"/>
      <c r="G922" s="5"/>
    </row>
    <row r="923" spans="3:7" ht="13">
      <c r="C923" s="80"/>
      <c r="D923" s="5"/>
      <c r="E923" s="5"/>
      <c r="F923" s="5"/>
      <c r="G923" s="5"/>
    </row>
    <row r="924" spans="3:7" ht="13">
      <c r="C924" s="80"/>
      <c r="D924" s="5"/>
      <c r="E924" s="5"/>
      <c r="F924" s="5"/>
      <c r="G924" s="5"/>
    </row>
    <row r="925" spans="3:7" ht="13">
      <c r="C925" s="80"/>
      <c r="D925" s="5"/>
      <c r="E925" s="5"/>
      <c r="F925" s="5"/>
      <c r="G925" s="5"/>
    </row>
    <row r="926" spans="3:7" ht="13">
      <c r="C926" s="80"/>
      <c r="D926" s="5"/>
      <c r="E926" s="5"/>
      <c r="F926" s="5"/>
      <c r="G926" s="5"/>
    </row>
    <row r="927" spans="3:7" ht="13">
      <c r="C927" s="80"/>
      <c r="D927" s="5"/>
      <c r="E927" s="5"/>
      <c r="F927" s="5"/>
      <c r="G927" s="5"/>
    </row>
    <row r="928" spans="3:7" ht="13">
      <c r="C928" s="80"/>
      <c r="D928" s="5"/>
      <c r="E928" s="5"/>
      <c r="F928" s="5"/>
      <c r="G928" s="5"/>
    </row>
    <row r="929" spans="3:7" ht="13">
      <c r="C929" s="80"/>
      <c r="D929" s="5"/>
      <c r="E929" s="5"/>
      <c r="F929" s="5"/>
      <c r="G929" s="5"/>
    </row>
    <row r="930" spans="3:7" ht="13">
      <c r="C930" s="80"/>
      <c r="D930" s="5"/>
      <c r="E930" s="5"/>
      <c r="F930" s="5"/>
      <c r="G930" s="5"/>
    </row>
    <row r="931" spans="3:7" ht="13">
      <c r="C931" s="80"/>
      <c r="D931" s="5"/>
      <c r="E931" s="5"/>
      <c r="F931" s="5"/>
      <c r="G931" s="5"/>
    </row>
    <row r="932" spans="3:7" ht="13">
      <c r="C932" s="80"/>
      <c r="D932" s="5"/>
      <c r="E932" s="5"/>
      <c r="F932" s="5"/>
      <c r="G932" s="5"/>
    </row>
    <row r="933" spans="3:7" ht="13">
      <c r="C933" s="80"/>
      <c r="D933" s="5"/>
      <c r="E933" s="5"/>
      <c r="F933" s="5"/>
      <c r="G933" s="5"/>
    </row>
    <row r="934" spans="3:7" ht="13">
      <c r="C934" s="80"/>
      <c r="D934" s="5"/>
      <c r="E934" s="5"/>
      <c r="F934" s="5"/>
      <c r="G934" s="5"/>
    </row>
    <row r="935" spans="3:7" ht="13">
      <c r="C935" s="80"/>
      <c r="D935" s="5"/>
      <c r="E935" s="5"/>
      <c r="F935" s="5"/>
      <c r="G935" s="5"/>
    </row>
    <row r="936" spans="3:7" ht="13">
      <c r="C936" s="80"/>
      <c r="D936" s="5"/>
      <c r="E936" s="5"/>
      <c r="F936" s="5"/>
      <c r="G936" s="5"/>
    </row>
    <row r="937" spans="3:7" ht="13">
      <c r="C937" s="80"/>
      <c r="D937" s="5"/>
      <c r="E937" s="5"/>
      <c r="F937" s="5"/>
      <c r="G937" s="5"/>
    </row>
    <row r="938" spans="3:7" ht="13">
      <c r="C938" s="80"/>
      <c r="D938" s="5"/>
      <c r="E938" s="5"/>
      <c r="F938" s="5"/>
      <c r="G938" s="5"/>
    </row>
    <row r="939" spans="3:7" ht="13">
      <c r="C939" s="80"/>
      <c r="D939" s="5"/>
      <c r="E939" s="5"/>
      <c r="F939" s="5"/>
      <c r="G939" s="5"/>
    </row>
    <row r="940" spans="3:7" ht="13">
      <c r="C940" s="80"/>
      <c r="D940" s="5"/>
      <c r="E940" s="5"/>
      <c r="F940" s="5"/>
      <c r="G940" s="5"/>
    </row>
    <row r="941" spans="3:7" ht="13">
      <c r="C941" s="80"/>
      <c r="D941" s="5"/>
      <c r="E941" s="5"/>
      <c r="F941" s="5"/>
      <c r="G941" s="5"/>
    </row>
    <row r="942" spans="3:7" ht="13">
      <c r="C942" s="80"/>
      <c r="D942" s="5"/>
      <c r="E942" s="5"/>
      <c r="F942" s="5"/>
      <c r="G942" s="5"/>
    </row>
    <row r="943" spans="3:7" ht="13">
      <c r="C943" s="80"/>
      <c r="D943" s="5"/>
      <c r="E943" s="5"/>
      <c r="F943" s="5"/>
      <c r="G943" s="5"/>
    </row>
    <row r="944" spans="3:7" ht="13">
      <c r="C944" s="80"/>
      <c r="D944" s="5"/>
      <c r="E944" s="5"/>
      <c r="F944" s="5"/>
      <c r="G944" s="5"/>
    </row>
    <row r="945" spans="3:7" ht="13">
      <c r="C945" s="80"/>
      <c r="D945" s="5"/>
      <c r="E945" s="5"/>
      <c r="F945" s="5"/>
      <c r="G945" s="5"/>
    </row>
    <row r="946" spans="3:7" ht="13">
      <c r="C946" s="80"/>
      <c r="D946" s="5"/>
      <c r="E946" s="5"/>
      <c r="F946" s="5"/>
      <c r="G946" s="5"/>
    </row>
    <row r="947" spans="3:7" ht="13">
      <c r="C947" s="80"/>
      <c r="D947" s="5"/>
      <c r="E947" s="5"/>
      <c r="F947" s="5"/>
      <c r="G947" s="5"/>
    </row>
    <row r="948" spans="3:7" ht="13">
      <c r="C948" s="80"/>
      <c r="D948" s="5"/>
      <c r="E948" s="5"/>
      <c r="F948" s="5"/>
      <c r="G948" s="5"/>
    </row>
    <row r="949" spans="3:7" ht="13">
      <c r="C949" s="80"/>
      <c r="D949" s="5"/>
      <c r="E949" s="5"/>
      <c r="F949" s="5"/>
      <c r="G949" s="5"/>
    </row>
    <row r="950" spans="3:7" ht="13">
      <c r="C950" s="80"/>
      <c r="D950" s="5"/>
      <c r="E950" s="5"/>
      <c r="F950" s="5"/>
      <c r="G950" s="5"/>
    </row>
    <row r="951" spans="3:7" ht="13">
      <c r="C951" s="80"/>
      <c r="D951" s="5"/>
      <c r="E951" s="5"/>
      <c r="F951" s="5"/>
      <c r="G951" s="5"/>
    </row>
    <row r="952" spans="3:7" ht="13">
      <c r="C952" s="80"/>
      <c r="D952" s="5"/>
      <c r="E952" s="5"/>
      <c r="F952" s="5"/>
      <c r="G952" s="5"/>
    </row>
    <row r="953" spans="3:7" ht="13">
      <c r="C953" s="80"/>
      <c r="D953" s="5"/>
      <c r="E953" s="5"/>
      <c r="F953" s="5"/>
      <c r="G953" s="5"/>
    </row>
    <row r="954" spans="3:7" ht="13">
      <c r="C954" s="80"/>
      <c r="D954" s="5"/>
      <c r="E954" s="5"/>
      <c r="F954" s="5"/>
      <c r="G954" s="5"/>
    </row>
    <row r="955" spans="3:7" ht="13">
      <c r="C955" s="80"/>
      <c r="D955" s="5"/>
      <c r="E955" s="5"/>
      <c r="F955" s="5"/>
      <c r="G955" s="5"/>
    </row>
    <row r="956" spans="3:7" ht="13">
      <c r="C956" s="80"/>
      <c r="D956" s="5"/>
      <c r="E956" s="5"/>
      <c r="F956" s="5"/>
      <c r="G956" s="5"/>
    </row>
    <row r="957" spans="3:7" ht="13">
      <c r="C957" s="80"/>
      <c r="D957" s="5"/>
      <c r="E957" s="5"/>
      <c r="F957" s="5"/>
      <c r="G957" s="5"/>
    </row>
    <row r="958" spans="3:7" ht="13">
      <c r="C958" s="80"/>
      <c r="D958" s="5"/>
      <c r="E958" s="5"/>
      <c r="F958" s="5"/>
      <c r="G958" s="5"/>
    </row>
    <row r="959" spans="3:7" ht="13">
      <c r="C959" s="80"/>
      <c r="D959" s="5"/>
      <c r="E959" s="5"/>
      <c r="F959" s="5"/>
      <c r="G959" s="5"/>
    </row>
    <row r="960" spans="3:7" ht="13">
      <c r="C960" s="80"/>
      <c r="D960" s="5"/>
      <c r="E960" s="5"/>
      <c r="F960" s="5"/>
      <c r="G960" s="5"/>
    </row>
    <row r="961" spans="3:7" ht="13">
      <c r="C961" s="80"/>
      <c r="D961" s="5"/>
      <c r="E961" s="5"/>
      <c r="F961" s="5"/>
      <c r="G961" s="5"/>
    </row>
    <row r="962" spans="3:7" ht="13">
      <c r="C962" s="80"/>
      <c r="D962" s="5"/>
      <c r="E962" s="5"/>
      <c r="F962" s="5"/>
      <c r="G962" s="5"/>
    </row>
    <row r="963" spans="3:7" ht="13">
      <c r="C963" s="80"/>
      <c r="D963" s="5"/>
      <c r="E963" s="5"/>
      <c r="F963" s="5"/>
      <c r="G963" s="5"/>
    </row>
    <row r="964" spans="3:7" ht="13">
      <c r="C964" s="80"/>
      <c r="D964" s="5"/>
      <c r="E964" s="5"/>
      <c r="F964" s="5"/>
      <c r="G964" s="5"/>
    </row>
    <row r="965" spans="3:7" ht="13">
      <c r="C965" s="80"/>
      <c r="D965" s="5"/>
      <c r="E965" s="5"/>
      <c r="F965" s="5"/>
      <c r="G965" s="5"/>
    </row>
    <row r="966" spans="3:7" ht="13">
      <c r="C966" s="80"/>
      <c r="D966" s="5"/>
      <c r="E966" s="5"/>
      <c r="F966" s="5"/>
      <c r="G966" s="5"/>
    </row>
    <row r="967" spans="3:7" ht="13">
      <c r="C967" s="80"/>
      <c r="D967" s="5"/>
      <c r="E967" s="5"/>
      <c r="F967" s="5"/>
      <c r="G967" s="5"/>
    </row>
    <row r="968" spans="3:7" ht="13">
      <c r="C968" s="80"/>
      <c r="D968" s="5"/>
      <c r="E968" s="5"/>
      <c r="F968" s="5"/>
      <c r="G968" s="5"/>
    </row>
    <row r="969" spans="3:7" ht="13">
      <c r="C969" s="80"/>
      <c r="D969" s="5"/>
      <c r="E969" s="5"/>
      <c r="F969" s="5"/>
      <c r="G969" s="5"/>
    </row>
    <row r="970" spans="3:7" ht="13">
      <c r="C970" s="80"/>
      <c r="D970" s="5"/>
      <c r="E970" s="5"/>
      <c r="F970" s="5"/>
      <c r="G970" s="5"/>
    </row>
    <row r="971" spans="3:7" ht="13">
      <c r="C971" s="80"/>
      <c r="D971" s="5"/>
      <c r="E971" s="5"/>
      <c r="F971" s="5"/>
      <c r="G971" s="5"/>
    </row>
    <row r="972" spans="3:7" ht="13">
      <c r="C972" s="80"/>
      <c r="D972" s="5"/>
      <c r="E972" s="5"/>
      <c r="F972" s="5"/>
      <c r="G972" s="5"/>
    </row>
    <row r="973" spans="3:7" ht="13">
      <c r="C973" s="80"/>
      <c r="D973" s="5"/>
      <c r="E973" s="5"/>
      <c r="F973" s="5"/>
      <c r="G973" s="5"/>
    </row>
    <row r="974" spans="3:7" ht="13">
      <c r="C974" s="80"/>
      <c r="D974" s="5"/>
      <c r="E974" s="5"/>
      <c r="F974" s="5"/>
      <c r="G974" s="5"/>
    </row>
    <row r="975" spans="3:7" ht="13">
      <c r="C975" s="80"/>
      <c r="D975" s="5"/>
      <c r="E975" s="5"/>
      <c r="F975" s="5"/>
      <c r="G975" s="5"/>
    </row>
    <row r="976" spans="3:7" ht="13">
      <c r="C976" s="80"/>
      <c r="D976" s="5"/>
      <c r="E976" s="5"/>
      <c r="F976" s="5"/>
      <c r="G976" s="5"/>
    </row>
    <row r="977" spans="3:7" ht="13">
      <c r="C977" s="80"/>
      <c r="D977" s="5"/>
      <c r="E977" s="5"/>
      <c r="F977" s="5"/>
      <c r="G977" s="5"/>
    </row>
    <row r="978" spans="3:7" ht="13">
      <c r="C978" s="80"/>
      <c r="D978" s="5"/>
      <c r="E978" s="5"/>
      <c r="F978" s="5"/>
      <c r="G978" s="5"/>
    </row>
    <row r="979" spans="3:7" ht="13">
      <c r="C979" s="80"/>
      <c r="D979" s="5"/>
      <c r="E979" s="5"/>
      <c r="F979" s="5"/>
      <c r="G979" s="5"/>
    </row>
    <row r="980" spans="3:7" ht="13">
      <c r="C980" s="80"/>
      <c r="D980" s="5"/>
      <c r="E980" s="5"/>
      <c r="F980" s="5"/>
      <c r="G980" s="5"/>
    </row>
    <row r="981" spans="3:7" ht="13">
      <c r="C981" s="80"/>
      <c r="D981" s="5"/>
      <c r="E981" s="5"/>
      <c r="F981" s="5"/>
      <c r="G981" s="5"/>
    </row>
    <row r="982" spans="3:7" ht="13">
      <c r="C982" s="80"/>
      <c r="D982" s="5"/>
      <c r="E982" s="5"/>
      <c r="F982" s="5"/>
      <c r="G982" s="5"/>
    </row>
    <row r="983" spans="3:7" ht="13">
      <c r="C983" s="80"/>
      <c r="D983" s="5"/>
      <c r="E983" s="5"/>
      <c r="F983" s="5"/>
      <c r="G983" s="5"/>
    </row>
    <row r="984" spans="3:7" ht="13">
      <c r="C984" s="80"/>
      <c r="D984" s="5"/>
      <c r="E984" s="5"/>
      <c r="F984" s="5"/>
      <c r="G984" s="5"/>
    </row>
    <row r="985" spans="3:7" ht="13">
      <c r="C985" s="80"/>
      <c r="D985" s="5"/>
      <c r="E985" s="5"/>
      <c r="F985" s="5"/>
      <c r="G985" s="5"/>
    </row>
    <row r="986" spans="3:7" ht="13">
      <c r="C986" s="80"/>
      <c r="D986" s="5"/>
      <c r="E986" s="5"/>
      <c r="F986" s="5"/>
      <c r="G986" s="5"/>
    </row>
    <row r="987" spans="3:7" ht="13">
      <c r="C987" s="80"/>
      <c r="D987" s="5"/>
      <c r="E987" s="5"/>
      <c r="F987" s="5"/>
      <c r="G987" s="5"/>
    </row>
    <row r="988" spans="3:7" ht="13">
      <c r="C988" s="80"/>
      <c r="D988" s="5"/>
      <c r="E988" s="5"/>
      <c r="F988" s="5"/>
      <c r="G988" s="5"/>
    </row>
    <row r="989" spans="3:7" ht="13">
      <c r="C989" s="80"/>
      <c r="D989" s="5"/>
      <c r="E989" s="5"/>
      <c r="F989" s="5"/>
      <c r="G989" s="5"/>
    </row>
    <row r="990" spans="3:7" ht="13">
      <c r="C990" s="80"/>
      <c r="D990" s="5"/>
      <c r="E990" s="5"/>
      <c r="F990" s="5"/>
      <c r="G990" s="5"/>
    </row>
    <row r="991" spans="3:7" ht="13">
      <c r="C991" s="80"/>
      <c r="D991" s="5"/>
      <c r="E991" s="5"/>
      <c r="F991" s="5"/>
      <c r="G991" s="5"/>
    </row>
    <row r="992" spans="3:7" ht="13">
      <c r="C992" s="80"/>
      <c r="D992" s="5"/>
      <c r="E992" s="5"/>
      <c r="F992" s="5"/>
      <c r="G992" s="5"/>
    </row>
    <row r="993" spans="3:7" ht="13">
      <c r="C993" s="80"/>
      <c r="D993" s="5"/>
      <c r="E993" s="5"/>
      <c r="F993" s="5"/>
      <c r="G993" s="5"/>
    </row>
    <row r="994" spans="3:7" ht="13">
      <c r="C994" s="80"/>
      <c r="D994" s="5"/>
      <c r="E994" s="5"/>
      <c r="F994" s="5"/>
      <c r="G994" s="5"/>
    </row>
    <row r="995" spans="3:7" ht="13">
      <c r="C995" s="80"/>
      <c r="D995" s="5"/>
      <c r="E995" s="5"/>
      <c r="F995" s="5"/>
      <c r="G995" s="5"/>
    </row>
    <row r="996" spans="3:7" ht="13">
      <c r="C996" s="80"/>
      <c r="D996" s="5"/>
      <c r="E996" s="5"/>
      <c r="F996" s="5"/>
      <c r="G996" s="5"/>
    </row>
    <row r="997" spans="3:7" ht="13">
      <c r="C997" s="80"/>
      <c r="D997" s="5"/>
      <c r="E997" s="5"/>
      <c r="F997" s="5"/>
      <c r="G997" s="5"/>
    </row>
    <row r="998" spans="3:7" ht="13">
      <c r="C998" s="80"/>
      <c r="D998" s="5"/>
      <c r="E998" s="5"/>
      <c r="F998" s="5"/>
      <c r="G998" s="5"/>
    </row>
    <row r="999" spans="3:7" ht="13">
      <c r="C999" s="80"/>
      <c r="D999" s="5"/>
      <c r="E999" s="5"/>
      <c r="F999" s="5"/>
      <c r="G999" s="5"/>
    </row>
    <row r="1000" spans="3:7" ht="13">
      <c r="C1000" s="80"/>
      <c r="D1000" s="5"/>
      <c r="E1000" s="5"/>
      <c r="F1000" s="5"/>
      <c r="G1000" s="5"/>
    </row>
    <row r="1001" spans="3:7" ht="13">
      <c r="C1001" s="80"/>
      <c r="D1001" s="5"/>
      <c r="E1001" s="5"/>
      <c r="F1001" s="5"/>
      <c r="G1001" s="5"/>
    </row>
    <row r="1002" spans="3:7" ht="13">
      <c r="C1002" s="80"/>
      <c r="D1002" s="5"/>
      <c r="E1002" s="5"/>
      <c r="F1002" s="5"/>
      <c r="G1002" s="5"/>
    </row>
    <row r="1003" spans="3:7" ht="13">
      <c r="C1003" s="80"/>
      <c r="D1003" s="5"/>
      <c r="E1003" s="5"/>
      <c r="F1003" s="5"/>
      <c r="G1003" s="5"/>
    </row>
    <row r="1004" spans="3:7" ht="13">
      <c r="C1004" s="80"/>
      <c r="D1004" s="5"/>
      <c r="E1004" s="5"/>
      <c r="F1004" s="5"/>
      <c r="G1004" s="5"/>
    </row>
    <row r="1005" spans="3:7" ht="13">
      <c r="C1005" s="80"/>
      <c r="D1005" s="5"/>
      <c r="E1005" s="5"/>
      <c r="F1005" s="5"/>
      <c r="G1005" s="5"/>
    </row>
    <row r="1006" spans="3:7" ht="13">
      <c r="C1006" s="80"/>
      <c r="D1006" s="5"/>
      <c r="E1006" s="5"/>
      <c r="F1006" s="5"/>
      <c r="G1006" s="5"/>
    </row>
    <row r="1007" spans="3:7" ht="13">
      <c r="C1007" s="80"/>
      <c r="D1007" s="5"/>
      <c r="E1007" s="5"/>
      <c r="F1007" s="5"/>
      <c r="G1007" s="5"/>
    </row>
    <row r="1008" spans="3:7" ht="13">
      <c r="C1008" s="80"/>
      <c r="D1008" s="5"/>
      <c r="E1008" s="5"/>
      <c r="F1008" s="5"/>
      <c r="G1008" s="5"/>
    </row>
  </sheetData>
  <hyperlinks>
    <hyperlink ref="B5" r:id="rId1" xr:uid="{00000000-0004-0000-5600-000000000000}"/>
    <hyperlink ref="B6" r:id="rId2" xr:uid="{00000000-0004-0000-5600-000001000000}"/>
    <hyperlink ref="B7" r:id="rId3" xr:uid="{00000000-0004-0000-5600-000002000000}"/>
    <hyperlink ref="B8" r:id="rId4" xr:uid="{00000000-0004-0000-5600-000003000000}"/>
    <hyperlink ref="B9" r:id="rId5" xr:uid="{00000000-0004-0000-5600-000004000000}"/>
    <hyperlink ref="B10" r:id="rId6" xr:uid="{00000000-0004-0000-5600-000005000000}"/>
    <hyperlink ref="B11" r:id="rId7" xr:uid="{00000000-0004-0000-5600-000006000000}"/>
    <hyperlink ref="B12" r:id="rId8" xr:uid="{00000000-0004-0000-5600-000007000000}"/>
    <hyperlink ref="B13" r:id="rId9" xr:uid="{00000000-0004-0000-5600-000008000000}"/>
    <hyperlink ref="B14" r:id="rId10" xr:uid="{00000000-0004-0000-5600-000009000000}"/>
    <hyperlink ref="B15" r:id="rId11" xr:uid="{00000000-0004-0000-5600-00000A000000}"/>
    <hyperlink ref="B16" r:id="rId12" xr:uid="{00000000-0004-0000-5600-00000B000000}"/>
    <hyperlink ref="B17" r:id="rId13" xr:uid="{00000000-0004-0000-5600-00000C000000}"/>
    <hyperlink ref="B18" r:id="rId14" xr:uid="{00000000-0004-0000-5600-00000D000000}"/>
    <hyperlink ref="B19" r:id="rId15" xr:uid="{00000000-0004-0000-5600-00000E000000}"/>
    <hyperlink ref="B20" r:id="rId16" xr:uid="{00000000-0004-0000-5600-00000F000000}"/>
    <hyperlink ref="B22" r:id="rId17" xr:uid="{00000000-0004-0000-5600-000010000000}"/>
    <hyperlink ref="B23" r:id="rId18" xr:uid="{00000000-0004-0000-5600-000011000000}"/>
    <hyperlink ref="B26" r:id="rId19" xr:uid="{00000000-0004-0000-5600-000012000000}"/>
    <hyperlink ref="B27" r:id="rId20" xr:uid="{00000000-0004-0000-5600-000013000000}"/>
    <hyperlink ref="B28" r:id="rId21" xr:uid="{00000000-0004-0000-5600-000014000000}"/>
    <hyperlink ref="B30" r:id="rId22" xr:uid="{00000000-0004-0000-5600-000015000000}"/>
    <hyperlink ref="B31" r:id="rId23" xr:uid="{00000000-0004-0000-5600-000016000000}"/>
    <hyperlink ref="B32" r:id="rId24" xr:uid="{00000000-0004-0000-5600-000017000000}"/>
    <hyperlink ref="B33" r:id="rId25" xr:uid="{00000000-0004-0000-5600-000018000000}"/>
    <hyperlink ref="B34" r:id="rId26" xr:uid="{00000000-0004-0000-5600-000019000000}"/>
    <hyperlink ref="B35" r:id="rId27" xr:uid="{00000000-0004-0000-5600-00001A000000}"/>
    <hyperlink ref="B36" r:id="rId28" xr:uid="{00000000-0004-0000-5600-00001B000000}"/>
    <hyperlink ref="B37" r:id="rId29" xr:uid="{00000000-0004-0000-5600-00001C000000}"/>
    <hyperlink ref="B38" r:id="rId30" xr:uid="{00000000-0004-0000-5600-00001D000000}"/>
    <hyperlink ref="B39" r:id="rId31" xr:uid="{00000000-0004-0000-5600-00001E000000}"/>
    <hyperlink ref="B40" r:id="rId32" xr:uid="{00000000-0004-0000-5600-00001F000000}"/>
    <hyperlink ref="B41" r:id="rId33" xr:uid="{00000000-0004-0000-5600-000020000000}"/>
    <hyperlink ref="B42" r:id="rId34" xr:uid="{00000000-0004-0000-5600-000021000000}"/>
    <hyperlink ref="B45" r:id="rId35" xr:uid="{00000000-0004-0000-5600-000022000000}"/>
    <hyperlink ref="B46" r:id="rId36" xr:uid="{00000000-0004-0000-5600-000023000000}"/>
    <hyperlink ref="B47" r:id="rId37" xr:uid="{00000000-0004-0000-5600-000024000000}"/>
    <hyperlink ref="B48" r:id="rId38" xr:uid="{00000000-0004-0000-5600-000025000000}"/>
    <hyperlink ref="B49" r:id="rId39" xr:uid="{00000000-0004-0000-5600-000026000000}"/>
    <hyperlink ref="B50" r:id="rId40" xr:uid="{00000000-0004-0000-5600-000027000000}"/>
    <hyperlink ref="B51" r:id="rId41" xr:uid="{00000000-0004-0000-5600-000028000000}"/>
    <hyperlink ref="B52" r:id="rId42" xr:uid="{00000000-0004-0000-5600-000029000000}"/>
    <hyperlink ref="B53" r:id="rId43" xr:uid="{00000000-0004-0000-5600-00002A000000}"/>
    <hyperlink ref="B54" r:id="rId44" xr:uid="{00000000-0004-0000-5600-00002B000000}"/>
    <hyperlink ref="B55" r:id="rId45" xr:uid="{00000000-0004-0000-5600-00002C000000}"/>
    <hyperlink ref="B56" r:id="rId46" xr:uid="{00000000-0004-0000-5600-00002D000000}"/>
    <hyperlink ref="B57" r:id="rId47" xr:uid="{00000000-0004-0000-5600-00002E000000}"/>
    <hyperlink ref="B58" r:id="rId48" xr:uid="{00000000-0004-0000-5600-00002F000000}"/>
    <hyperlink ref="B59" r:id="rId49" xr:uid="{00000000-0004-0000-5600-000030000000}"/>
    <hyperlink ref="B60" r:id="rId50" xr:uid="{00000000-0004-0000-5600-000031000000}"/>
    <hyperlink ref="B61" r:id="rId51" xr:uid="{00000000-0004-0000-5600-000032000000}"/>
    <hyperlink ref="B62" r:id="rId52" xr:uid="{00000000-0004-0000-5600-000033000000}"/>
    <hyperlink ref="B63" r:id="rId53" xr:uid="{00000000-0004-0000-5600-000034000000}"/>
    <hyperlink ref="B64" r:id="rId54" xr:uid="{00000000-0004-0000-5600-000035000000}"/>
    <hyperlink ref="B65" r:id="rId55" xr:uid="{00000000-0004-0000-5600-000036000000}"/>
    <hyperlink ref="B66" r:id="rId56" xr:uid="{00000000-0004-0000-5600-000037000000}"/>
    <hyperlink ref="B67" r:id="rId57" xr:uid="{00000000-0004-0000-5600-000038000000}"/>
    <hyperlink ref="B70" r:id="rId58" xr:uid="{00000000-0004-0000-5600-000039000000}"/>
    <hyperlink ref="B71" r:id="rId59" xr:uid="{00000000-0004-0000-5600-00003A000000}"/>
    <hyperlink ref="B72" r:id="rId60" xr:uid="{00000000-0004-0000-5600-00003B000000}"/>
    <hyperlink ref="B73" r:id="rId61" xr:uid="{00000000-0004-0000-5600-00003C000000}"/>
    <hyperlink ref="B74" r:id="rId62" xr:uid="{00000000-0004-0000-5600-00003D000000}"/>
    <hyperlink ref="B75" r:id="rId63" xr:uid="{00000000-0004-0000-5600-00003E000000}"/>
    <hyperlink ref="B76" r:id="rId64" xr:uid="{00000000-0004-0000-5600-00003F000000}"/>
    <hyperlink ref="B77" r:id="rId65" xr:uid="{00000000-0004-0000-5600-000040000000}"/>
    <hyperlink ref="B78" r:id="rId66" xr:uid="{00000000-0004-0000-5600-000041000000}"/>
    <hyperlink ref="B79" r:id="rId67" xr:uid="{00000000-0004-0000-5600-000042000000}"/>
    <hyperlink ref="B80" r:id="rId68" xr:uid="{00000000-0004-0000-5600-000043000000}"/>
    <hyperlink ref="B81" r:id="rId69" xr:uid="{00000000-0004-0000-5600-000044000000}"/>
    <hyperlink ref="B82" r:id="rId70" xr:uid="{00000000-0004-0000-5600-000045000000}"/>
    <hyperlink ref="B83" r:id="rId71" xr:uid="{00000000-0004-0000-5600-000046000000}"/>
    <hyperlink ref="B84" r:id="rId72" xr:uid="{00000000-0004-0000-5600-000047000000}"/>
    <hyperlink ref="B86" r:id="rId73" xr:uid="{00000000-0004-0000-5600-000048000000}"/>
    <hyperlink ref="B87" r:id="rId74" xr:uid="{00000000-0004-0000-5600-000049000000}"/>
    <hyperlink ref="B88" r:id="rId75" xr:uid="{00000000-0004-0000-5600-00004A000000}"/>
    <hyperlink ref="B90" r:id="rId76" xr:uid="{00000000-0004-0000-5600-00004B000000}"/>
    <hyperlink ref="B92" r:id="rId77" xr:uid="{00000000-0004-0000-5600-00004C000000}"/>
    <hyperlink ref="B94" r:id="rId78" xr:uid="{00000000-0004-0000-5600-00004D000000}"/>
    <hyperlink ref="B95" r:id="rId79" xr:uid="{00000000-0004-0000-5600-00004E000000}"/>
    <hyperlink ref="B96" r:id="rId80" xr:uid="{00000000-0004-0000-5600-00004F000000}"/>
    <hyperlink ref="B97" r:id="rId81" xr:uid="{00000000-0004-0000-5600-000050000000}"/>
    <hyperlink ref="B98" r:id="rId82" xr:uid="{00000000-0004-0000-5600-000051000000}"/>
    <hyperlink ref="B100" r:id="rId83" xr:uid="{00000000-0004-0000-5600-000052000000}"/>
    <hyperlink ref="B101" r:id="rId84" xr:uid="{00000000-0004-0000-5600-000053000000}"/>
    <hyperlink ref="B102" r:id="rId85" xr:uid="{00000000-0004-0000-5600-000054000000}"/>
    <hyperlink ref="B103" r:id="rId86" xr:uid="{00000000-0004-0000-5600-000055000000}"/>
    <hyperlink ref="B104" r:id="rId87" xr:uid="{00000000-0004-0000-5600-000056000000}"/>
    <hyperlink ref="B106" r:id="rId88" xr:uid="{00000000-0004-0000-5600-000057000000}"/>
    <hyperlink ref="B107" r:id="rId89" xr:uid="{00000000-0004-0000-5600-000058000000}"/>
    <hyperlink ref="B108" r:id="rId90" xr:uid="{00000000-0004-0000-5600-000059000000}"/>
    <hyperlink ref="B109" r:id="rId91" xr:uid="{00000000-0004-0000-5600-00005A000000}"/>
    <hyperlink ref="B110" r:id="rId92" xr:uid="{00000000-0004-0000-5600-00005B000000}"/>
    <hyperlink ref="B111" r:id="rId93" xr:uid="{00000000-0004-0000-5600-00005C000000}"/>
    <hyperlink ref="B112" r:id="rId94" xr:uid="{00000000-0004-0000-5600-00005D000000}"/>
    <hyperlink ref="B113" r:id="rId95" xr:uid="{00000000-0004-0000-5600-00005E000000}"/>
    <hyperlink ref="B114" r:id="rId96" xr:uid="{00000000-0004-0000-5600-00005F000000}"/>
    <hyperlink ref="B115" r:id="rId97" xr:uid="{00000000-0004-0000-5600-000060000000}"/>
    <hyperlink ref="B116" r:id="rId98" xr:uid="{00000000-0004-0000-5600-000061000000}"/>
    <hyperlink ref="B117" r:id="rId99" xr:uid="{00000000-0004-0000-5600-000062000000}"/>
    <hyperlink ref="B118" r:id="rId100" xr:uid="{00000000-0004-0000-5600-000063000000}"/>
    <hyperlink ref="B119" r:id="rId101" xr:uid="{00000000-0004-0000-5600-000064000000}"/>
    <hyperlink ref="B120" r:id="rId102" xr:uid="{00000000-0004-0000-5600-000065000000}"/>
    <hyperlink ref="B121" r:id="rId103" xr:uid="{00000000-0004-0000-5600-000066000000}"/>
    <hyperlink ref="B122" r:id="rId104" xr:uid="{00000000-0004-0000-5600-000067000000}"/>
    <hyperlink ref="B123" r:id="rId105" xr:uid="{00000000-0004-0000-5600-000068000000}"/>
    <hyperlink ref="B124" r:id="rId106" xr:uid="{00000000-0004-0000-5600-000069000000}"/>
    <hyperlink ref="B125" r:id="rId107" xr:uid="{00000000-0004-0000-5600-00006A000000}"/>
    <hyperlink ref="B126" r:id="rId108" xr:uid="{00000000-0004-0000-5600-00006B000000}"/>
    <hyperlink ref="B127" r:id="rId109" xr:uid="{00000000-0004-0000-5600-00006C000000}"/>
    <hyperlink ref="B128" r:id="rId110" xr:uid="{00000000-0004-0000-5600-00006D000000}"/>
    <hyperlink ref="B129" r:id="rId111" xr:uid="{00000000-0004-0000-5600-00006E000000}"/>
    <hyperlink ref="B130" r:id="rId112" xr:uid="{00000000-0004-0000-5600-00006F000000}"/>
    <hyperlink ref="B131" r:id="rId113" xr:uid="{00000000-0004-0000-5600-000070000000}"/>
    <hyperlink ref="B132" r:id="rId114" xr:uid="{00000000-0004-0000-5600-000071000000}"/>
    <hyperlink ref="B133" r:id="rId115" xr:uid="{00000000-0004-0000-5600-000072000000}"/>
    <hyperlink ref="B134" r:id="rId116" xr:uid="{00000000-0004-0000-5600-000073000000}"/>
    <hyperlink ref="B135" r:id="rId117" xr:uid="{00000000-0004-0000-5600-000074000000}"/>
    <hyperlink ref="B136" r:id="rId118" xr:uid="{00000000-0004-0000-5600-000075000000}"/>
    <hyperlink ref="B137" r:id="rId119" xr:uid="{00000000-0004-0000-5600-000076000000}"/>
    <hyperlink ref="B138" r:id="rId120" xr:uid="{00000000-0004-0000-5600-000077000000}"/>
    <hyperlink ref="B152" r:id="rId121" xr:uid="{00000000-0004-0000-5600-000078000000}"/>
    <hyperlink ref="B153" r:id="rId122" xr:uid="{00000000-0004-0000-5600-000079000000}"/>
    <hyperlink ref="B154" r:id="rId123" xr:uid="{00000000-0004-0000-5600-00007A000000}"/>
    <hyperlink ref="B155" r:id="rId124" xr:uid="{00000000-0004-0000-5600-00007B000000}"/>
    <hyperlink ref="B156" r:id="rId125" xr:uid="{00000000-0004-0000-5600-00007C000000}"/>
    <hyperlink ref="B157" r:id="rId126" xr:uid="{00000000-0004-0000-5600-00007D000000}"/>
    <hyperlink ref="B171" r:id="rId127" xr:uid="{00000000-0004-0000-5600-00007E000000}"/>
    <hyperlink ref="B172" r:id="rId128" xr:uid="{00000000-0004-0000-5600-00007F000000}"/>
    <hyperlink ref="B173" r:id="rId129" xr:uid="{00000000-0004-0000-5600-000080000000}"/>
    <hyperlink ref="B174" r:id="rId130" xr:uid="{00000000-0004-0000-5600-000081000000}"/>
    <hyperlink ref="B175" r:id="rId131" xr:uid="{00000000-0004-0000-5600-000082000000}"/>
    <hyperlink ref="B176" r:id="rId132" xr:uid="{00000000-0004-0000-5600-000083000000}"/>
    <hyperlink ref="B177" r:id="rId133" xr:uid="{00000000-0004-0000-5600-000084000000}"/>
    <hyperlink ref="B178" r:id="rId134" xr:uid="{00000000-0004-0000-5600-000085000000}"/>
    <hyperlink ref="B179" r:id="rId135" xr:uid="{00000000-0004-0000-5600-000086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88">
    <outlinePr summaryBelow="0" summaryRight="0"/>
  </sheetPr>
  <dimension ref="A1:J1004"/>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6640625" customWidth="1"/>
    <col min="3" max="3" width="9.6640625" customWidth="1"/>
    <col min="4" max="4" width="14.83203125" customWidth="1"/>
    <col min="5" max="5" width="14.33203125" customWidth="1"/>
  </cols>
  <sheetData>
    <row r="1" spans="1:10" ht="15.75" customHeight="1">
      <c r="A1" s="1" t="s">
        <v>93</v>
      </c>
      <c r="C1" s="80"/>
      <c r="D1" s="81" t="s">
        <v>181</v>
      </c>
      <c r="E1" s="5"/>
      <c r="F1" s="5"/>
      <c r="G1" s="5"/>
    </row>
    <row r="2" spans="1:10" ht="15.75" customHeight="1">
      <c r="A2" s="7" t="s">
        <v>182</v>
      </c>
      <c r="B2" s="123">
        <v>43014</v>
      </c>
      <c r="C2" s="80"/>
      <c r="D2" s="82">
        <f>SUM(D5:G84)</f>
        <v>0</v>
      </c>
      <c r="E2" s="5"/>
      <c r="F2" s="5"/>
      <c r="G2" s="5"/>
    </row>
    <row r="3" spans="1:10" ht="15.75" customHeight="1">
      <c r="C3" s="80"/>
      <c r="E3" s="5"/>
      <c r="F3" s="5"/>
      <c r="G3" s="5"/>
    </row>
    <row r="4" spans="1:10" ht="15.75" customHeight="1">
      <c r="A4" s="42" t="s">
        <v>183</v>
      </c>
      <c r="B4" s="42" t="s">
        <v>184</v>
      </c>
      <c r="C4" s="42" t="s">
        <v>185</v>
      </c>
      <c r="D4" s="83" t="s">
        <v>186</v>
      </c>
      <c r="E4" s="84" t="s">
        <v>187</v>
      </c>
      <c r="F4" s="84" t="s">
        <v>188</v>
      </c>
      <c r="G4" s="85" t="s">
        <v>189</v>
      </c>
      <c r="H4" s="84" t="s">
        <v>190</v>
      </c>
      <c r="I4" s="85"/>
    </row>
    <row r="5" spans="1:10" ht="15.75" customHeight="1">
      <c r="A5" s="48" t="s">
        <v>6778</v>
      </c>
      <c r="B5" s="49" t="s">
        <v>276</v>
      </c>
      <c r="C5" s="48" t="s">
        <v>205</v>
      </c>
      <c r="D5" s="86"/>
      <c r="E5" s="86"/>
      <c r="F5" s="87"/>
      <c r="G5" s="87"/>
      <c r="H5" s="88"/>
      <c r="I5" s="88"/>
      <c r="J5" s="88"/>
    </row>
    <row r="6" spans="1:10" ht="15.75" customHeight="1">
      <c r="A6" s="48" t="s">
        <v>6779</v>
      </c>
      <c r="B6" s="49" t="s">
        <v>264</v>
      </c>
      <c r="C6" s="48" t="s">
        <v>205</v>
      </c>
      <c r="D6" s="48"/>
      <c r="E6" s="5"/>
      <c r="F6" s="5"/>
      <c r="G6" s="5"/>
      <c r="J6" s="88"/>
    </row>
    <row r="7" spans="1:10" ht="15.75" customHeight="1">
      <c r="A7" s="48" t="s">
        <v>6780</v>
      </c>
      <c r="B7" s="49" t="s">
        <v>204</v>
      </c>
      <c r="C7" s="48" t="s">
        <v>205</v>
      </c>
      <c r="D7" s="48"/>
      <c r="E7" s="51"/>
      <c r="F7" s="5"/>
      <c r="G7" s="5"/>
    </row>
    <row r="8" spans="1:10" ht="15.75" customHeight="1">
      <c r="A8" s="48" t="s">
        <v>6781</v>
      </c>
      <c r="B8" s="49" t="s">
        <v>1311</v>
      </c>
      <c r="C8" s="48" t="s">
        <v>205</v>
      </c>
      <c r="D8" s="48"/>
      <c r="E8" s="51"/>
      <c r="F8" s="5"/>
      <c r="G8" s="5"/>
    </row>
    <row r="9" spans="1:10" ht="15.75" customHeight="1">
      <c r="A9" s="48" t="s">
        <v>6782</v>
      </c>
      <c r="B9" s="49" t="s">
        <v>1237</v>
      </c>
      <c r="C9" s="48" t="s">
        <v>205</v>
      </c>
      <c r="D9" s="48"/>
      <c r="E9" s="5"/>
      <c r="F9" s="5"/>
      <c r="G9" s="5"/>
    </row>
    <row r="10" spans="1:10" ht="15.75" customHeight="1">
      <c r="A10" s="48" t="s">
        <v>6783</v>
      </c>
      <c r="B10" s="49" t="s">
        <v>3123</v>
      </c>
      <c r="C10" s="48" t="s">
        <v>205</v>
      </c>
      <c r="D10" s="48"/>
      <c r="E10" s="5"/>
      <c r="F10" s="5"/>
      <c r="G10" s="5"/>
    </row>
    <row r="11" spans="1:10" ht="15.75" customHeight="1">
      <c r="A11" s="48" t="s">
        <v>6784</v>
      </c>
      <c r="B11" s="49" t="s">
        <v>3575</v>
      </c>
      <c r="C11" s="48" t="s">
        <v>205</v>
      </c>
      <c r="D11" s="48"/>
      <c r="E11" s="51"/>
      <c r="F11" s="51"/>
      <c r="G11" s="5"/>
    </row>
    <row r="12" spans="1:10" ht="15.75" customHeight="1">
      <c r="A12" s="48" t="s">
        <v>6785</v>
      </c>
      <c r="B12" s="49" t="s">
        <v>4052</v>
      </c>
      <c r="C12" s="48" t="s">
        <v>205</v>
      </c>
      <c r="D12" s="48"/>
      <c r="E12" s="5"/>
      <c r="F12" s="51"/>
      <c r="G12" s="5"/>
    </row>
    <row r="13" spans="1:10" ht="15.75" customHeight="1">
      <c r="A13" s="48" t="s">
        <v>6786</v>
      </c>
      <c r="B13" s="49" t="s">
        <v>6787</v>
      </c>
      <c r="C13" s="48" t="s">
        <v>205</v>
      </c>
      <c r="D13" s="47"/>
      <c r="E13" s="5"/>
      <c r="F13" s="5"/>
      <c r="G13" s="5"/>
    </row>
    <row r="14" spans="1:10" ht="15.75" customHeight="1">
      <c r="A14" s="48" t="s">
        <v>6788</v>
      </c>
      <c r="B14" s="58" t="str">
        <f>HYPERLINK("https://bulbapedia.bulbagarden.net/wiki/Entei-GX_(Shining_Legends_10)","EnteiGX")</f>
        <v>EnteiGX</v>
      </c>
      <c r="C14" s="48" t="s">
        <v>199</v>
      </c>
      <c r="D14" s="48"/>
      <c r="E14" s="5"/>
      <c r="F14" s="5"/>
      <c r="G14" s="5"/>
    </row>
    <row r="15" spans="1:10" ht="15.75" customHeight="1">
      <c r="A15" s="48" t="s">
        <v>6789</v>
      </c>
      <c r="B15" s="49" t="s">
        <v>1511</v>
      </c>
      <c r="C15" s="48" t="s">
        <v>199</v>
      </c>
      <c r="D15" s="48"/>
      <c r="E15" s="5"/>
      <c r="F15" s="5"/>
      <c r="G15" s="5"/>
    </row>
    <row r="16" spans="1:10" ht="15.75" customHeight="1">
      <c r="A16" s="48" t="s">
        <v>6790</v>
      </c>
      <c r="B16" s="49" t="s">
        <v>4057</v>
      </c>
      <c r="C16" s="48" t="s">
        <v>199</v>
      </c>
      <c r="D16" s="48"/>
      <c r="E16" s="51"/>
      <c r="F16" s="5"/>
      <c r="G16" s="5"/>
    </row>
    <row r="17" spans="1:7" ht="15.75" customHeight="1">
      <c r="A17" s="48" t="s">
        <v>6791</v>
      </c>
      <c r="B17" s="49" t="s">
        <v>4058</v>
      </c>
      <c r="C17" s="48" t="s">
        <v>199</v>
      </c>
      <c r="D17" s="48"/>
      <c r="E17" s="51"/>
      <c r="F17" s="5"/>
      <c r="G17" s="5"/>
    </row>
    <row r="18" spans="1:7" ht="15.75" customHeight="1">
      <c r="A18" s="48" t="s">
        <v>6792</v>
      </c>
      <c r="B18" s="49" t="s">
        <v>4123</v>
      </c>
      <c r="C18" s="48" t="s">
        <v>199</v>
      </c>
      <c r="D18" s="48"/>
      <c r="E18" s="5"/>
      <c r="F18" s="51"/>
      <c r="G18" s="5"/>
    </row>
    <row r="19" spans="1:7" ht="15.75" customHeight="1">
      <c r="A19" s="48" t="s">
        <v>6793</v>
      </c>
      <c r="B19" s="49" t="s">
        <v>6189</v>
      </c>
      <c r="C19" s="48" t="s">
        <v>199</v>
      </c>
      <c r="D19" s="48"/>
      <c r="E19" s="5"/>
      <c r="F19" s="5"/>
      <c r="G19" s="5"/>
    </row>
    <row r="20" spans="1:7" ht="15.75" customHeight="1">
      <c r="A20" s="48" t="s">
        <v>6794</v>
      </c>
      <c r="B20" s="49" t="s">
        <v>6472</v>
      </c>
      <c r="C20" s="48" t="s">
        <v>199</v>
      </c>
      <c r="D20" s="48"/>
      <c r="E20" s="5"/>
      <c r="F20" s="5"/>
      <c r="G20" s="5"/>
    </row>
    <row r="21" spans="1:7" ht="15.75" customHeight="1">
      <c r="A21" s="48" t="s">
        <v>6795</v>
      </c>
      <c r="B21" s="49" t="s">
        <v>6473</v>
      </c>
      <c r="C21" s="48" t="s">
        <v>199</v>
      </c>
      <c r="D21" s="48"/>
      <c r="E21" s="5"/>
      <c r="F21" s="5"/>
      <c r="G21" s="5"/>
    </row>
    <row r="22" spans="1:7" ht="15.75" customHeight="1">
      <c r="A22" s="48" t="s">
        <v>6796</v>
      </c>
      <c r="B22" s="49" t="s">
        <v>903</v>
      </c>
      <c r="C22" s="48" t="s">
        <v>208</v>
      </c>
      <c r="D22" s="48"/>
      <c r="E22" s="5"/>
      <c r="F22" s="5"/>
      <c r="G22" s="5"/>
    </row>
    <row r="23" spans="1:7" ht="15.75" customHeight="1">
      <c r="A23" s="48" t="s">
        <v>6797</v>
      </c>
      <c r="B23" s="49" t="s">
        <v>820</v>
      </c>
      <c r="C23" s="48" t="s">
        <v>208</v>
      </c>
      <c r="D23" s="48"/>
      <c r="E23" s="5"/>
      <c r="F23" s="5"/>
      <c r="G23" s="5"/>
    </row>
    <row r="24" spans="1:7" ht="15.75" customHeight="1">
      <c r="A24" s="48" t="s">
        <v>6798</v>
      </c>
      <c r="B24" s="49" t="s">
        <v>772</v>
      </c>
      <c r="C24" s="48" t="s">
        <v>208</v>
      </c>
      <c r="D24" s="48"/>
      <c r="E24" s="5"/>
      <c r="F24" s="5"/>
      <c r="G24" s="5"/>
    </row>
    <row r="25" spans="1:7" ht="15.75" customHeight="1">
      <c r="A25" s="48" t="s">
        <v>6799</v>
      </c>
      <c r="B25" s="49" t="s">
        <v>978</v>
      </c>
      <c r="C25" s="48" t="s">
        <v>208</v>
      </c>
      <c r="D25" s="48"/>
      <c r="E25" s="51"/>
      <c r="F25" s="5"/>
      <c r="G25" s="5"/>
    </row>
    <row r="26" spans="1:7" ht="15.75" customHeight="1">
      <c r="A26" s="48" t="s">
        <v>6800</v>
      </c>
      <c r="B26" s="49" t="s">
        <v>3039</v>
      </c>
      <c r="C26" s="48" t="s">
        <v>208</v>
      </c>
      <c r="D26" s="48"/>
      <c r="E26" s="51"/>
      <c r="F26" s="5"/>
      <c r="G26" s="5"/>
    </row>
    <row r="27" spans="1:7" ht="15.75" customHeight="1">
      <c r="A27" s="48" t="s">
        <v>6801</v>
      </c>
      <c r="B27" s="49" t="s">
        <v>3125</v>
      </c>
      <c r="C27" s="48" t="s">
        <v>208</v>
      </c>
      <c r="D27" s="48"/>
      <c r="E27" s="5"/>
      <c r="F27" s="5"/>
      <c r="G27" s="5"/>
    </row>
    <row r="28" spans="1:7" ht="15.75" customHeight="1">
      <c r="A28" s="48" t="s">
        <v>6802</v>
      </c>
      <c r="B28" s="49" t="s">
        <v>3064</v>
      </c>
      <c r="C28" s="48" t="s">
        <v>208</v>
      </c>
      <c r="D28" s="47"/>
      <c r="E28" s="51"/>
      <c r="F28" s="5"/>
      <c r="G28" s="5"/>
    </row>
    <row r="29" spans="1:7" ht="15.75" customHeight="1">
      <c r="A29" s="48" t="s">
        <v>6803</v>
      </c>
      <c r="B29" s="49" t="s">
        <v>3115</v>
      </c>
      <c r="C29" s="48" t="s">
        <v>208</v>
      </c>
      <c r="D29" s="48"/>
      <c r="E29" s="5"/>
      <c r="F29" s="51"/>
      <c r="G29" s="5"/>
    </row>
    <row r="30" spans="1:7" ht="15.75" customHeight="1">
      <c r="A30" s="48" t="s">
        <v>6804</v>
      </c>
      <c r="B30" s="49" t="s">
        <v>4392</v>
      </c>
      <c r="C30" s="48" t="s">
        <v>208</v>
      </c>
      <c r="D30" s="48"/>
      <c r="E30" s="5"/>
      <c r="F30" s="51"/>
      <c r="G30" s="5"/>
    </row>
    <row r="31" spans="1:7" ht="15.75" customHeight="1">
      <c r="A31" s="48" t="s">
        <v>6805</v>
      </c>
      <c r="B31" s="49" t="s">
        <v>6806</v>
      </c>
      <c r="C31" s="48" t="s">
        <v>208</v>
      </c>
      <c r="D31" s="48"/>
      <c r="E31" s="5"/>
      <c r="F31" s="51"/>
      <c r="G31" s="5"/>
    </row>
    <row r="32" spans="1:7" ht="15.75" customHeight="1">
      <c r="A32" s="48" t="s">
        <v>6807</v>
      </c>
      <c r="B32" s="49" t="s">
        <v>191</v>
      </c>
      <c r="C32" s="48" t="s">
        <v>192</v>
      </c>
      <c r="D32" s="48"/>
      <c r="E32" s="5"/>
      <c r="F32" s="5"/>
      <c r="G32" s="5"/>
    </row>
    <row r="33" spans="1:7" ht="15.75" customHeight="1">
      <c r="A33" s="48" t="s">
        <v>6808</v>
      </c>
      <c r="B33" s="58" t="str">
        <f>HYPERLINK("https://bulbapedia.bulbagarden.net/wiki/Raichu-GX_(Shining_Legends_29)","RaichuGX")</f>
        <v>RaichuGX</v>
      </c>
      <c r="C33" s="48" t="s">
        <v>192</v>
      </c>
      <c r="D33" s="48"/>
      <c r="E33" s="5"/>
      <c r="F33" s="5"/>
      <c r="G33" s="5"/>
    </row>
    <row r="34" spans="1:7" ht="15.75" customHeight="1">
      <c r="A34" s="48" t="s">
        <v>6809</v>
      </c>
      <c r="B34" s="49" t="s">
        <v>298</v>
      </c>
      <c r="C34" s="48" t="s">
        <v>192</v>
      </c>
      <c r="D34" s="48"/>
      <c r="E34" s="5"/>
      <c r="F34" s="5"/>
      <c r="G34" s="5"/>
    </row>
    <row r="35" spans="1:7" ht="15.75" customHeight="1">
      <c r="A35" s="48" t="s">
        <v>6810</v>
      </c>
      <c r="B35" s="49" t="s">
        <v>256</v>
      </c>
      <c r="C35" s="48" t="s">
        <v>192</v>
      </c>
      <c r="D35" s="48"/>
      <c r="E35" s="5"/>
      <c r="F35" s="5"/>
      <c r="G35" s="5"/>
    </row>
    <row r="36" spans="1:7" ht="15.75" customHeight="1">
      <c r="A36" s="48" t="s">
        <v>6811</v>
      </c>
      <c r="B36" s="49" t="s">
        <v>972</v>
      </c>
      <c r="C36" s="48" t="s">
        <v>192</v>
      </c>
      <c r="D36" s="48"/>
      <c r="E36" s="51"/>
      <c r="F36" s="51"/>
      <c r="G36" s="5"/>
    </row>
    <row r="37" spans="1:7" ht="15.75" customHeight="1">
      <c r="A37" s="48" t="s">
        <v>6812</v>
      </c>
      <c r="B37" s="49" t="s">
        <v>1503</v>
      </c>
      <c r="C37" s="48" t="s">
        <v>192</v>
      </c>
      <c r="D37" s="48"/>
      <c r="E37" s="51"/>
      <c r="F37" s="5"/>
      <c r="G37" s="5"/>
    </row>
    <row r="38" spans="1:7" ht="15.75" customHeight="1">
      <c r="A38" s="48" t="s">
        <v>6813</v>
      </c>
      <c r="B38" s="49" t="s">
        <v>1501</v>
      </c>
      <c r="C38" s="48" t="s">
        <v>192</v>
      </c>
      <c r="D38" s="48"/>
      <c r="E38" s="51"/>
      <c r="F38" s="5"/>
      <c r="G38" s="5"/>
    </row>
    <row r="39" spans="1:7" ht="15.75" customHeight="1">
      <c r="A39" s="48" t="s">
        <v>6814</v>
      </c>
      <c r="B39" s="49" t="s">
        <v>4129</v>
      </c>
      <c r="C39" s="48" t="s">
        <v>192</v>
      </c>
      <c r="D39" s="47"/>
      <c r="E39" s="5"/>
      <c r="F39" s="5"/>
      <c r="G39" s="5"/>
    </row>
    <row r="40" spans="1:7" ht="15.75" customHeight="1">
      <c r="A40" s="48" t="s">
        <v>6815</v>
      </c>
      <c r="B40" s="49" t="s">
        <v>379</v>
      </c>
      <c r="C40" s="48" t="s">
        <v>195</v>
      </c>
      <c r="D40" s="48"/>
      <c r="E40" s="5"/>
      <c r="F40" s="5"/>
      <c r="G40" s="5"/>
    </row>
    <row r="41" spans="1:7" ht="15.75" customHeight="1">
      <c r="A41" s="48" t="s">
        <v>6816</v>
      </c>
      <c r="B41" s="49" t="s">
        <v>366</v>
      </c>
      <c r="C41" s="48" t="s">
        <v>195</v>
      </c>
      <c r="D41" s="48"/>
      <c r="E41" s="51"/>
      <c r="F41" s="5"/>
      <c r="G41" s="5"/>
    </row>
    <row r="42" spans="1:7" ht="15.75" customHeight="1">
      <c r="A42" s="48" t="s">
        <v>6817</v>
      </c>
      <c r="B42" s="49" t="s">
        <v>265</v>
      </c>
      <c r="C42" s="48" t="s">
        <v>195</v>
      </c>
      <c r="D42" s="48"/>
      <c r="E42" s="51"/>
      <c r="F42" s="5"/>
      <c r="G42" s="5"/>
    </row>
    <row r="43" spans="1:7" ht="15.75" customHeight="1">
      <c r="A43" s="48" t="s">
        <v>6818</v>
      </c>
      <c r="B43" s="58" t="str">
        <f>HYPERLINK("https://bulbapedia.bulbagarden.net/wiki/Mewtwo-GX_(Shining_Legends_39)","MewtwoGX")</f>
        <v>MewtwoGX</v>
      </c>
      <c r="C43" s="48" t="s">
        <v>195</v>
      </c>
      <c r="D43" s="47"/>
      <c r="E43" s="5"/>
      <c r="F43" s="5"/>
      <c r="G43" s="5"/>
    </row>
    <row r="44" spans="1:7" ht="15.75" customHeight="1">
      <c r="A44" s="48" t="s">
        <v>6819</v>
      </c>
      <c r="B44" s="49" t="s">
        <v>6820</v>
      </c>
      <c r="C44" s="48" t="s">
        <v>195</v>
      </c>
      <c r="D44" s="47"/>
      <c r="E44" s="5"/>
      <c r="F44" s="5"/>
      <c r="G44" s="5"/>
    </row>
    <row r="45" spans="1:7" ht="15.75" customHeight="1">
      <c r="A45" s="48" t="s">
        <v>6821</v>
      </c>
      <c r="B45" s="49" t="s">
        <v>1194</v>
      </c>
      <c r="C45" s="48" t="s">
        <v>195</v>
      </c>
      <c r="D45" s="47"/>
      <c r="E45" s="5"/>
      <c r="F45" s="5"/>
      <c r="G45" s="5"/>
    </row>
    <row r="46" spans="1:7" ht="15.75" customHeight="1">
      <c r="A46" s="48" t="s">
        <v>6822</v>
      </c>
      <c r="B46" s="49" t="s">
        <v>6823</v>
      </c>
      <c r="C46" s="48" t="s">
        <v>195</v>
      </c>
      <c r="D46" s="48"/>
      <c r="E46" s="5"/>
      <c r="F46" s="51"/>
      <c r="G46" s="5"/>
    </row>
    <row r="47" spans="1:7" ht="15.75" customHeight="1">
      <c r="A47" s="48" t="s">
        <v>6824</v>
      </c>
      <c r="B47" s="49" t="s">
        <v>4097</v>
      </c>
      <c r="C47" s="48" t="s">
        <v>195</v>
      </c>
      <c r="D47" s="48"/>
      <c r="E47" s="5"/>
      <c r="F47" s="5"/>
      <c r="G47" s="5"/>
    </row>
    <row r="48" spans="1:7" ht="15.75" customHeight="1">
      <c r="A48" s="48" t="s">
        <v>6825</v>
      </c>
      <c r="B48" s="49" t="s">
        <v>4098</v>
      </c>
      <c r="C48" s="48" t="s">
        <v>195</v>
      </c>
      <c r="D48" s="48"/>
      <c r="E48" s="51"/>
      <c r="F48" s="5"/>
      <c r="G48" s="5"/>
    </row>
    <row r="49" spans="1:7" ht="15.75" customHeight="1">
      <c r="A49" s="48" t="s">
        <v>6826</v>
      </c>
      <c r="B49" s="49" t="s">
        <v>6287</v>
      </c>
      <c r="C49" s="48" t="s">
        <v>195</v>
      </c>
      <c r="D49" s="48"/>
      <c r="E49" s="5"/>
      <c r="F49" s="51"/>
      <c r="G49" s="5"/>
    </row>
    <row r="50" spans="1:7" ht="15.75" customHeight="1">
      <c r="A50" s="48" t="s">
        <v>6827</v>
      </c>
      <c r="B50" s="49" t="s">
        <v>4076</v>
      </c>
      <c r="C50" s="48" t="s">
        <v>225</v>
      </c>
      <c r="D50" s="48"/>
      <c r="E50" s="51"/>
      <c r="F50" s="5"/>
      <c r="G50" s="5"/>
    </row>
    <row r="51" spans="1:7" ht="15.75" customHeight="1">
      <c r="A51" s="48" t="s">
        <v>6828</v>
      </c>
      <c r="B51" s="49" t="s">
        <v>3390</v>
      </c>
      <c r="C51" s="48" t="s">
        <v>808</v>
      </c>
      <c r="D51" s="48"/>
      <c r="E51" s="51"/>
      <c r="F51" s="5"/>
      <c r="G51" s="5"/>
    </row>
    <row r="52" spans="1:7" ht="15.75" customHeight="1">
      <c r="A52" s="48" t="s">
        <v>6829</v>
      </c>
      <c r="B52" s="49" t="s">
        <v>4188</v>
      </c>
      <c r="C52" s="48" t="s">
        <v>808</v>
      </c>
      <c r="D52" s="48"/>
      <c r="E52" s="5"/>
      <c r="F52" s="5"/>
      <c r="G52" s="5"/>
    </row>
    <row r="53" spans="1:7" ht="13">
      <c r="A53" s="48" t="s">
        <v>6830</v>
      </c>
      <c r="B53" s="49" t="s">
        <v>4445</v>
      </c>
      <c r="C53" s="48" t="s">
        <v>808</v>
      </c>
      <c r="D53" s="48"/>
      <c r="E53" s="5"/>
      <c r="F53" s="5"/>
      <c r="G53" s="5"/>
    </row>
    <row r="54" spans="1:7" ht="13">
      <c r="A54" s="48" t="s">
        <v>6831</v>
      </c>
      <c r="B54" s="49" t="s">
        <v>4132</v>
      </c>
      <c r="C54" s="48" t="s">
        <v>808</v>
      </c>
      <c r="D54" s="48"/>
      <c r="E54" s="5"/>
      <c r="F54" s="5"/>
      <c r="G54" s="5"/>
    </row>
    <row r="55" spans="1:7" ht="13">
      <c r="A55" s="48" t="s">
        <v>6832</v>
      </c>
      <c r="B55" s="49" t="s">
        <v>4133</v>
      </c>
      <c r="C55" s="48" t="s">
        <v>808</v>
      </c>
      <c r="D55" s="48"/>
      <c r="E55" s="5"/>
      <c r="F55" s="5"/>
      <c r="G55" s="5"/>
    </row>
    <row r="56" spans="1:7" ht="13">
      <c r="A56" s="48" t="s">
        <v>6833</v>
      </c>
      <c r="B56" s="49" t="s">
        <v>4036</v>
      </c>
      <c r="C56" s="48" t="s">
        <v>808</v>
      </c>
      <c r="D56" s="48"/>
      <c r="E56" s="5"/>
      <c r="F56" s="5"/>
      <c r="G56" s="5"/>
    </row>
    <row r="57" spans="1:7" ht="13">
      <c r="A57" s="48" t="s">
        <v>6834</v>
      </c>
      <c r="B57" s="58" t="str">
        <f>HYPERLINK("https://bulbapedia.bulbagarden.net/wiki/Zoroark-GX_(Shining_Legends_53)","ZoroarkGX")</f>
        <v>ZoroarkGX</v>
      </c>
      <c r="C57" s="48" t="s">
        <v>808</v>
      </c>
      <c r="D57" s="48"/>
      <c r="E57" s="5"/>
      <c r="F57" s="5"/>
      <c r="G57" s="5"/>
    </row>
    <row r="58" spans="1:7" ht="13">
      <c r="A58" s="48" t="s">
        <v>6835</v>
      </c>
      <c r="B58" s="49" t="s">
        <v>4747</v>
      </c>
      <c r="C58" s="48" t="s">
        <v>808</v>
      </c>
      <c r="D58" s="48"/>
      <c r="E58" s="5"/>
      <c r="F58" s="51"/>
      <c r="G58" s="5"/>
    </row>
    <row r="59" spans="1:7" ht="13">
      <c r="A59" s="48" t="s">
        <v>6836</v>
      </c>
      <c r="B59" s="49" t="s">
        <v>4845</v>
      </c>
      <c r="C59" s="48" t="s">
        <v>808</v>
      </c>
      <c r="D59" s="48"/>
      <c r="E59" s="5"/>
      <c r="F59" s="51"/>
      <c r="G59" s="5"/>
    </row>
    <row r="60" spans="1:7" ht="13">
      <c r="A60" s="48" t="s">
        <v>6837</v>
      </c>
      <c r="B60" s="49" t="s">
        <v>6838</v>
      </c>
      <c r="C60" s="48" t="s">
        <v>4285</v>
      </c>
      <c r="D60" s="47"/>
      <c r="E60" s="5"/>
      <c r="F60" s="5"/>
      <c r="G60" s="5"/>
    </row>
    <row r="61" spans="1:7" ht="13">
      <c r="A61" s="48" t="s">
        <v>6839</v>
      </c>
      <c r="B61" s="49" t="s">
        <v>6840</v>
      </c>
      <c r="C61" s="48" t="s">
        <v>197</v>
      </c>
      <c r="D61" s="47"/>
      <c r="E61" s="5"/>
      <c r="F61" s="5"/>
      <c r="G61" s="5"/>
    </row>
    <row r="62" spans="1:7" ht="13">
      <c r="A62" s="48" t="s">
        <v>6841</v>
      </c>
      <c r="B62" s="49" t="s">
        <v>6842</v>
      </c>
      <c r="C62" s="48" t="s">
        <v>4114</v>
      </c>
      <c r="D62" s="48"/>
      <c r="E62" s="5"/>
      <c r="F62" s="5"/>
      <c r="G62" s="5"/>
    </row>
    <row r="63" spans="1:7" ht="13">
      <c r="A63" s="48" t="s">
        <v>6843</v>
      </c>
      <c r="B63" s="49" t="s">
        <v>307</v>
      </c>
      <c r="C63" s="48" t="s">
        <v>4114</v>
      </c>
      <c r="D63" s="48"/>
      <c r="E63" s="5"/>
      <c r="F63" s="5"/>
      <c r="G63" s="5"/>
    </row>
    <row r="64" spans="1:7" ht="13">
      <c r="A64" s="48" t="s">
        <v>6844</v>
      </c>
      <c r="B64" s="49" t="s">
        <v>2029</v>
      </c>
      <c r="C64" s="48" t="s">
        <v>4114</v>
      </c>
      <c r="D64" s="48"/>
      <c r="E64" s="5"/>
      <c r="F64" s="5"/>
      <c r="G64" s="5"/>
    </row>
    <row r="65" spans="1:7" ht="13">
      <c r="A65" s="48" t="s">
        <v>6845</v>
      </c>
      <c r="B65" s="49" t="s">
        <v>6507</v>
      </c>
      <c r="C65" s="48" t="s">
        <v>1013</v>
      </c>
      <c r="D65" s="48"/>
      <c r="E65" s="51"/>
      <c r="F65" s="5"/>
      <c r="G65" s="5"/>
    </row>
    <row r="66" spans="1:7" ht="13">
      <c r="A66" s="48" t="s">
        <v>6846</v>
      </c>
      <c r="B66" s="49" t="s">
        <v>6509</v>
      </c>
      <c r="C66" s="48" t="s">
        <v>1013</v>
      </c>
      <c r="D66" s="48"/>
      <c r="E66" s="5"/>
      <c r="F66" s="5"/>
      <c r="G66" s="5"/>
    </row>
    <row r="67" spans="1:7" ht="13">
      <c r="A67" s="48" t="s">
        <v>6847</v>
      </c>
      <c r="B67" s="49" t="s">
        <v>305</v>
      </c>
      <c r="C67" s="48" t="s">
        <v>1013</v>
      </c>
      <c r="D67" s="48"/>
      <c r="E67" s="5"/>
      <c r="F67" s="5"/>
      <c r="G67" s="5"/>
    </row>
    <row r="68" spans="1:7" ht="13">
      <c r="A68" s="48" t="s">
        <v>6848</v>
      </c>
      <c r="B68" s="49" t="s">
        <v>4183</v>
      </c>
      <c r="C68" s="48" t="s">
        <v>4114</v>
      </c>
      <c r="D68" s="48"/>
      <c r="E68" s="51"/>
      <c r="F68" s="5"/>
      <c r="G68" s="5"/>
    </row>
    <row r="69" spans="1:7" ht="13">
      <c r="A69" s="48" t="s">
        <v>6849</v>
      </c>
      <c r="B69" s="49" t="s">
        <v>6755</v>
      </c>
      <c r="C69" s="48" t="s">
        <v>1013</v>
      </c>
      <c r="D69" s="48"/>
      <c r="E69" s="5"/>
      <c r="F69" s="5"/>
      <c r="G69" s="5"/>
    </row>
    <row r="70" spans="1:7" ht="13">
      <c r="A70" s="48" t="s">
        <v>6850</v>
      </c>
      <c r="B70" s="49" t="s">
        <v>925</v>
      </c>
      <c r="C70" s="48" t="s">
        <v>4114</v>
      </c>
      <c r="D70" s="48"/>
      <c r="E70" s="51"/>
      <c r="F70" s="5"/>
      <c r="G70" s="5"/>
    </row>
    <row r="71" spans="1:7" ht="13">
      <c r="A71" s="48" t="s">
        <v>6851</v>
      </c>
      <c r="B71" s="49" t="s">
        <v>315</v>
      </c>
      <c r="C71" s="48" t="s">
        <v>4114</v>
      </c>
      <c r="D71" s="48"/>
      <c r="E71" s="5"/>
      <c r="F71" s="5"/>
      <c r="G71" s="5"/>
    </row>
    <row r="72" spans="1:7" ht="13">
      <c r="A72" s="48" t="s">
        <v>6852</v>
      </c>
      <c r="B72" s="49" t="s">
        <v>4173</v>
      </c>
      <c r="C72" s="48" t="s">
        <v>4114</v>
      </c>
      <c r="D72" s="48"/>
      <c r="E72" s="5"/>
      <c r="F72" s="5"/>
      <c r="G72" s="5"/>
    </row>
    <row r="73" spans="1:7" ht="13">
      <c r="A73" s="48" t="s">
        <v>6853</v>
      </c>
      <c r="B73" s="49" t="s">
        <v>4173</v>
      </c>
      <c r="C73" s="48" t="s">
        <v>4114</v>
      </c>
      <c r="D73" s="48"/>
      <c r="E73" s="5"/>
      <c r="F73" s="5"/>
      <c r="G73" s="51"/>
    </row>
    <row r="74" spans="1:7" ht="13">
      <c r="A74" s="48" t="s">
        <v>6854</v>
      </c>
      <c r="B74" s="49" t="s">
        <v>316</v>
      </c>
      <c r="C74" s="48" t="s">
        <v>317</v>
      </c>
      <c r="D74" s="48"/>
      <c r="E74" s="5"/>
      <c r="F74" s="5"/>
      <c r="G74" s="5"/>
    </row>
    <row r="75" spans="1:7" ht="13">
      <c r="A75" s="48" t="s">
        <v>6855</v>
      </c>
      <c r="B75" s="49" t="s">
        <v>1173</v>
      </c>
      <c r="C75" s="48" t="s">
        <v>317</v>
      </c>
      <c r="D75" s="48"/>
      <c r="E75" s="5"/>
      <c r="F75" s="5"/>
      <c r="G75" s="5"/>
    </row>
    <row r="76" spans="1:7" ht="13">
      <c r="A76" s="48" t="s">
        <v>6856</v>
      </c>
      <c r="B76" s="58" t="str">
        <f>HYPERLINK("https://bulbapedia.bulbagarden.net/wiki/Entei-GX_(Shining_Legends_71)","EnteiGX")</f>
        <v>EnteiGX</v>
      </c>
      <c r="C76" s="48" t="s">
        <v>199</v>
      </c>
      <c r="D76" s="48"/>
      <c r="E76" s="5"/>
      <c r="F76" s="5"/>
      <c r="G76" s="5"/>
    </row>
    <row r="77" spans="1:7" ht="13">
      <c r="A77" s="48" t="s">
        <v>6857</v>
      </c>
      <c r="B77" s="58" t="str">
        <f>HYPERLINK("https://bulbapedia.bulbagarden.net/wiki/Mewtwo-GX_(Shining_Legends_72)","MewtwoGX")</f>
        <v>MewtwoGX</v>
      </c>
      <c r="C77" s="48" t="s">
        <v>195</v>
      </c>
      <c r="D77" s="47"/>
      <c r="E77" s="5"/>
      <c r="F77" s="5"/>
      <c r="G77" s="5"/>
    </row>
    <row r="78" spans="1:7" ht="13">
      <c r="A78" s="48" t="s">
        <v>6858</v>
      </c>
      <c r="B78" s="49" t="s">
        <v>305</v>
      </c>
      <c r="C78" s="48" t="s">
        <v>1013</v>
      </c>
      <c r="D78" s="48"/>
      <c r="E78" s="5"/>
      <c r="F78" s="5"/>
      <c r="G78" s="5"/>
    </row>
    <row r="79" spans="1:7" ht="13">
      <c r="A79" s="48" t="s">
        <v>6859</v>
      </c>
      <c r="B79" s="58" t="str">
        <f>HYPERLINK("https://bulbapedia.bulbagarden.net/wiki/Entei-GX_(Shining_Legends_74)","EnteiGX")</f>
        <v>EnteiGX</v>
      </c>
      <c r="C79" s="48" t="s">
        <v>199</v>
      </c>
      <c r="D79" s="48"/>
      <c r="E79" s="5"/>
      <c r="F79" s="5"/>
      <c r="G79" s="5"/>
    </row>
    <row r="80" spans="1:7" ht="13">
      <c r="A80" s="48" t="s">
        <v>6860</v>
      </c>
      <c r="B80" s="58" t="str">
        <f>HYPERLINK("https://bulbapedia.bulbagarden.net/wiki/Raichu-GX_(Shining_Legends_75)","RaichuGX")</f>
        <v>RaichuGX</v>
      </c>
      <c r="C80" s="48" t="s">
        <v>192</v>
      </c>
      <c r="D80" s="47"/>
      <c r="E80" s="5"/>
      <c r="F80" s="5"/>
      <c r="G80" s="5"/>
    </row>
    <row r="81" spans="1:7" ht="13">
      <c r="A81" s="48" t="s">
        <v>6861</v>
      </c>
      <c r="B81" s="58" t="str">
        <f>HYPERLINK("https://bulbapedia.bulbagarden.net/wiki/Mewtwo-GX_(Shining_Legends_76)","MewtwoGX")</f>
        <v>MewtwoGX</v>
      </c>
      <c r="C81" s="48" t="s">
        <v>195</v>
      </c>
      <c r="D81" s="47"/>
      <c r="E81" s="5"/>
      <c r="F81" s="5"/>
      <c r="G81" s="5"/>
    </row>
    <row r="82" spans="1:7" ht="13">
      <c r="A82" s="48" t="s">
        <v>6862</v>
      </c>
      <c r="B82" s="58" t="str">
        <f t="shared" ref="B82:B83" si="0">HYPERLINK("https://bulbapedia.bulbagarden.net/wiki/Zoroark-GX_(Shining_Legends_77)","ZoroarkGX")</f>
        <v>ZoroarkGX</v>
      </c>
      <c r="C82" s="48" t="s">
        <v>808</v>
      </c>
      <c r="D82" s="47"/>
      <c r="E82" s="5"/>
      <c r="F82" s="5"/>
      <c r="G82" s="5"/>
    </row>
    <row r="83" spans="1:7" ht="13">
      <c r="A83" s="48" t="s">
        <v>6863</v>
      </c>
      <c r="B83" s="58" t="str">
        <f t="shared" si="0"/>
        <v>ZoroarkGX</v>
      </c>
      <c r="C83" s="48" t="s">
        <v>808</v>
      </c>
      <c r="D83" s="48"/>
      <c r="E83" s="5"/>
      <c r="F83" s="5"/>
      <c r="G83" s="5"/>
    </row>
    <row r="84" spans="1:7" ht="13">
      <c r="A84" s="48" t="s">
        <v>6864</v>
      </c>
      <c r="B84" s="58" t="str">
        <f>HYPERLINK("https://bulbapedia.bulbagarden.net/wiki/Mewtwo-GX_(Shining_Legends_78)","MewtwoGX")</f>
        <v>MewtwoGX</v>
      </c>
      <c r="C84" s="48" t="s">
        <v>195</v>
      </c>
      <c r="D84" s="47"/>
      <c r="E84" s="5"/>
      <c r="F84" s="5"/>
      <c r="G84" s="5"/>
    </row>
    <row r="85" spans="1:7" ht="13">
      <c r="F85" s="5"/>
      <c r="G85" s="5"/>
    </row>
    <row r="86" spans="1:7" ht="13">
      <c r="A86" s="48"/>
      <c r="B86" s="53"/>
      <c r="C86" s="48"/>
      <c r="D86" s="47"/>
      <c r="E86" s="5"/>
      <c r="F86" s="5"/>
      <c r="G86" s="5"/>
    </row>
    <row r="87" spans="1:7" ht="13">
      <c r="A87" s="48"/>
      <c r="B87" s="50"/>
      <c r="C87" s="48"/>
      <c r="D87" s="47"/>
      <c r="E87" s="5"/>
      <c r="F87" s="5"/>
      <c r="G87" s="5"/>
    </row>
    <row r="88" spans="1:7" ht="13">
      <c r="A88" s="48"/>
      <c r="B88" s="50"/>
      <c r="C88" s="48"/>
      <c r="D88" s="47"/>
      <c r="E88" s="5"/>
      <c r="F88" s="5"/>
      <c r="G88" s="5"/>
    </row>
    <row r="89" spans="1:7" ht="13">
      <c r="A89" s="48"/>
      <c r="B89" s="53"/>
      <c r="C89" s="48"/>
      <c r="D89" s="47"/>
      <c r="E89" s="5"/>
      <c r="F89" s="5"/>
      <c r="G89" s="5"/>
    </row>
    <row r="90" spans="1:7" ht="13">
      <c r="A90" s="48"/>
      <c r="B90" s="50"/>
      <c r="C90" s="48"/>
      <c r="D90" s="47"/>
      <c r="E90" s="5"/>
      <c r="F90" s="5"/>
      <c r="G90" s="5"/>
    </row>
    <row r="91" spans="1:7" ht="13">
      <c r="A91" s="48"/>
      <c r="B91" s="50"/>
      <c r="C91" s="48"/>
      <c r="D91" s="47"/>
      <c r="E91" s="5"/>
      <c r="F91" s="5"/>
      <c r="G91" s="5"/>
    </row>
    <row r="92" spans="1:7" ht="13">
      <c r="A92" s="48"/>
      <c r="B92" s="50"/>
      <c r="C92" s="48"/>
      <c r="D92" s="47"/>
      <c r="E92" s="5"/>
      <c r="F92" s="5"/>
      <c r="G92" s="5"/>
    </row>
    <row r="93" spans="1:7" ht="13">
      <c r="A93" s="48"/>
      <c r="B93" s="50"/>
      <c r="C93" s="48"/>
      <c r="D93" s="47"/>
      <c r="E93" s="5"/>
      <c r="F93" s="5"/>
      <c r="G93" s="5"/>
    </row>
    <row r="94" spans="1:7" ht="13">
      <c r="A94" s="48"/>
      <c r="B94" s="50"/>
      <c r="C94" s="48"/>
      <c r="D94" s="47"/>
      <c r="E94" s="5"/>
      <c r="F94" s="5"/>
      <c r="G94" s="5"/>
    </row>
    <row r="95" spans="1:7" ht="13">
      <c r="A95" s="48"/>
      <c r="B95" s="50"/>
      <c r="C95" s="48"/>
      <c r="D95" s="47"/>
      <c r="E95" s="5"/>
      <c r="F95" s="5"/>
      <c r="G95" s="5"/>
    </row>
    <row r="96" spans="1:7" ht="13">
      <c r="A96" s="48"/>
      <c r="B96" s="50"/>
      <c r="C96" s="48"/>
      <c r="D96" s="47"/>
      <c r="E96" s="5"/>
      <c r="F96" s="5"/>
      <c r="G96" s="5"/>
    </row>
    <row r="97" spans="1:7" ht="13">
      <c r="A97" s="48"/>
      <c r="B97" s="53"/>
      <c r="C97" s="48"/>
      <c r="D97" s="47"/>
      <c r="E97" s="5"/>
      <c r="F97" s="5"/>
      <c r="G97" s="5"/>
    </row>
    <row r="98" spans="1:7" ht="13">
      <c r="A98" s="48"/>
      <c r="B98" s="50"/>
      <c r="C98" s="48"/>
      <c r="D98" s="47"/>
      <c r="E98" s="5"/>
      <c r="F98" s="5"/>
      <c r="G98" s="5"/>
    </row>
    <row r="99" spans="1:7" ht="13">
      <c r="A99" s="48"/>
      <c r="B99" s="50"/>
      <c r="C99" s="48"/>
      <c r="D99" s="47"/>
      <c r="E99" s="5"/>
      <c r="F99" s="5"/>
      <c r="G99" s="5"/>
    </row>
    <row r="100" spans="1:7" ht="13">
      <c r="A100" s="48"/>
      <c r="B100" s="50"/>
      <c r="C100" s="48"/>
      <c r="D100" s="47"/>
      <c r="E100" s="5"/>
      <c r="F100" s="5"/>
      <c r="G100" s="5"/>
    </row>
    <row r="101" spans="1:7" ht="13">
      <c r="A101" s="48"/>
      <c r="B101" s="50"/>
      <c r="C101" s="48"/>
      <c r="D101" s="47"/>
      <c r="E101" s="5"/>
      <c r="F101" s="5"/>
      <c r="G101" s="5"/>
    </row>
    <row r="102" spans="1:7" ht="13">
      <c r="A102" s="48"/>
      <c r="B102" s="53"/>
      <c r="C102" s="48"/>
      <c r="D102" s="47"/>
      <c r="E102" s="5"/>
      <c r="F102" s="5"/>
      <c r="G102" s="5"/>
    </row>
    <row r="103" spans="1:7" ht="13">
      <c r="A103" s="48"/>
      <c r="B103" s="53"/>
      <c r="C103" s="48"/>
      <c r="D103" s="47"/>
      <c r="E103" s="5"/>
      <c r="F103" s="5"/>
      <c r="G103" s="5"/>
    </row>
    <row r="104" spans="1:7" ht="13">
      <c r="A104" s="48"/>
      <c r="B104" s="50"/>
      <c r="C104" s="48"/>
      <c r="D104" s="47"/>
      <c r="E104" s="5"/>
      <c r="F104" s="5"/>
      <c r="G104" s="5"/>
    </row>
    <row r="105" spans="1:7" ht="13">
      <c r="A105" s="48"/>
      <c r="B105" s="50"/>
      <c r="C105" s="48"/>
      <c r="D105" s="47"/>
      <c r="E105" s="5"/>
      <c r="F105" s="5"/>
      <c r="G105" s="5"/>
    </row>
    <row r="106" spans="1:7" ht="13">
      <c r="A106" s="48"/>
      <c r="B106" s="50"/>
      <c r="C106" s="48"/>
      <c r="D106" s="47"/>
      <c r="E106" s="5"/>
      <c r="F106" s="5"/>
      <c r="G106" s="5"/>
    </row>
    <row r="107" spans="1:7" ht="13">
      <c r="A107" s="48"/>
      <c r="B107" s="50"/>
      <c r="C107" s="48"/>
      <c r="D107" s="47"/>
      <c r="E107" s="5"/>
      <c r="F107" s="5"/>
      <c r="G107" s="5"/>
    </row>
    <row r="108" spans="1:7" ht="13">
      <c r="A108" s="48"/>
      <c r="B108" s="50"/>
      <c r="C108" s="48"/>
      <c r="D108" s="47"/>
      <c r="E108" s="5"/>
      <c r="F108" s="5"/>
      <c r="G108" s="5"/>
    </row>
    <row r="109" spans="1:7" ht="13">
      <c r="A109" s="48"/>
      <c r="B109" s="50"/>
      <c r="C109" s="48"/>
      <c r="D109" s="47"/>
      <c r="E109" s="5"/>
      <c r="F109" s="5"/>
      <c r="G109" s="5"/>
    </row>
    <row r="110" spans="1:7" ht="13">
      <c r="A110" s="48"/>
      <c r="B110" s="50"/>
      <c r="C110" s="48"/>
      <c r="D110" s="47"/>
      <c r="E110" s="5"/>
      <c r="F110" s="5"/>
      <c r="G110" s="5"/>
    </row>
    <row r="111" spans="1:7" ht="13">
      <c r="A111" s="48"/>
      <c r="B111" s="50"/>
      <c r="C111" s="48"/>
      <c r="D111" s="47"/>
      <c r="E111" s="5"/>
      <c r="F111" s="5"/>
      <c r="G111" s="5"/>
    </row>
    <row r="112" spans="1:7" ht="13">
      <c r="A112" s="48"/>
      <c r="B112" s="50"/>
      <c r="C112" s="48"/>
      <c r="D112" s="47"/>
      <c r="E112" s="5"/>
      <c r="F112" s="5"/>
      <c r="G112" s="5"/>
    </row>
    <row r="113" spans="1:7" ht="13">
      <c r="A113" s="48"/>
      <c r="B113" s="50"/>
      <c r="C113" s="48"/>
      <c r="D113" s="47"/>
      <c r="E113" s="5"/>
      <c r="F113" s="5"/>
      <c r="G113" s="5"/>
    </row>
    <row r="114" spans="1:7" ht="13">
      <c r="A114" s="48"/>
      <c r="B114" s="50"/>
      <c r="C114" s="48"/>
      <c r="D114" s="47"/>
      <c r="E114" s="5"/>
      <c r="F114" s="5"/>
      <c r="G114" s="5"/>
    </row>
    <row r="115" spans="1:7" ht="13">
      <c r="A115" s="48"/>
      <c r="B115" s="50"/>
      <c r="C115" s="48"/>
      <c r="D115" s="47"/>
      <c r="E115" s="5"/>
      <c r="F115" s="5"/>
      <c r="G115" s="5"/>
    </row>
    <row r="116" spans="1:7" ht="13">
      <c r="A116" s="48"/>
      <c r="B116" s="50"/>
      <c r="C116" s="48"/>
      <c r="D116" s="47"/>
      <c r="E116" s="5"/>
      <c r="F116" s="5"/>
      <c r="G116" s="5"/>
    </row>
    <row r="117" spans="1:7" ht="13">
      <c r="A117" s="48"/>
      <c r="B117" s="53"/>
      <c r="C117" s="48"/>
      <c r="D117" s="47"/>
      <c r="E117" s="5"/>
      <c r="F117" s="5"/>
      <c r="G117" s="5"/>
    </row>
    <row r="118" spans="1:7" ht="13">
      <c r="A118" s="48"/>
      <c r="B118" s="50"/>
      <c r="C118" s="48"/>
      <c r="D118" s="47"/>
      <c r="E118" s="5"/>
      <c r="F118" s="5"/>
      <c r="G118" s="5"/>
    </row>
    <row r="119" spans="1:7" ht="13">
      <c r="A119" s="48"/>
      <c r="B119" s="50"/>
      <c r="C119" s="48"/>
      <c r="D119" s="47"/>
      <c r="E119" s="5"/>
      <c r="F119" s="5"/>
      <c r="G119" s="5"/>
    </row>
    <row r="120" spans="1:7" ht="13">
      <c r="A120" s="48"/>
      <c r="B120" s="50"/>
      <c r="C120" s="48"/>
      <c r="D120" s="47"/>
      <c r="E120" s="5"/>
      <c r="F120" s="5"/>
      <c r="G120" s="5"/>
    </row>
    <row r="121" spans="1:7" ht="13">
      <c r="A121" s="48"/>
      <c r="B121" s="50"/>
      <c r="C121" s="48"/>
      <c r="D121" s="47"/>
      <c r="E121" s="5"/>
      <c r="F121" s="5"/>
      <c r="G121" s="5"/>
    </row>
    <row r="122" spans="1:7" ht="13">
      <c r="A122" s="48"/>
      <c r="B122" s="50"/>
      <c r="C122" s="48"/>
      <c r="D122" s="47"/>
      <c r="E122" s="5"/>
      <c r="F122" s="5"/>
      <c r="G122" s="5"/>
    </row>
    <row r="123" spans="1:7" ht="13">
      <c r="A123" s="48"/>
      <c r="B123" s="50"/>
      <c r="C123" s="48"/>
      <c r="D123" s="47"/>
      <c r="E123" s="5"/>
      <c r="F123" s="5"/>
      <c r="G123" s="5"/>
    </row>
    <row r="124" spans="1:7" ht="13">
      <c r="A124" s="48"/>
      <c r="B124" s="53"/>
      <c r="C124" s="48"/>
      <c r="D124" s="47"/>
      <c r="E124" s="5"/>
      <c r="F124" s="5"/>
      <c r="G124" s="5"/>
    </row>
    <row r="125" spans="1:7" ht="13">
      <c r="A125" s="48"/>
      <c r="B125" s="50"/>
      <c r="C125" s="48"/>
      <c r="D125" s="47"/>
      <c r="E125" s="5"/>
      <c r="F125" s="5"/>
      <c r="G125" s="5"/>
    </row>
    <row r="126" spans="1:7" ht="13">
      <c r="A126" s="48"/>
      <c r="B126" s="53"/>
      <c r="C126" s="48"/>
      <c r="D126" s="47"/>
      <c r="E126" s="5"/>
      <c r="F126" s="5"/>
      <c r="G126" s="5"/>
    </row>
    <row r="127" spans="1:7" ht="13">
      <c r="A127" s="48"/>
      <c r="B127" s="53"/>
      <c r="C127" s="48"/>
      <c r="D127" s="47"/>
      <c r="E127" s="5"/>
      <c r="F127" s="5"/>
      <c r="G127" s="5"/>
    </row>
    <row r="128" spans="1:7" ht="13">
      <c r="A128" s="48"/>
      <c r="B128" s="53"/>
      <c r="C128" s="48"/>
      <c r="D128" s="47"/>
      <c r="E128" s="5"/>
      <c r="F128" s="5"/>
      <c r="G128" s="5"/>
    </row>
    <row r="129" spans="1:7" ht="13">
      <c r="A129" s="48"/>
      <c r="B129" s="53"/>
      <c r="C129" s="48"/>
      <c r="D129" s="47"/>
      <c r="E129" s="5"/>
      <c r="F129" s="5"/>
      <c r="G129" s="5"/>
    </row>
    <row r="130" spans="1:7" ht="13">
      <c r="A130" s="48"/>
      <c r="B130" s="53"/>
      <c r="C130" s="48"/>
      <c r="D130" s="47"/>
      <c r="E130" s="5"/>
      <c r="F130" s="5"/>
      <c r="G130" s="5"/>
    </row>
    <row r="131" spans="1:7" ht="13">
      <c r="A131" s="48"/>
      <c r="B131" s="53"/>
      <c r="C131" s="48"/>
      <c r="D131" s="47"/>
      <c r="E131" s="5"/>
      <c r="F131" s="5"/>
      <c r="G131" s="5"/>
    </row>
    <row r="132" spans="1:7" ht="13">
      <c r="A132" s="48"/>
      <c r="B132" s="53"/>
      <c r="C132" s="48"/>
      <c r="D132" s="47"/>
      <c r="E132" s="5"/>
      <c r="F132" s="5"/>
      <c r="G132" s="5"/>
    </row>
    <row r="133" spans="1:7" ht="13">
      <c r="A133" s="48"/>
      <c r="B133" s="53"/>
      <c r="C133" s="48"/>
      <c r="D133" s="47"/>
      <c r="E133" s="5"/>
      <c r="F133" s="5"/>
      <c r="G133" s="5"/>
    </row>
    <row r="134" spans="1:7" ht="13">
      <c r="A134" s="48"/>
      <c r="B134" s="53"/>
      <c r="C134" s="48"/>
      <c r="D134" s="47"/>
      <c r="E134" s="5"/>
      <c r="F134" s="5"/>
      <c r="G134" s="5"/>
    </row>
    <row r="135" spans="1:7" ht="13">
      <c r="A135" s="48"/>
      <c r="B135" s="50"/>
      <c r="C135" s="48"/>
      <c r="D135" s="47"/>
      <c r="E135" s="5"/>
      <c r="F135" s="5"/>
      <c r="G135" s="5"/>
    </row>
    <row r="136" spans="1:7" ht="13">
      <c r="A136" s="48"/>
      <c r="B136" s="50"/>
      <c r="C136" s="48"/>
      <c r="D136" s="47"/>
      <c r="E136" s="5"/>
      <c r="F136" s="5"/>
      <c r="G136" s="5"/>
    </row>
    <row r="137" spans="1:7" ht="13">
      <c r="A137" s="48"/>
      <c r="B137" s="50"/>
      <c r="C137" s="48"/>
      <c r="D137" s="47"/>
      <c r="E137" s="5"/>
      <c r="F137" s="5"/>
      <c r="G137" s="5"/>
    </row>
    <row r="138" spans="1:7" ht="13">
      <c r="A138" s="48"/>
      <c r="B138" s="50"/>
      <c r="C138" s="48"/>
      <c r="D138" s="47"/>
      <c r="E138" s="5"/>
      <c r="F138" s="5"/>
      <c r="G138" s="5"/>
    </row>
    <row r="139" spans="1:7" ht="13">
      <c r="A139" s="48"/>
      <c r="B139" s="53"/>
      <c r="C139" s="48"/>
      <c r="D139" s="47"/>
      <c r="E139" s="5"/>
      <c r="F139" s="5"/>
      <c r="G139" s="5"/>
    </row>
    <row r="140" spans="1:7" ht="13">
      <c r="A140" s="48"/>
      <c r="B140" s="53"/>
      <c r="C140" s="48"/>
      <c r="D140" s="47"/>
      <c r="E140" s="5"/>
      <c r="F140" s="5"/>
      <c r="G140" s="5"/>
    </row>
    <row r="141" spans="1:7" ht="13">
      <c r="A141" s="48"/>
      <c r="B141" s="53"/>
      <c r="C141" s="48"/>
      <c r="D141" s="47"/>
      <c r="E141" s="5"/>
      <c r="F141" s="5"/>
      <c r="G141" s="5"/>
    </row>
    <row r="142" spans="1:7" ht="13">
      <c r="A142" s="48"/>
      <c r="B142" s="53"/>
      <c r="C142" s="48"/>
      <c r="D142" s="47"/>
      <c r="E142" s="5"/>
      <c r="F142" s="5"/>
      <c r="G142" s="5"/>
    </row>
    <row r="143" spans="1:7" ht="13">
      <c r="A143" s="48"/>
      <c r="B143" s="53"/>
      <c r="C143" s="48"/>
      <c r="D143" s="47"/>
      <c r="E143" s="5"/>
      <c r="F143" s="5"/>
      <c r="G143" s="5"/>
    </row>
    <row r="144" spans="1:7" ht="13">
      <c r="A144" s="48"/>
      <c r="B144" s="53"/>
      <c r="C144" s="48"/>
      <c r="D144" s="47"/>
      <c r="E144" s="5"/>
      <c r="F144" s="5"/>
      <c r="G144" s="5"/>
    </row>
    <row r="145" spans="1:7" ht="13">
      <c r="A145" s="48"/>
      <c r="B145" s="53"/>
      <c r="C145" s="48"/>
      <c r="D145" s="47"/>
      <c r="E145" s="5"/>
      <c r="F145" s="5"/>
      <c r="G145" s="5"/>
    </row>
    <row r="146" spans="1:7" ht="13">
      <c r="A146" s="48"/>
      <c r="B146" s="53"/>
      <c r="C146" s="48"/>
      <c r="D146" s="47"/>
      <c r="E146" s="5"/>
      <c r="F146" s="5"/>
      <c r="G146" s="5"/>
    </row>
    <row r="147" spans="1:7" ht="13">
      <c r="A147" s="48"/>
      <c r="B147" s="53"/>
      <c r="C147" s="48"/>
      <c r="D147" s="47"/>
      <c r="E147" s="5"/>
      <c r="F147" s="5"/>
      <c r="G147" s="5"/>
    </row>
    <row r="148" spans="1:7" ht="13">
      <c r="A148" s="48"/>
      <c r="B148" s="50"/>
      <c r="C148" s="48"/>
      <c r="D148" s="47"/>
      <c r="E148" s="5"/>
      <c r="F148" s="5"/>
      <c r="G148" s="5"/>
    </row>
    <row r="149" spans="1:7" ht="13">
      <c r="A149" s="48"/>
      <c r="B149" s="50"/>
      <c r="C149" s="48"/>
      <c r="D149" s="47"/>
      <c r="E149" s="5"/>
      <c r="F149" s="5"/>
      <c r="G149" s="5"/>
    </row>
    <row r="150" spans="1:7" ht="13">
      <c r="A150" s="48"/>
      <c r="B150" s="50"/>
      <c r="C150" s="48"/>
      <c r="D150" s="47"/>
      <c r="E150" s="5"/>
      <c r="F150" s="5"/>
      <c r="G150" s="5"/>
    </row>
    <row r="151" spans="1:7" ht="13">
      <c r="A151" s="48"/>
      <c r="B151" s="50"/>
      <c r="C151" s="48"/>
      <c r="D151" s="47"/>
      <c r="E151" s="5"/>
      <c r="F151" s="5"/>
      <c r="G151" s="5"/>
    </row>
    <row r="152" spans="1:7" ht="13">
      <c r="A152" s="48"/>
      <c r="B152" s="50"/>
      <c r="C152" s="48"/>
      <c r="D152" s="47"/>
      <c r="E152" s="5"/>
      <c r="F152" s="5"/>
      <c r="G152" s="5"/>
    </row>
    <row r="153" spans="1:7" ht="13">
      <c r="A153" s="48"/>
      <c r="B153" s="50"/>
      <c r="C153" s="48"/>
      <c r="D153" s="47"/>
      <c r="E153" s="5"/>
      <c r="F153" s="5"/>
      <c r="G153" s="5"/>
    </row>
    <row r="154" spans="1:7" ht="13">
      <c r="A154" s="48"/>
      <c r="B154" s="53"/>
      <c r="C154" s="48"/>
      <c r="D154" s="47"/>
      <c r="E154" s="5"/>
      <c r="F154" s="5"/>
      <c r="G154" s="5"/>
    </row>
    <row r="155" spans="1:7" ht="13">
      <c r="A155" s="48"/>
      <c r="B155" s="50"/>
      <c r="C155" s="48"/>
      <c r="D155" s="47"/>
      <c r="E155" s="5"/>
      <c r="F155" s="5"/>
      <c r="G155" s="5"/>
    </row>
    <row r="156" spans="1:7" ht="13">
      <c r="A156" s="48"/>
      <c r="B156" s="50"/>
      <c r="C156" s="48"/>
      <c r="D156" s="47"/>
      <c r="E156" s="5"/>
      <c r="F156" s="5"/>
      <c r="G156" s="5"/>
    </row>
    <row r="157" spans="1:7" ht="13">
      <c r="A157" s="48"/>
      <c r="B157" s="50"/>
      <c r="C157" s="48"/>
      <c r="D157" s="47"/>
      <c r="E157" s="5"/>
      <c r="F157" s="5"/>
      <c r="G157" s="5"/>
    </row>
    <row r="158" spans="1:7" ht="13">
      <c r="A158" s="48"/>
      <c r="B158" s="50"/>
      <c r="C158" s="48"/>
      <c r="D158" s="47"/>
      <c r="E158" s="5"/>
      <c r="F158" s="5"/>
      <c r="G158" s="5"/>
    </row>
    <row r="159" spans="1:7" ht="13">
      <c r="A159" s="48"/>
      <c r="B159" s="50"/>
      <c r="C159" s="48"/>
      <c r="D159" s="47"/>
      <c r="E159" s="5"/>
      <c r="F159" s="5"/>
      <c r="G159" s="5"/>
    </row>
    <row r="160" spans="1:7" ht="13">
      <c r="A160" s="48"/>
      <c r="B160" s="50"/>
      <c r="C160" s="48"/>
      <c r="D160" s="47"/>
      <c r="E160" s="5"/>
      <c r="F160" s="5"/>
      <c r="G160" s="5"/>
    </row>
    <row r="161" spans="1:7" ht="13">
      <c r="A161" s="48"/>
      <c r="B161" s="50"/>
      <c r="C161" s="48"/>
      <c r="D161" s="47"/>
      <c r="E161" s="5"/>
      <c r="F161" s="5"/>
      <c r="G161" s="5"/>
    </row>
    <row r="162" spans="1:7" ht="13">
      <c r="A162" s="48"/>
      <c r="B162" s="50"/>
      <c r="C162" s="48"/>
      <c r="D162" s="47"/>
      <c r="E162" s="5"/>
      <c r="F162" s="5"/>
      <c r="G162" s="5"/>
    </row>
    <row r="163" spans="1:7" ht="13">
      <c r="A163" s="48"/>
      <c r="B163" s="50"/>
      <c r="C163" s="48"/>
      <c r="D163" s="47"/>
      <c r="E163" s="5"/>
      <c r="F163" s="5"/>
      <c r="G163" s="5"/>
    </row>
    <row r="164" spans="1:7" ht="13">
      <c r="A164" s="48"/>
      <c r="B164" s="53"/>
      <c r="C164" s="48"/>
      <c r="D164" s="47"/>
      <c r="E164" s="5"/>
      <c r="F164" s="5"/>
      <c r="G164" s="5"/>
    </row>
    <row r="165" spans="1:7" ht="13">
      <c r="A165" s="48"/>
      <c r="B165" s="53"/>
      <c r="C165" s="48"/>
      <c r="D165" s="47"/>
      <c r="E165" s="5"/>
      <c r="F165" s="5"/>
      <c r="G165" s="5"/>
    </row>
    <row r="166" spans="1:7" ht="13">
      <c r="A166" s="48"/>
      <c r="B166" s="53"/>
      <c r="C166" s="48"/>
      <c r="D166" s="47"/>
      <c r="E166" s="5"/>
      <c r="F166" s="5"/>
      <c r="G166" s="5"/>
    </row>
    <row r="167" spans="1:7" ht="13">
      <c r="A167" s="48"/>
      <c r="B167" s="53"/>
      <c r="C167" s="48"/>
      <c r="D167" s="47"/>
      <c r="E167" s="5"/>
      <c r="F167" s="5"/>
      <c r="G167" s="5"/>
    </row>
    <row r="168" spans="1:7" ht="13">
      <c r="A168" s="48"/>
      <c r="B168" s="53"/>
      <c r="C168" s="48"/>
      <c r="D168" s="47"/>
      <c r="E168" s="5"/>
      <c r="F168" s="5"/>
      <c r="G168" s="5"/>
    </row>
    <row r="169" spans="1:7" ht="13">
      <c r="A169" s="48"/>
      <c r="B169" s="53"/>
      <c r="C169" s="48"/>
      <c r="D169" s="47"/>
      <c r="E169" s="5"/>
      <c r="F169" s="5"/>
      <c r="G169" s="5"/>
    </row>
    <row r="170" spans="1:7" ht="13">
      <c r="A170" s="48"/>
      <c r="B170" s="53"/>
      <c r="C170" s="48"/>
      <c r="D170" s="47"/>
      <c r="E170" s="5"/>
      <c r="F170" s="5"/>
      <c r="G170" s="5"/>
    </row>
    <row r="171" spans="1:7" ht="13">
      <c r="A171" s="48"/>
      <c r="B171" s="53"/>
      <c r="C171" s="48"/>
      <c r="D171" s="47"/>
      <c r="E171" s="5"/>
      <c r="F171" s="5"/>
      <c r="G171" s="5"/>
    </row>
    <row r="172" spans="1:7" ht="13">
      <c r="A172" s="48"/>
      <c r="B172" s="53"/>
      <c r="C172" s="48"/>
      <c r="D172" s="47"/>
      <c r="E172" s="5"/>
      <c r="F172" s="5"/>
      <c r="G172" s="5"/>
    </row>
    <row r="173" spans="1:7" ht="13">
      <c r="A173" s="48"/>
      <c r="B173" s="50"/>
      <c r="C173" s="48"/>
      <c r="D173" s="47"/>
      <c r="E173" s="5"/>
      <c r="F173" s="5"/>
      <c r="G173" s="5"/>
    </row>
    <row r="174" spans="1:7" ht="13">
      <c r="A174" s="48"/>
      <c r="B174" s="50"/>
      <c r="C174" s="48"/>
      <c r="D174" s="47"/>
      <c r="E174" s="5"/>
      <c r="F174" s="5"/>
      <c r="G174" s="5"/>
    </row>
    <row r="175" spans="1:7" ht="13">
      <c r="A175" s="48"/>
      <c r="B175" s="50"/>
      <c r="C175" s="48"/>
      <c r="D175" s="47"/>
      <c r="E175" s="5"/>
      <c r="F175" s="5"/>
      <c r="G175" s="5"/>
    </row>
    <row r="176" spans="1:7" ht="13">
      <c r="A176" s="48"/>
      <c r="B176" s="50"/>
      <c r="C176" s="48"/>
      <c r="D176" s="47"/>
      <c r="E176" s="5"/>
      <c r="F176" s="5"/>
      <c r="G176" s="5"/>
    </row>
    <row r="177" spans="1:7" ht="13">
      <c r="A177" s="48"/>
      <c r="B177" s="50"/>
      <c r="C177" s="48"/>
      <c r="D177" s="47"/>
      <c r="E177" s="5"/>
      <c r="F177" s="5"/>
      <c r="G177" s="5"/>
    </row>
    <row r="178" spans="1:7" ht="13">
      <c r="A178" s="48"/>
      <c r="B178" s="50"/>
      <c r="C178" s="48"/>
      <c r="D178" s="47"/>
      <c r="E178" s="5"/>
      <c r="F178" s="5"/>
      <c r="G178" s="5"/>
    </row>
    <row r="179" spans="1:7" ht="13">
      <c r="A179" s="48"/>
      <c r="B179" s="53"/>
      <c r="C179" s="48"/>
      <c r="D179" s="47"/>
      <c r="E179" s="5"/>
      <c r="F179" s="5"/>
      <c r="G179" s="5"/>
    </row>
    <row r="180" spans="1:7" ht="13">
      <c r="A180" s="48"/>
      <c r="B180" s="53"/>
      <c r="C180" s="48"/>
      <c r="D180" s="47"/>
      <c r="E180" s="5"/>
      <c r="F180" s="5"/>
      <c r="G180" s="5"/>
    </row>
    <row r="181" spans="1:7" ht="13">
      <c r="C181" s="80"/>
      <c r="E181" s="5"/>
      <c r="F181" s="5"/>
      <c r="G181" s="5"/>
    </row>
    <row r="182" spans="1:7" ht="13">
      <c r="C182" s="80"/>
      <c r="E182" s="5"/>
      <c r="F182" s="5"/>
      <c r="G182" s="5"/>
    </row>
    <row r="183" spans="1:7" ht="13">
      <c r="C183" s="80"/>
      <c r="E183" s="5"/>
      <c r="F183" s="5"/>
      <c r="G183" s="5"/>
    </row>
    <row r="184" spans="1:7" ht="13">
      <c r="C184" s="80"/>
      <c r="E184" s="5"/>
      <c r="F184" s="5"/>
      <c r="G184" s="5"/>
    </row>
    <row r="185" spans="1:7" ht="13">
      <c r="C185" s="80"/>
      <c r="E185" s="5"/>
      <c r="F185" s="5"/>
      <c r="G185" s="5"/>
    </row>
    <row r="186" spans="1:7" ht="13">
      <c r="C186" s="80"/>
      <c r="E186" s="5"/>
      <c r="F186" s="5"/>
      <c r="G186" s="5"/>
    </row>
    <row r="187" spans="1:7" ht="13">
      <c r="C187" s="80"/>
      <c r="E187" s="5"/>
      <c r="F187" s="5"/>
      <c r="G187" s="5"/>
    </row>
    <row r="188" spans="1:7" ht="13">
      <c r="C188" s="80"/>
      <c r="E188" s="5"/>
      <c r="F188" s="5"/>
      <c r="G188" s="5"/>
    </row>
    <row r="189" spans="1:7" ht="13">
      <c r="C189" s="80"/>
      <c r="E189" s="5"/>
      <c r="F189" s="5"/>
      <c r="G189" s="5"/>
    </row>
    <row r="190" spans="1:7" ht="13">
      <c r="C190" s="80"/>
      <c r="E190" s="5"/>
      <c r="F190" s="5"/>
      <c r="G190" s="5"/>
    </row>
    <row r="191" spans="1:7" ht="13">
      <c r="C191" s="80"/>
      <c r="E191" s="5"/>
      <c r="F191" s="5"/>
      <c r="G191" s="5"/>
    </row>
    <row r="192" spans="1:7" ht="13">
      <c r="C192" s="80"/>
      <c r="E192" s="5"/>
      <c r="F192" s="5"/>
      <c r="G192" s="5"/>
    </row>
    <row r="193" spans="3:7" ht="13">
      <c r="C193" s="80"/>
      <c r="E193" s="5"/>
      <c r="F193" s="5"/>
      <c r="G193" s="5"/>
    </row>
    <row r="194" spans="3:7" ht="13">
      <c r="C194" s="80"/>
      <c r="E194" s="5"/>
      <c r="F194" s="5"/>
      <c r="G194" s="5"/>
    </row>
    <row r="195" spans="3:7" ht="13">
      <c r="C195" s="80"/>
      <c r="E195" s="5"/>
      <c r="F195" s="5"/>
      <c r="G195" s="5"/>
    </row>
    <row r="196" spans="3:7" ht="13">
      <c r="C196" s="80"/>
      <c r="E196" s="5"/>
      <c r="F196" s="5"/>
      <c r="G196" s="5"/>
    </row>
    <row r="197" spans="3:7" ht="13">
      <c r="C197" s="80"/>
      <c r="E197" s="5"/>
      <c r="F197" s="5"/>
      <c r="G197" s="5"/>
    </row>
    <row r="198" spans="3:7" ht="13">
      <c r="C198" s="80"/>
      <c r="E198" s="5"/>
      <c r="F198" s="5"/>
      <c r="G198" s="5"/>
    </row>
    <row r="199" spans="3:7" ht="13">
      <c r="C199" s="80"/>
      <c r="E199" s="5"/>
      <c r="F199" s="5"/>
      <c r="G199" s="5"/>
    </row>
    <row r="200" spans="3:7" ht="13">
      <c r="C200" s="80"/>
      <c r="E200" s="5"/>
      <c r="F200" s="5"/>
      <c r="G200" s="5"/>
    </row>
    <row r="201" spans="3:7" ht="13">
      <c r="C201" s="80"/>
      <c r="E201" s="5"/>
      <c r="F201" s="5"/>
      <c r="G201" s="5"/>
    </row>
    <row r="202" spans="3:7" ht="13">
      <c r="C202" s="80"/>
      <c r="E202" s="5"/>
      <c r="F202" s="5"/>
      <c r="G202" s="5"/>
    </row>
    <row r="203" spans="3:7" ht="13">
      <c r="C203" s="80"/>
      <c r="E203" s="5"/>
      <c r="F203" s="5"/>
      <c r="G203" s="5"/>
    </row>
    <row r="204" spans="3:7" ht="13">
      <c r="C204" s="80"/>
      <c r="E204" s="5"/>
      <c r="F204" s="5"/>
      <c r="G204" s="5"/>
    </row>
    <row r="205" spans="3:7" ht="13">
      <c r="C205" s="80"/>
      <c r="E205" s="5"/>
      <c r="F205" s="5"/>
      <c r="G205" s="5"/>
    </row>
    <row r="206" spans="3:7" ht="13">
      <c r="C206" s="80"/>
      <c r="E206" s="5"/>
      <c r="F206" s="5"/>
      <c r="G206" s="5"/>
    </row>
    <row r="207" spans="3:7" ht="13">
      <c r="C207" s="80"/>
      <c r="E207" s="5"/>
      <c r="F207" s="5"/>
      <c r="G207" s="5"/>
    </row>
    <row r="208" spans="3:7" ht="13">
      <c r="C208" s="80"/>
      <c r="E208" s="5"/>
      <c r="F208" s="5"/>
      <c r="G208" s="5"/>
    </row>
    <row r="209" spans="3:7" ht="13">
      <c r="C209" s="80"/>
      <c r="E209" s="5"/>
      <c r="F209" s="5"/>
      <c r="G209" s="5"/>
    </row>
    <row r="210" spans="3:7" ht="13">
      <c r="C210" s="80"/>
      <c r="E210" s="5"/>
      <c r="F210" s="5"/>
      <c r="G210" s="5"/>
    </row>
    <row r="211" spans="3:7" ht="13">
      <c r="C211" s="80"/>
      <c r="E211" s="5"/>
      <c r="F211" s="5"/>
      <c r="G211" s="5"/>
    </row>
    <row r="212" spans="3:7" ht="13">
      <c r="C212" s="80"/>
      <c r="E212" s="5"/>
      <c r="F212" s="5"/>
      <c r="G212" s="5"/>
    </row>
    <row r="213" spans="3:7" ht="13">
      <c r="C213" s="80"/>
      <c r="E213" s="5"/>
      <c r="F213" s="5"/>
      <c r="G213" s="5"/>
    </row>
    <row r="214" spans="3:7" ht="13">
      <c r="C214" s="80"/>
      <c r="E214" s="5"/>
      <c r="F214" s="5"/>
      <c r="G214" s="5"/>
    </row>
    <row r="215" spans="3:7" ht="13">
      <c r="C215" s="80"/>
      <c r="E215" s="5"/>
      <c r="F215" s="5"/>
      <c r="G215" s="5"/>
    </row>
    <row r="216" spans="3:7" ht="13">
      <c r="C216" s="80"/>
      <c r="E216" s="5"/>
      <c r="F216" s="5"/>
      <c r="G216" s="5"/>
    </row>
    <row r="217" spans="3:7" ht="13">
      <c r="C217" s="80"/>
      <c r="E217" s="5"/>
      <c r="F217" s="5"/>
      <c r="G217" s="5"/>
    </row>
    <row r="218" spans="3:7" ht="13">
      <c r="C218" s="80"/>
      <c r="E218" s="5"/>
      <c r="F218" s="5"/>
      <c r="G218" s="5"/>
    </row>
    <row r="219" spans="3:7" ht="13">
      <c r="C219" s="80"/>
      <c r="E219" s="5"/>
      <c r="F219" s="5"/>
      <c r="G219" s="5"/>
    </row>
    <row r="220" spans="3:7" ht="13">
      <c r="C220" s="80"/>
      <c r="E220" s="5"/>
      <c r="F220" s="5"/>
      <c r="G220" s="5"/>
    </row>
    <row r="221" spans="3:7" ht="13">
      <c r="C221" s="80"/>
      <c r="E221" s="5"/>
      <c r="F221" s="5"/>
      <c r="G221" s="5"/>
    </row>
    <row r="222" spans="3:7" ht="13">
      <c r="C222" s="80"/>
      <c r="E222" s="5"/>
      <c r="F222" s="5"/>
      <c r="G222" s="5"/>
    </row>
    <row r="223" spans="3:7" ht="13">
      <c r="C223" s="80"/>
      <c r="E223" s="5"/>
      <c r="F223" s="5"/>
      <c r="G223" s="5"/>
    </row>
    <row r="224" spans="3:7" ht="13">
      <c r="C224" s="80"/>
      <c r="E224" s="5"/>
      <c r="F224" s="5"/>
      <c r="G224" s="5"/>
    </row>
    <row r="225" spans="3:7" ht="13">
      <c r="C225" s="80"/>
      <c r="E225" s="5"/>
      <c r="F225" s="5"/>
      <c r="G225" s="5"/>
    </row>
    <row r="226" spans="3:7" ht="13">
      <c r="C226" s="80"/>
      <c r="E226" s="5"/>
      <c r="F226" s="5"/>
      <c r="G226" s="5"/>
    </row>
    <row r="227" spans="3:7" ht="13">
      <c r="C227" s="80"/>
      <c r="E227" s="5"/>
      <c r="F227" s="5"/>
      <c r="G227" s="5"/>
    </row>
    <row r="228" spans="3:7" ht="13">
      <c r="C228" s="80"/>
      <c r="E228" s="5"/>
      <c r="F228" s="5"/>
      <c r="G228" s="5"/>
    </row>
    <row r="229" spans="3:7" ht="13">
      <c r="C229" s="80"/>
      <c r="E229" s="5"/>
      <c r="F229" s="5"/>
      <c r="G229" s="5"/>
    </row>
    <row r="230" spans="3:7" ht="13">
      <c r="C230" s="80"/>
      <c r="E230" s="5"/>
      <c r="F230" s="5"/>
      <c r="G230" s="5"/>
    </row>
    <row r="231" spans="3:7" ht="13">
      <c r="C231" s="80"/>
      <c r="E231" s="5"/>
      <c r="F231" s="5"/>
      <c r="G231" s="5"/>
    </row>
    <row r="232" spans="3:7" ht="13">
      <c r="C232" s="80"/>
      <c r="E232" s="5"/>
      <c r="F232" s="5"/>
      <c r="G232" s="5"/>
    </row>
    <row r="233" spans="3:7" ht="13">
      <c r="C233" s="80"/>
      <c r="E233" s="5"/>
      <c r="F233" s="5"/>
      <c r="G233" s="5"/>
    </row>
    <row r="234" spans="3:7" ht="13">
      <c r="C234" s="80"/>
      <c r="E234" s="5"/>
      <c r="F234" s="5"/>
      <c r="G234" s="5"/>
    </row>
    <row r="235" spans="3:7" ht="13">
      <c r="C235" s="80"/>
      <c r="E235" s="5"/>
      <c r="F235" s="5"/>
      <c r="G235" s="5"/>
    </row>
    <row r="236" spans="3:7" ht="13">
      <c r="C236" s="80"/>
      <c r="E236" s="5"/>
      <c r="F236" s="5"/>
      <c r="G236" s="5"/>
    </row>
    <row r="237" spans="3:7" ht="13">
      <c r="C237" s="80"/>
      <c r="E237" s="5"/>
      <c r="F237" s="5"/>
      <c r="G237" s="5"/>
    </row>
    <row r="238" spans="3:7" ht="13">
      <c r="C238" s="80"/>
      <c r="E238" s="5"/>
      <c r="F238" s="5"/>
      <c r="G238" s="5"/>
    </row>
    <row r="239" spans="3:7" ht="13">
      <c r="C239" s="80"/>
      <c r="E239" s="5"/>
      <c r="F239" s="5"/>
      <c r="G239" s="5"/>
    </row>
    <row r="240" spans="3:7" ht="13">
      <c r="C240" s="80"/>
      <c r="E240" s="5"/>
      <c r="F240" s="5"/>
      <c r="G240" s="5"/>
    </row>
    <row r="241" spans="3:7" ht="13">
      <c r="C241" s="80"/>
      <c r="E241" s="5"/>
      <c r="F241" s="5"/>
      <c r="G241" s="5"/>
    </row>
    <row r="242" spans="3:7" ht="13">
      <c r="C242" s="80"/>
      <c r="E242" s="5"/>
      <c r="F242" s="5"/>
      <c r="G242" s="5"/>
    </row>
    <row r="243" spans="3:7" ht="13">
      <c r="C243" s="80"/>
      <c r="E243" s="5"/>
      <c r="F243" s="5"/>
      <c r="G243" s="5"/>
    </row>
    <row r="244" spans="3:7" ht="13">
      <c r="C244" s="80"/>
      <c r="E244" s="5"/>
      <c r="F244" s="5"/>
      <c r="G244" s="5"/>
    </row>
    <row r="245" spans="3:7" ht="13">
      <c r="C245" s="80"/>
      <c r="E245" s="5"/>
      <c r="F245" s="5"/>
      <c r="G245" s="5"/>
    </row>
    <row r="246" spans="3:7" ht="13">
      <c r="C246" s="80"/>
      <c r="E246" s="5"/>
      <c r="F246" s="5"/>
      <c r="G246" s="5"/>
    </row>
    <row r="247" spans="3:7" ht="13">
      <c r="C247" s="80"/>
      <c r="E247" s="5"/>
      <c r="F247" s="5"/>
      <c r="G247" s="5"/>
    </row>
    <row r="248" spans="3:7" ht="13">
      <c r="C248" s="80"/>
      <c r="E248" s="5"/>
      <c r="F248" s="5"/>
      <c r="G248" s="5"/>
    </row>
    <row r="249" spans="3:7" ht="13">
      <c r="C249" s="80"/>
      <c r="E249" s="5"/>
      <c r="F249" s="5"/>
      <c r="G249" s="5"/>
    </row>
    <row r="250" spans="3:7" ht="13">
      <c r="C250" s="80"/>
      <c r="E250" s="5"/>
      <c r="F250" s="5"/>
      <c r="G250" s="5"/>
    </row>
    <row r="251" spans="3:7" ht="13">
      <c r="C251" s="80"/>
      <c r="E251" s="5"/>
      <c r="F251" s="5"/>
      <c r="G251" s="5"/>
    </row>
    <row r="252" spans="3:7" ht="13">
      <c r="C252" s="80"/>
      <c r="E252" s="5"/>
      <c r="F252" s="5"/>
      <c r="G252" s="5"/>
    </row>
    <row r="253" spans="3:7" ht="13">
      <c r="C253" s="80"/>
      <c r="E253" s="5"/>
      <c r="F253" s="5"/>
      <c r="G253" s="5"/>
    </row>
    <row r="254" spans="3:7" ht="13">
      <c r="C254" s="80"/>
      <c r="E254" s="5"/>
      <c r="F254" s="5"/>
      <c r="G254" s="5"/>
    </row>
    <row r="255" spans="3:7" ht="13">
      <c r="C255" s="80"/>
      <c r="E255" s="5"/>
      <c r="F255" s="5"/>
      <c r="G255" s="5"/>
    </row>
    <row r="256" spans="3:7" ht="13">
      <c r="C256" s="80"/>
      <c r="E256" s="5"/>
      <c r="F256" s="5"/>
      <c r="G256" s="5"/>
    </row>
    <row r="257" spans="3:7" ht="13">
      <c r="C257" s="80"/>
      <c r="E257" s="5"/>
      <c r="F257" s="5"/>
      <c r="G257" s="5"/>
    </row>
    <row r="258" spans="3:7" ht="13">
      <c r="C258" s="80"/>
      <c r="E258" s="5"/>
      <c r="F258" s="5"/>
      <c r="G258" s="5"/>
    </row>
    <row r="259" spans="3:7" ht="13">
      <c r="C259" s="80"/>
      <c r="E259" s="5"/>
      <c r="F259" s="5"/>
      <c r="G259" s="5"/>
    </row>
    <row r="260" spans="3:7" ht="13">
      <c r="C260" s="80"/>
      <c r="E260" s="5"/>
      <c r="F260" s="5"/>
      <c r="G260" s="5"/>
    </row>
    <row r="261" spans="3:7" ht="13">
      <c r="C261" s="80"/>
      <c r="E261" s="5"/>
      <c r="F261" s="5"/>
      <c r="G261" s="5"/>
    </row>
    <row r="262" spans="3:7" ht="13">
      <c r="C262" s="80"/>
      <c r="E262" s="5"/>
      <c r="F262" s="5"/>
      <c r="G262" s="5"/>
    </row>
    <row r="263" spans="3:7" ht="13">
      <c r="C263" s="80"/>
      <c r="E263" s="5"/>
      <c r="F263" s="5"/>
      <c r="G263" s="5"/>
    </row>
    <row r="264" spans="3:7" ht="13">
      <c r="C264" s="80"/>
      <c r="E264" s="5"/>
      <c r="F264" s="5"/>
      <c r="G264" s="5"/>
    </row>
    <row r="265" spans="3:7" ht="13">
      <c r="C265" s="80"/>
      <c r="E265" s="5"/>
      <c r="F265" s="5"/>
      <c r="G265" s="5"/>
    </row>
    <row r="266" spans="3:7" ht="13">
      <c r="C266" s="80"/>
      <c r="E266" s="5"/>
      <c r="F266" s="5"/>
      <c r="G266" s="5"/>
    </row>
    <row r="267" spans="3:7" ht="13">
      <c r="C267" s="80"/>
      <c r="E267" s="5"/>
      <c r="F267" s="5"/>
      <c r="G267" s="5"/>
    </row>
    <row r="268" spans="3:7" ht="13">
      <c r="C268" s="80"/>
      <c r="E268" s="5"/>
      <c r="F268" s="5"/>
      <c r="G268" s="5"/>
    </row>
    <row r="269" spans="3:7" ht="13">
      <c r="C269" s="80"/>
      <c r="E269" s="5"/>
      <c r="F269" s="5"/>
      <c r="G269" s="5"/>
    </row>
    <row r="270" spans="3:7" ht="13">
      <c r="C270" s="80"/>
      <c r="E270" s="5"/>
      <c r="F270" s="5"/>
      <c r="G270" s="5"/>
    </row>
    <row r="271" spans="3:7" ht="13">
      <c r="C271" s="80"/>
      <c r="E271" s="5"/>
      <c r="F271" s="5"/>
      <c r="G271" s="5"/>
    </row>
    <row r="272" spans="3:7" ht="13">
      <c r="C272" s="80"/>
      <c r="E272" s="5"/>
      <c r="F272" s="5"/>
      <c r="G272" s="5"/>
    </row>
    <row r="273" spans="3:7" ht="13">
      <c r="C273" s="80"/>
      <c r="E273" s="5"/>
      <c r="F273" s="5"/>
      <c r="G273" s="5"/>
    </row>
    <row r="274" spans="3:7" ht="13">
      <c r="C274" s="80"/>
      <c r="E274" s="5"/>
      <c r="F274" s="5"/>
      <c r="G274" s="5"/>
    </row>
    <row r="275" spans="3:7" ht="13">
      <c r="C275" s="80"/>
      <c r="E275" s="5"/>
      <c r="F275" s="5"/>
      <c r="G275" s="5"/>
    </row>
    <row r="276" spans="3:7" ht="13">
      <c r="C276" s="80"/>
      <c r="E276" s="5"/>
      <c r="F276" s="5"/>
      <c r="G276" s="5"/>
    </row>
    <row r="277" spans="3:7" ht="13">
      <c r="C277" s="80"/>
      <c r="E277" s="5"/>
      <c r="F277" s="5"/>
      <c r="G277" s="5"/>
    </row>
    <row r="278" spans="3:7" ht="13">
      <c r="C278" s="80"/>
      <c r="E278" s="5"/>
      <c r="F278" s="5"/>
      <c r="G278" s="5"/>
    </row>
    <row r="279" spans="3:7" ht="13">
      <c r="C279" s="80"/>
      <c r="E279" s="5"/>
      <c r="F279" s="5"/>
      <c r="G279" s="5"/>
    </row>
    <row r="280" spans="3:7" ht="13">
      <c r="C280" s="80"/>
      <c r="E280" s="5"/>
      <c r="F280" s="5"/>
      <c r="G280" s="5"/>
    </row>
    <row r="281" spans="3:7" ht="13">
      <c r="C281" s="80"/>
      <c r="E281" s="5"/>
      <c r="F281" s="5"/>
      <c r="G281" s="5"/>
    </row>
    <row r="282" spans="3:7" ht="13">
      <c r="C282" s="80"/>
      <c r="E282" s="5"/>
      <c r="F282" s="5"/>
      <c r="G282" s="5"/>
    </row>
    <row r="283" spans="3:7" ht="13">
      <c r="C283" s="80"/>
      <c r="E283" s="5"/>
      <c r="F283" s="5"/>
      <c r="G283" s="5"/>
    </row>
    <row r="284" spans="3:7" ht="13">
      <c r="C284" s="80"/>
      <c r="E284" s="5"/>
      <c r="F284" s="5"/>
      <c r="G284" s="5"/>
    </row>
    <row r="285" spans="3:7" ht="13">
      <c r="C285" s="80"/>
      <c r="E285" s="5"/>
      <c r="F285" s="5"/>
      <c r="G285" s="5"/>
    </row>
    <row r="286" spans="3:7" ht="13">
      <c r="C286" s="80"/>
      <c r="E286" s="5"/>
      <c r="F286" s="5"/>
      <c r="G286" s="5"/>
    </row>
    <row r="287" spans="3:7" ht="13">
      <c r="C287" s="80"/>
      <c r="E287" s="5"/>
      <c r="F287" s="5"/>
      <c r="G287" s="5"/>
    </row>
    <row r="288" spans="3:7" ht="13">
      <c r="C288" s="80"/>
      <c r="E288" s="5"/>
      <c r="F288" s="5"/>
      <c r="G288" s="5"/>
    </row>
    <row r="289" spans="3:7" ht="13">
      <c r="C289" s="80"/>
      <c r="E289" s="5"/>
      <c r="F289" s="5"/>
      <c r="G289" s="5"/>
    </row>
    <row r="290" spans="3:7" ht="13">
      <c r="C290" s="80"/>
      <c r="E290" s="5"/>
      <c r="F290" s="5"/>
      <c r="G290" s="5"/>
    </row>
    <row r="291" spans="3:7" ht="13">
      <c r="C291" s="80"/>
      <c r="E291" s="5"/>
      <c r="F291" s="5"/>
      <c r="G291" s="5"/>
    </row>
    <row r="292" spans="3:7" ht="13">
      <c r="C292" s="80"/>
      <c r="E292" s="5"/>
      <c r="F292" s="5"/>
      <c r="G292" s="5"/>
    </row>
    <row r="293" spans="3:7" ht="13">
      <c r="C293" s="80"/>
      <c r="E293" s="5"/>
      <c r="F293" s="5"/>
      <c r="G293" s="5"/>
    </row>
    <row r="294" spans="3:7" ht="13">
      <c r="C294" s="80"/>
      <c r="E294" s="5"/>
      <c r="F294" s="5"/>
      <c r="G294" s="5"/>
    </row>
    <row r="295" spans="3:7" ht="13">
      <c r="C295" s="80"/>
      <c r="E295" s="5"/>
      <c r="F295" s="5"/>
      <c r="G295" s="5"/>
    </row>
    <row r="296" spans="3:7" ht="13">
      <c r="C296" s="80"/>
      <c r="E296" s="5"/>
      <c r="F296" s="5"/>
      <c r="G296" s="5"/>
    </row>
    <row r="297" spans="3:7" ht="13">
      <c r="C297" s="80"/>
      <c r="E297" s="5"/>
      <c r="F297" s="5"/>
      <c r="G297" s="5"/>
    </row>
    <row r="298" spans="3:7" ht="13">
      <c r="C298" s="80"/>
      <c r="E298" s="5"/>
      <c r="F298" s="5"/>
      <c r="G298" s="5"/>
    </row>
    <row r="299" spans="3:7" ht="13">
      <c r="C299" s="80"/>
      <c r="E299" s="5"/>
      <c r="F299" s="5"/>
      <c r="G299" s="5"/>
    </row>
    <row r="300" spans="3:7" ht="13">
      <c r="C300" s="80"/>
      <c r="E300" s="5"/>
      <c r="F300" s="5"/>
      <c r="G300" s="5"/>
    </row>
    <row r="301" spans="3:7" ht="13">
      <c r="C301" s="80"/>
      <c r="E301" s="5"/>
      <c r="F301" s="5"/>
      <c r="G301" s="5"/>
    </row>
    <row r="302" spans="3:7" ht="13">
      <c r="C302" s="80"/>
      <c r="E302" s="5"/>
      <c r="F302" s="5"/>
      <c r="G302" s="5"/>
    </row>
    <row r="303" spans="3:7" ht="13">
      <c r="C303" s="80"/>
      <c r="E303" s="5"/>
      <c r="F303" s="5"/>
      <c r="G303" s="5"/>
    </row>
    <row r="304" spans="3:7" ht="13">
      <c r="C304" s="80"/>
      <c r="E304" s="5"/>
      <c r="F304" s="5"/>
      <c r="G304" s="5"/>
    </row>
    <row r="305" spans="3:7" ht="13">
      <c r="C305" s="80"/>
      <c r="E305" s="5"/>
      <c r="F305" s="5"/>
      <c r="G305" s="5"/>
    </row>
    <row r="306" spans="3:7" ht="13">
      <c r="C306" s="80"/>
      <c r="E306" s="5"/>
      <c r="F306" s="5"/>
      <c r="G306" s="5"/>
    </row>
    <row r="307" spans="3:7" ht="13">
      <c r="C307" s="80"/>
      <c r="E307" s="5"/>
      <c r="F307" s="5"/>
      <c r="G307" s="5"/>
    </row>
    <row r="308" spans="3:7" ht="13">
      <c r="C308" s="80"/>
      <c r="E308" s="5"/>
      <c r="F308" s="5"/>
      <c r="G308" s="5"/>
    </row>
    <row r="309" spans="3:7" ht="13">
      <c r="C309" s="80"/>
      <c r="E309" s="5"/>
      <c r="F309" s="5"/>
      <c r="G309" s="5"/>
    </row>
    <row r="310" spans="3:7" ht="13">
      <c r="C310" s="80"/>
      <c r="E310" s="5"/>
      <c r="F310" s="5"/>
      <c r="G310" s="5"/>
    </row>
    <row r="311" spans="3:7" ht="13">
      <c r="C311" s="80"/>
      <c r="E311" s="5"/>
      <c r="F311" s="5"/>
      <c r="G311" s="5"/>
    </row>
    <row r="312" spans="3:7" ht="13">
      <c r="C312" s="80"/>
      <c r="E312" s="5"/>
      <c r="F312" s="5"/>
      <c r="G312" s="5"/>
    </row>
    <row r="313" spans="3:7" ht="13">
      <c r="C313" s="80"/>
      <c r="E313" s="5"/>
      <c r="F313" s="5"/>
      <c r="G313" s="5"/>
    </row>
    <row r="314" spans="3:7" ht="13">
      <c r="C314" s="80"/>
      <c r="E314" s="5"/>
      <c r="F314" s="5"/>
      <c r="G314" s="5"/>
    </row>
    <row r="315" spans="3:7" ht="13">
      <c r="C315" s="80"/>
      <c r="E315" s="5"/>
      <c r="F315" s="5"/>
      <c r="G315" s="5"/>
    </row>
    <row r="316" spans="3:7" ht="13">
      <c r="C316" s="80"/>
      <c r="E316" s="5"/>
      <c r="F316" s="5"/>
      <c r="G316" s="5"/>
    </row>
    <row r="317" spans="3:7" ht="13">
      <c r="C317" s="80"/>
      <c r="E317" s="5"/>
      <c r="F317" s="5"/>
      <c r="G317" s="5"/>
    </row>
    <row r="318" spans="3:7" ht="13">
      <c r="C318" s="80"/>
      <c r="E318" s="5"/>
      <c r="F318" s="5"/>
      <c r="G318" s="5"/>
    </row>
    <row r="319" spans="3:7" ht="13">
      <c r="C319" s="80"/>
      <c r="E319" s="5"/>
      <c r="F319" s="5"/>
      <c r="G319" s="5"/>
    </row>
    <row r="320" spans="3:7" ht="13">
      <c r="C320" s="80"/>
      <c r="E320" s="5"/>
      <c r="F320" s="5"/>
      <c r="G320" s="5"/>
    </row>
    <row r="321" spans="3:7" ht="13">
      <c r="C321" s="80"/>
      <c r="E321" s="5"/>
      <c r="F321" s="5"/>
      <c r="G321" s="5"/>
    </row>
    <row r="322" spans="3:7" ht="13">
      <c r="C322" s="80"/>
      <c r="E322" s="5"/>
      <c r="F322" s="5"/>
      <c r="G322" s="5"/>
    </row>
    <row r="323" spans="3:7" ht="13">
      <c r="C323" s="80"/>
      <c r="E323" s="5"/>
      <c r="F323" s="5"/>
      <c r="G323" s="5"/>
    </row>
    <row r="324" spans="3:7" ht="13">
      <c r="C324" s="80"/>
      <c r="E324" s="5"/>
      <c r="F324" s="5"/>
      <c r="G324" s="5"/>
    </row>
    <row r="325" spans="3:7" ht="13">
      <c r="C325" s="80"/>
      <c r="E325" s="5"/>
      <c r="F325" s="5"/>
      <c r="G325" s="5"/>
    </row>
    <row r="326" spans="3:7" ht="13">
      <c r="C326" s="80"/>
      <c r="E326" s="5"/>
      <c r="F326" s="5"/>
      <c r="G326" s="5"/>
    </row>
    <row r="327" spans="3:7" ht="13">
      <c r="C327" s="80"/>
      <c r="E327" s="5"/>
      <c r="F327" s="5"/>
      <c r="G327" s="5"/>
    </row>
    <row r="328" spans="3:7" ht="13">
      <c r="C328" s="80"/>
      <c r="E328" s="5"/>
      <c r="F328" s="5"/>
      <c r="G328" s="5"/>
    </row>
    <row r="329" spans="3:7" ht="13">
      <c r="C329" s="80"/>
      <c r="E329" s="5"/>
      <c r="F329" s="5"/>
      <c r="G329" s="5"/>
    </row>
    <row r="330" spans="3:7" ht="13">
      <c r="C330" s="80"/>
      <c r="E330" s="5"/>
      <c r="F330" s="5"/>
      <c r="G330" s="5"/>
    </row>
    <row r="331" spans="3:7" ht="13">
      <c r="C331" s="80"/>
      <c r="E331" s="5"/>
      <c r="F331" s="5"/>
      <c r="G331" s="5"/>
    </row>
    <row r="332" spans="3:7" ht="13">
      <c r="C332" s="80"/>
      <c r="E332" s="5"/>
      <c r="F332" s="5"/>
      <c r="G332" s="5"/>
    </row>
    <row r="333" spans="3:7" ht="13">
      <c r="C333" s="80"/>
      <c r="E333" s="5"/>
      <c r="F333" s="5"/>
      <c r="G333" s="5"/>
    </row>
    <row r="334" spans="3:7" ht="13">
      <c r="C334" s="80"/>
      <c r="E334" s="5"/>
      <c r="F334" s="5"/>
      <c r="G334" s="5"/>
    </row>
    <row r="335" spans="3:7" ht="13">
      <c r="C335" s="80"/>
      <c r="E335" s="5"/>
      <c r="F335" s="5"/>
      <c r="G335" s="5"/>
    </row>
    <row r="336" spans="3:7" ht="13">
      <c r="C336" s="80"/>
      <c r="E336" s="5"/>
      <c r="F336" s="5"/>
      <c r="G336" s="5"/>
    </row>
    <row r="337" spans="3:7" ht="13">
      <c r="C337" s="80"/>
      <c r="E337" s="5"/>
      <c r="F337" s="5"/>
      <c r="G337" s="5"/>
    </row>
    <row r="338" spans="3:7" ht="13">
      <c r="C338" s="80"/>
      <c r="E338" s="5"/>
      <c r="F338" s="5"/>
      <c r="G338" s="5"/>
    </row>
    <row r="339" spans="3:7" ht="13">
      <c r="C339" s="80"/>
      <c r="E339" s="5"/>
      <c r="F339" s="5"/>
      <c r="G339" s="5"/>
    </row>
    <row r="340" spans="3:7" ht="13">
      <c r="C340" s="80"/>
      <c r="E340" s="5"/>
      <c r="F340" s="5"/>
      <c r="G340" s="5"/>
    </row>
    <row r="341" spans="3:7" ht="13">
      <c r="C341" s="80"/>
      <c r="E341" s="5"/>
      <c r="F341" s="5"/>
      <c r="G341" s="5"/>
    </row>
    <row r="342" spans="3:7" ht="13">
      <c r="C342" s="80"/>
      <c r="E342" s="5"/>
      <c r="F342" s="5"/>
      <c r="G342" s="5"/>
    </row>
    <row r="343" spans="3:7" ht="13">
      <c r="C343" s="80"/>
      <c r="E343" s="5"/>
      <c r="F343" s="5"/>
      <c r="G343" s="5"/>
    </row>
    <row r="344" spans="3:7" ht="13">
      <c r="C344" s="80"/>
      <c r="E344" s="5"/>
      <c r="F344" s="5"/>
      <c r="G344" s="5"/>
    </row>
    <row r="345" spans="3:7" ht="13">
      <c r="C345" s="80"/>
      <c r="E345" s="5"/>
      <c r="F345" s="5"/>
      <c r="G345" s="5"/>
    </row>
    <row r="346" spans="3:7" ht="13">
      <c r="C346" s="80"/>
      <c r="E346" s="5"/>
      <c r="F346" s="5"/>
      <c r="G346" s="5"/>
    </row>
    <row r="347" spans="3:7" ht="13">
      <c r="C347" s="80"/>
      <c r="E347" s="5"/>
      <c r="F347" s="5"/>
      <c r="G347" s="5"/>
    </row>
    <row r="348" spans="3:7" ht="13">
      <c r="C348" s="80"/>
      <c r="E348" s="5"/>
      <c r="F348" s="5"/>
      <c r="G348" s="5"/>
    </row>
    <row r="349" spans="3:7" ht="13">
      <c r="C349" s="80"/>
      <c r="E349" s="5"/>
      <c r="F349" s="5"/>
      <c r="G349" s="5"/>
    </row>
    <row r="350" spans="3:7" ht="13">
      <c r="C350" s="80"/>
      <c r="E350" s="5"/>
      <c r="F350" s="5"/>
      <c r="G350" s="5"/>
    </row>
    <row r="351" spans="3:7" ht="13">
      <c r="C351" s="80"/>
      <c r="E351" s="5"/>
      <c r="F351" s="5"/>
      <c r="G351" s="5"/>
    </row>
    <row r="352" spans="3:7" ht="13">
      <c r="C352" s="80"/>
      <c r="E352" s="5"/>
      <c r="F352" s="5"/>
      <c r="G352" s="5"/>
    </row>
    <row r="353" spans="3:7" ht="13">
      <c r="C353" s="80"/>
      <c r="E353" s="5"/>
      <c r="F353" s="5"/>
      <c r="G353" s="5"/>
    </row>
    <row r="354" spans="3:7" ht="13">
      <c r="C354" s="80"/>
      <c r="E354" s="5"/>
      <c r="F354" s="5"/>
      <c r="G354" s="5"/>
    </row>
    <row r="355" spans="3:7" ht="13">
      <c r="C355" s="80"/>
      <c r="E355" s="5"/>
      <c r="F355" s="5"/>
      <c r="G355" s="5"/>
    </row>
    <row r="356" spans="3:7" ht="13">
      <c r="C356" s="80"/>
      <c r="E356" s="5"/>
      <c r="F356" s="5"/>
      <c r="G356" s="5"/>
    </row>
    <row r="357" spans="3:7" ht="13">
      <c r="C357" s="80"/>
      <c r="E357" s="5"/>
      <c r="F357" s="5"/>
      <c r="G357" s="5"/>
    </row>
    <row r="358" spans="3:7" ht="13">
      <c r="C358" s="80"/>
      <c r="E358" s="5"/>
      <c r="F358" s="5"/>
      <c r="G358" s="5"/>
    </row>
    <row r="359" spans="3:7" ht="13">
      <c r="C359" s="80"/>
      <c r="E359" s="5"/>
      <c r="F359" s="5"/>
      <c r="G359" s="5"/>
    </row>
    <row r="360" spans="3:7" ht="13">
      <c r="C360" s="80"/>
      <c r="E360" s="5"/>
      <c r="F360" s="5"/>
      <c r="G360" s="5"/>
    </row>
    <row r="361" spans="3:7" ht="13">
      <c r="C361" s="80"/>
      <c r="E361" s="5"/>
      <c r="F361" s="5"/>
      <c r="G361" s="5"/>
    </row>
    <row r="362" spans="3:7" ht="13">
      <c r="C362" s="80"/>
      <c r="E362" s="5"/>
      <c r="F362" s="5"/>
      <c r="G362" s="5"/>
    </row>
    <row r="363" spans="3:7" ht="13">
      <c r="C363" s="80"/>
      <c r="E363" s="5"/>
      <c r="F363" s="5"/>
      <c r="G363" s="5"/>
    </row>
    <row r="364" spans="3:7" ht="13">
      <c r="C364" s="80"/>
      <c r="E364" s="5"/>
      <c r="F364" s="5"/>
      <c r="G364" s="5"/>
    </row>
    <row r="365" spans="3:7" ht="13">
      <c r="C365" s="80"/>
      <c r="E365" s="5"/>
      <c r="F365" s="5"/>
      <c r="G365" s="5"/>
    </row>
    <row r="366" spans="3:7" ht="13">
      <c r="C366" s="80"/>
      <c r="E366" s="5"/>
      <c r="F366" s="5"/>
      <c r="G366" s="5"/>
    </row>
    <row r="367" spans="3:7" ht="13">
      <c r="C367" s="80"/>
      <c r="E367" s="5"/>
      <c r="F367" s="5"/>
      <c r="G367" s="5"/>
    </row>
    <row r="368" spans="3:7" ht="13">
      <c r="C368" s="80"/>
      <c r="E368" s="5"/>
      <c r="F368" s="5"/>
      <c r="G368" s="5"/>
    </row>
    <row r="369" spans="3:7" ht="13">
      <c r="C369" s="80"/>
      <c r="E369" s="5"/>
      <c r="F369" s="5"/>
      <c r="G369" s="5"/>
    </row>
    <row r="370" spans="3:7" ht="13">
      <c r="C370" s="80"/>
      <c r="E370" s="5"/>
      <c r="F370" s="5"/>
      <c r="G370" s="5"/>
    </row>
    <row r="371" spans="3:7" ht="13">
      <c r="C371" s="80"/>
      <c r="E371" s="5"/>
      <c r="F371" s="5"/>
      <c r="G371" s="5"/>
    </row>
    <row r="372" spans="3:7" ht="13">
      <c r="C372" s="80"/>
      <c r="E372" s="5"/>
      <c r="F372" s="5"/>
      <c r="G372" s="5"/>
    </row>
    <row r="373" spans="3:7" ht="13">
      <c r="C373" s="80"/>
      <c r="E373" s="5"/>
      <c r="F373" s="5"/>
      <c r="G373" s="5"/>
    </row>
    <row r="374" spans="3:7" ht="13">
      <c r="C374" s="80"/>
      <c r="E374" s="5"/>
      <c r="F374" s="5"/>
      <c r="G374" s="5"/>
    </row>
    <row r="375" spans="3:7" ht="13">
      <c r="C375" s="80"/>
      <c r="E375" s="5"/>
      <c r="F375" s="5"/>
      <c r="G375" s="5"/>
    </row>
    <row r="376" spans="3:7" ht="13">
      <c r="C376" s="80"/>
      <c r="E376" s="5"/>
      <c r="F376" s="5"/>
      <c r="G376" s="5"/>
    </row>
    <row r="377" spans="3:7" ht="13">
      <c r="C377" s="80"/>
      <c r="E377" s="5"/>
      <c r="F377" s="5"/>
      <c r="G377" s="5"/>
    </row>
    <row r="378" spans="3:7" ht="13">
      <c r="C378" s="80"/>
      <c r="E378" s="5"/>
      <c r="F378" s="5"/>
      <c r="G378" s="5"/>
    </row>
    <row r="379" spans="3:7" ht="13">
      <c r="C379" s="80"/>
      <c r="E379" s="5"/>
      <c r="F379" s="5"/>
      <c r="G379" s="5"/>
    </row>
    <row r="380" spans="3:7" ht="13">
      <c r="C380" s="80"/>
      <c r="E380" s="5"/>
      <c r="F380" s="5"/>
      <c r="G380" s="5"/>
    </row>
    <row r="381" spans="3:7" ht="13">
      <c r="C381" s="80"/>
      <c r="E381" s="5"/>
      <c r="F381" s="5"/>
      <c r="G381" s="5"/>
    </row>
    <row r="382" spans="3:7" ht="13">
      <c r="C382" s="80"/>
      <c r="E382" s="5"/>
      <c r="F382" s="5"/>
      <c r="G382" s="5"/>
    </row>
    <row r="383" spans="3:7" ht="13">
      <c r="C383" s="80"/>
      <c r="E383" s="5"/>
      <c r="F383" s="5"/>
      <c r="G383" s="5"/>
    </row>
    <row r="384" spans="3:7" ht="13">
      <c r="C384" s="80"/>
      <c r="E384" s="5"/>
      <c r="F384" s="5"/>
      <c r="G384" s="5"/>
    </row>
    <row r="385" spans="3:7" ht="13">
      <c r="C385" s="80"/>
      <c r="E385" s="5"/>
      <c r="F385" s="5"/>
      <c r="G385" s="5"/>
    </row>
    <row r="386" spans="3:7" ht="13">
      <c r="C386" s="80"/>
      <c r="E386" s="5"/>
      <c r="F386" s="5"/>
      <c r="G386" s="5"/>
    </row>
    <row r="387" spans="3:7" ht="13">
      <c r="C387" s="80"/>
      <c r="E387" s="5"/>
      <c r="F387" s="5"/>
      <c r="G387" s="5"/>
    </row>
    <row r="388" spans="3:7" ht="13">
      <c r="C388" s="80"/>
      <c r="E388" s="5"/>
      <c r="F388" s="5"/>
      <c r="G388" s="5"/>
    </row>
    <row r="389" spans="3:7" ht="13">
      <c r="C389" s="80"/>
      <c r="E389" s="5"/>
      <c r="F389" s="5"/>
      <c r="G389" s="5"/>
    </row>
    <row r="390" spans="3:7" ht="13">
      <c r="C390" s="80"/>
      <c r="E390" s="5"/>
      <c r="F390" s="5"/>
      <c r="G390" s="5"/>
    </row>
    <row r="391" spans="3:7" ht="13">
      <c r="C391" s="80"/>
      <c r="E391" s="5"/>
      <c r="F391" s="5"/>
      <c r="G391" s="5"/>
    </row>
    <row r="392" spans="3:7" ht="13">
      <c r="C392" s="80"/>
      <c r="E392" s="5"/>
      <c r="F392" s="5"/>
      <c r="G392" s="5"/>
    </row>
    <row r="393" spans="3:7" ht="13">
      <c r="C393" s="80"/>
      <c r="E393" s="5"/>
      <c r="F393" s="5"/>
      <c r="G393" s="5"/>
    </row>
    <row r="394" spans="3:7" ht="13">
      <c r="C394" s="80"/>
      <c r="E394" s="5"/>
      <c r="F394" s="5"/>
      <c r="G394" s="5"/>
    </row>
    <row r="395" spans="3:7" ht="13">
      <c r="C395" s="80"/>
      <c r="E395" s="5"/>
      <c r="F395" s="5"/>
      <c r="G395" s="5"/>
    </row>
    <row r="396" spans="3:7" ht="13">
      <c r="C396" s="80"/>
      <c r="E396" s="5"/>
      <c r="F396" s="5"/>
      <c r="G396" s="5"/>
    </row>
    <row r="397" spans="3:7" ht="13">
      <c r="C397" s="80"/>
      <c r="E397" s="5"/>
      <c r="F397" s="5"/>
      <c r="G397" s="5"/>
    </row>
    <row r="398" spans="3:7" ht="13">
      <c r="C398" s="80"/>
      <c r="E398" s="5"/>
      <c r="F398" s="5"/>
      <c r="G398" s="5"/>
    </row>
    <row r="399" spans="3:7" ht="13">
      <c r="C399" s="80"/>
      <c r="E399" s="5"/>
      <c r="F399" s="5"/>
      <c r="G399" s="5"/>
    </row>
    <row r="400" spans="3:7" ht="13">
      <c r="C400" s="80"/>
      <c r="E400" s="5"/>
      <c r="F400" s="5"/>
      <c r="G400" s="5"/>
    </row>
    <row r="401" spans="3:7" ht="13">
      <c r="C401" s="80"/>
      <c r="E401" s="5"/>
      <c r="F401" s="5"/>
      <c r="G401" s="5"/>
    </row>
    <row r="402" spans="3:7" ht="13">
      <c r="C402" s="80"/>
      <c r="E402" s="5"/>
      <c r="F402" s="5"/>
      <c r="G402" s="5"/>
    </row>
    <row r="403" spans="3:7" ht="13">
      <c r="C403" s="80"/>
      <c r="E403" s="5"/>
      <c r="F403" s="5"/>
      <c r="G403" s="5"/>
    </row>
    <row r="404" spans="3:7" ht="13">
      <c r="C404" s="80"/>
      <c r="E404" s="5"/>
      <c r="F404" s="5"/>
      <c r="G404" s="5"/>
    </row>
    <row r="405" spans="3:7" ht="13">
      <c r="C405" s="80"/>
      <c r="E405" s="5"/>
      <c r="F405" s="5"/>
      <c r="G405" s="5"/>
    </row>
    <row r="406" spans="3:7" ht="13">
      <c r="C406" s="80"/>
      <c r="E406" s="5"/>
      <c r="F406" s="5"/>
      <c r="G406" s="5"/>
    </row>
    <row r="407" spans="3:7" ht="13">
      <c r="C407" s="80"/>
      <c r="E407" s="5"/>
      <c r="F407" s="5"/>
      <c r="G407" s="5"/>
    </row>
    <row r="408" spans="3:7" ht="13">
      <c r="C408" s="80"/>
      <c r="E408" s="5"/>
      <c r="F408" s="5"/>
      <c r="G408" s="5"/>
    </row>
    <row r="409" spans="3:7" ht="13">
      <c r="C409" s="80"/>
      <c r="E409" s="5"/>
      <c r="F409" s="5"/>
      <c r="G409" s="5"/>
    </row>
    <row r="410" spans="3:7" ht="13">
      <c r="C410" s="80"/>
      <c r="E410" s="5"/>
      <c r="F410" s="5"/>
      <c r="G410" s="5"/>
    </row>
    <row r="411" spans="3:7" ht="13">
      <c r="C411" s="80"/>
      <c r="E411" s="5"/>
      <c r="F411" s="5"/>
      <c r="G411" s="5"/>
    </row>
    <row r="412" spans="3:7" ht="13">
      <c r="C412" s="80"/>
      <c r="E412" s="5"/>
      <c r="F412" s="5"/>
      <c r="G412" s="5"/>
    </row>
    <row r="413" spans="3:7" ht="13">
      <c r="C413" s="80"/>
      <c r="E413" s="5"/>
      <c r="F413" s="5"/>
      <c r="G413" s="5"/>
    </row>
    <row r="414" spans="3:7" ht="13">
      <c r="C414" s="80"/>
      <c r="E414" s="5"/>
      <c r="F414" s="5"/>
      <c r="G414" s="5"/>
    </row>
    <row r="415" spans="3:7" ht="13">
      <c r="C415" s="80"/>
      <c r="E415" s="5"/>
      <c r="F415" s="5"/>
      <c r="G415" s="5"/>
    </row>
    <row r="416" spans="3:7" ht="13">
      <c r="C416" s="80"/>
      <c r="E416" s="5"/>
      <c r="F416" s="5"/>
      <c r="G416" s="5"/>
    </row>
    <row r="417" spans="3:7" ht="13">
      <c r="C417" s="80"/>
      <c r="E417" s="5"/>
      <c r="F417" s="5"/>
      <c r="G417" s="5"/>
    </row>
    <row r="418" spans="3:7" ht="13">
      <c r="C418" s="80"/>
      <c r="E418" s="5"/>
      <c r="F418" s="5"/>
      <c r="G418" s="5"/>
    </row>
    <row r="419" spans="3:7" ht="13">
      <c r="C419" s="80"/>
      <c r="E419" s="5"/>
      <c r="F419" s="5"/>
      <c r="G419" s="5"/>
    </row>
    <row r="420" spans="3:7" ht="13">
      <c r="C420" s="80"/>
      <c r="E420" s="5"/>
      <c r="F420" s="5"/>
      <c r="G420" s="5"/>
    </row>
    <row r="421" spans="3:7" ht="13">
      <c r="C421" s="80"/>
      <c r="E421" s="5"/>
      <c r="F421" s="5"/>
      <c r="G421" s="5"/>
    </row>
    <row r="422" spans="3:7" ht="13">
      <c r="C422" s="80"/>
      <c r="E422" s="5"/>
      <c r="F422" s="5"/>
      <c r="G422" s="5"/>
    </row>
    <row r="423" spans="3:7" ht="13">
      <c r="C423" s="80"/>
      <c r="E423" s="5"/>
      <c r="F423" s="5"/>
      <c r="G423" s="5"/>
    </row>
    <row r="424" spans="3:7" ht="13">
      <c r="C424" s="80"/>
      <c r="E424" s="5"/>
      <c r="F424" s="5"/>
      <c r="G424" s="5"/>
    </row>
    <row r="425" spans="3:7" ht="13">
      <c r="C425" s="80"/>
      <c r="E425" s="5"/>
      <c r="F425" s="5"/>
      <c r="G425" s="5"/>
    </row>
    <row r="426" spans="3:7" ht="13">
      <c r="C426" s="80"/>
      <c r="E426" s="5"/>
      <c r="F426" s="5"/>
      <c r="G426" s="5"/>
    </row>
    <row r="427" spans="3:7" ht="13">
      <c r="C427" s="80"/>
      <c r="E427" s="5"/>
      <c r="F427" s="5"/>
      <c r="G427" s="5"/>
    </row>
    <row r="428" spans="3:7" ht="13">
      <c r="C428" s="80"/>
      <c r="E428" s="5"/>
      <c r="F428" s="5"/>
      <c r="G428" s="5"/>
    </row>
    <row r="429" spans="3:7" ht="13">
      <c r="C429" s="80"/>
      <c r="E429" s="5"/>
      <c r="F429" s="5"/>
      <c r="G429" s="5"/>
    </row>
    <row r="430" spans="3:7" ht="13">
      <c r="C430" s="80"/>
      <c r="E430" s="5"/>
      <c r="F430" s="5"/>
      <c r="G430" s="5"/>
    </row>
    <row r="431" spans="3:7" ht="13">
      <c r="C431" s="80"/>
      <c r="E431" s="5"/>
      <c r="F431" s="5"/>
      <c r="G431" s="5"/>
    </row>
    <row r="432" spans="3:7" ht="13">
      <c r="C432" s="80"/>
      <c r="E432" s="5"/>
      <c r="F432" s="5"/>
      <c r="G432" s="5"/>
    </row>
    <row r="433" spans="3:7" ht="13">
      <c r="C433" s="80"/>
      <c r="E433" s="5"/>
      <c r="F433" s="5"/>
      <c r="G433" s="5"/>
    </row>
    <row r="434" spans="3:7" ht="13">
      <c r="C434" s="80"/>
      <c r="E434" s="5"/>
      <c r="F434" s="5"/>
      <c r="G434" s="5"/>
    </row>
    <row r="435" spans="3:7" ht="13">
      <c r="C435" s="80"/>
      <c r="E435" s="5"/>
      <c r="F435" s="5"/>
      <c r="G435" s="5"/>
    </row>
    <row r="436" spans="3:7" ht="13">
      <c r="C436" s="80"/>
      <c r="E436" s="5"/>
      <c r="F436" s="5"/>
      <c r="G436" s="5"/>
    </row>
    <row r="437" spans="3:7" ht="13">
      <c r="C437" s="80"/>
      <c r="E437" s="5"/>
      <c r="F437" s="5"/>
      <c r="G437" s="5"/>
    </row>
    <row r="438" spans="3:7" ht="13">
      <c r="C438" s="80"/>
      <c r="E438" s="5"/>
      <c r="F438" s="5"/>
      <c r="G438" s="5"/>
    </row>
    <row r="439" spans="3:7" ht="13">
      <c r="C439" s="80"/>
      <c r="E439" s="5"/>
      <c r="F439" s="5"/>
      <c r="G439" s="5"/>
    </row>
    <row r="440" spans="3:7" ht="13">
      <c r="C440" s="80"/>
      <c r="E440" s="5"/>
      <c r="F440" s="5"/>
      <c r="G440" s="5"/>
    </row>
    <row r="441" spans="3:7" ht="13">
      <c r="C441" s="80"/>
      <c r="E441" s="5"/>
      <c r="F441" s="5"/>
      <c r="G441" s="5"/>
    </row>
    <row r="442" spans="3:7" ht="13">
      <c r="C442" s="80"/>
      <c r="E442" s="5"/>
      <c r="F442" s="5"/>
      <c r="G442" s="5"/>
    </row>
    <row r="443" spans="3:7" ht="13">
      <c r="C443" s="80"/>
      <c r="E443" s="5"/>
      <c r="F443" s="5"/>
      <c r="G443" s="5"/>
    </row>
    <row r="444" spans="3:7" ht="13">
      <c r="C444" s="80"/>
      <c r="E444" s="5"/>
      <c r="F444" s="5"/>
      <c r="G444" s="5"/>
    </row>
    <row r="445" spans="3:7" ht="13">
      <c r="C445" s="80"/>
      <c r="E445" s="5"/>
      <c r="F445" s="5"/>
      <c r="G445" s="5"/>
    </row>
    <row r="446" spans="3:7" ht="13">
      <c r="C446" s="80"/>
      <c r="E446" s="5"/>
      <c r="F446" s="5"/>
      <c r="G446" s="5"/>
    </row>
    <row r="447" spans="3:7" ht="13">
      <c r="C447" s="80"/>
      <c r="E447" s="5"/>
      <c r="F447" s="5"/>
      <c r="G447" s="5"/>
    </row>
    <row r="448" spans="3:7" ht="13">
      <c r="C448" s="80"/>
      <c r="E448" s="5"/>
      <c r="F448" s="5"/>
      <c r="G448" s="5"/>
    </row>
    <row r="449" spans="3:7" ht="13">
      <c r="C449" s="80"/>
      <c r="E449" s="5"/>
      <c r="F449" s="5"/>
      <c r="G449" s="5"/>
    </row>
    <row r="450" spans="3:7" ht="13">
      <c r="C450" s="80"/>
      <c r="E450" s="5"/>
      <c r="F450" s="5"/>
      <c r="G450" s="5"/>
    </row>
    <row r="451" spans="3:7" ht="13">
      <c r="C451" s="80"/>
      <c r="E451" s="5"/>
      <c r="F451" s="5"/>
      <c r="G451" s="5"/>
    </row>
    <row r="452" spans="3:7" ht="13">
      <c r="C452" s="80"/>
      <c r="E452" s="5"/>
      <c r="F452" s="5"/>
      <c r="G452" s="5"/>
    </row>
    <row r="453" spans="3:7" ht="13">
      <c r="C453" s="80"/>
      <c r="E453" s="5"/>
      <c r="F453" s="5"/>
      <c r="G453" s="5"/>
    </row>
    <row r="454" spans="3:7" ht="13">
      <c r="C454" s="80"/>
      <c r="E454" s="5"/>
      <c r="F454" s="5"/>
      <c r="G454" s="5"/>
    </row>
    <row r="455" spans="3:7" ht="13">
      <c r="C455" s="80"/>
      <c r="E455" s="5"/>
      <c r="F455" s="5"/>
      <c r="G455" s="5"/>
    </row>
    <row r="456" spans="3:7" ht="13">
      <c r="C456" s="80"/>
      <c r="E456" s="5"/>
      <c r="F456" s="5"/>
      <c r="G456" s="5"/>
    </row>
    <row r="457" spans="3:7" ht="13">
      <c r="C457" s="80"/>
      <c r="E457" s="5"/>
      <c r="F457" s="5"/>
      <c r="G457" s="5"/>
    </row>
    <row r="458" spans="3:7" ht="13">
      <c r="C458" s="80"/>
      <c r="E458" s="5"/>
      <c r="F458" s="5"/>
      <c r="G458" s="5"/>
    </row>
    <row r="459" spans="3:7" ht="13">
      <c r="C459" s="80"/>
      <c r="E459" s="5"/>
      <c r="F459" s="5"/>
      <c r="G459" s="5"/>
    </row>
    <row r="460" spans="3:7" ht="13">
      <c r="C460" s="80"/>
      <c r="E460" s="5"/>
      <c r="F460" s="5"/>
      <c r="G460" s="5"/>
    </row>
    <row r="461" spans="3:7" ht="13">
      <c r="C461" s="80"/>
      <c r="E461" s="5"/>
      <c r="F461" s="5"/>
      <c r="G461" s="5"/>
    </row>
    <row r="462" spans="3:7" ht="13">
      <c r="C462" s="80"/>
      <c r="E462" s="5"/>
      <c r="F462" s="5"/>
      <c r="G462" s="5"/>
    </row>
    <row r="463" spans="3:7" ht="13">
      <c r="C463" s="80"/>
      <c r="E463" s="5"/>
      <c r="F463" s="5"/>
      <c r="G463" s="5"/>
    </row>
    <row r="464" spans="3:7" ht="13">
      <c r="C464" s="80"/>
      <c r="E464" s="5"/>
      <c r="F464" s="5"/>
      <c r="G464" s="5"/>
    </row>
    <row r="465" spans="3:7" ht="13">
      <c r="C465" s="80"/>
      <c r="E465" s="5"/>
      <c r="F465" s="5"/>
      <c r="G465" s="5"/>
    </row>
    <row r="466" spans="3:7" ht="13">
      <c r="C466" s="80"/>
      <c r="E466" s="5"/>
      <c r="F466" s="5"/>
      <c r="G466" s="5"/>
    </row>
    <row r="467" spans="3:7" ht="13">
      <c r="C467" s="80"/>
      <c r="E467" s="5"/>
      <c r="F467" s="5"/>
      <c r="G467" s="5"/>
    </row>
    <row r="468" spans="3:7" ht="13">
      <c r="C468" s="80"/>
      <c r="E468" s="5"/>
      <c r="F468" s="5"/>
      <c r="G468" s="5"/>
    </row>
    <row r="469" spans="3:7" ht="13">
      <c r="C469" s="80"/>
      <c r="E469" s="5"/>
      <c r="F469" s="5"/>
      <c r="G469" s="5"/>
    </row>
    <row r="470" spans="3:7" ht="13">
      <c r="C470" s="80"/>
      <c r="E470" s="5"/>
      <c r="F470" s="5"/>
      <c r="G470" s="5"/>
    </row>
    <row r="471" spans="3:7" ht="13">
      <c r="C471" s="80"/>
      <c r="E471" s="5"/>
      <c r="F471" s="5"/>
      <c r="G471" s="5"/>
    </row>
    <row r="472" spans="3:7" ht="13">
      <c r="C472" s="80"/>
      <c r="E472" s="5"/>
      <c r="F472" s="5"/>
      <c r="G472" s="5"/>
    </row>
    <row r="473" spans="3:7" ht="13">
      <c r="C473" s="80"/>
      <c r="E473" s="5"/>
      <c r="F473" s="5"/>
      <c r="G473" s="5"/>
    </row>
    <row r="474" spans="3:7" ht="13">
      <c r="C474" s="80"/>
      <c r="E474" s="5"/>
      <c r="F474" s="5"/>
      <c r="G474" s="5"/>
    </row>
    <row r="475" spans="3:7" ht="13">
      <c r="C475" s="80"/>
      <c r="E475" s="5"/>
      <c r="F475" s="5"/>
      <c r="G475" s="5"/>
    </row>
    <row r="476" spans="3:7" ht="13">
      <c r="C476" s="80"/>
      <c r="E476" s="5"/>
      <c r="F476" s="5"/>
      <c r="G476" s="5"/>
    </row>
    <row r="477" spans="3:7" ht="13">
      <c r="C477" s="80"/>
      <c r="E477" s="5"/>
      <c r="F477" s="5"/>
      <c r="G477" s="5"/>
    </row>
    <row r="478" spans="3:7" ht="13">
      <c r="C478" s="80"/>
      <c r="E478" s="5"/>
      <c r="F478" s="5"/>
      <c r="G478" s="5"/>
    </row>
    <row r="479" spans="3:7" ht="13">
      <c r="C479" s="80"/>
      <c r="E479" s="5"/>
      <c r="F479" s="5"/>
      <c r="G479" s="5"/>
    </row>
    <row r="480" spans="3:7" ht="13">
      <c r="C480" s="80"/>
      <c r="E480" s="5"/>
      <c r="F480" s="5"/>
      <c r="G480" s="5"/>
    </row>
    <row r="481" spans="3:7" ht="13">
      <c r="C481" s="80"/>
      <c r="E481" s="5"/>
      <c r="F481" s="5"/>
      <c r="G481" s="5"/>
    </row>
    <row r="482" spans="3:7" ht="13">
      <c r="C482" s="80"/>
      <c r="E482" s="5"/>
      <c r="F482" s="5"/>
      <c r="G482" s="5"/>
    </row>
    <row r="483" spans="3:7" ht="13">
      <c r="C483" s="80"/>
      <c r="E483" s="5"/>
      <c r="F483" s="5"/>
      <c r="G483" s="5"/>
    </row>
    <row r="484" spans="3:7" ht="13">
      <c r="C484" s="80"/>
      <c r="E484" s="5"/>
      <c r="F484" s="5"/>
      <c r="G484" s="5"/>
    </row>
    <row r="485" spans="3:7" ht="13">
      <c r="C485" s="80"/>
      <c r="E485" s="5"/>
      <c r="F485" s="5"/>
      <c r="G485" s="5"/>
    </row>
    <row r="486" spans="3:7" ht="13">
      <c r="C486" s="80"/>
      <c r="E486" s="5"/>
      <c r="F486" s="5"/>
      <c r="G486" s="5"/>
    </row>
    <row r="487" spans="3:7" ht="13">
      <c r="C487" s="80"/>
      <c r="E487" s="5"/>
      <c r="F487" s="5"/>
      <c r="G487" s="5"/>
    </row>
    <row r="488" spans="3:7" ht="13">
      <c r="C488" s="80"/>
      <c r="E488" s="5"/>
      <c r="F488" s="5"/>
      <c r="G488" s="5"/>
    </row>
    <row r="489" spans="3:7" ht="13">
      <c r="C489" s="80"/>
      <c r="E489" s="5"/>
      <c r="F489" s="5"/>
      <c r="G489" s="5"/>
    </row>
    <row r="490" spans="3:7" ht="13">
      <c r="C490" s="80"/>
      <c r="E490" s="5"/>
      <c r="F490" s="5"/>
      <c r="G490" s="5"/>
    </row>
    <row r="491" spans="3:7" ht="13">
      <c r="C491" s="80"/>
      <c r="E491" s="5"/>
      <c r="F491" s="5"/>
      <c r="G491" s="5"/>
    </row>
    <row r="492" spans="3:7" ht="13">
      <c r="C492" s="80"/>
      <c r="E492" s="5"/>
      <c r="F492" s="5"/>
      <c r="G492" s="5"/>
    </row>
    <row r="493" spans="3:7" ht="13">
      <c r="C493" s="80"/>
      <c r="E493" s="5"/>
      <c r="F493" s="5"/>
      <c r="G493" s="5"/>
    </row>
    <row r="494" spans="3:7" ht="13">
      <c r="C494" s="80"/>
      <c r="E494" s="5"/>
      <c r="F494" s="5"/>
      <c r="G494" s="5"/>
    </row>
    <row r="495" spans="3:7" ht="13">
      <c r="C495" s="80"/>
      <c r="E495" s="5"/>
      <c r="F495" s="5"/>
      <c r="G495" s="5"/>
    </row>
    <row r="496" spans="3:7" ht="13">
      <c r="C496" s="80"/>
      <c r="E496" s="5"/>
      <c r="F496" s="5"/>
      <c r="G496" s="5"/>
    </row>
    <row r="497" spans="3:7" ht="13">
      <c r="C497" s="80"/>
      <c r="E497" s="5"/>
      <c r="F497" s="5"/>
      <c r="G497" s="5"/>
    </row>
    <row r="498" spans="3:7" ht="13">
      <c r="C498" s="80"/>
      <c r="E498" s="5"/>
      <c r="F498" s="5"/>
      <c r="G498" s="5"/>
    </row>
    <row r="499" spans="3:7" ht="13">
      <c r="C499" s="80"/>
      <c r="E499" s="5"/>
      <c r="F499" s="5"/>
      <c r="G499" s="5"/>
    </row>
    <row r="500" spans="3:7" ht="13">
      <c r="C500" s="80"/>
      <c r="E500" s="5"/>
      <c r="F500" s="5"/>
      <c r="G500" s="5"/>
    </row>
    <row r="501" spans="3:7" ht="13">
      <c r="C501" s="80"/>
      <c r="E501" s="5"/>
      <c r="F501" s="5"/>
      <c r="G501" s="5"/>
    </row>
    <row r="502" spans="3:7" ht="13">
      <c r="C502" s="80"/>
      <c r="E502" s="5"/>
      <c r="F502" s="5"/>
      <c r="G502" s="5"/>
    </row>
    <row r="503" spans="3:7" ht="13">
      <c r="C503" s="80"/>
      <c r="E503" s="5"/>
      <c r="F503" s="5"/>
      <c r="G503" s="5"/>
    </row>
    <row r="504" spans="3:7" ht="13">
      <c r="C504" s="80"/>
      <c r="E504" s="5"/>
      <c r="F504" s="5"/>
      <c r="G504" s="5"/>
    </row>
    <row r="505" spans="3:7" ht="13">
      <c r="C505" s="80"/>
      <c r="E505" s="5"/>
      <c r="F505" s="5"/>
      <c r="G505" s="5"/>
    </row>
    <row r="506" spans="3:7" ht="13">
      <c r="C506" s="80"/>
      <c r="E506" s="5"/>
      <c r="F506" s="5"/>
      <c r="G506" s="5"/>
    </row>
    <row r="507" spans="3:7" ht="13">
      <c r="C507" s="80"/>
      <c r="E507" s="5"/>
      <c r="F507" s="5"/>
      <c r="G507" s="5"/>
    </row>
    <row r="508" spans="3:7" ht="13">
      <c r="C508" s="80"/>
      <c r="E508" s="5"/>
      <c r="F508" s="5"/>
      <c r="G508" s="5"/>
    </row>
    <row r="509" spans="3:7" ht="13">
      <c r="C509" s="80"/>
      <c r="E509" s="5"/>
      <c r="F509" s="5"/>
      <c r="G509" s="5"/>
    </row>
    <row r="510" spans="3:7" ht="13">
      <c r="C510" s="80"/>
      <c r="E510" s="5"/>
      <c r="F510" s="5"/>
      <c r="G510" s="5"/>
    </row>
    <row r="511" spans="3:7" ht="13">
      <c r="C511" s="80"/>
      <c r="E511" s="5"/>
      <c r="F511" s="5"/>
      <c r="G511" s="5"/>
    </row>
    <row r="512" spans="3:7" ht="13">
      <c r="C512" s="80"/>
      <c r="E512" s="5"/>
      <c r="F512" s="5"/>
      <c r="G512" s="5"/>
    </row>
    <row r="513" spans="3:7" ht="13">
      <c r="C513" s="80"/>
      <c r="E513" s="5"/>
      <c r="F513" s="5"/>
      <c r="G513" s="5"/>
    </row>
    <row r="514" spans="3:7" ht="13">
      <c r="C514" s="80"/>
      <c r="E514" s="5"/>
      <c r="F514" s="5"/>
      <c r="G514" s="5"/>
    </row>
    <row r="515" spans="3:7" ht="13">
      <c r="C515" s="80"/>
      <c r="E515" s="5"/>
      <c r="F515" s="5"/>
      <c r="G515" s="5"/>
    </row>
    <row r="516" spans="3:7" ht="13">
      <c r="C516" s="80"/>
      <c r="E516" s="5"/>
      <c r="F516" s="5"/>
      <c r="G516" s="5"/>
    </row>
    <row r="517" spans="3:7" ht="13">
      <c r="C517" s="80"/>
      <c r="E517" s="5"/>
      <c r="F517" s="5"/>
      <c r="G517" s="5"/>
    </row>
    <row r="518" spans="3:7" ht="13">
      <c r="C518" s="80"/>
      <c r="E518" s="5"/>
      <c r="F518" s="5"/>
      <c r="G518" s="5"/>
    </row>
    <row r="519" spans="3:7" ht="13">
      <c r="C519" s="80"/>
      <c r="E519" s="5"/>
      <c r="F519" s="5"/>
      <c r="G519" s="5"/>
    </row>
    <row r="520" spans="3:7" ht="13">
      <c r="C520" s="80"/>
      <c r="E520" s="5"/>
      <c r="F520" s="5"/>
      <c r="G520" s="5"/>
    </row>
    <row r="521" spans="3:7" ht="13">
      <c r="C521" s="80"/>
      <c r="E521" s="5"/>
      <c r="F521" s="5"/>
      <c r="G521" s="5"/>
    </row>
    <row r="522" spans="3:7" ht="13">
      <c r="C522" s="80"/>
      <c r="E522" s="5"/>
      <c r="F522" s="5"/>
      <c r="G522" s="5"/>
    </row>
    <row r="523" spans="3:7" ht="13">
      <c r="C523" s="80"/>
      <c r="E523" s="5"/>
      <c r="F523" s="5"/>
      <c r="G523" s="5"/>
    </row>
    <row r="524" spans="3:7" ht="13">
      <c r="C524" s="80"/>
      <c r="E524" s="5"/>
      <c r="F524" s="5"/>
      <c r="G524" s="5"/>
    </row>
    <row r="525" spans="3:7" ht="13">
      <c r="C525" s="80"/>
      <c r="E525" s="5"/>
      <c r="F525" s="5"/>
      <c r="G525" s="5"/>
    </row>
    <row r="526" spans="3:7" ht="13">
      <c r="C526" s="80"/>
      <c r="E526" s="5"/>
      <c r="F526" s="5"/>
      <c r="G526" s="5"/>
    </row>
    <row r="527" spans="3:7" ht="13">
      <c r="C527" s="80"/>
      <c r="E527" s="5"/>
      <c r="F527" s="5"/>
      <c r="G527" s="5"/>
    </row>
    <row r="528" spans="3:7" ht="13">
      <c r="C528" s="80"/>
      <c r="E528" s="5"/>
      <c r="F528" s="5"/>
      <c r="G528" s="5"/>
    </row>
    <row r="529" spans="3:7" ht="13">
      <c r="C529" s="80"/>
      <c r="E529" s="5"/>
      <c r="F529" s="5"/>
      <c r="G529" s="5"/>
    </row>
    <row r="530" spans="3:7" ht="13">
      <c r="C530" s="80"/>
      <c r="E530" s="5"/>
      <c r="F530" s="5"/>
      <c r="G530" s="5"/>
    </row>
    <row r="531" spans="3:7" ht="13">
      <c r="C531" s="80"/>
      <c r="E531" s="5"/>
      <c r="F531" s="5"/>
      <c r="G531" s="5"/>
    </row>
    <row r="532" spans="3:7" ht="13">
      <c r="C532" s="80"/>
      <c r="E532" s="5"/>
      <c r="F532" s="5"/>
      <c r="G532" s="5"/>
    </row>
    <row r="533" spans="3:7" ht="13">
      <c r="C533" s="80"/>
      <c r="E533" s="5"/>
      <c r="F533" s="5"/>
      <c r="G533" s="5"/>
    </row>
    <row r="534" spans="3:7" ht="13">
      <c r="C534" s="80"/>
      <c r="E534" s="5"/>
      <c r="F534" s="5"/>
      <c r="G534" s="5"/>
    </row>
    <row r="535" spans="3:7" ht="13">
      <c r="C535" s="80"/>
      <c r="E535" s="5"/>
      <c r="F535" s="5"/>
      <c r="G535" s="5"/>
    </row>
    <row r="536" spans="3:7" ht="13">
      <c r="C536" s="80"/>
      <c r="E536" s="5"/>
      <c r="F536" s="5"/>
      <c r="G536" s="5"/>
    </row>
    <row r="537" spans="3:7" ht="13">
      <c r="C537" s="80"/>
      <c r="E537" s="5"/>
      <c r="F537" s="5"/>
      <c r="G537" s="5"/>
    </row>
    <row r="538" spans="3:7" ht="13">
      <c r="C538" s="80"/>
      <c r="E538" s="5"/>
      <c r="F538" s="5"/>
      <c r="G538" s="5"/>
    </row>
    <row r="539" spans="3:7" ht="13">
      <c r="C539" s="80"/>
      <c r="E539" s="5"/>
      <c r="F539" s="5"/>
      <c r="G539" s="5"/>
    </row>
    <row r="540" spans="3:7" ht="13">
      <c r="C540" s="80"/>
      <c r="E540" s="5"/>
      <c r="F540" s="5"/>
      <c r="G540" s="5"/>
    </row>
    <row r="541" spans="3:7" ht="13">
      <c r="C541" s="80"/>
      <c r="E541" s="5"/>
      <c r="F541" s="5"/>
      <c r="G541" s="5"/>
    </row>
    <row r="542" spans="3:7" ht="13">
      <c r="C542" s="80"/>
      <c r="E542" s="5"/>
      <c r="F542" s="5"/>
      <c r="G542" s="5"/>
    </row>
    <row r="543" spans="3:7" ht="13">
      <c r="C543" s="80"/>
      <c r="E543" s="5"/>
      <c r="F543" s="5"/>
      <c r="G543" s="5"/>
    </row>
    <row r="544" spans="3:7" ht="13">
      <c r="C544" s="80"/>
      <c r="E544" s="5"/>
      <c r="F544" s="5"/>
      <c r="G544" s="5"/>
    </row>
    <row r="545" spans="3:7" ht="13">
      <c r="C545" s="80"/>
      <c r="E545" s="5"/>
      <c r="F545" s="5"/>
      <c r="G545" s="5"/>
    </row>
    <row r="546" spans="3:7" ht="13">
      <c r="C546" s="80"/>
      <c r="E546" s="5"/>
      <c r="F546" s="5"/>
      <c r="G546" s="5"/>
    </row>
    <row r="547" spans="3:7" ht="13">
      <c r="C547" s="80"/>
      <c r="E547" s="5"/>
      <c r="F547" s="5"/>
      <c r="G547" s="5"/>
    </row>
    <row r="548" spans="3:7" ht="13">
      <c r="C548" s="80"/>
      <c r="E548" s="5"/>
      <c r="F548" s="5"/>
      <c r="G548" s="5"/>
    </row>
    <row r="549" spans="3:7" ht="13">
      <c r="C549" s="80"/>
      <c r="E549" s="5"/>
      <c r="F549" s="5"/>
      <c r="G549" s="5"/>
    </row>
    <row r="550" spans="3:7" ht="13">
      <c r="C550" s="80"/>
      <c r="E550" s="5"/>
      <c r="F550" s="5"/>
      <c r="G550" s="5"/>
    </row>
    <row r="551" spans="3:7" ht="13">
      <c r="C551" s="80"/>
      <c r="E551" s="5"/>
      <c r="F551" s="5"/>
      <c r="G551" s="5"/>
    </row>
    <row r="552" spans="3:7" ht="13">
      <c r="C552" s="80"/>
      <c r="E552" s="5"/>
      <c r="F552" s="5"/>
      <c r="G552" s="5"/>
    </row>
    <row r="553" spans="3:7" ht="13">
      <c r="C553" s="80"/>
      <c r="E553" s="5"/>
      <c r="F553" s="5"/>
      <c r="G553" s="5"/>
    </row>
    <row r="554" spans="3:7" ht="13">
      <c r="C554" s="80"/>
      <c r="E554" s="5"/>
      <c r="F554" s="5"/>
      <c r="G554" s="5"/>
    </row>
    <row r="555" spans="3:7" ht="13">
      <c r="C555" s="80"/>
      <c r="E555" s="5"/>
      <c r="F555" s="5"/>
      <c r="G555" s="5"/>
    </row>
    <row r="556" spans="3:7" ht="13">
      <c r="C556" s="80"/>
      <c r="E556" s="5"/>
      <c r="F556" s="5"/>
      <c r="G556" s="5"/>
    </row>
    <row r="557" spans="3:7" ht="13">
      <c r="C557" s="80"/>
      <c r="E557" s="5"/>
      <c r="F557" s="5"/>
      <c r="G557" s="5"/>
    </row>
    <row r="558" spans="3:7" ht="13">
      <c r="C558" s="80"/>
      <c r="E558" s="5"/>
      <c r="F558" s="5"/>
      <c r="G558" s="5"/>
    </row>
    <row r="559" spans="3:7" ht="13">
      <c r="C559" s="80"/>
      <c r="E559" s="5"/>
      <c r="F559" s="5"/>
      <c r="G559" s="5"/>
    </row>
    <row r="560" spans="3:7" ht="13">
      <c r="C560" s="80"/>
      <c r="E560" s="5"/>
      <c r="F560" s="5"/>
      <c r="G560" s="5"/>
    </row>
    <row r="561" spans="3:7" ht="13">
      <c r="C561" s="80"/>
      <c r="E561" s="5"/>
      <c r="F561" s="5"/>
      <c r="G561" s="5"/>
    </row>
    <row r="562" spans="3:7" ht="13">
      <c r="C562" s="80"/>
      <c r="E562" s="5"/>
      <c r="F562" s="5"/>
      <c r="G562" s="5"/>
    </row>
    <row r="563" spans="3:7" ht="13">
      <c r="C563" s="80"/>
      <c r="E563" s="5"/>
      <c r="F563" s="5"/>
      <c r="G563" s="5"/>
    </row>
    <row r="564" spans="3:7" ht="13">
      <c r="C564" s="80"/>
      <c r="E564" s="5"/>
      <c r="F564" s="5"/>
      <c r="G564" s="5"/>
    </row>
    <row r="565" spans="3:7" ht="13">
      <c r="C565" s="80"/>
      <c r="E565" s="5"/>
      <c r="F565" s="5"/>
      <c r="G565" s="5"/>
    </row>
    <row r="566" spans="3:7" ht="13">
      <c r="C566" s="80"/>
      <c r="E566" s="5"/>
      <c r="F566" s="5"/>
      <c r="G566" s="5"/>
    </row>
    <row r="567" spans="3:7" ht="13">
      <c r="C567" s="80"/>
      <c r="E567" s="5"/>
      <c r="F567" s="5"/>
      <c r="G567" s="5"/>
    </row>
    <row r="568" spans="3:7" ht="13">
      <c r="C568" s="80"/>
      <c r="E568" s="5"/>
      <c r="F568" s="5"/>
      <c r="G568" s="5"/>
    </row>
    <row r="569" spans="3:7" ht="13">
      <c r="C569" s="80"/>
      <c r="E569" s="5"/>
      <c r="F569" s="5"/>
      <c r="G569" s="5"/>
    </row>
    <row r="570" spans="3:7" ht="13">
      <c r="C570" s="80"/>
      <c r="E570" s="5"/>
      <c r="F570" s="5"/>
      <c r="G570" s="5"/>
    </row>
    <row r="571" spans="3:7" ht="13">
      <c r="C571" s="80"/>
      <c r="E571" s="5"/>
      <c r="F571" s="5"/>
      <c r="G571" s="5"/>
    </row>
    <row r="572" spans="3:7" ht="13">
      <c r="C572" s="80"/>
      <c r="E572" s="5"/>
      <c r="F572" s="5"/>
      <c r="G572" s="5"/>
    </row>
    <row r="573" spans="3:7" ht="13">
      <c r="C573" s="80"/>
      <c r="E573" s="5"/>
      <c r="F573" s="5"/>
      <c r="G573" s="5"/>
    </row>
    <row r="574" spans="3:7" ht="13">
      <c r="C574" s="80"/>
      <c r="E574" s="5"/>
      <c r="F574" s="5"/>
      <c r="G574" s="5"/>
    </row>
    <row r="575" spans="3:7" ht="13">
      <c r="C575" s="80"/>
      <c r="E575" s="5"/>
      <c r="F575" s="5"/>
      <c r="G575" s="5"/>
    </row>
    <row r="576" spans="3:7" ht="13">
      <c r="C576" s="80"/>
      <c r="E576" s="5"/>
      <c r="F576" s="5"/>
      <c r="G576" s="5"/>
    </row>
    <row r="577" spans="3:7" ht="13">
      <c r="C577" s="80"/>
      <c r="E577" s="5"/>
      <c r="F577" s="5"/>
      <c r="G577" s="5"/>
    </row>
    <row r="578" spans="3:7" ht="13">
      <c r="C578" s="80"/>
      <c r="E578" s="5"/>
      <c r="F578" s="5"/>
      <c r="G578" s="5"/>
    </row>
    <row r="579" spans="3:7" ht="13">
      <c r="C579" s="80"/>
      <c r="E579" s="5"/>
      <c r="F579" s="5"/>
      <c r="G579" s="5"/>
    </row>
    <row r="580" spans="3:7" ht="13">
      <c r="C580" s="80"/>
      <c r="E580" s="5"/>
      <c r="F580" s="5"/>
      <c r="G580" s="5"/>
    </row>
    <row r="581" spans="3:7" ht="13">
      <c r="C581" s="80"/>
      <c r="E581" s="5"/>
      <c r="F581" s="5"/>
      <c r="G581" s="5"/>
    </row>
    <row r="582" spans="3:7" ht="13">
      <c r="C582" s="80"/>
      <c r="E582" s="5"/>
      <c r="F582" s="5"/>
      <c r="G582" s="5"/>
    </row>
    <row r="583" spans="3:7" ht="13">
      <c r="C583" s="80"/>
      <c r="E583" s="5"/>
      <c r="F583" s="5"/>
      <c r="G583" s="5"/>
    </row>
    <row r="584" spans="3:7" ht="13">
      <c r="C584" s="80"/>
      <c r="E584" s="5"/>
      <c r="F584" s="5"/>
      <c r="G584" s="5"/>
    </row>
    <row r="585" spans="3:7" ht="13">
      <c r="C585" s="80"/>
      <c r="E585" s="5"/>
      <c r="F585" s="5"/>
      <c r="G585" s="5"/>
    </row>
    <row r="586" spans="3:7" ht="13">
      <c r="C586" s="80"/>
      <c r="E586" s="5"/>
      <c r="F586" s="5"/>
      <c r="G586" s="5"/>
    </row>
    <row r="587" spans="3:7" ht="13">
      <c r="C587" s="80"/>
      <c r="E587" s="5"/>
      <c r="F587" s="5"/>
      <c r="G587" s="5"/>
    </row>
    <row r="588" spans="3:7" ht="13">
      <c r="C588" s="80"/>
      <c r="E588" s="5"/>
      <c r="F588" s="5"/>
      <c r="G588" s="5"/>
    </row>
    <row r="589" spans="3:7" ht="13">
      <c r="C589" s="80"/>
      <c r="E589" s="5"/>
      <c r="F589" s="5"/>
      <c r="G589" s="5"/>
    </row>
    <row r="590" spans="3:7" ht="13">
      <c r="C590" s="80"/>
      <c r="E590" s="5"/>
      <c r="F590" s="5"/>
      <c r="G590" s="5"/>
    </row>
    <row r="591" spans="3:7" ht="13">
      <c r="C591" s="80"/>
      <c r="E591" s="5"/>
      <c r="F591" s="5"/>
      <c r="G591" s="5"/>
    </row>
    <row r="592" spans="3:7" ht="13">
      <c r="C592" s="80"/>
      <c r="E592" s="5"/>
      <c r="F592" s="5"/>
      <c r="G592" s="5"/>
    </row>
    <row r="593" spans="3:7" ht="13">
      <c r="C593" s="80"/>
      <c r="E593" s="5"/>
      <c r="F593" s="5"/>
      <c r="G593" s="5"/>
    </row>
    <row r="594" spans="3:7" ht="13">
      <c r="C594" s="80"/>
      <c r="E594" s="5"/>
      <c r="F594" s="5"/>
      <c r="G594" s="5"/>
    </row>
    <row r="595" spans="3:7" ht="13">
      <c r="C595" s="80"/>
      <c r="E595" s="5"/>
      <c r="F595" s="5"/>
      <c r="G595" s="5"/>
    </row>
    <row r="596" spans="3:7" ht="13">
      <c r="C596" s="80"/>
      <c r="E596" s="5"/>
      <c r="F596" s="5"/>
      <c r="G596" s="5"/>
    </row>
    <row r="597" spans="3:7" ht="13">
      <c r="C597" s="80"/>
      <c r="E597" s="5"/>
      <c r="F597" s="5"/>
      <c r="G597" s="5"/>
    </row>
    <row r="598" spans="3:7" ht="13">
      <c r="C598" s="80"/>
      <c r="E598" s="5"/>
      <c r="F598" s="5"/>
      <c r="G598" s="5"/>
    </row>
    <row r="599" spans="3:7" ht="13">
      <c r="C599" s="80"/>
      <c r="E599" s="5"/>
      <c r="F599" s="5"/>
      <c r="G599" s="5"/>
    </row>
    <row r="600" spans="3:7" ht="13">
      <c r="C600" s="80"/>
      <c r="E600" s="5"/>
      <c r="F600" s="5"/>
      <c r="G600" s="5"/>
    </row>
    <row r="601" spans="3:7" ht="13">
      <c r="C601" s="80"/>
      <c r="E601" s="5"/>
      <c r="F601" s="5"/>
      <c r="G601" s="5"/>
    </row>
    <row r="602" spans="3:7" ht="13">
      <c r="C602" s="80"/>
      <c r="E602" s="5"/>
      <c r="F602" s="5"/>
      <c r="G602" s="5"/>
    </row>
    <row r="603" spans="3:7" ht="13">
      <c r="C603" s="80"/>
      <c r="E603" s="5"/>
      <c r="F603" s="5"/>
      <c r="G603" s="5"/>
    </row>
    <row r="604" spans="3:7" ht="13">
      <c r="C604" s="80"/>
      <c r="E604" s="5"/>
      <c r="F604" s="5"/>
      <c r="G604" s="5"/>
    </row>
    <row r="605" spans="3:7" ht="13">
      <c r="C605" s="80"/>
      <c r="E605" s="5"/>
      <c r="F605" s="5"/>
      <c r="G605" s="5"/>
    </row>
    <row r="606" spans="3:7" ht="13">
      <c r="C606" s="80"/>
      <c r="E606" s="5"/>
      <c r="F606" s="5"/>
      <c r="G606" s="5"/>
    </row>
    <row r="607" spans="3:7" ht="13">
      <c r="C607" s="80"/>
      <c r="E607" s="5"/>
      <c r="F607" s="5"/>
      <c r="G607" s="5"/>
    </row>
    <row r="608" spans="3:7" ht="13">
      <c r="C608" s="80"/>
      <c r="E608" s="5"/>
      <c r="F608" s="5"/>
      <c r="G608" s="5"/>
    </row>
    <row r="609" spans="3:7" ht="13">
      <c r="C609" s="80"/>
      <c r="E609" s="5"/>
      <c r="F609" s="5"/>
      <c r="G609" s="5"/>
    </row>
    <row r="610" spans="3:7" ht="13">
      <c r="C610" s="80"/>
      <c r="E610" s="5"/>
      <c r="F610" s="5"/>
      <c r="G610" s="5"/>
    </row>
    <row r="611" spans="3:7" ht="13">
      <c r="C611" s="80"/>
      <c r="E611" s="5"/>
      <c r="F611" s="5"/>
      <c r="G611" s="5"/>
    </row>
    <row r="612" spans="3:7" ht="13">
      <c r="C612" s="80"/>
      <c r="E612" s="5"/>
      <c r="F612" s="5"/>
      <c r="G612" s="5"/>
    </row>
    <row r="613" spans="3:7" ht="13">
      <c r="C613" s="80"/>
      <c r="E613" s="5"/>
      <c r="F613" s="5"/>
      <c r="G613" s="5"/>
    </row>
    <row r="614" spans="3:7" ht="13">
      <c r="C614" s="80"/>
      <c r="E614" s="5"/>
      <c r="F614" s="5"/>
      <c r="G614" s="5"/>
    </row>
    <row r="615" spans="3:7" ht="13">
      <c r="C615" s="80"/>
      <c r="E615" s="5"/>
      <c r="F615" s="5"/>
      <c r="G615" s="5"/>
    </row>
    <row r="616" spans="3:7" ht="13">
      <c r="C616" s="80"/>
      <c r="E616" s="5"/>
      <c r="F616" s="5"/>
      <c r="G616" s="5"/>
    </row>
    <row r="617" spans="3:7" ht="13">
      <c r="C617" s="80"/>
      <c r="E617" s="5"/>
      <c r="F617" s="5"/>
      <c r="G617" s="5"/>
    </row>
    <row r="618" spans="3:7" ht="13">
      <c r="C618" s="80"/>
      <c r="E618" s="5"/>
      <c r="F618" s="5"/>
      <c r="G618" s="5"/>
    </row>
    <row r="619" spans="3:7" ht="13">
      <c r="C619" s="80"/>
      <c r="E619" s="5"/>
      <c r="F619" s="5"/>
      <c r="G619" s="5"/>
    </row>
    <row r="620" spans="3:7" ht="13">
      <c r="C620" s="80"/>
      <c r="E620" s="5"/>
      <c r="F620" s="5"/>
      <c r="G620" s="5"/>
    </row>
    <row r="621" spans="3:7" ht="13">
      <c r="C621" s="80"/>
      <c r="E621" s="5"/>
      <c r="F621" s="5"/>
      <c r="G621" s="5"/>
    </row>
    <row r="622" spans="3:7" ht="13">
      <c r="C622" s="80"/>
      <c r="E622" s="5"/>
      <c r="F622" s="5"/>
      <c r="G622" s="5"/>
    </row>
    <row r="623" spans="3:7" ht="13">
      <c r="C623" s="80"/>
      <c r="E623" s="5"/>
      <c r="F623" s="5"/>
      <c r="G623" s="5"/>
    </row>
    <row r="624" spans="3:7" ht="13">
      <c r="C624" s="80"/>
      <c r="E624" s="5"/>
      <c r="F624" s="5"/>
      <c r="G624" s="5"/>
    </row>
    <row r="625" spans="3:7" ht="13">
      <c r="C625" s="80"/>
      <c r="E625" s="5"/>
      <c r="F625" s="5"/>
      <c r="G625" s="5"/>
    </row>
    <row r="626" spans="3:7" ht="13">
      <c r="C626" s="80"/>
      <c r="E626" s="5"/>
      <c r="F626" s="5"/>
      <c r="G626" s="5"/>
    </row>
    <row r="627" spans="3:7" ht="13">
      <c r="C627" s="80"/>
      <c r="E627" s="5"/>
      <c r="F627" s="5"/>
      <c r="G627" s="5"/>
    </row>
    <row r="628" spans="3:7" ht="13">
      <c r="C628" s="80"/>
      <c r="E628" s="5"/>
      <c r="F628" s="5"/>
      <c r="G628" s="5"/>
    </row>
    <row r="629" spans="3:7" ht="13">
      <c r="C629" s="80"/>
      <c r="E629" s="5"/>
      <c r="F629" s="5"/>
      <c r="G629" s="5"/>
    </row>
    <row r="630" spans="3:7" ht="13">
      <c r="C630" s="80"/>
      <c r="E630" s="5"/>
      <c r="F630" s="5"/>
      <c r="G630" s="5"/>
    </row>
    <row r="631" spans="3:7" ht="13">
      <c r="C631" s="80"/>
      <c r="E631" s="5"/>
      <c r="F631" s="5"/>
      <c r="G631" s="5"/>
    </row>
    <row r="632" spans="3:7" ht="13">
      <c r="C632" s="80"/>
      <c r="E632" s="5"/>
      <c r="F632" s="5"/>
      <c r="G632" s="5"/>
    </row>
    <row r="633" spans="3:7" ht="13">
      <c r="C633" s="80"/>
      <c r="E633" s="5"/>
      <c r="F633" s="5"/>
      <c r="G633" s="5"/>
    </row>
    <row r="634" spans="3:7" ht="13">
      <c r="C634" s="80"/>
      <c r="E634" s="5"/>
      <c r="F634" s="5"/>
      <c r="G634" s="5"/>
    </row>
    <row r="635" spans="3:7" ht="13">
      <c r="C635" s="80"/>
      <c r="E635" s="5"/>
      <c r="F635" s="5"/>
      <c r="G635" s="5"/>
    </row>
    <row r="636" spans="3:7" ht="13">
      <c r="C636" s="80"/>
      <c r="E636" s="5"/>
      <c r="F636" s="5"/>
      <c r="G636" s="5"/>
    </row>
    <row r="637" spans="3:7" ht="13">
      <c r="C637" s="80"/>
      <c r="E637" s="5"/>
      <c r="F637" s="5"/>
      <c r="G637" s="5"/>
    </row>
    <row r="638" spans="3:7" ht="13">
      <c r="C638" s="80"/>
      <c r="E638" s="5"/>
      <c r="F638" s="5"/>
      <c r="G638" s="5"/>
    </row>
    <row r="639" spans="3:7" ht="13">
      <c r="C639" s="80"/>
      <c r="E639" s="5"/>
      <c r="F639" s="5"/>
      <c r="G639" s="5"/>
    </row>
    <row r="640" spans="3:7" ht="13">
      <c r="C640" s="80"/>
      <c r="E640" s="5"/>
      <c r="F640" s="5"/>
      <c r="G640" s="5"/>
    </row>
    <row r="641" spans="3:7" ht="13">
      <c r="C641" s="80"/>
      <c r="E641" s="5"/>
      <c r="F641" s="5"/>
      <c r="G641" s="5"/>
    </row>
    <row r="642" spans="3:7" ht="13">
      <c r="C642" s="80"/>
      <c r="E642" s="5"/>
      <c r="F642" s="5"/>
      <c r="G642" s="5"/>
    </row>
    <row r="643" spans="3:7" ht="13">
      <c r="C643" s="80"/>
      <c r="E643" s="5"/>
      <c r="F643" s="5"/>
      <c r="G643" s="5"/>
    </row>
    <row r="644" spans="3:7" ht="13">
      <c r="C644" s="80"/>
      <c r="E644" s="5"/>
      <c r="F644" s="5"/>
      <c r="G644" s="5"/>
    </row>
    <row r="645" spans="3:7" ht="13">
      <c r="C645" s="80"/>
      <c r="E645" s="5"/>
      <c r="F645" s="5"/>
      <c r="G645" s="5"/>
    </row>
    <row r="646" spans="3:7" ht="13">
      <c r="C646" s="80"/>
      <c r="E646" s="5"/>
      <c r="F646" s="5"/>
      <c r="G646" s="5"/>
    </row>
    <row r="647" spans="3:7" ht="13">
      <c r="C647" s="80"/>
      <c r="E647" s="5"/>
      <c r="F647" s="5"/>
      <c r="G647" s="5"/>
    </row>
    <row r="648" spans="3:7" ht="13">
      <c r="C648" s="80"/>
      <c r="E648" s="5"/>
      <c r="F648" s="5"/>
      <c r="G648" s="5"/>
    </row>
    <row r="649" spans="3:7" ht="13">
      <c r="C649" s="80"/>
      <c r="E649" s="5"/>
      <c r="F649" s="5"/>
      <c r="G649" s="5"/>
    </row>
    <row r="650" spans="3:7" ht="13">
      <c r="C650" s="80"/>
      <c r="E650" s="5"/>
      <c r="F650" s="5"/>
      <c r="G650" s="5"/>
    </row>
    <row r="651" spans="3:7" ht="13">
      <c r="C651" s="80"/>
      <c r="E651" s="5"/>
      <c r="F651" s="5"/>
      <c r="G651" s="5"/>
    </row>
    <row r="652" spans="3:7" ht="13">
      <c r="C652" s="80"/>
      <c r="E652" s="5"/>
      <c r="F652" s="5"/>
      <c r="G652" s="5"/>
    </row>
    <row r="653" spans="3:7" ht="13">
      <c r="C653" s="80"/>
      <c r="E653" s="5"/>
      <c r="F653" s="5"/>
      <c r="G653" s="5"/>
    </row>
    <row r="654" spans="3:7" ht="13">
      <c r="C654" s="80"/>
      <c r="E654" s="5"/>
      <c r="F654" s="5"/>
      <c r="G654" s="5"/>
    </row>
    <row r="655" spans="3:7" ht="13">
      <c r="C655" s="80"/>
      <c r="E655" s="5"/>
      <c r="F655" s="5"/>
      <c r="G655" s="5"/>
    </row>
    <row r="656" spans="3:7" ht="13">
      <c r="C656" s="80"/>
      <c r="E656" s="5"/>
      <c r="F656" s="5"/>
      <c r="G656" s="5"/>
    </row>
    <row r="657" spans="3:7" ht="13">
      <c r="C657" s="80"/>
      <c r="E657" s="5"/>
      <c r="F657" s="5"/>
      <c r="G657" s="5"/>
    </row>
    <row r="658" spans="3:7" ht="13">
      <c r="C658" s="80"/>
      <c r="E658" s="5"/>
      <c r="F658" s="5"/>
      <c r="G658" s="5"/>
    </row>
    <row r="659" spans="3:7" ht="13">
      <c r="C659" s="80"/>
      <c r="E659" s="5"/>
      <c r="F659" s="5"/>
      <c r="G659" s="5"/>
    </row>
    <row r="660" spans="3:7" ht="13">
      <c r="C660" s="80"/>
      <c r="E660" s="5"/>
      <c r="F660" s="5"/>
      <c r="G660" s="5"/>
    </row>
    <row r="661" spans="3:7" ht="13">
      <c r="C661" s="80"/>
      <c r="E661" s="5"/>
      <c r="F661" s="5"/>
      <c r="G661" s="5"/>
    </row>
    <row r="662" spans="3:7" ht="13">
      <c r="C662" s="80"/>
      <c r="E662" s="5"/>
      <c r="F662" s="5"/>
      <c r="G662" s="5"/>
    </row>
    <row r="663" spans="3:7" ht="13">
      <c r="C663" s="80"/>
      <c r="E663" s="5"/>
      <c r="F663" s="5"/>
      <c r="G663" s="5"/>
    </row>
    <row r="664" spans="3:7" ht="13">
      <c r="C664" s="80"/>
      <c r="E664" s="5"/>
      <c r="F664" s="5"/>
      <c r="G664" s="5"/>
    </row>
    <row r="665" spans="3:7" ht="13">
      <c r="C665" s="80"/>
      <c r="E665" s="5"/>
      <c r="F665" s="5"/>
      <c r="G665" s="5"/>
    </row>
    <row r="666" spans="3:7" ht="13">
      <c r="C666" s="80"/>
      <c r="E666" s="5"/>
      <c r="F666" s="5"/>
      <c r="G666" s="5"/>
    </row>
    <row r="667" spans="3:7" ht="13">
      <c r="C667" s="80"/>
      <c r="E667" s="5"/>
      <c r="F667" s="5"/>
      <c r="G667" s="5"/>
    </row>
    <row r="668" spans="3:7" ht="13">
      <c r="C668" s="80"/>
      <c r="E668" s="5"/>
      <c r="F668" s="5"/>
      <c r="G668" s="5"/>
    </row>
    <row r="669" spans="3:7" ht="13">
      <c r="C669" s="80"/>
      <c r="E669" s="5"/>
      <c r="F669" s="5"/>
      <c r="G669" s="5"/>
    </row>
    <row r="670" spans="3:7" ht="13">
      <c r="C670" s="80"/>
      <c r="E670" s="5"/>
      <c r="F670" s="5"/>
      <c r="G670" s="5"/>
    </row>
    <row r="671" spans="3:7" ht="13">
      <c r="C671" s="80"/>
      <c r="E671" s="5"/>
      <c r="F671" s="5"/>
      <c r="G671" s="5"/>
    </row>
    <row r="672" spans="3:7" ht="13">
      <c r="C672" s="80"/>
      <c r="E672" s="5"/>
      <c r="F672" s="5"/>
      <c r="G672" s="5"/>
    </row>
    <row r="673" spans="3:7" ht="13">
      <c r="C673" s="80"/>
      <c r="E673" s="5"/>
      <c r="F673" s="5"/>
      <c r="G673" s="5"/>
    </row>
    <row r="674" spans="3:7" ht="13">
      <c r="C674" s="80"/>
      <c r="E674" s="5"/>
      <c r="F674" s="5"/>
      <c r="G674" s="5"/>
    </row>
    <row r="675" spans="3:7" ht="13">
      <c r="C675" s="80"/>
      <c r="E675" s="5"/>
      <c r="F675" s="5"/>
      <c r="G675" s="5"/>
    </row>
    <row r="676" spans="3:7" ht="13">
      <c r="C676" s="80"/>
      <c r="E676" s="5"/>
      <c r="F676" s="5"/>
      <c r="G676" s="5"/>
    </row>
    <row r="677" spans="3:7" ht="13">
      <c r="C677" s="80"/>
      <c r="E677" s="5"/>
      <c r="F677" s="5"/>
      <c r="G677" s="5"/>
    </row>
    <row r="678" spans="3:7" ht="13">
      <c r="C678" s="80"/>
      <c r="E678" s="5"/>
      <c r="F678" s="5"/>
      <c r="G678" s="5"/>
    </row>
    <row r="679" spans="3:7" ht="13">
      <c r="C679" s="80"/>
      <c r="E679" s="5"/>
      <c r="F679" s="5"/>
      <c r="G679" s="5"/>
    </row>
    <row r="680" spans="3:7" ht="13">
      <c r="C680" s="80"/>
      <c r="E680" s="5"/>
      <c r="F680" s="5"/>
      <c r="G680" s="5"/>
    </row>
    <row r="681" spans="3:7" ht="13">
      <c r="C681" s="80"/>
      <c r="E681" s="5"/>
      <c r="F681" s="5"/>
      <c r="G681" s="5"/>
    </row>
    <row r="682" spans="3:7" ht="13">
      <c r="C682" s="80"/>
      <c r="E682" s="5"/>
      <c r="F682" s="5"/>
      <c r="G682" s="5"/>
    </row>
    <row r="683" spans="3:7" ht="13">
      <c r="C683" s="80"/>
      <c r="E683" s="5"/>
      <c r="F683" s="5"/>
      <c r="G683" s="5"/>
    </row>
    <row r="684" spans="3:7" ht="13">
      <c r="C684" s="80"/>
      <c r="E684" s="5"/>
      <c r="F684" s="5"/>
      <c r="G684" s="5"/>
    </row>
    <row r="685" spans="3:7" ht="13">
      <c r="C685" s="80"/>
      <c r="E685" s="5"/>
      <c r="F685" s="5"/>
      <c r="G685" s="5"/>
    </row>
    <row r="686" spans="3:7" ht="13">
      <c r="C686" s="80"/>
      <c r="E686" s="5"/>
      <c r="F686" s="5"/>
      <c r="G686" s="5"/>
    </row>
    <row r="687" spans="3:7" ht="13">
      <c r="C687" s="80"/>
      <c r="E687" s="5"/>
      <c r="F687" s="5"/>
      <c r="G687" s="5"/>
    </row>
    <row r="688" spans="3:7" ht="13">
      <c r="C688" s="80"/>
      <c r="E688" s="5"/>
      <c r="F688" s="5"/>
      <c r="G688" s="5"/>
    </row>
    <row r="689" spans="3:7" ht="13">
      <c r="C689" s="80"/>
      <c r="E689" s="5"/>
      <c r="F689" s="5"/>
      <c r="G689" s="5"/>
    </row>
    <row r="690" spans="3:7" ht="13">
      <c r="C690" s="80"/>
      <c r="E690" s="5"/>
      <c r="F690" s="5"/>
      <c r="G690" s="5"/>
    </row>
    <row r="691" spans="3:7" ht="13">
      <c r="C691" s="80"/>
      <c r="E691" s="5"/>
      <c r="F691" s="5"/>
      <c r="G691" s="5"/>
    </row>
    <row r="692" spans="3:7" ht="13">
      <c r="C692" s="80"/>
      <c r="E692" s="5"/>
      <c r="F692" s="5"/>
      <c r="G692" s="5"/>
    </row>
    <row r="693" spans="3:7" ht="13">
      <c r="C693" s="80"/>
      <c r="E693" s="5"/>
      <c r="F693" s="5"/>
      <c r="G693" s="5"/>
    </row>
    <row r="694" spans="3:7" ht="13">
      <c r="C694" s="80"/>
      <c r="E694" s="5"/>
      <c r="F694" s="5"/>
      <c r="G694" s="5"/>
    </row>
    <row r="695" spans="3:7" ht="13">
      <c r="C695" s="80"/>
      <c r="E695" s="5"/>
      <c r="F695" s="5"/>
      <c r="G695" s="5"/>
    </row>
    <row r="696" spans="3:7" ht="13">
      <c r="C696" s="80"/>
      <c r="E696" s="5"/>
      <c r="F696" s="5"/>
      <c r="G696" s="5"/>
    </row>
    <row r="697" spans="3:7" ht="13">
      <c r="C697" s="80"/>
      <c r="E697" s="5"/>
      <c r="F697" s="5"/>
      <c r="G697" s="5"/>
    </row>
    <row r="698" spans="3:7" ht="13">
      <c r="C698" s="80"/>
      <c r="E698" s="5"/>
      <c r="F698" s="5"/>
      <c r="G698" s="5"/>
    </row>
    <row r="699" spans="3:7" ht="13">
      <c r="C699" s="80"/>
      <c r="E699" s="5"/>
      <c r="F699" s="5"/>
      <c r="G699" s="5"/>
    </row>
    <row r="700" spans="3:7" ht="13">
      <c r="C700" s="80"/>
      <c r="E700" s="5"/>
      <c r="F700" s="5"/>
      <c r="G700" s="5"/>
    </row>
    <row r="701" spans="3:7" ht="13">
      <c r="C701" s="80"/>
      <c r="E701" s="5"/>
      <c r="F701" s="5"/>
      <c r="G701" s="5"/>
    </row>
    <row r="702" spans="3:7" ht="13">
      <c r="C702" s="80"/>
      <c r="E702" s="5"/>
      <c r="F702" s="5"/>
      <c r="G702" s="5"/>
    </row>
    <row r="703" spans="3:7" ht="13">
      <c r="C703" s="80"/>
      <c r="E703" s="5"/>
      <c r="F703" s="5"/>
      <c r="G703" s="5"/>
    </row>
    <row r="704" spans="3:7" ht="13">
      <c r="C704" s="80"/>
      <c r="E704" s="5"/>
      <c r="F704" s="5"/>
      <c r="G704" s="5"/>
    </row>
    <row r="705" spans="3:7" ht="13">
      <c r="C705" s="80"/>
      <c r="E705" s="5"/>
      <c r="F705" s="5"/>
      <c r="G705" s="5"/>
    </row>
    <row r="706" spans="3:7" ht="13">
      <c r="C706" s="80"/>
      <c r="E706" s="5"/>
      <c r="F706" s="5"/>
      <c r="G706" s="5"/>
    </row>
    <row r="707" spans="3:7" ht="13">
      <c r="C707" s="80"/>
      <c r="E707" s="5"/>
      <c r="F707" s="5"/>
      <c r="G707" s="5"/>
    </row>
    <row r="708" spans="3:7" ht="13">
      <c r="C708" s="80"/>
      <c r="E708" s="5"/>
      <c r="F708" s="5"/>
      <c r="G708" s="5"/>
    </row>
    <row r="709" spans="3:7" ht="13">
      <c r="C709" s="80"/>
      <c r="E709" s="5"/>
      <c r="F709" s="5"/>
      <c r="G709" s="5"/>
    </row>
    <row r="710" spans="3:7" ht="13">
      <c r="C710" s="80"/>
      <c r="E710" s="5"/>
      <c r="F710" s="5"/>
      <c r="G710" s="5"/>
    </row>
    <row r="711" spans="3:7" ht="13">
      <c r="C711" s="80"/>
      <c r="E711" s="5"/>
      <c r="F711" s="5"/>
      <c r="G711" s="5"/>
    </row>
    <row r="712" spans="3:7" ht="13">
      <c r="C712" s="80"/>
      <c r="E712" s="5"/>
      <c r="F712" s="5"/>
      <c r="G712" s="5"/>
    </row>
    <row r="713" spans="3:7" ht="13">
      <c r="C713" s="80"/>
      <c r="E713" s="5"/>
      <c r="F713" s="5"/>
      <c r="G713" s="5"/>
    </row>
    <row r="714" spans="3:7" ht="13">
      <c r="C714" s="80"/>
      <c r="E714" s="5"/>
      <c r="F714" s="5"/>
      <c r="G714" s="5"/>
    </row>
    <row r="715" spans="3:7" ht="13">
      <c r="C715" s="80"/>
      <c r="E715" s="5"/>
      <c r="F715" s="5"/>
      <c r="G715" s="5"/>
    </row>
    <row r="716" spans="3:7" ht="13">
      <c r="C716" s="80"/>
      <c r="E716" s="5"/>
      <c r="F716" s="5"/>
      <c r="G716" s="5"/>
    </row>
    <row r="717" spans="3:7" ht="13">
      <c r="C717" s="80"/>
      <c r="E717" s="5"/>
      <c r="F717" s="5"/>
      <c r="G717" s="5"/>
    </row>
    <row r="718" spans="3:7" ht="13">
      <c r="C718" s="80"/>
      <c r="E718" s="5"/>
      <c r="F718" s="5"/>
      <c r="G718" s="5"/>
    </row>
    <row r="719" spans="3:7" ht="13">
      <c r="C719" s="80"/>
      <c r="E719" s="5"/>
      <c r="F719" s="5"/>
      <c r="G719" s="5"/>
    </row>
    <row r="720" spans="3:7" ht="13">
      <c r="C720" s="80"/>
      <c r="E720" s="5"/>
      <c r="F720" s="5"/>
      <c r="G720" s="5"/>
    </row>
    <row r="721" spans="3:7" ht="13">
      <c r="C721" s="80"/>
      <c r="E721" s="5"/>
      <c r="F721" s="5"/>
      <c r="G721" s="5"/>
    </row>
    <row r="722" spans="3:7" ht="13">
      <c r="C722" s="80"/>
      <c r="E722" s="5"/>
      <c r="F722" s="5"/>
      <c r="G722" s="5"/>
    </row>
    <row r="723" spans="3:7" ht="13">
      <c r="C723" s="80"/>
      <c r="E723" s="5"/>
      <c r="F723" s="5"/>
      <c r="G723" s="5"/>
    </row>
    <row r="724" spans="3:7" ht="13">
      <c r="C724" s="80"/>
      <c r="E724" s="5"/>
      <c r="F724" s="5"/>
      <c r="G724" s="5"/>
    </row>
    <row r="725" spans="3:7" ht="13">
      <c r="C725" s="80"/>
      <c r="E725" s="5"/>
      <c r="F725" s="5"/>
      <c r="G725" s="5"/>
    </row>
    <row r="726" spans="3:7" ht="13">
      <c r="C726" s="80"/>
      <c r="E726" s="5"/>
      <c r="F726" s="5"/>
      <c r="G726" s="5"/>
    </row>
    <row r="727" spans="3:7" ht="13">
      <c r="C727" s="80"/>
      <c r="E727" s="5"/>
      <c r="F727" s="5"/>
      <c r="G727" s="5"/>
    </row>
    <row r="728" spans="3:7" ht="13">
      <c r="C728" s="80"/>
      <c r="E728" s="5"/>
      <c r="F728" s="5"/>
      <c r="G728" s="5"/>
    </row>
    <row r="729" spans="3:7" ht="13">
      <c r="C729" s="80"/>
      <c r="E729" s="5"/>
      <c r="F729" s="5"/>
      <c r="G729" s="5"/>
    </row>
    <row r="730" spans="3:7" ht="13">
      <c r="C730" s="80"/>
      <c r="E730" s="5"/>
      <c r="F730" s="5"/>
      <c r="G730" s="5"/>
    </row>
    <row r="731" spans="3:7" ht="13">
      <c r="C731" s="80"/>
      <c r="E731" s="5"/>
      <c r="F731" s="5"/>
      <c r="G731" s="5"/>
    </row>
    <row r="732" spans="3:7" ht="13">
      <c r="C732" s="80"/>
      <c r="E732" s="5"/>
      <c r="F732" s="5"/>
      <c r="G732" s="5"/>
    </row>
    <row r="733" spans="3:7" ht="13">
      <c r="C733" s="80"/>
      <c r="E733" s="5"/>
      <c r="F733" s="5"/>
      <c r="G733" s="5"/>
    </row>
    <row r="734" spans="3:7" ht="13">
      <c r="C734" s="80"/>
      <c r="E734" s="5"/>
      <c r="F734" s="5"/>
      <c r="G734" s="5"/>
    </row>
    <row r="735" spans="3:7" ht="13">
      <c r="C735" s="80"/>
      <c r="E735" s="5"/>
      <c r="F735" s="5"/>
      <c r="G735" s="5"/>
    </row>
    <row r="736" spans="3:7" ht="13">
      <c r="C736" s="80"/>
      <c r="E736" s="5"/>
      <c r="F736" s="5"/>
      <c r="G736" s="5"/>
    </row>
    <row r="737" spans="3:7" ht="13">
      <c r="C737" s="80"/>
      <c r="E737" s="5"/>
      <c r="F737" s="5"/>
      <c r="G737" s="5"/>
    </row>
    <row r="738" spans="3:7" ht="13">
      <c r="C738" s="80"/>
      <c r="E738" s="5"/>
      <c r="F738" s="5"/>
      <c r="G738" s="5"/>
    </row>
    <row r="739" spans="3:7" ht="13">
      <c r="C739" s="80"/>
      <c r="E739" s="5"/>
      <c r="F739" s="5"/>
      <c r="G739" s="5"/>
    </row>
    <row r="740" spans="3:7" ht="13">
      <c r="C740" s="80"/>
      <c r="E740" s="5"/>
      <c r="F740" s="5"/>
      <c r="G740" s="5"/>
    </row>
    <row r="741" spans="3:7" ht="13">
      <c r="C741" s="80"/>
      <c r="E741" s="5"/>
      <c r="F741" s="5"/>
      <c r="G741" s="5"/>
    </row>
    <row r="742" spans="3:7" ht="13">
      <c r="C742" s="80"/>
      <c r="E742" s="5"/>
      <c r="F742" s="5"/>
      <c r="G742" s="5"/>
    </row>
    <row r="743" spans="3:7" ht="13">
      <c r="C743" s="80"/>
      <c r="E743" s="5"/>
      <c r="F743" s="5"/>
      <c r="G743" s="5"/>
    </row>
    <row r="744" spans="3:7" ht="13">
      <c r="C744" s="80"/>
      <c r="E744" s="5"/>
      <c r="F744" s="5"/>
      <c r="G744" s="5"/>
    </row>
    <row r="745" spans="3:7" ht="13">
      <c r="C745" s="80"/>
      <c r="E745" s="5"/>
      <c r="F745" s="5"/>
      <c r="G745" s="5"/>
    </row>
    <row r="746" spans="3:7" ht="13">
      <c r="C746" s="80"/>
      <c r="E746" s="5"/>
      <c r="F746" s="5"/>
      <c r="G746" s="5"/>
    </row>
    <row r="747" spans="3:7" ht="13">
      <c r="C747" s="80"/>
      <c r="E747" s="5"/>
      <c r="F747" s="5"/>
      <c r="G747" s="5"/>
    </row>
    <row r="748" spans="3:7" ht="13">
      <c r="C748" s="80"/>
      <c r="E748" s="5"/>
      <c r="F748" s="5"/>
      <c r="G748" s="5"/>
    </row>
    <row r="749" spans="3:7" ht="13">
      <c r="C749" s="80"/>
      <c r="E749" s="5"/>
      <c r="F749" s="5"/>
      <c r="G749" s="5"/>
    </row>
    <row r="750" spans="3:7" ht="13">
      <c r="C750" s="80"/>
      <c r="E750" s="5"/>
      <c r="F750" s="5"/>
      <c r="G750" s="5"/>
    </row>
    <row r="751" spans="3:7" ht="13">
      <c r="C751" s="80"/>
      <c r="E751" s="5"/>
      <c r="F751" s="5"/>
      <c r="G751" s="5"/>
    </row>
    <row r="752" spans="3:7" ht="13">
      <c r="C752" s="80"/>
      <c r="E752" s="5"/>
      <c r="F752" s="5"/>
      <c r="G752" s="5"/>
    </row>
    <row r="753" spans="3:7" ht="13">
      <c r="C753" s="80"/>
      <c r="E753" s="5"/>
      <c r="F753" s="5"/>
      <c r="G753" s="5"/>
    </row>
    <row r="754" spans="3:7" ht="13">
      <c r="C754" s="80"/>
      <c r="E754" s="5"/>
      <c r="F754" s="5"/>
      <c r="G754" s="5"/>
    </row>
    <row r="755" spans="3:7" ht="13">
      <c r="C755" s="80"/>
      <c r="E755" s="5"/>
      <c r="F755" s="5"/>
      <c r="G755" s="5"/>
    </row>
    <row r="756" spans="3:7" ht="13">
      <c r="C756" s="80"/>
      <c r="E756" s="5"/>
      <c r="F756" s="5"/>
      <c r="G756" s="5"/>
    </row>
    <row r="757" spans="3:7" ht="13">
      <c r="C757" s="80"/>
      <c r="E757" s="5"/>
      <c r="F757" s="5"/>
      <c r="G757" s="5"/>
    </row>
    <row r="758" spans="3:7" ht="13">
      <c r="C758" s="80"/>
      <c r="E758" s="5"/>
      <c r="F758" s="5"/>
      <c r="G758" s="5"/>
    </row>
    <row r="759" spans="3:7" ht="13">
      <c r="C759" s="80"/>
      <c r="E759" s="5"/>
      <c r="F759" s="5"/>
      <c r="G759" s="5"/>
    </row>
    <row r="760" spans="3:7" ht="13">
      <c r="C760" s="80"/>
      <c r="E760" s="5"/>
      <c r="F760" s="5"/>
      <c r="G760" s="5"/>
    </row>
    <row r="761" spans="3:7" ht="13">
      <c r="C761" s="80"/>
      <c r="E761" s="5"/>
      <c r="F761" s="5"/>
      <c r="G761" s="5"/>
    </row>
    <row r="762" spans="3:7" ht="13">
      <c r="C762" s="80"/>
      <c r="E762" s="5"/>
      <c r="F762" s="5"/>
      <c r="G762" s="5"/>
    </row>
    <row r="763" spans="3:7" ht="13">
      <c r="C763" s="80"/>
      <c r="E763" s="5"/>
      <c r="F763" s="5"/>
      <c r="G763" s="5"/>
    </row>
    <row r="764" spans="3:7" ht="13">
      <c r="C764" s="80"/>
      <c r="E764" s="5"/>
      <c r="F764" s="5"/>
      <c r="G764" s="5"/>
    </row>
    <row r="765" spans="3:7" ht="13">
      <c r="C765" s="80"/>
      <c r="E765" s="5"/>
      <c r="F765" s="5"/>
      <c r="G765" s="5"/>
    </row>
    <row r="766" spans="3:7" ht="13">
      <c r="C766" s="80"/>
      <c r="E766" s="5"/>
      <c r="F766" s="5"/>
      <c r="G766" s="5"/>
    </row>
    <row r="767" spans="3:7" ht="13">
      <c r="C767" s="80"/>
      <c r="E767" s="5"/>
      <c r="F767" s="5"/>
      <c r="G767" s="5"/>
    </row>
    <row r="768" spans="3:7" ht="13">
      <c r="C768" s="80"/>
      <c r="E768" s="5"/>
      <c r="F768" s="5"/>
      <c r="G768" s="5"/>
    </row>
    <row r="769" spans="3:7" ht="13">
      <c r="C769" s="80"/>
      <c r="E769" s="5"/>
      <c r="F769" s="5"/>
      <c r="G769" s="5"/>
    </row>
    <row r="770" spans="3:7" ht="13">
      <c r="C770" s="80"/>
      <c r="E770" s="5"/>
      <c r="F770" s="5"/>
      <c r="G770" s="5"/>
    </row>
    <row r="771" spans="3:7" ht="13">
      <c r="C771" s="80"/>
      <c r="E771" s="5"/>
      <c r="F771" s="5"/>
      <c r="G771" s="5"/>
    </row>
    <row r="772" spans="3:7" ht="13">
      <c r="C772" s="80"/>
      <c r="E772" s="5"/>
      <c r="F772" s="5"/>
      <c r="G772" s="5"/>
    </row>
    <row r="773" spans="3:7" ht="13">
      <c r="C773" s="80"/>
      <c r="E773" s="5"/>
      <c r="F773" s="5"/>
      <c r="G773" s="5"/>
    </row>
    <row r="774" spans="3:7" ht="13">
      <c r="C774" s="80"/>
      <c r="E774" s="5"/>
      <c r="F774" s="5"/>
      <c r="G774" s="5"/>
    </row>
    <row r="775" spans="3:7" ht="13">
      <c r="C775" s="80"/>
      <c r="E775" s="5"/>
      <c r="F775" s="5"/>
      <c r="G775" s="5"/>
    </row>
    <row r="776" spans="3:7" ht="13">
      <c r="C776" s="80"/>
      <c r="E776" s="5"/>
      <c r="F776" s="5"/>
      <c r="G776" s="5"/>
    </row>
    <row r="777" spans="3:7" ht="13">
      <c r="C777" s="80"/>
      <c r="E777" s="5"/>
      <c r="F777" s="5"/>
      <c r="G777" s="5"/>
    </row>
    <row r="778" spans="3:7" ht="13">
      <c r="C778" s="80"/>
      <c r="E778" s="5"/>
      <c r="F778" s="5"/>
      <c r="G778" s="5"/>
    </row>
    <row r="779" spans="3:7" ht="13">
      <c r="C779" s="80"/>
      <c r="E779" s="5"/>
      <c r="F779" s="5"/>
      <c r="G779" s="5"/>
    </row>
    <row r="780" spans="3:7" ht="13">
      <c r="C780" s="80"/>
      <c r="E780" s="5"/>
      <c r="F780" s="5"/>
      <c r="G780" s="5"/>
    </row>
    <row r="781" spans="3:7" ht="13">
      <c r="C781" s="80"/>
      <c r="E781" s="5"/>
      <c r="F781" s="5"/>
      <c r="G781" s="5"/>
    </row>
    <row r="782" spans="3:7" ht="13">
      <c r="C782" s="80"/>
      <c r="E782" s="5"/>
      <c r="F782" s="5"/>
      <c r="G782" s="5"/>
    </row>
    <row r="783" spans="3:7" ht="13">
      <c r="C783" s="80"/>
      <c r="E783" s="5"/>
      <c r="F783" s="5"/>
      <c r="G783" s="5"/>
    </row>
    <row r="784" spans="3:7" ht="13">
      <c r="C784" s="80"/>
      <c r="E784" s="5"/>
      <c r="F784" s="5"/>
      <c r="G784" s="5"/>
    </row>
    <row r="785" spans="3:7" ht="13">
      <c r="C785" s="80"/>
      <c r="E785" s="5"/>
      <c r="F785" s="5"/>
      <c r="G785" s="5"/>
    </row>
    <row r="786" spans="3:7" ht="13">
      <c r="C786" s="80"/>
      <c r="E786" s="5"/>
      <c r="F786" s="5"/>
      <c r="G786" s="5"/>
    </row>
    <row r="787" spans="3:7" ht="13">
      <c r="C787" s="80"/>
      <c r="E787" s="5"/>
      <c r="F787" s="5"/>
      <c r="G787" s="5"/>
    </row>
    <row r="788" spans="3:7" ht="13">
      <c r="C788" s="80"/>
      <c r="E788" s="5"/>
      <c r="F788" s="5"/>
      <c r="G788" s="5"/>
    </row>
    <row r="789" spans="3:7" ht="13">
      <c r="C789" s="80"/>
      <c r="E789" s="5"/>
      <c r="F789" s="5"/>
      <c r="G789" s="5"/>
    </row>
    <row r="790" spans="3:7" ht="13">
      <c r="C790" s="80"/>
      <c r="E790" s="5"/>
      <c r="F790" s="5"/>
      <c r="G790" s="5"/>
    </row>
    <row r="791" spans="3:7" ht="13">
      <c r="C791" s="80"/>
      <c r="E791" s="5"/>
      <c r="F791" s="5"/>
      <c r="G791" s="5"/>
    </row>
    <row r="792" spans="3:7" ht="13">
      <c r="C792" s="80"/>
      <c r="E792" s="5"/>
      <c r="F792" s="5"/>
      <c r="G792" s="5"/>
    </row>
    <row r="793" spans="3:7" ht="13">
      <c r="C793" s="80"/>
      <c r="E793" s="5"/>
      <c r="F793" s="5"/>
      <c r="G793" s="5"/>
    </row>
    <row r="794" spans="3:7" ht="13">
      <c r="C794" s="80"/>
      <c r="E794" s="5"/>
      <c r="F794" s="5"/>
      <c r="G794" s="5"/>
    </row>
    <row r="795" spans="3:7" ht="13">
      <c r="C795" s="80"/>
      <c r="E795" s="5"/>
      <c r="F795" s="5"/>
      <c r="G795" s="5"/>
    </row>
    <row r="796" spans="3:7" ht="13">
      <c r="C796" s="80"/>
      <c r="E796" s="5"/>
      <c r="F796" s="5"/>
      <c r="G796" s="5"/>
    </row>
    <row r="797" spans="3:7" ht="13">
      <c r="C797" s="80"/>
      <c r="E797" s="5"/>
      <c r="F797" s="5"/>
      <c r="G797" s="5"/>
    </row>
    <row r="798" spans="3:7" ht="13">
      <c r="C798" s="80"/>
      <c r="E798" s="5"/>
      <c r="F798" s="5"/>
      <c r="G798" s="5"/>
    </row>
    <row r="799" spans="3:7" ht="13">
      <c r="C799" s="80"/>
      <c r="E799" s="5"/>
      <c r="F799" s="5"/>
      <c r="G799" s="5"/>
    </row>
    <row r="800" spans="3:7" ht="13">
      <c r="C800" s="80"/>
      <c r="E800" s="5"/>
      <c r="F800" s="5"/>
      <c r="G800" s="5"/>
    </row>
    <row r="801" spans="3:7" ht="13">
      <c r="C801" s="80"/>
      <c r="E801" s="5"/>
      <c r="F801" s="5"/>
      <c r="G801" s="5"/>
    </row>
    <row r="802" spans="3:7" ht="13">
      <c r="C802" s="80"/>
      <c r="E802" s="5"/>
      <c r="F802" s="5"/>
      <c r="G802" s="5"/>
    </row>
    <row r="803" spans="3:7" ht="13">
      <c r="C803" s="80"/>
      <c r="E803" s="5"/>
      <c r="F803" s="5"/>
      <c r="G803" s="5"/>
    </row>
    <row r="804" spans="3:7" ht="13">
      <c r="C804" s="80"/>
      <c r="E804" s="5"/>
      <c r="F804" s="5"/>
      <c r="G804" s="5"/>
    </row>
    <row r="805" spans="3:7" ht="13">
      <c r="C805" s="80"/>
      <c r="E805" s="5"/>
      <c r="F805" s="5"/>
      <c r="G805" s="5"/>
    </row>
    <row r="806" spans="3:7" ht="13">
      <c r="C806" s="80"/>
      <c r="E806" s="5"/>
      <c r="F806" s="5"/>
      <c r="G806" s="5"/>
    </row>
    <row r="807" spans="3:7" ht="13">
      <c r="C807" s="80"/>
      <c r="E807" s="5"/>
      <c r="F807" s="5"/>
      <c r="G807" s="5"/>
    </row>
    <row r="808" spans="3:7" ht="13">
      <c r="C808" s="80"/>
      <c r="E808" s="5"/>
      <c r="F808" s="5"/>
      <c r="G808" s="5"/>
    </row>
    <row r="809" spans="3:7" ht="13">
      <c r="C809" s="80"/>
      <c r="E809" s="5"/>
      <c r="F809" s="5"/>
      <c r="G809" s="5"/>
    </row>
    <row r="810" spans="3:7" ht="13">
      <c r="C810" s="80"/>
      <c r="E810" s="5"/>
      <c r="F810" s="5"/>
      <c r="G810" s="5"/>
    </row>
    <row r="811" spans="3:7" ht="13">
      <c r="C811" s="80"/>
      <c r="E811" s="5"/>
      <c r="F811" s="5"/>
      <c r="G811" s="5"/>
    </row>
    <row r="812" spans="3:7" ht="13">
      <c r="C812" s="80"/>
      <c r="E812" s="5"/>
      <c r="F812" s="5"/>
      <c r="G812" s="5"/>
    </row>
    <row r="813" spans="3:7" ht="13">
      <c r="C813" s="80"/>
      <c r="E813" s="5"/>
      <c r="F813" s="5"/>
      <c r="G813" s="5"/>
    </row>
    <row r="814" spans="3:7" ht="13">
      <c r="C814" s="80"/>
      <c r="E814" s="5"/>
      <c r="F814" s="5"/>
      <c r="G814" s="5"/>
    </row>
    <row r="815" spans="3:7" ht="13">
      <c r="C815" s="80"/>
      <c r="E815" s="5"/>
      <c r="F815" s="5"/>
      <c r="G815" s="5"/>
    </row>
    <row r="816" spans="3:7" ht="13">
      <c r="C816" s="80"/>
      <c r="E816" s="5"/>
      <c r="F816" s="5"/>
      <c r="G816" s="5"/>
    </row>
    <row r="817" spans="3:7" ht="13">
      <c r="C817" s="80"/>
      <c r="E817" s="5"/>
      <c r="F817" s="5"/>
      <c r="G817" s="5"/>
    </row>
    <row r="818" spans="3:7" ht="13">
      <c r="C818" s="80"/>
      <c r="E818" s="5"/>
      <c r="F818" s="5"/>
      <c r="G818" s="5"/>
    </row>
    <row r="819" spans="3:7" ht="13">
      <c r="C819" s="80"/>
      <c r="E819" s="5"/>
      <c r="F819" s="5"/>
      <c r="G819" s="5"/>
    </row>
    <row r="820" spans="3:7" ht="13">
      <c r="C820" s="80"/>
      <c r="E820" s="5"/>
      <c r="F820" s="5"/>
      <c r="G820" s="5"/>
    </row>
    <row r="821" spans="3:7" ht="13">
      <c r="C821" s="80"/>
      <c r="E821" s="5"/>
      <c r="F821" s="5"/>
      <c r="G821" s="5"/>
    </row>
    <row r="822" spans="3:7" ht="13">
      <c r="C822" s="80"/>
      <c r="E822" s="5"/>
      <c r="F822" s="5"/>
      <c r="G822" s="5"/>
    </row>
    <row r="823" spans="3:7" ht="13">
      <c r="C823" s="80"/>
      <c r="E823" s="5"/>
      <c r="F823" s="5"/>
      <c r="G823" s="5"/>
    </row>
    <row r="824" spans="3:7" ht="13">
      <c r="C824" s="80"/>
      <c r="E824" s="5"/>
      <c r="F824" s="5"/>
      <c r="G824" s="5"/>
    </row>
    <row r="825" spans="3:7" ht="13">
      <c r="C825" s="80"/>
      <c r="E825" s="5"/>
      <c r="F825" s="5"/>
      <c r="G825" s="5"/>
    </row>
    <row r="826" spans="3:7" ht="13">
      <c r="C826" s="80"/>
      <c r="E826" s="5"/>
      <c r="F826" s="5"/>
      <c r="G826" s="5"/>
    </row>
    <row r="827" spans="3:7" ht="13">
      <c r="C827" s="80"/>
      <c r="E827" s="5"/>
      <c r="F827" s="5"/>
      <c r="G827" s="5"/>
    </row>
    <row r="828" spans="3:7" ht="13">
      <c r="C828" s="80"/>
      <c r="E828" s="5"/>
      <c r="F828" s="5"/>
      <c r="G828" s="5"/>
    </row>
    <row r="829" spans="3:7" ht="13">
      <c r="C829" s="80"/>
      <c r="E829" s="5"/>
      <c r="F829" s="5"/>
      <c r="G829" s="5"/>
    </row>
    <row r="830" spans="3:7" ht="13">
      <c r="C830" s="80"/>
      <c r="E830" s="5"/>
      <c r="F830" s="5"/>
      <c r="G830" s="5"/>
    </row>
    <row r="831" spans="3:7" ht="13">
      <c r="C831" s="80"/>
      <c r="E831" s="5"/>
      <c r="F831" s="5"/>
      <c r="G831" s="5"/>
    </row>
    <row r="832" spans="3:7" ht="13">
      <c r="C832" s="80"/>
      <c r="E832" s="5"/>
      <c r="F832" s="5"/>
      <c r="G832" s="5"/>
    </row>
    <row r="833" spans="3:7" ht="13">
      <c r="C833" s="80"/>
      <c r="E833" s="5"/>
      <c r="F833" s="5"/>
      <c r="G833" s="5"/>
    </row>
    <row r="834" spans="3:7" ht="13">
      <c r="C834" s="80"/>
      <c r="E834" s="5"/>
      <c r="F834" s="5"/>
      <c r="G834" s="5"/>
    </row>
    <row r="835" spans="3:7" ht="13">
      <c r="C835" s="80"/>
      <c r="E835" s="5"/>
      <c r="F835" s="5"/>
      <c r="G835" s="5"/>
    </row>
    <row r="836" spans="3:7" ht="13">
      <c r="C836" s="80"/>
      <c r="E836" s="5"/>
      <c r="F836" s="5"/>
      <c r="G836" s="5"/>
    </row>
    <row r="837" spans="3:7" ht="13">
      <c r="C837" s="80"/>
      <c r="E837" s="5"/>
      <c r="F837" s="5"/>
      <c r="G837" s="5"/>
    </row>
    <row r="838" spans="3:7" ht="13">
      <c r="C838" s="80"/>
      <c r="E838" s="5"/>
      <c r="F838" s="5"/>
      <c r="G838" s="5"/>
    </row>
    <row r="839" spans="3:7" ht="13">
      <c r="C839" s="80"/>
      <c r="E839" s="5"/>
      <c r="F839" s="5"/>
      <c r="G839" s="5"/>
    </row>
    <row r="840" spans="3:7" ht="13">
      <c r="C840" s="80"/>
      <c r="E840" s="5"/>
      <c r="F840" s="5"/>
      <c r="G840" s="5"/>
    </row>
    <row r="841" spans="3:7" ht="13">
      <c r="C841" s="80"/>
      <c r="E841" s="5"/>
      <c r="F841" s="5"/>
      <c r="G841" s="5"/>
    </row>
    <row r="842" spans="3:7" ht="13">
      <c r="C842" s="80"/>
      <c r="E842" s="5"/>
      <c r="F842" s="5"/>
      <c r="G842" s="5"/>
    </row>
    <row r="843" spans="3:7" ht="13">
      <c r="C843" s="80"/>
      <c r="E843" s="5"/>
      <c r="F843" s="5"/>
      <c r="G843" s="5"/>
    </row>
    <row r="844" spans="3:7" ht="13">
      <c r="C844" s="80"/>
      <c r="E844" s="5"/>
      <c r="F844" s="5"/>
      <c r="G844" s="5"/>
    </row>
    <row r="845" spans="3:7" ht="13">
      <c r="C845" s="80"/>
      <c r="E845" s="5"/>
      <c r="F845" s="5"/>
      <c r="G845" s="5"/>
    </row>
    <row r="846" spans="3:7" ht="13">
      <c r="C846" s="80"/>
      <c r="E846" s="5"/>
      <c r="F846" s="5"/>
      <c r="G846" s="5"/>
    </row>
    <row r="847" spans="3:7" ht="13">
      <c r="C847" s="80"/>
      <c r="E847" s="5"/>
      <c r="F847" s="5"/>
      <c r="G847" s="5"/>
    </row>
    <row r="848" spans="3:7" ht="13">
      <c r="C848" s="80"/>
      <c r="E848" s="5"/>
      <c r="F848" s="5"/>
      <c r="G848" s="5"/>
    </row>
    <row r="849" spans="3:7" ht="13">
      <c r="C849" s="80"/>
      <c r="E849" s="5"/>
      <c r="F849" s="5"/>
      <c r="G849" s="5"/>
    </row>
    <row r="850" spans="3:7" ht="13">
      <c r="C850" s="80"/>
      <c r="E850" s="5"/>
      <c r="F850" s="5"/>
      <c r="G850" s="5"/>
    </row>
    <row r="851" spans="3:7" ht="13">
      <c r="C851" s="80"/>
      <c r="E851" s="5"/>
      <c r="F851" s="5"/>
      <c r="G851" s="5"/>
    </row>
    <row r="852" spans="3:7" ht="13">
      <c r="C852" s="80"/>
      <c r="E852" s="5"/>
      <c r="F852" s="5"/>
      <c r="G852" s="5"/>
    </row>
    <row r="853" spans="3:7" ht="13">
      <c r="C853" s="80"/>
      <c r="E853" s="5"/>
      <c r="F853" s="5"/>
      <c r="G853" s="5"/>
    </row>
    <row r="854" spans="3:7" ht="13">
      <c r="C854" s="80"/>
      <c r="E854" s="5"/>
      <c r="F854" s="5"/>
      <c r="G854" s="5"/>
    </row>
    <row r="855" spans="3:7" ht="13">
      <c r="C855" s="80"/>
      <c r="E855" s="5"/>
      <c r="F855" s="5"/>
      <c r="G855" s="5"/>
    </row>
    <row r="856" spans="3:7" ht="13">
      <c r="C856" s="80"/>
      <c r="E856" s="5"/>
      <c r="F856" s="5"/>
      <c r="G856" s="5"/>
    </row>
    <row r="857" spans="3:7" ht="13">
      <c r="C857" s="80"/>
      <c r="E857" s="5"/>
      <c r="F857" s="5"/>
      <c r="G857" s="5"/>
    </row>
    <row r="858" spans="3:7" ht="13">
      <c r="C858" s="80"/>
      <c r="E858" s="5"/>
      <c r="F858" s="5"/>
      <c r="G858" s="5"/>
    </row>
    <row r="859" spans="3:7" ht="13">
      <c r="C859" s="80"/>
      <c r="E859" s="5"/>
      <c r="F859" s="5"/>
      <c r="G859" s="5"/>
    </row>
    <row r="860" spans="3:7" ht="13">
      <c r="C860" s="80"/>
      <c r="E860" s="5"/>
      <c r="F860" s="5"/>
      <c r="G860" s="5"/>
    </row>
    <row r="861" spans="3:7" ht="13">
      <c r="C861" s="80"/>
      <c r="E861" s="5"/>
      <c r="F861" s="5"/>
      <c r="G861" s="5"/>
    </row>
    <row r="862" spans="3:7" ht="13">
      <c r="C862" s="80"/>
      <c r="E862" s="5"/>
      <c r="F862" s="5"/>
      <c r="G862" s="5"/>
    </row>
    <row r="863" spans="3:7" ht="13">
      <c r="C863" s="80"/>
      <c r="E863" s="5"/>
      <c r="F863" s="5"/>
      <c r="G863" s="5"/>
    </row>
    <row r="864" spans="3:7" ht="13">
      <c r="C864" s="80"/>
      <c r="E864" s="5"/>
      <c r="F864" s="5"/>
      <c r="G864" s="5"/>
    </row>
    <row r="865" spans="3:7" ht="13">
      <c r="C865" s="80"/>
      <c r="E865" s="5"/>
      <c r="F865" s="5"/>
      <c r="G865" s="5"/>
    </row>
    <row r="866" spans="3:7" ht="13">
      <c r="C866" s="80"/>
      <c r="E866" s="5"/>
      <c r="F866" s="5"/>
      <c r="G866" s="5"/>
    </row>
    <row r="867" spans="3:7" ht="13">
      <c r="C867" s="80"/>
      <c r="E867" s="5"/>
      <c r="F867" s="5"/>
      <c r="G867" s="5"/>
    </row>
    <row r="868" spans="3:7" ht="13">
      <c r="C868" s="80"/>
      <c r="E868" s="5"/>
      <c r="F868" s="5"/>
      <c r="G868" s="5"/>
    </row>
    <row r="869" spans="3:7" ht="13">
      <c r="C869" s="80"/>
      <c r="E869" s="5"/>
      <c r="F869" s="5"/>
      <c r="G869" s="5"/>
    </row>
    <row r="870" spans="3:7" ht="13">
      <c r="C870" s="80"/>
      <c r="E870" s="5"/>
      <c r="F870" s="5"/>
      <c r="G870" s="5"/>
    </row>
    <row r="871" spans="3:7" ht="13">
      <c r="C871" s="80"/>
      <c r="E871" s="5"/>
      <c r="F871" s="5"/>
      <c r="G871" s="5"/>
    </row>
    <row r="872" spans="3:7" ht="13">
      <c r="C872" s="80"/>
      <c r="E872" s="5"/>
      <c r="F872" s="5"/>
      <c r="G872" s="5"/>
    </row>
    <row r="873" spans="3:7" ht="13">
      <c r="C873" s="80"/>
      <c r="E873" s="5"/>
      <c r="F873" s="5"/>
      <c r="G873" s="5"/>
    </row>
    <row r="874" spans="3:7" ht="13">
      <c r="C874" s="80"/>
      <c r="E874" s="5"/>
      <c r="F874" s="5"/>
      <c r="G874" s="5"/>
    </row>
    <row r="875" spans="3:7" ht="13">
      <c r="C875" s="80"/>
      <c r="E875" s="5"/>
      <c r="F875" s="5"/>
      <c r="G875" s="5"/>
    </row>
    <row r="876" spans="3:7" ht="13">
      <c r="C876" s="80"/>
      <c r="E876" s="5"/>
      <c r="F876" s="5"/>
      <c r="G876" s="5"/>
    </row>
    <row r="877" spans="3:7" ht="13">
      <c r="C877" s="80"/>
      <c r="E877" s="5"/>
      <c r="F877" s="5"/>
      <c r="G877" s="5"/>
    </row>
    <row r="878" spans="3:7" ht="13">
      <c r="C878" s="80"/>
      <c r="E878" s="5"/>
      <c r="F878" s="5"/>
      <c r="G878" s="5"/>
    </row>
    <row r="879" spans="3:7" ht="13">
      <c r="C879" s="80"/>
      <c r="E879" s="5"/>
      <c r="F879" s="5"/>
      <c r="G879" s="5"/>
    </row>
    <row r="880" spans="3:7" ht="13">
      <c r="C880" s="80"/>
      <c r="E880" s="5"/>
      <c r="F880" s="5"/>
      <c r="G880" s="5"/>
    </row>
    <row r="881" spans="3:7" ht="13">
      <c r="C881" s="80"/>
      <c r="E881" s="5"/>
      <c r="F881" s="5"/>
      <c r="G881" s="5"/>
    </row>
    <row r="882" spans="3:7" ht="13">
      <c r="C882" s="80"/>
      <c r="E882" s="5"/>
      <c r="F882" s="5"/>
      <c r="G882" s="5"/>
    </row>
    <row r="883" spans="3:7" ht="13">
      <c r="C883" s="80"/>
      <c r="E883" s="5"/>
      <c r="F883" s="5"/>
      <c r="G883" s="5"/>
    </row>
    <row r="884" spans="3:7" ht="13">
      <c r="C884" s="80"/>
      <c r="E884" s="5"/>
      <c r="F884" s="5"/>
      <c r="G884" s="5"/>
    </row>
    <row r="885" spans="3:7" ht="13">
      <c r="C885" s="80"/>
      <c r="E885" s="5"/>
      <c r="F885" s="5"/>
      <c r="G885" s="5"/>
    </row>
    <row r="886" spans="3:7" ht="13">
      <c r="C886" s="80"/>
      <c r="E886" s="5"/>
      <c r="F886" s="5"/>
      <c r="G886" s="5"/>
    </row>
    <row r="887" spans="3:7" ht="13">
      <c r="C887" s="80"/>
      <c r="E887" s="5"/>
      <c r="F887" s="5"/>
      <c r="G887" s="5"/>
    </row>
    <row r="888" spans="3:7" ht="13">
      <c r="C888" s="80"/>
      <c r="E888" s="5"/>
      <c r="F888" s="5"/>
      <c r="G888" s="5"/>
    </row>
    <row r="889" spans="3:7" ht="13">
      <c r="C889" s="80"/>
      <c r="E889" s="5"/>
      <c r="F889" s="5"/>
      <c r="G889" s="5"/>
    </row>
    <row r="890" spans="3:7" ht="13">
      <c r="C890" s="80"/>
      <c r="E890" s="5"/>
      <c r="F890" s="5"/>
      <c r="G890" s="5"/>
    </row>
    <row r="891" spans="3:7" ht="13">
      <c r="C891" s="80"/>
      <c r="E891" s="5"/>
      <c r="F891" s="5"/>
      <c r="G891" s="5"/>
    </row>
    <row r="892" spans="3:7" ht="13">
      <c r="C892" s="80"/>
      <c r="E892" s="5"/>
      <c r="F892" s="5"/>
      <c r="G892" s="5"/>
    </row>
    <row r="893" spans="3:7" ht="13">
      <c r="C893" s="80"/>
      <c r="E893" s="5"/>
      <c r="F893" s="5"/>
      <c r="G893" s="5"/>
    </row>
    <row r="894" spans="3:7" ht="13">
      <c r="C894" s="80"/>
      <c r="E894" s="5"/>
      <c r="F894" s="5"/>
      <c r="G894" s="5"/>
    </row>
    <row r="895" spans="3:7" ht="13">
      <c r="C895" s="80"/>
      <c r="E895" s="5"/>
      <c r="F895" s="5"/>
      <c r="G895" s="5"/>
    </row>
    <row r="896" spans="3:7" ht="13">
      <c r="C896" s="80"/>
      <c r="E896" s="5"/>
      <c r="F896" s="5"/>
      <c r="G896" s="5"/>
    </row>
    <row r="897" spans="3:7" ht="13">
      <c r="C897" s="80"/>
      <c r="E897" s="5"/>
      <c r="F897" s="5"/>
      <c r="G897" s="5"/>
    </row>
    <row r="898" spans="3:7" ht="13">
      <c r="C898" s="80"/>
      <c r="E898" s="5"/>
      <c r="F898" s="5"/>
      <c r="G898" s="5"/>
    </row>
    <row r="899" spans="3:7" ht="13">
      <c r="C899" s="80"/>
      <c r="E899" s="5"/>
      <c r="F899" s="5"/>
      <c r="G899" s="5"/>
    </row>
    <row r="900" spans="3:7" ht="13">
      <c r="C900" s="80"/>
      <c r="E900" s="5"/>
      <c r="F900" s="5"/>
      <c r="G900" s="5"/>
    </row>
    <row r="901" spans="3:7" ht="13">
      <c r="C901" s="80"/>
      <c r="E901" s="5"/>
      <c r="F901" s="5"/>
      <c r="G901" s="5"/>
    </row>
    <row r="902" spans="3:7" ht="13">
      <c r="C902" s="80"/>
      <c r="E902" s="5"/>
      <c r="F902" s="5"/>
      <c r="G902" s="5"/>
    </row>
    <row r="903" spans="3:7" ht="13">
      <c r="C903" s="80"/>
      <c r="E903" s="5"/>
      <c r="F903" s="5"/>
      <c r="G903" s="5"/>
    </row>
    <row r="904" spans="3:7" ht="13">
      <c r="C904" s="80"/>
      <c r="E904" s="5"/>
      <c r="F904" s="5"/>
      <c r="G904" s="5"/>
    </row>
    <row r="905" spans="3:7" ht="13">
      <c r="C905" s="80"/>
      <c r="E905" s="5"/>
      <c r="F905" s="5"/>
      <c r="G905" s="5"/>
    </row>
    <row r="906" spans="3:7" ht="13">
      <c r="C906" s="80"/>
      <c r="E906" s="5"/>
      <c r="F906" s="5"/>
      <c r="G906" s="5"/>
    </row>
    <row r="907" spans="3:7" ht="13">
      <c r="C907" s="80"/>
      <c r="E907" s="5"/>
      <c r="F907" s="5"/>
      <c r="G907" s="5"/>
    </row>
    <row r="908" spans="3:7" ht="13">
      <c r="C908" s="80"/>
      <c r="E908" s="5"/>
      <c r="F908" s="5"/>
      <c r="G908" s="5"/>
    </row>
    <row r="909" spans="3:7" ht="13">
      <c r="C909" s="80"/>
      <c r="E909" s="5"/>
      <c r="F909" s="5"/>
      <c r="G909" s="5"/>
    </row>
    <row r="910" spans="3:7" ht="13">
      <c r="C910" s="80"/>
      <c r="E910" s="5"/>
      <c r="F910" s="5"/>
      <c r="G910" s="5"/>
    </row>
    <row r="911" spans="3:7" ht="13">
      <c r="C911" s="80"/>
      <c r="E911" s="5"/>
      <c r="F911" s="5"/>
      <c r="G911" s="5"/>
    </row>
    <row r="912" spans="3:7" ht="13">
      <c r="C912" s="80"/>
      <c r="E912" s="5"/>
      <c r="F912" s="5"/>
      <c r="G912" s="5"/>
    </row>
    <row r="913" spans="3:7" ht="13">
      <c r="C913" s="80"/>
      <c r="E913" s="5"/>
      <c r="F913" s="5"/>
      <c r="G913" s="5"/>
    </row>
    <row r="914" spans="3:7" ht="13">
      <c r="C914" s="80"/>
      <c r="E914" s="5"/>
      <c r="F914" s="5"/>
      <c r="G914" s="5"/>
    </row>
    <row r="915" spans="3:7" ht="13">
      <c r="C915" s="80"/>
      <c r="E915" s="5"/>
      <c r="F915" s="5"/>
      <c r="G915" s="5"/>
    </row>
    <row r="916" spans="3:7" ht="13">
      <c r="C916" s="80"/>
      <c r="E916" s="5"/>
      <c r="F916" s="5"/>
      <c r="G916" s="5"/>
    </row>
    <row r="917" spans="3:7" ht="13">
      <c r="C917" s="80"/>
      <c r="E917" s="5"/>
      <c r="F917" s="5"/>
      <c r="G917" s="5"/>
    </row>
    <row r="918" spans="3:7" ht="13">
      <c r="C918" s="80"/>
      <c r="E918" s="5"/>
      <c r="F918" s="5"/>
      <c r="G918" s="5"/>
    </row>
    <row r="919" spans="3:7" ht="13">
      <c r="C919" s="80"/>
      <c r="E919" s="5"/>
      <c r="F919" s="5"/>
      <c r="G919" s="5"/>
    </row>
    <row r="920" spans="3:7" ht="13">
      <c r="C920" s="80"/>
      <c r="E920" s="5"/>
      <c r="F920" s="5"/>
      <c r="G920" s="5"/>
    </row>
    <row r="921" spans="3:7" ht="13">
      <c r="C921" s="80"/>
      <c r="E921" s="5"/>
      <c r="F921" s="5"/>
      <c r="G921" s="5"/>
    </row>
    <row r="922" spans="3:7" ht="13">
      <c r="C922" s="80"/>
      <c r="E922" s="5"/>
      <c r="F922" s="5"/>
      <c r="G922" s="5"/>
    </row>
    <row r="923" spans="3:7" ht="13">
      <c r="C923" s="80"/>
      <c r="E923" s="5"/>
      <c r="F923" s="5"/>
      <c r="G923" s="5"/>
    </row>
    <row r="924" spans="3:7" ht="13">
      <c r="C924" s="80"/>
      <c r="E924" s="5"/>
      <c r="F924" s="5"/>
      <c r="G924" s="5"/>
    </row>
    <row r="925" spans="3:7" ht="13">
      <c r="C925" s="80"/>
      <c r="E925" s="5"/>
      <c r="F925" s="5"/>
      <c r="G925" s="5"/>
    </row>
    <row r="926" spans="3:7" ht="13">
      <c r="C926" s="80"/>
      <c r="E926" s="5"/>
      <c r="F926" s="5"/>
      <c r="G926" s="5"/>
    </row>
    <row r="927" spans="3:7" ht="13">
      <c r="C927" s="80"/>
      <c r="E927" s="5"/>
      <c r="F927" s="5"/>
      <c r="G927" s="5"/>
    </row>
    <row r="928" spans="3:7" ht="13">
      <c r="C928" s="80"/>
      <c r="E928" s="5"/>
      <c r="F928" s="5"/>
      <c r="G928" s="5"/>
    </row>
    <row r="929" spans="3:7" ht="13">
      <c r="C929" s="80"/>
      <c r="E929" s="5"/>
      <c r="F929" s="5"/>
      <c r="G929" s="5"/>
    </row>
    <row r="930" spans="3:7" ht="13">
      <c r="C930" s="80"/>
      <c r="E930" s="5"/>
      <c r="F930" s="5"/>
      <c r="G930" s="5"/>
    </row>
    <row r="931" spans="3:7" ht="13">
      <c r="C931" s="80"/>
      <c r="E931" s="5"/>
      <c r="F931" s="5"/>
      <c r="G931" s="5"/>
    </row>
    <row r="932" spans="3:7" ht="13">
      <c r="C932" s="80"/>
      <c r="E932" s="5"/>
      <c r="F932" s="5"/>
      <c r="G932" s="5"/>
    </row>
    <row r="933" spans="3:7" ht="13">
      <c r="C933" s="80"/>
      <c r="E933" s="5"/>
      <c r="F933" s="5"/>
      <c r="G933" s="5"/>
    </row>
    <row r="934" spans="3:7" ht="13">
      <c r="C934" s="80"/>
      <c r="E934" s="5"/>
      <c r="F934" s="5"/>
      <c r="G934" s="5"/>
    </row>
    <row r="935" spans="3:7" ht="13">
      <c r="C935" s="80"/>
      <c r="E935" s="5"/>
      <c r="F935" s="5"/>
      <c r="G935" s="5"/>
    </row>
    <row r="936" spans="3:7" ht="13">
      <c r="C936" s="80"/>
      <c r="E936" s="5"/>
      <c r="F936" s="5"/>
      <c r="G936" s="5"/>
    </row>
    <row r="937" spans="3:7" ht="13">
      <c r="C937" s="80"/>
      <c r="E937" s="5"/>
      <c r="F937" s="5"/>
      <c r="G937" s="5"/>
    </row>
    <row r="938" spans="3:7" ht="13">
      <c r="C938" s="80"/>
      <c r="E938" s="5"/>
      <c r="F938" s="5"/>
      <c r="G938" s="5"/>
    </row>
    <row r="939" spans="3:7" ht="13">
      <c r="C939" s="80"/>
      <c r="E939" s="5"/>
      <c r="F939" s="5"/>
      <c r="G939" s="5"/>
    </row>
    <row r="940" spans="3:7" ht="13">
      <c r="C940" s="80"/>
      <c r="E940" s="5"/>
      <c r="F940" s="5"/>
      <c r="G940" s="5"/>
    </row>
    <row r="941" spans="3:7" ht="13">
      <c r="C941" s="80"/>
      <c r="E941" s="5"/>
      <c r="F941" s="5"/>
      <c r="G941" s="5"/>
    </row>
    <row r="942" spans="3:7" ht="13">
      <c r="C942" s="80"/>
      <c r="E942" s="5"/>
      <c r="F942" s="5"/>
      <c r="G942" s="5"/>
    </row>
    <row r="943" spans="3:7" ht="13">
      <c r="C943" s="80"/>
      <c r="E943" s="5"/>
      <c r="F943" s="5"/>
      <c r="G943" s="5"/>
    </row>
    <row r="944" spans="3:7" ht="13">
      <c r="C944" s="80"/>
      <c r="E944" s="5"/>
      <c r="F944" s="5"/>
      <c r="G944" s="5"/>
    </row>
    <row r="945" spans="3:7" ht="13">
      <c r="C945" s="80"/>
      <c r="E945" s="5"/>
      <c r="F945" s="5"/>
      <c r="G945" s="5"/>
    </row>
    <row r="946" spans="3:7" ht="13">
      <c r="C946" s="80"/>
      <c r="E946" s="5"/>
      <c r="F946" s="5"/>
      <c r="G946" s="5"/>
    </row>
    <row r="947" spans="3:7" ht="13">
      <c r="C947" s="80"/>
      <c r="E947" s="5"/>
      <c r="F947" s="5"/>
      <c r="G947" s="5"/>
    </row>
    <row r="948" spans="3:7" ht="13">
      <c r="C948" s="80"/>
      <c r="E948" s="5"/>
      <c r="F948" s="5"/>
      <c r="G948" s="5"/>
    </row>
    <row r="949" spans="3:7" ht="13">
      <c r="C949" s="80"/>
      <c r="E949" s="5"/>
      <c r="F949" s="5"/>
      <c r="G949" s="5"/>
    </row>
    <row r="950" spans="3:7" ht="13">
      <c r="C950" s="80"/>
      <c r="E950" s="5"/>
      <c r="F950" s="5"/>
      <c r="G950" s="5"/>
    </row>
    <row r="951" spans="3:7" ht="13">
      <c r="C951" s="80"/>
      <c r="E951" s="5"/>
      <c r="F951" s="5"/>
      <c r="G951" s="5"/>
    </row>
    <row r="952" spans="3:7" ht="13">
      <c r="C952" s="80"/>
      <c r="E952" s="5"/>
      <c r="F952" s="5"/>
      <c r="G952" s="5"/>
    </row>
    <row r="953" spans="3:7" ht="13">
      <c r="C953" s="80"/>
      <c r="E953" s="5"/>
      <c r="F953" s="5"/>
      <c r="G953" s="5"/>
    </row>
    <row r="954" spans="3:7" ht="13">
      <c r="C954" s="80"/>
      <c r="E954" s="5"/>
      <c r="F954" s="5"/>
      <c r="G954" s="5"/>
    </row>
    <row r="955" spans="3:7" ht="13">
      <c r="C955" s="80"/>
      <c r="E955" s="5"/>
      <c r="F955" s="5"/>
      <c r="G955" s="5"/>
    </row>
    <row r="956" spans="3:7" ht="13">
      <c r="C956" s="80"/>
      <c r="E956" s="5"/>
      <c r="F956" s="5"/>
      <c r="G956" s="5"/>
    </row>
    <row r="957" spans="3:7" ht="13">
      <c r="C957" s="80"/>
      <c r="E957" s="5"/>
      <c r="F957" s="5"/>
      <c r="G957" s="5"/>
    </row>
    <row r="958" spans="3:7" ht="13">
      <c r="C958" s="80"/>
      <c r="E958" s="5"/>
      <c r="F958" s="5"/>
      <c r="G958" s="5"/>
    </row>
    <row r="959" spans="3:7" ht="13">
      <c r="C959" s="80"/>
      <c r="E959" s="5"/>
      <c r="F959" s="5"/>
      <c r="G959" s="5"/>
    </row>
    <row r="960" spans="3:7" ht="13">
      <c r="C960" s="80"/>
      <c r="E960" s="5"/>
      <c r="F960" s="5"/>
      <c r="G960" s="5"/>
    </row>
    <row r="961" spans="3:7" ht="13">
      <c r="C961" s="80"/>
      <c r="E961" s="5"/>
      <c r="F961" s="5"/>
      <c r="G961" s="5"/>
    </row>
    <row r="962" spans="3:7" ht="13">
      <c r="C962" s="80"/>
      <c r="E962" s="5"/>
      <c r="F962" s="5"/>
      <c r="G962" s="5"/>
    </row>
    <row r="963" spans="3:7" ht="13">
      <c r="C963" s="80"/>
      <c r="E963" s="5"/>
      <c r="F963" s="5"/>
      <c r="G963" s="5"/>
    </row>
    <row r="964" spans="3:7" ht="13">
      <c r="C964" s="80"/>
      <c r="E964" s="5"/>
      <c r="F964" s="5"/>
      <c r="G964" s="5"/>
    </row>
    <row r="965" spans="3:7" ht="13">
      <c r="C965" s="80"/>
      <c r="E965" s="5"/>
      <c r="F965" s="5"/>
      <c r="G965" s="5"/>
    </row>
    <row r="966" spans="3:7" ht="13">
      <c r="C966" s="80"/>
      <c r="E966" s="5"/>
      <c r="F966" s="5"/>
      <c r="G966" s="5"/>
    </row>
    <row r="967" spans="3:7" ht="13">
      <c r="C967" s="80"/>
      <c r="E967" s="5"/>
      <c r="F967" s="5"/>
      <c r="G967" s="5"/>
    </row>
    <row r="968" spans="3:7" ht="13">
      <c r="C968" s="80"/>
      <c r="E968" s="5"/>
      <c r="F968" s="5"/>
      <c r="G968" s="5"/>
    </row>
    <row r="969" spans="3:7" ht="13">
      <c r="C969" s="80"/>
      <c r="E969" s="5"/>
      <c r="F969" s="5"/>
      <c r="G969" s="5"/>
    </row>
    <row r="970" spans="3:7" ht="13">
      <c r="C970" s="80"/>
      <c r="E970" s="5"/>
      <c r="F970" s="5"/>
      <c r="G970" s="5"/>
    </row>
    <row r="971" spans="3:7" ht="13">
      <c r="C971" s="80"/>
      <c r="E971" s="5"/>
      <c r="F971" s="5"/>
      <c r="G971" s="5"/>
    </row>
    <row r="972" spans="3:7" ht="13">
      <c r="C972" s="80"/>
      <c r="E972" s="5"/>
      <c r="F972" s="5"/>
      <c r="G972" s="5"/>
    </row>
    <row r="973" spans="3:7" ht="13">
      <c r="C973" s="80"/>
      <c r="E973" s="5"/>
      <c r="F973" s="5"/>
      <c r="G973" s="5"/>
    </row>
    <row r="974" spans="3:7" ht="13">
      <c r="C974" s="80"/>
      <c r="E974" s="5"/>
      <c r="F974" s="5"/>
      <c r="G974" s="5"/>
    </row>
    <row r="975" spans="3:7" ht="13">
      <c r="C975" s="80"/>
      <c r="E975" s="5"/>
      <c r="F975" s="5"/>
      <c r="G975" s="5"/>
    </row>
    <row r="976" spans="3:7" ht="13">
      <c r="C976" s="80"/>
      <c r="E976" s="5"/>
      <c r="F976" s="5"/>
      <c r="G976" s="5"/>
    </row>
    <row r="977" spans="3:7" ht="13">
      <c r="C977" s="80"/>
      <c r="E977" s="5"/>
      <c r="F977" s="5"/>
      <c r="G977" s="5"/>
    </row>
    <row r="978" spans="3:7" ht="13">
      <c r="C978" s="80"/>
      <c r="E978" s="5"/>
      <c r="F978" s="5"/>
      <c r="G978" s="5"/>
    </row>
    <row r="979" spans="3:7" ht="13">
      <c r="C979" s="80"/>
      <c r="E979" s="5"/>
      <c r="F979" s="5"/>
      <c r="G979" s="5"/>
    </row>
    <row r="980" spans="3:7" ht="13">
      <c r="C980" s="80"/>
      <c r="E980" s="5"/>
      <c r="F980" s="5"/>
      <c r="G980" s="5"/>
    </row>
    <row r="981" spans="3:7" ht="13">
      <c r="C981" s="80"/>
      <c r="E981" s="5"/>
      <c r="F981" s="5"/>
      <c r="G981" s="5"/>
    </row>
    <row r="982" spans="3:7" ht="13">
      <c r="C982" s="80"/>
      <c r="E982" s="5"/>
      <c r="F982" s="5"/>
      <c r="G982" s="5"/>
    </row>
    <row r="983" spans="3:7" ht="13">
      <c r="C983" s="80"/>
      <c r="E983" s="5"/>
      <c r="F983" s="5"/>
      <c r="G983" s="5"/>
    </row>
    <row r="984" spans="3:7" ht="13">
      <c r="C984" s="80"/>
      <c r="E984" s="5"/>
      <c r="F984" s="5"/>
      <c r="G984" s="5"/>
    </row>
    <row r="985" spans="3:7" ht="13">
      <c r="C985" s="80"/>
      <c r="E985" s="5"/>
      <c r="F985" s="5"/>
      <c r="G985" s="5"/>
    </row>
    <row r="986" spans="3:7" ht="13">
      <c r="C986" s="80"/>
      <c r="E986" s="5"/>
      <c r="F986" s="5"/>
      <c r="G986" s="5"/>
    </row>
    <row r="987" spans="3:7" ht="13">
      <c r="C987" s="80"/>
      <c r="E987" s="5"/>
      <c r="F987" s="5"/>
      <c r="G987" s="5"/>
    </row>
    <row r="988" spans="3:7" ht="13">
      <c r="C988" s="80"/>
      <c r="E988" s="5"/>
      <c r="F988" s="5"/>
      <c r="G988" s="5"/>
    </row>
    <row r="989" spans="3:7" ht="13">
      <c r="C989" s="80"/>
      <c r="E989" s="5"/>
      <c r="F989" s="5"/>
      <c r="G989" s="5"/>
    </row>
    <row r="990" spans="3:7" ht="13">
      <c r="C990" s="80"/>
      <c r="E990" s="5"/>
      <c r="F990" s="5"/>
      <c r="G990" s="5"/>
    </row>
    <row r="991" spans="3:7" ht="13">
      <c r="C991" s="80"/>
      <c r="E991" s="5"/>
      <c r="F991" s="5"/>
      <c r="G991" s="5"/>
    </row>
    <row r="992" spans="3:7" ht="13">
      <c r="C992" s="80"/>
      <c r="E992" s="5"/>
      <c r="F992" s="5"/>
      <c r="G992" s="5"/>
    </row>
    <row r="993" spans="3:7" ht="13">
      <c r="C993" s="80"/>
      <c r="E993" s="5"/>
      <c r="F993" s="5"/>
      <c r="G993" s="5"/>
    </row>
    <row r="994" spans="3:7" ht="13">
      <c r="C994" s="80"/>
      <c r="E994" s="5"/>
      <c r="F994" s="5"/>
      <c r="G994" s="5"/>
    </row>
    <row r="995" spans="3:7" ht="13">
      <c r="C995" s="80"/>
      <c r="E995" s="5"/>
      <c r="F995" s="5"/>
      <c r="G995" s="5"/>
    </row>
    <row r="996" spans="3:7" ht="13">
      <c r="C996" s="80"/>
      <c r="E996" s="5"/>
      <c r="F996" s="5"/>
      <c r="G996" s="5"/>
    </row>
    <row r="997" spans="3:7" ht="13">
      <c r="C997" s="80"/>
      <c r="E997" s="5"/>
      <c r="F997" s="5"/>
      <c r="G997" s="5"/>
    </row>
    <row r="998" spans="3:7" ht="13">
      <c r="C998" s="80"/>
      <c r="E998" s="5"/>
      <c r="F998" s="5"/>
      <c r="G998" s="5"/>
    </row>
    <row r="999" spans="3:7" ht="13">
      <c r="C999" s="80"/>
      <c r="E999" s="5"/>
      <c r="F999" s="5"/>
      <c r="G999" s="5"/>
    </row>
    <row r="1000" spans="3:7" ht="13">
      <c r="C1000" s="80"/>
      <c r="E1000" s="5"/>
      <c r="F1000" s="5"/>
      <c r="G1000" s="5"/>
    </row>
    <row r="1001" spans="3:7" ht="13">
      <c r="C1001" s="80"/>
      <c r="E1001" s="5"/>
      <c r="F1001" s="5"/>
      <c r="G1001" s="5"/>
    </row>
    <row r="1002" spans="3:7" ht="13">
      <c r="C1002" s="80"/>
      <c r="E1002" s="5"/>
      <c r="F1002" s="5"/>
      <c r="G1002" s="5"/>
    </row>
    <row r="1003" spans="3:7" ht="13">
      <c r="C1003" s="80"/>
      <c r="E1003" s="5"/>
      <c r="F1003" s="5"/>
      <c r="G1003" s="5"/>
    </row>
    <row r="1004" spans="3:7" ht="13">
      <c r="C1004" s="80"/>
      <c r="E1004" s="5"/>
      <c r="F1004" s="5"/>
      <c r="G1004" s="5"/>
    </row>
  </sheetData>
  <hyperlinks>
    <hyperlink ref="B5" r:id="rId1" xr:uid="{00000000-0004-0000-5700-000000000000}"/>
    <hyperlink ref="B6" r:id="rId2" xr:uid="{00000000-0004-0000-5700-000001000000}"/>
    <hyperlink ref="B7" r:id="rId3" xr:uid="{00000000-0004-0000-5700-000002000000}"/>
    <hyperlink ref="B8" r:id="rId4" xr:uid="{00000000-0004-0000-5700-000003000000}"/>
    <hyperlink ref="B9" r:id="rId5" xr:uid="{00000000-0004-0000-5700-000004000000}"/>
    <hyperlink ref="B10" r:id="rId6" xr:uid="{00000000-0004-0000-5700-000005000000}"/>
    <hyperlink ref="B11" r:id="rId7" xr:uid="{00000000-0004-0000-5700-000006000000}"/>
    <hyperlink ref="B12" r:id="rId8" xr:uid="{00000000-0004-0000-5700-000007000000}"/>
    <hyperlink ref="B13" r:id="rId9" xr:uid="{00000000-0004-0000-5700-000008000000}"/>
    <hyperlink ref="B15" r:id="rId10" xr:uid="{00000000-0004-0000-5700-000009000000}"/>
    <hyperlink ref="B16" r:id="rId11" xr:uid="{00000000-0004-0000-5700-00000A000000}"/>
    <hyperlink ref="B17" r:id="rId12" xr:uid="{00000000-0004-0000-5700-00000B000000}"/>
    <hyperlink ref="B18" r:id="rId13" xr:uid="{00000000-0004-0000-5700-00000C000000}"/>
    <hyperlink ref="B19" r:id="rId14" xr:uid="{00000000-0004-0000-5700-00000D000000}"/>
    <hyperlink ref="B20" r:id="rId15" xr:uid="{00000000-0004-0000-5700-00000E000000}"/>
    <hyperlink ref="B21" r:id="rId16" xr:uid="{00000000-0004-0000-5700-00000F000000}"/>
    <hyperlink ref="B22" r:id="rId17" xr:uid="{00000000-0004-0000-5700-000010000000}"/>
    <hyperlink ref="B23" r:id="rId18" xr:uid="{00000000-0004-0000-5700-000011000000}"/>
    <hyperlink ref="B24" r:id="rId19" xr:uid="{00000000-0004-0000-5700-000012000000}"/>
    <hyperlink ref="B25" r:id="rId20" xr:uid="{00000000-0004-0000-5700-000013000000}"/>
    <hyperlink ref="B26" r:id="rId21" xr:uid="{00000000-0004-0000-5700-000014000000}"/>
    <hyperlink ref="B27" r:id="rId22" xr:uid="{00000000-0004-0000-5700-000015000000}"/>
    <hyperlink ref="B28" r:id="rId23" xr:uid="{00000000-0004-0000-5700-000016000000}"/>
    <hyperlink ref="B29" r:id="rId24" xr:uid="{00000000-0004-0000-5700-000017000000}"/>
    <hyperlink ref="B30" r:id="rId25" xr:uid="{00000000-0004-0000-5700-000018000000}"/>
    <hyperlink ref="B31" r:id="rId26" xr:uid="{00000000-0004-0000-5700-000019000000}"/>
    <hyperlink ref="B32" r:id="rId27" xr:uid="{00000000-0004-0000-5700-00001A000000}"/>
    <hyperlink ref="B34" r:id="rId28" xr:uid="{00000000-0004-0000-5700-00001B000000}"/>
    <hyperlink ref="B35" r:id="rId29" xr:uid="{00000000-0004-0000-5700-00001C000000}"/>
    <hyperlink ref="B36" r:id="rId30" xr:uid="{00000000-0004-0000-5700-00001D000000}"/>
    <hyperlink ref="B37" r:id="rId31" xr:uid="{00000000-0004-0000-5700-00001E000000}"/>
    <hyperlink ref="B38" r:id="rId32" xr:uid="{00000000-0004-0000-5700-00001F000000}"/>
    <hyperlink ref="B39" r:id="rId33" xr:uid="{00000000-0004-0000-5700-000020000000}"/>
    <hyperlink ref="B40" r:id="rId34" xr:uid="{00000000-0004-0000-5700-000021000000}"/>
    <hyperlink ref="B41" r:id="rId35" xr:uid="{00000000-0004-0000-5700-000022000000}"/>
    <hyperlink ref="B42" r:id="rId36" xr:uid="{00000000-0004-0000-5700-000023000000}"/>
    <hyperlink ref="B44" r:id="rId37" xr:uid="{00000000-0004-0000-5700-000024000000}"/>
    <hyperlink ref="B45" r:id="rId38" xr:uid="{00000000-0004-0000-5700-000025000000}"/>
    <hyperlink ref="B46" r:id="rId39" xr:uid="{00000000-0004-0000-5700-000026000000}"/>
    <hyperlink ref="B47" r:id="rId40" xr:uid="{00000000-0004-0000-5700-000027000000}"/>
    <hyperlink ref="B48" r:id="rId41" xr:uid="{00000000-0004-0000-5700-000028000000}"/>
    <hyperlink ref="B49" r:id="rId42" xr:uid="{00000000-0004-0000-5700-000029000000}"/>
    <hyperlink ref="B50" r:id="rId43" xr:uid="{00000000-0004-0000-5700-00002A000000}"/>
    <hyperlink ref="B51" r:id="rId44" xr:uid="{00000000-0004-0000-5700-00002B000000}"/>
    <hyperlink ref="B52" r:id="rId45" xr:uid="{00000000-0004-0000-5700-00002C000000}"/>
    <hyperlink ref="B53" r:id="rId46" xr:uid="{00000000-0004-0000-5700-00002D000000}"/>
    <hyperlink ref="B54" r:id="rId47" xr:uid="{00000000-0004-0000-5700-00002E000000}"/>
    <hyperlink ref="B55" r:id="rId48" xr:uid="{00000000-0004-0000-5700-00002F000000}"/>
    <hyperlink ref="B56" r:id="rId49" xr:uid="{00000000-0004-0000-5700-000030000000}"/>
    <hyperlink ref="B58" r:id="rId50" xr:uid="{00000000-0004-0000-5700-000031000000}"/>
    <hyperlink ref="B59" r:id="rId51" xr:uid="{00000000-0004-0000-5700-000032000000}"/>
    <hyperlink ref="B60" r:id="rId52" xr:uid="{00000000-0004-0000-5700-000033000000}"/>
    <hyperlink ref="B61" r:id="rId53" xr:uid="{00000000-0004-0000-5700-000034000000}"/>
    <hyperlink ref="B62" r:id="rId54" xr:uid="{00000000-0004-0000-5700-000035000000}"/>
    <hyperlink ref="B63" r:id="rId55" xr:uid="{00000000-0004-0000-5700-000036000000}"/>
    <hyperlink ref="B64" r:id="rId56" xr:uid="{00000000-0004-0000-5700-000037000000}"/>
    <hyperlink ref="B65" r:id="rId57" xr:uid="{00000000-0004-0000-5700-000038000000}"/>
    <hyperlink ref="B66" r:id="rId58" xr:uid="{00000000-0004-0000-5700-000039000000}"/>
    <hyperlink ref="B67" r:id="rId59" xr:uid="{00000000-0004-0000-5700-00003A000000}"/>
    <hyperlink ref="B68" r:id="rId60" xr:uid="{00000000-0004-0000-5700-00003B000000}"/>
    <hyperlink ref="B69" r:id="rId61" xr:uid="{00000000-0004-0000-5700-00003C000000}"/>
    <hyperlink ref="B70" r:id="rId62" xr:uid="{00000000-0004-0000-5700-00003D000000}"/>
    <hyperlink ref="B71" r:id="rId63" xr:uid="{00000000-0004-0000-5700-00003E000000}"/>
    <hyperlink ref="B72" r:id="rId64" xr:uid="{00000000-0004-0000-5700-00003F000000}"/>
    <hyperlink ref="B73" r:id="rId65" xr:uid="{00000000-0004-0000-5700-000040000000}"/>
    <hyperlink ref="B74" r:id="rId66" xr:uid="{00000000-0004-0000-5700-000041000000}"/>
    <hyperlink ref="B75" r:id="rId67" xr:uid="{00000000-0004-0000-5700-000042000000}"/>
    <hyperlink ref="B78" r:id="rId68" xr:uid="{00000000-0004-0000-5700-000043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89">
    <outlinePr summaryBelow="0" summaryRight="0"/>
  </sheetPr>
  <dimension ref="A1:Z1003"/>
  <sheetViews>
    <sheetView workbookViewId="0">
      <pane ySplit="4" topLeftCell="A5" activePane="bottomLeft" state="frozen"/>
      <selection pane="bottomLeft" activeCell="B6" sqref="B6"/>
    </sheetView>
  </sheetViews>
  <sheetFormatPr baseColWidth="10" defaultColWidth="12.6640625" defaultRowHeight="15.75" customHeight="1"/>
  <cols>
    <col min="2" max="2" width="16.33203125" customWidth="1"/>
    <col min="3" max="3" width="9.6640625" customWidth="1"/>
    <col min="4" max="4" width="14.83203125" customWidth="1"/>
    <col min="5" max="5" width="14.33203125" customWidth="1"/>
    <col min="7" max="7" width="14.1640625" customWidth="1"/>
  </cols>
  <sheetData>
    <row r="1" spans="1:10" ht="15.75" customHeight="1">
      <c r="A1" s="1" t="s">
        <v>97</v>
      </c>
      <c r="C1" s="80"/>
      <c r="D1" s="81" t="s">
        <v>181</v>
      </c>
      <c r="E1" s="5"/>
      <c r="F1" s="5"/>
      <c r="G1" s="5"/>
    </row>
    <row r="2" spans="1:10" ht="15.75" customHeight="1">
      <c r="A2" s="7" t="s">
        <v>182</v>
      </c>
      <c r="B2" s="123">
        <v>43042</v>
      </c>
      <c r="C2" s="80"/>
      <c r="D2" s="82">
        <f>SUM(D5:G129)</f>
        <v>0</v>
      </c>
      <c r="E2" s="5"/>
      <c r="F2" s="5"/>
      <c r="G2" s="5"/>
    </row>
    <row r="3" spans="1:10" ht="15.75" customHeight="1">
      <c r="C3" s="80"/>
      <c r="D3" s="5"/>
      <c r="E3" s="5"/>
      <c r="F3" s="5"/>
      <c r="G3" s="5"/>
    </row>
    <row r="4" spans="1:10" ht="15.75" customHeight="1">
      <c r="A4" s="42" t="s">
        <v>183</v>
      </c>
      <c r="B4" s="42" t="s">
        <v>184</v>
      </c>
      <c r="C4" s="42" t="s">
        <v>185</v>
      </c>
      <c r="D4" s="83" t="s">
        <v>186</v>
      </c>
      <c r="E4" s="84" t="s">
        <v>187</v>
      </c>
      <c r="F4" s="84" t="s">
        <v>188</v>
      </c>
      <c r="G4" s="85" t="s">
        <v>189</v>
      </c>
      <c r="H4" s="84" t="s">
        <v>190</v>
      </c>
      <c r="I4" s="85"/>
    </row>
    <row r="5" spans="1:10" ht="15.75" customHeight="1">
      <c r="A5" s="48" t="s">
        <v>765</v>
      </c>
      <c r="B5" s="49" t="s">
        <v>300</v>
      </c>
      <c r="C5" s="48" t="s">
        <v>205</v>
      </c>
      <c r="D5" s="86"/>
      <c r="E5" s="87"/>
      <c r="F5" s="87"/>
      <c r="G5" s="87"/>
      <c r="H5" s="88"/>
      <c r="I5" s="88"/>
      <c r="J5" s="88"/>
    </row>
    <row r="6" spans="1:10" ht="15.75" customHeight="1">
      <c r="A6" s="48" t="s">
        <v>767</v>
      </c>
      <c r="B6" s="49" t="s">
        <v>266</v>
      </c>
      <c r="C6" s="48" t="s">
        <v>205</v>
      </c>
      <c r="D6" s="48"/>
      <c r="E6" s="51"/>
      <c r="F6" s="5"/>
      <c r="G6" s="5"/>
      <c r="J6" s="88"/>
    </row>
    <row r="7" spans="1:10" ht="15.75" customHeight="1">
      <c r="A7" s="48" t="s">
        <v>769</v>
      </c>
      <c r="B7" s="49" t="s">
        <v>253</v>
      </c>
      <c r="C7" s="48" t="s">
        <v>205</v>
      </c>
      <c r="D7" s="47"/>
      <c r="E7" s="5"/>
      <c r="F7" s="5"/>
      <c r="G7" s="5"/>
    </row>
    <row r="8" spans="1:10" ht="15.75" customHeight="1">
      <c r="A8" s="48" t="s">
        <v>771</v>
      </c>
      <c r="B8" s="49" t="s">
        <v>348</v>
      </c>
      <c r="C8" s="48" t="s">
        <v>205</v>
      </c>
      <c r="D8" s="48"/>
      <c r="E8" s="51"/>
      <c r="F8" s="5"/>
      <c r="G8" s="5"/>
    </row>
    <row r="9" spans="1:10" ht="15.75" customHeight="1">
      <c r="A9" s="48" t="s">
        <v>773</v>
      </c>
      <c r="B9" s="49" t="s">
        <v>1432</v>
      </c>
      <c r="C9" s="48" t="s">
        <v>205</v>
      </c>
      <c r="D9" s="48"/>
      <c r="E9" s="5"/>
      <c r="F9" s="5"/>
      <c r="G9" s="5"/>
    </row>
    <row r="10" spans="1:10" ht="15.75" customHeight="1">
      <c r="A10" s="48" t="s">
        <v>774</v>
      </c>
      <c r="B10" s="49" t="s">
        <v>1357</v>
      </c>
      <c r="C10" s="48" t="s">
        <v>205</v>
      </c>
      <c r="D10" s="48"/>
      <c r="E10" s="5"/>
      <c r="F10" s="5"/>
      <c r="G10" s="5"/>
    </row>
    <row r="11" spans="1:10" ht="15.75" customHeight="1">
      <c r="A11" s="48" t="s">
        <v>776</v>
      </c>
      <c r="B11" s="49" t="s">
        <v>4047</v>
      </c>
      <c r="C11" s="48" t="s">
        <v>205</v>
      </c>
      <c r="D11" s="48"/>
      <c r="E11" s="51"/>
      <c r="F11" s="5"/>
      <c r="G11" s="5"/>
    </row>
    <row r="12" spans="1:10" ht="15.75" customHeight="1">
      <c r="A12" s="48" t="s">
        <v>778</v>
      </c>
      <c r="B12" s="49" t="s">
        <v>4050</v>
      </c>
      <c r="C12" s="48" t="s">
        <v>205</v>
      </c>
      <c r="D12" s="48"/>
      <c r="E12" s="5"/>
      <c r="F12" s="5"/>
      <c r="G12" s="5"/>
    </row>
    <row r="13" spans="1:10" ht="15.75" customHeight="1">
      <c r="A13" s="48" t="s">
        <v>780</v>
      </c>
      <c r="B13" s="49" t="s">
        <v>4051</v>
      </c>
      <c r="C13" s="48" t="s">
        <v>205</v>
      </c>
      <c r="D13" s="48"/>
      <c r="E13" s="5"/>
      <c r="F13" s="5"/>
      <c r="G13" s="5"/>
    </row>
    <row r="14" spans="1:10" ht="15.75" customHeight="1">
      <c r="A14" s="48" t="s">
        <v>782</v>
      </c>
      <c r="B14" s="49" t="s">
        <v>4753</v>
      </c>
      <c r="C14" s="48" t="s">
        <v>205</v>
      </c>
      <c r="D14" s="48"/>
      <c r="E14" s="5"/>
      <c r="F14" s="5"/>
      <c r="G14" s="5"/>
    </row>
    <row r="15" spans="1:10" ht="15.75" customHeight="1">
      <c r="A15" s="48" t="s">
        <v>784</v>
      </c>
      <c r="B15" s="49" t="s">
        <v>4762</v>
      </c>
      <c r="C15" s="48" t="s">
        <v>205</v>
      </c>
      <c r="D15" s="48"/>
      <c r="E15" s="5"/>
      <c r="F15" s="5"/>
      <c r="G15" s="5"/>
    </row>
    <row r="16" spans="1:10" ht="15.75" customHeight="1">
      <c r="A16" s="48" t="s">
        <v>785</v>
      </c>
      <c r="B16" s="49" t="s">
        <v>6865</v>
      </c>
      <c r="C16" s="48" t="s">
        <v>199</v>
      </c>
      <c r="D16" s="47"/>
      <c r="E16" s="5"/>
      <c r="F16" s="5"/>
      <c r="G16" s="5"/>
    </row>
    <row r="17" spans="1:7" ht="15.75" customHeight="1">
      <c r="A17" s="48" t="s">
        <v>786</v>
      </c>
      <c r="B17" s="49" t="s">
        <v>1300</v>
      </c>
      <c r="C17" s="48" t="s">
        <v>199</v>
      </c>
      <c r="D17" s="48"/>
      <c r="E17" s="5"/>
      <c r="F17" s="5"/>
      <c r="G17" s="5"/>
    </row>
    <row r="18" spans="1:7" ht="15.75" customHeight="1">
      <c r="A18" s="48" t="s">
        <v>788</v>
      </c>
      <c r="B18" s="49" t="s">
        <v>1214</v>
      </c>
      <c r="C18" s="48" t="s">
        <v>199</v>
      </c>
      <c r="D18" s="47"/>
      <c r="E18" s="5"/>
      <c r="F18" s="5"/>
      <c r="G18" s="5"/>
    </row>
    <row r="19" spans="1:7" ht="15.75" customHeight="1">
      <c r="A19" s="48" t="s">
        <v>790</v>
      </c>
      <c r="B19" s="49" t="s">
        <v>296</v>
      </c>
      <c r="C19" s="48" t="s">
        <v>208</v>
      </c>
      <c r="D19" s="48"/>
      <c r="E19" s="5"/>
      <c r="F19" s="5"/>
      <c r="G19" s="5"/>
    </row>
    <row r="20" spans="1:7" ht="15.75" customHeight="1">
      <c r="A20" s="48" t="s">
        <v>792</v>
      </c>
      <c r="B20" s="49" t="s">
        <v>295</v>
      </c>
      <c r="C20" s="48" t="s">
        <v>208</v>
      </c>
      <c r="D20" s="48"/>
      <c r="E20" s="51"/>
      <c r="F20" s="5"/>
      <c r="G20" s="5"/>
    </row>
    <row r="21" spans="1:7" ht="15.75" customHeight="1">
      <c r="A21" s="48" t="s">
        <v>794</v>
      </c>
      <c r="B21" s="49" t="s">
        <v>268</v>
      </c>
      <c r="C21" s="48" t="s">
        <v>208</v>
      </c>
      <c r="D21" s="48"/>
      <c r="E21" s="51"/>
      <c r="F21" s="5"/>
      <c r="G21" s="5"/>
    </row>
    <row r="22" spans="1:7" ht="15.75" customHeight="1">
      <c r="A22" s="48" t="s">
        <v>796</v>
      </c>
      <c r="B22" s="58" t="str">
        <f>HYPERLINK("https://bulbapedia.bulbagarden.net/wiki/Gyarados-GX_(Crimson_Invasion_18)","GyaradosGX")</f>
        <v>GyaradosGX</v>
      </c>
      <c r="C22" s="48" t="s">
        <v>208</v>
      </c>
      <c r="D22" s="47"/>
      <c r="E22" s="5"/>
      <c r="F22" s="5"/>
      <c r="G22" s="5"/>
    </row>
    <row r="23" spans="1:7" ht="15.75" customHeight="1">
      <c r="A23" s="48" t="s">
        <v>797</v>
      </c>
      <c r="B23" s="49" t="s">
        <v>901</v>
      </c>
      <c r="C23" s="48" t="s">
        <v>208</v>
      </c>
      <c r="D23" s="48"/>
      <c r="E23" s="51"/>
      <c r="F23" s="5"/>
      <c r="G23" s="5"/>
    </row>
    <row r="24" spans="1:7" ht="15.75" customHeight="1">
      <c r="A24" s="48" t="s">
        <v>799</v>
      </c>
      <c r="B24" s="49" t="s">
        <v>842</v>
      </c>
      <c r="C24" s="48" t="s">
        <v>208</v>
      </c>
      <c r="D24" s="48"/>
      <c r="E24" s="5"/>
      <c r="F24" s="5"/>
      <c r="G24" s="5"/>
    </row>
    <row r="25" spans="1:7" ht="15.75" customHeight="1">
      <c r="A25" s="48" t="s">
        <v>800</v>
      </c>
      <c r="B25" s="49" t="s">
        <v>3381</v>
      </c>
      <c r="C25" s="48" t="s">
        <v>208</v>
      </c>
      <c r="D25" s="48"/>
      <c r="E25" s="5"/>
      <c r="F25" s="5"/>
      <c r="G25" s="5"/>
    </row>
    <row r="26" spans="1:7" ht="15.75" customHeight="1">
      <c r="A26" s="48" t="s">
        <v>802</v>
      </c>
      <c r="B26" s="49" t="s">
        <v>979</v>
      </c>
      <c r="C26" s="48" t="s">
        <v>208</v>
      </c>
      <c r="D26" s="48"/>
      <c r="E26" s="5"/>
      <c r="F26" s="5"/>
      <c r="G26" s="5"/>
    </row>
    <row r="27" spans="1:7" ht="15.75" customHeight="1">
      <c r="A27" s="48" t="s">
        <v>804</v>
      </c>
      <c r="B27" s="49" t="s">
        <v>975</v>
      </c>
      <c r="C27" s="48" t="s">
        <v>208</v>
      </c>
      <c r="D27" s="47"/>
      <c r="E27" s="5"/>
      <c r="F27" s="5"/>
      <c r="G27" s="5"/>
    </row>
    <row r="28" spans="1:7" ht="15.75" customHeight="1">
      <c r="A28" s="48" t="s">
        <v>806</v>
      </c>
      <c r="B28" s="49" t="s">
        <v>1561</v>
      </c>
      <c r="C28" s="48" t="s">
        <v>208</v>
      </c>
      <c r="D28" s="47"/>
      <c r="E28" s="5"/>
      <c r="F28" s="5"/>
      <c r="G28" s="5"/>
    </row>
    <row r="29" spans="1:7" ht="15.75" customHeight="1">
      <c r="A29" s="48" t="s">
        <v>809</v>
      </c>
      <c r="B29" s="49" t="s">
        <v>1495</v>
      </c>
      <c r="C29" s="48" t="s">
        <v>208</v>
      </c>
      <c r="D29" s="48"/>
      <c r="E29" s="51"/>
      <c r="F29" s="5"/>
      <c r="G29" s="5"/>
    </row>
    <row r="30" spans="1:7" ht="15.75" customHeight="1">
      <c r="A30" s="48" t="s">
        <v>811</v>
      </c>
      <c r="B30" s="49" t="s">
        <v>1873</v>
      </c>
      <c r="C30" s="48" t="s">
        <v>208</v>
      </c>
      <c r="D30" s="47"/>
      <c r="E30" s="51"/>
      <c r="F30" s="5"/>
      <c r="G30" s="5"/>
    </row>
    <row r="31" spans="1:7" ht="15.75" customHeight="1">
      <c r="A31" s="48" t="s">
        <v>813</v>
      </c>
      <c r="B31" s="49" t="s">
        <v>1806</v>
      </c>
      <c r="C31" s="48" t="s">
        <v>208</v>
      </c>
      <c r="D31" s="47"/>
      <c r="E31" s="5"/>
      <c r="F31" s="5"/>
      <c r="G31" s="5"/>
    </row>
    <row r="32" spans="1:7" ht="15.75" customHeight="1">
      <c r="A32" s="48" t="s">
        <v>815</v>
      </c>
      <c r="B32" s="49" t="s">
        <v>2779</v>
      </c>
      <c r="C32" s="48" t="s">
        <v>208</v>
      </c>
      <c r="D32" s="48"/>
      <c r="E32" s="5"/>
      <c r="F32" s="51"/>
      <c r="G32" s="5"/>
    </row>
    <row r="33" spans="1:7" ht="15.75" customHeight="1">
      <c r="A33" s="48" t="s">
        <v>817</v>
      </c>
      <c r="B33" s="49" t="s">
        <v>6066</v>
      </c>
      <c r="C33" s="48" t="s">
        <v>208</v>
      </c>
      <c r="D33" s="47"/>
      <c r="E33" s="5"/>
      <c r="F33" s="5"/>
      <c r="G33" s="5"/>
    </row>
    <row r="34" spans="1:7" ht="15.75" customHeight="1">
      <c r="A34" s="48" t="s">
        <v>818</v>
      </c>
      <c r="B34" s="49" t="s">
        <v>191</v>
      </c>
      <c r="C34" s="48" t="s">
        <v>192</v>
      </c>
      <c r="D34" s="48"/>
      <c r="E34" s="5"/>
      <c r="F34" s="5"/>
      <c r="G34" s="5"/>
    </row>
    <row r="35" spans="1:7" ht="15.75" customHeight="1">
      <c r="A35" s="48" t="s">
        <v>819</v>
      </c>
      <c r="B35" s="49" t="s">
        <v>6264</v>
      </c>
      <c r="C35" s="48" t="s">
        <v>192</v>
      </c>
      <c r="D35" s="47"/>
      <c r="E35" s="5"/>
      <c r="F35" s="5"/>
      <c r="G35" s="5"/>
    </row>
    <row r="36" spans="1:7" ht="15.75" customHeight="1">
      <c r="A36" s="48" t="s">
        <v>821</v>
      </c>
      <c r="B36" s="49" t="s">
        <v>6574</v>
      </c>
      <c r="C36" s="48" t="s">
        <v>192</v>
      </c>
      <c r="D36" s="48"/>
      <c r="E36" s="5"/>
      <c r="F36" s="5"/>
      <c r="G36" s="5"/>
    </row>
    <row r="37" spans="1:7" ht="15.75" customHeight="1">
      <c r="A37" s="48" t="s">
        <v>822</v>
      </c>
      <c r="B37" s="49" t="s">
        <v>6576</v>
      </c>
      <c r="C37" s="48" t="s">
        <v>192</v>
      </c>
      <c r="D37" s="48"/>
      <c r="E37" s="5"/>
      <c r="F37" s="5"/>
      <c r="G37" s="5"/>
    </row>
    <row r="38" spans="1:7" ht="15.75" customHeight="1">
      <c r="A38" s="48" t="s">
        <v>823</v>
      </c>
      <c r="B38" s="58" t="str">
        <f>HYPERLINK("https://bulbapedia.bulbagarden.net/wiki/Alolan_Golem-GX_(Crimson_Invasion_34)","Alolan GolemGX")</f>
        <v>Alolan GolemGX</v>
      </c>
      <c r="C38" s="48" t="s">
        <v>192</v>
      </c>
      <c r="D38" s="47"/>
      <c r="E38" s="5"/>
      <c r="F38" s="5"/>
      <c r="G38" s="5"/>
    </row>
    <row r="39" spans="1:7" ht="15.75" customHeight="1">
      <c r="A39" s="48" t="s">
        <v>825</v>
      </c>
      <c r="B39" s="49" t="s">
        <v>4072</v>
      </c>
      <c r="C39" s="48" t="s">
        <v>192</v>
      </c>
      <c r="D39" s="48"/>
      <c r="E39" s="5"/>
      <c r="F39" s="5"/>
      <c r="G39" s="5"/>
    </row>
    <row r="40" spans="1:7" ht="15.75" customHeight="1">
      <c r="A40" s="48" t="s">
        <v>827</v>
      </c>
      <c r="B40" s="49" t="s">
        <v>282</v>
      </c>
      <c r="C40" s="48" t="s">
        <v>195</v>
      </c>
      <c r="D40" s="48"/>
      <c r="E40" s="51"/>
      <c r="F40" s="5"/>
      <c r="G40" s="5"/>
    </row>
    <row r="41" spans="1:7" ht="15.75" customHeight="1">
      <c r="A41" s="48" t="s">
        <v>828</v>
      </c>
      <c r="B41" s="49" t="s">
        <v>263</v>
      </c>
      <c r="C41" s="48" t="s">
        <v>195</v>
      </c>
      <c r="D41" s="48"/>
      <c r="E41" s="5"/>
      <c r="F41" s="5"/>
      <c r="G41" s="5"/>
    </row>
    <row r="42" spans="1:7" ht="15.75" customHeight="1">
      <c r="A42" s="48" t="s">
        <v>830</v>
      </c>
      <c r="B42" s="49" t="s">
        <v>360</v>
      </c>
      <c r="C42" s="48" t="s">
        <v>195</v>
      </c>
      <c r="D42" s="47"/>
      <c r="E42" s="5"/>
      <c r="F42" s="5"/>
      <c r="G42" s="5"/>
    </row>
    <row r="43" spans="1:7" ht="15.75" customHeight="1">
      <c r="A43" s="48" t="s">
        <v>832</v>
      </c>
      <c r="B43" s="49" t="s">
        <v>227</v>
      </c>
      <c r="C43" s="48" t="s">
        <v>195</v>
      </c>
      <c r="D43" s="48"/>
      <c r="E43" s="5"/>
      <c r="F43" s="5"/>
      <c r="G43" s="5"/>
    </row>
    <row r="44" spans="1:7" ht="15.75" customHeight="1">
      <c r="A44" s="48" t="s">
        <v>834</v>
      </c>
      <c r="B44" s="49" t="s">
        <v>3116</v>
      </c>
      <c r="C44" s="48" t="s">
        <v>195</v>
      </c>
      <c r="D44" s="48"/>
      <c r="E44" s="5"/>
      <c r="F44" s="5"/>
      <c r="G44" s="5"/>
    </row>
    <row r="45" spans="1:7" ht="15.75" customHeight="1">
      <c r="A45" s="48" t="s">
        <v>835</v>
      </c>
      <c r="B45" s="49" t="s">
        <v>1584</v>
      </c>
      <c r="C45" s="48" t="s">
        <v>195</v>
      </c>
      <c r="D45" s="48"/>
      <c r="E45" s="5"/>
      <c r="F45" s="5"/>
      <c r="G45" s="5"/>
    </row>
    <row r="46" spans="1:7" ht="15.75" customHeight="1">
      <c r="A46" s="48" t="s">
        <v>837</v>
      </c>
      <c r="B46" s="49" t="s">
        <v>1499</v>
      </c>
      <c r="C46" s="48" t="s">
        <v>195</v>
      </c>
      <c r="D46" s="48"/>
      <c r="E46" s="5"/>
      <c r="F46" s="5"/>
      <c r="G46" s="5"/>
    </row>
    <row r="47" spans="1:7" ht="15.75" customHeight="1">
      <c r="A47" s="48" t="s">
        <v>839</v>
      </c>
      <c r="B47" s="49" t="s">
        <v>1199</v>
      </c>
      <c r="C47" s="48" t="s">
        <v>195</v>
      </c>
      <c r="D47" s="48"/>
      <c r="E47" s="5"/>
      <c r="F47" s="5"/>
      <c r="G47" s="5"/>
    </row>
    <row r="48" spans="1:7" ht="15.75" customHeight="1">
      <c r="A48" s="48" t="s">
        <v>841</v>
      </c>
      <c r="B48" s="49" t="s">
        <v>5043</v>
      </c>
      <c r="C48" s="48" t="s">
        <v>195</v>
      </c>
      <c r="D48" s="48"/>
      <c r="E48" s="51"/>
      <c r="F48" s="5"/>
      <c r="G48" s="5"/>
    </row>
    <row r="49" spans="1:7" ht="15.75" customHeight="1">
      <c r="A49" s="48" t="s">
        <v>843</v>
      </c>
      <c r="B49" s="49" t="s">
        <v>5044</v>
      </c>
      <c r="C49" s="48" t="s">
        <v>195</v>
      </c>
      <c r="D49" s="47"/>
      <c r="E49" s="5"/>
      <c r="F49" s="5"/>
      <c r="G49" s="5"/>
    </row>
    <row r="50" spans="1:7" ht="15.75" customHeight="1">
      <c r="A50" s="48" t="s">
        <v>845</v>
      </c>
      <c r="B50" s="49" t="s">
        <v>6366</v>
      </c>
      <c r="C50" s="48" t="s">
        <v>195</v>
      </c>
      <c r="D50" s="48"/>
      <c r="E50" s="5"/>
      <c r="F50" s="5"/>
      <c r="G50" s="5"/>
    </row>
    <row r="51" spans="1:7" ht="15.75" customHeight="1">
      <c r="A51" s="48" t="s">
        <v>847</v>
      </c>
      <c r="B51" s="49" t="s">
        <v>6545</v>
      </c>
      <c r="C51" s="48" t="s">
        <v>195</v>
      </c>
      <c r="D51" s="48"/>
      <c r="E51" s="5"/>
      <c r="F51" s="51"/>
      <c r="G51" s="5"/>
    </row>
    <row r="52" spans="1:7" ht="15.75" customHeight="1">
      <c r="A52" s="48" t="s">
        <v>848</v>
      </c>
      <c r="B52" s="49" t="s">
        <v>6505</v>
      </c>
      <c r="C52" s="48" t="s">
        <v>195</v>
      </c>
      <c r="D52" s="48"/>
      <c r="E52" s="5"/>
      <c r="F52" s="5"/>
      <c r="G52" s="5"/>
    </row>
    <row r="53" spans="1:7" ht="13">
      <c r="A53" s="48" t="s">
        <v>849</v>
      </c>
      <c r="B53" s="58" t="str">
        <f>HYPERLINK("https://bulbapedia.bulbagarden.net/wiki/Nihilego-GX_(Crimson_Invasion_49)","NihilegoGX")</f>
        <v>NihilegoGX</v>
      </c>
      <c r="C53" s="48" t="s">
        <v>195</v>
      </c>
      <c r="D53" s="47"/>
      <c r="E53" s="5"/>
      <c r="F53" s="5"/>
      <c r="G53" s="5"/>
    </row>
    <row r="54" spans="1:7" ht="13">
      <c r="A54" s="48" t="s">
        <v>851</v>
      </c>
      <c r="B54" s="49" t="s">
        <v>350</v>
      </c>
      <c r="C54" s="48" t="s">
        <v>225</v>
      </c>
      <c r="D54" s="48"/>
      <c r="E54" s="5"/>
      <c r="F54" s="5"/>
      <c r="G54" s="5"/>
    </row>
    <row r="55" spans="1:7" ht="13">
      <c r="A55" s="48" t="s">
        <v>853</v>
      </c>
      <c r="B55" s="49" t="s">
        <v>341</v>
      </c>
      <c r="C55" s="48" t="s">
        <v>225</v>
      </c>
      <c r="D55" s="48"/>
      <c r="E55" s="51"/>
      <c r="F55" s="5"/>
      <c r="G55" s="5"/>
    </row>
    <row r="56" spans="1:7" ht="13">
      <c r="A56" s="48" t="s">
        <v>854</v>
      </c>
      <c r="B56" s="49" t="s">
        <v>347</v>
      </c>
      <c r="C56" s="48" t="s">
        <v>225</v>
      </c>
      <c r="D56" s="48"/>
      <c r="E56" s="51"/>
      <c r="F56" s="5"/>
      <c r="G56" s="5"/>
    </row>
    <row r="57" spans="1:7" ht="13">
      <c r="A57" s="48" t="s">
        <v>856</v>
      </c>
      <c r="B57" s="49" t="s">
        <v>2780</v>
      </c>
      <c r="C57" s="48" t="s">
        <v>225</v>
      </c>
      <c r="D57" s="48"/>
      <c r="E57" s="51"/>
      <c r="F57" s="5"/>
      <c r="G57" s="51"/>
    </row>
    <row r="58" spans="1:7" ht="13">
      <c r="A58" s="48" t="s">
        <v>858</v>
      </c>
      <c r="B58" s="49" t="s">
        <v>6068</v>
      </c>
      <c r="C58" s="48" t="s">
        <v>225</v>
      </c>
      <c r="D58" s="48"/>
      <c r="E58" s="5"/>
      <c r="F58" s="5"/>
      <c r="G58" s="5"/>
    </row>
    <row r="59" spans="1:7" ht="13">
      <c r="A59" s="48" t="s">
        <v>859</v>
      </c>
      <c r="B59" s="49" t="s">
        <v>6503</v>
      </c>
      <c r="C59" s="48" t="s">
        <v>225</v>
      </c>
      <c r="D59" s="48"/>
      <c r="E59" s="51"/>
      <c r="F59" s="5"/>
      <c r="G59" s="5"/>
    </row>
    <row r="60" spans="1:7" ht="13">
      <c r="A60" s="48" t="s">
        <v>861</v>
      </c>
      <c r="B60" s="49" t="s">
        <v>6504</v>
      </c>
      <c r="C60" s="48" t="s">
        <v>225</v>
      </c>
      <c r="D60" s="47"/>
      <c r="E60" s="5"/>
      <c r="F60" s="5"/>
      <c r="G60" s="5"/>
    </row>
    <row r="61" spans="1:7" ht="13">
      <c r="A61" s="48" t="s">
        <v>863</v>
      </c>
      <c r="B61" s="58" t="str">
        <f>HYPERLINK("https://bulbapedia.bulbagarden.net/wiki/Buzzwole-GX_(Crimson_Invasion_57)","BuzzwoleGX")</f>
        <v>BuzzwoleGX</v>
      </c>
      <c r="C61" s="48" t="s">
        <v>225</v>
      </c>
      <c r="D61" s="47"/>
      <c r="E61" s="5"/>
      <c r="F61" s="5"/>
      <c r="G61" s="5"/>
    </row>
    <row r="62" spans="1:7" ht="13">
      <c r="A62" s="48" t="s">
        <v>864</v>
      </c>
      <c r="B62" s="49" t="s">
        <v>939</v>
      </c>
      <c r="C62" s="48" t="s">
        <v>808</v>
      </c>
      <c r="D62" s="48"/>
      <c r="E62" s="5"/>
      <c r="F62" s="5"/>
      <c r="G62" s="5"/>
    </row>
    <row r="63" spans="1:7" ht="13">
      <c r="A63" s="48" t="s">
        <v>866</v>
      </c>
      <c r="B63" s="49" t="s">
        <v>938</v>
      </c>
      <c r="C63" s="48" t="s">
        <v>808</v>
      </c>
      <c r="D63" s="47"/>
      <c r="E63" s="5"/>
      <c r="F63" s="5"/>
      <c r="G63" s="5"/>
    </row>
    <row r="64" spans="1:7" ht="13">
      <c r="A64" s="48" t="s">
        <v>868</v>
      </c>
      <c r="B64" s="49" t="s">
        <v>4103</v>
      </c>
      <c r="C64" s="48" t="s">
        <v>808</v>
      </c>
      <c r="D64" s="48"/>
      <c r="E64" s="5"/>
      <c r="F64" s="5"/>
      <c r="G64" s="5"/>
    </row>
    <row r="65" spans="1:7" ht="13">
      <c r="A65" s="48" t="s">
        <v>870</v>
      </c>
      <c r="B65" s="49" t="s">
        <v>4104</v>
      </c>
      <c r="C65" s="48" t="s">
        <v>808</v>
      </c>
      <c r="D65" s="48"/>
      <c r="E65" s="5"/>
      <c r="F65" s="5"/>
      <c r="G65" s="5"/>
    </row>
    <row r="66" spans="1:7" ht="13">
      <c r="A66" s="48" t="s">
        <v>872</v>
      </c>
      <c r="B66" s="49" t="s">
        <v>4105</v>
      </c>
      <c r="C66" s="48" t="s">
        <v>808</v>
      </c>
      <c r="D66" s="48"/>
      <c r="E66" s="5"/>
      <c r="F66" s="5"/>
      <c r="G66" s="5"/>
    </row>
    <row r="67" spans="1:7" ht="13">
      <c r="A67" s="48" t="s">
        <v>873</v>
      </c>
      <c r="B67" s="58" t="str">
        <f>HYPERLINK("https://bulbapedia.bulbagarden.net/wiki/Guzzlord-GX_(Crimson_Invasion_63)","GuzzlordGX")</f>
        <v>GuzzlordGX</v>
      </c>
      <c r="C67" s="48" t="s">
        <v>808</v>
      </c>
      <c r="D67" s="48"/>
      <c r="E67" s="5"/>
      <c r="F67" s="5"/>
      <c r="G67" s="5"/>
    </row>
    <row r="68" spans="1:7" ht="13">
      <c r="A68" s="48" t="s">
        <v>875</v>
      </c>
      <c r="B68" s="49" t="s">
        <v>1368</v>
      </c>
      <c r="C68" s="48" t="s">
        <v>220</v>
      </c>
      <c r="D68" s="48"/>
      <c r="E68" s="51"/>
      <c r="F68" s="5"/>
      <c r="G68" s="5"/>
    </row>
    <row r="69" spans="1:7" ht="13">
      <c r="A69" s="48" t="s">
        <v>877</v>
      </c>
      <c r="B69" s="49" t="s">
        <v>1250</v>
      </c>
      <c r="C69" s="48" t="s">
        <v>220</v>
      </c>
      <c r="D69" s="48"/>
      <c r="E69" s="51"/>
      <c r="F69" s="5"/>
      <c r="G69" s="5"/>
    </row>
    <row r="70" spans="1:7" ht="13">
      <c r="A70" s="48" t="s">
        <v>879</v>
      </c>
      <c r="B70" s="49" t="s">
        <v>1265</v>
      </c>
      <c r="C70" s="48" t="s">
        <v>220</v>
      </c>
      <c r="D70" s="48"/>
      <c r="E70" s="5"/>
      <c r="F70" s="5"/>
      <c r="G70" s="5"/>
    </row>
    <row r="71" spans="1:7" ht="13">
      <c r="A71" s="48" t="s">
        <v>880</v>
      </c>
      <c r="B71" s="49" t="s">
        <v>1208</v>
      </c>
      <c r="C71" s="48" t="s">
        <v>220</v>
      </c>
      <c r="D71" s="47"/>
      <c r="E71" s="5"/>
      <c r="F71" s="5"/>
      <c r="G71" s="5"/>
    </row>
    <row r="72" spans="1:7" ht="13">
      <c r="A72" s="48" t="s">
        <v>882</v>
      </c>
      <c r="B72" s="49" t="s">
        <v>2781</v>
      </c>
      <c r="C72" s="48" t="s">
        <v>220</v>
      </c>
      <c r="D72" s="47"/>
      <c r="E72" s="5"/>
      <c r="F72" s="5"/>
      <c r="G72" s="5"/>
    </row>
    <row r="73" spans="1:7" ht="13">
      <c r="A73" s="48" t="s">
        <v>883</v>
      </c>
      <c r="B73" s="49" t="s">
        <v>4106</v>
      </c>
      <c r="C73" s="48" t="s">
        <v>220</v>
      </c>
      <c r="D73" s="47"/>
      <c r="E73" s="5"/>
      <c r="F73" s="5"/>
      <c r="G73" s="5"/>
    </row>
    <row r="74" spans="1:7" ht="13">
      <c r="A74" s="48" t="s">
        <v>884</v>
      </c>
      <c r="B74" s="58" t="str">
        <f>HYPERLINK("https://bulbapedia.bulbagarden.net/wiki/Kartana-GX_(Crimson_Invasion_70)","KartanaGX")</f>
        <v>KartanaGX</v>
      </c>
      <c r="C74" s="48" t="s">
        <v>220</v>
      </c>
      <c r="D74" s="48"/>
      <c r="E74" s="5"/>
      <c r="F74" s="5"/>
      <c r="G74" s="5"/>
    </row>
    <row r="75" spans="1:7" ht="13">
      <c r="A75" s="48" t="s">
        <v>885</v>
      </c>
      <c r="B75" s="49" t="s">
        <v>200</v>
      </c>
      <c r="C75" s="48" t="s">
        <v>4743</v>
      </c>
      <c r="D75" s="48"/>
      <c r="E75" s="5"/>
      <c r="F75" s="5"/>
      <c r="G75" s="5"/>
    </row>
    <row r="76" spans="1:7" ht="13">
      <c r="A76" s="48" t="s">
        <v>887</v>
      </c>
      <c r="B76" s="49" t="s">
        <v>330</v>
      </c>
      <c r="C76" s="48" t="s">
        <v>4743</v>
      </c>
      <c r="D76" s="48"/>
      <c r="E76" s="5"/>
      <c r="F76" s="5"/>
      <c r="G76" s="5"/>
    </row>
    <row r="77" spans="1:7" ht="13">
      <c r="A77" s="48" t="s">
        <v>889</v>
      </c>
      <c r="B77" s="49" t="s">
        <v>4745</v>
      </c>
      <c r="C77" s="48" t="s">
        <v>4743</v>
      </c>
      <c r="D77" s="48"/>
      <c r="E77" s="5"/>
      <c r="F77" s="51"/>
      <c r="G77" s="5"/>
    </row>
    <row r="78" spans="1:7" ht="13">
      <c r="A78" s="48" t="s">
        <v>890</v>
      </c>
      <c r="B78" s="58" t="str">
        <f>HYPERLINK("https://bulbapedia.bulbagarden.net/wiki/Alolan_Exeggutor-GX_(Crimson_Invasion_74)","Alolan ExeggutorGX")</f>
        <v>Alolan ExeggutorGX</v>
      </c>
      <c r="C78" s="48" t="s">
        <v>4285</v>
      </c>
      <c r="D78" s="47"/>
      <c r="E78" s="5"/>
      <c r="F78" s="5"/>
      <c r="G78" s="5"/>
    </row>
    <row r="79" spans="1:7" ht="13">
      <c r="A79" s="48" t="s">
        <v>892</v>
      </c>
      <c r="B79" s="49" t="s">
        <v>6645</v>
      </c>
      <c r="C79" s="48" t="s">
        <v>4285</v>
      </c>
      <c r="D79" s="48"/>
      <c r="E79" s="5"/>
      <c r="F79" s="5"/>
      <c r="G79" s="5"/>
    </row>
    <row r="80" spans="1:7" ht="13">
      <c r="A80" s="48" t="s">
        <v>894</v>
      </c>
      <c r="B80" s="49" t="s">
        <v>6647</v>
      </c>
      <c r="C80" s="48" t="s">
        <v>4285</v>
      </c>
      <c r="D80" s="47"/>
      <c r="E80" s="5"/>
      <c r="F80" s="5"/>
      <c r="G80" s="5"/>
    </row>
    <row r="81" spans="1:26" ht="13">
      <c r="A81" s="48" t="s">
        <v>896</v>
      </c>
      <c r="B81" s="49" t="s">
        <v>6866</v>
      </c>
      <c r="C81" s="48" t="s">
        <v>4285</v>
      </c>
      <c r="D81" s="47"/>
      <c r="E81" s="5"/>
      <c r="F81" s="5"/>
      <c r="G81" s="5"/>
    </row>
    <row r="82" spans="1:26" ht="13">
      <c r="A82" s="48" t="s">
        <v>898</v>
      </c>
      <c r="B82" s="49" t="s">
        <v>836</v>
      </c>
      <c r="C82" s="48" t="s">
        <v>197</v>
      </c>
      <c r="D82" s="48"/>
      <c r="E82" s="5"/>
      <c r="F82" s="5"/>
      <c r="G82" s="5"/>
    </row>
    <row r="83" spans="1:26" ht="13">
      <c r="A83" s="48" t="s">
        <v>900</v>
      </c>
      <c r="B83" s="49" t="s">
        <v>1587</v>
      </c>
      <c r="C83" s="48" t="s">
        <v>197</v>
      </c>
      <c r="D83" s="48"/>
      <c r="E83" s="5"/>
      <c r="F83" s="5"/>
      <c r="G83" s="5"/>
    </row>
    <row r="84" spans="1:26" ht="13">
      <c r="A84" s="48" t="s">
        <v>902</v>
      </c>
      <c r="B84" s="49" t="s">
        <v>1493</v>
      </c>
      <c r="C84" s="48" t="s">
        <v>197</v>
      </c>
      <c r="D84" s="47"/>
      <c r="E84" s="5"/>
      <c r="F84" s="5"/>
      <c r="G84" s="5"/>
    </row>
    <row r="85" spans="1:26" ht="13">
      <c r="A85" s="48" t="s">
        <v>904</v>
      </c>
      <c r="B85" s="49" t="s">
        <v>3148</v>
      </c>
      <c r="C85" s="48" t="s">
        <v>197</v>
      </c>
      <c r="D85" s="48"/>
      <c r="E85" s="51"/>
      <c r="F85" s="5"/>
      <c r="G85" s="5"/>
    </row>
    <row r="86" spans="1:26" ht="13">
      <c r="A86" s="48" t="s">
        <v>905</v>
      </c>
      <c r="B86" s="49" t="s">
        <v>3142</v>
      </c>
      <c r="C86" s="48" t="s">
        <v>197</v>
      </c>
      <c r="D86" s="48"/>
      <c r="E86" s="5"/>
      <c r="F86" s="5"/>
      <c r="G86" s="5"/>
    </row>
    <row r="87" spans="1:26" ht="13">
      <c r="A87" s="48" t="s">
        <v>907</v>
      </c>
      <c r="B87" s="49" t="s">
        <v>3120</v>
      </c>
      <c r="C87" s="48" t="s">
        <v>197</v>
      </c>
      <c r="D87" s="47"/>
      <c r="E87" s="51"/>
      <c r="F87" s="5"/>
      <c r="G87" s="5"/>
    </row>
    <row r="88" spans="1:26" ht="13">
      <c r="A88" s="48" t="s">
        <v>908</v>
      </c>
      <c r="B88" s="49" t="s">
        <v>3089</v>
      </c>
      <c r="C88" s="48" t="s">
        <v>197</v>
      </c>
      <c r="D88" s="47"/>
      <c r="E88" s="5"/>
      <c r="F88" s="5"/>
      <c r="G88" s="5"/>
    </row>
    <row r="89" spans="1:26" ht="13">
      <c r="A89" s="107" t="s">
        <v>6867</v>
      </c>
      <c r="B89" s="108" t="s">
        <v>3089</v>
      </c>
      <c r="C89" s="97" t="s">
        <v>197</v>
      </c>
      <c r="D89" s="107"/>
      <c r="E89" s="87"/>
      <c r="F89" s="86"/>
      <c r="G89" s="87"/>
      <c r="H89" s="88"/>
      <c r="I89" s="88"/>
    </row>
    <row r="90" spans="1:26" ht="13">
      <c r="A90" s="48" t="s">
        <v>909</v>
      </c>
      <c r="B90" s="49" t="s">
        <v>4135</v>
      </c>
      <c r="C90" s="48" t="s">
        <v>197</v>
      </c>
      <c r="D90" s="48"/>
      <c r="E90" s="5"/>
      <c r="F90" s="5"/>
      <c r="G90" s="5"/>
      <c r="J90" s="88"/>
      <c r="K90" s="88"/>
      <c r="L90" s="88"/>
      <c r="M90" s="88"/>
      <c r="N90" s="88"/>
      <c r="O90" s="88"/>
      <c r="P90" s="88"/>
      <c r="Q90" s="88"/>
      <c r="R90" s="88"/>
      <c r="S90" s="88"/>
      <c r="T90" s="88"/>
      <c r="U90" s="88"/>
      <c r="V90" s="88"/>
      <c r="W90" s="88"/>
      <c r="X90" s="88"/>
      <c r="Y90" s="88"/>
      <c r="Z90" s="88"/>
    </row>
    <row r="91" spans="1:26" ht="13">
      <c r="A91" s="48" t="s">
        <v>911</v>
      </c>
      <c r="B91" s="49" t="s">
        <v>4136</v>
      </c>
      <c r="C91" s="48" t="s">
        <v>197</v>
      </c>
      <c r="D91" s="48"/>
      <c r="E91" s="5"/>
      <c r="F91" s="5"/>
      <c r="G91" s="5"/>
    </row>
    <row r="92" spans="1:26" ht="13">
      <c r="A92" s="48" t="s">
        <v>913</v>
      </c>
      <c r="B92" s="49" t="s">
        <v>5025</v>
      </c>
      <c r="C92" s="48" t="s">
        <v>197</v>
      </c>
      <c r="D92" s="48"/>
      <c r="E92" s="51"/>
      <c r="F92" s="5"/>
      <c r="G92" s="5"/>
    </row>
    <row r="93" spans="1:26" ht="13">
      <c r="A93" s="48" t="s">
        <v>914</v>
      </c>
      <c r="B93" s="49" t="s">
        <v>5049</v>
      </c>
      <c r="C93" s="48" t="s">
        <v>197</v>
      </c>
      <c r="D93" s="48"/>
      <c r="E93" s="5"/>
      <c r="F93" s="5"/>
      <c r="G93" s="5"/>
    </row>
    <row r="94" spans="1:26" ht="13">
      <c r="A94" s="48" t="s">
        <v>915</v>
      </c>
      <c r="B94" s="49" t="s">
        <v>6868</v>
      </c>
      <c r="C94" s="48" t="s">
        <v>197</v>
      </c>
      <c r="D94" s="47"/>
      <c r="E94" s="5"/>
      <c r="F94" s="5"/>
      <c r="G94" s="5"/>
    </row>
    <row r="95" spans="1:26" ht="13">
      <c r="A95" s="48" t="s">
        <v>916</v>
      </c>
      <c r="B95" s="58" t="str">
        <f>HYPERLINK("https://bulbapedia.bulbagarden.net/wiki/Silvally-GX_(Crimson_Invasion_90)","SilvallyGX")</f>
        <v>SilvallyGX</v>
      </c>
      <c r="C95" s="48" t="s">
        <v>197</v>
      </c>
      <c r="D95" s="48"/>
      <c r="E95" s="5"/>
      <c r="F95" s="5"/>
      <c r="G95" s="5"/>
    </row>
    <row r="96" spans="1:26" ht="13">
      <c r="A96" s="48" t="s">
        <v>917</v>
      </c>
      <c r="B96" s="49" t="s">
        <v>6869</v>
      </c>
      <c r="C96" s="48" t="s">
        <v>4114</v>
      </c>
      <c r="D96" s="48"/>
      <c r="E96" s="5"/>
      <c r="F96" s="5"/>
      <c r="G96" s="5"/>
    </row>
    <row r="97" spans="1:7" ht="13">
      <c r="A97" s="48" t="s">
        <v>918</v>
      </c>
      <c r="B97" s="49" t="s">
        <v>6870</v>
      </c>
      <c r="C97" s="48" t="s">
        <v>4114</v>
      </c>
      <c r="D97" s="47"/>
      <c r="E97" s="5"/>
      <c r="F97" s="5"/>
      <c r="G97" s="5"/>
    </row>
    <row r="98" spans="1:7" ht="13">
      <c r="A98" s="48" t="s">
        <v>919</v>
      </c>
      <c r="B98" s="49" t="s">
        <v>6871</v>
      </c>
      <c r="C98" s="48" t="s">
        <v>229</v>
      </c>
      <c r="D98" s="48"/>
      <c r="E98" s="51"/>
      <c r="F98" s="51"/>
      <c r="G98" s="5"/>
    </row>
    <row r="99" spans="1:7" ht="13">
      <c r="A99" s="48" t="s">
        <v>920</v>
      </c>
      <c r="B99" s="49" t="s">
        <v>6872</v>
      </c>
      <c r="C99" s="48" t="s">
        <v>4114</v>
      </c>
      <c r="D99" s="48"/>
      <c r="E99" s="5"/>
      <c r="F99" s="5"/>
      <c r="G99" s="5"/>
    </row>
    <row r="100" spans="1:7" ht="13">
      <c r="A100" s="48" t="s">
        <v>921</v>
      </c>
      <c r="B100" s="49" t="s">
        <v>6873</v>
      </c>
      <c r="C100" s="48" t="s">
        <v>1013</v>
      </c>
      <c r="D100" s="48"/>
      <c r="E100" s="5"/>
      <c r="F100" s="5"/>
      <c r="G100" s="5"/>
    </row>
    <row r="101" spans="1:7" ht="13">
      <c r="A101" s="48" t="s">
        <v>922</v>
      </c>
      <c r="B101" s="49" t="s">
        <v>6874</v>
      </c>
      <c r="C101" s="48" t="s">
        <v>1013</v>
      </c>
      <c r="D101" s="48"/>
      <c r="E101" s="5"/>
      <c r="F101" s="5"/>
      <c r="G101" s="5"/>
    </row>
    <row r="102" spans="1:7" ht="13">
      <c r="A102" s="48" t="s">
        <v>923</v>
      </c>
      <c r="B102" s="49" t="s">
        <v>6875</v>
      </c>
      <c r="C102" s="48" t="s">
        <v>4114</v>
      </c>
      <c r="D102" s="48"/>
      <c r="E102" s="5"/>
      <c r="F102" s="5"/>
      <c r="G102" s="5"/>
    </row>
    <row r="103" spans="1:7" ht="13">
      <c r="A103" s="48" t="s">
        <v>924</v>
      </c>
      <c r="B103" s="49" t="s">
        <v>6876</v>
      </c>
      <c r="C103" s="48" t="s">
        <v>4114</v>
      </c>
      <c r="D103" s="47"/>
      <c r="E103" s="5"/>
      <c r="F103" s="5"/>
      <c r="G103" s="5"/>
    </row>
    <row r="104" spans="1:7" ht="13">
      <c r="A104" s="48" t="s">
        <v>926</v>
      </c>
      <c r="B104" s="49" t="s">
        <v>6877</v>
      </c>
      <c r="C104" s="48" t="s">
        <v>229</v>
      </c>
      <c r="D104" s="48"/>
      <c r="E104" s="5"/>
      <c r="F104" s="5"/>
      <c r="G104" s="5"/>
    </row>
    <row r="105" spans="1:7" ht="13">
      <c r="A105" s="48" t="s">
        <v>927</v>
      </c>
      <c r="B105" s="49" t="s">
        <v>6878</v>
      </c>
      <c r="C105" s="48" t="s">
        <v>317</v>
      </c>
      <c r="D105" s="47"/>
      <c r="E105" s="5"/>
      <c r="F105" s="5"/>
      <c r="G105" s="5"/>
    </row>
    <row r="106" spans="1:7" ht="13">
      <c r="A106" s="48" t="s">
        <v>928</v>
      </c>
      <c r="B106" s="58" t="str">
        <f>HYPERLINK("https://bulbapedia.bulbagarden.net/wiki/Gyarados-GX_(Crimson_Invasion_101)","GyaradosGX")</f>
        <v>GyaradosGX</v>
      </c>
      <c r="C106" s="48" t="s">
        <v>208</v>
      </c>
      <c r="D106" s="47"/>
      <c r="E106" s="5"/>
      <c r="F106" s="5"/>
      <c r="G106" s="5"/>
    </row>
    <row r="107" spans="1:7" ht="13">
      <c r="A107" s="48" t="s">
        <v>929</v>
      </c>
      <c r="B107" s="58" t="str">
        <f>HYPERLINK("https://bulbapedia.bulbagarden.net/wiki/Alolan_Golem-GX_(Crimson_Invasion_102)","Alolan GolemGX")</f>
        <v>Alolan GolemGX</v>
      </c>
      <c r="C107" s="48" t="s">
        <v>192</v>
      </c>
      <c r="D107" s="47"/>
      <c r="E107" s="5"/>
      <c r="F107" s="5"/>
      <c r="G107" s="5"/>
    </row>
    <row r="108" spans="1:7" ht="13">
      <c r="A108" s="48" t="s">
        <v>930</v>
      </c>
      <c r="B108" s="58" t="str">
        <f>HYPERLINK("https://bulbapedia.bulbagarden.net/wiki/Nihilego-GX_(Crimson_Invasion_103)","NihilegoGX")</f>
        <v>NihilegoGX</v>
      </c>
      <c r="C108" s="48" t="s">
        <v>195</v>
      </c>
      <c r="D108" s="47"/>
      <c r="E108" s="5"/>
      <c r="F108" s="5"/>
      <c r="G108" s="5"/>
    </row>
    <row r="109" spans="1:7" ht="13">
      <c r="A109" s="48" t="s">
        <v>932</v>
      </c>
      <c r="B109" s="58" t="str">
        <f>HYPERLINK("https://bulbapedia.bulbagarden.net/wiki/Buzzwole-GX_(Crimson_Invasion_104)","BuzzwoleGX")</f>
        <v>BuzzwoleGX</v>
      </c>
      <c r="C109" s="48" t="s">
        <v>225</v>
      </c>
      <c r="D109" s="47"/>
      <c r="E109" s="5"/>
      <c r="F109" s="5"/>
      <c r="G109" s="5"/>
    </row>
    <row r="110" spans="1:7" ht="13">
      <c r="A110" s="48" t="s">
        <v>934</v>
      </c>
      <c r="B110" s="58" t="str">
        <f>HYPERLINK("https://bulbapedia.bulbagarden.net/wiki/Guzzlord-GX_(Crimson_Invasion_105)","GuzzlordGX")</f>
        <v>GuzzlordGX</v>
      </c>
      <c r="C110" s="48" t="s">
        <v>808</v>
      </c>
      <c r="D110" s="47"/>
      <c r="E110" s="5"/>
      <c r="F110" s="5"/>
      <c r="G110" s="5"/>
    </row>
    <row r="111" spans="1:7" ht="13">
      <c r="A111" s="48" t="s">
        <v>3759</v>
      </c>
      <c r="B111" s="58" t="str">
        <f>HYPERLINK("https://bulbapedia.bulbagarden.net/wiki/Kartana-GX_(Crimson_Invasion_106)","KartanaGX")</f>
        <v>KartanaGX</v>
      </c>
      <c r="C111" s="48" t="s">
        <v>220</v>
      </c>
      <c r="D111" s="48"/>
      <c r="E111" s="5"/>
      <c r="F111" s="5"/>
      <c r="G111" s="5"/>
    </row>
    <row r="112" spans="1:7" ht="13">
      <c r="A112" s="48" t="s">
        <v>3761</v>
      </c>
      <c r="B112" s="58" t="str">
        <f>HYPERLINK("https://bulbapedia.bulbagarden.net/wiki/Alolan_Exeggutor-GX_(Crimson_Invasion_107)","Alolan ExeggutorGX")</f>
        <v>Alolan ExeggutorGX</v>
      </c>
      <c r="C112" s="48" t="s">
        <v>4285</v>
      </c>
      <c r="D112" s="47"/>
      <c r="E112" s="5"/>
      <c r="F112" s="5"/>
      <c r="G112" s="5"/>
    </row>
    <row r="113" spans="1:7" ht="13">
      <c r="A113" s="48" t="s">
        <v>3763</v>
      </c>
      <c r="B113" s="58" t="str">
        <f>HYPERLINK("https://bulbapedia.bulbagarden.net/wiki/Silvally-GX_(Crimson_Invasion_108)","SilvallyGX")</f>
        <v>SilvallyGX</v>
      </c>
      <c r="C113" s="48" t="s">
        <v>197</v>
      </c>
      <c r="D113" s="47"/>
      <c r="E113" s="5"/>
      <c r="F113" s="5"/>
      <c r="G113" s="5"/>
    </row>
    <row r="114" spans="1:7" ht="13">
      <c r="A114" s="48" t="s">
        <v>3765</v>
      </c>
      <c r="B114" s="49" t="s">
        <v>6873</v>
      </c>
      <c r="C114" s="48" t="s">
        <v>1013</v>
      </c>
      <c r="D114" s="47"/>
      <c r="E114" s="5"/>
      <c r="F114" s="5"/>
      <c r="G114" s="5"/>
    </row>
    <row r="115" spans="1:7" ht="13">
      <c r="A115" s="48" t="s">
        <v>3767</v>
      </c>
      <c r="B115" s="49" t="s">
        <v>6874</v>
      </c>
      <c r="C115" s="48" t="s">
        <v>1013</v>
      </c>
      <c r="D115" s="47"/>
      <c r="E115" s="5"/>
      <c r="F115" s="5"/>
      <c r="G115" s="5"/>
    </row>
    <row r="116" spans="1:7" ht="13">
      <c r="A116" s="48" t="s">
        <v>3769</v>
      </c>
      <c r="B116" s="49" t="s">
        <v>6751</v>
      </c>
      <c r="C116" s="48" t="s">
        <v>1013</v>
      </c>
      <c r="D116" s="47"/>
      <c r="E116" s="5"/>
      <c r="F116" s="5"/>
      <c r="G116" s="5"/>
    </row>
    <row r="117" spans="1:7" ht="13">
      <c r="A117" s="48" t="s">
        <v>3771</v>
      </c>
      <c r="B117" s="58" t="str">
        <f>HYPERLINK("https://bulbapedia.bulbagarden.net/wiki/Gyarados-GX_(Crimson_Invasion_112)","GyaradosGX")</f>
        <v>GyaradosGX</v>
      </c>
      <c r="C117" s="48" t="s">
        <v>208</v>
      </c>
      <c r="D117" s="47"/>
      <c r="E117" s="5"/>
      <c r="F117" s="5"/>
      <c r="G117" s="5"/>
    </row>
    <row r="118" spans="1:7" ht="13">
      <c r="A118" s="48" t="s">
        <v>3772</v>
      </c>
      <c r="B118" s="58" t="str">
        <f>HYPERLINK("https://bulbapedia.bulbagarden.net/wiki/Alolan_Golem-GX_(Crimson_Invasion_113)","Alolan GolemGX")</f>
        <v>Alolan GolemGX</v>
      </c>
      <c r="C118" s="48" t="s">
        <v>192</v>
      </c>
      <c r="D118" s="47"/>
      <c r="E118" s="5"/>
      <c r="F118" s="5"/>
      <c r="G118" s="5"/>
    </row>
    <row r="119" spans="1:7" ht="13">
      <c r="A119" s="48" t="s">
        <v>3773</v>
      </c>
      <c r="B119" s="58" t="str">
        <f>HYPERLINK("https://bulbapedia.bulbagarden.net/wiki/Nihilego-GX_(Crimson_Invasion_114)","NihilegoGX")</f>
        <v>NihilegoGX</v>
      </c>
      <c r="C119" s="48" t="s">
        <v>195</v>
      </c>
      <c r="D119" s="47"/>
      <c r="E119" s="5"/>
      <c r="F119" s="5"/>
      <c r="G119" s="5"/>
    </row>
    <row r="120" spans="1:7" ht="13">
      <c r="A120" s="48" t="s">
        <v>6879</v>
      </c>
      <c r="B120" s="58" t="str">
        <f>HYPERLINK("https://bulbapedia.bulbagarden.net/wiki/Buzzwole-GX_(Crimson_Invasion_115)","BuzzwoleGX")</f>
        <v>BuzzwoleGX</v>
      </c>
      <c r="C120" s="48" t="s">
        <v>225</v>
      </c>
      <c r="D120" s="47"/>
      <c r="E120" s="5"/>
      <c r="F120" s="5"/>
      <c r="G120" s="5"/>
    </row>
    <row r="121" spans="1:7" ht="13">
      <c r="A121" s="48" t="s">
        <v>6880</v>
      </c>
      <c r="B121" s="58" t="str">
        <f>HYPERLINK("https://bulbapedia.bulbagarden.net/wiki/Guzzlord-GX_(Crimson_Invasion_116)","GuzzlordGX")</f>
        <v>GuzzlordGX</v>
      </c>
      <c r="C121" s="48" t="s">
        <v>808</v>
      </c>
      <c r="D121" s="47"/>
      <c r="E121" s="5"/>
      <c r="F121" s="5"/>
      <c r="G121" s="5"/>
    </row>
    <row r="122" spans="1:7" ht="13">
      <c r="A122" s="48" t="s">
        <v>6881</v>
      </c>
      <c r="B122" s="58" t="str">
        <f>HYPERLINK("https://bulbapedia.bulbagarden.net/wiki/Kartana-GX_(Crimson_Invasion_117)","KartanaGX")</f>
        <v>KartanaGX</v>
      </c>
      <c r="C122" s="48" t="s">
        <v>220</v>
      </c>
      <c r="D122" s="47"/>
      <c r="E122" s="5"/>
      <c r="F122" s="5"/>
      <c r="G122" s="5"/>
    </row>
    <row r="123" spans="1:7" ht="13">
      <c r="A123" s="48" t="s">
        <v>6882</v>
      </c>
      <c r="B123" s="58" t="str">
        <f>HYPERLINK("https://bulbapedia.bulbagarden.net/wiki/Alolan_Exeggutor-GX_(Crimson_Invasion_118)","Alolan ExeggutorGX")</f>
        <v>Alolan ExeggutorGX</v>
      </c>
      <c r="C123" s="48" t="s">
        <v>4285</v>
      </c>
      <c r="D123" s="47"/>
      <c r="E123" s="5"/>
      <c r="F123" s="5"/>
      <c r="G123" s="5"/>
    </row>
    <row r="124" spans="1:7" ht="13">
      <c r="A124" s="48" t="s">
        <v>6883</v>
      </c>
      <c r="B124" s="58" t="str">
        <f>HYPERLINK("https://bulbapedia.bulbagarden.net/wiki/Silvally-GX_(Crimson_Invasion_119)","SilvallyGX")</f>
        <v>SilvallyGX</v>
      </c>
      <c r="C124" s="48" t="s">
        <v>197</v>
      </c>
      <c r="D124" s="47"/>
      <c r="E124" s="5"/>
      <c r="F124" s="5"/>
      <c r="G124" s="5"/>
    </row>
    <row r="125" spans="1:7" ht="13">
      <c r="A125" s="48" t="s">
        <v>6884</v>
      </c>
      <c r="B125" s="49" t="s">
        <v>6869</v>
      </c>
      <c r="C125" s="48" t="s">
        <v>4114</v>
      </c>
      <c r="D125" s="47"/>
      <c r="E125" s="5"/>
      <c r="F125" s="5"/>
      <c r="G125" s="5"/>
    </row>
    <row r="126" spans="1:7" ht="13">
      <c r="A126" s="48" t="s">
        <v>6885</v>
      </c>
      <c r="B126" s="49" t="s">
        <v>6758</v>
      </c>
      <c r="C126" s="48" t="s">
        <v>4114</v>
      </c>
      <c r="D126" s="47"/>
      <c r="E126" s="5"/>
      <c r="F126" s="5"/>
      <c r="G126" s="5"/>
    </row>
    <row r="127" spans="1:7" ht="13">
      <c r="A127" s="48" t="s">
        <v>6886</v>
      </c>
      <c r="B127" s="49" t="s">
        <v>6878</v>
      </c>
      <c r="C127" s="48" t="s">
        <v>317</v>
      </c>
      <c r="D127" s="48"/>
      <c r="E127" s="5"/>
      <c r="F127" s="5"/>
      <c r="G127" s="5"/>
    </row>
    <row r="128" spans="1:7" ht="13">
      <c r="A128" s="48" t="s">
        <v>6887</v>
      </c>
      <c r="B128" s="49" t="s">
        <v>1173</v>
      </c>
      <c r="C128" s="48" t="s">
        <v>317</v>
      </c>
      <c r="D128" s="47"/>
      <c r="E128" s="5"/>
      <c r="F128" s="5"/>
      <c r="G128" s="5"/>
    </row>
    <row r="129" spans="1:7" ht="13">
      <c r="A129" s="48" t="s">
        <v>6888</v>
      </c>
      <c r="B129" s="49" t="s">
        <v>5064</v>
      </c>
      <c r="C129" s="48" t="s">
        <v>317</v>
      </c>
      <c r="D129" s="47"/>
      <c r="E129" s="5"/>
      <c r="F129" s="5"/>
      <c r="G129" s="5"/>
    </row>
    <row r="131" spans="1:7" ht="13">
      <c r="A131" s="48"/>
      <c r="B131" s="50"/>
      <c r="C131" s="48"/>
      <c r="D131" s="47"/>
      <c r="E131" s="5"/>
      <c r="F131" s="5"/>
      <c r="G131" s="5"/>
    </row>
    <row r="132" spans="1:7" ht="13">
      <c r="A132" s="48"/>
      <c r="B132" s="50"/>
      <c r="C132" s="48"/>
      <c r="D132" s="47"/>
      <c r="E132" s="5"/>
      <c r="F132" s="5"/>
      <c r="G132" s="5"/>
    </row>
    <row r="133" spans="1:7" ht="13">
      <c r="A133" s="48"/>
      <c r="B133" s="50"/>
      <c r="C133" s="48"/>
      <c r="D133" s="47"/>
      <c r="E133" s="5"/>
      <c r="F133" s="5"/>
      <c r="G133" s="5"/>
    </row>
    <row r="134" spans="1:7" ht="13">
      <c r="A134" s="48"/>
      <c r="B134" s="50"/>
      <c r="C134" s="48"/>
      <c r="D134" s="47"/>
      <c r="E134" s="5"/>
      <c r="F134" s="5"/>
      <c r="G134" s="5"/>
    </row>
    <row r="135" spans="1:7" ht="13">
      <c r="A135" s="48"/>
      <c r="B135" s="53"/>
      <c r="C135" s="48"/>
      <c r="D135" s="47"/>
      <c r="E135" s="5"/>
      <c r="F135" s="5"/>
      <c r="G135" s="5"/>
    </row>
    <row r="136" spans="1:7" ht="13">
      <c r="A136" s="48"/>
      <c r="B136" s="53"/>
      <c r="C136" s="48"/>
      <c r="D136" s="47"/>
      <c r="E136" s="5"/>
      <c r="F136" s="5"/>
      <c r="G136" s="5"/>
    </row>
    <row r="137" spans="1:7" ht="13">
      <c r="A137" s="48"/>
      <c r="B137" s="53"/>
      <c r="C137" s="48"/>
      <c r="D137" s="47"/>
      <c r="E137" s="5"/>
      <c r="F137" s="5"/>
      <c r="G137" s="5"/>
    </row>
    <row r="138" spans="1:7" ht="13">
      <c r="A138" s="48"/>
      <c r="B138" s="53"/>
      <c r="C138" s="48"/>
      <c r="D138" s="47"/>
      <c r="E138" s="5"/>
      <c r="F138" s="5"/>
      <c r="G138" s="5"/>
    </row>
    <row r="139" spans="1:7" ht="13">
      <c r="A139" s="48"/>
      <c r="B139" s="53"/>
      <c r="C139" s="48"/>
      <c r="D139" s="47"/>
      <c r="E139" s="5"/>
      <c r="F139" s="5"/>
      <c r="G139" s="5"/>
    </row>
    <row r="140" spans="1:7" ht="13">
      <c r="A140" s="48"/>
      <c r="B140" s="53"/>
      <c r="C140" s="48"/>
      <c r="D140" s="47"/>
      <c r="E140" s="5"/>
      <c r="F140" s="5"/>
      <c r="G140" s="5"/>
    </row>
    <row r="141" spans="1:7" ht="13">
      <c r="A141" s="48"/>
      <c r="B141" s="53"/>
      <c r="C141" s="48"/>
      <c r="D141" s="47"/>
      <c r="E141" s="5"/>
      <c r="F141" s="5"/>
      <c r="G141" s="5"/>
    </row>
    <row r="142" spans="1:7" ht="13">
      <c r="A142" s="48"/>
      <c r="B142" s="53"/>
      <c r="C142" s="48"/>
      <c r="D142" s="47"/>
      <c r="E142" s="5"/>
      <c r="F142" s="5"/>
      <c r="G142" s="5"/>
    </row>
    <row r="143" spans="1:7" ht="13">
      <c r="A143" s="48"/>
      <c r="B143" s="53"/>
      <c r="C143" s="48"/>
      <c r="D143" s="47"/>
      <c r="E143" s="5"/>
      <c r="F143" s="5"/>
      <c r="G143" s="5"/>
    </row>
    <row r="144" spans="1:7" ht="13">
      <c r="A144" s="48"/>
      <c r="B144" s="53"/>
      <c r="C144" s="48"/>
      <c r="D144" s="47"/>
      <c r="E144" s="5"/>
      <c r="F144" s="5"/>
      <c r="G144" s="5"/>
    </row>
    <row r="145" spans="1:7" ht="13">
      <c r="A145" s="48"/>
      <c r="B145" s="53"/>
      <c r="C145" s="48"/>
      <c r="D145" s="47"/>
      <c r="E145" s="5"/>
      <c r="F145" s="5"/>
      <c r="G145" s="5"/>
    </row>
    <row r="146" spans="1:7" ht="13">
      <c r="A146" s="48"/>
      <c r="B146" s="53"/>
      <c r="C146" s="48"/>
      <c r="D146" s="47"/>
      <c r="E146" s="5"/>
      <c r="F146" s="5"/>
      <c r="G146" s="5"/>
    </row>
    <row r="147" spans="1:7" ht="13">
      <c r="A147" s="48"/>
      <c r="B147" s="53"/>
      <c r="C147" s="48"/>
      <c r="D147" s="47"/>
      <c r="E147" s="5"/>
      <c r="F147" s="5"/>
      <c r="G147" s="5"/>
    </row>
    <row r="148" spans="1:7" ht="13">
      <c r="A148" s="48"/>
      <c r="B148" s="50"/>
      <c r="C148" s="48"/>
      <c r="D148" s="47"/>
      <c r="E148" s="5"/>
      <c r="F148" s="5"/>
      <c r="G148" s="5"/>
    </row>
    <row r="149" spans="1:7" ht="13">
      <c r="A149" s="48"/>
      <c r="B149" s="50"/>
      <c r="C149" s="48"/>
      <c r="D149" s="47"/>
      <c r="E149" s="5"/>
      <c r="F149" s="5"/>
      <c r="G149" s="5"/>
    </row>
    <row r="150" spans="1:7" ht="13">
      <c r="A150" s="48"/>
      <c r="B150" s="50"/>
      <c r="C150" s="48"/>
      <c r="D150" s="47"/>
      <c r="E150" s="5"/>
      <c r="F150" s="5"/>
      <c r="G150" s="5"/>
    </row>
    <row r="151" spans="1:7" ht="13">
      <c r="A151" s="48"/>
      <c r="B151" s="50"/>
      <c r="C151" s="48"/>
      <c r="D151" s="47"/>
      <c r="E151" s="5"/>
      <c r="F151" s="5"/>
      <c r="G151" s="5"/>
    </row>
    <row r="152" spans="1:7" ht="13">
      <c r="A152" s="48"/>
      <c r="B152" s="50"/>
      <c r="C152" s="48"/>
      <c r="D152" s="47"/>
      <c r="E152" s="5"/>
      <c r="F152" s="5"/>
      <c r="G152" s="5"/>
    </row>
    <row r="153" spans="1:7" ht="13">
      <c r="A153" s="48"/>
      <c r="B153" s="50"/>
      <c r="C153" s="48"/>
      <c r="D153" s="47"/>
      <c r="E153" s="5"/>
      <c r="F153" s="5"/>
      <c r="G153" s="5"/>
    </row>
    <row r="154" spans="1:7" ht="13">
      <c r="A154" s="48"/>
      <c r="B154" s="53"/>
      <c r="C154" s="48"/>
      <c r="D154" s="47"/>
      <c r="E154" s="5"/>
      <c r="F154" s="5"/>
      <c r="G154" s="5"/>
    </row>
    <row r="155" spans="1:7" ht="13">
      <c r="A155" s="48"/>
      <c r="B155" s="53"/>
      <c r="C155" s="48"/>
      <c r="D155" s="47"/>
      <c r="E155" s="5"/>
      <c r="F155" s="5"/>
      <c r="G155" s="5"/>
    </row>
    <row r="156" spans="1:7" ht="13">
      <c r="A156" s="48"/>
      <c r="B156" s="53"/>
      <c r="C156" s="48"/>
      <c r="D156" s="47"/>
      <c r="E156" s="5"/>
      <c r="F156" s="5"/>
      <c r="G156" s="5"/>
    </row>
    <row r="157" spans="1:7" ht="13">
      <c r="A157" s="48"/>
      <c r="B157" s="53"/>
      <c r="C157" s="48"/>
      <c r="D157" s="47"/>
      <c r="E157" s="5"/>
      <c r="F157" s="5"/>
      <c r="G157" s="5"/>
    </row>
    <row r="158" spans="1:7" ht="13">
      <c r="A158" s="48"/>
      <c r="B158" s="53"/>
      <c r="C158" s="48"/>
      <c r="D158" s="47"/>
      <c r="E158" s="5"/>
      <c r="F158" s="5"/>
      <c r="G158" s="5"/>
    </row>
    <row r="159" spans="1:7" ht="13">
      <c r="A159" s="48"/>
      <c r="B159" s="53"/>
      <c r="C159" s="48"/>
      <c r="D159" s="47"/>
      <c r="E159" s="5"/>
      <c r="F159" s="5"/>
      <c r="G159" s="5"/>
    </row>
    <row r="160" spans="1:7" ht="13">
      <c r="A160" s="48"/>
      <c r="B160" s="53"/>
      <c r="C160" s="48"/>
      <c r="D160" s="47"/>
      <c r="E160" s="5"/>
      <c r="F160" s="5"/>
      <c r="G160" s="5"/>
    </row>
    <row r="161" spans="1:7" ht="13">
      <c r="A161" s="48"/>
      <c r="B161" s="53"/>
      <c r="C161" s="48"/>
      <c r="D161" s="47"/>
      <c r="E161" s="5"/>
      <c r="F161" s="5"/>
      <c r="G161" s="5"/>
    </row>
    <row r="162" spans="1:7" ht="13">
      <c r="A162" s="48"/>
      <c r="B162" s="53"/>
      <c r="C162" s="48"/>
      <c r="D162" s="47"/>
      <c r="E162" s="5"/>
      <c r="F162" s="5"/>
      <c r="G162" s="5"/>
    </row>
    <row r="163" spans="1:7" ht="13">
      <c r="A163" s="48"/>
      <c r="B163" s="53"/>
      <c r="C163" s="48"/>
      <c r="D163" s="47"/>
      <c r="E163" s="5"/>
      <c r="F163" s="5"/>
      <c r="G163" s="5"/>
    </row>
    <row r="164" spans="1:7" ht="13">
      <c r="A164" s="48"/>
      <c r="B164" s="53"/>
      <c r="C164" s="48"/>
      <c r="D164" s="47"/>
      <c r="E164" s="5"/>
      <c r="F164" s="5"/>
      <c r="G164" s="5"/>
    </row>
    <row r="165" spans="1:7" ht="13">
      <c r="A165" s="48"/>
      <c r="B165" s="53"/>
      <c r="C165" s="48"/>
      <c r="D165" s="47"/>
      <c r="E165" s="5"/>
      <c r="F165" s="5"/>
      <c r="G165" s="5"/>
    </row>
    <row r="166" spans="1:7" ht="13">
      <c r="A166" s="48"/>
      <c r="B166" s="53"/>
      <c r="C166" s="48"/>
      <c r="D166" s="47"/>
      <c r="E166" s="5"/>
      <c r="F166" s="5"/>
      <c r="G166" s="5"/>
    </row>
    <row r="167" spans="1:7" ht="13">
      <c r="A167" s="48"/>
      <c r="B167" s="50"/>
      <c r="C167" s="48"/>
      <c r="D167" s="47"/>
      <c r="E167" s="5"/>
      <c r="F167" s="5"/>
      <c r="G167" s="5"/>
    </row>
    <row r="168" spans="1:7" ht="13">
      <c r="A168" s="48"/>
      <c r="B168" s="50"/>
      <c r="C168" s="48"/>
      <c r="D168" s="47"/>
      <c r="E168" s="5"/>
      <c r="F168" s="5"/>
      <c r="G168" s="5"/>
    </row>
    <row r="169" spans="1:7" ht="13">
      <c r="A169" s="48"/>
      <c r="B169" s="50"/>
      <c r="C169" s="48"/>
      <c r="D169" s="47"/>
      <c r="E169" s="5"/>
      <c r="F169" s="5"/>
      <c r="G169" s="5"/>
    </row>
    <row r="170" spans="1:7" ht="13">
      <c r="A170" s="48"/>
      <c r="B170" s="50"/>
      <c r="C170" s="48"/>
      <c r="D170" s="47"/>
      <c r="E170" s="5"/>
      <c r="F170" s="5"/>
      <c r="G170" s="5"/>
    </row>
    <row r="171" spans="1:7" ht="13">
      <c r="A171" s="48"/>
      <c r="B171" s="50"/>
      <c r="C171" s="48"/>
      <c r="D171" s="47"/>
      <c r="E171" s="5"/>
      <c r="F171" s="5"/>
      <c r="G171" s="5"/>
    </row>
    <row r="172" spans="1:7" ht="13">
      <c r="A172" s="48"/>
      <c r="B172" s="50"/>
      <c r="C172" s="48"/>
      <c r="D172" s="47"/>
      <c r="E172" s="5"/>
      <c r="F172" s="5"/>
      <c r="G172" s="5"/>
    </row>
    <row r="173" spans="1:7" ht="13">
      <c r="A173" s="48"/>
      <c r="B173" s="50"/>
      <c r="C173" s="48"/>
      <c r="D173" s="47"/>
      <c r="E173" s="5"/>
      <c r="F173" s="5"/>
      <c r="G173" s="5"/>
    </row>
    <row r="174" spans="1:7" ht="13">
      <c r="A174" s="48"/>
      <c r="B174" s="50"/>
      <c r="C174" s="48"/>
      <c r="D174" s="47"/>
      <c r="E174" s="5"/>
      <c r="F174" s="5"/>
      <c r="G174" s="5"/>
    </row>
    <row r="175" spans="1:7" ht="13">
      <c r="A175" s="48"/>
      <c r="B175" s="50"/>
      <c r="C175" s="48"/>
      <c r="D175" s="47"/>
      <c r="E175" s="5"/>
      <c r="F175" s="5"/>
      <c r="G175" s="5"/>
    </row>
    <row r="176" spans="1:7" ht="13">
      <c r="C176" s="80"/>
      <c r="D176" s="5"/>
      <c r="E176" s="5"/>
      <c r="F176" s="5"/>
      <c r="G176" s="5"/>
    </row>
    <row r="177" spans="3:7" ht="13">
      <c r="C177" s="80"/>
      <c r="D177" s="5"/>
      <c r="E177" s="5"/>
      <c r="F177" s="5"/>
      <c r="G177" s="5"/>
    </row>
    <row r="178" spans="3:7" ht="13">
      <c r="C178" s="80"/>
      <c r="D178" s="5"/>
      <c r="E178" s="5"/>
      <c r="F178" s="5"/>
      <c r="G178" s="5"/>
    </row>
    <row r="179" spans="3:7" ht="13">
      <c r="C179" s="80"/>
      <c r="D179" s="5"/>
      <c r="E179" s="5"/>
      <c r="F179" s="5"/>
      <c r="G179" s="5"/>
    </row>
    <row r="180" spans="3:7" ht="13">
      <c r="C180" s="80"/>
      <c r="D180" s="5"/>
      <c r="E180" s="5"/>
      <c r="F180" s="5"/>
      <c r="G180" s="5"/>
    </row>
    <row r="181" spans="3:7" ht="13">
      <c r="C181" s="80"/>
      <c r="D181" s="5"/>
      <c r="E181" s="5"/>
      <c r="F181" s="5"/>
      <c r="G181" s="5"/>
    </row>
    <row r="182" spans="3:7" ht="13">
      <c r="C182" s="80"/>
      <c r="D182" s="5"/>
      <c r="E182" s="5"/>
      <c r="F182" s="5"/>
      <c r="G182" s="5"/>
    </row>
    <row r="183" spans="3:7" ht="13">
      <c r="C183" s="80"/>
      <c r="D183" s="5"/>
      <c r="E183" s="5"/>
      <c r="F183" s="5"/>
      <c r="G183" s="5"/>
    </row>
    <row r="184" spans="3:7" ht="13">
      <c r="C184" s="80"/>
      <c r="D184" s="5"/>
      <c r="E184" s="5"/>
      <c r="F184" s="5"/>
      <c r="G184" s="5"/>
    </row>
    <row r="185" spans="3:7" ht="13">
      <c r="C185" s="80"/>
      <c r="D185" s="5"/>
      <c r="E185" s="5"/>
      <c r="F185" s="5"/>
      <c r="G185" s="5"/>
    </row>
    <row r="186" spans="3:7" ht="13">
      <c r="C186" s="80"/>
      <c r="D186" s="5"/>
      <c r="E186" s="5"/>
      <c r="F186" s="5"/>
      <c r="G186" s="5"/>
    </row>
    <row r="187" spans="3:7" ht="13">
      <c r="C187" s="80"/>
      <c r="D187" s="5"/>
      <c r="E187" s="5"/>
      <c r="F187" s="5"/>
      <c r="G187" s="5"/>
    </row>
    <row r="188" spans="3:7" ht="13">
      <c r="C188" s="80"/>
      <c r="D188" s="5"/>
      <c r="E188" s="5"/>
      <c r="F188" s="5"/>
      <c r="G188" s="5"/>
    </row>
    <row r="189" spans="3:7" ht="13">
      <c r="C189" s="80"/>
      <c r="D189" s="5"/>
      <c r="E189" s="5"/>
      <c r="F189" s="5"/>
      <c r="G189" s="5"/>
    </row>
    <row r="190" spans="3:7" ht="13">
      <c r="C190" s="80"/>
      <c r="D190" s="5"/>
      <c r="E190" s="5"/>
      <c r="F190" s="5"/>
      <c r="G190" s="5"/>
    </row>
    <row r="191" spans="3:7" ht="13">
      <c r="C191" s="80"/>
      <c r="D191" s="5"/>
      <c r="E191" s="5"/>
      <c r="F191" s="5"/>
      <c r="G191" s="5"/>
    </row>
    <row r="192" spans="3:7" ht="13">
      <c r="C192" s="80"/>
      <c r="D192" s="5"/>
      <c r="E192" s="5"/>
      <c r="F192" s="5"/>
      <c r="G192" s="5"/>
    </row>
    <row r="193" spans="3:7" ht="13">
      <c r="C193" s="80"/>
      <c r="D193" s="5"/>
      <c r="E193" s="5"/>
      <c r="F193" s="5"/>
      <c r="G193" s="5"/>
    </row>
    <row r="194" spans="3:7" ht="13">
      <c r="C194" s="80"/>
      <c r="D194" s="5"/>
      <c r="E194" s="5"/>
      <c r="F194" s="5"/>
      <c r="G194" s="5"/>
    </row>
    <row r="195" spans="3:7" ht="13">
      <c r="C195" s="80"/>
      <c r="D195" s="5"/>
      <c r="E195" s="5"/>
      <c r="F195" s="5"/>
      <c r="G195" s="5"/>
    </row>
    <row r="196" spans="3:7" ht="13">
      <c r="C196" s="80"/>
      <c r="D196" s="5"/>
      <c r="E196" s="5"/>
      <c r="F196" s="5"/>
      <c r="G196" s="5"/>
    </row>
    <row r="197" spans="3:7" ht="13">
      <c r="C197" s="80"/>
      <c r="D197" s="5"/>
      <c r="E197" s="5"/>
      <c r="F197" s="5"/>
      <c r="G197" s="5"/>
    </row>
    <row r="198" spans="3:7" ht="13">
      <c r="C198" s="80"/>
      <c r="D198" s="5"/>
      <c r="E198" s="5"/>
      <c r="F198" s="5"/>
      <c r="G198" s="5"/>
    </row>
    <row r="199" spans="3:7" ht="13">
      <c r="C199" s="80"/>
      <c r="D199" s="5"/>
      <c r="E199" s="5"/>
      <c r="F199" s="5"/>
      <c r="G199" s="5"/>
    </row>
    <row r="200" spans="3:7" ht="13">
      <c r="C200" s="80"/>
      <c r="D200" s="5"/>
      <c r="E200" s="5"/>
      <c r="F200" s="5"/>
      <c r="G200" s="5"/>
    </row>
    <row r="201" spans="3:7" ht="13">
      <c r="C201" s="80"/>
      <c r="D201" s="5"/>
      <c r="E201" s="5"/>
      <c r="F201" s="5"/>
      <c r="G201" s="5"/>
    </row>
    <row r="202" spans="3:7" ht="13">
      <c r="C202" s="80"/>
      <c r="D202" s="5"/>
      <c r="E202" s="5"/>
      <c r="F202" s="5"/>
      <c r="G202" s="5"/>
    </row>
    <row r="203" spans="3:7" ht="13">
      <c r="C203" s="80"/>
      <c r="D203" s="5"/>
      <c r="E203" s="5"/>
      <c r="F203" s="5"/>
      <c r="G203" s="5"/>
    </row>
    <row r="204" spans="3:7" ht="13">
      <c r="C204" s="80"/>
      <c r="D204" s="5"/>
      <c r="E204" s="5"/>
      <c r="F204" s="5"/>
      <c r="G204" s="5"/>
    </row>
    <row r="205" spans="3:7" ht="13">
      <c r="C205" s="80"/>
      <c r="D205" s="5"/>
      <c r="E205" s="5"/>
      <c r="F205" s="5"/>
      <c r="G205" s="5"/>
    </row>
    <row r="206" spans="3:7" ht="13">
      <c r="C206" s="80"/>
      <c r="D206" s="5"/>
      <c r="E206" s="5"/>
      <c r="F206" s="5"/>
      <c r="G206" s="5"/>
    </row>
    <row r="207" spans="3:7" ht="13">
      <c r="C207" s="80"/>
      <c r="D207" s="5"/>
      <c r="E207" s="5"/>
      <c r="F207" s="5"/>
      <c r="G207" s="5"/>
    </row>
    <row r="208" spans="3:7" ht="13">
      <c r="C208" s="80"/>
      <c r="D208" s="5"/>
      <c r="E208" s="5"/>
      <c r="F208" s="5"/>
      <c r="G208" s="5"/>
    </row>
    <row r="209" spans="3:7" ht="13">
      <c r="C209" s="80"/>
      <c r="D209" s="5"/>
      <c r="E209" s="5"/>
      <c r="F209" s="5"/>
      <c r="G209" s="5"/>
    </row>
    <row r="210" spans="3:7" ht="13">
      <c r="C210" s="80"/>
      <c r="D210" s="5"/>
      <c r="E210" s="5"/>
      <c r="F210" s="5"/>
      <c r="G210" s="5"/>
    </row>
    <row r="211" spans="3:7" ht="13">
      <c r="C211" s="80"/>
      <c r="D211" s="5"/>
      <c r="E211" s="5"/>
      <c r="F211" s="5"/>
      <c r="G211" s="5"/>
    </row>
    <row r="212" spans="3:7" ht="13">
      <c r="C212" s="80"/>
      <c r="D212" s="5"/>
      <c r="E212" s="5"/>
      <c r="F212" s="5"/>
      <c r="G212" s="5"/>
    </row>
    <row r="213" spans="3:7" ht="13">
      <c r="C213" s="80"/>
      <c r="D213" s="5"/>
      <c r="E213" s="5"/>
      <c r="F213" s="5"/>
      <c r="G213" s="5"/>
    </row>
    <row r="214" spans="3:7" ht="13">
      <c r="C214" s="80"/>
      <c r="D214" s="5"/>
      <c r="E214" s="5"/>
      <c r="F214" s="5"/>
      <c r="G214" s="5"/>
    </row>
    <row r="215" spans="3:7" ht="13">
      <c r="C215" s="80"/>
      <c r="D215" s="5"/>
      <c r="E215" s="5"/>
      <c r="F215" s="5"/>
      <c r="G215" s="5"/>
    </row>
    <row r="216" spans="3:7" ht="13">
      <c r="C216" s="80"/>
      <c r="D216" s="5"/>
      <c r="E216" s="5"/>
      <c r="F216" s="5"/>
      <c r="G216" s="5"/>
    </row>
    <row r="217" spans="3:7" ht="13">
      <c r="C217" s="80"/>
      <c r="D217" s="5"/>
      <c r="E217" s="5"/>
      <c r="F217" s="5"/>
      <c r="G217" s="5"/>
    </row>
    <row r="218" spans="3:7" ht="13">
      <c r="C218" s="80"/>
      <c r="D218" s="5"/>
      <c r="E218" s="5"/>
      <c r="F218" s="5"/>
      <c r="G218" s="5"/>
    </row>
    <row r="219" spans="3:7" ht="13">
      <c r="C219" s="80"/>
      <c r="D219" s="5"/>
      <c r="E219" s="5"/>
      <c r="F219" s="5"/>
      <c r="G219" s="5"/>
    </row>
    <row r="220" spans="3:7" ht="13">
      <c r="C220" s="80"/>
      <c r="D220" s="5"/>
      <c r="E220" s="5"/>
      <c r="F220" s="5"/>
      <c r="G220" s="5"/>
    </row>
    <row r="221" spans="3:7" ht="13">
      <c r="C221" s="80"/>
      <c r="D221" s="5"/>
      <c r="E221" s="5"/>
      <c r="F221" s="5"/>
      <c r="G221" s="5"/>
    </row>
    <row r="222" spans="3:7" ht="13">
      <c r="C222" s="80"/>
      <c r="D222" s="5"/>
      <c r="E222" s="5"/>
      <c r="F222" s="5"/>
      <c r="G222" s="5"/>
    </row>
    <row r="223" spans="3:7" ht="13">
      <c r="C223" s="80"/>
      <c r="D223" s="5"/>
      <c r="E223" s="5"/>
      <c r="F223" s="5"/>
      <c r="G223" s="5"/>
    </row>
    <row r="224" spans="3:7" ht="13">
      <c r="C224" s="80"/>
      <c r="D224" s="5"/>
      <c r="E224" s="5"/>
      <c r="F224" s="5"/>
      <c r="G224" s="5"/>
    </row>
    <row r="225" spans="3:7" ht="13">
      <c r="C225" s="80"/>
      <c r="D225" s="5"/>
      <c r="E225" s="5"/>
      <c r="F225" s="5"/>
      <c r="G225" s="5"/>
    </row>
    <row r="226" spans="3:7" ht="13">
      <c r="C226" s="80"/>
      <c r="D226" s="5"/>
      <c r="E226" s="5"/>
      <c r="F226" s="5"/>
      <c r="G226" s="5"/>
    </row>
    <row r="227" spans="3:7" ht="13">
      <c r="C227" s="80"/>
      <c r="D227" s="5"/>
      <c r="E227" s="5"/>
      <c r="F227" s="5"/>
      <c r="G227" s="5"/>
    </row>
    <row r="228" spans="3:7" ht="13">
      <c r="C228" s="80"/>
      <c r="D228" s="5"/>
      <c r="E228" s="5"/>
      <c r="F228" s="5"/>
      <c r="G228" s="5"/>
    </row>
    <row r="229" spans="3:7" ht="13">
      <c r="C229" s="80"/>
      <c r="D229" s="5"/>
      <c r="E229" s="5"/>
      <c r="F229" s="5"/>
      <c r="G229" s="5"/>
    </row>
    <row r="230" spans="3:7" ht="13">
      <c r="C230" s="80"/>
      <c r="D230" s="5"/>
      <c r="E230" s="5"/>
      <c r="F230" s="5"/>
      <c r="G230" s="5"/>
    </row>
    <row r="231" spans="3:7" ht="13">
      <c r="C231" s="80"/>
      <c r="D231" s="5"/>
      <c r="E231" s="5"/>
      <c r="F231" s="5"/>
      <c r="G231" s="5"/>
    </row>
    <row r="232" spans="3:7" ht="13">
      <c r="C232" s="80"/>
      <c r="D232" s="5"/>
      <c r="E232" s="5"/>
      <c r="F232" s="5"/>
      <c r="G232" s="5"/>
    </row>
    <row r="233" spans="3:7" ht="13">
      <c r="C233" s="80"/>
      <c r="D233" s="5"/>
      <c r="E233" s="5"/>
      <c r="F233" s="5"/>
      <c r="G233" s="5"/>
    </row>
    <row r="234" spans="3:7" ht="13">
      <c r="C234" s="80"/>
      <c r="D234" s="5"/>
      <c r="E234" s="5"/>
      <c r="F234" s="5"/>
      <c r="G234" s="5"/>
    </row>
    <row r="235" spans="3:7" ht="13">
      <c r="C235" s="80"/>
      <c r="D235" s="5"/>
      <c r="E235" s="5"/>
      <c r="F235" s="5"/>
      <c r="G235" s="5"/>
    </row>
    <row r="236" spans="3:7" ht="13">
      <c r="C236" s="80"/>
      <c r="D236" s="5"/>
      <c r="E236" s="5"/>
      <c r="F236" s="5"/>
      <c r="G236" s="5"/>
    </row>
    <row r="237" spans="3:7" ht="13">
      <c r="C237" s="80"/>
      <c r="D237" s="5"/>
      <c r="E237" s="5"/>
      <c r="F237" s="5"/>
      <c r="G237" s="5"/>
    </row>
    <row r="238" spans="3:7" ht="13">
      <c r="C238" s="80"/>
      <c r="D238" s="5"/>
      <c r="E238" s="5"/>
      <c r="F238" s="5"/>
      <c r="G238" s="5"/>
    </row>
    <row r="239" spans="3:7" ht="13">
      <c r="C239" s="80"/>
      <c r="D239" s="5"/>
      <c r="E239" s="5"/>
      <c r="F239" s="5"/>
      <c r="G239" s="5"/>
    </row>
    <row r="240" spans="3:7" ht="13">
      <c r="C240" s="80"/>
      <c r="D240" s="5"/>
      <c r="E240" s="5"/>
      <c r="F240" s="5"/>
      <c r="G240" s="5"/>
    </row>
    <row r="241" spans="3:7" ht="13">
      <c r="C241" s="80"/>
      <c r="D241" s="5"/>
      <c r="E241" s="5"/>
      <c r="F241" s="5"/>
      <c r="G241" s="5"/>
    </row>
    <row r="242" spans="3:7" ht="13">
      <c r="C242" s="80"/>
      <c r="D242" s="5"/>
      <c r="E242" s="5"/>
      <c r="F242" s="5"/>
      <c r="G242" s="5"/>
    </row>
    <row r="243" spans="3:7" ht="13">
      <c r="C243" s="80"/>
      <c r="D243" s="5"/>
      <c r="E243" s="5"/>
      <c r="F243" s="5"/>
      <c r="G243" s="5"/>
    </row>
    <row r="244" spans="3:7" ht="13">
      <c r="C244" s="80"/>
      <c r="D244" s="5"/>
      <c r="E244" s="5"/>
      <c r="F244" s="5"/>
      <c r="G244" s="5"/>
    </row>
    <row r="245" spans="3:7" ht="13">
      <c r="C245" s="80"/>
      <c r="D245" s="5"/>
      <c r="E245" s="5"/>
      <c r="F245" s="5"/>
      <c r="G245" s="5"/>
    </row>
    <row r="246" spans="3:7" ht="13">
      <c r="C246" s="80"/>
      <c r="D246" s="5"/>
      <c r="E246" s="5"/>
      <c r="F246" s="5"/>
      <c r="G246" s="5"/>
    </row>
    <row r="247" spans="3:7" ht="13">
      <c r="C247" s="80"/>
      <c r="D247" s="5"/>
      <c r="E247" s="5"/>
      <c r="F247" s="5"/>
      <c r="G247" s="5"/>
    </row>
    <row r="248" spans="3:7" ht="13">
      <c r="C248" s="80"/>
      <c r="D248" s="5"/>
      <c r="E248" s="5"/>
      <c r="F248" s="5"/>
      <c r="G248" s="5"/>
    </row>
    <row r="249" spans="3:7" ht="13">
      <c r="C249" s="80"/>
      <c r="D249" s="5"/>
      <c r="E249" s="5"/>
      <c r="F249" s="5"/>
      <c r="G249" s="5"/>
    </row>
    <row r="250" spans="3:7" ht="13">
      <c r="C250" s="80"/>
      <c r="D250" s="5"/>
      <c r="E250" s="5"/>
      <c r="F250" s="5"/>
      <c r="G250" s="5"/>
    </row>
    <row r="251" spans="3:7" ht="13">
      <c r="C251" s="80"/>
      <c r="D251" s="5"/>
      <c r="E251" s="5"/>
      <c r="F251" s="5"/>
      <c r="G251" s="5"/>
    </row>
    <row r="252" spans="3:7" ht="13">
      <c r="C252" s="80"/>
      <c r="D252" s="5"/>
      <c r="E252" s="5"/>
      <c r="F252" s="5"/>
      <c r="G252" s="5"/>
    </row>
    <row r="253" spans="3:7" ht="13">
      <c r="C253" s="80"/>
      <c r="D253" s="5"/>
      <c r="E253" s="5"/>
      <c r="F253" s="5"/>
      <c r="G253" s="5"/>
    </row>
    <row r="254" spans="3:7" ht="13">
      <c r="C254" s="80"/>
      <c r="D254" s="5"/>
      <c r="E254" s="5"/>
      <c r="F254" s="5"/>
      <c r="G254" s="5"/>
    </row>
    <row r="255" spans="3:7" ht="13">
      <c r="C255" s="80"/>
      <c r="D255" s="5"/>
      <c r="E255" s="5"/>
      <c r="F255" s="5"/>
      <c r="G255" s="5"/>
    </row>
    <row r="256" spans="3:7" ht="13">
      <c r="C256" s="80"/>
      <c r="D256" s="5"/>
      <c r="E256" s="5"/>
      <c r="F256" s="5"/>
      <c r="G256" s="5"/>
    </row>
    <row r="257" spans="3:7" ht="13">
      <c r="C257" s="80"/>
      <c r="D257" s="5"/>
      <c r="E257" s="5"/>
      <c r="F257" s="5"/>
      <c r="G257" s="5"/>
    </row>
    <row r="258" spans="3:7" ht="13">
      <c r="C258" s="80"/>
      <c r="D258" s="5"/>
      <c r="E258" s="5"/>
      <c r="F258" s="5"/>
      <c r="G258" s="5"/>
    </row>
    <row r="259" spans="3:7" ht="13">
      <c r="C259" s="80"/>
      <c r="D259" s="5"/>
      <c r="E259" s="5"/>
      <c r="F259" s="5"/>
      <c r="G259" s="5"/>
    </row>
    <row r="260" spans="3:7" ht="13">
      <c r="C260" s="80"/>
      <c r="D260" s="5"/>
      <c r="E260" s="5"/>
      <c r="F260" s="5"/>
      <c r="G260" s="5"/>
    </row>
    <row r="261" spans="3:7" ht="13">
      <c r="C261" s="80"/>
      <c r="D261" s="5"/>
      <c r="E261" s="5"/>
      <c r="F261" s="5"/>
      <c r="G261" s="5"/>
    </row>
    <row r="262" spans="3:7" ht="13">
      <c r="C262" s="80"/>
      <c r="D262" s="5"/>
      <c r="E262" s="5"/>
      <c r="F262" s="5"/>
      <c r="G262" s="5"/>
    </row>
    <row r="263" spans="3:7" ht="13">
      <c r="C263" s="80"/>
      <c r="D263" s="5"/>
      <c r="E263" s="5"/>
      <c r="F263" s="5"/>
      <c r="G263" s="5"/>
    </row>
    <row r="264" spans="3:7" ht="13">
      <c r="C264" s="80"/>
      <c r="D264" s="5"/>
      <c r="E264" s="5"/>
      <c r="F264" s="5"/>
      <c r="G264" s="5"/>
    </row>
    <row r="265" spans="3:7" ht="13">
      <c r="C265" s="80"/>
      <c r="D265" s="5"/>
      <c r="E265" s="5"/>
      <c r="F265" s="5"/>
      <c r="G265" s="5"/>
    </row>
    <row r="266" spans="3:7" ht="13">
      <c r="C266" s="80"/>
      <c r="D266" s="5"/>
      <c r="E266" s="5"/>
      <c r="F266" s="5"/>
      <c r="G266" s="5"/>
    </row>
    <row r="267" spans="3:7" ht="13">
      <c r="C267" s="80"/>
      <c r="D267" s="5"/>
      <c r="E267" s="5"/>
      <c r="F267" s="5"/>
      <c r="G267" s="5"/>
    </row>
    <row r="268" spans="3:7" ht="13">
      <c r="C268" s="80"/>
      <c r="D268" s="5"/>
      <c r="E268" s="5"/>
      <c r="F268" s="5"/>
      <c r="G268" s="5"/>
    </row>
    <row r="269" spans="3:7" ht="13">
      <c r="C269" s="80"/>
      <c r="D269" s="5"/>
      <c r="E269" s="5"/>
      <c r="F269" s="5"/>
      <c r="G269" s="5"/>
    </row>
    <row r="270" spans="3:7" ht="13">
      <c r="C270" s="80"/>
      <c r="D270" s="5"/>
      <c r="E270" s="5"/>
      <c r="F270" s="5"/>
      <c r="G270" s="5"/>
    </row>
    <row r="271" spans="3:7" ht="13">
      <c r="C271" s="80"/>
      <c r="D271" s="5"/>
      <c r="E271" s="5"/>
      <c r="F271" s="5"/>
      <c r="G271" s="5"/>
    </row>
    <row r="272" spans="3:7" ht="13">
      <c r="C272" s="80"/>
      <c r="D272" s="5"/>
      <c r="E272" s="5"/>
      <c r="F272" s="5"/>
      <c r="G272" s="5"/>
    </row>
    <row r="273" spans="3:7" ht="13">
      <c r="C273" s="80"/>
      <c r="D273" s="5"/>
      <c r="E273" s="5"/>
      <c r="F273" s="5"/>
      <c r="G273" s="5"/>
    </row>
    <row r="274" spans="3:7" ht="13">
      <c r="C274" s="80"/>
      <c r="D274" s="5"/>
      <c r="E274" s="5"/>
      <c r="F274" s="5"/>
      <c r="G274" s="5"/>
    </row>
    <row r="275" spans="3:7" ht="13">
      <c r="C275" s="80"/>
      <c r="D275" s="5"/>
      <c r="E275" s="5"/>
      <c r="F275" s="5"/>
      <c r="G275" s="5"/>
    </row>
    <row r="276" spans="3:7" ht="13">
      <c r="C276" s="80"/>
      <c r="D276" s="5"/>
      <c r="E276" s="5"/>
      <c r="F276" s="5"/>
      <c r="G276" s="5"/>
    </row>
    <row r="277" spans="3:7" ht="13">
      <c r="C277" s="80"/>
      <c r="D277" s="5"/>
      <c r="E277" s="5"/>
      <c r="F277" s="5"/>
      <c r="G277" s="5"/>
    </row>
    <row r="278" spans="3:7" ht="13">
      <c r="C278" s="80"/>
      <c r="D278" s="5"/>
      <c r="E278" s="5"/>
      <c r="F278" s="5"/>
      <c r="G278" s="5"/>
    </row>
    <row r="279" spans="3:7" ht="13">
      <c r="C279" s="80"/>
      <c r="D279" s="5"/>
      <c r="E279" s="5"/>
      <c r="F279" s="5"/>
      <c r="G279" s="5"/>
    </row>
    <row r="280" spans="3:7" ht="13">
      <c r="C280" s="80"/>
      <c r="D280" s="5"/>
      <c r="E280" s="5"/>
      <c r="F280" s="5"/>
      <c r="G280" s="5"/>
    </row>
    <row r="281" spans="3:7" ht="13">
      <c r="C281" s="80"/>
      <c r="D281" s="5"/>
      <c r="E281" s="5"/>
      <c r="F281" s="5"/>
      <c r="G281" s="5"/>
    </row>
    <row r="282" spans="3:7" ht="13">
      <c r="C282" s="80"/>
      <c r="D282" s="5"/>
      <c r="E282" s="5"/>
      <c r="F282" s="5"/>
      <c r="G282" s="5"/>
    </row>
    <row r="283" spans="3:7" ht="13">
      <c r="C283" s="80"/>
      <c r="D283" s="5"/>
      <c r="E283" s="5"/>
      <c r="F283" s="5"/>
      <c r="G283" s="5"/>
    </row>
    <row r="284" spans="3:7" ht="13">
      <c r="C284" s="80"/>
      <c r="D284" s="5"/>
      <c r="E284" s="5"/>
      <c r="F284" s="5"/>
      <c r="G284" s="5"/>
    </row>
    <row r="285" spans="3:7" ht="13">
      <c r="C285" s="80"/>
      <c r="D285" s="5"/>
      <c r="E285" s="5"/>
      <c r="F285" s="5"/>
      <c r="G285" s="5"/>
    </row>
    <row r="286" spans="3:7" ht="13">
      <c r="C286" s="80"/>
      <c r="D286" s="5"/>
      <c r="E286" s="5"/>
      <c r="F286" s="5"/>
      <c r="G286" s="5"/>
    </row>
    <row r="287" spans="3:7" ht="13">
      <c r="C287" s="80"/>
      <c r="D287" s="5"/>
      <c r="E287" s="5"/>
      <c r="F287" s="5"/>
      <c r="G287" s="5"/>
    </row>
    <row r="288" spans="3:7" ht="13">
      <c r="C288" s="80"/>
      <c r="D288" s="5"/>
      <c r="E288" s="5"/>
      <c r="F288" s="5"/>
      <c r="G288" s="5"/>
    </row>
    <row r="289" spans="3:7" ht="13">
      <c r="C289" s="80"/>
      <c r="D289" s="5"/>
      <c r="E289" s="5"/>
      <c r="F289" s="5"/>
      <c r="G289" s="5"/>
    </row>
    <row r="290" spans="3:7" ht="13">
      <c r="C290" s="80"/>
      <c r="D290" s="5"/>
      <c r="E290" s="5"/>
      <c r="F290" s="5"/>
      <c r="G290" s="5"/>
    </row>
    <row r="291" spans="3:7" ht="13">
      <c r="C291" s="80"/>
      <c r="D291" s="5"/>
      <c r="E291" s="5"/>
      <c r="F291" s="5"/>
      <c r="G291" s="5"/>
    </row>
    <row r="292" spans="3:7" ht="13">
      <c r="C292" s="80"/>
      <c r="D292" s="5"/>
      <c r="E292" s="5"/>
      <c r="F292" s="5"/>
      <c r="G292" s="5"/>
    </row>
    <row r="293" spans="3:7" ht="13">
      <c r="C293" s="80"/>
      <c r="D293" s="5"/>
      <c r="E293" s="5"/>
      <c r="F293" s="5"/>
      <c r="G293" s="5"/>
    </row>
    <row r="294" spans="3:7" ht="13">
      <c r="C294" s="80"/>
      <c r="D294" s="5"/>
      <c r="E294" s="5"/>
      <c r="F294" s="5"/>
      <c r="G294" s="5"/>
    </row>
    <row r="295" spans="3:7" ht="13">
      <c r="C295" s="80"/>
      <c r="D295" s="5"/>
      <c r="E295" s="5"/>
      <c r="F295" s="5"/>
      <c r="G295" s="5"/>
    </row>
    <row r="296" spans="3:7" ht="13">
      <c r="C296" s="80"/>
      <c r="D296" s="5"/>
      <c r="E296" s="5"/>
      <c r="F296" s="5"/>
      <c r="G296" s="5"/>
    </row>
    <row r="297" spans="3:7" ht="13">
      <c r="C297" s="80"/>
      <c r="D297" s="5"/>
      <c r="E297" s="5"/>
      <c r="F297" s="5"/>
      <c r="G297" s="5"/>
    </row>
    <row r="298" spans="3:7" ht="13">
      <c r="C298" s="80"/>
      <c r="D298" s="5"/>
      <c r="E298" s="5"/>
      <c r="F298" s="5"/>
      <c r="G298" s="5"/>
    </row>
    <row r="299" spans="3:7" ht="13">
      <c r="C299" s="80"/>
      <c r="D299" s="5"/>
      <c r="E299" s="5"/>
      <c r="F299" s="5"/>
      <c r="G299" s="5"/>
    </row>
    <row r="300" spans="3:7" ht="13">
      <c r="C300" s="80"/>
      <c r="D300" s="5"/>
      <c r="E300" s="5"/>
      <c r="F300" s="5"/>
      <c r="G300" s="5"/>
    </row>
    <row r="301" spans="3:7" ht="13">
      <c r="C301" s="80"/>
      <c r="D301" s="5"/>
      <c r="E301" s="5"/>
      <c r="F301" s="5"/>
      <c r="G301" s="5"/>
    </row>
    <row r="302" spans="3:7" ht="13">
      <c r="C302" s="80"/>
      <c r="D302" s="5"/>
      <c r="E302" s="5"/>
      <c r="F302" s="5"/>
      <c r="G302" s="5"/>
    </row>
    <row r="303" spans="3:7" ht="13">
      <c r="C303" s="80"/>
      <c r="D303" s="5"/>
      <c r="E303" s="5"/>
      <c r="F303" s="5"/>
      <c r="G303" s="5"/>
    </row>
    <row r="304" spans="3:7" ht="13">
      <c r="C304" s="80"/>
      <c r="D304" s="5"/>
      <c r="E304" s="5"/>
      <c r="F304" s="5"/>
      <c r="G304" s="5"/>
    </row>
    <row r="305" spans="3:7" ht="13">
      <c r="C305" s="80"/>
      <c r="D305" s="5"/>
      <c r="E305" s="5"/>
      <c r="F305" s="5"/>
      <c r="G305" s="5"/>
    </row>
    <row r="306" spans="3:7" ht="13">
      <c r="C306" s="80"/>
      <c r="D306" s="5"/>
      <c r="E306" s="5"/>
      <c r="F306" s="5"/>
      <c r="G306" s="5"/>
    </row>
    <row r="307" spans="3:7" ht="13">
      <c r="C307" s="80"/>
      <c r="D307" s="5"/>
      <c r="E307" s="5"/>
      <c r="F307" s="5"/>
      <c r="G307" s="5"/>
    </row>
    <row r="308" spans="3:7" ht="13">
      <c r="C308" s="80"/>
      <c r="D308" s="5"/>
      <c r="E308" s="5"/>
      <c r="F308" s="5"/>
      <c r="G308" s="5"/>
    </row>
    <row r="309" spans="3:7" ht="13">
      <c r="C309" s="80"/>
      <c r="D309" s="5"/>
      <c r="E309" s="5"/>
      <c r="F309" s="5"/>
      <c r="G309" s="5"/>
    </row>
    <row r="310" spans="3:7" ht="13">
      <c r="C310" s="80"/>
      <c r="D310" s="5"/>
      <c r="E310" s="5"/>
      <c r="F310" s="5"/>
      <c r="G310" s="5"/>
    </row>
    <row r="311" spans="3:7" ht="13">
      <c r="C311" s="80"/>
      <c r="D311" s="5"/>
      <c r="E311" s="5"/>
      <c r="F311" s="5"/>
      <c r="G311" s="5"/>
    </row>
    <row r="312" spans="3:7" ht="13">
      <c r="C312" s="80"/>
      <c r="D312" s="5"/>
      <c r="E312" s="5"/>
      <c r="F312" s="5"/>
      <c r="G312" s="5"/>
    </row>
    <row r="313" spans="3:7" ht="13">
      <c r="C313" s="80"/>
      <c r="D313" s="5"/>
      <c r="E313" s="5"/>
      <c r="F313" s="5"/>
      <c r="G313" s="5"/>
    </row>
    <row r="314" spans="3:7" ht="13">
      <c r="C314" s="80"/>
      <c r="D314" s="5"/>
      <c r="E314" s="5"/>
      <c r="F314" s="5"/>
      <c r="G314" s="5"/>
    </row>
    <row r="315" spans="3:7" ht="13">
      <c r="C315" s="80"/>
      <c r="D315" s="5"/>
      <c r="E315" s="5"/>
      <c r="F315" s="5"/>
      <c r="G315" s="5"/>
    </row>
    <row r="316" spans="3:7" ht="13">
      <c r="C316" s="80"/>
      <c r="D316" s="5"/>
      <c r="E316" s="5"/>
      <c r="F316" s="5"/>
      <c r="G316" s="5"/>
    </row>
    <row r="317" spans="3:7" ht="13">
      <c r="C317" s="80"/>
      <c r="D317" s="5"/>
      <c r="E317" s="5"/>
      <c r="F317" s="5"/>
      <c r="G317" s="5"/>
    </row>
    <row r="318" spans="3:7" ht="13">
      <c r="C318" s="80"/>
      <c r="D318" s="5"/>
      <c r="E318" s="5"/>
      <c r="F318" s="5"/>
      <c r="G318" s="5"/>
    </row>
    <row r="319" spans="3:7" ht="13">
      <c r="C319" s="80"/>
      <c r="D319" s="5"/>
      <c r="E319" s="5"/>
      <c r="F319" s="5"/>
      <c r="G319" s="5"/>
    </row>
    <row r="320" spans="3:7" ht="13">
      <c r="C320" s="80"/>
      <c r="D320" s="5"/>
      <c r="E320" s="5"/>
      <c r="F320" s="5"/>
      <c r="G320" s="5"/>
    </row>
    <row r="321" spans="3:7" ht="13">
      <c r="C321" s="80"/>
      <c r="D321" s="5"/>
      <c r="E321" s="5"/>
      <c r="F321" s="5"/>
      <c r="G321" s="5"/>
    </row>
    <row r="322" spans="3:7" ht="13">
      <c r="C322" s="80"/>
      <c r="D322" s="5"/>
      <c r="E322" s="5"/>
      <c r="F322" s="5"/>
      <c r="G322" s="5"/>
    </row>
    <row r="323" spans="3:7" ht="13">
      <c r="C323" s="80"/>
      <c r="D323" s="5"/>
      <c r="E323" s="5"/>
      <c r="F323" s="5"/>
      <c r="G323" s="5"/>
    </row>
    <row r="324" spans="3:7" ht="13">
      <c r="C324" s="80"/>
      <c r="D324" s="5"/>
      <c r="E324" s="5"/>
      <c r="F324" s="5"/>
      <c r="G324" s="5"/>
    </row>
    <row r="325" spans="3:7" ht="13">
      <c r="C325" s="80"/>
      <c r="D325" s="5"/>
      <c r="E325" s="5"/>
      <c r="F325" s="5"/>
      <c r="G325" s="5"/>
    </row>
    <row r="326" spans="3:7" ht="13">
      <c r="C326" s="80"/>
      <c r="D326" s="5"/>
      <c r="E326" s="5"/>
      <c r="F326" s="5"/>
      <c r="G326" s="5"/>
    </row>
    <row r="327" spans="3:7" ht="13">
      <c r="C327" s="80"/>
      <c r="D327" s="5"/>
      <c r="E327" s="5"/>
      <c r="F327" s="5"/>
      <c r="G327" s="5"/>
    </row>
    <row r="328" spans="3:7" ht="13">
      <c r="C328" s="80"/>
      <c r="D328" s="5"/>
      <c r="E328" s="5"/>
      <c r="F328" s="5"/>
      <c r="G328" s="5"/>
    </row>
    <row r="329" spans="3:7" ht="13">
      <c r="C329" s="80"/>
      <c r="D329" s="5"/>
      <c r="E329" s="5"/>
      <c r="F329" s="5"/>
      <c r="G329" s="5"/>
    </row>
    <row r="330" spans="3:7" ht="13">
      <c r="C330" s="80"/>
      <c r="D330" s="5"/>
      <c r="E330" s="5"/>
      <c r="F330" s="5"/>
      <c r="G330" s="5"/>
    </row>
    <row r="331" spans="3:7" ht="13">
      <c r="C331" s="80"/>
      <c r="D331" s="5"/>
      <c r="E331" s="5"/>
      <c r="F331" s="5"/>
      <c r="G331" s="5"/>
    </row>
    <row r="332" spans="3:7" ht="13">
      <c r="C332" s="80"/>
      <c r="D332" s="5"/>
      <c r="E332" s="5"/>
      <c r="F332" s="5"/>
      <c r="G332" s="5"/>
    </row>
    <row r="333" spans="3:7" ht="13">
      <c r="C333" s="80"/>
      <c r="D333" s="5"/>
      <c r="E333" s="5"/>
      <c r="F333" s="5"/>
      <c r="G333" s="5"/>
    </row>
    <row r="334" spans="3:7" ht="13">
      <c r="C334" s="80"/>
      <c r="D334" s="5"/>
      <c r="E334" s="5"/>
      <c r="F334" s="5"/>
      <c r="G334" s="5"/>
    </row>
    <row r="335" spans="3:7" ht="13">
      <c r="C335" s="80"/>
      <c r="D335" s="5"/>
      <c r="E335" s="5"/>
      <c r="F335" s="5"/>
      <c r="G335" s="5"/>
    </row>
    <row r="336" spans="3:7" ht="13">
      <c r="C336" s="80"/>
      <c r="D336" s="5"/>
      <c r="E336" s="5"/>
      <c r="F336" s="5"/>
      <c r="G336" s="5"/>
    </row>
    <row r="337" spans="3:7" ht="13">
      <c r="C337" s="80"/>
      <c r="D337" s="5"/>
      <c r="E337" s="5"/>
      <c r="F337" s="5"/>
      <c r="G337" s="5"/>
    </row>
    <row r="338" spans="3:7" ht="13">
      <c r="C338" s="80"/>
      <c r="D338" s="5"/>
      <c r="E338" s="5"/>
      <c r="F338" s="5"/>
      <c r="G338" s="5"/>
    </row>
    <row r="339" spans="3:7" ht="13">
      <c r="C339" s="80"/>
      <c r="D339" s="5"/>
      <c r="E339" s="5"/>
      <c r="F339" s="5"/>
      <c r="G339" s="5"/>
    </row>
    <row r="340" spans="3:7" ht="13">
      <c r="C340" s="80"/>
      <c r="D340" s="5"/>
      <c r="E340" s="5"/>
      <c r="F340" s="5"/>
      <c r="G340" s="5"/>
    </row>
    <row r="341" spans="3:7" ht="13">
      <c r="C341" s="80"/>
      <c r="D341" s="5"/>
      <c r="E341" s="5"/>
      <c r="F341" s="5"/>
      <c r="G341" s="5"/>
    </row>
    <row r="342" spans="3:7" ht="13">
      <c r="C342" s="80"/>
      <c r="D342" s="5"/>
      <c r="E342" s="5"/>
      <c r="F342" s="5"/>
      <c r="G342" s="5"/>
    </row>
    <row r="343" spans="3:7" ht="13">
      <c r="C343" s="80"/>
      <c r="D343" s="5"/>
      <c r="E343" s="5"/>
      <c r="F343" s="5"/>
      <c r="G343" s="5"/>
    </row>
    <row r="344" spans="3:7" ht="13">
      <c r="C344" s="80"/>
      <c r="D344" s="5"/>
      <c r="E344" s="5"/>
      <c r="F344" s="5"/>
      <c r="G344" s="5"/>
    </row>
    <row r="345" spans="3:7" ht="13">
      <c r="C345" s="80"/>
      <c r="D345" s="5"/>
      <c r="E345" s="5"/>
      <c r="F345" s="5"/>
      <c r="G345" s="5"/>
    </row>
    <row r="346" spans="3:7" ht="13">
      <c r="C346" s="80"/>
      <c r="D346" s="5"/>
      <c r="E346" s="5"/>
      <c r="F346" s="5"/>
      <c r="G346" s="5"/>
    </row>
    <row r="347" spans="3:7" ht="13">
      <c r="C347" s="80"/>
      <c r="D347" s="5"/>
      <c r="E347" s="5"/>
      <c r="F347" s="5"/>
      <c r="G347" s="5"/>
    </row>
    <row r="348" spans="3:7" ht="13">
      <c r="C348" s="80"/>
      <c r="D348" s="5"/>
      <c r="E348" s="5"/>
      <c r="F348" s="5"/>
      <c r="G348" s="5"/>
    </row>
    <row r="349" spans="3:7" ht="13">
      <c r="C349" s="80"/>
      <c r="D349" s="5"/>
      <c r="E349" s="5"/>
      <c r="F349" s="5"/>
      <c r="G349" s="5"/>
    </row>
    <row r="350" spans="3:7" ht="13">
      <c r="C350" s="80"/>
      <c r="D350" s="5"/>
      <c r="E350" s="5"/>
      <c r="F350" s="5"/>
      <c r="G350" s="5"/>
    </row>
    <row r="351" spans="3:7" ht="13">
      <c r="C351" s="80"/>
      <c r="D351" s="5"/>
      <c r="E351" s="5"/>
      <c r="F351" s="5"/>
      <c r="G351" s="5"/>
    </row>
    <row r="352" spans="3:7" ht="13">
      <c r="C352" s="80"/>
      <c r="D352" s="5"/>
      <c r="E352" s="5"/>
      <c r="F352" s="5"/>
      <c r="G352" s="5"/>
    </row>
    <row r="353" spans="3:7" ht="13">
      <c r="C353" s="80"/>
      <c r="D353" s="5"/>
      <c r="E353" s="5"/>
      <c r="F353" s="5"/>
      <c r="G353" s="5"/>
    </row>
    <row r="354" spans="3:7" ht="13">
      <c r="C354" s="80"/>
      <c r="D354" s="5"/>
      <c r="E354" s="5"/>
      <c r="F354" s="5"/>
      <c r="G354" s="5"/>
    </row>
    <row r="355" spans="3:7" ht="13">
      <c r="C355" s="80"/>
      <c r="D355" s="5"/>
      <c r="E355" s="5"/>
      <c r="F355" s="5"/>
      <c r="G355" s="5"/>
    </row>
    <row r="356" spans="3:7" ht="13">
      <c r="C356" s="80"/>
      <c r="D356" s="5"/>
      <c r="E356" s="5"/>
      <c r="F356" s="5"/>
      <c r="G356" s="5"/>
    </row>
    <row r="357" spans="3:7" ht="13">
      <c r="C357" s="80"/>
      <c r="D357" s="5"/>
      <c r="E357" s="5"/>
      <c r="F357" s="5"/>
      <c r="G357" s="5"/>
    </row>
    <row r="358" spans="3:7" ht="13">
      <c r="C358" s="80"/>
      <c r="D358" s="5"/>
      <c r="E358" s="5"/>
      <c r="F358" s="5"/>
      <c r="G358" s="5"/>
    </row>
    <row r="359" spans="3:7" ht="13">
      <c r="C359" s="80"/>
      <c r="D359" s="5"/>
      <c r="E359" s="5"/>
      <c r="F359" s="5"/>
      <c r="G359" s="5"/>
    </row>
    <row r="360" spans="3:7" ht="13">
      <c r="C360" s="80"/>
      <c r="D360" s="5"/>
      <c r="E360" s="5"/>
      <c r="F360" s="5"/>
      <c r="G360" s="5"/>
    </row>
    <row r="361" spans="3:7" ht="13">
      <c r="C361" s="80"/>
      <c r="D361" s="5"/>
      <c r="E361" s="5"/>
      <c r="F361" s="5"/>
      <c r="G361" s="5"/>
    </row>
    <row r="362" spans="3:7" ht="13">
      <c r="C362" s="80"/>
      <c r="D362" s="5"/>
      <c r="E362" s="5"/>
      <c r="F362" s="5"/>
      <c r="G362" s="5"/>
    </row>
    <row r="363" spans="3:7" ht="13">
      <c r="C363" s="80"/>
      <c r="D363" s="5"/>
      <c r="E363" s="5"/>
      <c r="F363" s="5"/>
      <c r="G363" s="5"/>
    </row>
    <row r="364" spans="3:7" ht="13">
      <c r="C364" s="80"/>
      <c r="D364" s="5"/>
      <c r="E364" s="5"/>
      <c r="F364" s="5"/>
      <c r="G364" s="5"/>
    </row>
    <row r="365" spans="3:7" ht="13">
      <c r="C365" s="80"/>
      <c r="D365" s="5"/>
      <c r="E365" s="5"/>
      <c r="F365" s="5"/>
      <c r="G365" s="5"/>
    </row>
    <row r="366" spans="3:7" ht="13">
      <c r="C366" s="80"/>
      <c r="D366" s="5"/>
      <c r="E366" s="5"/>
      <c r="F366" s="5"/>
      <c r="G366" s="5"/>
    </row>
    <row r="367" spans="3:7" ht="13">
      <c r="C367" s="80"/>
      <c r="D367" s="5"/>
      <c r="E367" s="5"/>
      <c r="F367" s="5"/>
      <c r="G367" s="5"/>
    </row>
    <row r="368" spans="3:7" ht="13">
      <c r="C368" s="80"/>
      <c r="D368" s="5"/>
      <c r="E368" s="5"/>
      <c r="F368" s="5"/>
      <c r="G368" s="5"/>
    </row>
    <row r="369" spans="3:7" ht="13">
      <c r="C369" s="80"/>
      <c r="D369" s="5"/>
      <c r="E369" s="5"/>
      <c r="F369" s="5"/>
      <c r="G369" s="5"/>
    </row>
    <row r="370" spans="3:7" ht="13">
      <c r="C370" s="80"/>
      <c r="D370" s="5"/>
      <c r="E370" s="5"/>
      <c r="F370" s="5"/>
      <c r="G370" s="5"/>
    </row>
    <row r="371" spans="3:7" ht="13">
      <c r="C371" s="80"/>
      <c r="D371" s="5"/>
      <c r="E371" s="5"/>
      <c r="F371" s="5"/>
      <c r="G371" s="5"/>
    </row>
    <row r="372" spans="3:7" ht="13">
      <c r="C372" s="80"/>
      <c r="D372" s="5"/>
      <c r="E372" s="5"/>
      <c r="F372" s="5"/>
      <c r="G372" s="5"/>
    </row>
    <row r="373" spans="3:7" ht="13">
      <c r="C373" s="80"/>
      <c r="D373" s="5"/>
      <c r="E373" s="5"/>
      <c r="F373" s="5"/>
      <c r="G373" s="5"/>
    </row>
    <row r="374" spans="3:7" ht="13">
      <c r="C374" s="80"/>
      <c r="D374" s="5"/>
      <c r="E374" s="5"/>
      <c r="F374" s="5"/>
      <c r="G374" s="5"/>
    </row>
    <row r="375" spans="3:7" ht="13">
      <c r="C375" s="80"/>
      <c r="D375" s="5"/>
      <c r="E375" s="5"/>
      <c r="F375" s="5"/>
      <c r="G375" s="5"/>
    </row>
    <row r="376" spans="3:7" ht="13">
      <c r="C376" s="80"/>
      <c r="D376" s="5"/>
      <c r="E376" s="5"/>
      <c r="F376" s="5"/>
      <c r="G376" s="5"/>
    </row>
    <row r="377" spans="3:7" ht="13">
      <c r="C377" s="80"/>
      <c r="D377" s="5"/>
      <c r="E377" s="5"/>
      <c r="F377" s="5"/>
      <c r="G377" s="5"/>
    </row>
    <row r="378" spans="3:7" ht="13">
      <c r="C378" s="80"/>
      <c r="D378" s="5"/>
      <c r="E378" s="5"/>
      <c r="F378" s="5"/>
      <c r="G378" s="5"/>
    </row>
    <row r="379" spans="3:7" ht="13">
      <c r="C379" s="80"/>
      <c r="D379" s="5"/>
      <c r="E379" s="5"/>
      <c r="F379" s="5"/>
      <c r="G379" s="5"/>
    </row>
    <row r="380" spans="3:7" ht="13">
      <c r="C380" s="80"/>
      <c r="D380" s="5"/>
      <c r="E380" s="5"/>
      <c r="F380" s="5"/>
      <c r="G380" s="5"/>
    </row>
    <row r="381" spans="3:7" ht="13">
      <c r="C381" s="80"/>
      <c r="D381" s="5"/>
      <c r="E381" s="5"/>
      <c r="F381" s="5"/>
      <c r="G381" s="5"/>
    </row>
    <row r="382" spans="3:7" ht="13">
      <c r="C382" s="80"/>
      <c r="D382" s="5"/>
      <c r="E382" s="5"/>
      <c r="F382" s="5"/>
      <c r="G382" s="5"/>
    </row>
    <row r="383" spans="3:7" ht="13">
      <c r="C383" s="80"/>
      <c r="D383" s="5"/>
      <c r="E383" s="5"/>
      <c r="F383" s="5"/>
      <c r="G383" s="5"/>
    </row>
    <row r="384" spans="3:7" ht="13">
      <c r="C384" s="80"/>
      <c r="D384" s="5"/>
      <c r="E384" s="5"/>
      <c r="F384" s="5"/>
      <c r="G384" s="5"/>
    </row>
    <row r="385" spans="3:7" ht="13">
      <c r="C385" s="80"/>
      <c r="D385" s="5"/>
      <c r="E385" s="5"/>
      <c r="F385" s="5"/>
      <c r="G385" s="5"/>
    </row>
    <row r="386" spans="3:7" ht="13">
      <c r="C386" s="80"/>
      <c r="D386" s="5"/>
      <c r="E386" s="5"/>
      <c r="F386" s="5"/>
      <c r="G386" s="5"/>
    </row>
    <row r="387" spans="3:7" ht="13">
      <c r="C387" s="80"/>
      <c r="D387" s="5"/>
      <c r="E387" s="5"/>
      <c r="F387" s="5"/>
      <c r="G387" s="5"/>
    </row>
    <row r="388" spans="3:7" ht="13">
      <c r="C388" s="80"/>
      <c r="D388" s="5"/>
      <c r="E388" s="5"/>
      <c r="F388" s="5"/>
      <c r="G388" s="5"/>
    </row>
    <row r="389" spans="3:7" ht="13">
      <c r="C389" s="80"/>
      <c r="D389" s="5"/>
      <c r="E389" s="5"/>
      <c r="F389" s="5"/>
      <c r="G389" s="5"/>
    </row>
    <row r="390" spans="3:7" ht="13">
      <c r="C390" s="80"/>
      <c r="D390" s="5"/>
      <c r="E390" s="5"/>
      <c r="F390" s="5"/>
      <c r="G390" s="5"/>
    </row>
    <row r="391" spans="3:7" ht="13">
      <c r="C391" s="80"/>
      <c r="D391" s="5"/>
      <c r="E391" s="5"/>
      <c r="F391" s="5"/>
      <c r="G391" s="5"/>
    </row>
    <row r="392" spans="3:7" ht="13">
      <c r="C392" s="80"/>
      <c r="D392" s="5"/>
      <c r="E392" s="5"/>
      <c r="F392" s="5"/>
      <c r="G392" s="5"/>
    </row>
    <row r="393" spans="3:7" ht="13">
      <c r="C393" s="80"/>
      <c r="D393" s="5"/>
      <c r="E393" s="5"/>
      <c r="F393" s="5"/>
      <c r="G393" s="5"/>
    </row>
    <row r="394" spans="3:7" ht="13">
      <c r="C394" s="80"/>
      <c r="D394" s="5"/>
      <c r="E394" s="5"/>
      <c r="F394" s="5"/>
      <c r="G394" s="5"/>
    </row>
    <row r="395" spans="3:7" ht="13">
      <c r="C395" s="80"/>
      <c r="D395" s="5"/>
      <c r="E395" s="5"/>
      <c r="F395" s="5"/>
      <c r="G395" s="5"/>
    </row>
    <row r="396" spans="3:7" ht="13">
      <c r="C396" s="80"/>
      <c r="D396" s="5"/>
      <c r="E396" s="5"/>
      <c r="F396" s="5"/>
      <c r="G396" s="5"/>
    </row>
    <row r="397" spans="3:7" ht="13">
      <c r="C397" s="80"/>
      <c r="D397" s="5"/>
      <c r="E397" s="5"/>
      <c r="F397" s="5"/>
      <c r="G397" s="5"/>
    </row>
    <row r="398" spans="3:7" ht="13">
      <c r="C398" s="80"/>
      <c r="D398" s="5"/>
      <c r="E398" s="5"/>
      <c r="F398" s="5"/>
      <c r="G398" s="5"/>
    </row>
    <row r="399" spans="3:7" ht="13">
      <c r="C399" s="80"/>
      <c r="D399" s="5"/>
      <c r="E399" s="5"/>
      <c r="F399" s="5"/>
      <c r="G399" s="5"/>
    </row>
    <row r="400" spans="3:7" ht="13">
      <c r="C400" s="80"/>
      <c r="D400" s="5"/>
      <c r="E400" s="5"/>
      <c r="F400" s="5"/>
      <c r="G400" s="5"/>
    </row>
    <row r="401" spans="3:7" ht="13">
      <c r="C401" s="80"/>
      <c r="D401" s="5"/>
      <c r="E401" s="5"/>
      <c r="F401" s="5"/>
      <c r="G401" s="5"/>
    </row>
    <row r="402" spans="3:7" ht="13">
      <c r="C402" s="80"/>
      <c r="D402" s="5"/>
      <c r="E402" s="5"/>
      <c r="F402" s="5"/>
      <c r="G402" s="5"/>
    </row>
    <row r="403" spans="3:7" ht="13">
      <c r="C403" s="80"/>
      <c r="D403" s="5"/>
      <c r="E403" s="5"/>
      <c r="F403" s="5"/>
      <c r="G403" s="5"/>
    </row>
    <row r="404" spans="3:7" ht="13">
      <c r="C404" s="80"/>
      <c r="D404" s="5"/>
      <c r="E404" s="5"/>
      <c r="F404" s="5"/>
      <c r="G404" s="5"/>
    </row>
    <row r="405" spans="3:7" ht="13">
      <c r="C405" s="80"/>
      <c r="D405" s="5"/>
      <c r="E405" s="5"/>
      <c r="F405" s="5"/>
      <c r="G405" s="5"/>
    </row>
    <row r="406" spans="3:7" ht="13">
      <c r="C406" s="80"/>
      <c r="D406" s="5"/>
      <c r="E406" s="5"/>
      <c r="F406" s="5"/>
      <c r="G406" s="5"/>
    </row>
    <row r="407" spans="3:7" ht="13">
      <c r="C407" s="80"/>
      <c r="D407" s="5"/>
      <c r="E407" s="5"/>
      <c r="F407" s="5"/>
      <c r="G407" s="5"/>
    </row>
    <row r="408" spans="3:7" ht="13">
      <c r="C408" s="80"/>
      <c r="D408" s="5"/>
      <c r="E408" s="5"/>
      <c r="F408" s="5"/>
      <c r="G408" s="5"/>
    </row>
    <row r="409" spans="3:7" ht="13">
      <c r="C409" s="80"/>
      <c r="D409" s="5"/>
      <c r="E409" s="5"/>
      <c r="F409" s="5"/>
      <c r="G409" s="5"/>
    </row>
    <row r="410" spans="3:7" ht="13">
      <c r="C410" s="80"/>
      <c r="D410" s="5"/>
      <c r="E410" s="5"/>
      <c r="F410" s="5"/>
      <c r="G410" s="5"/>
    </row>
    <row r="411" spans="3:7" ht="13">
      <c r="C411" s="80"/>
      <c r="D411" s="5"/>
      <c r="E411" s="5"/>
      <c r="F411" s="5"/>
      <c r="G411" s="5"/>
    </row>
    <row r="412" spans="3:7" ht="13">
      <c r="C412" s="80"/>
      <c r="D412" s="5"/>
      <c r="E412" s="5"/>
      <c r="F412" s="5"/>
      <c r="G412" s="5"/>
    </row>
    <row r="413" spans="3:7" ht="13">
      <c r="C413" s="80"/>
      <c r="D413" s="5"/>
      <c r="E413" s="5"/>
      <c r="F413" s="5"/>
      <c r="G413" s="5"/>
    </row>
    <row r="414" spans="3:7" ht="13">
      <c r="C414" s="80"/>
      <c r="D414" s="5"/>
      <c r="E414" s="5"/>
      <c r="F414" s="5"/>
      <c r="G414" s="5"/>
    </row>
    <row r="415" spans="3:7" ht="13">
      <c r="C415" s="80"/>
      <c r="D415" s="5"/>
      <c r="E415" s="5"/>
      <c r="F415" s="5"/>
      <c r="G415" s="5"/>
    </row>
    <row r="416" spans="3:7" ht="13">
      <c r="C416" s="80"/>
      <c r="D416" s="5"/>
      <c r="E416" s="5"/>
      <c r="F416" s="5"/>
      <c r="G416" s="5"/>
    </row>
    <row r="417" spans="3:7" ht="13">
      <c r="C417" s="80"/>
      <c r="D417" s="5"/>
      <c r="E417" s="5"/>
      <c r="F417" s="5"/>
      <c r="G417" s="5"/>
    </row>
    <row r="418" spans="3:7" ht="13">
      <c r="C418" s="80"/>
      <c r="D418" s="5"/>
      <c r="E418" s="5"/>
      <c r="F418" s="5"/>
      <c r="G418" s="5"/>
    </row>
    <row r="419" spans="3:7" ht="13">
      <c r="C419" s="80"/>
      <c r="D419" s="5"/>
      <c r="E419" s="5"/>
      <c r="F419" s="5"/>
      <c r="G419" s="5"/>
    </row>
    <row r="420" spans="3:7" ht="13">
      <c r="C420" s="80"/>
      <c r="D420" s="5"/>
      <c r="E420" s="5"/>
      <c r="F420" s="5"/>
      <c r="G420" s="5"/>
    </row>
    <row r="421" spans="3:7" ht="13">
      <c r="C421" s="80"/>
      <c r="D421" s="5"/>
      <c r="E421" s="5"/>
      <c r="F421" s="5"/>
      <c r="G421" s="5"/>
    </row>
    <row r="422" spans="3:7" ht="13">
      <c r="C422" s="80"/>
      <c r="D422" s="5"/>
      <c r="E422" s="5"/>
      <c r="F422" s="5"/>
      <c r="G422" s="5"/>
    </row>
    <row r="423" spans="3:7" ht="13">
      <c r="C423" s="80"/>
      <c r="D423" s="5"/>
      <c r="E423" s="5"/>
      <c r="F423" s="5"/>
      <c r="G423" s="5"/>
    </row>
    <row r="424" spans="3:7" ht="13">
      <c r="C424" s="80"/>
      <c r="D424" s="5"/>
      <c r="E424" s="5"/>
      <c r="F424" s="5"/>
      <c r="G424" s="5"/>
    </row>
    <row r="425" spans="3:7" ht="13">
      <c r="C425" s="80"/>
      <c r="D425" s="5"/>
      <c r="E425" s="5"/>
      <c r="F425" s="5"/>
      <c r="G425" s="5"/>
    </row>
    <row r="426" spans="3:7" ht="13">
      <c r="C426" s="80"/>
      <c r="D426" s="5"/>
      <c r="E426" s="5"/>
      <c r="F426" s="5"/>
      <c r="G426" s="5"/>
    </row>
    <row r="427" spans="3:7" ht="13">
      <c r="C427" s="80"/>
      <c r="D427" s="5"/>
      <c r="E427" s="5"/>
      <c r="F427" s="5"/>
      <c r="G427" s="5"/>
    </row>
    <row r="428" spans="3:7" ht="13">
      <c r="C428" s="80"/>
      <c r="D428" s="5"/>
      <c r="E428" s="5"/>
      <c r="F428" s="5"/>
      <c r="G428" s="5"/>
    </row>
    <row r="429" spans="3:7" ht="13">
      <c r="C429" s="80"/>
      <c r="D429" s="5"/>
      <c r="E429" s="5"/>
      <c r="F429" s="5"/>
      <c r="G429" s="5"/>
    </row>
    <row r="430" spans="3:7" ht="13">
      <c r="C430" s="80"/>
      <c r="D430" s="5"/>
      <c r="E430" s="5"/>
      <c r="F430" s="5"/>
      <c r="G430" s="5"/>
    </row>
    <row r="431" spans="3:7" ht="13">
      <c r="C431" s="80"/>
      <c r="D431" s="5"/>
      <c r="E431" s="5"/>
      <c r="F431" s="5"/>
      <c r="G431" s="5"/>
    </row>
    <row r="432" spans="3:7" ht="13">
      <c r="C432" s="80"/>
      <c r="D432" s="5"/>
      <c r="E432" s="5"/>
      <c r="F432" s="5"/>
      <c r="G432" s="5"/>
    </row>
    <row r="433" spans="3:7" ht="13">
      <c r="C433" s="80"/>
      <c r="D433" s="5"/>
      <c r="E433" s="5"/>
      <c r="F433" s="5"/>
      <c r="G433" s="5"/>
    </row>
    <row r="434" spans="3:7" ht="13">
      <c r="C434" s="80"/>
      <c r="D434" s="5"/>
      <c r="E434" s="5"/>
      <c r="F434" s="5"/>
      <c r="G434" s="5"/>
    </row>
    <row r="435" spans="3:7" ht="13">
      <c r="C435" s="80"/>
      <c r="D435" s="5"/>
      <c r="E435" s="5"/>
      <c r="F435" s="5"/>
      <c r="G435" s="5"/>
    </row>
    <row r="436" spans="3:7" ht="13">
      <c r="C436" s="80"/>
      <c r="D436" s="5"/>
      <c r="E436" s="5"/>
      <c r="F436" s="5"/>
      <c r="G436" s="5"/>
    </row>
    <row r="437" spans="3:7" ht="13">
      <c r="C437" s="80"/>
      <c r="D437" s="5"/>
      <c r="E437" s="5"/>
      <c r="F437" s="5"/>
      <c r="G437" s="5"/>
    </row>
    <row r="438" spans="3:7" ht="13">
      <c r="C438" s="80"/>
      <c r="D438" s="5"/>
      <c r="E438" s="5"/>
      <c r="F438" s="5"/>
      <c r="G438" s="5"/>
    </row>
    <row r="439" spans="3:7" ht="13">
      <c r="C439" s="80"/>
      <c r="D439" s="5"/>
      <c r="E439" s="5"/>
      <c r="F439" s="5"/>
      <c r="G439" s="5"/>
    </row>
    <row r="440" spans="3:7" ht="13">
      <c r="C440" s="80"/>
      <c r="D440" s="5"/>
      <c r="E440" s="5"/>
      <c r="F440" s="5"/>
      <c r="G440" s="5"/>
    </row>
    <row r="441" spans="3:7" ht="13">
      <c r="C441" s="80"/>
      <c r="D441" s="5"/>
      <c r="E441" s="5"/>
      <c r="F441" s="5"/>
      <c r="G441" s="5"/>
    </row>
    <row r="442" spans="3:7" ht="13">
      <c r="C442" s="80"/>
      <c r="D442" s="5"/>
      <c r="E442" s="5"/>
      <c r="F442" s="5"/>
      <c r="G442" s="5"/>
    </row>
    <row r="443" spans="3:7" ht="13">
      <c r="C443" s="80"/>
      <c r="D443" s="5"/>
      <c r="E443" s="5"/>
      <c r="F443" s="5"/>
      <c r="G443" s="5"/>
    </row>
    <row r="444" spans="3:7" ht="13">
      <c r="C444" s="80"/>
      <c r="D444" s="5"/>
      <c r="E444" s="5"/>
      <c r="F444" s="5"/>
      <c r="G444" s="5"/>
    </row>
    <row r="445" spans="3:7" ht="13">
      <c r="C445" s="80"/>
      <c r="D445" s="5"/>
      <c r="E445" s="5"/>
      <c r="F445" s="5"/>
      <c r="G445" s="5"/>
    </row>
    <row r="446" spans="3:7" ht="13">
      <c r="C446" s="80"/>
      <c r="D446" s="5"/>
      <c r="E446" s="5"/>
      <c r="F446" s="5"/>
      <c r="G446" s="5"/>
    </row>
    <row r="447" spans="3:7" ht="13">
      <c r="C447" s="80"/>
      <c r="D447" s="5"/>
      <c r="E447" s="5"/>
      <c r="F447" s="5"/>
      <c r="G447" s="5"/>
    </row>
    <row r="448" spans="3:7" ht="13">
      <c r="C448" s="80"/>
      <c r="D448" s="5"/>
      <c r="E448" s="5"/>
      <c r="F448" s="5"/>
      <c r="G448" s="5"/>
    </row>
    <row r="449" spans="3:7" ht="13">
      <c r="C449" s="80"/>
      <c r="D449" s="5"/>
      <c r="E449" s="5"/>
      <c r="F449" s="5"/>
      <c r="G449" s="5"/>
    </row>
    <row r="450" spans="3:7" ht="13">
      <c r="C450" s="80"/>
      <c r="D450" s="5"/>
      <c r="E450" s="5"/>
      <c r="F450" s="5"/>
      <c r="G450" s="5"/>
    </row>
    <row r="451" spans="3:7" ht="13">
      <c r="C451" s="80"/>
      <c r="D451" s="5"/>
      <c r="E451" s="5"/>
      <c r="F451" s="5"/>
      <c r="G451" s="5"/>
    </row>
    <row r="452" spans="3:7" ht="13">
      <c r="C452" s="80"/>
      <c r="D452" s="5"/>
      <c r="E452" s="5"/>
      <c r="F452" s="5"/>
      <c r="G452" s="5"/>
    </row>
    <row r="453" spans="3:7" ht="13">
      <c r="C453" s="80"/>
      <c r="D453" s="5"/>
      <c r="E453" s="5"/>
      <c r="F453" s="5"/>
      <c r="G453" s="5"/>
    </row>
    <row r="454" spans="3:7" ht="13">
      <c r="C454" s="80"/>
      <c r="D454" s="5"/>
      <c r="E454" s="5"/>
      <c r="F454" s="5"/>
      <c r="G454" s="5"/>
    </row>
    <row r="455" spans="3:7" ht="13">
      <c r="C455" s="80"/>
      <c r="D455" s="5"/>
      <c r="E455" s="5"/>
      <c r="F455" s="5"/>
      <c r="G455" s="5"/>
    </row>
    <row r="456" spans="3:7" ht="13">
      <c r="C456" s="80"/>
      <c r="D456" s="5"/>
      <c r="E456" s="5"/>
      <c r="F456" s="5"/>
      <c r="G456" s="5"/>
    </row>
    <row r="457" spans="3:7" ht="13">
      <c r="C457" s="80"/>
      <c r="D457" s="5"/>
      <c r="E457" s="5"/>
      <c r="F457" s="5"/>
      <c r="G457" s="5"/>
    </row>
    <row r="458" spans="3:7" ht="13">
      <c r="C458" s="80"/>
      <c r="D458" s="5"/>
      <c r="E458" s="5"/>
      <c r="F458" s="5"/>
      <c r="G458" s="5"/>
    </row>
    <row r="459" spans="3:7" ht="13">
      <c r="C459" s="80"/>
      <c r="D459" s="5"/>
      <c r="E459" s="5"/>
      <c r="F459" s="5"/>
      <c r="G459" s="5"/>
    </row>
    <row r="460" spans="3:7" ht="13">
      <c r="C460" s="80"/>
      <c r="D460" s="5"/>
      <c r="E460" s="5"/>
      <c r="F460" s="5"/>
      <c r="G460" s="5"/>
    </row>
    <row r="461" spans="3:7" ht="13">
      <c r="C461" s="80"/>
      <c r="D461" s="5"/>
      <c r="E461" s="5"/>
      <c r="F461" s="5"/>
      <c r="G461" s="5"/>
    </row>
    <row r="462" spans="3:7" ht="13">
      <c r="C462" s="80"/>
      <c r="D462" s="5"/>
      <c r="E462" s="5"/>
      <c r="F462" s="5"/>
      <c r="G462" s="5"/>
    </row>
    <row r="463" spans="3:7" ht="13">
      <c r="C463" s="80"/>
      <c r="D463" s="5"/>
      <c r="E463" s="5"/>
      <c r="F463" s="5"/>
      <c r="G463" s="5"/>
    </row>
    <row r="464" spans="3:7" ht="13">
      <c r="C464" s="80"/>
      <c r="D464" s="5"/>
      <c r="E464" s="5"/>
      <c r="F464" s="5"/>
      <c r="G464" s="5"/>
    </row>
    <row r="465" spans="3:7" ht="13">
      <c r="C465" s="80"/>
      <c r="D465" s="5"/>
      <c r="E465" s="5"/>
      <c r="F465" s="5"/>
      <c r="G465" s="5"/>
    </row>
    <row r="466" spans="3:7" ht="13">
      <c r="C466" s="80"/>
      <c r="D466" s="5"/>
      <c r="E466" s="5"/>
      <c r="F466" s="5"/>
      <c r="G466" s="5"/>
    </row>
    <row r="467" spans="3:7" ht="13">
      <c r="C467" s="80"/>
      <c r="D467" s="5"/>
      <c r="E467" s="5"/>
      <c r="F467" s="5"/>
      <c r="G467" s="5"/>
    </row>
    <row r="468" spans="3:7" ht="13">
      <c r="C468" s="80"/>
      <c r="D468" s="5"/>
      <c r="E468" s="5"/>
      <c r="F468" s="5"/>
      <c r="G468" s="5"/>
    </row>
    <row r="469" spans="3:7" ht="13">
      <c r="C469" s="80"/>
      <c r="D469" s="5"/>
      <c r="E469" s="5"/>
      <c r="F469" s="5"/>
      <c r="G469" s="5"/>
    </row>
    <row r="470" spans="3:7" ht="13">
      <c r="C470" s="80"/>
      <c r="D470" s="5"/>
      <c r="E470" s="5"/>
      <c r="F470" s="5"/>
      <c r="G470" s="5"/>
    </row>
    <row r="471" spans="3:7" ht="13">
      <c r="C471" s="80"/>
      <c r="D471" s="5"/>
      <c r="E471" s="5"/>
      <c r="F471" s="5"/>
      <c r="G471" s="5"/>
    </row>
    <row r="472" spans="3:7" ht="13">
      <c r="C472" s="80"/>
      <c r="D472" s="5"/>
      <c r="E472" s="5"/>
      <c r="F472" s="5"/>
      <c r="G472" s="5"/>
    </row>
    <row r="473" spans="3:7" ht="13">
      <c r="C473" s="80"/>
      <c r="D473" s="5"/>
      <c r="E473" s="5"/>
      <c r="F473" s="5"/>
      <c r="G473" s="5"/>
    </row>
    <row r="474" spans="3:7" ht="13">
      <c r="C474" s="80"/>
      <c r="D474" s="5"/>
      <c r="E474" s="5"/>
      <c r="F474" s="5"/>
      <c r="G474" s="5"/>
    </row>
    <row r="475" spans="3:7" ht="13">
      <c r="C475" s="80"/>
      <c r="D475" s="5"/>
      <c r="E475" s="5"/>
      <c r="F475" s="5"/>
      <c r="G475" s="5"/>
    </row>
    <row r="476" spans="3:7" ht="13">
      <c r="C476" s="80"/>
      <c r="D476" s="5"/>
      <c r="E476" s="5"/>
      <c r="F476" s="5"/>
      <c r="G476" s="5"/>
    </row>
    <row r="477" spans="3:7" ht="13">
      <c r="C477" s="80"/>
      <c r="D477" s="5"/>
      <c r="E477" s="5"/>
      <c r="F477" s="5"/>
      <c r="G477" s="5"/>
    </row>
    <row r="478" spans="3:7" ht="13">
      <c r="C478" s="80"/>
      <c r="D478" s="5"/>
      <c r="E478" s="5"/>
      <c r="F478" s="5"/>
      <c r="G478" s="5"/>
    </row>
    <row r="479" spans="3:7" ht="13">
      <c r="C479" s="80"/>
      <c r="D479" s="5"/>
      <c r="E479" s="5"/>
      <c r="F479" s="5"/>
      <c r="G479" s="5"/>
    </row>
    <row r="480" spans="3:7" ht="13">
      <c r="C480" s="80"/>
      <c r="D480" s="5"/>
      <c r="E480" s="5"/>
      <c r="F480" s="5"/>
      <c r="G480" s="5"/>
    </row>
    <row r="481" spans="3:7" ht="13">
      <c r="C481" s="80"/>
      <c r="D481" s="5"/>
      <c r="E481" s="5"/>
      <c r="F481" s="5"/>
      <c r="G481" s="5"/>
    </row>
    <row r="482" spans="3:7" ht="13">
      <c r="C482" s="80"/>
      <c r="D482" s="5"/>
      <c r="E482" s="5"/>
      <c r="F482" s="5"/>
      <c r="G482" s="5"/>
    </row>
    <row r="483" spans="3:7" ht="13">
      <c r="C483" s="80"/>
      <c r="D483" s="5"/>
      <c r="E483" s="5"/>
      <c r="F483" s="5"/>
      <c r="G483" s="5"/>
    </row>
    <row r="484" spans="3:7" ht="13">
      <c r="C484" s="80"/>
      <c r="D484" s="5"/>
      <c r="E484" s="5"/>
      <c r="F484" s="5"/>
      <c r="G484" s="5"/>
    </row>
    <row r="485" spans="3:7" ht="13">
      <c r="C485" s="80"/>
      <c r="D485" s="5"/>
      <c r="E485" s="5"/>
      <c r="F485" s="5"/>
      <c r="G485" s="5"/>
    </row>
    <row r="486" spans="3:7" ht="13">
      <c r="C486" s="80"/>
      <c r="D486" s="5"/>
      <c r="E486" s="5"/>
      <c r="F486" s="5"/>
      <c r="G486" s="5"/>
    </row>
    <row r="487" spans="3:7" ht="13">
      <c r="C487" s="80"/>
      <c r="D487" s="5"/>
      <c r="E487" s="5"/>
      <c r="F487" s="5"/>
      <c r="G487" s="5"/>
    </row>
    <row r="488" spans="3:7" ht="13">
      <c r="C488" s="80"/>
      <c r="D488" s="5"/>
      <c r="E488" s="5"/>
      <c r="F488" s="5"/>
      <c r="G488" s="5"/>
    </row>
    <row r="489" spans="3:7" ht="13">
      <c r="C489" s="80"/>
      <c r="D489" s="5"/>
      <c r="E489" s="5"/>
      <c r="F489" s="5"/>
      <c r="G489" s="5"/>
    </row>
    <row r="490" spans="3:7" ht="13">
      <c r="C490" s="80"/>
      <c r="D490" s="5"/>
      <c r="E490" s="5"/>
      <c r="F490" s="5"/>
      <c r="G490" s="5"/>
    </row>
    <row r="491" spans="3:7" ht="13">
      <c r="C491" s="80"/>
      <c r="D491" s="5"/>
      <c r="E491" s="5"/>
      <c r="F491" s="5"/>
      <c r="G491" s="5"/>
    </row>
    <row r="492" spans="3:7" ht="13">
      <c r="C492" s="80"/>
      <c r="D492" s="5"/>
      <c r="E492" s="5"/>
      <c r="F492" s="5"/>
      <c r="G492" s="5"/>
    </row>
    <row r="493" spans="3:7" ht="13">
      <c r="C493" s="80"/>
      <c r="D493" s="5"/>
      <c r="E493" s="5"/>
      <c r="F493" s="5"/>
      <c r="G493" s="5"/>
    </row>
    <row r="494" spans="3:7" ht="13">
      <c r="C494" s="80"/>
      <c r="D494" s="5"/>
      <c r="E494" s="5"/>
      <c r="F494" s="5"/>
      <c r="G494" s="5"/>
    </row>
    <row r="495" spans="3:7" ht="13">
      <c r="C495" s="80"/>
      <c r="D495" s="5"/>
      <c r="E495" s="5"/>
      <c r="F495" s="5"/>
      <c r="G495" s="5"/>
    </row>
    <row r="496" spans="3:7" ht="13">
      <c r="C496" s="80"/>
      <c r="D496" s="5"/>
      <c r="E496" s="5"/>
      <c r="F496" s="5"/>
      <c r="G496" s="5"/>
    </row>
    <row r="497" spans="3:7" ht="13">
      <c r="C497" s="80"/>
      <c r="D497" s="5"/>
      <c r="E497" s="5"/>
      <c r="F497" s="5"/>
      <c r="G497" s="5"/>
    </row>
    <row r="498" spans="3:7" ht="13">
      <c r="C498" s="80"/>
      <c r="D498" s="5"/>
      <c r="E498" s="5"/>
      <c r="F498" s="5"/>
      <c r="G498" s="5"/>
    </row>
    <row r="499" spans="3:7" ht="13">
      <c r="C499" s="80"/>
      <c r="D499" s="5"/>
      <c r="E499" s="5"/>
      <c r="F499" s="5"/>
      <c r="G499" s="5"/>
    </row>
    <row r="500" spans="3:7" ht="13">
      <c r="C500" s="80"/>
      <c r="D500" s="5"/>
      <c r="E500" s="5"/>
      <c r="F500" s="5"/>
      <c r="G500" s="5"/>
    </row>
    <row r="501" spans="3:7" ht="13">
      <c r="C501" s="80"/>
      <c r="D501" s="5"/>
      <c r="E501" s="5"/>
      <c r="F501" s="5"/>
      <c r="G501" s="5"/>
    </row>
    <row r="502" spans="3:7" ht="13">
      <c r="C502" s="80"/>
      <c r="D502" s="5"/>
      <c r="E502" s="5"/>
      <c r="F502" s="5"/>
      <c r="G502" s="5"/>
    </row>
    <row r="503" spans="3:7" ht="13">
      <c r="C503" s="80"/>
      <c r="D503" s="5"/>
      <c r="E503" s="5"/>
      <c r="F503" s="5"/>
      <c r="G503" s="5"/>
    </row>
    <row r="504" spans="3:7" ht="13">
      <c r="C504" s="80"/>
      <c r="D504" s="5"/>
      <c r="E504" s="5"/>
      <c r="F504" s="5"/>
      <c r="G504" s="5"/>
    </row>
    <row r="505" spans="3:7" ht="13">
      <c r="C505" s="80"/>
      <c r="D505" s="5"/>
      <c r="E505" s="5"/>
      <c r="F505" s="5"/>
      <c r="G505" s="5"/>
    </row>
    <row r="506" spans="3:7" ht="13">
      <c r="C506" s="80"/>
      <c r="D506" s="5"/>
      <c r="E506" s="5"/>
      <c r="F506" s="5"/>
      <c r="G506" s="5"/>
    </row>
    <row r="507" spans="3:7" ht="13">
      <c r="C507" s="80"/>
      <c r="D507" s="5"/>
      <c r="E507" s="5"/>
      <c r="F507" s="5"/>
      <c r="G507" s="5"/>
    </row>
    <row r="508" spans="3:7" ht="13">
      <c r="C508" s="80"/>
      <c r="D508" s="5"/>
      <c r="E508" s="5"/>
      <c r="F508" s="5"/>
      <c r="G508" s="5"/>
    </row>
    <row r="509" spans="3:7" ht="13">
      <c r="C509" s="80"/>
      <c r="D509" s="5"/>
      <c r="E509" s="5"/>
      <c r="F509" s="5"/>
      <c r="G509" s="5"/>
    </row>
    <row r="510" spans="3:7" ht="13">
      <c r="C510" s="80"/>
      <c r="D510" s="5"/>
      <c r="E510" s="5"/>
      <c r="F510" s="5"/>
      <c r="G510" s="5"/>
    </row>
    <row r="511" spans="3:7" ht="13">
      <c r="C511" s="80"/>
      <c r="D511" s="5"/>
      <c r="E511" s="5"/>
      <c r="F511" s="5"/>
      <c r="G511" s="5"/>
    </row>
    <row r="512" spans="3:7" ht="13">
      <c r="C512" s="80"/>
      <c r="D512" s="5"/>
      <c r="E512" s="5"/>
      <c r="F512" s="5"/>
      <c r="G512" s="5"/>
    </row>
    <row r="513" spans="3:7" ht="13">
      <c r="C513" s="80"/>
      <c r="D513" s="5"/>
      <c r="E513" s="5"/>
      <c r="F513" s="5"/>
      <c r="G513" s="5"/>
    </row>
    <row r="514" spans="3:7" ht="13">
      <c r="C514" s="80"/>
      <c r="D514" s="5"/>
      <c r="E514" s="5"/>
      <c r="F514" s="5"/>
      <c r="G514" s="5"/>
    </row>
    <row r="515" spans="3:7" ht="13">
      <c r="C515" s="80"/>
      <c r="D515" s="5"/>
      <c r="E515" s="5"/>
      <c r="F515" s="5"/>
      <c r="G515" s="5"/>
    </row>
    <row r="516" spans="3:7" ht="13">
      <c r="C516" s="80"/>
      <c r="D516" s="5"/>
      <c r="E516" s="5"/>
      <c r="F516" s="5"/>
      <c r="G516" s="5"/>
    </row>
    <row r="517" spans="3:7" ht="13">
      <c r="C517" s="80"/>
      <c r="D517" s="5"/>
      <c r="E517" s="5"/>
      <c r="F517" s="5"/>
      <c r="G517" s="5"/>
    </row>
    <row r="518" spans="3:7" ht="13">
      <c r="C518" s="80"/>
      <c r="D518" s="5"/>
      <c r="E518" s="5"/>
      <c r="F518" s="5"/>
      <c r="G518" s="5"/>
    </row>
    <row r="519" spans="3:7" ht="13">
      <c r="C519" s="80"/>
      <c r="D519" s="5"/>
      <c r="E519" s="5"/>
      <c r="F519" s="5"/>
      <c r="G519" s="5"/>
    </row>
    <row r="520" spans="3:7" ht="13">
      <c r="C520" s="80"/>
      <c r="D520" s="5"/>
      <c r="E520" s="5"/>
      <c r="F520" s="5"/>
      <c r="G520" s="5"/>
    </row>
    <row r="521" spans="3:7" ht="13">
      <c r="C521" s="80"/>
      <c r="D521" s="5"/>
      <c r="E521" s="5"/>
      <c r="F521" s="5"/>
      <c r="G521" s="5"/>
    </row>
    <row r="522" spans="3:7" ht="13">
      <c r="C522" s="80"/>
      <c r="D522" s="5"/>
      <c r="E522" s="5"/>
      <c r="F522" s="5"/>
      <c r="G522" s="5"/>
    </row>
    <row r="523" spans="3:7" ht="13">
      <c r="C523" s="80"/>
      <c r="D523" s="5"/>
      <c r="E523" s="5"/>
      <c r="F523" s="5"/>
      <c r="G523" s="5"/>
    </row>
    <row r="524" spans="3:7" ht="13">
      <c r="C524" s="80"/>
      <c r="D524" s="5"/>
      <c r="E524" s="5"/>
      <c r="F524" s="5"/>
      <c r="G524" s="5"/>
    </row>
    <row r="525" spans="3:7" ht="13">
      <c r="C525" s="80"/>
      <c r="D525" s="5"/>
      <c r="E525" s="5"/>
      <c r="F525" s="5"/>
      <c r="G525" s="5"/>
    </row>
    <row r="526" spans="3:7" ht="13">
      <c r="C526" s="80"/>
      <c r="D526" s="5"/>
      <c r="E526" s="5"/>
      <c r="F526" s="5"/>
      <c r="G526" s="5"/>
    </row>
    <row r="527" spans="3:7" ht="13">
      <c r="C527" s="80"/>
      <c r="D527" s="5"/>
      <c r="E527" s="5"/>
      <c r="F527" s="5"/>
      <c r="G527" s="5"/>
    </row>
    <row r="528" spans="3:7" ht="13">
      <c r="C528" s="80"/>
      <c r="D528" s="5"/>
      <c r="E528" s="5"/>
      <c r="F528" s="5"/>
      <c r="G528" s="5"/>
    </row>
    <row r="529" spans="3:7" ht="13">
      <c r="C529" s="80"/>
      <c r="D529" s="5"/>
      <c r="E529" s="5"/>
      <c r="F529" s="5"/>
      <c r="G529" s="5"/>
    </row>
    <row r="530" spans="3:7" ht="13">
      <c r="C530" s="80"/>
      <c r="D530" s="5"/>
      <c r="E530" s="5"/>
      <c r="F530" s="5"/>
      <c r="G530" s="5"/>
    </row>
    <row r="531" spans="3:7" ht="13">
      <c r="C531" s="80"/>
      <c r="D531" s="5"/>
      <c r="E531" s="5"/>
      <c r="F531" s="5"/>
      <c r="G531" s="5"/>
    </row>
    <row r="532" spans="3:7" ht="13">
      <c r="C532" s="80"/>
      <c r="D532" s="5"/>
      <c r="E532" s="5"/>
      <c r="F532" s="5"/>
      <c r="G532" s="5"/>
    </row>
    <row r="533" spans="3:7" ht="13">
      <c r="C533" s="80"/>
      <c r="D533" s="5"/>
      <c r="E533" s="5"/>
      <c r="F533" s="5"/>
      <c r="G533" s="5"/>
    </row>
    <row r="534" spans="3:7" ht="13">
      <c r="C534" s="80"/>
      <c r="D534" s="5"/>
      <c r="E534" s="5"/>
      <c r="F534" s="5"/>
      <c r="G534" s="5"/>
    </row>
    <row r="535" spans="3:7" ht="13">
      <c r="C535" s="80"/>
      <c r="D535" s="5"/>
      <c r="E535" s="5"/>
      <c r="F535" s="5"/>
      <c r="G535" s="5"/>
    </row>
    <row r="536" spans="3:7" ht="13">
      <c r="C536" s="80"/>
      <c r="D536" s="5"/>
      <c r="E536" s="5"/>
      <c r="F536" s="5"/>
      <c r="G536" s="5"/>
    </row>
    <row r="537" spans="3:7" ht="13">
      <c r="C537" s="80"/>
      <c r="D537" s="5"/>
      <c r="E537" s="5"/>
      <c r="F537" s="5"/>
      <c r="G537" s="5"/>
    </row>
    <row r="538" spans="3:7" ht="13">
      <c r="C538" s="80"/>
      <c r="D538" s="5"/>
      <c r="E538" s="5"/>
      <c r="F538" s="5"/>
      <c r="G538" s="5"/>
    </row>
    <row r="539" spans="3:7" ht="13">
      <c r="C539" s="80"/>
      <c r="D539" s="5"/>
      <c r="E539" s="5"/>
      <c r="F539" s="5"/>
      <c r="G539" s="5"/>
    </row>
    <row r="540" spans="3:7" ht="13">
      <c r="C540" s="80"/>
      <c r="D540" s="5"/>
      <c r="E540" s="5"/>
      <c r="F540" s="5"/>
      <c r="G540" s="5"/>
    </row>
    <row r="541" spans="3:7" ht="13">
      <c r="C541" s="80"/>
      <c r="D541" s="5"/>
      <c r="E541" s="5"/>
      <c r="F541" s="5"/>
      <c r="G541" s="5"/>
    </row>
    <row r="542" spans="3:7" ht="13">
      <c r="C542" s="80"/>
      <c r="D542" s="5"/>
      <c r="E542" s="5"/>
      <c r="F542" s="5"/>
      <c r="G542" s="5"/>
    </row>
    <row r="543" spans="3:7" ht="13">
      <c r="C543" s="80"/>
      <c r="D543" s="5"/>
      <c r="E543" s="5"/>
      <c r="F543" s="5"/>
      <c r="G543" s="5"/>
    </row>
    <row r="544" spans="3:7" ht="13">
      <c r="C544" s="80"/>
      <c r="D544" s="5"/>
      <c r="E544" s="5"/>
      <c r="F544" s="5"/>
      <c r="G544" s="5"/>
    </row>
    <row r="545" spans="3:7" ht="13">
      <c r="C545" s="80"/>
      <c r="D545" s="5"/>
      <c r="E545" s="5"/>
      <c r="F545" s="5"/>
      <c r="G545" s="5"/>
    </row>
    <row r="546" spans="3:7" ht="13">
      <c r="C546" s="80"/>
      <c r="D546" s="5"/>
      <c r="E546" s="5"/>
      <c r="F546" s="5"/>
      <c r="G546" s="5"/>
    </row>
    <row r="547" spans="3:7" ht="13">
      <c r="C547" s="80"/>
      <c r="D547" s="5"/>
      <c r="E547" s="5"/>
      <c r="F547" s="5"/>
      <c r="G547" s="5"/>
    </row>
    <row r="548" spans="3:7" ht="13">
      <c r="C548" s="80"/>
      <c r="D548" s="5"/>
      <c r="E548" s="5"/>
      <c r="F548" s="5"/>
      <c r="G548" s="5"/>
    </row>
    <row r="549" spans="3:7" ht="13">
      <c r="C549" s="80"/>
      <c r="D549" s="5"/>
      <c r="E549" s="5"/>
      <c r="F549" s="5"/>
      <c r="G549" s="5"/>
    </row>
    <row r="550" spans="3:7" ht="13">
      <c r="C550" s="80"/>
      <c r="D550" s="5"/>
      <c r="E550" s="5"/>
      <c r="F550" s="5"/>
      <c r="G550" s="5"/>
    </row>
    <row r="551" spans="3:7" ht="13">
      <c r="C551" s="80"/>
      <c r="D551" s="5"/>
      <c r="E551" s="5"/>
      <c r="F551" s="5"/>
      <c r="G551" s="5"/>
    </row>
    <row r="552" spans="3:7" ht="13">
      <c r="C552" s="80"/>
      <c r="D552" s="5"/>
      <c r="E552" s="5"/>
      <c r="F552" s="5"/>
      <c r="G552" s="5"/>
    </row>
    <row r="553" spans="3:7" ht="13">
      <c r="C553" s="80"/>
      <c r="D553" s="5"/>
      <c r="E553" s="5"/>
      <c r="F553" s="5"/>
      <c r="G553" s="5"/>
    </row>
    <row r="554" spans="3:7" ht="13">
      <c r="C554" s="80"/>
      <c r="D554" s="5"/>
      <c r="E554" s="5"/>
      <c r="F554" s="5"/>
      <c r="G554" s="5"/>
    </row>
    <row r="555" spans="3:7" ht="13">
      <c r="C555" s="80"/>
      <c r="D555" s="5"/>
      <c r="E555" s="5"/>
      <c r="F555" s="5"/>
      <c r="G555" s="5"/>
    </row>
    <row r="556" spans="3:7" ht="13">
      <c r="C556" s="80"/>
      <c r="D556" s="5"/>
      <c r="E556" s="5"/>
      <c r="F556" s="5"/>
      <c r="G556" s="5"/>
    </row>
    <row r="557" spans="3:7" ht="13">
      <c r="C557" s="80"/>
      <c r="D557" s="5"/>
      <c r="E557" s="5"/>
      <c r="F557" s="5"/>
      <c r="G557" s="5"/>
    </row>
    <row r="558" spans="3:7" ht="13">
      <c r="C558" s="80"/>
      <c r="D558" s="5"/>
      <c r="E558" s="5"/>
      <c r="F558" s="5"/>
      <c r="G558" s="5"/>
    </row>
    <row r="559" spans="3:7" ht="13">
      <c r="C559" s="80"/>
      <c r="D559" s="5"/>
      <c r="E559" s="5"/>
      <c r="F559" s="5"/>
      <c r="G559" s="5"/>
    </row>
    <row r="560" spans="3:7" ht="13">
      <c r="C560" s="80"/>
      <c r="D560" s="5"/>
      <c r="E560" s="5"/>
      <c r="F560" s="5"/>
      <c r="G560" s="5"/>
    </row>
    <row r="561" spans="3:7" ht="13">
      <c r="C561" s="80"/>
      <c r="D561" s="5"/>
      <c r="E561" s="5"/>
      <c r="F561" s="5"/>
      <c r="G561" s="5"/>
    </row>
    <row r="562" spans="3:7" ht="13">
      <c r="C562" s="80"/>
      <c r="D562" s="5"/>
      <c r="E562" s="5"/>
      <c r="F562" s="5"/>
      <c r="G562" s="5"/>
    </row>
    <row r="563" spans="3:7" ht="13">
      <c r="C563" s="80"/>
      <c r="D563" s="5"/>
      <c r="E563" s="5"/>
      <c r="F563" s="5"/>
      <c r="G563" s="5"/>
    </row>
    <row r="564" spans="3:7" ht="13">
      <c r="C564" s="80"/>
      <c r="D564" s="5"/>
      <c r="E564" s="5"/>
      <c r="F564" s="5"/>
      <c r="G564" s="5"/>
    </row>
    <row r="565" spans="3:7" ht="13">
      <c r="C565" s="80"/>
      <c r="D565" s="5"/>
      <c r="E565" s="5"/>
      <c r="F565" s="5"/>
      <c r="G565" s="5"/>
    </row>
    <row r="566" spans="3:7" ht="13">
      <c r="C566" s="80"/>
      <c r="D566" s="5"/>
      <c r="E566" s="5"/>
      <c r="F566" s="5"/>
      <c r="G566" s="5"/>
    </row>
    <row r="567" spans="3:7" ht="13">
      <c r="C567" s="80"/>
      <c r="D567" s="5"/>
      <c r="E567" s="5"/>
      <c r="F567" s="5"/>
      <c r="G567" s="5"/>
    </row>
    <row r="568" spans="3:7" ht="13">
      <c r="C568" s="80"/>
      <c r="D568" s="5"/>
      <c r="E568" s="5"/>
      <c r="F568" s="5"/>
      <c r="G568" s="5"/>
    </row>
    <row r="569" spans="3:7" ht="13">
      <c r="C569" s="80"/>
      <c r="D569" s="5"/>
      <c r="E569" s="5"/>
      <c r="F569" s="5"/>
      <c r="G569" s="5"/>
    </row>
    <row r="570" spans="3:7" ht="13">
      <c r="C570" s="80"/>
      <c r="D570" s="5"/>
      <c r="E570" s="5"/>
      <c r="F570" s="5"/>
      <c r="G570" s="5"/>
    </row>
    <row r="571" spans="3:7" ht="13">
      <c r="C571" s="80"/>
      <c r="D571" s="5"/>
      <c r="E571" s="5"/>
      <c r="F571" s="5"/>
      <c r="G571" s="5"/>
    </row>
    <row r="572" spans="3:7" ht="13">
      <c r="C572" s="80"/>
      <c r="D572" s="5"/>
      <c r="E572" s="5"/>
      <c r="F572" s="5"/>
      <c r="G572" s="5"/>
    </row>
    <row r="573" spans="3:7" ht="13">
      <c r="C573" s="80"/>
      <c r="D573" s="5"/>
      <c r="E573" s="5"/>
      <c r="F573" s="5"/>
      <c r="G573" s="5"/>
    </row>
    <row r="574" spans="3:7" ht="13">
      <c r="C574" s="80"/>
      <c r="D574" s="5"/>
      <c r="E574" s="5"/>
      <c r="F574" s="5"/>
      <c r="G574" s="5"/>
    </row>
    <row r="575" spans="3:7" ht="13">
      <c r="C575" s="80"/>
      <c r="D575" s="5"/>
      <c r="E575" s="5"/>
      <c r="F575" s="5"/>
      <c r="G575" s="5"/>
    </row>
    <row r="576" spans="3:7" ht="13">
      <c r="C576" s="80"/>
      <c r="D576" s="5"/>
      <c r="E576" s="5"/>
      <c r="F576" s="5"/>
      <c r="G576" s="5"/>
    </row>
    <row r="577" spans="3:7" ht="13">
      <c r="C577" s="80"/>
      <c r="D577" s="5"/>
      <c r="E577" s="5"/>
      <c r="F577" s="5"/>
      <c r="G577" s="5"/>
    </row>
    <row r="578" spans="3:7" ht="13">
      <c r="C578" s="80"/>
      <c r="D578" s="5"/>
      <c r="E578" s="5"/>
      <c r="F578" s="5"/>
      <c r="G578" s="5"/>
    </row>
    <row r="579" spans="3:7" ht="13">
      <c r="C579" s="80"/>
      <c r="D579" s="5"/>
      <c r="E579" s="5"/>
      <c r="F579" s="5"/>
      <c r="G579" s="5"/>
    </row>
    <row r="580" spans="3:7" ht="13">
      <c r="C580" s="80"/>
      <c r="D580" s="5"/>
      <c r="E580" s="5"/>
      <c r="F580" s="5"/>
      <c r="G580" s="5"/>
    </row>
    <row r="581" spans="3:7" ht="13">
      <c r="C581" s="80"/>
      <c r="D581" s="5"/>
      <c r="E581" s="5"/>
      <c r="F581" s="5"/>
      <c r="G581" s="5"/>
    </row>
    <row r="582" spans="3:7" ht="13">
      <c r="C582" s="80"/>
      <c r="D582" s="5"/>
      <c r="E582" s="5"/>
      <c r="F582" s="5"/>
      <c r="G582" s="5"/>
    </row>
    <row r="583" spans="3:7" ht="13">
      <c r="C583" s="80"/>
      <c r="D583" s="5"/>
      <c r="E583" s="5"/>
      <c r="F583" s="5"/>
      <c r="G583" s="5"/>
    </row>
    <row r="584" spans="3:7" ht="13">
      <c r="C584" s="80"/>
      <c r="D584" s="5"/>
      <c r="E584" s="5"/>
      <c r="F584" s="5"/>
      <c r="G584" s="5"/>
    </row>
    <row r="585" spans="3:7" ht="13">
      <c r="C585" s="80"/>
      <c r="D585" s="5"/>
      <c r="E585" s="5"/>
      <c r="F585" s="5"/>
      <c r="G585" s="5"/>
    </row>
    <row r="586" spans="3:7" ht="13">
      <c r="C586" s="80"/>
      <c r="D586" s="5"/>
      <c r="E586" s="5"/>
      <c r="F586" s="5"/>
      <c r="G586" s="5"/>
    </row>
    <row r="587" spans="3:7" ht="13">
      <c r="C587" s="80"/>
      <c r="D587" s="5"/>
      <c r="E587" s="5"/>
      <c r="F587" s="5"/>
      <c r="G587" s="5"/>
    </row>
    <row r="588" spans="3:7" ht="13">
      <c r="C588" s="80"/>
      <c r="D588" s="5"/>
      <c r="E588" s="5"/>
      <c r="F588" s="5"/>
      <c r="G588" s="5"/>
    </row>
    <row r="589" spans="3:7" ht="13">
      <c r="C589" s="80"/>
      <c r="D589" s="5"/>
      <c r="E589" s="5"/>
      <c r="F589" s="5"/>
      <c r="G589" s="5"/>
    </row>
    <row r="590" spans="3:7" ht="13">
      <c r="C590" s="80"/>
      <c r="D590" s="5"/>
      <c r="E590" s="5"/>
      <c r="F590" s="5"/>
      <c r="G590" s="5"/>
    </row>
    <row r="591" spans="3:7" ht="13">
      <c r="C591" s="80"/>
      <c r="D591" s="5"/>
      <c r="E591" s="5"/>
      <c r="F591" s="5"/>
      <c r="G591" s="5"/>
    </row>
    <row r="592" spans="3:7" ht="13">
      <c r="C592" s="80"/>
      <c r="D592" s="5"/>
      <c r="E592" s="5"/>
      <c r="F592" s="5"/>
      <c r="G592" s="5"/>
    </row>
    <row r="593" spans="3:7" ht="13">
      <c r="C593" s="80"/>
      <c r="D593" s="5"/>
      <c r="E593" s="5"/>
      <c r="F593" s="5"/>
      <c r="G593" s="5"/>
    </row>
    <row r="594" spans="3:7" ht="13">
      <c r="C594" s="80"/>
      <c r="D594" s="5"/>
      <c r="E594" s="5"/>
      <c r="F594" s="5"/>
      <c r="G594" s="5"/>
    </row>
    <row r="595" spans="3:7" ht="13">
      <c r="C595" s="80"/>
      <c r="D595" s="5"/>
      <c r="E595" s="5"/>
      <c r="F595" s="5"/>
      <c r="G595" s="5"/>
    </row>
    <row r="596" spans="3:7" ht="13">
      <c r="C596" s="80"/>
      <c r="D596" s="5"/>
      <c r="E596" s="5"/>
      <c r="F596" s="5"/>
      <c r="G596" s="5"/>
    </row>
    <row r="597" spans="3:7" ht="13">
      <c r="C597" s="80"/>
      <c r="D597" s="5"/>
      <c r="E597" s="5"/>
      <c r="F597" s="5"/>
      <c r="G597" s="5"/>
    </row>
    <row r="598" spans="3:7" ht="13">
      <c r="C598" s="80"/>
      <c r="D598" s="5"/>
      <c r="E598" s="5"/>
      <c r="F598" s="5"/>
      <c r="G598" s="5"/>
    </row>
    <row r="599" spans="3:7" ht="13">
      <c r="C599" s="80"/>
      <c r="D599" s="5"/>
      <c r="E599" s="5"/>
      <c r="F599" s="5"/>
      <c r="G599" s="5"/>
    </row>
    <row r="600" spans="3:7" ht="13">
      <c r="C600" s="80"/>
      <c r="D600" s="5"/>
      <c r="E600" s="5"/>
      <c r="F600" s="5"/>
      <c r="G600" s="5"/>
    </row>
    <row r="601" spans="3:7" ht="13">
      <c r="C601" s="80"/>
      <c r="D601" s="5"/>
      <c r="E601" s="5"/>
      <c r="F601" s="5"/>
      <c r="G601" s="5"/>
    </row>
    <row r="602" spans="3:7" ht="13">
      <c r="C602" s="80"/>
      <c r="D602" s="5"/>
      <c r="E602" s="5"/>
      <c r="F602" s="5"/>
      <c r="G602" s="5"/>
    </row>
    <row r="603" spans="3:7" ht="13">
      <c r="C603" s="80"/>
      <c r="D603" s="5"/>
      <c r="E603" s="5"/>
      <c r="F603" s="5"/>
      <c r="G603" s="5"/>
    </row>
    <row r="604" spans="3:7" ht="13">
      <c r="C604" s="80"/>
      <c r="D604" s="5"/>
      <c r="E604" s="5"/>
      <c r="F604" s="5"/>
      <c r="G604" s="5"/>
    </row>
    <row r="605" spans="3:7" ht="13">
      <c r="C605" s="80"/>
      <c r="D605" s="5"/>
      <c r="E605" s="5"/>
      <c r="F605" s="5"/>
      <c r="G605" s="5"/>
    </row>
    <row r="606" spans="3:7" ht="13">
      <c r="C606" s="80"/>
      <c r="D606" s="5"/>
      <c r="E606" s="5"/>
      <c r="F606" s="5"/>
      <c r="G606" s="5"/>
    </row>
    <row r="607" spans="3:7" ht="13">
      <c r="C607" s="80"/>
      <c r="D607" s="5"/>
      <c r="E607" s="5"/>
      <c r="F607" s="5"/>
      <c r="G607" s="5"/>
    </row>
    <row r="608" spans="3:7" ht="13">
      <c r="C608" s="80"/>
      <c r="D608" s="5"/>
      <c r="E608" s="5"/>
      <c r="F608" s="5"/>
      <c r="G608" s="5"/>
    </row>
    <row r="609" spans="3:7" ht="13">
      <c r="C609" s="80"/>
      <c r="D609" s="5"/>
      <c r="E609" s="5"/>
      <c r="F609" s="5"/>
      <c r="G609" s="5"/>
    </row>
    <row r="610" spans="3:7" ht="13">
      <c r="C610" s="80"/>
      <c r="D610" s="5"/>
      <c r="E610" s="5"/>
      <c r="F610" s="5"/>
      <c r="G610" s="5"/>
    </row>
    <row r="611" spans="3:7" ht="13">
      <c r="C611" s="80"/>
      <c r="D611" s="5"/>
      <c r="E611" s="5"/>
      <c r="F611" s="5"/>
      <c r="G611" s="5"/>
    </row>
    <row r="612" spans="3:7" ht="13">
      <c r="C612" s="80"/>
      <c r="D612" s="5"/>
      <c r="E612" s="5"/>
      <c r="F612" s="5"/>
      <c r="G612" s="5"/>
    </row>
    <row r="613" spans="3:7" ht="13">
      <c r="C613" s="80"/>
      <c r="D613" s="5"/>
      <c r="E613" s="5"/>
      <c r="F613" s="5"/>
      <c r="G613" s="5"/>
    </row>
    <row r="614" spans="3:7" ht="13">
      <c r="C614" s="80"/>
      <c r="D614" s="5"/>
      <c r="E614" s="5"/>
      <c r="F614" s="5"/>
      <c r="G614" s="5"/>
    </row>
    <row r="615" spans="3:7" ht="13">
      <c r="C615" s="80"/>
      <c r="D615" s="5"/>
      <c r="E615" s="5"/>
      <c r="F615" s="5"/>
      <c r="G615" s="5"/>
    </row>
    <row r="616" spans="3:7" ht="13">
      <c r="C616" s="80"/>
      <c r="D616" s="5"/>
      <c r="E616" s="5"/>
      <c r="F616" s="5"/>
      <c r="G616" s="5"/>
    </row>
    <row r="617" spans="3:7" ht="13">
      <c r="C617" s="80"/>
      <c r="D617" s="5"/>
      <c r="E617" s="5"/>
      <c r="F617" s="5"/>
      <c r="G617" s="5"/>
    </row>
    <row r="618" spans="3:7" ht="13">
      <c r="C618" s="80"/>
      <c r="D618" s="5"/>
      <c r="E618" s="5"/>
      <c r="F618" s="5"/>
      <c r="G618" s="5"/>
    </row>
    <row r="619" spans="3:7" ht="13">
      <c r="C619" s="80"/>
      <c r="D619" s="5"/>
      <c r="E619" s="5"/>
      <c r="F619" s="5"/>
      <c r="G619" s="5"/>
    </row>
    <row r="620" spans="3:7" ht="13">
      <c r="C620" s="80"/>
      <c r="D620" s="5"/>
      <c r="E620" s="5"/>
      <c r="F620" s="5"/>
      <c r="G620" s="5"/>
    </row>
    <row r="621" spans="3:7" ht="13">
      <c r="C621" s="80"/>
      <c r="D621" s="5"/>
      <c r="E621" s="5"/>
      <c r="F621" s="5"/>
      <c r="G621" s="5"/>
    </row>
    <row r="622" spans="3:7" ht="13">
      <c r="C622" s="80"/>
      <c r="D622" s="5"/>
      <c r="E622" s="5"/>
      <c r="F622" s="5"/>
      <c r="G622" s="5"/>
    </row>
    <row r="623" spans="3:7" ht="13">
      <c r="C623" s="80"/>
      <c r="D623" s="5"/>
      <c r="E623" s="5"/>
      <c r="F623" s="5"/>
      <c r="G623" s="5"/>
    </row>
    <row r="624" spans="3:7" ht="13">
      <c r="C624" s="80"/>
      <c r="D624" s="5"/>
      <c r="E624" s="5"/>
      <c r="F624" s="5"/>
      <c r="G624" s="5"/>
    </row>
    <row r="625" spans="3:7" ht="13">
      <c r="C625" s="80"/>
      <c r="D625" s="5"/>
      <c r="E625" s="5"/>
      <c r="F625" s="5"/>
      <c r="G625" s="5"/>
    </row>
    <row r="626" spans="3:7" ht="13">
      <c r="C626" s="80"/>
      <c r="D626" s="5"/>
      <c r="E626" s="5"/>
      <c r="F626" s="5"/>
      <c r="G626" s="5"/>
    </row>
    <row r="627" spans="3:7" ht="13">
      <c r="C627" s="80"/>
      <c r="D627" s="5"/>
      <c r="E627" s="5"/>
      <c r="F627" s="5"/>
      <c r="G627" s="5"/>
    </row>
    <row r="628" spans="3:7" ht="13">
      <c r="C628" s="80"/>
      <c r="D628" s="5"/>
      <c r="E628" s="5"/>
      <c r="F628" s="5"/>
      <c r="G628" s="5"/>
    </row>
    <row r="629" spans="3:7" ht="13">
      <c r="C629" s="80"/>
      <c r="D629" s="5"/>
      <c r="E629" s="5"/>
      <c r="F629" s="5"/>
      <c r="G629" s="5"/>
    </row>
    <row r="630" spans="3:7" ht="13">
      <c r="C630" s="80"/>
      <c r="D630" s="5"/>
      <c r="E630" s="5"/>
      <c r="F630" s="5"/>
      <c r="G630" s="5"/>
    </row>
    <row r="631" spans="3:7" ht="13">
      <c r="C631" s="80"/>
      <c r="D631" s="5"/>
      <c r="E631" s="5"/>
      <c r="F631" s="5"/>
      <c r="G631" s="5"/>
    </row>
    <row r="632" spans="3:7" ht="13">
      <c r="C632" s="80"/>
      <c r="D632" s="5"/>
      <c r="E632" s="5"/>
      <c r="F632" s="5"/>
      <c r="G632" s="5"/>
    </row>
    <row r="633" spans="3:7" ht="13">
      <c r="C633" s="80"/>
      <c r="D633" s="5"/>
      <c r="E633" s="5"/>
      <c r="F633" s="5"/>
      <c r="G633" s="5"/>
    </row>
    <row r="634" spans="3:7" ht="13">
      <c r="C634" s="80"/>
      <c r="D634" s="5"/>
      <c r="E634" s="5"/>
      <c r="F634" s="5"/>
      <c r="G634" s="5"/>
    </row>
    <row r="635" spans="3:7" ht="13">
      <c r="C635" s="80"/>
      <c r="D635" s="5"/>
      <c r="E635" s="5"/>
      <c r="F635" s="5"/>
      <c r="G635" s="5"/>
    </row>
    <row r="636" spans="3:7" ht="13">
      <c r="C636" s="80"/>
      <c r="D636" s="5"/>
      <c r="E636" s="5"/>
      <c r="F636" s="5"/>
      <c r="G636" s="5"/>
    </row>
    <row r="637" spans="3:7" ht="13">
      <c r="C637" s="80"/>
      <c r="D637" s="5"/>
      <c r="E637" s="5"/>
      <c r="F637" s="5"/>
      <c r="G637" s="5"/>
    </row>
    <row r="638" spans="3:7" ht="13">
      <c r="C638" s="80"/>
      <c r="D638" s="5"/>
      <c r="E638" s="5"/>
      <c r="F638" s="5"/>
      <c r="G638" s="5"/>
    </row>
    <row r="639" spans="3:7" ht="13">
      <c r="C639" s="80"/>
      <c r="D639" s="5"/>
      <c r="E639" s="5"/>
      <c r="F639" s="5"/>
      <c r="G639" s="5"/>
    </row>
    <row r="640" spans="3:7" ht="13">
      <c r="C640" s="80"/>
      <c r="D640" s="5"/>
      <c r="E640" s="5"/>
      <c r="F640" s="5"/>
      <c r="G640" s="5"/>
    </row>
    <row r="641" spans="3:7" ht="13">
      <c r="C641" s="80"/>
      <c r="D641" s="5"/>
      <c r="E641" s="5"/>
      <c r="F641" s="5"/>
      <c r="G641" s="5"/>
    </row>
    <row r="642" spans="3:7" ht="13">
      <c r="C642" s="80"/>
      <c r="D642" s="5"/>
      <c r="E642" s="5"/>
      <c r="F642" s="5"/>
      <c r="G642" s="5"/>
    </row>
    <row r="643" spans="3:7" ht="13">
      <c r="C643" s="80"/>
      <c r="D643" s="5"/>
      <c r="E643" s="5"/>
      <c r="F643" s="5"/>
      <c r="G643" s="5"/>
    </row>
    <row r="644" spans="3:7" ht="13">
      <c r="C644" s="80"/>
      <c r="D644" s="5"/>
      <c r="E644" s="5"/>
      <c r="F644" s="5"/>
      <c r="G644" s="5"/>
    </row>
    <row r="645" spans="3:7" ht="13">
      <c r="C645" s="80"/>
      <c r="D645" s="5"/>
      <c r="E645" s="5"/>
      <c r="F645" s="5"/>
      <c r="G645" s="5"/>
    </row>
    <row r="646" spans="3:7" ht="13">
      <c r="C646" s="80"/>
      <c r="D646" s="5"/>
      <c r="E646" s="5"/>
      <c r="F646" s="5"/>
      <c r="G646" s="5"/>
    </row>
    <row r="647" spans="3:7" ht="13">
      <c r="C647" s="80"/>
      <c r="D647" s="5"/>
      <c r="E647" s="5"/>
      <c r="F647" s="5"/>
      <c r="G647" s="5"/>
    </row>
    <row r="648" spans="3:7" ht="13">
      <c r="C648" s="80"/>
      <c r="D648" s="5"/>
      <c r="E648" s="5"/>
      <c r="F648" s="5"/>
      <c r="G648" s="5"/>
    </row>
    <row r="649" spans="3:7" ht="13">
      <c r="C649" s="80"/>
      <c r="D649" s="5"/>
      <c r="E649" s="5"/>
      <c r="F649" s="5"/>
      <c r="G649" s="5"/>
    </row>
    <row r="650" spans="3:7" ht="13">
      <c r="C650" s="80"/>
      <c r="D650" s="5"/>
      <c r="E650" s="5"/>
      <c r="F650" s="5"/>
      <c r="G650" s="5"/>
    </row>
    <row r="651" spans="3:7" ht="13">
      <c r="C651" s="80"/>
      <c r="D651" s="5"/>
      <c r="E651" s="5"/>
      <c r="F651" s="5"/>
      <c r="G651" s="5"/>
    </row>
    <row r="652" spans="3:7" ht="13">
      <c r="C652" s="80"/>
      <c r="D652" s="5"/>
      <c r="E652" s="5"/>
      <c r="F652" s="5"/>
      <c r="G652" s="5"/>
    </row>
    <row r="653" spans="3:7" ht="13">
      <c r="C653" s="80"/>
      <c r="D653" s="5"/>
      <c r="E653" s="5"/>
      <c r="F653" s="5"/>
      <c r="G653" s="5"/>
    </row>
    <row r="654" spans="3:7" ht="13">
      <c r="C654" s="80"/>
      <c r="D654" s="5"/>
      <c r="E654" s="5"/>
      <c r="F654" s="5"/>
      <c r="G654" s="5"/>
    </row>
    <row r="655" spans="3:7" ht="13">
      <c r="C655" s="80"/>
      <c r="D655" s="5"/>
      <c r="E655" s="5"/>
      <c r="F655" s="5"/>
      <c r="G655" s="5"/>
    </row>
    <row r="656" spans="3:7" ht="13">
      <c r="C656" s="80"/>
      <c r="D656" s="5"/>
      <c r="E656" s="5"/>
      <c r="F656" s="5"/>
      <c r="G656" s="5"/>
    </row>
    <row r="657" spans="3:7" ht="13">
      <c r="C657" s="80"/>
      <c r="D657" s="5"/>
      <c r="E657" s="5"/>
      <c r="F657" s="5"/>
      <c r="G657" s="5"/>
    </row>
    <row r="658" spans="3:7" ht="13">
      <c r="C658" s="80"/>
      <c r="D658" s="5"/>
      <c r="E658" s="5"/>
      <c r="F658" s="5"/>
      <c r="G658" s="5"/>
    </row>
    <row r="659" spans="3:7" ht="13">
      <c r="C659" s="80"/>
      <c r="D659" s="5"/>
      <c r="E659" s="5"/>
      <c r="F659" s="5"/>
      <c r="G659" s="5"/>
    </row>
    <row r="660" spans="3:7" ht="13">
      <c r="C660" s="80"/>
      <c r="D660" s="5"/>
      <c r="E660" s="5"/>
      <c r="F660" s="5"/>
      <c r="G660" s="5"/>
    </row>
    <row r="661" spans="3:7" ht="13">
      <c r="C661" s="80"/>
      <c r="D661" s="5"/>
      <c r="E661" s="5"/>
      <c r="F661" s="5"/>
      <c r="G661" s="5"/>
    </row>
    <row r="662" spans="3:7" ht="13">
      <c r="C662" s="80"/>
      <c r="D662" s="5"/>
      <c r="E662" s="5"/>
      <c r="F662" s="5"/>
      <c r="G662" s="5"/>
    </row>
    <row r="663" spans="3:7" ht="13">
      <c r="C663" s="80"/>
      <c r="D663" s="5"/>
      <c r="E663" s="5"/>
      <c r="F663" s="5"/>
      <c r="G663" s="5"/>
    </row>
    <row r="664" spans="3:7" ht="13">
      <c r="C664" s="80"/>
      <c r="D664" s="5"/>
      <c r="E664" s="5"/>
      <c r="F664" s="5"/>
      <c r="G664" s="5"/>
    </row>
    <row r="665" spans="3:7" ht="13">
      <c r="C665" s="80"/>
      <c r="D665" s="5"/>
      <c r="E665" s="5"/>
      <c r="F665" s="5"/>
      <c r="G665" s="5"/>
    </row>
    <row r="666" spans="3:7" ht="13">
      <c r="C666" s="80"/>
      <c r="D666" s="5"/>
      <c r="E666" s="5"/>
      <c r="F666" s="5"/>
      <c r="G666" s="5"/>
    </row>
    <row r="667" spans="3:7" ht="13">
      <c r="C667" s="80"/>
      <c r="D667" s="5"/>
      <c r="E667" s="5"/>
      <c r="F667" s="5"/>
      <c r="G667" s="5"/>
    </row>
    <row r="668" spans="3:7" ht="13">
      <c r="C668" s="80"/>
      <c r="D668" s="5"/>
      <c r="E668" s="5"/>
      <c r="F668" s="5"/>
      <c r="G668" s="5"/>
    </row>
    <row r="669" spans="3:7" ht="13">
      <c r="C669" s="80"/>
      <c r="D669" s="5"/>
      <c r="E669" s="5"/>
      <c r="F669" s="5"/>
      <c r="G669" s="5"/>
    </row>
    <row r="670" spans="3:7" ht="13">
      <c r="C670" s="80"/>
      <c r="D670" s="5"/>
      <c r="E670" s="5"/>
      <c r="F670" s="5"/>
      <c r="G670" s="5"/>
    </row>
    <row r="671" spans="3:7" ht="13">
      <c r="C671" s="80"/>
      <c r="D671" s="5"/>
      <c r="E671" s="5"/>
      <c r="F671" s="5"/>
      <c r="G671" s="5"/>
    </row>
    <row r="672" spans="3:7" ht="13">
      <c r="C672" s="80"/>
      <c r="D672" s="5"/>
      <c r="E672" s="5"/>
      <c r="F672" s="5"/>
      <c r="G672" s="5"/>
    </row>
    <row r="673" spans="3:7" ht="13">
      <c r="C673" s="80"/>
      <c r="D673" s="5"/>
      <c r="E673" s="5"/>
      <c r="F673" s="5"/>
      <c r="G673" s="5"/>
    </row>
    <row r="674" spans="3:7" ht="13">
      <c r="C674" s="80"/>
      <c r="D674" s="5"/>
      <c r="E674" s="5"/>
      <c r="F674" s="5"/>
      <c r="G674" s="5"/>
    </row>
    <row r="675" spans="3:7" ht="13">
      <c r="C675" s="80"/>
      <c r="D675" s="5"/>
      <c r="E675" s="5"/>
      <c r="F675" s="5"/>
      <c r="G675" s="5"/>
    </row>
    <row r="676" spans="3:7" ht="13">
      <c r="C676" s="80"/>
      <c r="D676" s="5"/>
      <c r="E676" s="5"/>
      <c r="F676" s="5"/>
      <c r="G676" s="5"/>
    </row>
    <row r="677" spans="3:7" ht="13">
      <c r="C677" s="80"/>
      <c r="D677" s="5"/>
      <c r="E677" s="5"/>
      <c r="F677" s="5"/>
      <c r="G677" s="5"/>
    </row>
    <row r="678" spans="3:7" ht="13">
      <c r="C678" s="80"/>
      <c r="D678" s="5"/>
      <c r="E678" s="5"/>
      <c r="F678" s="5"/>
      <c r="G678" s="5"/>
    </row>
    <row r="679" spans="3:7" ht="13">
      <c r="C679" s="80"/>
      <c r="D679" s="5"/>
      <c r="E679" s="5"/>
      <c r="F679" s="5"/>
      <c r="G679" s="5"/>
    </row>
    <row r="680" spans="3:7" ht="13">
      <c r="C680" s="80"/>
      <c r="D680" s="5"/>
      <c r="E680" s="5"/>
      <c r="F680" s="5"/>
      <c r="G680" s="5"/>
    </row>
    <row r="681" spans="3:7" ht="13">
      <c r="C681" s="80"/>
      <c r="D681" s="5"/>
      <c r="E681" s="5"/>
      <c r="F681" s="5"/>
      <c r="G681" s="5"/>
    </row>
    <row r="682" spans="3:7" ht="13">
      <c r="C682" s="80"/>
      <c r="D682" s="5"/>
      <c r="E682" s="5"/>
      <c r="F682" s="5"/>
      <c r="G682" s="5"/>
    </row>
    <row r="683" spans="3:7" ht="13">
      <c r="C683" s="80"/>
      <c r="D683" s="5"/>
      <c r="E683" s="5"/>
      <c r="F683" s="5"/>
      <c r="G683" s="5"/>
    </row>
    <row r="684" spans="3:7" ht="13">
      <c r="C684" s="80"/>
      <c r="D684" s="5"/>
      <c r="E684" s="5"/>
      <c r="F684" s="5"/>
      <c r="G684" s="5"/>
    </row>
    <row r="685" spans="3:7" ht="13">
      <c r="C685" s="80"/>
      <c r="D685" s="5"/>
      <c r="E685" s="5"/>
      <c r="F685" s="5"/>
      <c r="G685" s="5"/>
    </row>
    <row r="686" spans="3:7" ht="13">
      <c r="C686" s="80"/>
      <c r="D686" s="5"/>
      <c r="E686" s="5"/>
      <c r="F686" s="5"/>
      <c r="G686" s="5"/>
    </row>
    <row r="687" spans="3:7" ht="13">
      <c r="C687" s="80"/>
      <c r="D687" s="5"/>
      <c r="E687" s="5"/>
      <c r="F687" s="5"/>
      <c r="G687" s="5"/>
    </row>
    <row r="688" spans="3:7" ht="13">
      <c r="C688" s="80"/>
      <c r="D688" s="5"/>
      <c r="E688" s="5"/>
      <c r="F688" s="5"/>
      <c r="G688" s="5"/>
    </row>
    <row r="689" spans="3:7" ht="13">
      <c r="C689" s="80"/>
      <c r="D689" s="5"/>
      <c r="E689" s="5"/>
      <c r="F689" s="5"/>
      <c r="G689" s="5"/>
    </row>
    <row r="690" spans="3:7" ht="13">
      <c r="C690" s="80"/>
      <c r="D690" s="5"/>
      <c r="E690" s="5"/>
      <c r="F690" s="5"/>
      <c r="G690" s="5"/>
    </row>
    <row r="691" spans="3:7" ht="13">
      <c r="C691" s="80"/>
      <c r="D691" s="5"/>
      <c r="E691" s="5"/>
      <c r="F691" s="5"/>
      <c r="G691" s="5"/>
    </row>
    <row r="692" spans="3:7" ht="13">
      <c r="C692" s="80"/>
      <c r="D692" s="5"/>
      <c r="E692" s="5"/>
      <c r="F692" s="5"/>
      <c r="G692" s="5"/>
    </row>
    <row r="693" spans="3:7" ht="13">
      <c r="C693" s="80"/>
      <c r="D693" s="5"/>
      <c r="E693" s="5"/>
      <c r="F693" s="5"/>
      <c r="G693" s="5"/>
    </row>
    <row r="694" spans="3:7" ht="13">
      <c r="C694" s="80"/>
      <c r="D694" s="5"/>
      <c r="E694" s="5"/>
      <c r="F694" s="5"/>
      <c r="G694" s="5"/>
    </row>
    <row r="695" spans="3:7" ht="13">
      <c r="C695" s="80"/>
      <c r="D695" s="5"/>
      <c r="E695" s="5"/>
      <c r="F695" s="5"/>
      <c r="G695" s="5"/>
    </row>
    <row r="696" spans="3:7" ht="13">
      <c r="C696" s="80"/>
      <c r="D696" s="5"/>
      <c r="E696" s="5"/>
      <c r="F696" s="5"/>
      <c r="G696" s="5"/>
    </row>
    <row r="697" spans="3:7" ht="13">
      <c r="C697" s="80"/>
      <c r="D697" s="5"/>
      <c r="E697" s="5"/>
      <c r="F697" s="5"/>
      <c r="G697" s="5"/>
    </row>
    <row r="698" spans="3:7" ht="13">
      <c r="C698" s="80"/>
      <c r="D698" s="5"/>
      <c r="E698" s="5"/>
      <c r="F698" s="5"/>
      <c r="G698" s="5"/>
    </row>
    <row r="699" spans="3:7" ht="13">
      <c r="C699" s="80"/>
      <c r="D699" s="5"/>
      <c r="E699" s="5"/>
      <c r="F699" s="5"/>
      <c r="G699" s="5"/>
    </row>
    <row r="700" spans="3:7" ht="13">
      <c r="C700" s="80"/>
      <c r="D700" s="5"/>
      <c r="E700" s="5"/>
      <c r="F700" s="5"/>
      <c r="G700" s="5"/>
    </row>
    <row r="701" spans="3:7" ht="13">
      <c r="C701" s="80"/>
      <c r="D701" s="5"/>
      <c r="E701" s="5"/>
      <c r="F701" s="5"/>
      <c r="G701" s="5"/>
    </row>
    <row r="702" spans="3:7" ht="13">
      <c r="C702" s="80"/>
      <c r="D702" s="5"/>
      <c r="E702" s="5"/>
      <c r="F702" s="5"/>
      <c r="G702" s="5"/>
    </row>
    <row r="703" spans="3:7" ht="13">
      <c r="C703" s="80"/>
      <c r="D703" s="5"/>
      <c r="E703" s="5"/>
      <c r="F703" s="5"/>
      <c r="G703" s="5"/>
    </row>
    <row r="704" spans="3:7" ht="13">
      <c r="C704" s="80"/>
      <c r="D704" s="5"/>
      <c r="E704" s="5"/>
      <c r="F704" s="5"/>
      <c r="G704" s="5"/>
    </row>
    <row r="705" spans="3:7" ht="13">
      <c r="C705" s="80"/>
      <c r="D705" s="5"/>
      <c r="E705" s="5"/>
      <c r="F705" s="5"/>
      <c r="G705" s="5"/>
    </row>
    <row r="706" spans="3:7" ht="13">
      <c r="C706" s="80"/>
      <c r="D706" s="5"/>
      <c r="E706" s="5"/>
      <c r="F706" s="5"/>
      <c r="G706" s="5"/>
    </row>
    <row r="707" spans="3:7" ht="13">
      <c r="C707" s="80"/>
      <c r="D707" s="5"/>
      <c r="E707" s="5"/>
      <c r="F707" s="5"/>
      <c r="G707" s="5"/>
    </row>
    <row r="708" spans="3:7" ht="13">
      <c r="C708" s="80"/>
      <c r="D708" s="5"/>
      <c r="E708" s="5"/>
      <c r="F708" s="5"/>
      <c r="G708" s="5"/>
    </row>
    <row r="709" spans="3:7" ht="13">
      <c r="C709" s="80"/>
      <c r="D709" s="5"/>
      <c r="E709" s="5"/>
      <c r="F709" s="5"/>
      <c r="G709" s="5"/>
    </row>
    <row r="710" spans="3:7" ht="13">
      <c r="C710" s="80"/>
      <c r="D710" s="5"/>
      <c r="E710" s="5"/>
      <c r="F710" s="5"/>
      <c r="G710" s="5"/>
    </row>
    <row r="711" spans="3:7" ht="13">
      <c r="C711" s="80"/>
      <c r="D711" s="5"/>
      <c r="E711" s="5"/>
      <c r="F711" s="5"/>
      <c r="G711" s="5"/>
    </row>
    <row r="712" spans="3:7" ht="13">
      <c r="C712" s="80"/>
      <c r="D712" s="5"/>
      <c r="E712" s="5"/>
      <c r="F712" s="5"/>
      <c r="G712" s="5"/>
    </row>
    <row r="713" spans="3:7" ht="13">
      <c r="C713" s="80"/>
      <c r="D713" s="5"/>
      <c r="E713" s="5"/>
      <c r="F713" s="5"/>
      <c r="G713" s="5"/>
    </row>
    <row r="714" spans="3:7" ht="13">
      <c r="C714" s="80"/>
      <c r="D714" s="5"/>
      <c r="E714" s="5"/>
      <c r="F714" s="5"/>
      <c r="G714" s="5"/>
    </row>
    <row r="715" spans="3:7" ht="13">
      <c r="C715" s="80"/>
      <c r="D715" s="5"/>
      <c r="E715" s="5"/>
      <c r="F715" s="5"/>
      <c r="G715" s="5"/>
    </row>
    <row r="716" spans="3:7" ht="13">
      <c r="C716" s="80"/>
      <c r="D716" s="5"/>
      <c r="E716" s="5"/>
      <c r="F716" s="5"/>
      <c r="G716" s="5"/>
    </row>
    <row r="717" spans="3:7" ht="13">
      <c r="C717" s="80"/>
      <c r="D717" s="5"/>
      <c r="E717" s="5"/>
      <c r="F717" s="5"/>
      <c r="G717" s="5"/>
    </row>
    <row r="718" spans="3:7" ht="13">
      <c r="C718" s="80"/>
      <c r="D718" s="5"/>
      <c r="E718" s="5"/>
      <c r="F718" s="5"/>
      <c r="G718" s="5"/>
    </row>
    <row r="719" spans="3:7" ht="13">
      <c r="C719" s="80"/>
      <c r="D719" s="5"/>
      <c r="E719" s="5"/>
      <c r="F719" s="5"/>
      <c r="G719" s="5"/>
    </row>
    <row r="720" spans="3:7" ht="13">
      <c r="C720" s="80"/>
      <c r="D720" s="5"/>
      <c r="E720" s="5"/>
      <c r="F720" s="5"/>
      <c r="G720" s="5"/>
    </row>
    <row r="721" spans="3:7" ht="13">
      <c r="C721" s="80"/>
      <c r="D721" s="5"/>
      <c r="E721" s="5"/>
      <c r="F721" s="5"/>
      <c r="G721" s="5"/>
    </row>
    <row r="722" spans="3:7" ht="13">
      <c r="C722" s="80"/>
      <c r="D722" s="5"/>
      <c r="E722" s="5"/>
      <c r="F722" s="5"/>
      <c r="G722" s="5"/>
    </row>
    <row r="723" spans="3:7" ht="13">
      <c r="C723" s="80"/>
      <c r="D723" s="5"/>
      <c r="E723" s="5"/>
      <c r="F723" s="5"/>
      <c r="G723" s="5"/>
    </row>
    <row r="724" spans="3:7" ht="13">
      <c r="C724" s="80"/>
      <c r="D724" s="5"/>
      <c r="E724" s="5"/>
      <c r="F724" s="5"/>
      <c r="G724" s="5"/>
    </row>
    <row r="725" spans="3:7" ht="13">
      <c r="C725" s="80"/>
      <c r="D725" s="5"/>
      <c r="E725" s="5"/>
      <c r="F725" s="5"/>
      <c r="G725" s="5"/>
    </row>
    <row r="726" spans="3:7" ht="13">
      <c r="C726" s="80"/>
      <c r="D726" s="5"/>
      <c r="E726" s="5"/>
      <c r="F726" s="5"/>
      <c r="G726" s="5"/>
    </row>
    <row r="727" spans="3:7" ht="13">
      <c r="C727" s="80"/>
      <c r="D727" s="5"/>
      <c r="E727" s="5"/>
      <c r="F727" s="5"/>
      <c r="G727" s="5"/>
    </row>
    <row r="728" spans="3:7" ht="13">
      <c r="C728" s="80"/>
      <c r="D728" s="5"/>
      <c r="E728" s="5"/>
      <c r="F728" s="5"/>
      <c r="G728" s="5"/>
    </row>
    <row r="729" spans="3:7" ht="13">
      <c r="C729" s="80"/>
      <c r="D729" s="5"/>
      <c r="E729" s="5"/>
      <c r="F729" s="5"/>
      <c r="G729" s="5"/>
    </row>
    <row r="730" spans="3:7" ht="13">
      <c r="C730" s="80"/>
      <c r="D730" s="5"/>
      <c r="E730" s="5"/>
      <c r="F730" s="5"/>
      <c r="G730" s="5"/>
    </row>
    <row r="731" spans="3:7" ht="13">
      <c r="C731" s="80"/>
      <c r="D731" s="5"/>
      <c r="E731" s="5"/>
      <c r="F731" s="5"/>
      <c r="G731" s="5"/>
    </row>
    <row r="732" spans="3:7" ht="13">
      <c r="C732" s="80"/>
      <c r="D732" s="5"/>
      <c r="E732" s="5"/>
      <c r="F732" s="5"/>
      <c r="G732" s="5"/>
    </row>
    <row r="733" spans="3:7" ht="13">
      <c r="C733" s="80"/>
      <c r="D733" s="5"/>
      <c r="E733" s="5"/>
      <c r="F733" s="5"/>
      <c r="G733" s="5"/>
    </row>
    <row r="734" spans="3:7" ht="13">
      <c r="C734" s="80"/>
      <c r="D734" s="5"/>
      <c r="E734" s="5"/>
      <c r="F734" s="5"/>
      <c r="G734" s="5"/>
    </row>
    <row r="735" spans="3:7" ht="13">
      <c r="C735" s="80"/>
      <c r="D735" s="5"/>
      <c r="E735" s="5"/>
      <c r="F735" s="5"/>
      <c r="G735" s="5"/>
    </row>
    <row r="736" spans="3:7" ht="13">
      <c r="C736" s="80"/>
      <c r="D736" s="5"/>
      <c r="E736" s="5"/>
      <c r="F736" s="5"/>
      <c r="G736" s="5"/>
    </row>
    <row r="737" spans="3:7" ht="13">
      <c r="C737" s="80"/>
      <c r="D737" s="5"/>
      <c r="E737" s="5"/>
      <c r="F737" s="5"/>
      <c r="G737" s="5"/>
    </row>
    <row r="738" spans="3:7" ht="13">
      <c r="C738" s="80"/>
      <c r="D738" s="5"/>
      <c r="E738" s="5"/>
      <c r="F738" s="5"/>
      <c r="G738" s="5"/>
    </row>
    <row r="739" spans="3:7" ht="13">
      <c r="C739" s="80"/>
      <c r="D739" s="5"/>
      <c r="E739" s="5"/>
      <c r="F739" s="5"/>
      <c r="G739" s="5"/>
    </row>
    <row r="740" spans="3:7" ht="13">
      <c r="C740" s="80"/>
      <c r="D740" s="5"/>
      <c r="E740" s="5"/>
      <c r="F740" s="5"/>
      <c r="G740" s="5"/>
    </row>
    <row r="741" spans="3:7" ht="13">
      <c r="C741" s="80"/>
      <c r="D741" s="5"/>
      <c r="E741" s="5"/>
      <c r="F741" s="5"/>
      <c r="G741" s="5"/>
    </row>
    <row r="742" spans="3:7" ht="13">
      <c r="C742" s="80"/>
      <c r="D742" s="5"/>
      <c r="E742" s="5"/>
      <c r="F742" s="5"/>
      <c r="G742" s="5"/>
    </row>
    <row r="743" spans="3:7" ht="13">
      <c r="C743" s="80"/>
      <c r="D743" s="5"/>
      <c r="E743" s="5"/>
      <c r="F743" s="5"/>
      <c r="G743" s="5"/>
    </row>
    <row r="744" spans="3:7" ht="13">
      <c r="C744" s="80"/>
      <c r="D744" s="5"/>
      <c r="E744" s="5"/>
      <c r="F744" s="5"/>
      <c r="G744" s="5"/>
    </row>
    <row r="745" spans="3:7" ht="13">
      <c r="C745" s="80"/>
      <c r="D745" s="5"/>
      <c r="E745" s="5"/>
      <c r="F745" s="5"/>
      <c r="G745" s="5"/>
    </row>
    <row r="746" spans="3:7" ht="13">
      <c r="C746" s="80"/>
      <c r="D746" s="5"/>
      <c r="E746" s="5"/>
      <c r="F746" s="5"/>
      <c r="G746" s="5"/>
    </row>
    <row r="747" spans="3:7" ht="13">
      <c r="C747" s="80"/>
      <c r="D747" s="5"/>
      <c r="E747" s="5"/>
      <c r="F747" s="5"/>
      <c r="G747" s="5"/>
    </row>
    <row r="748" spans="3:7" ht="13">
      <c r="C748" s="80"/>
      <c r="D748" s="5"/>
      <c r="E748" s="5"/>
      <c r="F748" s="5"/>
      <c r="G748" s="5"/>
    </row>
    <row r="749" spans="3:7" ht="13">
      <c r="C749" s="80"/>
      <c r="D749" s="5"/>
      <c r="E749" s="5"/>
      <c r="F749" s="5"/>
      <c r="G749" s="5"/>
    </row>
    <row r="750" spans="3:7" ht="13">
      <c r="C750" s="80"/>
      <c r="D750" s="5"/>
      <c r="E750" s="5"/>
      <c r="F750" s="5"/>
      <c r="G750" s="5"/>
    </row>
    <row r="751" spans="3:7" ht="13">
      <c r="C751" s="80"/>
      <c r="D751" s="5"/>
      <c r="E751" s="5"/>
      <c r="F751" s="5"/>
      <c r="G751" s="5"/>
    </row>
    <row r="752" spans="3:7" ht="13">
      <c r="C752" s="80"/>
      <c r="D752" s="5"/>
      <c r="E752" s="5"/>
      <c r="F752" s="5"/>
      <c r="G752" s="5"/>
    </row>
    <row r="753" spans="3:7" ht="13">
      <c r="C753" s="80"/>
      <c r="D753" s="5"/>
      <c r="E753" s="5"/>
      <c r="F753" s="5"/>
      <c r="G753" s="5"/>
    </row>
    <row r="754" spans="3:7" ht="13">
      <c r="C754" s="80"/>
      <c r="D754" s="5"/>
      <c r="E754" s="5"/>
      <c r="F754" s="5"/>
      <c r="G754" s="5"/>
    </row>
    <row r="755" spans="3:7" ht="13">
      <c r="C755" s="80"/>
      <c r="D755" s="5"/>
      <c r="E755" s="5"/>
      <c r="F755" s="5"/>
      <c r="G755" s="5"/>
    </row>
    <row r="756" spans="3:7" ht="13">
      <c r="C756" s="80"/>
      <c r="D756" s="5"/>
      <c r="E756" s="5"/>
      <c r="F756" s="5"/>
      <c r="G756" s="5"/>
    </row>
    <row r="757" spans="3:7" ht="13">
      <c r="C757" s="80"/>
      <c r="D757" s="5"/>
      <c r="E757" s="5"/>
      <c r="F757" s="5"/>
      <c r="G757" s="5"/>
    </row>
    <row r="758" spans="3:7" ht="13">
      <c r="C758" s="80"/>
      <c r="D758" s="5"/>
      <c r="E758" s="5"/>
      <c r="F758" s="5"/>
      <c r="G758" s="5"/>
    </row>
    <row r="759" spans="3:7" ht="13">
      <c r="C759" s="80"/>
      <c r="D759" s="5"/>
      <c r="E759" s="5"/>
      <c r="F759" s="5"/>
      <c r="G759" s="5"/>
    </row>
    <row r="760" spans="3:7" ht="13">
      <c r="C760" s="80"/>
      <c r="D760" s="5"/>
      <c r="E760" s="5"/>
      <c r="F760" s="5"/>
      <c r="G760" s="5"/>
    </row>
    <row r="761" spans="3:7" ht="13">
      <c r="C761" s="80"/>
      <c r="D761" s="5"/>
      <c r="E761" s="5"/>
      <c r="F761" s="5"/>
      <c r="G761" s="5"/>
    </row>
    <row r="762" spans="3:7" ht="13">
      <c r="C762" s="80"/>
      <c r="D762" s="5"/>
      <c r="E762" s="5"/>
      <c r="F762" s="5"/>
      <c r="G762" s="5"/>
    </row>
    <row r="763" spans="3:7" ht="13">
      <c r="C763" s="80"/>
      <c r="D763" s="5"/>
      <c r="E763" s="5"/>
      <c r="F763" s="5"/>
      <c r="G763" s="5"/>
    </row>
    <row r="764" spans="3:7" ht="13">
      <c r="C764" s="80"/>
      <c r="D764" s="5"/>
      <c r="E764" s="5"/>
      <c r="F764" s="5"/>
      <c r="G764" s="5"/>
    </row>
    <row r="765" spans="3:7" ht="13">
      <c r="C765" s="80"/>
      <c r="D765" s="5"/>
      <c r="E765" s="5"/>
      <c r="F765" s="5"/>
      <c r="G765" s="5"/>
    </row>
    <row r="766" spans="3:7" ht="13">
      <c r="C766" s="80"/>
      <c r="D766" s="5"/>
      <c r="E766" s="5"/>
      <c r="F766" s="5"/>
      <c r="G766" s="5"/>
    </row>
    <row r="767" spans="3:7" ht="13">
      <c r="C767" s="80"/>
      <c r="D767" s="5"/>
      <c r="E767" s="5"/>
      <c r="F767" s="5"/>
      <c r="G767" s="5"/>
    </row>
    <row r="768" spans="3:7" ht="13">
      <c r="C768" s="80"/>
      <c r="D768" s="5"/>
      <c r="E768" s="5"/>
      <c r="F768" s="5"/>
      <c r="G768" s="5"/>
    </row>
    <row r="769" spans="3:7" ht="13">
      <c r="C769" s="80"/>
      <c r="D769" s="5"/>
      <c r="E769" s="5"/>
      <c r="F769" s="5"/>
      <c r="G769" s="5"/>
    </row>
    <row r="770" spans="3:7" ht="13">
      <c r="C770" s="80"/>
      <c r="D770" s="5"/>
      <c r="E770" s="5"/>
      <c r="F770" s="5"/>
      <c r="G770" s="5"/>
    </row>
    <row r="771" spans="3:7" ht="13">
      <c r="C771" s="80"/>
      <c r="D771" s="5"/>
      <c r="E771" s="5"/>
      <c r="F771" s="5"/>
      <c r="G771" s="5"/>
    </row>
    <row r="772" spans="3:7" ht="13">
      <c r="C772" s="80"/>
      <c r="D772" s="5"/>
      <c r="E772" s="5"/>
      <c r="F772" s="5"/>
      <c r="G772" s="5"/>
    </row>
    <row r="773" spans="3:7" ht="13">
      <c r="C773" s="80"/>
      <c r="D773" s="5"/>
      <c r="E773" s="5"/>
      <c r="F773" s="5"/>
      <c r="G773" s="5"/>
    </row>
    <row r="774" spans="3:7" ht="13">
      <c r="C774" s="80"/>
      <c r="D774" s="5"/>
      <c r="E774" s="5"/>
      <c r="F774" s="5"/>
      <c r="G774" s="5"/>
    </row>
    <row r="775" spans="3:7" ht="13">
      <c r="C775" s="80"/>
      <c r="D775" s="5"/>
      <c r="E775" s="5"/>
      <c r="F775" s="5"/>
      <c r="G775" s="5"/>
    </row>
    <row r="776" spans="3:7" ht="13">
      <c r="C776" s="80"/>
      <c r="D776" s="5"/>
      <c r="E776" s="5"/>
      <c r="F776" s="5"/>
      <c r="G776" s="5"/>
    </row>
    <row r="777" spans="3:7" ht="13">
      <c r="C777" s="80"/>
      <c r="D777" s="5"/>
      <c r="E777" s="5"/>
      <c r="F777" s="5"/>
      <c r="G777" s="5"/>
    </row>
    <row r="778" spans="3:7" ht="13">
      <c r="C778" s="80"/>
      <c r="D778" s="5"/>
      <c r="E778" s="5"/>
      <c r="F778" s="5"/>
      <c r="G778" s="5"/>
    </row>
    <row r="779" spans="3:7" ht="13">
      <c r="C779" s="80"/>
      <c r="D779" s="5"/>
      <c r="E779" s="5"/>
      <c r="F779" s="5"/>
      <c r="G779" s="5"/>
    </row>
    <row r="780" spans="3:7" ht="13">
      <c r="C780" s="80"/>
      <c r="D780" s="5"/>
      <c r="E780" s="5"/>
      <c r="F780" s="5"/>
      <c r="G780" s="5"/>
    </row>
    <row r="781" spans="3:7" ht="13">
      <c r="C781" s="80"/>
      <c r="D781" s="5"/>
      <c r="E781" s="5"/>
      <c r="F781" s="5"/>
      <c r="G781" s="5"/>
    </row>
    <row r="782" spans="3:7" ht="13">
      <c r="C782" s="80"/>
      <c r="D782" s="5"/>
      <c r="E782" s="5"/>
      <c r="F782" s="5"/>
      <c r="G782" s="5"/>
    </row>
    <row r="783" spans="3:7" ht="13">
      <c r="C783" s="80"/>
      <c r="D783" s="5"/>
      <c r="E783" s="5"/>
      <c r="F783" s="5"/>
      <c r="G783" s="5"/>
    </row>
    <row r="784" spans="3:7" ht="13">
      <c r="C784" s="80"/>
      <c r="D784" s="5"/>
      <c r="E784" s="5"/>
      <c r="F784" s="5"/>
      <c r="G784" s="5"/>
    </row>
    <row r="785" spans="3:7" ht="13">
      <c r="C785" s="80"/>
      <c r="D785" s="5"/>
      <c r="E785" s="5"/>
      <c r="F785" s="5"/>
      <c r="G785" s="5"/>
    </row>
    <row r="786" spans="3:7" ht="13">
      <c r="C786" s="80"/>
      <c r="D786" s="5"/>
      <c r="E786" s="5"/>
      <c r="F786" s="5"/>
      <c r="G786" s="5"/>
    </row>
    <row r="787" spans="3:7" ht="13">
      <c r="C787" s="80"/>
      <c r="D787" s="5"/>
      <c r="E787" s="5"/>
      <c r="F787" s="5"/>
      <c r="G787" s="5"/>
    </row>
    <row r="788" spans="3:7" ht="13">
      <c r="C788" s="80"/>
      <c r="D788" s="5"/>
      <c r="E788" s="5"/>
      <c r="F788" s="5"/>
      <c r="G788" s="5"/>
    </row>
    <row r="789" spans="3:7" ht="13">
      <c r="C789" s="80"/>
      <c r="D789" s="5"/>
      <c r="E789" s="5"/>
      <c r="F789" s="5"/>
      <c r="G789" s="5"/>
    </row>
    <row r="790" spans="3:7" ht="13">
      <c r="C790" s="80"/>
      <c r="D790" s="5"/>
      <c r="E790" s="5"/>
      <c r="F790" s="5"/>
      <c r="G790" s="5"/>
    </row>
    <row r="791" spans="3:7" ht="13">
      <c r="C791" s="80"/>
      <c r="D791" s="5"/>
      <c r="E791" s="5"/>
      <c r="F791" s="5"/>
      <c r="G791" s="5"/>
    </row>
    <row r="792" spans="3:7" ht="13">
      <c r="C792" s="80"/>
      <c r="D792" s="5"/>
      <c r="E792" s="5"/>
      <c r="F792" s="5"/>
      <c r="G792" s="5"/>
    </row>
    <row r="793" spans="3:7" ht="13">
      <c r="C793" s="80"/>
      <c r="D793" s="5"/>
      <c r="E793" s="5"/>
      <c r="F793" s="5"/>
      <c r="G793" s="5"/>
    </row>
    <row r="794" spans="3:7" ht="13">
      <c r="C794" s="80"/>
      <c r="D794" s="5"/>
      <c r="E794" s="5"/>
      <c r="F794" s="5"/>
      <c r="G794" s="5"/>
    </row>
    <row r="795" spans="3:7" ht="13">
      <c r="C795" s="80"/>
      <c r="D795" s="5"/>
      <c r="E795" s="5"/>
      <c r="F795" s="5"/>
      <c r="G795" s="5"/>
    </row>
    <row r="796" spans="3:7" ht="13">
      <c r="C796" s="80"/>
      <c r="D796" s="5"/>
      <c r="E796" s="5"/>
      <c r="F796" s="5"/>
      <c r="G796" s="5"/>
    </row>
    <row r="797" spans="3:7" ht="13">
      <c r="C797" s="80"/>
      <c r="D797" s="5"/>
      <c r="E797" s="5"/>
      <c r="F797" s="5"/>
      <c r="G797" s="5"/>
    </row>
    <row r="798" spans="3:7" ht="13">
      <c r="C798" s="80"/>
      <c r="D798" s="5"/>
      <c r="E798" s="5"/>
      <c r="F798" s="5"/>
      <c r="G798" s="5"/>
    </row>
    <row r="799" spans="3:7" ht="13">
      <c r="C799" s="80"/>
      <c r="D799" s="5"/>
      <c r="E799" s="5"/>
      <c r="F799" s="5"/>
      <c r="G799" s="5"/>
    </row>
    <row r="800" spans="3:7" ht="13">
      <c r="C800" s="80"/>
      <c r="D800" s="5"/>
      <c r="E800" s="5"/>
      <c r="F800" s="5"/>
      <c r="G800" s="5"/>
    </row>
    <row r="801" spans="3:7" ht="13">
      <c r="C801" s="80"/>
      <c r="D801" s="5"/>
      <c r="E801" s="5"/>
      <c r="F801" s="5"/>
      <c r="G801" s="5"/>
    </row>
    <row r="802" spans="3:7" ht="13">
      <c r="C802" s="80"/>
      <c r="D802" s="5"/>
      <c r="E802" s="5"/>
      <c r="F802" s="5"/>
      <c r="G802" s="5"/>
    </row>
    <row r="803" spans="3:7" ht="13">
      <c r="C803" s="80"/>
      <c r="D803" s="5"/>
      <c r="E803" s="5"/>
      <c r="F803" s="5"/>
      <c r="G803" s="5"/>
    </row>
    <row r="804" spans="3:7" ht="13">
      <c r="C804" s="80"/>
      <c r="D804" s="5"/>
      <c r="E804" s="5"/>
      <c r="F804" s="5"/>
      <c r="G804" s="5"/>
    </row>
    <row r="805" spans="3:7" ht="13">
      <c r="C805" s="80"/>
      <c r="D805" s="5"/>
      <c r="E805" s="5"/>
      <c r="F805" s="5"/>
      <c r="G805" s="5"/>
    </row>
    <row r="806" spans="3:7" ht="13">
      <c r="C806" s="80"/>
      <c r="D806" s="5"/>
      <c r="E806" s="5"/>
      <c r="F806" s="5"/>
      <c r="G806" s="5"/>
    </row>
    <row r="807" spans="3:7" ht="13">
      <c r="C807" s="80"/>
      <c r="D807" s="5"/>
      <c r="E807" s="5"/>
      <c r="F807" s="5"/>
      <c r="G807" s="5"/>
    </row>
    <row r="808" spans="3:7" ht="13">
      <c r="C808" s="80"/>
      <c r="D808" s="5"/>
      <c r="E808" s="5"/>
      <c r="F808" s="5"/>
      <c r="G808" s="5"/>
    </row>
    <row r="809" spans="3:7" ht="13">
      <c r="C809" s="80"/>
      <c r="D809" s="5"/>
      <c r="E809" s="5"/>
      <c r="F809" s="5"/>
      <c r="G809" s="5"/>
    </row>
    <row r="810" spans="3:7" ht="13">
      <c r="C810" s="80"/>
      <c r="D810" s="5"/>
      <c r="E810" s="5"/>
      <c r="F810" s="5"/>
      <c r="G810" s="5"/>
    </row>
    <row r="811" spans="3:7" ht="13">
      <c r="C811" s="80"/>
      <c r="D811" s="5"/>
      <c r="E811" s="5"/>
      <c r="F811" s="5"/>
      <c r="G811" s="5"/>
    </row>
    <row r="812" spans="3:7" ht="13">
      <c r="C812" s="80"/>
      <c r="D812" s="5"/>
      <c r="E812" s="5"/>
      <c r="F812" s="5"/>
      <c r="G812" s="5"/>
    </row>
    <row r="813" spans="3:7" ht="13">
      <c r="C813" s="80"/>
      <c r="D813" s="5"/>
      <c r="E813" s="5"/>
      <c r="F813" s="5"/>
      <c r="G813" s="5"/>
    </row>
    <row r="814" spans="3:7" ht="13">
      <c r="C814" s="80"/>
      <c r="D814" s="5"/>
      <c r="E814" s="5"/>
      <c r="F814" s="5"/>
      <c r="G814" s="5"/>
    </row>
    <row r="815" spans="3:7" ht="13">
      <c r="C815" s="80"/>
      <c r="D815" s="5"/>
      <c r="E815" s="5"/>
      <c r="F815" s="5"/>
      <c r="G815" s="5"/>
    </row>
    <row r="816" spans="3:7" ht="13">
      <c r="C816" s="80"/>
      <c r="D816" s="5"/>
      <c r="E816" s="5"/>
      <c r="F816" s="5"/>
      <c r="G816" s="5"/>
    </row>
    <row r="817" spans="3:7" ht="13">
      <c r="C817" s="80"/>
      <c r="D817" s="5"/>
      <c r="E817" s="5"/>
      <c r="F817" s="5"/>
      <c r="G817" s="5"/>
    </row>
    <row r="818" spans="3:7" ht="13">
      <c r="C818" s="80"/>
      <c r="D818" s="5"/>
      <c r="E818" s="5"/>
      <c r="F818" s="5"/>
      <c r="G818" s="5"/>
    </row>
    <row r="819" spans="3:7" ht="13">
      <c r="C819" s="80"/>
      <c r="D819" s="5"/>
      <c r="E819" s="5"/>
      <c r="F819" s="5"/>
      <c r="G819" s="5"/>
    </row>
    <row r="820" spans="3:7" ht="13">
      <c r="C820" s="80"/>
      <c r="D820" s="5"/>
      <c r="E820" s="5"/>
      <c r="F820" s="5"/>
      <c r="G820" s="5"/>
    </row>
    <row r="821" spans="3:7" ht="13">
      <c r="C821" s="80"/>
      <c r="D821" s="5"/>
      <c r="E821" s="5"/>
      <c r="F821" s="5"/>
      <c r="G821" s="5"/>
    </row>
    <row r="822" spans="3:7" ht="13">
      <c r="C822" s="80"/>
      <c r="D822" s="5"/>
      <c r="E822" s="5"/>
      <c r="F822" s="5"/>
      <c r="G822" s="5"/>
    </row>
    <row r="823" spans="3:7" ht="13">
      <c r="C823" s="80"/>
      <c r="D823" s="5"/>
      <c r="E823" s="5"/>
      <c r="F823" s="5"/>
      <c r="G823" s="5"/>
    </row>
    <row r="824" spans="3:7" ht="13">
      <c r="C824" s="80"/>
      <c r="D824" s="5"/>
      <c r="E824" s="5"/>
      <c r="F824" s="5"/>
      <c r="G824" s="5"/>
    </row>
    <row r="825" spans="3:7" ht="13">
      <c r="C825" s="80"/>
      <c r="D825" s="5"/>
      <c r="E825" s="5"/>
      <c r="F825" s="5"/>
      <c r="G825" s="5"/>
    </row>
    <row r="826" spans="3:7" ht="13">
      <c r="C826" s="80"/>
      <c r="D826" s="5"/>
      <c r="E826" s="5"/>
      <c r="F826" s="5"/>
      <c r="G826" s="5"/>
    </row>
    <row r="827" spans="3:7" ht="13">
      <c r="C827" s="80"/>
      <c r="D827" s="5"/>
      <c r="E827" s="5"/>
      <c r="F827" s="5"/>
      <c r="G827" s="5"/>
    </row>
    <row r="828" spans="3:7" ht="13">
      <c r="C828" s="80"/>
      <c r="D828" s="5"/>
      <c r="E828" s="5"/>
      <c r="F828" s="5"/>
      <c r="G828" s="5"/>
    </row>
    <row r="829" spans="3:7" ht="13">
      <c r="C829" s="80"/>
      <c r="D829" s="5"/>
      <c r="E829" s="5"/>
      <c r="F829" s="5"/>
      <c r="G829" s="5"/>
    </row>
    <row r="830" spans="3:7" ht="13">
      <c r="C830" s="80"/>
      <c r="D830" s="5"/>
      <c r="E830" s="5"/>
      <c r="F830" s="5"/>
      <c r="G830" s="5"/>
    </row>
    <row r="831" spans="3:7" ht="13">
      <c r="C831" s="80"/>
      <c r="D831" s="5"/>
      <c r="E831" s="5"/>
      <c r="F831" s="5"/>
      <c r="G831" s="5"/>
    </row>
    <row r="832" spans="3:7" ht="13">
      <c r="C832" s="80"/>
      <c r="D832" s="5"/>
      <c r="E832" s="5"/>
      <c r="F832" s="5"/>
      <c r="G832" s="5"/>
    </row>
    <row r="833" spans="3:7" ht="13">
      <c r="C833" s="80"/>
      <c r="D833" s="5"/>
      <c r="E833" s="5"/>
      <c r="F833" s="5"/>
      <c r="G833" s="5"/>
    </row>
    <row r="834" spans="3:7" ht="13">
      <c r="C834" s="80"/>
      <c r="D834" s="5"/>
      <c r="E834" s="5"/>
      <c r="F834" s="5"/>
      <c r="G834" s="5"/>
    </row>
    <row r="835" spans="3:7" ht="13">
      <c r="C835" s="80"/>
      <c r="D835" s="5"/>
      <c r="E835" s="5"/>
      <c r="F835" s="5"/>
      <c r="G835" s="5"/>
    </row>
    <row r="836" spans="3:7" ht="13">
      <c r="C836" s="80"/>
      <c r="D836" s="5"/>
      <c r="E836" s="5"/>
      <c r="F836" s="5"/>
      <c r="G836" s="5"/>
    </row>
    <row r="837" spans="3:7" ht="13">
      <c r="C837" s="80"/>
      <c r="D837" s="5"/>
      <c r="E837" s="5"/>
      <c r="F837" s="5"/>
      <c r="G837" s="5"/>
    </row>
    <row r="838" spans="3:7" ht="13">
      <c r="C838" s="80"/>
      <c r="D838" s="5"/>
      <c r="E838" s="5"/>
      <c r="F838" s="5"/>
      <c r="G838" s="5"/>
    </row>
    <row r="839" spans="3:7" ht="13">
      <c r="C839" s="80"/>
      <c r="D839" s="5"/>
      <c r="E839" s="5"/>
      <c r="F839" s="5"/>
      <c r="G839" s="5"/>
    </row>
    <row r="840" spans="3:7" ht="13">
      <c r="C840" s="80"/>
      <c r="D840" s="5"/>
      <c r="E840" s="5"/>
      <c r="F840" s="5"/>
      <c r="G840" s="5"/>
    </row>
    <row r="841" spans="3:7" ht="13">
      <c r="C841" s="80"/>
      <c r="D841" s="5"/>
      <c r="E841" s="5"/>
      <c r="F841" s="5"/>
      <c r="G841" s="5"/>
    </row>
    <row r="842" spans="3:7" ht="13">
      <c r="C842" s="80"/>
      <c r="D842" s="5"/>
      <c r="E842" s="5"/>
      <c r="F842" s="5"/>
      <c r="G842" s="5"/>
    </row>
    <row r="843" spans="3:7" ht="13">
      <c r="C843" s="80"/>
      <c r="D843" s="5"/>
      <c r="E843" s="5"/>
      <c r="F843" s="5"/>
      <c r="G843" s="5"/>
    </row>
    <row r="844" spans="3:7" ht="13">
      <c r="C844" s="80"/>
      <c r="D844" s="5"/>
      <c r="E844" s="5"/>
      <c r="F844" s="5"/>
      <c r="G844" s="5"/>
    </row>
    <row r="845" spans="3:7" ht="13">
      <c r="C845" s="80"/>
      <c r="D845" s="5"/>
      <c r="E845" s="5"/>
      <c r="F845" s="5"/>
      <c r="G845" s="5"/>
    </row>
    <row r="846" spans="3:7" ht="13">
      <c r="C846" s="80"/>
      <c r="D846" s="5"/>
      <c r="E846" s="5"/>
      <c r="F846" s="5"/>
      <c r="G846" s="5"/>
    </row>
    <row r="847" spans="3:7" ht="13">
      <c r="C847" s="80"/>
      <c r="D847" s="5"/>
      <c r="E847" s="5"/>
      <c r="F847" s="5"/>
      <c r="G847" s="5"/>
    </row>
    <row r="848" spans="3:7" ht="13">
      <c r="C848" s="80"/>
      <c r="D848" s="5"/>
      <c r="E848" s="5"/>
      <c r="F848" s="5"/>
      <c r="G848" s="5"/>
    </row>
    <row r="849" spans="3:7" ht="13">
      <c r="C849" s="80"/>
      <c r="D849" s="5"/>
      <c r="E849" s="5"/>
      <c r="F849" s="5"/>
      <c r="G849" s="5"/>
    </row>
    <row r="850" spans="3:7" ht="13">
      <c r="C850" s="80"/>
      <c r="D850" s="5"/>
      <c r="E850" s="5"/>
      <c r="F850" s="5"/>
      <c r="G850" s="5"/>
    </row>
    <row r="851" spans="3:7" ht="13">
      <c r="C851" s="80"/>
      <c r="D851" s="5"/>
      <c r="E851" s="5"/>
      <c r="F851" s="5"/>
      <c r="G851" s="5"/>
    </row>
    <row r="852" spans="3:7" ht="13">
      <c r="C852" s="80"/>
      <c r="D852" s="5"/>
      <c r="E852" s="5"/>
      <c r="F852" s="5"/>
      <c r="G852" s="5"/>
    </row>
    <row r="853" spans="3:7" ht="13">
      <c r="C853" s="80"/>
      <c r="D853" s="5"/>
      <c r="E853" s="5"/>
      <c r="F853" s="5"/>
      <c r="G853" s="5"/>
    </row>
    <row r="854" spans="3:7" ht="13">
      <c r="C854" s="80"/>
      <c r="D854" s="5"/>
      <c r="E854" s="5"/>
      <c r="F854" s="5"/>
      <c r="G854" s="5"/>
    </row>
    <row r="855" spans="3:7" ht="13">
      <c r="C855" s="80"/>
      <c r="D855" s="5"/>
      <c r="E855" s="5"/>
      <c r="F855" s="5"/>
      <c r="G855" s="5"/>
    </row>
    <row r="856" spans="3:7" ht="13">
      <c r="C856" s="80"/>
      <c r="D856" s="5"/>
      <c r="E856" s="5"/>
      <c r="F856" s="5"/>
      <c r="G856" s="5"/>
    </row>
    <row r="857" spans="3:7" ht="13">
      <c r="C857" s="80"/>
      <c r="D857" s="5"/>
      <c r="E857" s="5"/>
      <c r="F857" s="5"/>
      <c r="G857" s="5"/>
    </row>
    <row r="858" spans="3:7" ht="13">
      <c r="C858" s="80"/>
      <c r="D858" s="5"/>
      <c r="E858" s="5"/>
      <c r="F858" s="5"/>
      <c r="G858" s="5"/>
    </row>
    <row r="859" spans="3:7" ht="13">
      <c r="C859" s="80"/>
      <c r="D859" s="5"/>
      <c r="E859" s="5"/>
      <c r="F859" s="5"/>
      <c r="G859" s="5"/>
    </row>
    <row r="860" spans="3:7" ht="13">
      <c r="C860" s="80"/>
      <c r="D860" s="5"/>
      <c r="E860" s="5"/>
      <c r="F860" s="5"/>
      <c r="G860" s="5"/>
    </row>
    <row r="861" spans="3:7" ht="13">
      <c r="C861" s="80"/>
      <c r="D861" s="5"/>
      <c r="E861" s="5"/>
      <c r="F861" s="5"/>
      <c r="G861" s="5"/>
    </row>
    <row r="862" spans="3:7" ht="13">
      <c r="C862" s="80"/>
      <c r="D862" s="5"/>
      <c r="E862" s="5"/>
      <c r="F862" s="5"/>
      <c r="G862" s="5"/>
    </row>
    <row r="863" spans="3:7" ht="13">
      <c r="C863" s="80"/>
      <c r="D863" s="5"/>
      <c r="E863" s="5"/>
      <c r="F863" s="5"/>
      <c r="G863" s="5"/>
    </row>
    <row r="864" spans="3:7" ht="13">
      <c r="C864" s="80"/>
      <c r="D864" s="5"/>
      <c r="E864" s="5"/>
      <c r="F864" s="5"/>
      <c r="G864" s="5"/>
    </row>
    <row r="865" spans="3:7" ht="13">
      <c r="C865" s="80"/>
      <c r="D865" s="5"/>
      <c r="E865" s="5"/>
      <c r="F865" s="5"/>
      <c r="G865" s="5"/>
    </row>
    <row r="866" spans="3:7" ht="13">
      <c r="C866" s="80"/>
      <c r="D866" s="5"/>
      <c r="E866" s="5"/>
      <c r="F866" s="5"/>
      <c r="G866" s="5"/>
    </row>
    <row r="867" spans="3:7" ht="13">
      <c r="C867" s="80"/>
      <c r="D867" s="5"/>
      <c r="E867" s="5"/>
      <c r="F867" s="5"/>
      <c r="G867" s="5"/>
    </row>
    <row r="868" spans="3:7" ht="13">
      <c r="C868" s="80"/>
      <c r="D868" s="5"/>
      <c r="E868" s="5"/>
      <c r="F868" s="5"/>
      <c r="G868" s="5"/>
    </row>
    <row r="869" spans="3:7" ht="13">
      <c r="C869" s="80"/>
      <c r="D869" s="5"/>
      <c r="E869" s="5"/>
      <c r="F869" s="5"/>
      <c r="G869" s="5"/>
    </row>
    <row r="870" spans="3:7" ht="13">
      <c r="C870" s="80"/>
      <c r="D870" s="5"/>
      <c r="E870" s="5"/>
      <c r="F870" s="5"/>
      <c r="G870" s="5"/>
    </row>
    <row r="871" spans="3:7" ht="13">
      <c r="C871" s="80"/>
      <c r="D871" s="5"/>
      <c r="E871" s="5"/>
      <c r="F871" s="5"/>
      <c r="G871" s="5"/>
    </row>
    <row r="872" spans="3:7" ht="13">
      <c r="C872" s="80"/>
      <c r="D872" s="5"/>
      <c r="E872" s="5"/>
      <c r="F872" s="5"/>
      <c r="G872" s="5"/>
    </row>
    <row r="873" spans="3:7" ht="13">
      <c r="C873" s="80"/>
      <c r="D873" s="5"/>
      <c r="E873" s="5"/>
      <c r="F873" s="5"/>
      <c r="G873" s="5"/>
    </row>
    <row r="874" spans="3:7" ht="13">
      <c r="C874" s="80"/>
      <c r="D874" s="5"/>
      <c r="E874" s="5"/>
      <c r="F874" s="5"/>
      <c r="G874" s="5"/>
    </row>
    <row r="875" spans="3:7" ht="13">
      <c r="C875" s="80"/>
      <c r="D875" s="5"/>
      <c r="E875" s="5"/>
      <c r="F875" s="5"/>
      <c r="G875" s="5"/>
    </row>
    <row r="876" spans="3:7" ht="13">
      <c r="C876" s="80"/>
      <c r="D876" s="5"/>
      <c r="E876" s="5"/>
      <c r="F876" s="5"/>
      <c r="G876" s="5"/>
    </row>
    <row r="877" spans="3:7" ht="13">
      <c r="C877" s="80"/>
      <c r="D877" s="5"/>
      <c r="E877" s="5"/>
      <c r="F877" s="5"/>
      <c r="G877" s="5"/>
    </row>
    <row r="878" spans="3:7" ht="13">
      <c r="C878" s="80"/>
      <c r="D878" s="5"/>
      <c r="E878" s="5"/>
      <c r="F878" s="5"/>
      <c r="G878" s="5"/>
    </row>
    <row r="879" spans="3:7" ht="13">
      <c r="C879" s="80"/>
      <c r="D879" s="5"/>
      <c r="E879" s="5"/>
      <c r="F879" s="5"/>
      <c r="G879" s="5"/>
    </row>
    <row r="880" spans="3:7" ht="13">
      <c r="C880" s="80"/>
      <c r="D880" s="5"/>
      <c r="E880" s="5"/>
      <c r="F880" s="5"/>
      <c r="G880" s="5"/>
    </row>
    <row r="881" spans="3:7" ht="13">
      <c r="C881" s="80"/>
      <c r="D881" s="5"/>
      <c r="E881" s="5"/>
      <c r="F881" s="5"/>
      <c r="G881" s="5"/>
    </row>
    <row r="882" spans="3:7" ht="13">
      <c r="C882" s="80"/>
      <c r="D882" s="5"/>
      <c r="E882" s="5"/>
      <c r="F882" s="5"/>
      <c r="G882" s="5"/>
    </row>
    <row r="883" spans="3:7" ht="13">
      <c r="C883" s="80"/>
      <c r="D883" s="5"/>
      <c r="E883" s="5"/>
      <c r="F883" s="5"/>
      <c r="G883" s="5"/>
    </row>
    <row r="884" spans="3:7" ht="13">
      <c r="C884" s="80"/>
      <c r="D884" s="5"/>
      <c r="E884" s="5"/>
      <c r="F884" s="5"/>
      <c r="G884" s="5"/>
    </row>
    <row r="885" spans="3:7" ht="13">
      <c r="C885" s="80"/>
      <c r="D885" s="5"/>
      <c r="E885" s="5"/>
      <c r="F885" s="5"/>
      <c r="G885" s="5"/>
    </row>
    <row r="886" spans="3:7" ht="13">
      <c r="C886" s="80"/>
      <c r="D886" s="5"/>
      <c r="E886" s="5"/>
      <c r="F886" s="5"/>
      <c r="G886" s="5"/>
    </row>
    <row r="887" spans="3:7" ht="13">
      <c r="C887" s="80"/>
      <c r="D887" s="5"/>
      <c r="E887" s="5"/>
      <c r="F887" s="5"/>
      <c r="G887" s="5"/>
    </row>
    <row r="888" spans="3:7" ht="13">
      <c r="C888" s="80"/>
      <c r="D888" s="5"/>
      <c r="E888" s="5"/>
      <c r="F888" s="5"/>
      <c r="G888" s="5"/>
    </row>
    <row r="889" spans="3:7" ht="13">
      <c r="C889" s="80"/>
      <c r="D889" s="5"/>
      <c r="E889" s="5"/>
      <c r="F889" s="5"/>
      <c r="G889" s="5"/>
    </row>
    <row r="890" spans="3:7" ht="13">
      <c r="C890" s="80"/>
      <c r="D890" s="5"/>
      <c r="E890" s="5"/>
      <c r="F890" s="5"/>
      <c r="G890" s="5"/>
    </row>
    <row r="891" spans="3:7" ht="13">
      <c r="C891" s="80"/>
      <c r="D891" s="5"/>
      <c r="E891" s="5"/>
      <c r="F891" s="5"/>
      <c r="G891" s="5"/>
    </row>
    <row r="892" spans="3:7" ht="13">
      <c r="C892" s="80"/>
      <c r="D892" s="5"/>
      <c r="E892" s="5"/>
      <c r="F892" s="5"/>
      <c r="G892" s="5"/>
    </row>
    <row r="893" spans="3:7" ht="13">
      <c r="C893" s="80"/>
      <c r="D893" s="5"/>
      <c r="E893" s="5"/>
      <c r="F893" s="5"/>
      <c r="G893" s="5"/>
    </row>
    <row r="894" spans="3:7" ht="13">
      <c r="C894" s="80"/>
      <c r="D894" s="5"/>
      <c r="E894" s="5"/>
      <c r="F894" s="5"/>
      <c r="G894" s="5"/>
    </row>
    <row r="895" spans="3:7" ht="13">
      <c r="C895" s="80"/>
      <c r="D895" s="5"/>
      <c r="E895" s="5"/>
      <c r="F895" s="5"/>
      <c r="G895" s="5"/>
    </row>
    <row r="896" spans="3:7" ht="13">
      <c r="C896" s="80"/>
      <c r="D896" s="5"/>
      <c r="E896" s="5"/>
      <c r="F896" s="5"/>
      <c r="G896" s="5"/>
    </row>
    <row r="897" spans="3:7" ht="13">
      <c r="C897" s="80"/>
      <c r="D897" s="5"/>
      <c r="E897" s="5"/>
      <c r="F897" s="5"/>
      <c r="G897" s="5"/>
    </row>
    <row r="898" spans="3:7" ht="13">
      <c r="C898" s="80"/>
      <c r="D898" s="5"/>
      <c r="E898" s="5"/>
      <c r="F898" s="5"/>
      <c r="G898" s="5"/>
    </row>
    <row r="899" spans="3:7" ht="13">
      <c r="C899" s="80"/>
      <c r="D899" s="5"/>
      <c r="E899" s="5"/>
      <c r="F899" s="5"/>
      <c r="G899" s="5"/>
    </row>
    <row r="900" spans="3:7" ht="13">
      <c r="C900" s="80"/>
      <c r="D900" s="5"/>
      <c r="E900" s="5"/>
      <c r="F900" s="5"/>
      <c r="G900" s="5"/>
    </row>
    <row r="901" spans="3:7" ht="13">
      <c r="C901" s="80"/>
      <c r="D901" s="5"/>
      <c r="E901" s="5"/>
      <c r="F901" s="5"/>
      <c r="G901" s="5"/>
    </row>
    <row r="902" spans="3:7" ht="13">
      <c r="C902" s="80"/>
      <c r="D902" s="5"/>
      <c r="E902" s="5"/>
      <c r="F902" s="5"/>
      <c r="G902" s="5"/>
    </row>
    <row r="903" spans="3:7" ht="13">
      <c r="C903" s="80"/>
      <c r="D903" s="5"/>
      <c r="E903" s="5"/>
      <c r="F903" s="5"/>
      <c r="G903" s="5"/>
    </row>
    <row r="904" spans="3:7" ht="13">
      <c r="C904" s="80"/>
      <c r="D904" s="5"/>
      <c r="E904" s="5"/>
      <c r="F904" s="5"/>
      <c r="G904" s="5"/>
    </row>
    <row r="905" spans="3:7" ht="13">
      <c r="C905" s="80"/>
      <c r="D905" s="5"/>
      <c r="E905" s="5"/>
      <c r="F905" s="5"/>
      <c r="G905" s="5"/>
    </row>
    <row r="906" spans="3:7" ht="13">
      <c r="C906" s="80"/>
      <c r="D906" s="5"/>
      <c r="E906" s="5"/>
      <c r="F906" s="5"/>
      <c r="G906" s="5"/>
    </row>
    <row r="907" spans="3:7" ht="13">
      <c r="C907" s="80"/>
      <c r="D907" s="5"/>
      <c r="E907" s="5"/>
      <c r="F907" s="5"/>
      <c r="G907" s="5"/>
    </row>
    <row r="908" spans="3:7" ht="13">
      <c r="C908" s="80"/>
      <c r="D908" s="5"/>
      <c r="E908" s="5"/>
      <c r="F908" s="5"/>
      <c r="G908" s="5"/>
    </row>
    <row r="909" spans="3:7" ht="13">
      <c r="C909" s="80"/>
      <c r="D909" s="5"/>
      <c r="E909" s="5"/>
      <c r="F909" s="5"/>
      <c r="G909" s="5"/>
    </row>
    <row r="910" spans="3:7" ht="13">
      <c r="C910" s="80"/>
      <c r="D910" s="5"/>
      <c r="E910" s="5"/>
      <c r="F910" s="5"/>
      <c r="G910" s="5"/>
    </row>
    <row r="911" spans="3:7" ht="13">
      <c r="C911" s="80"/>
      <c r="D911" s="5"/>
      <c r="E911" s="5"/>
      <c r="F911" s="5"/>
      <c r="G911" s="5"/>
    </row>
    <row r="912" spans="3:7" ht="13">
      <c r="C912" s="80"/>
      <c r="D912" s="5"/>
      <c r="E912" s="5"/>
      <c r="F912" s="5"/>
      <c r="G912" s="5"/>
    </row>
    <row r="913" spans="3:7" ht="13">
      <c r="C913" s="80"/>
      <c r="D913" s="5"/>
      <c r="E913" s="5"/>
      <c r="F913" s="5"/>
      <c r="G913" s="5"/>
    </row>
    <row r="914" spans="3:7" ht="13">
      <c r="C914" s="80"/>
      <c r="D914" s="5"/>
      <c r="E914" s="5"/>
      <c r="F914" s="5"/>
      <c r="G914" s="5"/>
    </row>
    <row r="915" spans="3:7" ht="13">
      <c r="C915" s="80"/>
      <c r="D915" s="5"/>
      <c r="E915" s="5"/>
      <c r="F915" s="5"/>
      <c r="G915" s="5"/>
    </row>
    <row r="916" spans="3:7" ht="13">
      <c r="C916" s="80"/>
      <c r="D916" s="5"/>
      <c r="E916" s="5"/>
      <c r="F916" s="5"/>
      <c r="G916" s="5"/>
    </row>
    <row r="917" spans="3:7" ht="13">
      <c r="C917" s="80"/>
      <c r="D917" s="5"/>
      <c r="E917" s="5"/>
      <c r="F917" s="5"/>
      <c r="G917" s="5"/>
    </row>
    <row r="918" spans="3:7" ht="13">
      <c r="C918" s="80"/>
      <c r="D918" s="5"/>
      <c r="E918" s="5"/>
      <c r="F918" s="5"/>
      <c r="G918" s="5"/>
    </row>
    <row r="919" spans="3:7" ht="13">
      <c r="C919" s="80"/>
      <c r="D919" s="5"/>
      <c r="E919" s="5"/>
      <c r="F919" s="5"/>
      <c r="G919" s="5"/>
    </row>
    <row r="920" spans="3:7" ht="13">
      <c r="C920" s="80"/>
      <c r="D920" s="5"/>
      <c r="E920" s="5"/>
      <c r="F920" s="5"/>
      <c r="G920" s="5"/>
    </row>
    <row r="921" spans="3:7" ht="13">
      <c r="C921" s="80"/>
      <c r="D921" s="5"/>
      <c r="E921" s="5"/>
      <c r="F921" s="5"/>
      <c r="G921" s="5"/>
    </row>
    <row r="922" spans="3:7" ht="13">
      <c r="C922" s="80"/>
      <c r="D922" s="5"/>
      <c r="E922" s="5"/>
      <c r="F922" s="5"/>
      <c r="G922" s="5"/>
    </row>
    <row r="923" spans="3:7" ht="13">
      <c r="C923" s="80"/>
      <c r="D923" s="5"/>
      <c r="E923" s="5"/>
      <c r="F923" s="5"/>
      <c r="G923" s="5"/>
    </row>
    <row r="924" spans="3:7" ht="13">
      <c r="C924" s="80"/>
      <c r="D924" s="5"/>
      <c r="E924" s="5"/>
      <c r="F924" s="5"/>
      <c r="G924" s="5"/>
    </row>
    <row r="925" spans="3:7" ht="13">
      <c r="C925" s="80"/>
      <c r="D925" s="5"/>
      <c r="E925" s="5"/>
      <c r="F925" s="5"/>
      <c r="G925" s="5"/>
    </row>
    <row r="926" spans="3:7" ht="13">
      <c r="C926" s="80"/>
      <c r="D926" s="5"/>
      <c r="E926" s="5"/>
      <c r="F926" s="5"/>
      <c r="G926" s="5"/>
    </row>
    <row r="927" spans="3:7" ht="13">
      <c r="C927" s="80"/>
      <c r="D927" s="5"/>
      <c r="E927" s="5"/>
      <c r="F927" s="5"/>
      <c r="G927" s="5"/>
    </row>
    <row r="928" spans="3:7" ht="13">
      <c r="C928" s="80"/>
      <c r="D928" s="5"/>
      <c r="E928" s="5"/>
      <c r="F928" s="5"/>
      <c r="G928" s="5"/>
    </row>
    <row r="929" spans="3:7" ht="13">
      <c r="C929" s="80"/>
      <c r="D929" s="5"/>
      <c r="E929" s="5"/>
      <c r="F929" s="5"/>
      <c r="G929" s="5"/>
    </row>
    <row r="930" spans="3:7" ht="13">
      <c r="C930" s="80"/>
      <c r="D930" s="5"/>
      <c r="E930" s="5"/>
      <c r="F930" s="5"/>
      <c r="G930" s="5"/>
    </row>
    <row r="931" spans="3:7" ht="13">
      <c r="C931" s="80"/>
      <c r="D931" s="5"/>
      <c r="E931" s="5"/>
      <c r="F931" s="5"/>
      <c r="G931" s="5"/>
    </row>
    <row r="932" spans="3:7" ht="13">
      <c r="C932" s="80"/>
      <c r="D932" s="5"/>
      <c r="E932" s="5"/>
      <c r="F932" s="5"/>
      <c r="G932" s="5"/>
    </row>
    <row r="933" spans="3:7" ht="13">
      <c r="C933" s="80"/>
      <c r="D933" s="5"/>
      <c r="E933" s="5"/>
      <c r="F933" s="5"/>
      <c r="G933" s="5"/>
    </row>
    <row r="934" spans="3:7" ht="13">
      <c r="C934" s="80"/>
      <c r="D934" s="5"/>
      <c r="E934" s="5"/>
      <c r="F934" s="5"/>
      <c r="G934" s="5"/>
    </row>
    <row r="935" spans="3:7" ht="13">
      <c r="C935" s="80"/>
      <c r="D935" s="5"/>
      <c r="E935" s="5"/>
      <c r="F935" s="5"/>
      <c r="G935" s="5"/>
    </row>
    <row r="936" spans="3:7" ht="13">
      <c r="C936" s="80"/>
      <c r="D936" s="5"/>
      <c r="E936" s="5"/>
      <c r="F936" s="5"/>
      <c r="G936" s="5"/>
    </row>
    <row r="937" spans="3:7" ht="13">
      <c r="C937" s="80"/>
      <c r="D937" s="5"/>
      <c r="E937" s="5"/>
      <c r="F937" s="5"/>
      <c r="G937" s="5"/>
    </row>
    <row r="938" spans="3:7" ht="13">
      <c r="C938" s="80"/>
      <c r="D938" s="5"/>
      <c r="E938" s="5"/>
      <c r="F938" s="5"/>
      <c r="G938" s="5"/>
    </row>
    <row r="939" spans="3:7" ht="13">
      <c r="C939" s="80"/>
      <c r="D939" s="5"/>
      <c r="E939" s="5"/>
      <c r="F939" s="5"/>
      <c r="G939" s="5"/>
    </row>
    <row r="940" spans="3:7" ht="13">
      <c r="C940" s="80"/>
      <c r="D940" s="5"/>
      <c r="E940" s="5"/>
      <c r="F940" s="5"/>
      <c r="G940" s="5"/>
    </row>
    <row r="941" spans="3:7" ht="13">
      <c r="C941" s="80"/>
      <c r="D941" s="5"/>
      <c r="E941" s="5"/>
      <c r="F941" s="5"/>
      <c r="G941" s="5"/>
    </row>
    <row r="942" spans="3:7" ht="13">
      <c r="C942" s="80"/>
      <c r="D942" s="5"/>
      <c r="E942" s="5"/>
      <c r="F942" s="5"/>
      <c r="G942" s="5"/>
    </row>
    <row r="943" spans="3:7" ht="13">
      <c r="C943" s="80"/>
      <c r="D943" s="5"/>
      <c r="E943" s="5"/>
      <c r="F943" s="5"/>
      <c r="G943" s="5"/>
    </row>
    <row r="944" spans="3:7" ht="13">
      <c r="C944" s="80"/>
      <c r="D944" s="5"/>
      <c r="E944" s="5"/>
      <c r="F944" s="5"/>
      <c r="G944" s="5"/>
    </row>
    <row r="945" spans="3:7" ht="13">
      <c r="C945" s="80"/>
      <c r="D945" s="5"/>
      <c r="E945" s="5"/>
      <c r="F945" s="5"/>
      <c r="G945" s="5"/>
    </row>
    <row r="946" spans="3:7" ht="13">
      <c r="C946" s="80"/>
      <c r="D946" s="5"/>
      <c r="E946" s="5"/>
      <c r="F946" s="5"/>
      <c r="G946" s="5"/>
    </row>
    <row r="947" spans="3:7" ht="13">
      <c r="C947" s="80"/>
      <c r="D947" s="5"/>
      <c r="E947" s="5"/>
      <c r="F947" s="5"/>
      <c r="G947" s="5"/>
    </row>
    <row r="948" spans="3:7" ht="13">
      <c r="C948" s="80"/>
      <c r="D948" s="5"/>
      <c r="E948" s="5"/>
      <c r="F948" s="5"/>
      <c r="G948" s="5"/>
    </row>
    <row r="949" spans="3:7" ht="13">
      <c r="C949" s="80"/>
      <c r="D949" s="5"/>
      <c r="E949" s="5"/>
      <c r="F949" s="5"/>
      <c r="G949" s="5"/>
    </row>
    <row r="950" spans="3:7" ht="13">
      <c r="C950" s="80"/>
      <c r="D950" s="5"/>
      <c r="E950" s="5"/>
      <c r="F950" s="5"/>
      <c r="G950" s="5"/>
    </row>
    <row r="951" spans="3:7" ht="13">
      <c r="C951" s="80"/>
      <c r="D951" s="5"/>
      <c r="E951" s="5"/>
      <c r="F951" s="5"/>
      <c r="G951" s="5"/>
    </row>
    <row r="952" spans="3:7" ht="13">
      <c r="C952" s="80"/>
      <c r="D952" s="5"/>
      <c r="E952" s="5"/>
      <c r="F952" s="5"/>
      <c r="G952" s="5"/>
    </row>
    <row r="953" spans="3:7" ht="13">
      <c r="C953" s="80"/>
      <c r="D953" s="5"/>
      <c r="E953" s="5"/>
      <c r="F953" s="5"/>
      <c r="G953" s="5"/>
    </row>
    <row r="954" spans="3:7" ht="13">
      <c r="C954" s="80"/>
      <c r="D954" s="5"/>
      <c r="E954" s="5"/>
      <c r="F954" s="5"/>
      <c r="G954" s="5"/>
    </row>
    <row r="955" spans="3:7" ht="13">
      <c r="C955" s="80"/>
      <c r="D955" s="5"/>
      <c r="E955" s="5"/>
      <c r="F955" s="5"/>
      <c r="G955" s="5"/>
    </row>
    <row r="956" spans="3:7" ht="13">
      <c r="C956" s="80"/>
      <c r="D956" s="5"/>
      <c r="E956" s="5"/>
      <c r="F956" s="5"/>
      <c r="G956" s="5"/>
    </row>
    <row r="957" spans="3:7" ht="13">
      <c r="C957" s="80"/>
      <c r="D957" s="5"/>
      <c r="E957" s="5"/>
      <c r="F957" s="5"/>
      <c r="G957" s="5"/>
    </row>
    <row r="958" spans="3:7" ht="13">
      <c r="C958" s="80"/>
      <c r="D958" s="5"/>
      <c r="E958" s="5"/>
      <c r="F958" s="5"/>
      <c r="G958" s="5"/>
    </row>
    <row r="959" spans="3:7" ht="13">
      <c r="C959" s="80"/>
      <c r="D959" s="5"/>
      <c r="E959" s="5"/>
      <c r="F959" s="5"/>
      <c r="G959" s="5"/>
    </row>
    <row r="960" spans="3:7" ht="13">
      <c r="C960" s="80"/>
      <c r="D960" s="5"/>
      <c r="E960" s="5"/>
      <c r="F960" s="5"/>
      <c r="G960" s="5"/>
    </row>
    <row r="961" spans="3:7" ht="13">
      <c r="C961" s="80"/>
      <c r="D961" s="5"/>
      <c r="E961" s="5"/>
      <c r="F961" s="5"/>
      <c r="G961" s="5"/>
    </row>
    <row r="962" spans="3:7" ht="13">
      <c r="C962" s="80"/>
      <c r="D962" s="5"/>
      <c r="E962" s="5"/>
      <c r="F962" s="5"/>
      <c r="G962" s="5"/>
    </row>
    <row r="963" spans="3:7" ht="13">
      <c r="C963" s="80"/>
      <c r="D963" s="5"/>
      <c r="E963" s="5"/>
      <c r="F963" s="5"/>
      <c r="G963" s="5"/>
    </row>
    <row r="964" spans="3:7" ht="13">
      <c r="C964" s="80"/>
      <c r="D964" s="5"/>
      <c r="E964" s="5"/>
      <c r="F964" s="5"/>
      <c r="G964" s="5"/>
    </row>
    <row r="965" spans="3:7" ht="13">
      <c r="C965" s="80"/>
      <c r="D965" s="5"/>
      <c r="E965" s="5"/>
      <c r="F965" s="5"/>
      <c r="G965" s="5"/>
    </row>
    <row r="966" spans="3:7" ht="13">
      <c r="C966" s="80"/>
      <c r="D966" s="5"/>
      <c r="E966" s="5"/>
      <c r="F966" s="5"/>
      <c r="G966" s="5"/>
    </row>
    <row r="967" spans="3:7" ht="13">
      <c r="C967" s="80"/>
      <c r="D967" s="5"/>
      <c r="E967" s="5"/>
      <c r="F967" s="5"/>
      <c r="G967" s="5"/>
    </row>
    <row r="968" spans="3:7" ht="13">
      <c r="C968" s="80"/>
      <c r="D968" s="5"/>
      <c r="E968" s="5"/>
      <c r="F968" s="5"/>
      <c r="G968" s="5"/>
    </row>
    <row r="969" spans="3:7" ht="13">
      <c r="C969" s="80"/>
      <c r="D969" s="5"/>
      <c r="E969" s="5"/>
      <c r="F969" s="5"/>
      <c r="G969" s="5"/>
    </row>
    <row r="970" spans="3:7" ht="13">
      <c r="C970" s="80"/>
      <c r="D970" s="5"/>
      <c r="E970" s="5"/>
      <c r="F970" s="5"/>
      <c r="G970" s="5"/>
    </row>
    <row r="971" spans="3:7" ht="13">
      <c r="C971" s="80"/>
      <c r="D971" s="5"/>
      <c r="E971" s="5"/>
      <c r="F971" s="5"/>
      <c r="G971" s="5"/>
    </row>
    <row r="972" spans="3:7" ht="13">
      <c r="C972" s="80"/>
      <c r="D972" s="5"/>
      <c r="E972" s="5"/>
      <c r="F972" s="5"/>
      <c r="G972" s="5"/>
    </row>
    <row r="973" spans="3:7" ht="13">
      <c r="C973" s="80"/>
      <c r="D973" s="5"/>
      <c r="E973" s="5"/>
      <c r="F973" s="5"/>
      <c r="G973" s="5"/>
    </row>
    <row r="974" spans="3:7" ht="13">
      <c r="C974" s="80"/>
      <c r="D974" s="5"/>
      <c r="E974" s="5"/>
      <c r="F974" s="5"/>
      <c r="G974" s="5"/>
    </row>
    <row r="975" spans="3:7" ht="13">
      <c r="C975" s="80"/>
      <c r="D975" s="5"/>
      <c r="E975" s="5"/>
      <c r="F975" s="5"/>
      <c r="G975" s="5"/>
    </row>
    <row r="976" spans="3:7" ht="13">
      <c r="C976" s="80"/>
      <c r="D976" s="5"/>
      <c r="E976" s="5"/>
      <c r="F976" s="5"/>
      <c r="G976" s="5"/>
    </row>
    <row r="977" spans="3:7" ht="13">
      <c r="C977" s="80"/>
      <c r="D977" s="5"/>
      <c r="E977" s="5"/>
      <c r="F977" s="5"/>
      <c r="G977" s="5"/>
    </row>
    <row r="978" spans="3:7" ht="13">
      <c r="C978" s="80"/>
      <c r="D978" s="5"/>
      <c r="E978" s="5"/>
      <c r="F978" s="5"/>
      <c r="G978" s="5"/>
    </row>
    <row r="979" spans="3:7" ht="13">
      <c r="C979" s="80"/>
      <c r="D979" s="5"/>
      <c r="E979" s="5"/>
      <c r="F979" s="5"/>
      <c r="G979" s="5"/>
    </row>
    <row r="980" spans="3:7" ht="13">
      <c r="C980" s="80"/>
      <c r="D980" s="5"/>
      <c r="E980" s="5"/>
      <c r="F980" s="5"/>
      <c r="G980" s="5"/>
    </row>
    <row r="981" spans="3:7" ht="13">
      <c r="C981" s="80"/>
      <c r="D981" s="5"/>
      <c r="E981" s="5"/>
      <c r="F981" s="5"/>
      <c r="G981" s="5"/>
    </row>
    <row r="982" spans="3:7" ht="13">
      <c r="C982" s="80"/>
      <c r="D982" s="5"/>
      <c r="E982" s="5"/>
      <c r="F982" s="5"/>
      <c r="G982" s="5"/>
    </row>
    <row r="983" spans="3:7" ht="13">
      <c r="C983" s="80"/>
      <c r="D983" s="5"/>
      <c r="E983" s="5"/>
      <c r="F983" s="5"/>
      <c r="G983" s="5"/>
    </row>
    <row r="984" spans="3:7" ht="13">
      <c r="C984" s="80"/>
      <c r="D984" s="5"/>
      <c r="E984" s="5"/>
      <c r="F984" s="5"/>
      <c r="G984" s="5"/>
    </row>
    <row r="985" spans="3:7" ht="13">
      <c r="C985" s="80"/>
      <c r="D985" s="5"/>
      <c r="E985" s="5"/>
      <c r="F985" s="5"/>
      <c r="G985" s="5"/>
    </row>
    <row r="986" spans="3:7" ht="13">
      <c r="C986" s="80"/>
      <c r="D986" s="5"/>
      <c r="E986" s="5"/>
      <c r="F986" s="5"/>
      <c r="G986" s="5"/>
    </row>
    <row r="987" spans="3:7" ht="13">
      <c r="C987" s="80"/>
      <c r="D987" s="5"/>
      <c r="E987" s="5"/>
      <c r="F987" s="5"/>
      <c r="G987" s="5"/>
    </row>
    <row r="988" spans="3:7" ht="13">
      <c r="C988" s="80"/>
      <c r="D988" s="5"/>
      <c r="E988" s="5"/>
      <c r="F988" s="5"/>
      <c r="G988" s="5"/>
    </row>
    <row r="989" spans="3:7" ht="13">
      <c r="C989" s="80"/>
      <c r="D989" s="5"/>
      <c r="E989" s="5"/>
      <c r="F989" s="5"/>
      <c r="G989" s="5"/>
    </row>
    <row r="990" spans="3:7" ht="13">
      <c r="C990" s="80"/>
      <c r="D990" s="5"/>
      <c r="E990" s="5"/>
      <c r="F990" s="5"/>
      <c r="G990" s="5"/>
    </row>
    <row r="991" spans="3:7" ht="13">
      <c r="C991" s="80"/>
      <c r="D991" s="5"/>
      <c r="E991" s="5"/>
      <c r="F991" s="5"/>
      <c r="G991" s="5"/>
    </row>
    <row r="992" spans="3:7" ht="13">
      <c r="C992" s="80"/>
      <c r="D992" s="5"/>
      <c r="E992" s="5"/>
      <c r="F992" s="5"/>
      <c r="G992" s="5"/>
    </row>
    <row r="993" spans="3:7" ht="13">
      <c r="C993" s="80"/>
      <c r="D993" s="5"/>
      <c r="E993" s="5"/>
      <c r="F993" s="5"/>
      <c r="G993" s="5"/>
    </row>
    <row r="994" spans="3:7" ht="13">
      <c r="C994" s="80"/>
      <c r="D994" s="5"/>
      <c r="E994" s="5"/>
      <c r="F994" s="5"/>
      <c r="G994" s="5"/>
    </row>
    <row r="995" spans="3:7" ht="13">
      <c r="C995" s="80"/>
      <c r="D995" s="5"/>
      <c r="E995" s="5"/>
      <c r="F995" s="5"/>
      <c r="G995" s="5"/>
    </row>
    <row r="996" spans="3:7" ht="13">
      <c r="C996" s="80"/>
      <c r="D996" s="5"/>
      <c r="E996" s="5"/>
      <c r="F996" s="5"/>
      <c r="G996" s="5"/>
    </row>
    <row r="997" spans="3:7" ht="13">
      <c r="C997" s="80"/>
      <c r="D997" s="5"/>
      <c r="E997" s="5"/>
      <c r="F997" s="5"/>
      <c r="G997" s="5"/>
    </row>
    <row r="998" spans="3:7" ht="13">
      <c r="C998" s="80"/>
      <c r="D998" s="5"/>
      <c r="E998" s="5"/>
      <c r="F998" s="5"/>
      <c r="G998" s="5"/>
    </row>
    <row r="999" spans="3:7" ht="13">
      <c r="C999" s="80"/>
      <c r="D999" s="5"/>
      <c r="E999" s="5"/>
      <c r="F999" s="5"/>
      <c r="G999" s="5"/>
    </row>
    <row r="1000" spans="3:7" ht="13">
      <c r="C1000" s="80"/>
      <c r="D1000" s="5"/>
      <c r="E1000" s="5"/>
      <c r="F1000" s="5"/>
      <c r="G1000" s="5"/>
    </row>
    <row r="1001" spans="3:7" ht="13">
      <c r="C1001" s="80"/>
      <c r="D1001" s="5"/>
      <c r="E1001" s="5"/>
      <c r="F1001" s="5"/>
      <c r="G1001" s="5"/>
    </row>
    <row r="1002" spans="3:7" ht="13">
      <c r="C1002" s="80"/>
      <c r="D1002" s="5"/>
      <c r="E1002" s="5"/>
      <c r="F1002" s="5"/>
      <c r="G1002" s="5"/>
    </row>
    <row r="1003" spans="3:7" ht="13">
      <c r="C1003" s="80"/>
      <c r="D1003" s="5"/>
      <c r="E1003" s="5"/>
      <c r="F1003" s="5"/>
      <c r="G1003" s="5"/>
    </row>
  </sheetData>
  <hyperlinks>
    <hyperlink ref="B5" r:id="rId1" xr:uid="{00000000-0004-0000-5800-000000000000}"/>
    <hyperlink ref="B6" r:id="rId2" xr:uid="{00000000-0004-0000-5800-000001000000}"/>
    <hyperlink ref="B7" r:id="rId3" xr:uid="{00000000-0004-0000-5800-000002000000}"/>
    <hyperlink ref="B8" r:id="rId4" xr:uid="{00000000-0004-0000-5800-000003000000}"/>
    <hyperlink ref="B9" r:id="rId5" xr:uid="{00000000-0004-0000-5800-000004000000}"/>
    <hyperlink ref="B10" r:id="rId6" xr:uid="{00000000-0004-0000-5800-000005000000}"/>
    <hyperlink ref="B11" r:id="rId7" xr:uid="{00000000-0004-0000-5800-000006000000}"/>
    <hyperlink ref="B12" r:id="rId8" xr:uid="{00000000-0004-0000-5800-000007000000}"/>
    <hyperlink ref="B13" r:id="rId9" xr:uid="{00000000-0004-0000-5800-000008000000}"/>
    <hyperlink ref="B14" r:id="rId10" xr:uid="{00000000-0004-0000-5800-000009000000}"/>
    <hyperlink ref="B15" r:id="rId11" xr:uid="{00000000-0004-0000-5800-00000A000000}"/>
    <hyperlink ref="B16" r:id="rId12" xr:uid="{00000000-0004-0000-5800-00000B000000}"/>
    <hyperlink ref="B17" r:id="rId13" xr:uid="{00000000-0004-0000-5800-00000C000000}"/>
    <hyperlink ref="B18" r:id="rId14" xr:uid="{00000000-0004-0000-5800-00000D000000}"/>
    <hyperlink ref="B19" r:id="rId15" xr:uid="{00000000-0004-0000-5800-00000E000000}"/>
    <hyperlink ref="B20" r:id="rId16" xr:uid="{00000000-0004-0000-5800-00000F000000}"/>
    <hyperlink ref="B21" r:id="rId17" xr:uid="{00000000-0004-0000-5800-000010000000}"/>
    <hyperlink ref="B23" r:id="rId18" xr:uid="{00000000-0004-0000-5800-000011000000}"/>
    <hyperlink ref="B24" r:id="rId19" xr:uid="{00000000-0004-0000-5800-000012000000}"/>
    <hyperlink ref="B25" r:id="rId20" xr:uid="{00000000-0004-0000-5800-000013000000}"/>
    <hyperlink ref="B26" r:id="rId21" xr:uid="{00000000-0004-0000-5800-000014000000}"/>
    <hyperlink ref="B27" r:id="rId22" xr:uid="{00000000-0004-0000-5800-000015000000}"/>
    <hyperlink ref="B28" r:id="rId23" xr:uid="{00000000-0004-0000-5800-000016000000}"/>
    <hyperlink ref="B29" r:id="rId24" xr:uid="{00000000-0004-0000-5800-000017000000}"/>
    <hyperlink ref="B30" r:id="rId25" xr:uid="{00000000-0004-0000-5800-000018000000}"/>
    <hyperlink ref="B31" r:id="rId26" xr:uid="{00000000-0004-0000-5800-000019000000}"/>
    <hyperlink ref="B32" r:id="rId27" xr:uid="{00000000-0004-0000-5800-00001A000000}"/>
    <hyperlink ref="B33" r:id="rId28" xr:uid="{00000000-0004-0000-5800-00001B000000}"/>
    <hyperlink ref="B34" r:id="rId29" xr:uid="{00000000-0004-0000-5800-00001C000000}"/>
    <hyperlink ref="B35" r:id="rId30" xr:uid="{00000000-0004-0000-5800-00001D000000}"/>
    <hyperlink ref="B36" r:id="rId31" xr:uid="{00000000-0004-0000-5800-00001E000000}"/>
    <hyperlink ref="B37" r:id="rId32" xr:uid="{00000000-0004-0000-5800-00001F000000}"/>
    <hyperlink ref="B39" r:id="rId33" xr:uid="{00000000-0004-0000-5800-000020000000}"/>
    <hyperlink ref="B40" r:id="rId34" xr:uid="{00000000-0004-0000-5800-000021000000}"/>
    <hyperlink ref="B41" r:id="rId35" xr:uid="{00000000-0004-0000-5800-000022000000}"/>
    <hyperlink ref="B42" r:id="rId36" xr:uid="{00000000-0004-0000-5800-000023000000}"/>
    <hyperlink ref="B43" r:id="rId37" xr:uid="{00000000-0004-0000-5800-000024000000}"/>
    <hyperlink ref="B44" r:id="rId38" xr:uid="{00000000-0004-0000-5800-000025000000}"/>
    <hyperlink ref="B45" r:id="rId39" xr:uid="{00000000-0004-0000-5800-000026000000}"/>
    <hyperlink ref="B46" r:id="rId40" xr:uid="{00000000-0004-0000-5800-000027000000}"/>
    <hyperlink ref="B47" r:id="rId41" xr:uid="{00000000-0004-0000-5800-000028000000}"/>
    <hyperlink ref="B48" r:id="rId42" xr:uid="{00000000-0004-0000-5800-000029000000}"/>
    <hyperlink ref="B49" r:id="rId43" xr:uid="{00000000-0004-0000-5800-00002A000000}"/>
    <hyperlink ref="B50" r:id="rId44" xr:uid="{00000000-0004-0000-5800-00002B000000}"/>
    <hyperlink ref="B51" r:id="rId45" xr:uid="{00000000-0004-0000-5800-00002C000000}"/>
    <hyperlink ref="B52" r:id="rId46" xr:uid="{00000000-0004-0000-5800-00002D000000}"/>
    <hyperlink ref="B54" r:id="rId47" xr:uid="{00000000-0004-0000-5800-00002E000000}"/>
    <hyperlink ref="B55" r:id="rId48" xr:uid="{00000000-0004-0000-5800-00002F000000}"/>
    <hyperlink ref="B56" r:id="rId49" xr:uid="{00000000-0004-0000-5800-000030000000}"/>
    <hyperlink ref="B57" r:id="rId50" xr:uid="{00000000-0004-0000-5800-000031000000}"/>
    <hyperlink ref="B58" r:id="rId51" xr:uid="{00000000-0004-0000-5800-000032000000}"/>
    <hyperlink ref="B59" r:id="rId52" xr:uid="{00000000-0004-0000-5800-000033000000}"/>
    <hyperlink ref="B60" r:id="rId53" xr:uid="{00000000-0004-0000-5800-000034000000}"/>
    <hyperlink ref="B62" r:id="rId54" xr:uid="{00000000-0004-0000-5800-000035000000}"/>
    <hyperlink ref="B63" r:id="rId55" xr:uid="{00000000-0004-0000-5800-000036000000}"/>
    <hyperlink ref="B64" r:id="rId56" xr:uid="{00000000-0004-0000-5800-000037000000}"/>
    <hyperlink ref="B65" r:id="rId57" xr:uid="{00000000-0004-0000-5800-000038000000}"/>
    <hyperlink ref="B66" r:id="rId58" xr:uid="{00000000-0004-0000-5800-000039000000}"/>
    <hyperlink ref="B68" r:id="rId59" xr:uid="{00000000-0004-0000-5800-00003A000000}"/>
    <hyperlink ref="B69" r:id="rId60" xr:uid="{00000000-0004-0000-5800-00003B000000}"/>
    <hyperlink ref="B70" r:id="rId61" xr:uid="{00000000-0004-0000-5800-00003C000000}"/>
    <hyperlink ref="B71" r:id="rId62" xr:uid="{00000000-0004-0000-5800-00003D000000}"/>
    <hyperlink ref="B72" r:id="rId63" xr:uid="{00000000-0004-0000-5800-00003E000000}"/>
    <hyperlink ref="B73" r:id="rId64" xr:uid="{00000000-0004-0000-5800-00003F000000}"/>
    <hyperlink ref="B75" r:id="rId65" xr:uid="{00000000-0004-0000-5800-000040000000}"/>
    <hyperlink ref="B76" r:id="rId66" xr:uid="{00000000-0004-0000-5800-000041000000}"/>
    <hyperlink ref="B77" r:id="rId67" xr:uid="{00000000-0004-0000-5800-000042000000}"/>
    <hyperlink ref="B79" r:id="rId68" xr:uid="{00000000-0004-0000-5800-000043000000}"/>
    <hyperlink ref="B80" r:id="rId69" xr:uid="{00000000-0004-0000-5800-000044000000}"/>
    <hyperlink ref="B81" r:id="rId70" xr:uid="{00000000-0004-0000-5800-000045000000}"/>
    <hyperlink ref="B82" r:id="rId71" xr:uid="{00000000-0004-0000-5800-000046000000}"/>
    <hyperlink ref="B83" r:id="rId72" xr:uid="{00000000-0004-0000-5800-000047000000}"/>
    <hyperlink ref="B84" r:id="rId73" xr:uid="{00000000-0004-0000-5800-000048000000}"/>
    <hyperlink ref="B85" r:id="rId74" xr:uid="{00000000-0004-0000-5800-000049000000}"/>
    <hyperlink ref="B86" r:id="rId75" xr:uid="{00000000-0004-0000-5800-00004A000000}"/>
    <hyperlink ref="B87" r:id="rId76" xr:uid="{00000000-0004-0000-5800-00004B000000}"/>
    <hyperlink ref="B88" r:id="rId77" xr:uid="{00000000-0004-0000-5800-00004C000000}"/>
    <hyperlink ref="B89" r:id="rId78" xr:uid="{00000000-0004-0000-5800-00004D000000}"/>
    <hyperlink ref="B90" r:id="rId79" xr:uid="{00000000-0004-0000-5800-00004E000000}"/>
    <hyperlink ref="B91" r:id="rId80" xr:uid="{00000000-0004-0000-5800-00004F000000}"/>
    <hyperlink ref="B92" r:id="rId81" xr:uid="{00000000-0004-0000-5800-000050000000}"/>
    <hyperlink ref="B93" r:id="rId82" xr:uid="{00000000-0004-0000-5800-000051000000}"/>
    <hyperlink ref="B94" r:id="rId83" xr:uid="{00000000-0004-0000-5800-000052000000}"/>
    <hyperlink ref="B96" r:id="rId84" xr:uid="{00000000-0004-0000-5800-000053000000}"/>
    <hyperlink ref="B97" r:id="rId85" xr:uid="{00000000-0004-0000-5800-000054000000}"/>
    <hyperlink ref="B98" r:id="rId86" xr:uid="{00000000-0004-0000-5800-000055000000}"/>
    <hyperlink ref="B99" r:id="rId87" xr:uid="{00000000-0004-0000-5800-000056000000}"/>
    <hyperlink ref="B100" r:id="rId88" xr:uid="{00000000-0004-0000-5800-000057000000}"/>
    <hyperlink ref="B101" r:id="rId89" xr:uid="{00000000-0004-0000-5800-000058000000}"/>
    <hyperlink ref="B102" r:id="rId90" xr:uid="{00000000-0004-0000-5800-000059000000}"/>
    <hyperlink ref="B103" r:id="rId91" xr:uid="{00000000-0004-0000-5800-00005A000000}"/>
    <hyperlink ref="B104" r:id="rId92" xr:uid="{00000000-0004-0000-5800-00005B000000}"/>
    <hyperlink ref="B105" r:id="rId93" xr:uid="{00000000-0004-0000-5800-00005C000000}"/>
    <hyperlink ref="B114" r:id="rId94" xr:uid="{00000000-0004-0000-5800-00005D000000}"/>
    <hyperlink ref="B115" r:id="rId95" xr:uid="{00000000-0004-0000-5800-00005E000000}"/>
    <hyperlink ref="B116" r:id="rId96" xr:uid="{00000000-0004-0000-5800-00005F000000}"/>
    <hyperlink ref="B125" r:id="rId97" xr:uid="{00000000-0004-0000-5800-000060000000}"/>
    <hyperlink ref="B126" r:id="rId98" xr:uid="{00000000-0004-0000-5800-000061000000}"/>
    <hyperlink ref="B127" r:id="rId99" xr:uid="{00000000-0004-0000-5800-000062000000}"/>
    <hyperlink ref="B128" r:id="rId100" xr:uid="{00000000-0004-0000-5800-000063000000}"/>
    <hyperlink ref="B129" r:id="rId101" xr:uid="{00000000-0004-0000-5800-000064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0">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0.33203125" customWidth="1"/>
    <col min="3" max="3" width="9.6640625" customWidth="1"/>
    <col min="4" max="4" width="14.83203125" customWidth="1"/>
    <col min="5" max="5" width="14.33203125" customWidth="1"/>
  </cols>
  <sheetData>
    <row r="1" spans="1:10" ht="15.75" customHeight="1">
      <c r="A1" s="1" t="s">
        <v>101</v>
      </c>
      <c r="C1" s="80"/>
      <c r="D1" s="81" t="s">
        <v>181</v>
      </c>
      <c r="E1" s="5"/>
      <c r="F1" s="5"/>
      <c r="G1" s="5"/>
    </row>
    <row r="2" spans="1:10" ht="15.75" customHeight="1">
      <c r="A2" s="7" t="s">
        <v>182</v>
      </c>
      <c r="B2" s="123">
        <v>43133</v>
      </c>
      <c r="C2" s="80"/>
      <c r="D2" s="82">
        <f>SUM(D5:G177)</f>
        <v>0</v>
      </c>
      <c r="E2" s="5"/>
      <c r="F2" s="5"/>
      <c r="G2" s="5"/>
    </row>
    <row r="3" spans="1:10" ht="15.75" customHeight="1">
      <c r="C3" s="80"/>
      <c r="D3" s="5"/>
      <c r="E3" s="5"/>
      <c r="F3" s="5"/>
      <c r="G3" s="5"/>
    </row>
    <row r="4" spans="1:10" ht="15.75" customHeight="1">
      <c r="A4" s="42" t="s">
        <v>183</v>
      </c>
      <c r="B4" s="42" t="s">
        <v>184</v>
      </c>
      <c r="C4" s="42" t="s">
        <v>185</v>
      </c>
      <c r="D4" s="83" t="s">
        <v>186</v>
      </c>
      <c r="E4" s="84" t="s">
        <v>187</v>
      </c>
      <c r="F4" s="84" t="s">
        <v>188</v>
      </c>
      <c r="G4" s="85" t="s">
        <v>189</v>
      </c>
      <c r="H4" s="84" t="s">
        <v>190</v>
      </c>
      <c r="I4" s="85"/>
    </row>
    <row r="5" spans="1:10" ht="15.75" customHeight="1">
      <c r="A5" s="48" t="s">
        <v>6889</v>
      </c>
      <c r="B5" s="49" t="s">
        <v>348</v>
      </c>
      <c r="C5" s="48" t="s">
        <v>205</v>
      </c>
      <c r="D5" s="86"/>
      <c r="E5" s="86"/>
      <c r="F5" s="87"/>
      <c r="G5" s="87"/>
      <c r="H5" s="88"/>
      <c r="I5" s="88"/>
      <c r="J5" s="88"/>
    </row>
    <row r="6" spans="1:10" ht="15.75" customHeight="1">
      <c r="A6" s="48" t="s">
        <v>6890</v>
      </c>
      <c r="B6" s="49" t="s">
        <v>946</v>
      </c>
      <c r="C6" s="48" t="s">
        <v>205</v>
      </c>
      <c r="D6" s="48"/>
      <c r="E6" s="51"/>
      <c r="F6" s="5"/>
      <c r="G6" s="5"/>
      <c r="J6" s="88"/>
    </row>
    <row r="7" spans="1:10" ht="15.75" customHeight="1">
      <c r="A7" s="48" t="s">
        <v>6891</v>
      </c>
      <c r="B7" s="49" t="s">
        <v>3392</v>
      </c>
      <c r="C7" s="48" t="s">
        <v>205</v>
      </c>
      <c r="D7" s="48"/>
      <c r="E7" s="51"/>
      <c r="F7" s="5"/>
      <c r="G7" s="5"/>
    </row>
    <row r="8" spans="1:10" ht="15.75" customHeight="1">
      <c r="A8" s="48" t="s">
        <v>6892</v>
      </c>
      <c r="B8" s="49" t="s">
        <v>1505</v>
      </c>
      <c r="C8" s="48" t="s">
        <v>205</v>
      </c>
      <c r="D8" s="48"/>
      <c r="E8" s="5"/>
      <c r="F8" s="5"/>
      <c r="G8" s="5"/>
    </row>
    <row r="9" spans="1:10" ht="15.75" customHeight="1">
      <c r="A9" s="48" t="s">
        <v>6893</v>
      </c>
      <c r="B9" s="49" t="s">
        <v>3118</v>
      </c>
      <c r="C9" s="48" t="s">
        <v>205</v>
      </c>
      <c r="D9" s="47"/>
      <c r="E9" s="5"/>
      <c r="F9" s="5"/>
      <c r="G9" s="5"/>
    </row>
    <row r="10" spans="1:10" ht="15.75" customHeight="1">
      <c r="A10" s="48" t="s">
        <v>6894</v>
      </c>
      <c r="B10" s="49" t="s">
        <v>3016</v>
      </c>
      <c r="C10" s="48" t="s">
        <v>205</v>
      </c>
      <c r="D10" s="48"/>
      <c r="E10" s="5"/>
      <c r="F10" s="5"/>
      <c r="G10" s="5"/>
    </row>
    <row r="11" spans="1:10" ht="15.75" customHeight="1">
      <c r="A11" s="48" t="s">
        <v>6895</v>
      </c>
      <c r="B11" s="49" t="s">
        <v>3016</v>
      </c>
      <c r="C11" s="48" t="s">
        <v>205</v>
      </c>
      <c r="D11" s="48"/>
      <c r="E11" s="51"/>
      <c r="F11" s="5"/>
      <c r="G11" s="5"/>
    </row>
    <row r="12" spans="1:10" ht="15.75" customHeight="1">
      <c r="A12" s="48" t="s">
        <v>6896</v>
      </c>
      <c r="B12" s="49" t="s">
        <v>3135</v>
      </c>
      <c r="C12" s="48" t="s">
        <v>205</v>
      </c>
      <c r="D12" s="48"/>
      <c r="E12" s="5"/>
      <c r="F12" s="5"/>
      <c r="G12" s="5"/>
    </row>
    <row r="13" spans="1:10" ht="15.75" customHeight="1">
      <c r="A13" s="48" t="s">
        <v>6897</v>
      </c>
      <c r="B13" s="49" t="s">
        <v>3121</v>
      </c>
      <c r="C13" s="48" t="s">
        <v>205</v>
      </c>
      <c r="D13" s="47"/>
      <c r="E13" s="5"/>
      <c r="F13" s="5"/>
      <c r="G13" s="5"/>
    </row>
    <row r="14" spans="1:10" ht="15.75" customHeight="1">
      <c r="A14" s="48" t="s">
        <v>6898</v>
      </c>
      <c r="B14" s="49" t="s">
        <v>3145</v>
      </c>
      <c r="C14" s="48" t="s">
        <v>205</v>
      </c>
      <c r="D14" s="48"/>
      <c r="E14" s="5"/>
      <c r="F14" s="5"/>
      <c r="G14" s="5"/>
    </row>
    <row r="15" spans="1:10" ht="15.75" customHeight="1">
      <c r="A15" s="48" t="s">
        <v>6899</v>
      </c>
      <c r="B15" s="49" t="s">
        <v>3133</v>
      </c>
      <c r="C15" s="48" t="s">
        <v>205</v>
      </c>
      <c r="D15" s="48"/>
      <c r="E15" s="5"/>
      <c r="F15" s="5"/>
      <c r="G15" s="5"/>
    </row>
    <row r="16" spans="1:10" ht="15.75" customHeight="1">
      <c r="A16" s="48" t="s">
        <v>6900</v>
      </c>
      <c r="B16" s="49" t="s">
        <v>3123</v>
      </c>
      <c r="C16" s="48" t="s">
        <v>205</v>
      </c>
      <c r="D16" s="48"/>
      <c r="E16" s="51"/>
      <c r="F16" s="5"/>
      <c r="G16" s="5"/>
    </row>
    <row r="17" spans="1:7" ht="15.75" customHeight="1">
      <c r="A17" s="48" t="s">
        <v>6901</v>
      </c>
      <c r="B17" s="58" t="str">
        <f>HYPERLINK("https://bulbapedia.bulbagarden.net/wiki/Leafeon-GX_(Ultra_Prism_13)","LeafeonGX")</f>
        <v>LeafeonGX</v>
      </c>
      <c r="C17" s="48" t="s">
        <v>205</v>
      </c>
      <c r="D17" s="48"/>
      <c r="E17" s="5"/>
      <c r="F17" s="5"/>
      <c r="G17" s="5"/>
    </row>
    <row r="18" spans="1:7" ht="15.75" customHeight="1">
      <c r="A18" s="48" t="s">
        <v>6902</v>
      </c>
      <c r="B18" s="49" t="s">
        <v>3782</v>
      </c>
      <c r="C18" s="48" t="s">
        <v>205</v>
      </c>
      <c r="D18" s="48"/>
      <c r="E18" s="5"/>
      <c r="F18" s="5"/>
      <c r="G18" s="5"/>
    </row>
    <row r="19" spans="1:7" ht="15.75" customHeight="1">
      <c r="A19" s="48" t="s">
        <v>6903</v>
      </c>
      <c r="B19" s="49" t="s">
        <v>3575</v>
      </c>
      <c r="C19" s="48" t="s">
        <v>205</v>
      </c>
      <c r="D19" s="47"/>
      <c r="E19" s="5"/>
      <c r="F19" s="5"/>
      <c r="G19" s="5"/>
    </row>
    <row r="20" spans="1:7" ht="15.75" customHeight="1">
      <c r="A20" s="48" t="s">
        <v>6904</v>
      </c>
      <c r="B20" s="49" t="s">
        <v>6478</v>
      </c>
      <c r="C20" s="48" t="s">
        <v>205</v>
      </c>
      <c r="D20" s="48"/>
      <c r="E20" s="5"/>
      <c r="F20" s="5"/>
      <c r="G20" s="5"/>
    </row>
    <row r="21" spans="1:7" ht="15.75" customHeight="1">
      <c r="A21" s="48" t="s">
        <v>6905</v>
      </c>
      <c r="B21" s="49" t="s">
        <v>6479</v>
      </c>
      <c r="C21" s="48" t="s">
        <v>205</v>
      </c>
      <c r="D21" s="48"/>
      <c r="E21" s="5"/>
      <c r="F21" s="5"/>
      <c r="G21" s="5"/>
    </row>
    <row r="22" spans="1:7" ht="15.75" customHeight="1">
      <c r="A22" s="48" t="s">
        <v>6906</v>
      </c>
      <c r="B22" s="49" t="s">
        <v>231</v>
      </c>
      <c r="C22" s="48" t="s">
        <v>199</v>
      </c>
      <c r="D22" s="48"/>
      <c r="E22" s="5"/>
      <c r="F22" s="5"/>
      <c r="G22" s="5"/>
    </row>
    <row r="23" spans="1:7" ht="15.75" customHeight="1">
      <c r="A23" s="48" t="s">
        <v>6907</v>
      </c>
      <c r="B23" s="49" t="s">
        <v>3052</v>
      </c>
      <c r="C23" s="48" t="s">
        <v>199</v>
      </c>
      <c r="D23" s="48"/>
      <c r="E23" s="5"/>
      <c r="F23" s="51"/>
      <c r="G23" s="5"/>
    </row>
    <row r="24" spans="1:7" ht="15.75" customHeight="1">
      <c r="A24" s="48" t="s">
        <v>6908</v>
      </c>
      <c r="B24" s="49" t="s">
        <v>3018</v>
      </c>
      <c r="C24" s="48" t="s">
        <v>199</v>
      </c>
      <c r="D24" s="47"/>
      <c r="E24" s="51"/>
      <c r="F24" s="5"/>
      <c r="G24" s="5"/>
    </row>
    <row r="25" spans="1:7" ht="15.75" customHeight="1">
      <c r="A25" s="48" t="s">
        <v>6909</v>
      </c>
      <c r="B25" s="49" t="s">
        <v>3018</v>
      </c>
      <c r="C25" s="48" t="s">
        <v>199</v>
      </c>
      <c r="D25" s="48"/>
      <c r="E25" s="5"/>
      <c r="F25" s="5"/>
      <c r="G25" s="5"/>
    </row>
    <row r="26" spans="1:7" ht="15.75" customHeight="1">
      <c r="A26" s="48" t="s">
        <v>6910</v>
      </c>
      <c r="B26" s="49" t="s">
        <v>3139</v>
      </c>
      <c r="C26" s="48" t="s">
        <v>199</v>
      </c>
      <c r="D26" s="48"/>
      <c r="E26" s="51"/>
      <c r="F26" s="5"/>
      <c r="G26" s="5"/>
    </row>
    <row r="27" spans="1:7" ht="15.75" customHeight="1">
      <c r="A27" s="48" t="s">
        <v>6911</v>
      </c>
      <c r="B27" s="49" t="s">
        <v>3112</v>
      </c>
      <c r="C27" s="48" t="s">
        <v>199</v>
      </c>
      <c r="D27" s="48"/>
      <c r="E27" s="5"/>
      <c r="F27" s="51"/>
      <c r="G27" s="5"/>
    </row>
    <row r="28" spans="1:7" ht="15.75" customHeight="1">
      <c r="A28" s="48" t="s">
        <v>6912</v>
      </c>
      <c r="B28" s="49" t="s">
        <v>3780</v>
      </c>
      <c r="C28" s="48" t="s">
        <v>199</v>
      </c>
      <c r="D28" s="48"/>
      <c r="E28" s="51"/>
      <c r="F28" s="5"/>
      <c r="G28" s="5"/>
    </row>
    <row r="29" spans="1:7" ht="15.75" customHeight="1">
      <c r="A29" s="48" t="s">
        <v>6913</v>
      </c>
      <c r="B29" s="49" t="s">
        <v>6366</v>
      </c>
      <c r="C29" s="48" t="s">
        <v>199</v>
      </c>
      <c r="D29" s="48"/>
      <c r="E29" s="5"/>
      <c r="F29" s="5"/>
      <c r="G29" s="5"/>
    </row>
    <row r="30" spans="1:7" ht="15.75" customHeight="1">
      <c r="A30" s="48" t="s">
        <v>6914</v>
      </c>
      <c r="B30" s="49" t="s">
        <v>6545</v>
      </c>
      <c r="C30" s="48" t="s">
        <v>199</v>
      </c>
      <c r="D30" s="48"/>
      <c r="E30" s="51"/>
      <c r="F30" s="5"/>
      <c r="G30" s="5"/>
    </row>
    <row r="31" spans="1:7" ht="15.75" customHeight="1">
      <c r="A31" s="48" t="s">
        <v>6915</v>
      </c>
      <c r="B31" s="49" t="s">
        <v>6214</v>
      </c>
      <c r="C31" s="48" t="s">
        <v>199</v>
      </c>
      <c r="D31" s="48"/>
      <c r="E31" s="5"/>
      <c r="F31" s="5"/>
      <c r="G31" s="5"/>
    </row>
    <row r="32" spans="1:7" ht="15.75" customHeight="1">
      <c r="A32" s="48" t="s">
        <v>6916</v>
      </c>
      <c r="B32" s="49" t="s">
        <v>6549</v>
      </c>
      <c r="C32" s="48" t="s">
        <v>208</v>
      </c>
      <c r="D32" s="48"/>
      <c r="E32" s="5"/>
      <c r="F32" s="5"/>
      <c r="G32" s="5"/>
    </row>
    <row r="33" spans="1:7" ht="15.75" customHeight="1">
      <c r="A33" s="48" t="s">
        <v>6917</v>
      </c>
      <c r="B33" s="49" t="s">
        <v>6337</v>
      </c>
      <c r="C33" s="48" t="s">
        <v>208</v>
      </c>
      <c r="D33" s="48"/>
      <c r="E33" s="5"/>
      <c r="F33" s="5"/>
      <c r="G33" s="5"/>
    </row>
    <row r="34" spans="1:7" ht="15.75" customHeight="1">
      <c r="A34" s="48" t="s">
        <v>6918</v>
      </c>
      <c r="B34" s="49" t="s">
        <v>6553</v>
      </c>
      <c r="C34" s="48" t="s">
        <v>208</v>
      </c>
      <c r="D34" s="48"/>
      <c r="E34" s="51"/>
      <c r="F34" s="5"/>
      <c r="G34" s="5"/>
    </row>
    <row r="35" spans="1:7" ht="15.75" customHeight="1">
      <c r="A35" s="48" t="s">
        <v>6919</v>
      </c>
      <c r="B35" s="49" t="s">
        <v>3020</v>
      </c>
      <c r="C35" s="48" t="s">
        <v>208</v>
      </c>
      <c r="D35" s="48"/>
      <c r="E35" s="5"/>
      <c r="F35" s="5"/>
      <c r="G35" s="5"/>
    </row>
    <row r="36" spans="1:7" ht="15.75" customHeight="1">
      <c r="A36" s="48" t="s">
        <v>6920</v>
      </c>
      <c r="B36" s="49" t="s">
        <v>3020</v>
      </c>
      <c r="C36" s="48" t="s">
        <v>208</v>
      </c>
      <c r="D36" s="48"/>
      <c r="E36" s="5"/>
      <c r="F36" s="5"/>
      <c r="G36" s="5"/>
    </row>
    <row r="37" spans="1:7" ht="15.75" customHeight="1">
      <c r="A37" s="48" t="s">
        <v>6921</v>
      </c>
      <c r="B37" s="49" t="s">
        <v>3140</v>
      </c>
      <c r="C37" s="48" t="s">
        <v>208</v>
      </c>
      <c r="D37" s="48"/>
      <c r="E37" s="5"/>
      <c r="F37" s="5"/>
      <c r="G37" s="5"/>
    </row>
    <row r="38" spans="1:7" ht="15.75" customHeight="1">
      <c r="A38" s="48" t="s">
        <v>6922</v>
      </c>
      <c r="B38" s="49" t="s">
        <v>3111</v>
      </c>
      <c r="C38" s="48" t="s">
        <v>208</v>
      </c>
      <c r="D38" s="47"/>
      <c r="E38" s="5"/>
      <c r="F38" s="5"/>
      <c r="G38" s="5"/>
    </row>
    <row r="39" spans="1:7" ht="15.75" customHeight="1">
      <c r="A39" s="48" t="s">
        <v>6923</v>
      </c>
      <c r="B39" s="49" t="s">
        <v>3039</v>
      </c>
      <c r="C39" s="48" t="s">
        <v>208</v>
      </c>
      <c r="D39" s="48"/>
      <c r="E39" s="51"/>
      <c r="F39" s="5"/>
      <c r="G39" s="5"/>
    </row>
    <row r="40" spans="1:7" ht="15.75" customHeight="1">
      <c r="A40" s="48" t="s">
        <v>6924</v>
      </c>
      <c r="B40" s="49" t="s">
        <v>3125</v>
      </c>
      <c r="C40" s="48" t="s">
        <v>208</v>
      </c>
      <c r="D40" s="48"/>
      <c r="E40" s="5"/>
      <c r="F40" s="5"/>
      <c r="G40" s="5"/>
    </row>
    <row r="41" spans="1:7" ht="15.75" customHeight="1">
      <c r="A41" s="48" t="s">
        <v>6925</v>
      </c>
      <c r="B41" s="49" t="s">
        <v>3277</v>
      </c>
      <c r="C41" s="48" t="s">
        <v>208</v>
      </c>
      <c r="D41" s="48"/>
      <c r="E41" s="5"/>
      <c r="F41" s="5"/>
      <c r="G41" s="5"/>
    </row>
    <row r="42" spans="1:7" ht="15.75" customHeight="1">
      <c r="A42" s="48" t="s">
        <v>6926</v>
      </c>
      <c r="B42" s="49" t="s">
        <v>3182</v>
      </c>
      <c r="C42" s="48" t="s">
        <v>208</v>
      </c>
      <c r="D42" s="48"/>
      <c r="E42" s="51"/>
      <c r="F42" s="5"/>
      <c r="G42" s="5"/>
    </row>
    <row r="43" spans="1:7" ht="15.75" customHeight="1">
      <c r="A43" s="48" t="s">
        <v>6927</v>
      </c>
      <c r="B43" s="58" t="str">
        <f>HYPERLINK("https://bulbapedia.bulbagarden.net/wiki/Glaceon-GX_(Ultra_Prism_39)","GlaceonGX")</f>
        <v>GlaceonGX</v>
      </c>
      <c r="C43" s="48" t="s">
        <v>208</v>
      </c>
      <c r="D43" s="48"/>
      <c r="E43" s="5"/>
      <c r="F43" s="5"/>
      <c r="G43" s="5"/>
    </row>
    <row r="44" spans="1:7" ht="15.75" customHeight="1">
      <c r="A44" s="48" t="s">
        <v>6928</v>
      </c>
      <c r="B44" s="49" t="s">
        <v>3784</v>
      </c>
      <c r="C44" s="48" t="s">
        <v>208</v>
      </c>
      <c r="D44" s="48"/>
      <c r="E44" s="5"/>
      <c r="F44" s="5"/>
      <c r="G44" s="5"/>
    </row>
    <row r="45" spans="1:7" ht="15.75" customHeight="1">
      <c r="A45" s="48" t="s">
        <v>6929</v>
      </c>
      <c r="B45" s="49" t="s">
        <v>3778</v>
      </c>
      <c r="C45" s="48" t="s">
        <v>208</v>
      </c>
      <c r="D45" s="47"/>
      <c r="E45" s="5"/>
      <c r="F45" s="5"/>
      <c r="G45" s="5"/>
    </row>
    <row r="46" spans="1:7" ht="15.75" customHeight="1">
      <c r="A46" s="48" t="s">
        <v>6930</v>
      </c>
      <c r="B46" s="49" t="s">
        <v>3115</v>
      </c>
      <c r="C46" s="48" t="s">
        <v>208</v>
      </c>
      <c r="D46" s="48"/>
      <c r="E46" s="5"/>
      <c r="F46" s="5"/>
      <c r="G46" s="5"/>
    </row>
    <row r="47" spans="1:7" ht="15.75" customHeight="1">
      <c r="A47" s="48" t="s">
        <v>6931</v>
      </c>
      <c r="B47" s="49" t="s">
        <v>193</v>
      </c>
      <c r="C47" s="48" t="s">
        <v>192</v>
      </c>
      <c r="D47" s="48"/>
      <c r="E47" s="5"/>
      <c r="F47" s="5"/>
      <c r="G47" s="5"/>
    </row>
    <row r="48" spans="1:7" ht="15.75" customHeight="1">
      <c r="A48" s="48" t="s">
        <v>6932</v>
      </c>
      <c r="B48" s="49" t="s">
        <v>3110</v>
      </c>
      <c r="C48" s="48" t="s">
        <v>192</v>
      </c>
      <c r="D48" s="47"/>
      <c r="E48" s="5"/>
      <c r="F48" s="5"/>
      <c r="G48" s="5"/>
    </row>
    <row r="49" spans="1:7" ht="15.75" customHeight="1">
      <c r="A49" s="48" t="s">
        <v>6933</v>
      </c>
      <c r="B49" s="49" t="s">
        <v>3043</v>
      </c>
      <c r="C49" s="48" t="s">
        <v>192</v>
      </c>
      <c r="D49" s="48"/>
      <c r="E49" s="51"/>
      <c r="F49" s="5"/>
      <c r="G49" s="5"/>
    </row>
    <row r="50" spans="1:7" ht="15.75" customHeight="1">
      <c r="A50" s="48" t="s">
        <v>6934</v>
      </c>
      <c r="B50" s="49" t="s">
        <v>3043</v>
      </c>
      <c r="C50" s="48" t="s">
        <v>192</v>
      </c>
      <c r="D50" s="48"/>
      <c r="E50" s="5"/>
      <c r="F50" s="5"/>
      <c r="G50" s="5"/>
    </row>
    <row r="51" spans="1:7" ht="15.75" customHeight="1">
      <c r="A51" s="48" t="s">
        <v>6935</v>
      </c>
      <c r="B51" s="49" t="s">
        <v>3137</v>
      </c>
      <c r="C51" s="48" t="s">
        <v>192</v>
      </c>
      <c r="D51" s="48"/>
      <c r="E51" s="5"/>
      <c r="F51" s="5"/>
      <c r="G51" s="5"/>
    </row>
    <row r="52" spans="1:7" ht="15.75" customHeight="1">
      <c r="A52" s="48" t="s">
        <v>6936</v>
      </c>
      <c r="B52" s="49" t="s">
        <v>3114</v>
      </c>
      <c r="C52" s="48" t="s">
        <v>192</v>
      </c>
      <c r="D52" s="48"/>
      <c r="E52" s="5"/>
      <c r="F52" s="51"/>
      <c r="G52" s="5"/>
    </row>
    <row r="53" spans="1:7" ht="13">
      <c r="A53" s="48" t="s">
        <v>6937</v>
      </c>
      <c r="B53" s="49" t="s">
        <v>3022</v>
      </c>
      <c r="C53" s="48" t="s">
        <v>192</v>
      </c>
      <c r="D53" s="48"/>
      <c r="E53" s="51"/>
      <c r="F53" s="5"/>
      <c r="G53" s="5"/>
    </row>
    <row r="54" spans="1:7" ht="13">
      <c r="A54" s="48" t="s">
        <v>6938</v>
      </c>
      <c r="B54" s="49" t="s">
        <v>3338</v>
      </c>
      <c r="C54" s="48" t="s">
        <v>192</v>
      </c>
      <c r="D54" s="48"/>
      <c r="E54" s="51"/>
      <c r="F54" s="5"/>
      <c r="G54" s="5"/>
    </row>
    <row r="55" spans="1:7" ht="13">
      <c r="A55" s="48" t="s">
        <v>6939</v>
      </c>
      <c r="B55" s="49" t="s">
        <v>3134</v>
      </c>
      <c r="C55" s="48" t="s">
        <v>195</v>
      </c>
      <c r="D55" s="48"/>
      <c r="E55" s="5"/>
      <c r="F55" s="5"/>
      <c r="G55" s="5"/>
    </row>
    <row r="56" spans="1:7" ht="13">
      <c r="A56" s="48" t="s">
        <v>6940</v>
      </c>
      <c r="B56" s="49" t="s">
        <v>3078</v>
      </c>
      <c r="C56" s="48" t="s">
        <v>195</v>
      </c>
      <c r="D56" s="48"/>
      <c r="E56" s="5"/>
      <c r="F56" s="5"/>
      <c r="G56" s="5"/>
    </row>
    <row r="57" spans="1:7" ht="13">
      <c r="A57" s="48" t="s">
        <v>6941</v>
      </c>
      <c r="B57" s="49" t="s">
        <v>3390</v>
      </c>
      <c r="C57" s="48" t="s">
        <v>195</v>
      </c>
      <c r="D57" s="48"/>
      <c r="E57" s="5"/>
      <c r="F57" s="5"/>
      <c r="G57" s="5"/>
    </row>
    <row r="58" spans="1:7" ht="13">
      <c r="A58" s="48" t="s">
        <v>6942</v>
      </c>
      <c r="B58" s="49" t="s">
        <v>3147</v>
      </c>
      <c r="C58" s="48" t="s">
        <v>195</v>
      </c>
      <c r="D58" s="48"/>
      <c r="E58" s="5"/>
      <c r="F58" s="5"/>
      <c r="G58" s="5"/>
    </row>
    <row r="59" spans="1:7" ht="13">
      <c r="A59" s="48" t="s">
        <v>6943</v>
      </c>
      <c r="B59" s="49" t="s">
        <v>3124</v>
      </c>
      <c r="C59" s="48" t="s">
        <v>195</v>
      </c>
      <c r="D59" s="48"/>
      <c r="E59" s="5"/>
      <c r="F59" s="5"/>
      <c r="G59" s="5"/>
    </row>
    <row r="60" spans="1:7" ht="13">
      <c r="A60" s="48" t="s">
        <v>6944</v>
      </c>
      <c r="B60" s="49" t="s">
        <v>3250</v>
      </c>
      <c r="C60" s="48" t="s">
        <v>195</v>
      </c>
      <c r="D60" s="48"/>
      <c r="E60" s="51"/>
      <c r="F60" s="5"/>
      <c r="G60" s="5"/>
    </row>
    <row r="61" spans="1:7" ht="13">
      <c r="A61" s="48" t="s">
        <v>6945</v>
      </c>
      <c r="B61" s="49" t="s">
        <v>3203</v>
      </c>
      <c r="C61" s="48" t="s">
        <v>195</v>
      </c>
      <c r="D61" s="48"/>
      <c r="E61" s="5"/>
      <c r="F61" s="5"/>
      <c r="G61" s="5"/>
    </row>
    <row r="62" spans="1:7" ht="13">
      <c r="A62" s="48" t="s">
        <v>6946</v>
      </c>
      <c r="B62" s="58" t="str">
        <f>HYPERLINK("https://bulbapedia.bulbagarden.net/wiki/Giratina_%E2%99%A2_(Ultra_Prism_58)","Giratina♦")</f>
        <v>Giratina♦</v>
      </c>
      <c r="C62" s="48" t="s">
        <v>195</v>
      </c>
      <c r="D62" s="47"/>
      <c r="E62" s="5"/>
      <c r="F62" s="5"/>
      <c r="G62" s="5"/>
    </row>
    <row r="63" spans="1:7" ht="13">
      <c r="A63" s="48" t="s">
        <v>6947</v>
      </c>
      <c r="B63" s="49" t="s">
        <v>3101</v>
      </c>
      <c r="C63" s="48" t="s">
        <v>195</v>
      </c>
      <c r="D63" s="48"/>
      <c r="E63" s="5"/>
      <c r="F63" s="51"/>
      <c r="G63" s="5"/>
    </row>
    <row r="64" spans="1:7" ht="13">
      <c r="A64" s="48" t="s">
        <v>6948</v>
      </c>
      <c r="B64" s="49" t="s">
        <v>6487</v>
      </c>
      <c r="C64" s="48" t="s">
        <v>195</v>
      </c>
      <c r="D64" s="48"/>
      <c r="E64" s="5"/>
      <c r="F64" s="5"/>
      <c r="G64" s="5"/>
    </row>
    <row r="65" spans="1:7" ht="13">
      <c r="A65" s="48" t="s">
        <v>6949</v>
      </c>
      <c r="B65" s="49" t="s">
        <v>6488</v>
      </c>
      <c r="C65" s="48" t="s">
        <v>195</v>
      </c>
      <c r="D65" s="48"/>
      <c r="E65" s="51"/>
      <c r="F65" s="5"/>
      <c r="G65" s="5"/>
    </row>
    <row r="66" spans="1:7" ht="13">
      <c r="A66" s="48" t="s">
        <v>6950</v>
      </c>
      <c r="B66" s="58" t="str">
        <f>HYPERLINK("https://bulbapedia.bulbagarden.net/wiki/Lunala_%E2%99%A2_(Ultra_Prism_62)","Lunala♦")</f>
        <v>Lunala♦</v>
      </c>
      <c r="C66" s="48" t="s">
        <v>195</v>
      </c>
      <c r="D66" s="48"/>
      <c r="E66" s="5"/>
      <c r="F66" s="5"/>
      <c r="G66" s="5"/>
    </row>
    <row r="67" spans="1:7" ht="13">
      <c r="A67" s="48" t="s">
        <v>6951</v>
      </c>
      <c r="B67" s="58" t="str">
        <f>HYPERLINK("https://bulbapedia.bulbagarden.net/wiki/Dawn_Wings_Necrozma-GX_(Ultra_Prism_63)","Dawn Wings NecrozmaGX")</f>
        <v>Dawn Wings NecrozmaGX</v>
      </c>
      <c r="C67" s="48" t="s">
        <v>195</v>
      </c>
      <c r="D67" s="47"/>
      <c r="E67" s="5"/>
      <c r="F67" s="5"/>
      <c r="G67" s="5"/>
    </row>
    <row r="68" spans="1:7" ht="13">
      <c r="A68" s="48" t="s">
        <v>6952</v>
      </c>
      <c r="B68" s="49" t="s">
        <v>3027</v>
      </c>
      <c r="C68" s="48" t="s">
        <v>973</v>
      </c>
      <c r="D68" s="48"/>
      <c r="E68" s="5"/>
      <c r="F68" s="5"/>
      <c r="G68" s="5"/>
    </row>
    <row r="69" spans="1:7" ht="13">
      <c r="A69" s="48" t="s">
        <v>6953</v>
      </c>
      <c r="B69" s="49" t="s">
        <v>3199</v>
      </c>
      <c r="C69" s="48" t="s">
        <v>973</v>
      </c>
      <c r="D69" s="48"/>
      <c r="E69" s="5"/>
      <c r="F69" s="51"/>
      <c r="G69" s="5"/>
    </row>
    <row r="70" spans="1:7" ht="13">
      <c r="A70" s="48" t="s">
        <v>6954</v>
      </c>
      <c r="B70" s="49" t="s">
        <v>3141</v>
      </c>
      <c r="C70" s="48" t="s">
        <v>973</v>
      </c>
      <c r="D70" s="48"/>
      <c r="E70" s="51"/>
      <c r="F70" s="5"/>
      <c r="G70" s="5"/>
    </row>
    <row r="71" spans="1:7" ht="13">
      <c r="A71" s="48" t="s">
        <v>6955</v>
      </c>
      <c r="B71" s="49" t="s">
        <v>3113</v>
      </c>
      <c r="C71" s="48" t="s">
        <v>973</v>
      </c>
      <c r="D71" s="48"/>
      <c r="E71" s="5"/>
      <c r="F71" s="51"/>
      <c r="G71" s="5"/>
    </row>
    <row r="72" spans="1:7" ht="13">
      <c r="A72" s="48" t="s">
        <v>6956</v>
      </c>
      <c r="B72" s="49" t="s">
        <v>3136</v>
      </c>
      <c r="C72" s="48" t="s">
        <v>973</v>
      </c>
      <c r="D72" s="48"/>
      <c r="E72" s="51"/>
      <c r="F72" s="5"/>
      <c r="G72" s="5"/>
    </row>
    <row r="73" spans="1:7" ht="13">
      <c r="A73" s="48" t="s">
        <v>6957</v>
      </c>
      <c r="B73" s="49" t="s">
        <v>3126</v>
      </c>
      <c r="C73" s="48" t="s">
        <v>973</v>
      </c>
      <c r="D73" s="48"/>
      <c r="E73" s="5"/>
      <c r="F73" s="5"/>
      <c r="G73" s="5"/>
    </row>
    <row r="74" spans="1:7" ht="13">
      <c r="A74" s="48" t="s">
        <v>6958</v>
      </c>
      <c r="B74" s="49" t="s">
        <v>6490</v>
      </c>
      <c r="C74" s="48" t="s">
        <v>973</v>
      </c>
      <c r="D74" s="48"/>
      <c r="E74" s="5"/>
      <c r="F74" s="5"/>
      <c r="G74" s="5"/>
    </row>
    <row r="75" spans="1:7" ht="13">
      <c r="A75" s="48" t="s">
        <v>6959</v>
      </c>
      <c r="B75" s="49" t="s">
        <v>807</v>
      </c>
      <c r="C75" s="48" t="s">
        <v>808</v>
      </c>
      <c r="D75" s="48"/>
      <c r="E75" s="5"/>
      <c r="F75" s="5"/>
      <c r="G75" s="5"/>
    </row>
    <row r="76" spans="1:7" ht="13">
      <c r="A76" s="48" t="s">
        <v>6960</v>
      </c>
      <c r="B76" s="49" t="s">
        <v>3169</v>
      </c>
      <c r="C76" s="48" t="s">
        <v>808</v>
      </c>
      <c r="D76" s="48"/>
      <c r="E76" s="51"/>
      <c r="F76" s="5"/>
      <c r="G76" s="5"/>
    </row>
    <row r="77" spans="1:7" ht="13">
      <c r="A77" s="48" t="s">
        <v>6961</v>
      </c>
      <c r="B77" s="49" t="s">
        <v>810</v>
      </c>
      <c r="C77" s="48" t="s">
        <v>808</v>
      </c>
      <c r="D77" s="48"/>
      <c r="E77" s="5"/>
      <c r="F77" s="5"/>
      <c r="G77" s="5"/>
    </row>
    <row r="78" spans="1:7" ht="13">
      <c r="A78" s="48" t="s">
        <v>6962</v>
      </c>
      <c r="B78" s="49" t="s">
        <v>3131</v>
      </c>
      <c r="C78" s="48" t="s">
        <v>808</v>
      </c>
      <c r="D78" s="48"/>
      <c r="E78" s="5"/>
      <c r="F78" s="5"/>
      <c r="G78" s="5"/>
    </row>
    <row r="79" spans="1:7" ht="13">
      <c r="A79" s="48" t="s">
        <v>6963</v>
      </c>
      <c r="B79" s="49" t="s">
        <v>3149</v>
      </c>
      <c r="C79" s="48" t="s">
        <v>808</v>
      </c>
      <c r="D79" s="48"/>
      <c r="E79" s="5"/>
      <c r="F79" s="5"/>
      <c r="G79" s="5"/>
    </row>
    <row r="80" spans="1:7" ht="13">
      <c r="A80" s="48" t="s">
        <v>6964</v>
      </c>
      <c r="B80" s="49" t="s">
        <v>3119</v>
      </c>
      <c r="C80" s="48" t="s">
        <v>808</v>
      </c>
      <c r="D80" s="48"/>
      <c r="E80" s="51"/>
      <c r="F80" s="5"/>
      <c r="G80" s="5"/>
    </row>
    <row r="81" spans="1:7" ht="13">
      <c r="A81" s="48" t="s">
        <v>6965</v>
      </c>
      <c r="B81" s="58" t="str">
        <f>HYPERLINK("https://bulbapedia.bulbagarden.net/wiki/Darkrai_%E2%99%A2_(Ultra_Prism_77)","Darkrai♦")</f>
        <v>Darkrai♦</v>
      </c>
      <c r="C81" s="48" t="s">
        <v>808</v>
      </c>
      <c r="D81" s="48"/>
      <c r="E81" s="5"/>
      <c r="F81" s="5"/>
      <c r="G81" s="5"/>
    </row>
    <row r="82" spans="1:7" ht="13">
      <c r="A82" s="48" t="s">
        <v>6966</v>
      </c>
      <c r="B82" s="49" t="s">
        <v>6496</v>
      </c>
      <c r="C82" s="48" t="s">
        <v>220</v>
      </c>
      <c r="D82" s="48"/>
      <c r="E82" s="5"/>
      <c r="F82" s="5"/>
      <c r="G82" s="5"/>
    </row>
    <row r="83" spans="1:7" ht="13">
      <c r="A83" s="48" t="s">
        <v>6967</v>
      </c>
      <c r="B83" s="49" t="s">
        <v>6497</v>
      </c>
      <c r="C83" s="48" t="s">
        <v>220</v>
      </c>
      <c r="D83" s="48"/>
      <c r="E83" s="5"/>
      <c r="F83" s="5"/>
      <c r="G83" s="5"/>
    </row>
    <row r="84" spans="1:7" ht="13">
      <c r="A84" s="48" t="s">
        <v>6968</v>
      </c>
      <c r="B84" s="49" t="s">
        <v>285</v>
      </c>
      <c r="C84" s="48" t="s">
        <v>220</v>
      </c>
      <c r="D84" s="48"/>
      <c r="E84" s="51"/>
      <c r="F84" s="5"/>
      <c r="G84" s="5"/>
    </row>
    <row r="85" spans="1:7" ht="13">
      <c r="A85" s="48" t="s">
        <v>6969</v>
      </c>
      <c r="B85" s="49" t="s">
        <v>285</v>
      </c>
      <c r="C85" s="48" t="s">
        <v>220</v>
      </c>
      <c r="D85" s="48"/>
      <c r="E85" s="5"/>
      <c r="F85" s="5"/>
      <c r="G85" s="5"/>
    </row>
    <row r="86" spans="1:7" ht="13">
      <c r="A86" s="48" t="s">
        <v>6970</v>
      </c>
      <c r="B86" s="49" t="s">
        <v>247</v>
      </c>
      <c r="C86" s="48" t="s">
        <v>220</v>
      </c>
      <c r="D86" s="48"/>
      <c r="E86" s="5"/>
      <c r="F86" s="5"/>
      <c r="G86" s="5"/>
    </row>
    <row r="87" spans="1:7" ht="13">
      <c r="A87" s="48" t="s">
        <v>6971</v>
      </c>
      <c r="B87" s="49" t="s">
        <v>3074</v>
      </c>
      <c r="C87" s="48" t="s">
        <v>220</v>
      </c>
      <c r="D87" s="47"/>
      <c r="E87" s="5"/>
      <c r="F87" s="5"/>
      <c r="G87" s="5"/>
    </row>
    <row r="88" spans="1:7" ht="13">
      <c r="A88" s="48" t="s">
        <v>6972</v>
      </c>
      <c r="B88" s="49" t="s">
        <v>3029</v>
      </c>
      <c r="C88" s="48" t="s">
        <v>220</v>
      </c>
      <c r="D88" s="47"/>
      <c r="E88" s="5"/>
      <c r="F88" s="5"/>
      <c r="G88" s="5"/>
    </row>
    <row r="89" spans="1:7" ht="13">
      <c r="A89" s="48" t="s">
        <v>6973</v>
      </c>
      <c r="B89" s="49" t="s">
        <v>3185</v>
      </c>
      <c r="C89" s="48" t="s">
        <v>220</v>
      </c>
      <c r="D89" s="48"/>
      <c r="E89" s="5"/>
      <c r="F89" s="51"/>
      <c r="G89" s="5"/>
    </row>
    <row r="90" spans="1:7" ht="13">
      <c r="A90" s="48" t="s">
        <v>6974</v>
      </c>
      <c r="B90" s="49" t="s">
        <v>3245</v>
      </c>
      <c r="C90" s="48" t="s">
        <v>220</v>
      </c>
      <c r="D90" s="48"/>
      <c r="E90" s="51"/>
      <c r="F90" s="5"/>
      <c r="G90" s="5"/>
    </row>
    <row r="91" spans="1:7" ht="13">
      <c r="A91" s="48" t="s">
        <v>6975</v>
      </c>
      <c r="B91" s="49" t="s">
        <v>3163</v>
      </c>
      <c r="C91" s="48" t="s">
        <v>220</v>
      </c>
      <c r="D91" s="48"/>
      <c r="E91" s="5"/>
      <c r="F91" s="5"/>
      <c r="G91" s="5"/>
    </row>
    <row r="92" spans="1:7" ht="13">
      <c r="A92" s="48" t="s">
        <v>6976</v>
      </c>
      <c r="B92" s="49" t="s">
        <v>3377</v>
      </c>
      <c r="C92" s="48" t="s">
        <v>220</v>
      </c>
      <c r="D92" s="48"/>
      <c r="E92" s="5"/>
      <c r="F92" s="51"/>
      <c r="G92" s="5"/>
    </row>
    <row r="93" spans="1:7" ht="13">
      <c r="A93" s="48" t="s">
        <v>6977</v>
      </c>
      <c r="B93" s="58" t="str">
        <f>HYPERLINK("https://bulbapedia.bulbagarden.net/wiki/Solgaleo_%E2%99%A2_(Ultra_Prism_89)","Solgaleo♦")</f>
        <v>Solgaleo♦</v>
      </c>
      <c r="C93" s="48" t="s">
        <v>220</v>
      </c>
      <c r="D93" s="48"/>
      <c r="E93" s="5"/>
      <c r="F93" s="5"/>
      <c r="G93" s="5"/>
    </row>
    <row r="94" spans="1:7" ht="13">
      <c r="A94" s="48" t="s">
        <v>6978</v>
      </c>
      <c r="B94" s="58" t="str">
        <f>HYPERLINK("https://bulbapedia.bulbagarden.net/wiki/Dusk_Mane_Necrozma-GX_(Ultra_Prism_90)","Dusk Mane NecrozmaGX")</f>
        <v>Dusk Mane NecrozmaGX</v>
      </c>
      <c r="C94" s="48" t="s">
        <v>220</v>
      </c>
      <c r="D94" s="47"/>
      <c r="E94" s="5"/>
      <c r="F94" s="5"/>
      <c r="G94" s="5"/>
    </row>
    <row r="95" spans="1:7" ht="13">
      <c r="A95" s="48" t="s">
        <v>6979</v>
      </c>
      <c r="B95" s="49" t="s">
        <v>4930</v>
      </c>
      <c r="C95" s="48" t="s">
        <v>220</v>
      </c>
      <c r="D95" s="48"/>
      <c r="E95" s="5"/>
      <c r="F95" s="5"/>
      <c r="G95" s="5"/>
    </row>
    <row r="96" spans="1:7" ht="13">
      <c r="A96" s="48" t="s">
        <v>6980</v>
      </c>
      <c r="B96" s="49" t="s">
        <v>6468</v>
      </c>
      <c r="C96" s="48" t="s">
        <v>4743</v>
      </c>
      <c r="D96" s="48"/>
      <c r="E96" s="5"/>
      <c r="F96" s="5"/>
      <c r="G96" s="5"/>
    </row>
    <row r="97" spans="1:7" ht="13">
      <c r="A97" s="48" t="s">
        <v>6981</v>
      </c>
      <c r="B97" s="49" t="s">
        <v>6469</v>
      </c>
      <c r="C97" s="48" t="s">
        <v>4743</v>
      </c>
      <c r="D97" s="48"/>
      <c r="E97" s="51"/>
      <c r="F97" s="5"/>
      <c r="G97" s="5"/>
    </row>
    <row r="98" spans="1:7" ht="13">
      <c r="A98" s="48" t="s">
        <v>6982</v>
      </c>
      <c r="B98" s="49" t="s">
        <v>6239</v>
      </c>
      <c r="C98" s="48" t="s">
        <v>4743</v>
      </c>
      <c r="D98" s="48"/>
      <c r="E98" s="5"/>
      <c r="F98" s="5"/>
      <c r="G98" s="5"/>
    </row>
    <row r="99" spans="1:7" ht="13">
      <c r="A99" s="48" t="s">
        <v>6983</v>
      </c>
      <c r="B99" s="49" t="s">
        <v>6984</v>
      </c>
      <c r="C99" s="48" t="s">
        <v>4285</v>
      </c>
      <c r="D99" s="47"/>
      <c r="E99" s="51"/>
      <c r="F99" s="5"/>
      <c r="G99" s="5"/>
    </row>
    <row r="100" spans="1:7" ht="13">
      <c r="A100" s="48" t="s">
        <v>6985</v>
      </c>
      <c r="B100" s="49" t="s">
        <v>3259</v>
      </c>
      <c r="C100" s="48" t="s">
        <v>4285</v>
      </c>
      <c r="D100" s="48"/>
      <c r="E100" s="51"/>
      <c r="F100" s="5"/>
      <c r="G100" s="5"/>
    </row>
    <row r="101" spans="1:7" ht="13">
      <c r="A101" s="48" t="s">
        <v>6986</v>
      </c>
      <c r="B101" s="49" t="s">
        <v>3259</v>
      </c>
      <c r="C101" s="48" t="s">
        <v>4285</v>
      </c>
      <c r="D101" s="48"/>
      <c r="E101" s="5"/>
      <c r="F101" s="5"/>
      <c r="G101" s="5"/>
    </row>
    <row r="102" spans="1:7" ht="13">
      <c r="A102" s="48" t="s">
        <v>6987</v>
      </c>
      <c r="B102" s="49" t="s">
        <v>3217</v>
      </c>
      <c r="C102" s="48" t="s">
        <v>4285</v>
      </c>
      <c r="D102" s="48"/>
      <c r="E102" s="51"/>
      <c r="F102" s="5"/>
      <c r="G102" s="5"/>
    </row>
    <row r="103" spans="1:7" ht="13">
      <c r="A103" s="48" t="s">
        <v>6988</v>
      </c>
      <c r="B103" s="49" t="s">
        <v>3167</v>
      </c>
      <c r="C103" s="48" t="s">
        <v>4285</v>
      </c>
      <c r="D103" s="48"/>
      <c r="E103" s="5"/>
      <c r="F103" s="5"/>
      <c r="G103" s="5"/>
    </row>
    <row r="104" spans="1:7" ht="13">
      <c r="A104" s="48" t="s">
        <v>6989</v>
      </c>
      <c r="B104" s="58" t="str">
        <f>HYPERLINK("https://bulbapedia.bulbagarden.net/wiki/Dialga-GX_(Ultra_Prism_100)","DialgaGX")</f>
        <v>DialgaGX</v>
      </c>
      <c r="C104" s="48" t="s">
        <v>4285</v>
      </c>
      <c r="D104" s="47"/>
      <c r="E104" s="5"/>
      <c r="F104" s="5"/>
      <c r="G104" s="5"/>
    </row>
    <row r="105" spans="1:7" ht="13">
      <c r="A105" s="48" t="s">
        <v>6990</v>
      </c>
      <c r="B105" s="58" t="str">
        <f>HYPERLINK("https://bulbapedia.bulbagarden.net/wiki/Palkia-GX_(Ultra_Prism_101)","PalkiaGX")</f>
        <v>PalkiaGX</v>
      </c>
      <c r="C105" s="48" t="s">
        <v>4285</v>
      </c>
      <c r="D105" s="47"/>
      <c r="E105" s="5"/>
      <c r="F105" s="5"/>
      <c r="G105" s="5"/>
    </row>
    <row r="106" spans="1:7" ht="13">
      <c r="A106" s="48" t="s">
        <v>6991</v>
      </c>
      <c r="B106" s="49" t="s">
        <v>336</v>
      </c>
      <c r="C106" s="48" t="s">
        <v>197</v>
      </c>
      <c r="D106" s="48"/>
      <c r="E106" s="5"/>
      <c r="F106" s="5"/>
      <c r="G106" s="5"/>
    </row>
    <row r="107" spans="1:7" ht="13">
      <c r="A107" s="48" t="s">
        <v>6992</v>
      </c>
      <c r="B107" s="49" t="s">
        <v>3317</v>
      </c>
      <c r="C107" s="48" t="s">
        <v>197</v>
      </c>
      <c r="D107" s="48"/>
      <c r="E107" s="51"/>
      <c r="F107" s="5"/>
      <c r="G107" s="5"/>
    </row>
    <row r="108" spans="1:7" ht="13">
      <c r="A108" s="48" t="s">
        <v>6993</v>
      </c>
      <c r="B108" s="49" t="s">
        <v>203</v>
      </c>
      <c r="C108" s="48" t="s">
        <v>197</v>
      </c>
      <c r="D108" s="48"/>
      <c r="E108" s="5"/>
      <c r="F108" s="5"/>
      <c r="G108" s="5"/>
    </row>
    <row r="109" spans="1:7" ht="13">
      <c r="A109" s="48" t="s">
        <v>6994</v>
      </c>
      <c r="B109" s="49" t="s">
        <v>203</v>
      </c>
      <c r="C109" s="48" t="s">
        <v>197</v>
      </c>
      <c r="D109" s="48"/>
      <c r="E109" s="5"/>
      <c r="F109" s="5"/>
      <c r="G109" s="5"/>
    </row>
    <row r="110" spans="1:7" ht="13">
      <c r="A110" s="48" t="s">
        <v>6995</v>
      </c>
      <c r="B110" s="49" t="s">
        <v>3025</v>
      </c>
      <c r="C110" s="48" t="s">
        <v>197</v>
      </c>
      <c r="D110" s="48"/>
      <c r="E110" s="5"/>
      <c r="F110" s="5"/>
      <c r="G110" s="5"/>
    </row>
    <row r="111" spans="1:7" ht="13">
      <c r="A111" s="48" t="s">
        <v>6996</v>
      </c>
      <c r="B111" s="49" t="s">
        <v>3127</v>
      </c>
      <c r="C111" s="48" t="s">
        <v>197</v>
      </c>
      <c r="D111" s="48"/>
      <c r="E111" s="5"/>
      <c r="F111" s="5"/>
      <c r="G111" s="5"/>
    </row>
    <row r="112" spans="1:7" ht="13">
      <c r="A112" s="48" t="s">
        <v>6997</v>
      </c>
      <c r="B112" s="49" t="s">
        <v>3057</v>
      </c>
      <c r="C112" s="48" t="s">
        <v>197</v>
      </c>
      <c r="D112" s="48"/>
      <c r="E112" s="5"/>
      <c r="F112" s="5"/>
      <c r="G112" s="5"/>
    </row>
    <row r="113" spans="1:7" ht="13">
      <c r="A113" s="48" t="s">
        <v>6998</v>
      </c>
      <c r="B113" s="49" t="s">
        <v>3129</v>
      </c>
      <c r="C113" s="48" t="s">
        <v>197</v>
      </c>
      <c r="D113" s="48"/>
      <c r="E113" s="5"/>
      <c r="F113" s="5"/>
      <c r="G113" s="5"/>
    </row>
    <row r="114" spans="1:7" ht="13">
      <c r="A114" s="48" t="s">
        <v>6999</v>
      </c>
      <c r="B114" s="49" t="s">
        <v>3776</v>
      </c>
      <c r="C114" s="48" t="s">
        <v>197</v>
      </c>
      <c r="D114" s="47"/>
      <c r="E114" s="5"/>
      <c r="F114" s="5"/>
      <c r="G114" s="5"/>
    </row>
    <row r="115" spans="1:7" ht="13">
      <c r="A115" s="48" t="s">
        <v>7000</v>
      </c>
      <c r="B115" s="49" t="s">
        <v>3575</v>
      </c>
      <c r="C115" s="48" t="s">
        <v>197</v>
      </c>
      <c r="D115" s="48"/>
      <c r="E115" s="51"/>
      <c r="F115" s="5"/>
      <c r="G115" s="5"/>
    </row>
    <row r="116" spans="1:7" ht="13">
      <c r="A116" s="48" t="s">
        <v>7001</v>
      </c>
      <c r="B116" s="49" t="s">
        <v>6502</v>
      </c>
      <c r="C116" s="48" t="s">
        <v>197</v>
      </c>
      <c r="D116" s="48"/>
      <c r="E116" s="5"/>
      <c r="F116" s="5"/>
      <c r="G116" s="5"/>
    </row>
    <row r="117" spans="1:7" ht="13">
      <c r="A117" s="48" t="s">
        <v>7002</v>
      </c>
      <c r="B117" s="49" t="s">
        <v>7003</v>
      </c>
      <c r="C117" s="48" t="s">
        <v>197</v>
      </c>
      <c r="D117" s="48"/>
      <c r="E117" s="5"/>
      <c r="F117" s="5"/>
      <c r="G117" s="5"/>
    </row>
    <row r="118" spans="1:7" ht="13">
      <c r="A118" s="48" t="s">
        <v>7004</v>
      </c>
      <c r="B118" s="49" t="s">
        <v>6505</v>
      </c>
      <c r="C118" s="48" t="s">
        <v>197</v>
      </c>
      <c r="D118" s="48"/>
      <c r="E118" s="5"/>
      <c r="F118" s="5"/>
      <c r="G118" s="5"/>
    </row>
    <row r="119" spans="1:7" ht="13">
      <c r="A119" s="48" t="s">
        <v>7005</v>
      </c>
      <c r="B119" s="49" t="s">
        <v>6868</v>
      </c>
      <c r="C119" s="48" t="s">
        <v>197</v>
      </c>
      <c r="D119" s="47"/>
      <c r="E119" s="5"/>
      <c r="F119" s="5"/>
      <c r="G119" s="5"/>
    </row>
    <row r="120" spans="1:7" ht="13">
      <c r="A120" s="48" t="s">
        <v>7006</v>
      </c>
      <c r="B120" s="58" t="str">
        <f>HYPERLINK("https://bulbapedia.bulbagarden.net/wiki/Silvally-GX_(Ultra_Prism_116)","SilvallyGX")</f>
        <v>SilvallyGX</v>
      </c>
      <c r="C120" s="48" t="s">
        <v>197</v>
      </c>
      <c r="D120" s="48"/>
      <c r="E120" s="5"/>
      <c r="F120" s="5"/>
      <c r="G120" s="5"/>
    </row>
    <row r="121" spans="1:7" ht="13">
      <c r="A121" s="48" t="s">
        <v>7007</v>
      </c>
      <c r="B121" s="49" t="s">
        <v>6643</v>
      </c>
      <c r="C121" s="48" t="s">
        <v>197</v>
      </c>
      <c r="D121" s="47"/>
      <c r="E121" s="5"/>
      <c r="F121" s="5"/>
      <c r="G121" s="5"/>
    </row>
    <row r="122" spans="1:7" ht="13">
      <c r="A122" s="48" t="s">
        <v>7008</v>
      </c>
      <c r="B122" s="49" t="s">
        <v>7009</v>
      </c>
      <c r="C122" s="48" t="s">
        <v>4114</v>
      </c>
      <c r="D122" s="48"/>
      <c r="E122" s="5"/>
      <c r="F122" s="5"/>
      <c r="G122" s="5"/>
    </row>
    <row r="123" spans="1:7" ht="13">
      <c r="A123" s="48" t="s">
        <v>7010</v>
      </c>
      <c r="B123" s="49" t="s">
        <v>7011</v>
      </c>
      <c r="C123" s="48" t="s">
        <v>1013</v>
      </c>
      <c r="D123" s="48"/>
      <c r="E123" s="51"/>
      <c r="F123" s="5"/>
      <c r="G123" s="5"/>
    </row>
    <row r="124" spans="1:7" ht="13">
      <c r="A124" s="48" t="s">
        <v>7012</v>
      </c>
      <c r="B124" s="58" t="str">
        <f>HYPERLINK("https://bulbapedia.bulbagarden.net/wiki/Cyrus_%E2%99%A2_(Ultra_Prism_120)","Cyrus♦")</f>
        <v>Cyrus♦</v>
      </c>
      <c r="C124" s="48" t="s">
        <v>1013</v>
      </c>
      <c r="D124" s="48"/>
      <c r="E124" s="5"/>
      <c r="F124" s="5"/>
      <c r="G124" s="5"/>
    </row>
    <row r="125" spans="1:7" ht="13">
      <c r="A125" s="48" t="s">
        <v>7013</v>
      </c>
      <c r="B125" s="49" t="s">
        <v>7014</v>
      </c>
      <c r="C125" s="48" t="s">
        <v>4114</v>
      </c>
      <c r="D125" s="48"/>
      <c r="E125" s="51"/>
      <c r="F125" s="5"/>
      <c r="G125" s="5"/>
    </row>
    <row r="126" spans="1:7" ht="13">
      <c r="A126" s="48" t="s">
        <v>7015</v>
      </c>
      <c r="B126" s="49" t="s">
        <v>7016</v>
      </c>
      <c r="C126" s="48" t="s">
        <v>4114</v>
      </c>
      <c r="D126" s="48"/>
      <c r="E126" s="5"/>
      <c r="F126" s="5"/>
      <c r="G126" s="5"/>
    </row>
    <row r="127" spans="1:7" ht="13">
      <c r="A127" s="48" t="s">
        <v>7017</v>
      </c>
      <c r="B127" s="49" t="s">
        <v>7018</v>
      </c>
      <c r="C127" s="48" t="s">
        <v>4114</v>
      </c>
      <c r="D127" s="48"/>
      <c r="E127" s="51"/>
      <c r="F127" s="5"/>
      <c r="G127" s="5"/>
    </row>
    <row r="128" spans="1:7" ht="13">
      <c r="A128" s="48" t="s">
        <v>7019</v>
      </c>
      <c r="B128" s="49" t="s">
        <v>7020</v>
      </c>
      <c r="C128" s="48" t="s">
        <v>1013</v>
      </c>
      <c r="D128" s="47"/>
      <c r="E128" s="5"/>
      <c r="F128" s="5"/>
      <c r="G128" s="5"/>
    </row>
    <row r="129" spans="1:7" ht="13">
      <c r="A129" s="48" t="s">
        <v>7021</v>
      </c>
      <c r="B129" s="49" t="s">
        <v>6509</v>
      </c>
      <c r="C129" s="48" t="s">
        <v>1013</v>
      </c>
      <c r="D129" s="48"/>
      <c r="E129" s="5"/>
      <c r="F129" s="5"/>
      <c r="G129" s="5"/>
    </row>
    <row r="130" spans="1:7" ht="13">
      <c r="A130" s="48" t="s">
        <v>7022</v>
      </c>
      <c r="B130" s="49" t="s">
        <v>7023</v>
      </c>
      <c r="C130" s="48" t="s">
        <v>1013</v>
      </c>
      <c r="D130" s="48"/>
      <c r="E130" s="51"/>
      <c r="F130" s="5"/>
      <c r="G130" s="5"/>
    </row>
    <row r="131" spans="1:7" ht="13">
      <c r="A131" s="48" t="s">
        <v>7024</v>
      </c>
      <c r="B131" s="49" t="s">
        <v>7025</v>
      </c>
      <c r="C131" s="48" t="s">
        <v>4114</v>
      </c>
      <c r="D131" s="48"/>
      <c r="E131" s="5"/>
      <c r="F131" s="5"/>
      <c r="G131" s="5"/>
    </row>
    <row r="132" spans="1:7" ht="13">
      <c r="A132" s="48" t="s">
        <v>7026</v>
      </c>
      <c r="B132" s="49" t="s">
        <v>7027</v>
      </c>
      <c r="C132" s="48" t="s">
        <v>1013</v>
      </c>
      <c r="D132" s="48"/>
      <c r="E132" s="51"/>
      <c r="F132" s="5"/>
      <c r="G132" s="5"/>
    </row>
    <row r="133" spans="1:7" ht="13">
      <c r="A133" s="48" t="s">
        <v>7028</v>
      </c>
      <c r="B133" s="49" t="s">
        <v>7029</v>
      </c>
      <c r="C133" s="48" t="s">
        <v>4114</v>
      </c>
      <c r="D133" s="48"/>
      <c r="E133" s="51"/>
      <c r="F133" s="5"/>
      <c r="G133" s="5"/>
    </row>
    <row r="134" spans="1:7" ht="13">
      <c r="A134" s="48" t="s">
        <v>7030</v>
      </c>
      <c r="B134" s="49" t="s">
        <v>7031</v>
      </c>
      <c r="C134" s="48" t="s">
        <v>229</v>
      </c>
      <c r="D134" s="48"/>
      <c r="E134" s="5"/>
      <c r="F134" s="5"/>
      <c r="G134" s="5"/>
    </row>
    <row r="135" spans="1:7" ht="13">
      <c r="A135" s="48" t="s">
        <v>7032</v>
      </c>
      <c r="B135" s="49" t="s">
        <v>7033</v>
      </c>
      <c r="C135" s="48" t="s">
        <v>4114</v>
      </c>
      <c r="D135" s="48"/>
      <c r="E135" s="5"/>
      <c r="F135" s="5"/>
      <c r="G135" s="5"/>
    </row>
    <row r="136" spans="1:7" ht="13">
      <c r="A136" s="48" t="s">
        <v>7034</v>
      </c>
      <c r="B136" s="49" t="s">
        <v>5108</v>
      </c>
      <c r="C136" s="48" t="s">
        <v>4114</v>
      </c>
      <c r="D136" s="48"/>
      <c r="E136" s="51"/>
      <c r="F136" s="5"/>
      <c r="G136" s="5"/>
    </row>
    <row r="137" spans="1:7" ht="13">
      <c r="A137" s="48" t="s">
        <v>7035</v>
      </c>
      <c r="B137" s="49" t="s">
        <v>1152</v>
      </c>
      <c r="C137" s="48" t="s">
        <v>1013</v>
      </c>
      <c r="D137" s="48"/>
      <c r="E137" s="5"/>
      <c r="F137" s="5"/>
      <c r="G137" s="5"/>
    </row>
    <row r="138" spans="1:7" ht="13">
      <c r="A138" s="48" t="s">
        <v>7036</v>
      </c>
      <c r="B138" s="49" t="s">
        <v>7037</v>
      </c>
      <c r="C138" s="48" t="s">
        <v>4114</v>
      </c>
      <c r="D138" s="48"/>
      <c r="E138" s="51"/>
      <c r="F138" s="5"/>
      <c r="G138" s="5"/>
    </row>
    <row r="139" spans="1:7" ht="13">
      <c r="A139" s="48" t="s">
        <v>7038</v>
      </c>
      <c r="B139" s="49" t="s">
        <v>7039</v>
      </c>
      <c r="C139" s="48" t="s">
        <v>1013</v>
      </c>
      <c r="D139" s="48"/>
      <c r="E139" s="5"/>
      <c r="F139" s="5"/>
      <c r="G139" s="5"/>
    </row>
    <row r="140" spans="1:7" ht="13">
      <c r="A140" s="48" t="s">
        <v>7040</v>
      </c>
      <c r="B140" s="58" t="str">
        <f>HYPERLINK("https://bulbapedia.bulbagarden.net/wiki/Super_Boost_Energy_%E2%99%A2_(Ultra_Prism_136)","Super Boost Energy♦")</f>
        <v>Super Boost Energy♦</v>
      </c>
      <c r="C140" s="48" t="s">
        <v>317</v>
      </c>
      <c r="D140" s="47"/>
      <c r="E140" s="5"/>
      <c r="F140" s="5"/>
      <c r="G140" s="5"/>
    </row>
    <row r="141" spans="1:7" ht="13">
      <c r="A141" s="48" t="s">
        <v>7041</v>
      </c>
      <c r="B141" s="49" t="s">
        <v>7042</v>
      </c>
      <c r="C141" s="48" t="s">
        <v>317</v>
      </c>
      <c r="D141" s="48"/>
      <c r="E141" s="51"/>
      <c r="F141" s="5"/>
      <c r="G141" s="5"/>
    </row>
    <row r="142" spans="1:7" ht="13">
      <c r="A142" s="48" t="s">
        <v>7043</v>
      </c>
      <c r="B142" s="49" t="s">
        <v>7044</v>
      </c>
      <c r="C142" s="48" t="s">
        <v>317</v>
      </c>
      <c r="D142" s="48"/>
      <c r="E142" s="5"/>
      <c r="F142" s="5"/>
      <c r="G142" s="5"/>
    </row>
    <row r="143" spans="1:7" ht="13">
      <c r="A143" s="48" t="s">
        <v>7045</v>
      </c>
      <c r="B143" s="58" t="str">
        <f>HYPERLINK("https://bulbapedia.bulbagarden.net/wiki/Leafeon-GX_(Ultra_Prism_139)","LeafeonGX")</f>
        <v>LeafeonGX</v>
      </c>
      <c r="C143" s="48" t="s">
        <v>205</v>
      </c>
      <c r="D143" s="47"/>
      <c r="E143" s="5"/>
      <c r="F143" s="5"/>
      <c r="G143" s="5"/>
    </row>
    <row r="144" spans="1:7" ht="13">
      <c r="A144" s="48" t="s">
        <v>7046</v>
      </c>
      <c r="B144" s="58" t="str">
        <f>HYPERLINK("https://bulbapedia.bulbagarden.net/wiki/Pheromosa-GX_(Ultra_Prism_140)","PheromosaGX")</f>
        <v>PheromosaGX</v>
      </c>
      <c r="C144" s="48" t="s">
        <v>205</v>
      </c>
      <c r="D144" s="47"/>
      <c r="E144" s="5"/>
      <c r="F144" s="5"/>
      <c r="G144" s="5"/>
    </row>
    <row r="145" spans="1:7" ht="13">
      <c r="A145" s="48" t="s">
        <v>7047</v>
      </c>
      <c r="B145" s="58" t="str">
        <f>HYPERLINK("https://bulbapedia.bulbagarden.net/wiki/Glaceon-GX_(Ultra_Prism_141)","GlaceonGX")</f>
        <v>GlaceonGX</v>
      </c>
      <c r="C145" s="48" t="s">
        <v>208</v>
      </c>
      <c r="D145" s="47"/>
      <c r="E145" s="5"/>
      <c r="F145" s="5"/>
      <c r="G145" s="5"/>
    </row>
    <row r="146" spans="1:7" ht="13">
      <c r="A146" s="48" t="s">
        <v>7048</v>
      </c>
      <c r="B146" s="58" t="str">
        <f>HYPERLINK("https://bulbapedia.bulbagarden.net/wiki/Xurkitree-GX_(Ultra_Prism_142)","XurkitreeGX")</f>
        <v>XurkitreeGX</v>
      </c>
      <c r="C146" s="48" t="s">
        <v>192</v>
      </c>
      <c r="D146" s="47"/>
      <c r="E146" s="5"/>
      <c r="F146" s="5"/>
      <c r="G146" s="5"/>
    </row>
    <row r="147" spans="1:7" ht="13">
      <c r="A147" s="48" t="s">
        <v>7049</v>
      </c>
      <c r="B147" s="58" t="str">
        <f>HYPERLINK("https://bulbapedia.bulbagarden.net/wiki/Dawn_Wings_Necrozma-GX_(Ultra_Prism_143)","Dawn Wings NecrozmaGX")</f>
        <v>Dawn Wings NecrozmaGX</v>
      </c>
      <c r="C147" s="48" t="s">
        <v>195</v>
      </c>
      <c r="D147" s="47"/>
      <c r="E147" s="5"/>
      <c r="F147" s="5"/>
      <c r="G147" s="5"/>
    </row>
    <row r="148" spans="1:7" ht="13">
      <c r="A148" s="48" t="s">
        <v>7050</v>
      </c>
      <c r="B148" s="58" t="str">
        <f>HYPERLINK("https://bulbapedia.bulbagarden.net/wiki/Celesteela-GX_(Ultra_Prism_144)","CelesteelaGX")</f>
        <v>CelesteelaGX</v>
      </c>
      <c r="C148" s="48" t="s">
        <v>220</v>
      </c>
      <c r="D148" s="47"/>
      <c r="E148" s="5"/>
      <c r="F148" s="5"/>
      <c r="G148" s="5"/>
    </row>
    <row r="149" spans="1:7" ht="13">
      <c r="A149" s="48" t="s">
        <v>7051</v>
      </c>
      <c r="B149" s="58" t="str">
        <f>HYPERLINK("https://bulbapedia.bulbagarden.net/wiki/Dusk_Mane_Necrozma-GX_(Ultra_Prism_145)","Dusk Mane NecrozmaGX")</f>
        <v>Dusk Mane NecrozmaGX</v>
      </c>
      <c r="C149" s="48" t="s">
        <v>220</v>
      </c>
      <c r="D149" s="47"/>
      <c r="E149" s="5"/>
      <c r="F149" s="5"/>
      <c r="G149" s="5"/>
    </row>
    <row r="150" spans="1:7" ht="13">
      <c r="A150" s="48" t="s">
        <v>7052</v>
      </c>
      <c r="B150" s="58" t="str">
        <f>HYPERLINK("https://bulbapedia.bulbagarden.net/wiki/Dialga-GX_(Ultra_Prism_146)","DialgaGX")</f>
        <v>DialgaGX</v>
      </c>
      <c r="C150" s="48" t="s">
        <v>4285</v>
      </c>
      <c r="D150" s="47"/>
      <c r="E150" s="5"/>
      <c r="F150" s="5"/>
      <c r="G150" s="5"/>
    </row>
    <row r="151" spans="1:7" ht="13">
      <c r="A151" s="48" t="s">
        <v>7053</v>
      </c>
      <c r="B151" s="58" t="str">
        <f>HYPERLINK("https://bulbapedia.bulbagarden.net/wiki/Palkia-GX_(Ultra_Prism_147)","PalkiaGX")</f>
        <v>PalkiaGX</v>
      </c>
      <c r="C151" s="48" t="s">
        <v>4285</v>
      </c>
      <c r="D151" s="47"/>
      <c r="E151" s="5"/>
      <c r="F151" s="5"/>
      <c r="G151" s="5"/>
    </row>
    <row r="152" spans="1:7" ht="13">
      <c r="A152" s="48" t="s">
        <v>7054</v>
      </c>
      <c r="B152" s="49" t="s">
        <v>7011</v>
      </c>
      <c r="C152" s="48" t="s">
        <v>1013</v>
      </c>
      <c r="D152" s="47"/>
      <c r="E152" s="5"/>
      <c r="F152" s="5"/>
      <c r="G152" s="5"/>
    </row>
    <row r="153" spans="1:7" ht="13">
      <c r="A153" s="48" t="s">
        <v>7055</v>
      </c>
      <c r="B153" s="49" t="s">
        <v>7020</v>
      </c>
      <c r="C153" s="48" t="s">
        <v>1013</v>
      </c>
      <c r="D153" s="47"/>
      <c r="E153" s="5"/>
      <c r="F153" s="5"/>
      <c r="G153" s="5"/>
    </row>
    <row r="154" spans="1:7" ht="13">
      <c r="A154" s="48" t="s">
        <v>7056</v>
      </c>
      <c r="B154" s="49" t="s">
        <v>6749</v>
      </c>
      <c r="C154" s="48" t="s">
        <v>1013</v>
      </c>
      <c r="D154" s="47"/>
      <c r="E154" s="5"/>
      <c r="F154" s="5"/>
      <c r="G154" s="5"/>
    </row>
    <row r="155" spans="1:7" ht="13">
      <c r="A155" s="48" t="s">
        <v>7057</v>
      </c>
      <c r="B155" s="49" t="s">
        <v>6509</v>
      </c>
      <c r="C155" s="48" t="s">
        <v>1013</v>
      </c>
      <c r="D155" s="47"/>
      <c r="E155" s="5"/>
      <c r="F155" s="5"/>
      <c r="G155" s="5"/>
    </row>
    <row r="156" spans="1:7" ht="13">
      <c r="A156" s="48" t="s">
        <v>7058</v>
      </c>
      <c r="B156" s="49" t="s">
        <v>7023</v>
      </c>
      <c r="C156" s="48" t="s">
        <v>1013</v>
      </c>
      <c r="D156" s="47"/>
      <c r="E156" s="5"/>
      <c r="F156" s="5"/>
      <c r="G156" s="5"/>
    </row>
    <row r="157" spans="1:7" ht="13">
      <c r="A157" s="48" t="s">
        <v>7059</v>
      </c>
      <c r="B157" s="49" t="s">
        <v>6874</v>
      </c>
      <c r="C157" s="48" t="s">
        <v>1013</v>
      </c>
      <c r="D157" s="47"/>
      <c r="E157" s="5"/>
      <c r="F157" s="5"/>
      <c r="G157" s="5"/>
    </row>
    <row r="158" spans="1:7" ht="13">
      <c r="A158" s="48" t="s">
        <v>7060</v>
      </c>
      <c r="B158" s="49" t="s">
        <v>7027</v>
      </c>
      <c r="C158" s="48" t="s">
        <v>1013</v>
      </c>
      <c r="D158" s="47"/>
      <c r="E158" s="5"/>
      <c r="F158" s="5"/>
      <c r="G158" s="5"/>
    </row>
    <row r="159" spans="1:7" ht="13">
      <c r="A159" s="48" t="s">
        <v>7061</v>
      </c>
      <c r="B159" s="49" t="s">
        <v>1152</v>
      </c>
      <c r="C159" s="48" t="s">
        <v>1013</v>
      </c>
      <c r="D159" s="48"/>
      <c r="E159" s="5"/>
      <c r="F159" s="5"/>
      <c r="G159" s="5"/>
    </row>
    <row r="160" spans="1:7" ht="13">
      <c r="A160" s="48" t="s">
        <v>7062</v>
      </c>
      <c r="B160" s="49" t="s">
        <v>7039</v>
      </c>
      <c r="C160" s="48" t="s">
        <v>1013</v>
      </c>
      <c r="D160" s="48"/>
      <c r="E160" s="5"/>
      <c r="F160" s="5"/>
      <c r="G160" s="5"/>
    </row>
    <row r="161" spans="1:7" ht="13">
      <c r="A161" s="48" t="s">
        <v>7063</v>
      </c>
      <c r="B161" s="58" t="str">
        <f>HYPERLINK("https://bulbapedia.bulbagarden.net/wiki/Leafeon-GX_(Ultra_Prism_157)","LeafeonGX")</f>
        <v>LeafeonGX</v>
      </c>
      <c r="C161" s="48" t="s">
        <v>205</v>
      </c>
      <c r="D161" s="47"/>
      <c r="E161" s="5"/>
      <c r="F161" s="5"/>
      <c r="G161" s="5"/>
    </row>
    <row r="162" spans="1:7" ht="13">
      <c r="A162" s="48" t="s">
        <v>7064</v>
      </c>
      <c r="B162" s="58" t="str">
        <f>HYPERLINK("https://bulbapedia.bulbagarden.net/wiki/Pheromosa-GX_(Ultra_Prism_158)","PheromosaGX")</f>
        <v>PheromosaGX</v>
      </c>
      <c r="C162" s="48" t="s">
        <v>205</v>
      </c>
      <c r="D162" s="47"/>
      <c r="E162" s="5"/>
      <c r="F162" s="5"/>
      <c r="G162" s="5"/>
    </row>
    <row r="163" spans="1:7" ht="13">
      <c r="A163" s="48" t="s">
        <v>7065</v>
      </c>
      <c r="B163" s="58" t="str">
        <f>HYPERLINK("https://bulbapedia.bulbagarden.net/wiki/Glaceon-GX_(Ultra_Prism_159)","GlaceonGX")</f>
        <v>GlaceonGX</v>
      </c>
      <c r="C163" s="48" t="s">
        <v>208</v>
      </c>
      <c r="D163" s="47"/>
      <c r="E163" s="5"/>
      <c r="F163" s="5"/>
      <c r="G163" s="5"/>
    </row>
    <row r="164" spans="1:7" ht="13">
      <c r="A164" s="48" t="s">
        <v>7066</v>
      </c>
      <c r="B164" s="58" t="str">
        <f>HYPERLINK("https://bulbapedia.bulbagarden.net/wiki/Xurkitree-GX_(Ultra_Prism_160)","XurkitreeGX")</f>
        <v>XurkitreeGX</v>
      </c>
      <c r="C164" s="48" t="s">
        <v>192</v>
      </c>
      <c r="D164" s="47"/>
      <c r="E164" s="5"/>
      <c r="F164" s="5"/>
      <c r="G164" s="5"/>
    </row>
    <row r="165" spans="1:7" ht="13">
      <c r="A165" s="48" t="s">
        <v>7067</v>
      </c>
      <c r="B165" s="58" t="str">
        <f>HYPERLINK("https://bulbapedia.bulbagarden.net/wiki/Dawn_Wings_Necrozma-GX_(Ultra_Prism_161)","Dawn Wings NecrozmaGX")</f>
        <v>Dawn Wings NecrozmaGX</v>
      </c>
      <c r="C165" s="48" t="s">
        <v>195</v>
      </c>
      <c r="D165" s="47"/>
      <c r="E165" s="5"/>
      <c r="F165" s="5"/>
      <c r="G165" s="5"/>
    </row>
    <row r="166" spans="1:7" ht="13">
      <c r="A166" s="48" t="s">
        <v>7068</v>
      </c>
      <c r="B166" s="58" t="str">
        <f>HYPERLINK("https://bulbapedia.bulbagarden.net/wiki/Celesteela-GX_(Ultra_Prism_162)","CelesteelaGX")</f>
        <v>CelesteelaGX</v>
      </c>
      <c r="C166" s="48" t="s">
        <v>220</v>
      </c>
      <c r="D166" s="47"/>
      <c r="E166" s="5"/>
      <c r="F166" s="5"/>
      <c r="G166" s="5"/>
    </row>
    <row r="167" spans="1:7" ht="13">
      <c r="A167" s="48" t="s">
        <v>7069</v>
      </c>
      <c r="B167" s="58" t="str">
        <f>HYPERLINK("https://bulbapedia.bulbagarden.net/wiki/Dusk_Mane_Necrozma-GX_(Ultra_Prism_163)","Dusk Mane NecrozmaGX")</f>
        <v>Dusk Mane NecrozmaGX</v>
      </c>
      <c r="C167" s="48" t="s">
        <v>220</v>
      </c>
      <c r="D167" s="47"/>
      <c r="E167" s="5"/>
      <c r="F167" s="5"/>
      <c r="G167" s="5"/>
    </row>
    <row r="168" spans="1:7" ht="13">
      <c r="A168" s="48" t="s">
        <v>7070</v>
      </c>
      <c r="B168" s="58" t="str">
        <f>HYPERLINK("https://bulbapedia.bulbagarden.net/wiki/Dialga-GX_(Ultra_Prism_164)","DialgaGX")</f>
        <v>DialgaGX</v>
      </c>
      <c r="C168" s="48" t="s">
        <v>4285</v>
      </c>
      <c r="D168" s="47"/>
      <c r="E168" s="5"/>
      <c r="F168" s="5"/>
      <c r="G168" s="5"/>
    </row>
    <row r="169" spans="1:7" ht="13">
      <c r="A169" s="48" t="s">
        <v>7071</v>
      </c>
      <c r="B169" s="58" t="str">
        <f>HYPERLINK("https://bulbapedia.bulbagarden.net/wiki/Palkia-GX_(Ultra_Prism_165)","PalkiaGX")</f>
        <v>PalkiaGX</v>
      </c>
      <c r="C169" s="48" t="s">
        <v>4285</v>
      </c>
      <c r="D169" s="47"/>
      <c r="E169" s="5"/>
      <c r="F169" s="5"/>
      <c r="G169" s="5"/>
    </row>
    <row r="170" spans="1:7" ht="13">
      <c r="A170" s="48" t="s">
        <v>7072</v>
      </c>
      <c r="B170" s="49" t="s">
        <v>4704</v>
      </c>
      <c r="C170" s="48" t="s">
        <v>4114</v>
      </c>
      <c r="D170" s="47"/>
      <c r="E170" s="5"/>
      <c r="F170" s="5"/>
      <c r="G170" s="5"/>
    </row>
    <row r="171" spans="1:7" ht="13">
      <c r="A171" s="48" t="s">
        <v>7073</v>
      </c>
      <c r="B171" s="49" t="s">
        <v>7016</v>
      </c>
      <c r="C171" s="48" t="s">
        <v>4114</v>
      </c>
      <c r="D171" s="47"/>
      <c r="E171" s="5"/>
      <c r="F171" s="5"/>
      <c r="G171" s="5"/>
    </row>
    <row r="172" spans="1:7" ht="13">
      <c r="A172" s="48" t="s">
        <v>7074</v>
      </c>
      <c r="B172" s="49" t="s">
        <v>7029</v>
      </c>
      <c r="C172" s="48" t="s">
        <v>4114</v>
      </c>
      <c r="D172" s="47"/>
      <c r="E172" s="5"/>
      <c r="F172" s="5"/>
      <c r="G172" s="5"/>
    </row>
    <row r="173" spans="1:7" ht="13">
      <c r="A173" s="48" t="s">
        <v>7075</v>
      </c>
      <c r="B173" s="49" t="s">
        <v>6875</v>
      </c>
      <c r="C173" s="48" t="s">
        <v>4114</v>
      </c>
      <c r="D173" s="47"/>
      <c r="E173" s="5"/>
      <c r="F173" s="5"/>
      <c r="G173" s="5"/>
    </row>
    <row r="174" spans="1:7" ht="13">
      <c r="A174" s="48" t="s">
        <v>7076</v>
      </c>
      <c r="B174" s="49" t="s">
        <v>7042</v>
      </c>
      <c r="C174" s="48" t="s">
        <v>317</v>
      </c>
      <c r="D174" s="48"/>
      <c r="E174" s="5"/>
      <c r="F174" s="5"/>
      <c r="G174" s="5"/>
    </row>
    <row r="175" spans="1:7" ht="13">
      <c r="A175" s="48" t="s">
        <v>7077</v>
      </c>
      <c r="B175" s="49" t="s">
        <v>7044</v>
      </c>
      <c r="C175" s="48" t="s">
        <v>317</v>
      </c>
      <c r="D175" s="48"/>
      <c r="E175" s="5"/>
      <c r="F175" s="5"/>
      <c r="G175" s="5"/>
    </row>
    <row r="176" spans="1:7" ht="13">
      <c r="A176" s="48" t="s">
        <v>7078</v>
      </c>
      <c r="B176" s="58" t="str">
        <f>HYPERLINK("https://bulbapedia.bulbagarden.net/wiki/Lunala-GX_(Ultra_Prism_172)","LunalaGX")</f>
        <v>LunalaGX</v>
      </c>
      <c r="C176" s="48" t="s">
        <v>195</v>
      </c>
      <c r="D176" s="47"/>
      <c r="E176" s="5"/>
      <c r="F176" s="5"/>
      <c r="G176" s="5"/>
    </row>
    <row r="177" spans="1:7" ht="13">
      <c r="A177" s="48" t="s">
        <v>7079</v>
      </c>
      <c r="B177" s="58" t="str">
        <f>HYPERLINK("https://bulbapedia.bulbagarden.net/wiki/Solgaleo-GX_(Ultra_Prism_173)","SolgaleoGX")</f>
        <v>SolgaleoGX</v>
      </c>
      <c r="C177" s="48" t="s">
        <v>220</v>
      </c>
      <c r="D177" s="47"/>
      <c r="E177" s="5"/>
      <c r="F177" s="5"/>
      <c r="G177" s="5"/>
    </row>
    <row r="179" spans="1:7" ht="13">
      <c r="C179" s="80"/>
      <c r="D179" s="5"/>
      <c r="E179" s="5"/>
      <c r="F179" s="5"/>
      <c r="G179" s="5"/>
    </row>
    <row r="180" spans="1:7" ht="13">
      <c r="C180" s="80"/>
      <c r="D180" s="5"/>
      <c r="E180" s="5"/>
      <c r="F180" s="5"/>
      <c r="G180" s="5"/>
    </row>
    <row r="181" spans="1:7" ht="13">
      <c r="C181" s="80"/>
      <c r="D181" s="5"/>
      <c r="E181" s="5"/>
      <c r="F181" s="5"/>
      <c r="G181" s="5"/>
    </row>
    <row r="182" spans="1:7" ht="13">
      <c r="C182" s="80"/>
      <c r="D182" s="5"/>
      <c r="E182" s="5"/>
      <c r="F182" s="5"/>
      <c r="G182" s="5"/>
    </row>
    <row r="183" spans="1:7" ht="13">
      <c r="C183" s="80"/>
      <c r="D183" s="5"/>
      <c r="E183" s="5"/>
      <c r="F183" s="5"/>
      <c r="G183" s="5"/>
    </row>
    <row r="184" spans="1:7" ht="13">
      <c r="C184" s="80"/>
      <c r="D184" s="5"/>
      <c r="E184" s="5"/>
      <c r="F184" s="5"/>
      <c r="G184" s="5"/>
    </row>
    <row r="185" spans="1:7" ht="13">
      <c r="C185" s="80"/>
      <c r="D185" s="5"/>
      <c r="E185" s="5"/>
      <c r="F185" s="5"/>
      <c r="G185" s="5"/>
    </row>
    <row r="186" spans="1:7" ht="13">
      <c r="C186" s="80"/>
      <c r="D186" s="5"/>
      <c r="E186" s="5"/>
      <c r="F186" s="5"/>
      <c r="G186" s="5"/>
    </row>
    <row r="187" spans="1:7" ht="13">
      <c r="C187" s="80"/>
      <c r="D187" s="5"/>
      <c r="E187" s="5"/>
      <c r="F187" s="5"/>
      <c r="G187" s="5"/>
    </row>
    <row r="188" spans="1:7" ht="13">
      <c r="C188" s="80"/>
      <c r="D188" s="5"/>
      <c r="E188" s="5"/>
      <c r="F188" s="5"/>
      <c r="G188" s="5"/>
    </row>
    <row r="189" spans="1:7" ht="13">
      <c r="C189" s="80"/>
      <c r="D189" s="5"/>
      <c r="E189" s="5"/>
      <c r="F189" s="5"/>
      <c r="G189" s="5"/>
    </row>
    <row r="190" spans="1:7" ht="13">
      <c r="C190" s="80"/>
      <c r="D190" s="5"/>
      <c r="E190" s="5"/>
      <c r="F190" s="5"/>
      <c r="G190" s="5"/>
    </row>
    <row r="191" spans="1:7" ht="13">
      <c r="C191" s="80"/>
      <c r="D191" s="5"/>
      <c r="E191" s="5"/>
      <c r="F191" s="5"/>
      <c r="G191" s="5"/>
    </row>
    <row r="192" spans="1:7" ht="13">
      <c r="C192" s="80"/>
      <c r="D192" s="5"/>
      <c r="E192" s="5"/>
      <c r="F192" s="5"/>
      <c r="G192" s="5"/>
    </row>
    <row r="193" spans="3:7" ht="13">
      <c r="C193" s="80"/>
      <c r="D193" s="5"/>
      <c r="E193" s="5"/>
      <c r="F193" s="5"/>
      <c r="G193" s="5"/>
    </row>
    <row r="194" spans="3:7" ht="13">
      <c r="C194" s="80"/>
      <c r="D194" s="5"/>
      <c r="E194" s="5"/>
      <c r="F194" s="5"/>
      <c r="G194" s="5"/>
    </row>
    <row r="195" spans="3:7" ht="13">
      <c r="C195" s="80"/>
      <c r="D195" s="5"/>
      <c r="E195" s="5"/>
      <c r="F195" s="5"/>
      <c r="G195" s="5"/>
    </row>
    <row r="196" spans="3:7" ht="13">
      <c r="C196" s="80"/>
      <c r="D196" s="5"/>
      <c r="E196" s="5"/>
      <c r="F196" s="5"/>
      <c r="G196" s="5"/>
    </row>
    <row r="197" spans="3:7" ht="13">
      <c r="C197" s="80"/>
      <c r="D197" s="5"/>
      <c r="E197" s="5"/>
      <c r="F197" s="5"/>
      <c r="G197" s="5"/>
    </row>
    <row r="198" spans="3:7" ht="13">
      <c r="C198" s="80"/>
      <c r="D198" s="5"/>
      <c r="E198" s="5"/>
      <c r="F198" s="5"/>
      <c r="G198" s="5"/>
    </row>
    <row r="199" spans="3:7" ht="13">
      <c r="C199" s="80"/>
      <c r="D199" s="5"/>
      <c r="E199" s="5"/>
      <c r="F199" s="5"/>
      <c r="G199" s="5"/>
    </row>
    <row r="200" spans="3:7" ht="13">
      <c r="C200" s="80"/>
      <c r="D200" s="5"/>
      <c r="E200" s="5"/>
      <c r="F200" s="5"/>
      <c r="G200" s="5"/>
    </row>
    <row r="201" spans="3:7" ht="13">
      <c r="C201" s="80"/>
      <c r="D201" s="5"/>
      <c r="E201" s="5"/>
      <c r="F201" s="5"/>
      <c r="G201" s="5"/>
    </row>
    <row r="202" spans="3:7" ht="13">
      <c r="C202" s="80"/>
      <c r="D202" s="5"/>
      <c r="E202" s="5"/>
      <c r="F202" s="5"/>
      <c r="G202" s="5"/>
    </row>
    <row r="203" spans="3:7" ht="13">
      <c r="C203" s="80"/>
      <c r="D203" s="5"/>
      <c r="E203" s="5"/>
      <c r="F203" s="5"/>
      <c r="G203" s="5"/>
    </row>
    <row r="204" spans="3:7" ht="13">
      <c r="C204" s="80"/>
      <c r="D204" s="5"/>
      <c r="E204" s="5"/>
      <c r="F204" s="5"/>
      <c r="G204" s="5"/>
    </row>
    <row r="205" spans="3:7" ht="13">
      <c r="C205" s="80"/>
      <c r="D205" s="5"/>
      <c r="E205" s="5"/>
      <c r="F205" s="5"/>
      <c r="G205" s="5"/>
    </row>
    <row r="206" spans="3:7" ht="13">
      <c r="C206" s="80"/>
      <c r="D206" s="5"/>
      <c r="E206" s="5"/>
      <c r="F206" s="5"/>
      <c r="G206" s="5"/>
    </row>
    <row r="207" spans="3:7" ht="13">
      <c r="C207" s="80"/>
      <c r="D207" s="5"/>
      <c r="E207" s="5"/>
      <c r="F207" s="5"/>
      <c r="G207" s="5"/>
    </row>
    <row r="208" spans="3:7" ht="13">
      <c r="C208" s="80"/>
      <c r="D208" s="5"/>
      <c r="E208" s="5"/>
      <c r="F208" s="5"/>
      <c r="G208" s="5"/>
    </row>
    <row r="209" spans="3:7" ht="13">
      <c r="C209" s="80"/>
      <c r="D209" s="5"/>
      <c r="E209" s="5"/>
      <c r="F209" s="5"/>
      <c r="G209" s="5"/>
    </row>
    <row r="210" spans="3:7" ht="13">
      <c r="C210" s="80"/>
      <c r="D210" s="5"/>
      <c r="E210" s="5"/>
      <c r="F210" s="5"/>
      <c r="G210" s="5"/>
    </row>
    <row r="211" spans="3:7" ht="13">
      <c r="C211" s="80"/>
      <c r="D211" s="5"/>
      <c r="E211" s="5"/>
      <c r="F211" s="5"/>
      <c r="G211" s="5"/>
    </row>
    <row r="212" spans="3:7" ht="13">
      <c r="C212" s="80"/>
      <c r="D212" s="5"/>
      <c r="E212" s="5"/>
      <c r="F212" s="5"/>
      <c r="G212" s="5"/>
    </row>
    <row r="213" spans="3:7" ht="13">
      <c r="C213" s="80"/>
      <c r="D213" s="5"/>
      <c r="E213" s="5"/>
      <c r="F213" s="5"/>
      <c r="G213" s="5"/>
    </row>
    <row r="214" spans="3:7" ht="13">
      <c r="C214" s="80"/>
      <c r="D214" s="5"/>
      <c r="E214" s="5"/>
      <c r="F214" s="5"/>
      <c r="G214" s="5"/>
    </row>
    <row r="215" spans="3:7" ht="13">
      <c r="C215" s="80"/>
      <c r="D215" s="5"/>
      <c r="E215" s="5"/>
      <c r="F215" s="5"/>
      <c r="G215" s="5"/>
    </row>
    <row r="216" spans="3:7" ht="13">
      <c r="C216" s="80"/>
      <c r="D216" s="5"/>
      <c r="E216" s="5"/>
      <c r="F216" s="5"/>
      <c r="G216" s="5"/>
    </row>
    <row r="217" spans="3:7" ht="13">
      <c r="C217" s="80"/>
      <c r="D217" s="5"/>
      <c r="E217" s="5"/>
      <c r="F217" s="5"/>
      <c r="G217" s="5"/>
    </row>
    <row r="218" spans="3:7" ht="13">
      <c r="C218" s="80"/>
      <c r="D218" s="5"/>
      <c r="E218" s="5"/>
      <c r="F218" s="5"/>
      <c r="G218" s="5"/>
    </row>
    <row r="219" spans="3:7" ht="13">
      <c r="C219" s="80"/>
      <c r="D219" s="5"/>
      <c r="E219" s="5"/>
      <c r="F219" s="5"/>
      <c r="G219" s="5"/>
    </row>
    <row r="220" spans="3:7" ht="13">
      <c r="C220" s="80"/>
      <c r="D220" s="5"/>
      <c r="E220" s="5"/>
      <c r="F220" s="5"/>
      <c r="G220" s="5"/>
    </row>
    <row r="221" spans="3:7" ht="13">
      <c r="C221" s="80"/>
      <c r="D221" s="5"/>
      <c r="E221" s="5"/>
      <c r="F221" s="5"/>
      <c r="G221" s="5"/>
    </row>
    <row r="222" spans="3:7" ht="13">
      <c r="C222" s="80"/>
      <c r="D222" s="5"/>
      <c r="E222" s="5"/>
      <c r="F222" s="5"/>
      <c r="G222" s="5"/>
    </row>
    <row r="223" spans="3:7" ht="13">
      <c r="C223" s="80"/>
      <c r="D223" s="5"/>
      <c r="E223" s="5"/>
      <c r="F223" s="5"/>
      <c r="G223" s="5"/>
    </row>
    <row r="224" spans="3:7" ht="13">
      <c r="C224" s="80"/>
      <c r="D224" s="5"/>
      <c r="E224" s="5"/>
      <c r="F224" s="5"/>
      <c r="G224" s="5"/>
    </row>
    <row r="225" spans="3:7" ht="13">
      <c r="C225" s="80"/>
      <c r="D225" s="5"/>
      <c r="E225" s="5"/>
      <c r="F225" s="5"/>
      <c r="G225" s="5"/>
    </row>
    <row r="226" spans="3:7" ht="13">
      <c r="C226" s="80"/>
      <c r="D226" s="5"/>
      <c r="E226" s="5"/>
      <c r="F226" s="5"/>
      <c r="G226" s="5"/>
    </row>
    <row r="227" spans="3:7" ht="13">
      <c r="C227" s="80"/>
      <c r="D227" s="5"/>
      <c r="E227" s="5"/>
      <c r="F227" s="5"/>
      <c r="G227" s="5"/>
    </row>
    <row r="228" spans="3:7" ht="13">
      <c r="C228" s="80"/>
      <c r="D228" s="5"/>
      <c r="E228" s="5"/>
      <c r="F228" s="5"/>
      <c r="G228" s="5"/>
    </row>
    <row r="229" spans="3:7" ht="13">
      <c r="C229" s="80"/>
      <c r="D229" s="5"/>
      <c r="E229" s="5"/>
      <c r="F229" s="5"/>
      <c r="G229" s="5"/>
    </row>
    <row r="230" spans="3:7" ht="13">
      <c r="C230" s="80"/>
      <c r="D230" s="5"/>
      <c r="E230" s="5"/>
      <c r="F230" s="5"/>
      <c r="G230" s="5"/>
    </row>
    <row r="231" spans="3:7" ht="13">
      <c r="C231" s="80"/>
      <c r="D231" s="5"/>
      <c r="E231" s="5"/>
      <c r="F231" s="5"/>
      <c r="G231" s="5"/>
    </row>
    <row r="232" spans="3:7" ht="13">
      <c r="C232" s="80"/>
      <c r="D232" s="5"/>
      <c r="E232" s="5"/>
      <c r="F232" s="5"/>
      <c r="G232" s="5"/>
    </row>
    <row r="233" spans="3:7" ht="13">
      <c r="C233" s="80"/>
      <c r="D233" s="5"/>
      <c r="E233" s="5"/>
      <c r="F233" s="5"/>
      <c r="G233" s="5"/>
    </row>
    <row r="234" spans="3:7" ht="13">
      <c r="C234" s="80"/>
      <c r="D234" s="5"/>
      <c r="E234" s="5"/>
      <c r="F234" s="5"/>
      <c r="G234" s="5"/>
    </row>
    <row r="235" spans="3:7" ht="13">
      <c r="C235" s="80"/>
      <c r="D235" s="5"/>
      <c r="E235" s="5"/>
      <c r="F235" s="5"/>
      <c r="G235" s="5"/>
    </row>
    <row r="236" spans="3:7" ht="13">
      <c r="C236" s="80"/>
      <c r="D236" s="5"/>
      <c r="E236" s="5"/>
      <c r="F236" s="5"/>
      <c r="G236" s="5"/>
    </row>
    <row r="237" spans="3:7" ht="13">
      <c r="C237" s="80"/>
      <c r="D237" s="5"/>
      <c r="E237" s="5"/>
      <c r="F237" s="5"/>
      <c r="G237" s="5"/>
    </row>
    <row r="238" spans="3:7" ht="13">
      <c r="C238" s="80"/>
      <c r="D238" s="5"/>
      <c r="E238" s="5"/>
      <c r="F238" s="5"/>
      <c r="G238" s="5"/>
    </row>
    <row r="239" spans="3:7" ht="13">
      <c r="C239" s="80"/>
      <c r="D239" s="5"/>
      <c r="E239" s="5"/>
      <c r="F239" s="5"/>
      <c r="G239" s="5"/>
    </row>
    <row r="240" spans="3:7" ht="13">
      <c r="C240" s="80"/>
      <c r="D240" s="5"/>
      <c r="E240" s="5"/>
      <c r="F240" s="5"/>
      <c r="G240" s="5"/>
    </row>
    <row r="241" spans="3:7" ht="13">
      <c r="C241" s="80"/>
      <c r="D241" s="5"/>
      <c r="E241" s="5"/>
      <c r="F241" s="5"/>
      <c r="G241" s="5"/>
    </row>
    <row r="242" spans="3:7" ht="13">
      <c r="C242" s="80"/>
      <c r="D242" s="5"/>
      <c r="E242" s="5"/>
      <c r="F242" s="5"/>
      <c r="G242" s="5"/>
    </row>
    <row r="243" spans="3:7" ht="13">
      <c r="C243" s="80"/>
      <c r="D243" s="5"/>
      <c r="E243" s="5"/>
      <c r="F243" s="5"/>
      <c r="G243" s="5"/>
    </row>
    <row r="244" spans="3:7" ht="13">
      <c r="C244" s="80"/>
      <c r="D244" s="5"/>
      <c r="E244" s="5"/>
      <c r="F244" s="5"/>
      <c r="G244" s="5"/>
    </row>
    <row r="245" spans="3:7" ht="13">
      <c r="C245" s="80"/>
      <c r="D245" s="5"/>
      <c r="E245" s="5"/>
      <c r="F245" s="5"/>
      <c r="G245" s="5"/>
    </row>
    <row r="246" spans="3:7" ht="13">
      <c r="C246" s="80"/>
      <c r="D246" s="5"/>
      <c r="E246" s="5"/>
      <c r="F246" s="5"/>
      <c r="G246" s="5"/>
    </row>
    <row r="247" spans="3:7" ht="13">
      <c r="C247" s="80"/>
      <c r="D247" s="5"/>
      <c r="E247" s="5"/>
      <c r="F247" s="5"/>
      <c r="G247" s="5"/>
    </row>
    <row r="248" spans="3:7" ht="13">
      <c r="C248" s="80"/>
      <c r="D248" s="5"/>
      <c r="E248" s="5"/>
      <c r="F248" s="5"/>
      <c r="G248" s="5"/>
    </row>
    <row r="249" spans="3:7" ht="13">
      <c r="C249" s="80"/>
      <c r="D249" s="5"/>
      <c r="E249" s="5"/>
      <c r="F249" s="5"/>
      <c r="G249" s="5"/>
    </row>
    <row r="250" spans="3:7" ht="13">
      <c r="C250" s="80"/>
      <c r="D250" s="5"/>
      <c r="E250" s="5"/>
      <c r="F250" s="5"/>
      <c r="G250" s="5"/>
    </row>
    <row r="251" spans="3:7" ht="13">
      <c r="C251" s="80"/>
      <c r="D251" s="5"/>
      <c r="E251" s="5"/>
      <c r="F251" s="5"/>
      <c r="G251" s="5"/>
    </row>
    <row r="252" spans="3:7" ht="13">
      <c r="C252" s="80"/>
      <c r="D252" s="5"/>
      <c r="E252" s="5"/>
      <c r="F252" s="5"/>
      <c r="G252" s="5"/>
    </row>
    <row r="253" spans="3:7" ht="13">
      <c r="C253" s="80"/>
      <c r="D253" s="5"/>
      <c r="E253" s="5"/>
      <c r="F253" s="5"/>
      <c r="G253" s="5"/>
    </row>
    <row r="254" spans="3:7" ht="13">
      <c r="C254" s="80"/>
      <c r="D254" s="5"/>
      <c r="E254" s="5"/>
      <c r="F254" s="5"/>
      <c r="G254" s="5"/>
    </row>
    <row r="255" spans="3:7" ht="13">
      <c r="C255" s="80"/>
      <c r="D255" s="5"/>
      <c r="E255" s="5"/>
      <c r="F255" s="5"/>
      <c r="G255" s="5"/>
    </row>
    <row r="256" spans="3:7" ht="13">
      <c r="C256" s="80"/>
      <c r="D256" s="5"/>
      <c r="E256" s="5"/>
      <c r="F256" s="5"/>
      <c r="G256" s="5"/>
    </row>
    <row r="257" spans="3:7" ht="13">
      <c r="C257" s="80"/>
      <c r="D257" s="5"/>
      <c r="E257" s="5"/>
      <c r="F257" s="5"/>
      <c r="G257" s="5"/>
    </row>
    <row r="258" spans="3:7" ht="13">
      <c r="C258" s="80"/>
      <c r="D258" s="5"/>
      <c r="E258" s="5"/>
      <c r="F258" s="5"/>
      <c r="G258" s="5"/>
    </row>
    <row r="259" spans="3:7" ht="13">
      <c r="C259" s="80"/>
      <c r="D259" s="5"/>
      <c r="E259" s="5"/>
      <c r="F259" s="5"/>
      <c r="G259" s="5"/>
    </row>
    <row r="260" spans="3:7" ht="13">
      <c r="C260" s="80"/>
      <c r="D260" s="5"/>
      <c r="E260" s="5"/>
      <c r="F260" s="5"/>
      <c r="G260" s="5"/>
    </row>
    <row r="261" spans="3:7" ht="13">
      <c r="C261" s="80"/>
      <c r="D261" s="5"/>
      <c r="E261" s="5"/>
      <c r="F261" s="5"/>
      <c r="G261" s="5"/>
    </row>
    <row r="262" spans="3:7" ht="13">
      <c r="C262" s="80"/>
      <c r="D262" s="5"/>
      <c r="E262" s="5"/>
      <c r="F262" s="5"/>
      <c r="G262" s="5"/>
    </row>
    <row r="263" spans="3:7" ht="13">
      <c r="C263" s="80"/>
      <c r="D263" s="5"/>
      <c r="E263" s="5"/>
      <c r="F263" s="5"/>
      <c r="G263" s="5"/>
    </row>
    <row r="264" spans="3:7" ht="13">
      <c r="C264" s="80"/>
      <c r="D264" s="5"/>
      <c r="E264" s="5"/>
      <c r="F264" s="5"/>
      <c r="G264" s="5"/>
    </row>
    <row r="265" spans="3:7" ht="13">
      <c r="C265" s="80"/>
      <c r="D265" s="5"/>
      <c r="E265" s="5"/>
      <c r="F265" s="5"/>
      <c r="G265" s="5"/>
    </row>
    <row r="266" spans="3:7" ht="13">
      <c r="C266" s="80"/>
      <c r="D266" s="5"/>
      <c r="E266" s="5"/>
      <c r="F266" s="5"/>
      <c r="G266" s="5"/>
    </row>
    <row r="267" spans="3:7" ht="13">
      <c r="C267" s="80"/>
      <c r="D267" s="5"/>
      <c r="E267" s="5"/>
      <c r="F267" s="5"/>
      <c r="G267" s="5"/>
    </row>
    <row r="268" spans="3:7" ht="13">
      <c r="C268" s="80"/>
      <c r="D268" s="5"/>
      <c r="E268" s="5"/>
      <c r="F268" s="5"/>
      <c r="G268" s="5"/>
    </row>
    <row r="269" spans="3:7" ht="13">
      <c r="C269" s="80"/>
      <c r="D269" s="5"/>
      <c r="E269" s="5"/>
      <c r="F269" s="5"/>
      <c r="G269" s="5"/>
    </row>
    <row r="270" spans="3:7" ht="13">
      <c r="C270" s="80"/>
      <c r="D270" s="5"/>
      <c r="E270" s="5"/>
      <c r="F270" s="5"/>
      <c r="G270" s="5"/>
    </row>
    <row r="271" spans="3:7" ht="13">
      <c r="C271" s="80"/>
      <c r="D271" s="5"/>
      <c r="E271" s="5"/>
      <c r="F271" s="5"/>
      <c r="G271" s="5"/>
    </row>
    <row r="272" spans="3:7" ht="13">
      <c r="C272" s="80"/>
      <c r="D272" s="5"/>
      <c r="E272" s="5"/>
      <c r="F272" s="5"/>
      <c r="G272" s="5"/>
    </row>
    <row r="273" spans="3:7" ht="13">
      <c r="C273" s="80"/>
      <c r="D273" s="5"/>
      <c r="E273" s="5"/>
      <c r="F273" s="5"/>
      <c r="G273" s="5"/>
    </row>
    <row r="274" spans="3:7" ht="13">
      <c r="C274" s="80"/>
      <c r="D274" s="5"/>
      <c r="E274" s="5"/>
      <c r="F274" s="5"/>
      <c r="G274" s="5"/>
    </row>
    <row r="275" spans="3:7" ht="13">
      <c r="C275" s="80"/>
      <c r="D275" s="5"/>
      <c r="E275" s="5"/>
      <c r="F275" s="5"/>
      <c r="G275" s="5"/>
    </row>
    <row r="276" spans="3:7" ht="13">
      <c r="C276" s="80"/>
      <c r="D276" s="5"/>
      <c r="E276" s="5"/>
      <c r="F276" s="5"/>
      <c r="G276" s="5"/>
    </row>
    <row r="277" spans="3:7" ht="13">
      <c r="C277" s="80"/>
      <c r="D277" s="5"/>
      <c r="E277" s="5"/>
      <c r="F277" s="5"/>
      <c r="G277" s="5"/>
    </row>
    <row r="278" spans="3:7" ht="13">
      <c r="C278" s="80"/>
      <c r="D278" s="5"/>
      <c r="E278" s="5"/>
      <c r="F278" s="5"/>
      <c r="G278" s="5"/>
    </row>
    <row r="279" spans="3:7" ht="13">
      <c r="C279" s="80"/>
      <c r="D279" s="5"/>
      <c r="E279" s="5"/>
      <c r="F279" s="5"/>
      <c r="G279" s="5"/>
    </row>
    <row r="280" spans="3:7" ht="13">
      <c r="C280" s="80"/>
      <c r="D280" s="5"/>
      <c r="E280" s="5"/>
      <c r="F280" s="5"/>
      <c r="G280" s="5"/>
    </row>
    <row r="281" spans="3:7" ht="13">
      <c r="C281" s="80"/>
      <c r="D281" s="5"/>
      <c r="E281" s="5"/>
      <c r="F281" s="5"/>
      <c r="G281" s="5"/>
    </row>
    <row r="282" spans="3:7" ht="13">
      <c r="C282" s="80"/>
      <c r="D282" s="5"/>
      <c r="E282" s="5"/>
      <c r="F282" s="5"/>
      <c r="G282" s="5"/>
    </row>
    <row r="283" spans="3:7" ht="13">
      <c r="C283" s="80"/>
      <c r="D283" s="5"/>
      <c r="E283" s="5"/>
      <c r="F283" s="5"/>
      <c r="G283" s="5"/>
    </row>
    <row r="284" spans="3:7" ht="13">
      <c r="C284" s="80"/>
      <c r="D284" s="5"/>
      <c r="E284" s="5"/>
      <c r="F284" s="5"/>
      <c r="G284" s="5"/>
    </row>
    <row r="285" spans="3:7" ht="13">
      <c r="C285" s="80"/>
      <c r="D285" s="5"/>
      <c r="E285" s="5"/>
      <c r="F285" s="5"/>
      <c r="G285" s="5"/>
    </row>
    <row r="286" spans="3:7" ht="13">
      <c r="C286" s="80"/>
      <c r="D286" s="5"/>
      <c r="E286" s="5"/>
      <c r="F286" s="5"/>
      <c r="G286" s="5"/>
    </row>
    <row r="287" spans="3:7" ht="13">
      <c r="C287" s="80"/>
      <c r="D287" s="5"/>
      <c r="E287" s="5"/>
      <c r="F287" s="5"/>
      <c r="G287" s="5"/>
    </row>
    <row r="288" spans="3:7" ht="13">
      <c r="C288" s="80"/>
      <c r="D288" s="5"/>
      <c r="E288" s="5"/>
      <c r="F288" s="5"/>
      <c r="G288" s="5"/>
    </row>
    <row r="289" spans="3:7" ht="13">
      <c r="C289" s="80"/>
      <c r="D289" s="5"/>
      <c r="E289" s="5"/>
      <c r="F289" s="5"/>
      <c r="G289" s="5"/>
    </row>
    <row r="290" spans="3:7" ht="13">
      <c r="C290" s="80"/>
      <c r="D290" s="5"/>
      <c r="E290" s="5"/>
      <c r="F290" s="5"/>
      <c r="G290" s="5"/>
    </row>
    <row r="291" spans="3:7" ht="13">
      <c r="C291" s="80"/>
      <c r="D291" s="5"/>
      <c r="E291" s="5"/>
      <c r="F291" s="5"/>
      <c r="G291" s="5"/>
    </row>
    <row r="292" spans="3:7" ht="13">
      <c r="C292" s="80"/>
      <c r="D292" s="5"/>
      <c r="E292" s="5"/>
      <c r="F292" s="5"/>
      <c r="G292" s="5"/>
    </row>
    <row r="293" spans="3:7" ht="13">
      <c r="C293" s="80"/>
      <c r="D293" s="5"/>
      <c r="E293" s="5"/>
      <c r="F293" s="5"/>
      <c r="G293" s="5"/>
    </row>
    <row r="294" spans="3:7" ht="13">
      <c r="C294" s="80"/>
      <c r="D294" s="5"/>
      <c r="E294" s="5"/>
      <c r="F294" s="5"/>
      <c r="G294" s="5"/>
    </row>
    <row r="295" spans="3:7" ht="13">
      <c r="C295" s="80"/>
      <c r="D295" s="5"/>
      <c r="E295" s="5"/>
      <c r="F295" s="5"/>
      <c r="G295" s="5"/>
    </row>
    <row r="296" spans="3:7" ht="13">
      <c r="C296" s="80"/>
      <c r="D296" s="5"/>
      <c r="E296" s="5"/>
      <c r="F296" s="5"/>
      <c r="G296" s="5"/>
    </row>
    <row r="297" spans="3:7" ht="13">
      <c r="C297" s="80"/>
      <c r="D297" s="5"/>
      <c r="E297" s="5"/>
      <c r="F297" s="5"/>
      <c r="G297" s="5"/>
    </row>
    <row r="298" spans="3:7" ht="13">
      <c r="C298" s="80"/>
      <c r="D298" s="5"/>
      <c r="E298" s="5"/>
      <c r="F298" s="5"/>
      <c r="G298" s="5"/>
    </row>
    <row r="299" spans="3:7" ht="13">
      <c r="C299" s="80"/>
      <c r="D299" s="5"/>
      <c r="E299" s="5"/>
      <c r="F299" s="5"/>
      <c r="G299" s="5"/>
    </row>
    <row r="300" spans="3:7" ht="13">
      <c r="C300" s="80"/>
      <c r="D300" s="5"/>
      <c r="E300" s="5"/>
      <c r="F300" s="5"/>
      <c r="G300" s="5"/>
    </row>
    <row r="301" spans="3:7" ht="13">
      <c r="C301" s="80"/>
      <c r="D301" s="5"/>
      <c r="E301" s="5"/>
      <c r="F301" s="5"/>
      <c r="G301" s="5"/>
    </row>
    <row r="302" spans="3:7" ht="13">
      <c r="C302" s="80"/>
      <c r="D302" s="5"/>
      <c r="E302" s="5"/>
      <c r="F302" s="5"/>
      <c r="G302" s="5"/>
    </row>
    <row r="303" spans="3:7" ht="13">
      <c r="C303" s="80"/>
      <c r="D303" s="5"/>
      <c r="E303" s="5"/>
      <c r="F303" s="5"/>
      <c r="G303" s="5"/>
    </row>
    <row r="304" spans="3:7" ht="13">
      <c r="C304" s="80"/>
      <c r="D304" s="5"/>
      <c r="E304" s="5"/>
      <c r="F304" s="5"/>
      <c r="G304" s="5"/>
    </row>
    <row r="305" spans="3:7" ht="13">
      <c r="C305" s="80"/>
      <c r="D305" s="5"/>
      <c r="E305" s="5"/>
      <c r="F305" s="5"/>
      <c r="G305" s="5"/>
    </row>
    <row r="306" spans="3:7" ht="13">
      <c r="C306" s="80"/>
      <c r="D306" s="5"/>
      <c r="E306" s="5"/>
      <c r="F306" s="5"/>
      <c r="G306" s="5"/>
    </row>
    <row r="307" spans="3:7" ht="13">
      <c r="C307" s="80"/>
      <c r="D307" s="5"/>
      <c r="E307" s="5"/>
      <c r="F307" s="5"/>
      <c r="G307" s="5"/>
    </row>
    <row r="308" spans="3:7" ht="13">
      <c r="C308" s="80"/>
      <c r="D308" s="5"/>
      <c r="E308" s="5"/>
      <c r="F308" s="5"/>
      <c r="G308" s="5"/>
    </row>
    <row r="309" spans="3:7" ht="13">
      <c r="C309" s="80"/>
      <c r="D309" s="5"/>
      <c r="E309" s="5"/>
      <c r="F309" s="5"/>
      <c r="G309" s="5"/>
    </row>
    <row r="310" spans="3:7" ht="13">
      <c r="C310" s="80"/>
      <c r="D310" s="5"/>
      <c r="E310" s="5"/>
      <c r="F310" s="5"/>
      <c r="G310" s="5"/>
    </row>
    <row r="311" spans="3:7" ht="13">
      <c r="C311" s="80"/>
      <c r="D311" s="5"/>
      <c r="E311" s="5"/>
      <c r="F311" s="5"/>
      <c r="G311" s="5"/>
    </row>
    <row r="312" spans="3:7" ht="13">
      <c r="C312" s="80"/>
      <c r="D312" s="5"/>
      <c r="E312" s="5"/>
      <c r="F312" s="5"/>
      <c r="G312" s="5"/>
    </row>
    <row r="313" spans="3:7" ht="13">
      <c r="C313" s="80"/>
      <c r="D313" s="5"/>
      <c r="E313" s="5"/>
      <c r="F313" s="5"/>
      <c r="G313" s="5"/>
    </row>
    <row r="314" spans="3:7" ht="13">
      <c r="C314" s="80"/>
      <c r="D314" s="5"/>
      <c r="E314" s="5"/>
      <c r="F314" s="5"/>
      <c r="G314" s="5"/>
    </row>
    <row r="315" spans="3:7" ht="13">
      <c r="C315" s="80"/>
      <c r="D315" s="5"/>
      <c r="E315" s="5"/>
      <c r="F315" s="5"/>
      <c r="G315" s="5"/>
    </row>
    <row r="316" spans="3:7" ht="13">
      <c r="C316" s="80"/>
      <c r="D316" s="5"/>
      <c r="E316" s="5"/>
      <c r="F316" s="5"/>
      <c r="G316" s="5"/>
    </row>
    <row r="317" spans="3:7" ht="13">
      <c r="C317" s="80"/>
      <c r="D317" s="5"/>
      <c r="E317" s="5"/>
      <c r="F317" s="5"/>
      <c r="G317" s="5"/>
    </row>
    <row r="318" spans="3:7" ht="13">
      <c r="C318" s="80"/>
      <c r="D318" s="5"/>
      <c r="E318" s="5"/>
      <c r="F318" s="5"/>
      <c r="G318" s="5"/>
    </row>
    <row r="319" spans="3:7" ht="13">
      <c r="C319" s="80"/>
      <c r="D319" s="5"/>
      <c r="E319" s="5"/>
      <c r="F319" s="5"/>
      <c r="G319" s="5"/>
    </row>
    <row r="320" spans="3:7" ht="13">
      <c r="C320" s="80"/>
      <c r="D320" s="5"/>
      <c r="E320" s="5"/>
      <c r="F320" s="5"/>
      <c r="G320" s="5"/>
    </row>
    <row r="321" spans="3:7" ht="13">
      <c r="C321" s="80"/>
      <c r="D321" s="5"/>
      <c r="E321" s="5"/>
      <c r="F321" s="5"/>
      <c r="G321" s="5"/>
    </row>
    <row r="322" spans="3:7" ht="13">
      <c r="C322" s="80"/>
      <c r="D322" s="5"/>
      <c r="E322" s="5"/>
      <c r="F322" s="5"/>
      <c r="G322" s="5"/>
    </row>
    <row r="323" spans="3:7" ht="13">
      <c r="C323" s="80"/>
      <c r="D323" s="5"/>
      <c r="E323" s="5"/>
      <c r="F323" s="5"/>
      <c r="G323" s="5"/>
    </row>
    <row r="324" spans="3:7" ht="13">
      <c r="C324" s="80"/>
      <c r="D324" s="5"/>
      <c r="E324" s="5"/>
      <c r="F324" s="5"/>
      <c r="G324" s="5"/>
    </row>
    <row r="325" spans="3:7" ht="13">
      <c r="C325" s="80"/>
      <c r="D325" s="5"/>
      <c r="E325" s="5"/>
      <c r="F325" s="5"/>
      <c r="G325" s="5"/>
    </row>
    <row r="326" spans="3:7" ht="13">
      <c r="C326" s="80"/>
      <c r="D326" s="5"/>
      <c r="E326" s="5"/>
      <c r="F326" s="5"/>
      <c r="G326" s="5"/>
    </row>
    <row r="327" spans="3:7" ht="13">
      <c r="C327" s="80"/>
      <c r="D327" s="5"/>
      <c r="E327" s="5"/>
      <c r="F327" s="5"/>
      <c r="G327" s="5"/>
    </row>
    <row r="328" spans="3:7" ht="13">
      <c r="C328" s="80"/>
      <c r="D328" s="5"/>
      <c r="E328" s="5"/>
      <c r="F328" s="5"/>
      <c r="G328" s="5"/>
    </row>
    <row r="329" spans="3:7" ht="13">
      <c r="C329" s="80"/>
      <c r="D329" s="5"/>
      <c r="E329" s="5"/>
      <c r="F329" s="5"/>
      <c r="G329" s="5"/>
    </row>
    <row r="330" spans="3:7" ht="13">
      <c r="C330" s="80"/>
      <c r="D330" s="5"/>
      <c r="E330" s="5"/>
      <c r="F330" s="5"/>
      <c r="G330" s="5"/>
    </row>
    <row r="331" spans="3:7" ht="13">
      <c r="C331" s="80"/>
      <c r="D331" s="5"/>
      <c r="E331" s="5"/>
      <c r="F331" s="5"/>
      <c r="G331" s="5"/>
    </row>
    <row r="332" spans="3:7" ht="13">
      <c r="C332" s="80"/>
      <c r="D332" s="5"/>
      <c r="E332" s="5"/>
      <c r="F332" s="5"/>
      <c r="G332" s="5"/>
    </row>
    <row r="333" spans="3:7" ht="13">
      <c r="C333" s="80"/>
      <c r="D333" s="5"/>
      <c r="E333" s="5"/>
      <c r="F333" s="5"/>
      <c r="G333" s="5"/>
    </row>
    <row r="334" spans="3:7" ht="13">
      <c r="C334" s="80"/>
      <c r="D334" s="5"/>
      <c r="E334" s="5"/>
      <c r="F334" s="5"/>
      <c r="G334" s="5"/>
    </row>
    <row r="335" spans="3:7" ht="13">
      <c r="C335" s="80"/>
      <c r="D335" s="5"/>
      <c r="E335" s="5"/>
      <c r="F335" s="5"/>
      <c r="G335" s="5"/>
    </row>
    <row r="336" spans="3:7" ht="13">
      <c r="C336" s="80"/>
      <c r="D336" s="5"/>
      <c r="E336" s="5"/>
      <c r="F336" s="5"/>
      <c r="G336" s="5"/>
    </row>
    <row r="337" spans="3:7" ht="13">
      <c r="C337" s="80"/>
      <c r="D337" s="5"/>
      <c r="E337" s="5"/>
      <c r="F337" s="5"/>
      <c r="G337" s="5"/>
    </row>
    <row r="338" spans="3:7" ht="13">
      <c r="C338" s="80"/>
      <c r="D338" s="5"/>
      <c r="E338" s="5"/>
      <c r="F338" s="5"/>
      <c r="G338" s="5"/>
    </row>
    <row r="339" spans="3:7" ht="13">
      <c r="C339" s="80"/>
      <c r="D339" s="5"/>
      <c r="E339" s="5"/>
      <c r="F339" s="5"/>
      <c r="G339" s="5"/>
    </row>
    <row r="340" spans="3:7" ht="13">
      <c r="C340" s="80"/>
      <c r="D340" s="5"/>
      <c r="E340" s="5"/>
      <c r="F340" s="5"/>
      <c r="G340" s="5"/>
    </row>
    <row r="341" spans="3:7" ht="13">
      <c r="C341" s="80"/>
      <c r="D341" s="5"/>
      <c r="E341" s="5"/>
      <c r="F341" s="5"/>
      <c r="G341" s="5"/>
    </row>
    <row r="342" spans="3:7" ht="13">
      <c r="C342" s="80"/>
      <c r="D342" s="5"/>
      <c r="E342" s="5"/>
      <c r="F342" s="5"/>
      <c r="G342" s="5"/>
    </row>
    <row r="343" spans="3:7" ht="13">
      <c r="C343" s="80"/>
      <c r="D343" s="5"/>
      <c r="E343" s="5"/>
      <c r="F343" s="5"/>
      <c r="G343" s="5"/>
    </row>
    <row r="344" spans="3:7" ht="13">
      <c r="C344" s="80"/>
      <c r="D344" s="5"/>
      <c r="E344" s="5"/>
      <c r="F344" s="5"/>
      <c r="G344" s="5"/>
    </row>
    <row r="345" spans="3:7" ht="13">
      <c r="C345" s="80"/>
      <c r="D345" s="5"/>
      <c r="E345" s="5"/>
      <c r="F345" s="5"/>
      <c r="G345" s="5"/>
    </row>
    <row r="346" spans="3:7" ht="13">
      <c r="C346" s="80"/>
      <c r="D346" s="5"/>
      <c r="E346" s="5"/>
      <c r="F346" s="5"/>
      <c r="G346" s="5"/>
    </row>
    <row r="347" spans="3:7" ht="13">
      <c r="C347" s="80"/>
      <c r="D347" s="5"/>
      <c r="E347" s="5"/>
      <c r="F347" s="5"/>
      <c r="G347" s="5"/>
    </row>
    <row r="348" spans="3:7" ht="13">
      <c r="C348" s="80"/>
      <c r="D348" s="5"/>
      <c r="E348" s="5"/>
      <c r="F348" s="5"/>
      <c r="G348" s="5"/>
    </row>
    <row r="349" spans="3:7" ht="13">
      <c r="C349" s="80"/>
      <c r="D349" s="5"/>
      <c r="E349" s="5"/>
      <c r="F349" s="5"/>
      <c r="G349" s="5"/>
    </row>
    <row r="350" spans="3:7" ht="13">
      <c r="C350" s="80"/>
      <c r="D350" s="5"/>
      <c r="E350" s="5"/>
      <c r="F350" s="5"/>
      <c r="G350" s="5"/>
    </row>
    <row r="351" spans="3:7" ht="13">
      <c r="C351" s="80"/>
      <c r="D351" s="5"/>
      <c r="E351" s="5"/>
      <c r="F351" s="5"/>
      <c r="G351" s="5"/>
    </row>
    <row r="352" spans="3:7" ht="13">
      <c r="C352" s="80"/>
      <c r="D352" s="5"/>
      <c r="E352" s="5"/>
      <c r="F352" s="5"/>
      <c r="G352" s="5"/>
    </row>
    <row r="353" spans="3:7" ht="13">
      <c r="C353" s="80"/>
      <c r="D353" s="5"/>
      <c r="E353" s="5"/>
      <c r="F353" s="5"/>
      <c r="G353" s="5"/>
    </row>
    <row r="354" spans="3:7" ht="13">
      <c r="C354" s="80"/>
      <c r="D354" s="5"/>
      <c r="E354" s="5"/>
      <c r="F354" s="5"/>
      <c r="G354" s="5"/>
    </row>
    <row r="355" spans="3:7" ht="13">
      <c r="C355" s="80"/>
      <c r="D355" s="5"/>
      <c r="E355" s="5"/>
      <c r="F355" s="5"/>
      <c r="G355" s="5"/>
    </row>
    <row r="356" spans="3:7" ht="13">
      <c r="C356" s="80"/>
      <c r="D356" s="5"/>
      <c r="E356" s="5"/>
      <c r="F356" s="5"/>
      <c r="G356" s="5"/>
    </row>
    <row r="357" spans="3:7" ht="13">
      <c r="C357" s="80"/>
      <c r="D357" s="5"/>
      <c r="E357" s="5"/>
      <c r="F357" s="5"/>
      <c r="G357" s="5"/>
    </row>
    <row r="358" spans="3:7" ht="13">
      <c r="C358" s="80"/>
      <c r="D358" s="5"/>
      <c r="E358" s="5"/>
      <c r="F358" s="5"/>
      <c r="G358" s="5"/>
    </row>
    <row r="359" spans="3:7" ht="13">
      <c r="C359" s="80"/>
      <c r="D359" s="5"/>
      <c r="E359" s="5"/>
      <c r="F359" s="5"/>
      <c r="G359" s="5"/>
    </row>
    <row r="360" spans="3:7" ht="13">
      <c r="C360" s="80"/>
      <c r="D360" s="5"/>
      <c r="E360" s="5"/>
      <c r="F360" s="5"/>
      <c r="G360" s="5"/>
    </row>
    <row r="361" spans="3:7" ht="13">
      <c r="C361" s="80"/>
      <c r="D361" s="5"/>
      <c r="E361" s="5"/>
      <c r="F361" s="5"/>
      <c r="G361" s="5"/>
    </row>
    <row r="362" spans="3:7" ht="13">
      <c r="C362" s="80"/>
      <c r="D362" s="5"/>
      <c r="E362" s="5"/>
      <c r="F362" s="5"/>
      <c r="G362" s="5"/>
    </row>
    <row r="363" spans="3:7" ht="13">
      <c r="C363" s="80"/>
      <c r="D363" s="5"/>
      <c r="E363" s="5"/>
      <c r="F363" s="5"/>
      <c r="G363" s="5"/>
    </row>
    <row r="364" spans="3:7" ht="13">
      <c r="C364" s="80"/>
      <c r="D364" s="5"/>
      <c r="E364" s="5"/>
      <c r="F364" s="5"/>
      <c r="G364" s="5"/>
    </row>
    <row r="365" spans="3:7" ht="13">
      <c r="C365" s="80"/>
      <c r="D365" s="5"/>
      <c r="E365" s="5"/>
      <c r="F365" s="5"/>
      <c r="G365" s="5"/>
    </row>
    <row r="366" spans="3:7" ht="13">
      <c r="C366" s="80"/>
      <c r="D366" s="5"/>
      <c r="E366" s="5"/>
      <c r="F366" s="5"/>
      <c r="G366" s="5"/>
    </row>
    <row r="367" spans="3:7" ht="13">
      <c r="C367" s="80"/>
      <c r="D367" s="5"/>
      <c r="E367" s="5"/>
      <c r="F367" s="5"/>
      <c r="G367" s="5"/>
    </row>
    <row r="368" spans="3:7" ht="13">
      <c r="C368" s="80"/>
      <c r="D368" s="5"/>
      <c r="E368" s="5"/>
      <c r="F368" s="5"/>
      <c r="G368" s="5"/>
    </row>
    <row r="369" spans="3:7" ht="13">
      <c r="C369" s="80"/>
      <c r="D369" s="5"/>
      <c r="E369" s="5"/>
      <c r="F369" s="5"/>
      <c r="G369" s="5"/>
    </row>
    <row r="370" spans="3:7" ht="13">
      <c r="C370" s="80"/>
      <c r="D370" s="5"/>
      <c r="E370" s="5"/>
      <c r="F370" s="5"/>
      <c r="G370" s="5"/>
    </row>
    <row r="371" spans="3:7" ht="13">
      <c r="C371" s="80"/>
      <c r="D371" s="5"/>
      <c r="E371" s="5"/>
      <c r="F371" s="5"/>
      <c r="G371" s="5"/>
    </row>
    <row r="372" spans="3:7" ht="13">
      <c r="C372" s="80"/>
      <c r="D372" s="5"/>
      <c r="E372" s="5"/>
      <c r="F372" s="5"/>
      <c r="G372" s="5"/>
    </row>
    <row r="373" spans="3:7" ht="13">
      <c r="C373" s="80"/>
      <c r="D373" s="5"/>
      <c r="E373" s="5"/>
      <c r="F373" s="5"/>
      <c r="G373" s="5"/>
    </row>
    <row r="374" spans="3:7" ht="13">
      <c r="C374" s="80"/>
      <c r="D374" s="5"/>
      <c r="E374" s="5"/>
      <c r="F374" s="5"/>
      <c r="G374" s="5"/>
    </row>
    <row r="375" spans="3:7" ht="13">
      <c r="C375" s="80"/>
      <c r="D375" s="5"/>
      <c r="E375" s="5"/>
      <c r="F375" s="5"/>
      <c r="G375" s="5"/>
    </row>
    <row r="376" spans="3:7" ht="13">
      <c r="C376" s="80"/>
      <c r="D376" s="5"/>
      <c r="E376" s="5"/>
      <c r="F376" s="5"/>
      <c r="G376" s="5"/>
    </row>
    <row r="377" spans="3:7" ht="13">
      <c r="C377" s="80"/>
      <c r="D377" s="5"/>
      <c r="E377" s="5"/>
      <c r="F377" s="5"/>
      <c r="G377" s="5"/>
    </row>
    <row r="378" spans="3:7" ht="13">
      <c r="C378" s="80"/>
      <c r="D378" s="5"/>
      <c r="E378" s="5"/>
      <c r="F378" s="5"/>
      <c r="G378" s="5"/>
    </row>
    <row r="379" spans="3:7" ht="13">
      <c r="C379" s="80"/>
      <c r="D379" s="5"/>
      <c r="E379" s="5"/>
      <c r="F379" s="5"/>
      <c r="G379" s="5"/>
    </row>
    <row r="380" spans="3:7" ht="13">
      <c r="C380" s="80"/>
      <c r="D380" s="5"/>
      <c r="E380" s="5"/>
      <c r="F380" s="5"/>
      <c r="G380" s="5"/>
    </row>
    <row r="381" spans="3:7" ht="13">
      <c r="C381" s="80"/>
      <c r="D381" s="5"/>
      <c r="E381" s="5"/>
      <c r="F381" s="5"/>
      <c r="G381" s="5"/>
    </row>
    <row r="382" spans="3:7" ht="13">
      <c r="C382" s="80"/>
      <c r="D382" s="5"/>
      <c r="E382" s="5"/>
      <c r="F382" s="5"/>
      <c r="G382" s="5"/>
    </row>
    <row r="383" spans="3:7" ht="13">
      <c r="C383" s="80"/>
      <c r="D383" s="5"/>
      <c r="E383" s="5"/>
      <c r="F383" s="5"/>
      <c r="G383" s="5"/>
    </row>
    <row r="384" spans="3:7" ht="13">
      <c r="C384" s="80"/>
      <c r="D384" s="5"/>
      <c r="E384" s="5"/>
      <c r="F384" s="5"/>
      <c r="G384" s="5"/>
    </row>
    <row r="385" spans="3:7" ht="13">
      <c r="C385" s="80"/>
      <c r="D385" s="5"/>
      <c r="E385" s="5"/>
      <c r="F385" s="5"/>
      <c r="G385" s="5"/>
    </row>
    <row r="386" spans="3:7" ht="13">
      <c r="C386" s="80"/>
      <c r="D386" s="5"/>
      <c r="E386" s="5"/>
      <c r="F386" s="5"/>
      <c r="G386" s="5"/>
    </row>
    <row r="387" spans="3:7" ht="13">
      <c r="C387" s="80"/>
      <c r="D387" s="5"/>
      <c r="E387" s="5"/>
      <c r="F387" s="5"/>
      <c r="G387" s="5"/>
    </row>
    <row r="388" spans="3:7" ht="13">
      <c r="C388" s="80"/>
      <c r="D388" s="5"/>
      <c r="E388" s="5"/>
      <c r="F388" s="5"/>
      <c r="G388" s="5"/>
    </row>
    <row r="389" spans="3:7" ht="13">
      <c r="C389" s="80"/>
      <c r="D389" s="5"/>
      <c r="E389" s="5"/>
      <c r="F389" s="5"/>
      <c r="G389" s="5"/>
    </row>
    <row r="390" spans="3:7" ht="13">
      <c r="C390" s="80"/>
      <c r="D390" s="5"/>
      <c r="E390" s="5"/>
      <c r="F390" s="5"/>
      <c r="G390" s="5"/>
    </row>
    <row r="391" spans="3:7" ht="13">
      <c r="C391" s="80"/>
      <c r="D391" s="5"/>
      <c r="E391" s="5"/>
      <c r="F391" s="5"/>
      <c r="G391" s="5"/>
    </row>
    <row r="392" spans="3:7" ht="13">
      <c r="C392" s="80"/>
      <c r="D392" s="5"/>
      <c r="E392" s="5"/>
      <c r="F392" s="5"/>
      <c r="G392" s="5"/>
    </row>
    <row r="393" spans="3:7" ht="13">
      <c r="C393" s="80"/>
      <c r="D393" s="5"/>
      <c r="E393" s="5"/>
      <c r="F393" s="5"/>
      <c r="G393" s="5"/>
    </row>
    <row r="394" spans="3:7" ht="13">
      <c r="C394" s="80"/>
      <c r="D394" s="5"/>
      <c r="E394" s="5"/>
      <c r="F394" s="5"/>
      <c r="G394" s="5"/>
    </row>
    <row r="395" spans="3:7" ht="13">
      <c r="C395" s="80"/>
      <c r="D395" s="5"/>
      <c r="E395" s="5"/>
      <c r="F395" s="5"/>
      <c r="G395" s="5"/>
    </row>
    <row r="396" spans="3:7" ht="13">
      <c r="C396" s="80"/>
      <c r="D396" s="5"/>
      <c r="E396" s="5"/>
      <c r="F396" s="5"/>
      <c r="G396" s="5"/>
    </row>
    <row r="397" spans="3:7" ht="13">
      <c r="C397" s="80"/>
      <c r="D397" s="5"/>
      <c r="E397" s="5"/>
      <c r="F397" s="5"/>
      <c r="G397" s="5"/>
    </row>
    <row r="398" spans="3:7" ht="13">
      <c r="C398" s="80"/>
      <c r="D398" s="5"/>
      <c r="E398" s="5"/>
      <c r="F398" s="5"/>
      <c r="G398" s="5"/>
    </row>
    <row r="399" spans="3:7" ht="13">
      <c r="C399" s="80"/>
      <c r="D399" s="5"/>
      <c r="E399" s="5"/>
      <c r="F399" s="5"/>
      <c r="G399" s="5"/>
    </row>
    <row r="400" spans="3:7" ht="13">
      <c r="C400" s="80"/>
      <c r="D400" s="5"/>
      <c r="E400" s="5"/>
      <c r="F400" s="5"/>
      <c r="G400" s="5"/>
    </row>
    <row r="401" spans="3:7" ht="13">
      <c r="C401" s="80"/>
      <c r="D401" s="5"/>
      <c r="E401" s="5"/>
      <c r="F401" s="5"/>
      <c r="G401" s="5"/>
    </row>
    <row r="402" spans="3:7" ht="13">
      <c r="C402" s="80"/>
      <c r="D402" s="5"/>
      <c r="E402" s="5"/>
      <c r="F402" s="5"/>
      <c r="G402" s="5"/>
    </row>
    <row r="403" spans="3:7" ht="13">
      <c r="C403" s="80"/>
      <c r="D403" s="5"/>
      <c r="E403" s="5"/>
      <c r="F403" s="5"/>
      <c r="G403" s="5"/>
    </row>
    <row r="404" spans="3:7" ht="13">
      <c r="C404" s="80"/>
      <c r="D404" s="5"/>
      <c r="E404" s="5"/>
      <c r="F404" s="5"/>
      <c r="G404" s="5"/>
    </row>
    <row r="405" spans="3:7" ht="13">
      <c r="C405" s="80"/>
      <c r="D405" s="5"/>
      <c r="E405" s="5"/>
      <c r="F405" s="5"/>
      <c r="G405" s="5"/>
    </row>
    <row r="406" spans="3:7" ht="13">
      <c r="C406" s="80"/>
      <c r="D406" s="5"/>
      <c r="E406" s="5"/>
      <c r="F406" s="5"/>
      <c r="G406" s="5"/>
    </row>
    <row r="407" spans="3:7" ht="13">
      <c r="C407" s="80"/>
      <c r="D407" s="5"/>
      <c r="E407" s="5"/>
      <c r="F407" s="5"/>
      <c r="G407" s="5"/>
    </row>
    <row r="408" spans="3:7" ht="13">
      <c r="C408" s="80"/>
      <c r="D408" s="5"/>
      <c r="E408" s="5"/>
      <c r="F408" s="5"/>
      <c r="G408" s="5"/>
    </row>
    <row r="409" spans="3:7" ht="13">
      <c r="C409" s="80"/>
      <c r="D409" s="5"/>
      <c r="E409" s="5"/>
      <c r="F409" s="5"/>
      <c r="G409" s="5"/>
    </row>
    <row r="410" spans="3:7" ht="13">
      <c r="C410" s="80"/>
      <c r="D410" s="5"/>
      <c r="E410" s="5"/>
      <c r="F410" s="5"/>
      <c r="G410" s="5"/>
    </row>
    <row r="411" spans="3:7" ht="13">
      <c r="C411" s="80"/>
      <c r="D411" s="5"/>
      <c r="E411" s="5"/>
      <c r="F411" s="5"/>
      <c r="G411" s="5"/>
    </row>
    <row r="412" spans="3:7" ht="13">
      <c r="C412" s="80"/>
      <c r="D412" s="5"/>
      <c r="E412" s="5"/>
      <c r="F412" s="5"/>
      <c r="G412" s="5"/>
    </row>
    <row r="413" spans="3:7" ht="13">
      <c r="C413" s="80"/>
      <c r="D413" s="5"/>
      <c r="E413" s="5"/>
      <c r="F413" s="5"/>
      <c r="G413" s="5"/>
    </row>
    <row r="414" spans="3:7" ht="13">
      <c r="C414" s="80"/>
      <c r="D414" s="5"/>
      <c r="E414" s="5"/>
      <c r="F414" s="5"/>
      <c r="G414" s="5"/>
    </row>
    <row r="415" spans="3:7" ht="13">
      <c r="C415" s="80"/>
      <c r="D415" s="5"/>
      <c r="E415" s="5"/>
      <c r="F415" s="5"/>
      <c r="G415" s="5"/>
    </row>
    <row r="416" spans="3:7" ht="13">
      <c r="C416" s="80"/>
      <c r="D416" s="5"/>
      <c r="E416" s="5"/>
      <c r="F416" s="5"/>
      <c r="G416" s="5"/>
    </row>
    <row r="417" spans="3:7" ht="13">
      <c r="C417" s="80"/>
      <c r="D417" s="5"/>
      <c r="E417" s="5"/>
      <c r="F417" s="5"/>
      <c r="G417" s="5"/>
    </row>
    <row r="418" spans="3:7" ht="13">
      <c r="C418" s="80"/>
      <c r="D418" s="5"/>
      <c r="E418" s="5"/>
      <c r="F418" s="5"/>
      <c r="G418" s="5"/>
    </row>
    <row r="419" spans="3:7" ht="13">
      <c r="C419" s="80"/>
      <c r="D419" s="5"/>
      <c r="E419" s="5"/>
      <c r="F419" s="5"/>
      <c r="G419" s="5"/>
    </row>
    <row r="420" spans="3:7" ht="13">
      <c r="C420" s="80"/>
      <c r="D420" s="5"/>
      <c r="E420" s="5"/>
      <c r="F420" s="5"/>
      <c r="G420" s="5"/>
    </row>
    <row r="421" spans="3:7" ht="13">
      <c r="C421" s="80"/>
      <c r="D421" s="5"/>
      <c r="E421" s="5"/>
      <c r="F421" s="5"/>
      <c r="G421" s="5"/>
    </row>
    <row r="422" spans="3:7" ht="13">
      <c r="C422" s="80"/>
      <c r="D422" s="5"/>
      <c r="E422" s="5"/>
      <c r="F422" s="5"/>
      <c r="G422" s="5"/>
    </row>
    <row r="423" spans="3:7" ht="13">
      <c r="C423" s="80"/>
      <c r="D423" s="5"/>
      <c r="E423" s="5"/>
      <c r="F423" s="5"/>
      <c r="G423" s="5"/>
    </row>
    <row r="424" spans="3:7" ht="13">
      <c r="C424" s="80"/>
      <c r="D424" s="5"/>
      <c r="E424" s="5"/>
      <c r="F424" s="5"/>
      <c r="G424" s="5"/>
    </row>
    <row r="425" spans="3:7" ht="13">
      <c r="C425" s="80"/>
      <c r="D425" s="5"/>
      <c r="E425" s="5"/>
      <c r="F425" s="5"/>
      <c r="G425" s="5"/>
    </row>
    <row r="426" spans="3:7" ht="13">
      <c r="C426" s="80"/>
      <c r="D426" s="5"/>
      <c r="E426" s="5"/>
      <c r="F426" s="5"/>
      <c r="G426" s="5"/>
    </row>
    <row r="427" spans="3:7" ht="13">
      <c r="C427" s="80"/>
      <c r="D427" s="5"/>
      <c r="E427" s="5"/>
      <c r="F427" s="5"/>
      <c r="G427" s="5"/>
    </row>
    <row r="428" spans="3:7" ht="13">
      <c r="C428" s="80"/>
      <c r="D428" s="5"/>
      <c r="E428" s="5"/>
      <c r="F428" s="5"/>
      <c r="G428" s="5"/>
    </row>
    <row r="429" spans="3:7" ht="13">
      <c r="C429" s="80"/>
      <c r="D429" s="5"/>
      <c r="E429" s="5"/>
      <c r="F429" s="5"/>
      <c r="G429" s="5"/>
    </row>
    <row r="430" spans="3:7" ht="13">
      <c r="C430" s="80"/>
      <c r="D430" s="5"/>
      <c r="E430" s="5"/>
      <c r="F430" s="5"/>
      <c r="G430" s="5"/>
    </row>
    <row r="431" spans="3:7" ht="13">
      <c r="C431" s="80"/>
      <c r="D431" s="5"/>
      <c r="E431" s="5"/>
      <c r="F431" s="5"/>
      <c r="G431" s="5"/>
    </row>
    <row r="432" spans="3:7" ht="13">
      <c r="C432" s="80"/>
      <c r="D432" s="5"/>
      <c r="E432" s="5"/>
      <c r="F432" s="5"/>
      <c r="G432" s="5"/>
    </row>
    <row r="433" spans="3:7" ht="13">
      <c r="C433" s="80"/>
      <c r="D433" s="5"/>
      <c r="E433" s="5"/>
      <c r="F433" s="5"/>
      <c r="G433" s="5"/>
    </row>
    <row r="434" spans="3:7" ht="13">
      <c r="C434" s="80"/>
      <c r="D434" s="5"/>
      <c r="E434" s="5"/>
      <c r="F434" s="5"/>
      <c r="G434" s="5"/>
    </row>
    <row r="435" spans="3:7" ht="13">
      <c r="C435" s="80"/>
      <c r="D435" s="5"/>
      <c r="E435" s="5"/>
      <c r="F435" s="5"/>
      <c r="G435" s="5"/>
    </row>
    <row r="436" spans="3:7" ht="13">
      <c r="C436" s="80"/>
      <c r="D436" s="5"/>
      <c r="E436" s="5"/>
      <c r="F436" s="5"/>
      <c r="G436" s="5"/>
    </row>
    <row r="437" spans="3:7" ht="13">
      <c r="C437" s="80"/>
      <c r="D437" s="5"/>
      <c r="E437" s="5"/>
      <c r="F437" s="5"/>
      <c r="G437" s="5"/>
    </row>
    <row r="438" spans="3:7" ht="13">
      <c r="C438" s="80"/>
      <c r="D438" s="5"/>
      <c r="E438" s="5"/>
      <c r="F438" s="5"/>
      <c r="G438" s="5"/>
    </row>
    <row r="439" spans="3:7" ht="13">
      <c r="C439" s="80"/>
      <c r="D439" s="5"/>
      <c r="E439" s="5"/>
      <c r="F439" s="5"/>
      <c r="G439" s="5"/>
    </row>
    <row r="440" spans="3:7" ht="13">
      <c r="C440" s="80"/>
      <c r="D440" s="5"/>
      <c r="E440" s="5"/>
      <c r="F440" s="5"/>
      <c r="G440" s="5"/>
    </row>
    <row r="441" spans="3:7" ht="13">
      <c r="C441" s="80"/>
      <c r="D441" s="5"/>
      <c r="E441" s="5"/>
      <c r="F441" s="5"/>
      <c r="G441" s="5"/>
    </row>
    <row r="442" spans="3:7" ht="13">
      <c r="C442" s="80"/>
      <c r="D442" s="5"/>
      <c r="E442" s="5"/>
      <c r="F442" s="5"/>
      <c r="G442" s="5"/>
    </row>
    <row r="443" spans="3:7" ht="13">
      <c r="C443" s="80"/>
      <c r="D443" s="5"/>
      <c r="E443" s="5"/>
      <c r="F443" s="5"/>
      <c r="G443" s="5"/>
    </row>
    <row r="444" spans="3:7" ht="13">
      <c r="C444" s="80"/>
      <c r="D444" s="5"/>
      <c r="E444" s="5"/>
      <c r="F444" s="5"/>
      <c r="G444" s="5"/>
    </row>
    <row r="445" spans="3:7" ht="13">
      <c r="C445" s="80"/>
      <c r="D445" s="5"/>
      <c r="E445" s="5"/>
      <c r="F445" s="5"/>
      <c r="G445" s="5"/>
    </row>
    <row r="446" spans="3:7" ht="13">
      <c r="C446" s="80"/>
      <c r="D446" s="5"/>
      <c r="E446" s="5"/>
      <c r="F446" s="5"/>
      <c r="G446" s="5"/>
    </row>
    <row r="447" spans="3:7" ht="13">
      <c r="C447" s="80"/>
      <c r="D447" s="5"/>
      <c r="E447" s="5"/>
      <c r="F447" s="5"/>
      <c r="G447" s="5"/>
    </row>
    <row r="448" spans="3:7" ht="13">
      <c r="C448" s="80"/>
      <c r="D448" s="5"/>
      <c r="E448" s="5"/>
      <c r="F448" s="5"/>
      <c r="G448" s="5"/>
    </row>
    <row r="449" spans="3:7" ht="13">
      <c r="C449" s="80"/>
      <c r="D449" s="5"/>
      <c r="E449" s="5"/>
      <c r="F449" s="5"/>
      <c r="G449" s="5"/>
    </row>
    <row r="450" spans="3:7" ht="13">
      <c r="C450" s="80"/>
      <c r="D450" s="5"/>
      <c r="E450" s="5"/>
      <c r="F450" s="5"/>
      <c r="G450" s="5"/>
    </row>
    <row r="451" spans="3:7" ht="13">
      <c r="C451" s="80"/>
      <c r="D451" s="5"/>
      <c r="E451" s="5"/>
      <c r="F451" s="5"/>
      <c r="G451" s="5"/>
    </row>
    <row r="452" spans="3:7" ht="13">
      <c r="C452" s="80"/>
      <c r="D452" s="5"/>
      <c r="E452" s="5"/>
      <c r="F452" s="5"/>
      <c r="G452" s="5"/>
    </row>
    <row r="453" spans="3:7" ht="13">
      <c r="C453" s="80"/>
      <c r="D453" s="5"/>
      <c r="E453" s="5"/>
      <c r="F453" s="5"/>
      <c r="G453" s="5"/>
    </row>
    <row r="454" spans="3:7" ht="13">
      <c r="C454" s="80"/>
      <c r="D454" s="5"/>
      <c r="E454" s="5"/>
      <c r="F454" s="5"/>
      <c r="G454" s="5"/>
    </row>
    <row r="455" spans="3:7" ht="13">
      <c r="C455" s="80"/>
      <c r="D455" s="5"/>
      <c r="E455" s="5"/>
      <c r="F455" s="5"/>
      <c r="G455" s="5"/>
    </row>
    <row r="456" spans="3:7" ht="13">
      <c r="C456" s="80"/>
      <c r="D456" s="5"/>
      <c r="E456" s="5"/>
      <c r="F456" s="5"/>
      <c r="G456" s="5"/>
    </row>
    <row r="457" spans="3:7" ht="13">
      <c r="C457" s="80"/>
      <c r="D457" s="5"/>
      <c r="E457" s="5"/>
      <c r="F457" s="5"/>
      <c r="G457" s="5"/>
    </row>
    <row r="458" spans="3:7" ht="13">
      <c r="C458" s="80"/>
      <c r="D458" s="5"/>
      <c r="E458" s="5"/>
      <c r="F458" s="5"/>
      <c r="G458" s="5"/>
    </row>
    <row r="459" spans="3:7" ht="13">
      <c r="C459" s="80"/>
      <c r="D459" s="5"/>
      <c r="E459" s="5"/>
      <c r="F459" s="5"/>
      <c r="G459" s="5"/>
    </row>
    <row r="460" spans="3:7" ht="13">
      <c r="C460" s="80"/>
      <c r="D460" s="5"/>
      <c r="E460" s="5"/>
      <c r="F460" s="5"/>
      <c r="G460" s="5"/>
    </row>
    <row r="461" spans="3:7" ht="13">
      <c r="C461" s="80"/>
      <c r="D461" s="5"/>
      <c r="E461" s="5"/>
      <c r="F461" s="5"/>
      <c r="G461" s="5"/>
    </row>
    <row r="462" spans="3:7" ht="13">
      <c r="C462" s="80"/>
      <c r="D462" s="5"/>
      <c r="E462" s="5"/>
      <c r="F462" s="5"/>
      <c r="G462" s="5"/>
    </row>
    <row r="463" spans="3:7" ht="13">
      <c r="C463" s="80"/>
      <c r="D463" s="5"/>
      <c r="E463" s="5"/>
      <c r="F463" s="5"/>
      <c r="G463" s="5"/>
    </row>
    <row r="464" spans="3:7" ht="13">
      <c r="C464" s="80"/>
      <c r="D464" s="5"/>
      <c r="E464" s="5"/>
      <c r="F464" s="5"/>
      <c r="G464" s="5"/>
    </row>
    <row r="465" spans="3:7" ht="13">
      <c r="C465" s="80"/>
      <c r="D465" s="5"/>
      <c r="E465" s="5"/>
      <c r="F465" s="5"/>
      <c r="G465" s="5"/>
    </row>
    <row r="466" spans="3:7" ht="13">
      <c r="C466" s="80"/>
      <c r="D466" s="5"/>
      <c r="E466" s="5"/>
      <c r="F466" s="5"/>
      <c r="G466" s="5"/>
    </row>
    <row r="467" spans="3:7" ht="13">
      <c r="C467" s="80"/>
      <c r="D467" s="5"/>
      <c r="E467" s="5"/>
      <c r="F467" s="5"/>
      <c r="G467" s="5"/>
    </row>
    <row r="468" spans="3:7" ht="13">
      <c r="C468" s="80"/>
      <c r="D468" s="5"/>
      <c r="E468" s="5"/>
      <c r="F468" s="5"/>
      <c r="G468" s="5"/>
    </row>
    <row r="469" spans="3:7" ht="13">
      <c r="C469" s="80"/>
      <c r="D469" s="5"/>
      <c r="E469" s="5"/>
      <c r="F469" s="5"/>
      <c r="G469" s="5"/>
    </row>
    <row r="470" spans="3:7" ht="13">
      <c r="C470" s="80"/>
      <c r="D470" s="5"/>
      <c r="E470" s="5"/>
      <c r="F470" s="5"/>
      <c r="G470" s="5"/>
    </row>
    <row r="471" spans="3:7" ht="13">
      <c r="C471" s="80"/>
      <c r="D471" s="5"/>
      <c r="E471" s="5"/>
      <c r="F471" s="5"/>
      <c r="G471" s="5"/>
    </row>
    <row r="472" spans="3:7" ht="13">
      <c r="C472" s="80"/>
      <c r="D472" s="5"/>
      <c r="E472" s="5"/>
      <c r="F472" s="5"/>
      <c r="G472" s="5"/>
    </row>
    <row r="473" spans="3:7" ht="13">
      <c r="C473" s="80"/>
      <c r="D473" s="5"/>
      <c r="E473" s="5"/>
      <c r="F473" s="5"/>
      <c r="G473" s="5"/>
    </row>
    <row r="474" spans="3:7" ht="13">
      <c r="C474" s="80"/>
      <c r="D474" s="5"/>
      <c r="E474" s="5"/>
      <c r="F474" s="5"/>
      <c r="G474" s="5"/>
    </row>
    <row r="475" spans="3:7" ht="13">
      <c r="C475" s="80"/>
      <c r="D475" s="5"/>
      <c r="E475" s="5"/>
      <c r="F475" s="5"/>
      <c r="G475" s="5"/>
    </row>
    <row r="476" spans="3:7" ht="13">
      <c r="C476" s="80"/>
      <c r="D476" s="5"/>
      <c r="E476" s="5"/>
      <c r="F476" s="5"/>
      <c r="G476" s="5"/>
    </row>
    <row r="477" spans="3:7" ht="13">
      <c r="C477" s="80"/>
      <c r="D477" s="5"/>
      <c r="E477" s="5"/>
      <c r="F477" s="5"/>
      <c r="G477" s="5"/>
    </row>
    <row r="478" spans="3:7" ht="13">
      <c r="C478" s="80"/>
      <c r="D478" s="5"/>
      <c r="E478" s="5"/>
      <c r="F478" s="5"/>
      <c r="G478" s="5"/>
    </row>
    <row r="479" spans="3:7" ht="13">
      <c r="C479" s="80"/>
      <c r="D479" s="5"/>
      <c r="E479" s="5"/>
      <c r="F479" s="5"/>
      <c r="G479" s="5"/>
    </row>
    <row r="480" spans="3:7" ht="13">
      <c r="C480" s="80"/>
      <c r="D480" s="5"/>
      <c r="E480" s="5"/>
      <c r="F480" s="5"/>
      <c r="G480" s="5"/>
    </row>
    <row r="481" spans="3:7" ht="13">
      <c r="C481" s="80"/>
      <c r="D481" s="5"/>
      <c r="E481" s="5"/>
      <c r="F481" s="5"/>
      <c r="G481" s="5"/>
    </row>
    <row r="482" spans="3:7" ht="13">
      <c r="C482" s="80"/>
      <c r="D482" s="5"/>
      <c r="E482" s="5"/>
      <c r="F482" s="5"/>
      <c r="G482" s="5"/>
    </row>
    <row r="483" spans="3:7" ht="13">
      <c r="C483" s="80"/>
      <c r="D483" s="5"/>
      <c r="E483" s="5"/>
      <c r="F483" s="5"/>
      <c r="G483" s="5"/>
    </row>
    <row r="484" spans="3:7" ht="13">
      <c r="C484" s="80"/>
      <c r="D484" s="5"/>
      <c r="E484" s="5"/>
      <c r="F484" s="5"/>
      <c r="G484" s="5"/>
    </row>
    <row r="485" spans="3:7" ht="13">
      <c r="C485" s="80"/>
      <c r="D485" s="5"/>
      <c r="E485" s="5"/>
      <c r="F485" s="5"/>
      <c r="G485" s="5"/>
    </row>
    <row r="486" spans="3:7" ht="13">
      <c r="C486" s="80"/>
      <c r="D486" s="5"/>
      <c r="E486" s="5"/>
      <c r="F486" s="5"/>
      <c r="G486" s="5"/>
    </row>
    <row r="487" spans="3:7" ht="13">
      <c r="C487" s="80"/>
      <c r="D487" s="5"/>
      <c r="E487" s="5"/>
      <c r="F487" s="5"/>
      <c r="G487" s="5"/>
    </row>
    <row r="488" spans="3:7" ht="13">
      <c r="C488" s="80"/>
      <c r="D488" s="5"/>
      <c r="E488" s="5"/>
      <c r="F488" s="5"/>
      <c r="G488" s="5"/>
    </row>
    <row r="489" spans="3:7" ht="13">
      <c r="C489" s="80"/>
      <c r="D489" s="5"/>
      <c r="E489" s="5"/>
      <c r="F489" s="5"/>
      <c r="G489" s="5"/>
    </row>
    <row r="490" spans="3:7" ht="13">
      <c r="C490" s="80"/>
      <c r="D490" s="5"/>
      <c r="E490" s="5"/>
      <c r="F490" s="5"/>
      <c r="G490" s="5"/>
    </row>
    <row r="491" spans="3:7" ht="13">
      <c r="C491" s="80"/>
      <c r="D491" s="5"/>
      <c r="E491" s="5"/>
      <c r="F491" s="5"/>
      <c r="G491" s="5"/>
    </row>
    <row r="492" spans="3:7" ht="13">
      <c r="C492" s="80"/>
      <c r="D492" s="5"/>
      <c r="E492" s="5"/>
      <c r="F492" s="5"/>
      <c r="G492" s="5"/>
    </row>
    <row r="493" spans="3:7" ht="13">
      <c r="C493" s="80"/>
      <c r="D493" s="5"/>
      <c r="E493" s="5"/>
      <c r="F493" s="5"/>
      <c r="G493" s="5"/>
    </row>
    <row r="494" spans="3:7" ht="13">
      <c r="C494" s="80"/>
      <c r="D494" s="5"/>
      <c r="E494" s="5"/>
      <c r="F494" s="5"/>
      <c r="G494" s="5"/>
    </row>
    <row r="495" spans="3:7" ht="13">
      <c r="C495" s="80"/>
      <c r="D495" s="5"/>
      <c r="E495" s="5"/>
      <c r="F495" s="5"/>
      <c r="G495" s="5"/>
    </row>
    <row r="496" spans="3:7" ht="13">
      <c r="C496" s="80"/>
      <c r="D496" s="5"/>
      <c r="E496" s="5"/>
      <c r="F496" s="5"/>
      <c r="G496" s="5"/>
    </row>
    <row r="497" spans="3:7" ht="13">
      <c r="C497" s="80"/>
      <c r="D497" s="5"/>
      <c r="E497" s="5"/>
      <c r="F497" s="5"/>
      <c r="G497" s="5"/>
    </row>
    <row r="498" spans="3:7" ht="13">
      <c r="C498" s="80"/>
      <c r="D498" s="5"/>
      <c r="E498" s="5"/>
      <c r="F498" s="5"/>
      <c r="G498" s="5"/>
    </row>
    <row r="499" spans="3:7" ht="13">
      <c r="C499" s="80"/>
      <c r="D499" s="5"/>
      <c r="E499" s="5"/>
      <c r="F499" s="5"/>
      <c r="G499" s="5"/>
    </row>
    <row r="500" spans="3:7" ht="13">
      <c r="C500" s="80"/>
      <c r="D500" s="5"/>
      <c r="E500" s="5"/>
      <c r="F500" s="5"/>
      <c r="G500" s="5"/>
    </row>
    <row r="501" spans="3:7" ht="13">
      <c r="C501" s="80"/>
      <c r="D501" s="5"/>
      <c r="E501" s="5"/>
      <c r="F501" s="5"/>
      <c r="G501" s="5"/>
    </row>
    <row r="502" spans="3:7" ht="13">
      <c r="C502" s="80"/>
      <c r="D502" s="5"/>
      <c r="E502" s="5"/>
      <c r="F502" s="5"/>
      <c r="G502" s="5"/>
    </row>
    <row r="503" spans="3:7" ht="13">
      <c r="C503" s="80"/>
      <c r="D503" s="5"/>
      <c r="E503" s="5"/>
      <c r="F503" s="5"/>
      <c r="G503" s="5"/>
    </row>
    <row r="504" spans="3:7" ht="13">
      <c r="C504" s="80"/>
      <c r="D504" s="5"/>
      <c r="E504" s="5"/>
      <c r="F504" s="5"/>
      <c r="G504" s="5"/>
    </row>
    <row r="505" spans="3:7" ht="13">
      <c r="C505" s="80"/>
      <c r="D505" s="5"/>
      <c r="E505" s="5"/>
      <c r="F505" s="5"/>
      <c r="G505" s="5"/>
    </row>
    <row r="506" spans="3:7" ht="13">
      <c r="C506" s="80"/>
      <c r="D506" s="5"/>
      <c r="E506" s="5"/>
      <c r="F506" s="5"/>
      <c r="G506" s="5"/>
    </row>
    <row r="507" spans="3:7" ht="13">
      <c r="C507" s="80"/>
      <c r="D507" s="5"/>
      <c r="E507" s="5"/>
      <c r="F507" s="5"/>
      <c r="G507" s="5"/>
    </row>
    <row r="508" spans="3:7" ht="13">
      <c r="C508" s="80"/>
      <c r="D508" s="5"/>
      <c r="E508" s="5"/>
      <c r="F508" s="5"/>
      <c r="G508" s="5"/>
    </row>
    <row r="509" spans="3:7" ht="13">
      <c r="C509" s="80"/>
      <c r="D509" s="5"/>
      <c r="E509" s="5"/>
      <c r="F509" s="5"/>
      <c r="G509" s="5"/>
    </row>
    <row r="510" spans="3:7" ht="13">
      <c r="C510" s="80"/>
      <c r="D510" s="5"/>
      <c r="E510" s="5"/>
      <c r="F510" s="5"/>
      <c r="G510" s="5"/>
    </row>
    <row r="511" spans="3:7" ht="13">
      <c r="C511" s="80"/>
      <c r="D511" s="5"/>
      <c r="E511" s="5"/>
      <c r="F511" s="5"/>
      <c r="G511" s="5"/>
    </row>
    <row r="512" spans="3:7" ht="13">
      <c r="C512" s="80"/>
      <c r="D512" s="5"/>
      <c r="E512" s="5"/>
      <c r="F512" s="5"/>
      <c r="G512" s="5"/>
    </row>
    <row r="513" spans="3:7" ht="13">
      <c r="C513" s="80"/>
      <c r="D513" s="5"/>
      <c r="E513" s="5"/>
      <c r="F513" s="5"/>
      <c r="G513" s="5"/>
    </row>
    <row r="514" spans="3:7" ht="13">
      <c r="C514" s="80"/>
      <c r="D514" s="5"/>
      <c r="E514" s="5"/>
      <c r="F514" s="5"/>
      <c r="G514" s="5"/>
    </row>
    <row r="515" spans="3:7" ht="13">
      <c r="C515" s="80"/>
      <c r="D515" s="5"/>
      <c r="E515" s="5"/>
      <c r="F515" s="5"/>
      <c r="G515" s="5"/>
    </row>
    <row r="516" spans="3:7" ht="13">
      <c r="C516" s="80"/>
      <c r="D516" s="5"/>
      <c r="E516" s="5"/>
      <c r="F516" s="5"/>
      <c r="G516" s="5"/>
    </row>
    <row r="517" spans="3:7" ht="13">
      <c r="C517" s="80"/>
      <c r="D517" s="5"/>
      <c r="E517" s="5"/>
      <c r="F517" s="5"/>
      <c r="G517" s="5"/>
    </row>
    <row r="518" spans="3:7" ht="13">
      <c r="C518" s="80"/>
      <c r="D518" s="5"/>
      <c r="E518" s="5"/>
      <c r="F518" s="5"/>
      <c r="G518" s="5"/>
    </row>
    <row r="519" spans="3:7" ht="13">
      <c r="C519" s="80"/>
      <c r="D519" s="5"/>
      <c r="E519" s="5"/>
      <c r="F519" s="5"/>
      <c r="G519" s="5"/>
    </row>
    <row r="520" spans="3:7" ht="13">
      <c r="C520" s="80"/>
      <c r="D520" s="5"/>
      <c r="E520" s="5"/>
      <c r="F520" s="5"/>
      <c r="G520" s="5"/>
    </row>
    <row r="521" spans="3:7" ht="13">
      <c r="C521" s="80"/>
      <c r="D521" s="5"/>
      <c r="E521" s="5"/>
      <c r="F521" s="5"/>
      <c r="G521" s="5"/>
    </row>
    <row r="522" spans="3:7" ht="13">
      <c r="C522" s="80"/>
      <c r="D522" s="5"/>
      <c r="E522" s="5"/>
      <c r="F522" s="5"/>
      <c r="G522" s="5"/>
    </row>
    <row r="523" spans="3:7" ht="13">
      <c r="C523" s="80"/>
      <c r="D523" s="5"/>
      <c r="E523" s="5"/>
      <c r="F523" s="5"/>
      <c r="G523" s="5"/>
    </row>
    <row r="524" spans="3:7" ht="13">
      <c r="C524" s="80"/>
      <c r="D524" s="5"/>
      <c r="E524" s="5"/>
      <c r="F524" s="5"/>
      <c r="G524" s="5"/>
    </row>
    <row r="525" spans="3:7" ht="13">
      <c r="C525" s="80"/>
      <c r="D525" s="5"/>
      <c r="E525" s="5"/>
      <c r="F525" s="5"/>
      <c r="G525" s="5"/>
    </row>
    <row r="526" spans="3:7" ht="13">
      <c r="C526" s="80"/>
      <c r="D526" s="5"/>
      <c r="E526" s="5"/>
      <c r="F526" s="5"/>
      <c r="G526" s="5"/>
    </row>
    <row r="527" spans="3:7" ht="13">
      <c r="C527" s="80"/>
      <c r="D527" s="5"/>
      <c r="E527" s="5"/>
      <c r="F527" s="5"/>
      <c r="G527" s="5"/>
    </row>
    <row r="528" spans="3:7" ht="13">
      <c r="C528" s="80"/>
      <c r="D528" s="5"/>
      <c r="E528" s="5"/>
      <c r="F528" s="5"/>
      <c r="G528" s="5"/>
    </row>
    <row r="529" spans="3:7" ht="13">
      <c r="C529" s="80"/>
      <c r="D529" s="5"/>
      <c r="E529" s="5"/>
      <c r="F529" s="5"/>
      <c r="G529" s="5"/>
    </row>
    <row r="530" spans="3:7" ht="13">
      <c r="C530" s="80"/>
      <c r="D530" s="5"/>
      <c r="E530" s="5"/>
      <c r="F530" s="5"/>
      <c r="G530" s="5"/>
    </row>
    <row r="531" spans="3:7" ht="13">
      <c r="C531" s="80"/>
      <c r="D531" s="5"/>
      <c r="E531" s="5"/>
      <c r="F531" s="5"/>
      <c r="G531" s="5"/>
    </row>
    <row r="532" spans="3:7" ht="13">
      <c r="C532" s="80"/>
      <c r="D532" s="5"/>
      <c r="E532" s="5"/>
      <c r="F532" s="5"/>
      <c r="G532" s="5"/>
    </row>
    <row r="533" spans="3:7" ht="13">
      <c r="C533" s="80"/>
      <c r="D533" s="5"/>
      <c r="E533" s="5"/>
      <c r="F533" s="5"/>
      <c r="G533" s="5"/>
    </row>
    <row r="534" spans="3:7" ht="13">
      <c r="C534" s="80"/>
      <c r="D534" s="5"/>
      <c r="E534" s="5"/>
      <c r="F534" s="5"/>
      <c r="G534" s="5"/>
    </row>
    <row r="535" spans="3:7" ht="13">
      <c r="C535" s="80"/>
      <c r="D535" s="5"/>
      <c r="E535" s="5"/>
      <c r="F535" s="5"/>
      <c r="G535" s="5"/>
    </row>
    <row r="536" spans="3:7" ht="13">
      <c r="C536" s="80"/>
      <c r="D536" s="5"/>
      <c r="E536" s="5"/>
      <c r="F536" s="5"/>
      <c r="G536" s="5"/>
    </row>
    <row r="537" spans="3:7" ht="13">
      <c r="C537" s="80"/>
      <c r="D537" s="5"/>
      <c r="E537" s="5"/>
      <c r="F537" s="5"/>
      <c r="G537" s="5"/>
    </row>
    <row r="538" spans="3:7" ht="13">
      <c r="C538" s="80"/>
      <c r="D538" s="5"/>
      <c r="E538" s="5"/>
      <c r="F538" s="5"/>
      <c r="G538" s="5"/>
    </row>
    <row r="539" spans="3:7" ht="13">
      <c r="C539" s="80"/>
      <c r="D539" s="5"/>
      <c r="E539" s="5"/>
      <c r="F539" s="5"/>
      <c r="G539" s="5"/>
    </row>
    <row r="540" spans="3:7" ht="13">
      <c r="C540" s="80"/>
      <c r="D540" s="5"/>
      <c r="E540" s="5"/>
      <c r="F540" s="5"/>
      <c r="G540" s="5"/>
    </row>
    <row r="541" spans="3:7" ht="13">
      <c r="C541" s="80"/>
      <c r="D541" s="5"/>
      <c r="E541" s="5"/>
      <c r="F541" s="5"/>
      <c r="G541" s="5"/>
    </row>
    <row r="542" spans="3:7" ht="13">
      <c r="C542" s="80"/>
      <c r="D542" s="5"/>
      <c r="E542" s="5"/>
      <c r="F542" s="5"/>
      <c r="G542" s="5"/>
    </row>
    <row r="543" spans="3:7" ht="13">
      <c r="C543" s="80"/>
      <c r="D543" s="5"/>
      <c r="E543" s="5"/>
      <c r="F543" s="5"/>
      <c r="G543" s="5"/>
    </row>
    <row r="544" spans="3:7" ht="13">
      <c r="C544" s="80"/>
      <c r="D544" s="5"/>
      <c r="E544" s="5"/>
      <c r="F544" s="5"/>
      <c r="G544" s="5"/>
    </row>
    <row r="545" spans="3:7" ht="13">
      <c r="C545" s="80"/>
      <c r="D545" s="5"/>
      <c r="E545" s="5"/>
      <c r="F545" s="5"/>
      <c r="G545" s="5"/>
    </row>
    <row r="546" spans="3:7" ht="13">
      <c r="C546" s="80"/>
      <c r="D546" s="5"/>
      <c r="E546" s="5"/>
      <c r="F546" s="5"/>
      <c r="G546" s="5"/>
    </row>
    <row r="547" spans="3:7" ht="13">
      <c r="C547" s="80"/>
      <c r="D547" s="5"/>
      <c r="E547" s="5"/>
      <c r="F547" s="5"/>
      <c r="G547" s="5"/>
    </row>
    <row r="548" spans="3:7" ht="13">
      <c r="C548" s="80"/>
      <c r="D548" s="5"/>
      <c r="E548" s="5"/>
      <c r="F548" s="5"/>
      <c r="G548" s="5"/>
    </row>
    <row r="549" spans="3:7" ht="13">
      <c r="C549" s="80"/>
      <c r="D549" s="5"/>
      <c r="E549" s="5"/>
      <c r="F549" s="5"/>
      <c r="G549" s="5"/>
    </row>
    <row r="550" spans="3:7" ht="13">
      <c r="C550" s="80"/>
      <c r="D550" s="5"/>
      <c r="E550" s="5"/>
      <c r="F550" s="5"/>
      <c r="G550" s="5"/>
    </row>
    <row r="551" spans="3:7" ht="13">
      <c r="C551" s="80"/>
      <c r="D551" s="5"/>
      <c r="E551" s="5"/>
      <c r="F551" s="5"/>
      <c r="G551" s="5"/>
    </row>
    <row r="552" spans="3:7" ht="13">
      <c r="C552" s="80"/>
      <c r="D552" s="5"/>
      <c r="E552" s="5"/>
      <c r="F552" s="5"/>
      <c r="G552" s="5"/>
    </row>
    <row r="553" spans="3:7" ht="13">
      <c r="C553" s="80"/>
      <c r="D553" s="5"/>
      <c r="E553" s="5"/>
      <c r="F553" s="5"/>
      <c r="G553" s="5"/>
    </row>
    <row r="554" spans="3:7" ht="13">
      <c r="C554" s="80"/>
      <c r="D554" s="5"/>
      <c r="E554" s="5"/>
      <c r="F554" s="5"/>
      <c r="G554" s="5"/>
    </row>
    <row r="555" spans="3:7" ht="13">
      <c r="C555" s="80"/>
      <c r="D555" s="5"/>
      <c r="E555" s="5"/>
      <c r="F555" s="5"/>
      <c r="G555" s="5"/>
    </row>
    <row r="556" spans="3:7" ht="13">
      <c r="C556" s="80"/>
      <c r="D556" s="5"/>
      <c r="E556" s="5"/>
      <c r="F556" s="5"/>
      <c r="G556" s="5"/>
    </row>
    <row r="557" spans="3:7" ht="13">
      <c r="C557" s="80"/>
      <c r="D557" s="5"/>
      <c r="E557" s="5"/>
      <c r="F557" s="5"/>
      <c r="G557" s="5"/>
    </row>
    <row r="558" spans="3:7" ht="13">
      <c r="C558" s="80"/>
      <c r="D558" s="5"/>
      <c r="E558" s="5"/>
      <c r="F558" s="5"/>
      <c r="G558" s="5"/>
    </row>
    <row r="559" spans="3:7" ht="13">
      <c r="C559" s="80"/>
      <c r="D559" s="5"/>
      <c r="E559" s="5"/>
      <c r="F559" s="5"/>
      <c r="G559" s="5"/>
    </row>
    <row r="560" spans="3:7" ht="13">
      <c r="C560" s="80"/>
      <c r="D560" s="5"/>
      <c r="E560" s="5"/>
      <c r="F560" s="5"/>
      <c r="G560" s="5"/>
    </row>
    <row r="561" spans="3:7" ht="13">
      <c r="C561" s="80"/>
      <c r="D561" s="5"/>
      <c r="E561" s="5"/>
      <c r="F561" s="5"/>
      <c r="G561" s="5"/>
    </row>
    <row r="562" spans="3:7" ht="13">
      <c r="C562" s="80"/>
      <c r="D562" s="5"/>
      <c r="E562" s="5"/>
      <c r="F562" s="5"/>
      <c r="G562" s="5"/>
    </row>
    <row r="563" spans="3:7" ht="13">
      <c r="C563" s="80"/>
      <c r="D563" s="5"/>
      <c r="E563" s="5"/>
      <c r="F563" s="5"/>
      <c r="G563" s="5"/>
    </row>
    <row r="564" spans="3:7" ht="13">
      <c r="C564" s="80"/>
      <c r="D564" s="5"/>
      <c r="E564" s="5"/>
      <c r="F564" s="5"/>
      <c r="G564" s="5"/>
    </row>
    <row r="565" spans="3:7" ht="13">
      <c r="C565" s="80"/>
      <c r="D565" s="5"/>
      <c r="E565" s="5"/>
      <c r="F565" s="5"/>
      <c r="G565" s="5"/>
    </row>
    <row r="566" spans="3:7" ht="13">
      <c r="C566" s="80"/>
      <c r="D566" s="5"/>
      <c r="E566" s="5"/>
      <c r="F566" s="5"/>
      <c r="G566" s="5"/>
    </row>
    <row r="567" spans="3:7" ht="13">
      <c r="C567" s="80"/>
      <c r="D567" s="5"/>
      <c r="E567" s="5"/>
      <c r="F567" s="5"/>
      <c r="G567" s="5"/>
    </row>
    <row r="568" spans="3:7" ht="13">
      <c r="C568" s="80"/>
      <c r="D568" s="5"/>
      <c r="E568" s="5"/>
      <c r="F568" s="5"/>
      <c r="G568" s="5"/>
    </row>
    <row r="569" spans="3:7" ht="13">
      <c r="C569" s="80"/>
      <c r="D569" s="5"/>
      <c r="E569" s="5"/>
      <c r="F569" s="5"/>
      <c r="G569" s="5"/>
    </row>
    <row r="570" spans="3:7" ht="13">
      <c r="C570" s="80"/>
      <c r="D570" s="5"/>
      <c r="E570" s="5"/>
      <c r="F570" s="5"/>
      <c r="G570" s="5"/>
    </row>
    <row r="571" spans="3:7" ht="13">
      <c r="C571" s="80"/>
      <c r="D571" s="5"/>
      <c r="E571" s="5"/>
      <c r="F571" s="5"/>
      <c r="G571" s="5"/>
    </row>
    <row r="572" spans="3:7" ht="13">
      <c r="C572" s="80"/>
      <c r="D572" s="5"/>
      <c r="E572" s="5"/>
      <c r="F572" s="5"/>
      <c r="G572" s="5"/>
    </row>
    <row r="573" spans="3:7" ht="13">
      <c r="C573" s="80"/>
      <c r="D573" s="5"/>
      <c r="E573" s="5"/>
      <c r="F573" s="5"/>
      <c r="G573" s="5"/>
    </row>
    <row r="574" spans="3:7" ht="13">
      <c r="C574" s="80"/>
      <c r="D574" s="5"/>
      <c r="E574" s="5"/>
      <c r="F574" s="5"/>
      <c r="G574" s="5"/>
    </row>
    <row r="575" spans="3:7" ht="13">
      <c r="C575" s="80"/>
      <c r="D575" s="5"/>
      <c r="E575" s="5"/>
      <c r="F575" s="5"/>
      <c r="G575" s="5"/>
    </row>
    <row r="576" spans="3:7" ht="13">
      <c r="C576" s="80"/>
      <c r="D576" s="5"/>
      <c r="E576" s="5"/>
      <c r="F576" s="5"/>
      <c r="G576" s="5"/>
    </row>
    <row r="577" spans="3:7" ht="13">
      <c r="C577" s="80"/>
      <c r="D577" s="5"/>
      <c r="E577" s="5"/>
      <c r="F577" s="5"/>
      <c r="G577" s="5"/>
    </row>
    <row r="578" spans="3:7" ht="13">
      <c r="C578" s="80"/>
      <c r="D578" s="5"/>
      <c r="E578" s="5"/>
      <c r="F578" s="5"/>
      <c r="G578" s="5"/>
    </row>
    <row r="579" spans="3:7" ht="13">
      <c r="C579" s="80"/>
      <c r="D579" s="5"/>
      <c r="E579" s="5"/>
      <c r="F579" s="5"/>
      <c r="G579" s="5"/>
    </row>
    <row r="580" spans="3:7" ht="13">
      <c r="C580" s="80"/>
      <c r="D580" s="5"/>
      <c r="E580" s="5"/>
      <c r="F580" s="5"/>
      <c r="G580" s="5"/>
    </row>
    <row r="581" spans="3:7" ht="13">
      <c r="C581" s="80"/>
      <c r="D581" s="5"/>
      <c r="E581" s="5"/>
      <c r="F581" s="5"/>
      <c r="G581" s="5"/>
    </row>
    <row r="582" spans="3:7" ht="13">
      <c r="C582" s="80"/>
      <c r="D582" s="5"/>
      <c r="E582" s="5"/>
      <c r="F582" s="5"/>
      <c r="G582" s="5"/>
    </row>
    <row r="583" spans="3:7" ht="13">
      <c r="C583" s="80"/>
      <c r="D583" s="5"/>
      <c r="E583" s="5"/>
      <c r="F583" s="5"/>
      <c r="G583" s="5"/>
    </row>
    <row r="584" spans="3:7" ht="13">
      <c r="C584" s="80"/>
      <c r="D584" s="5"/>
      <c r="E584" s="5"/>
      <c r="F584" s="5"/>
      <c r="G584" s="5"/>
    </row>
    <row r="585" spans="3:7" ht="13">
      <c r="C585" s="80"/>
      <c r="D585" s="5"/>
      <c r="E585" s="5"/>
      <c r="F585" s="5"/>
      <c r="G585" s="5"/>
    </row>
    <row r="586" spans="3:7" ht="13">
      <c r="C586" s="80"/>
      <c r="D586" s="5"/>
      <c r="E586" s="5"/>
      <c r="F586" s="5"/>
      <c r="G586" s="5"/>
    </row>
    <row r="587" spans="3:7" ht="13">
      <c r="C587" s="80"/>
      <c r="D587" s="5"/>
      <c r="E587" s="5"/>
      <c r="F587" s="5"/>
      <c r="G587" s="5"/>
    </row>
    <row r="588" spans="3:7" ht="13">
      <c r="C588" s="80"/>
      <c r="D588" s="5"/>
      <c r="E588" s="5"/>
      <c r="F588" s="5"/>
      <c r="G588" s="5"/>
    </row>
    <row r="589" spans="3:7" ht="13">
      <c r="C589" s="80"/>
      <c r="D589" s="5"/>
      <c r="E589" s="5"/>
      <c r="F589" s="5"/>
      <c r="G589" s="5"/>
    </row>
    <row r="590" spans="3:7" ht="13">
      <c r="C590" s="80"/>
      <c r="D590" s="5"/>
      <c r="E590" s="5"/>
      <c r="F590" s="5"/>
      <c r="G590" s="5"/>
    </row>
    <row r="591" spans="3:7" ht="13">
      <c r="C591" s="80"/>
      <c r="D591" s="5"/>
      <c r="E591" s="5"/>
      <c r="F591" s="5"/>
      <c r="G591" s="5"/>
    </row>
    <row r="592" spans="3:7" ht="13">
      <c r="C592" s="80"/>
      <c r="D592" s="5"/>
      <c r="E592" s="5"/>
      <c r="F592" s="5"/>
      <c r="G592" s="5"/>
    </row>
    <row r="593" spans="3:7" ht="13">
      <c r="C593" s="80"/>
      <c r="D593" s="5"/>
      <c r="E593" s="5"/>
      <c r="F593" s="5"/>
      <c r="G593" s="5"/>
    </row>
    <row r="594" spans="3:7" ht="13">
      <c r="C594" s="80"/>
      <c r="D594" s="5"/>
      <c r="E594" s="5"/>
      <c r="F594" s="5"/>
      <c r="G594" s="5"/>
    </row>
    <row r="595" spans="3:7" ht="13">
      <c r="C595" s="80"/>
      <c r="D595" s="5"/>
      <c r="E595" s="5"/>
      <c r="F595" s="5"/>
      <c r="G595" s="5"/>
    </row>
    <row r="596" spans="3:7" ht="13">
      <c r="C596" s="80"/>
      <c r="D596" s="5"/>
      <c r="E596" s="5"/>
      <c r="F596" s="5"/>
      <c r="G596" s="5"/>
    </row>
    <row r="597" spans="3:7" ht="13">
      <c r="C597" s="80"/>
      <c r="D597" s="5"/>
      <c r="E597" s="5"/>
      <c r="F597" s="5"/>
      <c r="G597" s="5"/>
    </row>
    <row r="598" spans="3:7" ht="13">
      <c r="C598" s="80"/>
      <c r="D598" s="5"/>
      <c r="E598" s="5"/>
      <c r="F598" s="5"/>
      <c r="G598" s="5"/>
    </row>
    <row r="599" spans="3:7" ht="13">
      <c r="C599" s="80"/>
      <c r="D599" s="5"/>
      <c r="E599" s="5"/>
      <c r="F599" s="5"/>
      <c r="G599" s="5"/>
    </row>
    <row r="600" spans="3:7" ht="13">
      <c r="C600" s="80"/>
      <c r="D600" s="5"/>
      <c r="E600" s="5"/>
      <c r="F600" s="5"/>
      <c r="G600" s="5"/>
    </row>
    <row r="601" spans="3:7" ht="13">
      <c r="C601" s="80"/>
      <c r="D601" s="5"/>
      <c r="E601" s="5"/>
      <c r="F601" s="5"/>
      <c r="G601" s="5"/>
    </row>
    <row r="602" spans="3:7" ht="13">
      <c r="C602" s="80"/>
      <c r="D602" s="5"/>
      <c r="E602" s="5"/>
      <c r="F602" s="5"/>
      <c r="G602" s="5"/>
    </row>
    <row r="603" spans="3:7" ht="13">
      <c r="C603" s="80"/>
      <c r="D603" s="5"/>
      <c r="E603" s="5"/>
      <c r="F603" s="5"/>
      <c r="G603" s="5"/>
    </row>
    <row r="604" spans="3:7" ht="13">
      <c r="C604" s="80"/>
      <c r="D604" s="5"/>
      <c r="E604" s="5"/>
      <c r="F604" s="5"/>
      <c r="G604" s="5"/>
    </row>
    <row r="605" spans="3:7" ht="13">
      <c r="C605" s="80"/>
      <c r="D605" s="5"/>
      <c r="E605" s="5"/>
      <c r="F605" s="5"/>
      <c r="G605" s="5"/>
    </row>
    <row r="606" spans="3:7" ht="13">
      <c r="C606" s="80"/>
      <c r="D606" s="5"/>
      <c r="E606" s="5"/>
      <c r="F606" s="5"/>
      <c r="G606" s="5"/>
    </row>
    <row r="607" spans="3:7" ht="13">
      <c r="C607" s="80"/>
      <c r="D607" s="5"/>
      <c r="E607" s="5"/>
      <c r="F607" s="5"/>
      <c r="G607" s="5"/>
    </row>
    <row r="608" spans="3:7" ht="13">
      <c r="C608" s="80"/>
      <c r="D608" s="5"/>
      <c r="E608" s="5"/>
      <c r="F608" s="5"/>
      <c r="G608" s="5"/>
    </row>
    <row r="609" spans="3:7" ht="13">
      <c r="C609" s="80"/>
      <c r="D609" s="5"/>
      <c r="E609" s="5"/>
      <c r="F609" s="5"/>
      <c r="G609" s="5"/>
    </row>
    <row r="610" spans="3:7" ht="13">
      <c r="C610" s="80"/>
      <c r="D610" s="5"/>
      <c r="E610" s="5"/>
      <c r="F610" s="5"/>
      <c r="G610" s="5"/>
    </row>
    <row r="611" spans="3:7" ht="13">
      <c r="C611" s="80"/>
      <c r="D611" s="5"/>
      <c r="E611" s="5"/>
      <c r="F611" s="5"/>
      <c r="G611" s="5"/>
    </row>
    <row r="612" spans="3:7" ht="13">
      <c r="C612" s="80"/>
      <c r="D612" s="5"/>
      <c r="E612" s="5"/>
      <c r="F612" s="5"/>
      <c r="G612" s="5"/>
    </row>
    <row r="613" spans="3:7" ht="13">
      <c r="C613" s="80"/>
      <c r="D613" s="5"/>
      <c r="E613" s="5"/>
      <c r="F613" s="5"/>
      <c r="G613" s="5"/>
    </row>
    <row r="614" spans="3:7" ht="13">
      <c r="C614" s="80"/>
      <c r="D614" s="5"/>
      <c r="E614" s="5"/>
      <c r="F614" s="5"/>
      <c r="G614" s="5"/>
    </row>
    <row r="615" spans="3:7" ht="13">
      <c r="C615" s="80"/>
      <c r="D615" s="5"/>
      <c r="E615" s="5"/>
      <c r="F615" s="5"/>
      <c r="G615" s="5"/>
    </row>
    <row r="616" spans="3:7" ht="13">
      <c r="C616" s="80"/>
      <c r="D616" s="5"/>
      <c r="E616" s="5"/>
      <c r="F616" s="5"/>
      <c r="G616" s="5"/>
    </row>
    <row r="617" spans="3:7" ht="13">
      <c r="C617" s="80"/>
      <c r="D617" s="5"/>
      <c r="E617" s="5"/>
      <c r="F617" s="5"/>
      <c r="G617" s="5"/>
    </row>
    <row r="618" spans="3:7" ht="13">
      <c r="C618" s="80"/>
      <c r="D618" s="5"/>
      <c r="E618" s="5"/>
      <c r="F618" s="5"/>
      <c r="G618" s="5"/>
    </row>
    <row r="619" spans="3:7" ht="13">
      <c r="C619" s="80"/>
      <c r="D619" s="5"/>
      <c r="E619" s="5"/>
      <c r="F619" s="5"/>
      <c r="G619" s="5"/>
    </row>
    <row r="620" spans="3:7" ht="13">
      <c r="C620" s="80"/>
      <c r="D620" s="5"/>
      <c r="E620" s="5"/>
      <c r="F620" s="5"/>
      <c r="G620" s="5"/>
    </row>
    <row r="621" spans="3:7" ht="13">
      <c r="C621" s="80"/>
      <c r="D621" s="5"/>
      <c r="E621" s="5"/>
      <c r="F621" s="5"/>
      <c r="G621" s="5"/>
    </row>
    <row r="622" spans="3:7" ht="13">
      <c r="C622" s="80"/>
      <c r="D622" s="5"/>
      <c r="E622" s="5"/>
      <c r="F622" s="5"/>
      <c r="G622" s="5"/>
    </row>
    <row r="623" spans="3:7" ht="13">
      <c r="C623" s="80"/>
      <c r="D623" s="5"/>
      <c r="E623" s="5"/>
      <c r="F623" s="5"/>
      <c r="G623" s="5"/>
    </row>
    <row r="624" spans="3:7" ht="13">
      <c r="C624" s="80"/>
      <c r="D624" s="5"/>
      <c r="E624" s="5"/>
      <c r="F624" s="5"/>
      <c r="G624" s="5"/>
    </row>
    <row r="625" spans="3:7" ht="13">
      <c r="C625" s="80"/>
      <c r="D625" s="5"/>
      <c r="E625" s="5"/>
      <c r="F625" s="5"/>
      <c r="G625" s="5"/>
    </row>
    <row r="626" spans="3:7" ht="13">
      <c r="C626" s="80"/>
      <c r="D626" s="5"/>
      <c r="E626" s="5"/>
      <c r="F626" s="5"/>
      <c r="G626" s="5"/>
    </row>
    <row r="627" spans="3:7" ht="13">
      <c r="C627" s="80"/>
      <c r="D627" s="5"/>
      <c r="E627" s="5"/>
      <c r="F627" s="5"/>
      <c r="G627" s="5"/>
    </row>
    <row r="628" spans="3:7" ht="13">
      <c r="C628" s="80"/>
      <c r="D628" s="5"/>
      <c r="E628" s="5"/>
      <c r="F628" s="5"/>
      <c r="G628" s="5"/>
    </row>
    <row r="629" spans="3:7" ht="13">
      <c r="C629" s="80"/>
      <c r="D629" s="5"/>
      <c r="E629" s="5"/>
      <c r="F629" s="5"/>
      <c r="G629" s="5"/>
    </row>
    <row r="630" spans="3:7" ht="13">
      <c r="C630" s="80"/>
      <c r="D630" s="5"/>
      <c r="E630" s="5"/>
      <c r="F630" s="5"/>
      <c r="G630" s="5"/>
    </row>
    <row r="631" spans="3:7" ht="13">
      <c r="C631" s="80"/>
      <c r="D631" s="5"/>
      <c r="E631" s="5"/>
      <c r="F631" s="5"/>
      <c r="G631" s="5"/>
    </row>
    <row r="632" spans="3:7" ht="13">
      <c r="C632" s="80"/>
      <c r="D632" s="5"/>
      <c r="E632" s="5"/>
      <c r="F632" s="5"/>
      <c r="G632" s="5"/>
    </row>
    <row r="633" spans="3:7" ht="13">
      <c r="C633" s="80"/>
      <c r="D633" s="5"/>
      <c r="E633" s="5"/>
      <c r="F633" s="5"/>
      <c r="G633" s="5"/>
    </row>
    <row r="634" spans="3:7" ht="13">
      <c r="C634" s="80"/>
      <c r="D634" s="5"/>
      <c r="E634" s="5"/>
      <c r="F634" s="5"/>
      <c r="G634" s="5"/>
    </row>
    <row r="635" spans="3:7" ht="13">
      <c r="C635" s="80"/>
      <c r="D635" s="5"/>
      <c r="E635" s="5"/>
      <c r="F635" s="5"/>
      <c r="G635" s="5"/>
    </row>
    <row r="636" spans="3:7" ht="13">
      <c r="C636" s="80"/>
      <c r="D636" s="5"/>
      <c r="E636" s="5"/>
      <c r="F636" s="5"/>
      <c r="G636" s="5"/>
    </row>
    <row r="637" spans="3:7" ht="13">
      <c r="C637" s="80"/>
      <c r="D637" s="5"/>
      <c r="E637" s="5"/>
      <c r="F637" s="5"/>
      <c r="G637" s="5"/>
    </row>
    <row r="638" spans="3:7" ht="13">
      <c r="C638" s="80"/>
      <c r="D638" s="5"/>
      <c r="E638" s="5"/>
      <c r="F638" s="5"/>
      <c r="G638" s="5"/>
    </row>
    <row r="639" spans="3:7" ht="13">
      <c r="C639" s="80"/>
      <c r="D639" s="5"/>
      <c r="E639" s="5"/>
      <c r="F639" s="5"/>
      <c r="G639" s="5"/>
    </row>
    <row r="640" spans="3:7" ht="13">
      <c r="C640" s="80"/>
      <c r="D640" s="5"/>
      <c r="E640" s="5"/>
      <c r="F640" s="5"/>
      <c r="G640" s="5"/>
    </row>
    <row r="641" spans="3:7" ht="13">
      <c r="C641" s="80"/>
      <c r="D641" s="5"/>
      <c r="E641" s="5"/>
      <c r="F641" s="5"/>
      <c r="G641" s="5"/>
    </row>
    <row r="642" spans="3:7" ht="13">
      <c r="C642" s="80"/>
      <c r="D642" s="5"/>
      <c r="E642" s="5"/>
      <c r="F642" s="5"/>
      <c r="G642" s="5"/>
    </row>
    <row r="643" spans="3:7" ht="13">
      <c r="C643" s="80"/>
      <c r="D643" s="5"/>
      <c r="E643" s="5"/>
      <c r="F643" s="5"/>
      <c r="G643" s="5"/>
    </row>
    <row r="644" spans="3:7" ht="13">
      <c r="C644" s="80"/>
      <c r="D644" s="5"/>
      <c r="E644" s="5"/>
      <c r="F644" s="5"/>
      <c r="G644" s="5"/>
    </row>
    <row r="645" spans="3:7" ht="13">
      <c r="C645" s="80"/>
      <c r="D645" s="5"/>
      <c r="E645" s="5"/>
      <c r="F645" s="5"/>
      <c r="G645" s="5"/>
    </row>
    <row r="646" spans="3:7" ht="13">
      <c r="C646" s="80"/>
      <c r="D646" s="5"/>
      <c r="E646" s="5"/>
      <c r="F646" s="5"/>
      <c r="G646" s="5"/>
    </row>
    <row r="647" spans="3:7" ht="13">
      <c r="C647" s="80"/>
      <c r="D647" s="5"/>
      <c r="E647" s="5"/>
      <c r="F647" s="5"/>
      <c r="G647" s="5"/>
    </row>
    <row r="648" spans="3:7" ht="13">
      <c r="C648" s="80"/>
      <c r="D648" s="5"/>
      <c r="E648" s="5"/>
      <c r="F648" s="5"/>
      <c r="G648" s="5"/>
    </row>
    <row r="649" spans="3:7" ht="13">
      <c r="C649" s="80"/>
      <c r="D649" s="5"/>
      <c r="E649" s="5"/>
      <c r="F649" s="5"/>
      <c r="G649" s="5"/>
    </row>
    <row r="650" spans="3:7" ht="13">
      <c r="C650" s="80"/>
      <c r="D650" s="5"/>
      <c r="E650" s="5"/>
      <c r="F650" s="5"/>
      <c r="G650" s="5"/>
    </row>
    <row r="651" spans="3:7" ht="13">
      <c r="C651" s="80"/>
      <c r="D651" s="5"/>
      <c r="E651" s="5"/>
      <c r="F651" s="5"/>
      <c r="G651" s="5"/>
    </row>
    <row r="652" spans="3:7" ht="13">
      <c r="C652" s="80"/>
      <c r="D652" s="5"/>
      <c r="E652" s="5"/>
      <c r="F652" s="5"/>
      <c r="G652" s="5"/>
    </row>
    <row r="653" spans="3:7" ht="13">
      <c r="C653" s="80"/>
      <c r="D653" s="5"/>
      <c r="E653" s="5"/>
      <c r="F653" s="5"/>
      <c r="G653" s="5"/>
    </row>
    <row r="654" spans="3:7" ht="13">
      <c r="C654" s="80"/>
      <c r="D654" s="5"/>
      <c r="E654" s="5"/>
      <c r="F654" s="5"/>
      <c r="G654" s="5"/>
    </row>
    <row r="655" spans="3:7" ht="13">
      <c r="C655" s="80"/>
      <c r="D655" s="5"/>
      <c r="E655" s="5"/>
      <c r="F655" s="5"/>
      <c r="G655" s="5"/>
    </row>
    <row r="656" spans="3:7" ht="13">
      <c r="C656" s="80"/>
      <c r="D656" s="5"/>
      <c r="E656" s="5"/>
      <c r="F656" s="5"/>
      <c r="G656" s="5"/>
    </row>
    <row r="657" spans="3:7" ht="13">
      <c r="C657" s="80"/>
      <c r="D657" s="5"/>
      <c r="E657" s="5"/>
      <c r="F657" s="5"/>
      <c r="G657" s="5"/>
    </row>
    <row r="658" spans="3:7" ht="13">
      <c r="C658" s="80"/>
      <c r="D658" s="5"/>
      <c r="E658" s="5"/>
      <c r="F658" s="5"/>
      <c r="G658" s="5"/>
    </row>
    <row r="659" spans="3:7" ht="13">
      <c r="C659" s="80"/>
      <c r="D659" s="5"/>
      <c r="E659" s="5"/>
      <c r="F659" s="5"/>
      <c r="G659" s="5"/>
    </row>
    <row r="660" spans="3:7" ht="13">
      <c r="C660" s="80"/>
      <c r="D660" s="5"/>
      <c r="E660" s="5"/>
      <c r="F660" s="5"/>
      <c r="G660" s="5"/>
    </row>
    <row r="661" spans="3:7" ht="13">
      <c r="C661" s="80"/>
      <c r="D661" s="5"/>
      <c r="E661" s="5"/>
      <c r="F661" s="5"/>
      <c r="G661" s="5"/>
    </row>
    <row r="662" spans="3:7" ht="13">
      <c r="C662" s="80"/>
      <c r="D662" s="5"/>
      <c r="E662" s="5"/>
      <c r="F662" s="5"/>
      <c r="G662" s="5"/>
    </row>
    <row r="663" spans="3:7" ht="13">
      <c r="C663" s="80"/>
      <c r="D663" s="5"/>
      <c r="E663" s="5"/>
      <c r="F663" s="5"/>
      <c r="G663" s="5"/>
    </row>
    <row r="664" spans="3:7" ht="13">
      <c r="C664" s="80"/>
      <c r="D664" s="5"/>
      <c r="E664" s="5"/>
      <c r="F664" s="5"/>
      <c r="G664" s="5"/>
    </row>
    <row r="665" spans="3:7" ht="13">
      <c r="C665" s="80"/>
      <c r="D665" s="5"/>
      <c r="E665" s="5"/>
      <c r="F665" s="5"/>
      <c r="G665" s="5"/>
    </row>
    <row r="666" spans="3:7" ht="13">
      <c r="C666" s="80"/>
      <c r="D666" s="5"/>
      <c r="E666" s="5"/>
      <c r="F666" s="5"/>
      <c r="G666" s="5"/>
    </row>
    <row r="667" spans="3:7" ht="13">
      <c r="C667" s="80"/>
      <c r="D667" s="5"/>
      <c r="E667" s="5"/>
      <c r="F667" s="5"/>
      <c r="G667" s="5"/>
    </row>
    <row r="668" spans="3:7" ht="13">
      <c r="C668" s="80"/>
      <c r="D668" s="5"/>
      <c r="E668" s="5"/>
      <c r="F668" s="5"/>
      <c r="G668" s="5"/>
    </row>
    <row r="669" spans="3:7" ht="13">
      <c r="C669" s="80"/>
      <c r="D669" s="5"/>
      <c r="E669" s="5"/>
      <c r="F669" s="5"/>
      <c r="G669" s="5"/>
    </row>
    <row r="670" spans="3:7" ht="13">
      <c r="C670" s="80"/>
      <c r="D670" s="5"/>
      <c r="E670" s="5"/>
      <c r="F670" s="5"/>
      <c r="G670" s="5"/>
    </row>
    <row r="671" spans="3:7" ht="13">
      <c r="C671" s="80"/>
      <c r="D671" s="5"/>
      <c r="E671" s="5"/>
      <c r="F671" s="5"/>
      <c r="G671" s="5"/>
    </row>
    <row r="672" spans="3:7" ht="13">
      <c r="C672" s="80"/>
      <c r="D672" s="5"/>
      <c r="E672" s="5"/>
      <c r="F672" s="5"/>
      <c r="G672" s="5"/>
    </row>
    <row r="673" spans="3:7" ht="13">
      <c r="C673" s="80"/>
      <c r="D673" s="5"/>
      <c r="E673" s="5"/>
      <c r="F673" s="5"/>
      <c r="G673" s="5"/>
    </row>
    <row r="674" spans="3:7" ht="13">
      <c r="C674" s="80"/>
      <c r="D674" s="5"/>
      <c r="E674" s="5"/>
      <c r="F674" s="5"/>
      <c r="G674" s="5"/>
    </row>
    <row r="675" spans="3:7" ht="13">
      <c r="C675" s="80"/>
      <c r="D675" s="5"/>
      <c r="E675" s="5"/>
      <c r="F675" s="5"/>
      <c r="G675" s="5"/>
    </row>
    <row r="676" spans="3:7" ht="13">
      <c r="C676" s="80"/>
      <c r="D676" s="5"/>
      <c r="E676" s="5"/>
      <c r="F676" s="5"/>
      <c r="G676" s="5"/>
    </row>
    <row r="677" spans="3:7" ht="13">
      <c r="C677" s="80"/>
      <c r="D677" s="5"/>
      <c r="E677" s="5"/>
      <c r="F677" s="5"/>
      <c r="G677" s="5"/>
    </row>
    <row r="678" spans="3:7" ht="13">
      <c r="C678" s="80"/>
      <c r="D678" s="5"/>
      <c r="E678" s="5"/>
      <c r="F678" s="5"/>
      <c r="G678" s="5"/>
    </row>
    <row r="679" spans="3:7" ht="13">
      <c r="C679" s="80"/>
      <c r="D679" s="5"/>
      <c r="E679" s="5"/>
      <c r="F679" s="5"/>
      <c r="G679" s="5"/>
    </row>
    <row r="680" spans="3:7" ht="13">
      <c r="C680" s="80"/>
      <c r="D680" s="5"/>
      <c r="E680" s="5"/>
      <c r="F680" s="5"/>
      <c r="G680" s="5"/>
    </row>
    <row r="681" spans="3:7" ht="13">
      <c r="C681" s="80"/>
      <c r="D681" s="5"/>
      <c r="E681" s="5"/>
      <c r="F681" s="5"/>
      <c r="G681" s="5"/>
    </row>
    <row r="682" spans="3:7" ht="13">
      <c r="C682" s="80"/>
      <c r="D682" s="5"/>
      <c r="E682" s="5"/>
      <c r="F682" s="5"/>
      <c r="G682" s="5"/>
    </row>
    <row r="683" spans="3:7" ht="13">
      <c r="C683" s="80"/>
      <c r="D683" s="5"/>
      <c r="E683" s="5"/>
      <c r="F683" s="5"/>
      <c r="G683" s="5"/>
    </row>
    <row r="684" spans="3:7" ht="13">
      <c r="C684" s="80"/>
      <c r="D684" s="5"/>
      <c r="E684" s="5"/>
      <c r="F684" s="5"/>
      <c r="G684" s="5"/>
    </row>
    <row r="685" spans="3:7" ht="13">
      <c r="C685" s="80"/>
      <c r="D685" s="5"/>
      <c r="E685" s="5"/>
      <c r="F685" s="5"/>
      <c r="G685" s="5"/>
    </row>
    <row r="686" spans="3:7" ht="13">
      <c r="C686" s="80"/>
      <c r="D686" s="5"/>
      <c r="E686" s="5"/>
      <c r="F686" s="5"/>
      <c r="G686" s="5"/>
    </row>
    <row r="687" spans="3:7" ht="13">
      <c r="C687" s="80"/>
      <c r="D687" s="5"/>
      <c r="E687" s="5"/>
      <c r="F687" s="5"/>
      <c r="G687" s="5"/>
    </row>
    <row r="688" spans="3:7" ht="13">
      <c r="C688" s="80"/>
      <c r="D688" s="5"/>
      <c r="E688" s="5"/>
      <c r="F688" s="5"/>
      <c r="G688" s="5"/>
    </row>
    <row r="689" spans="3:7" ht="13">
      <c r="C689" s="80"/>
      <c r="D689" s="5"/>
      <c r="E689" s="5"/>
      <c r="F689" s="5"/>
      <c r="G689" s="5"/>
    </row>
    <row r="690" spans="3:7" ht="13">
      <c r="C690" s="80"/>
      <c r="D690" s="5"/>
      <c r="E690" s="5"/>
      <c r="F690" s="5"/>
      <c r="G690" s="5"/>
    </row>
    <row r="691" spans="3:7" ht="13">
      <c r="C691" s="80"/>
      <c r="D691" s="5"/>
      <c r="E691" s="5"/>
      <c r="F691" s="5"/>
      <c r="G691" s="5"/>
    </row>
    <row r="692" spans="3:7" ht="13">
      <c r="C692" s="80"/>
      <c r="D692" s="5"/>
      <c r="E692" s="5"/>
      <c r="F692" s="5"/>
      <c r="G692" s="5"/>
    </row>
    <row r="693" spans="3:7" ht="13">
      <c r="C693" s="80"/>
      <c r="D693" s="5"/>
      <c r="E693" s="5"/>
      <c r="F693" s="5"/>
      <c r="G693" s="5"/>
    </row>
    <row r="694" spans="3:7" ht="13">
      <c r="C694" s="80"/>
      <c r="D694" s="5"/>
      <c r="E694" s="5"/>
      <c r="F694" s="5"/>
      <c r="G694" s="5"/>
    </row>
    <row r="695" spans="3:7" ht="13">
      <c r="C695" s="80"/>
      <c r="D695" s="5"/>
      <c r="E695" s="5"/>
      <c r="F695" s="5"/>
      <c r="G695" s="5"/>
    </row>
    <row r="696" spans="3:7" ht="13">
      <c r="C696" s="80"/>
      <c r="D696" s="5"/>
      <c r="E696" s="5"/>
      <c r="F696" s="5"/>
      <c r="G696" s="5"/>
    </row>
    <row r="697" spans="3:7" ht="13">
      <c r="C697" s="80"/>
      <c r="D697" s="5"/>
      <c r="E697" s="5"/>
      <c r="F697" s="5"/>
      <c r="G697" s="5"/>
    </row>
    <row r="698" spans="3:7" ht="13">
      <c r="C698" s="80"/>
      <c r="D698" s="5"/>
      <c r="E698" s="5"/>
      <c r="F698" s="5"/>
      <c r="G698" s="5"/>
    </row>
    <row r="699" spans="3:7" ht="13">
      <c r="C699" s="80"/>
      <c r="D699" s="5"/>
      <c r="E699" s="5"/>
      <c r="F699" s="5"/>
      <c r="G699" s="5"/>
    </row>
    <row r="700" spans="3:7" ht="13">
      <c r="C700" s="80"/>
      <c r="D700" s="5"/>
      <c r="E700" s="5"/>
      <c r="F700" s="5"/>
      <c r="G700" s="5"/>
    </row>
    <row r="701" spans="3:7" ht="13">
      <c r="C701" s="80"/>
      <c r="D701" s="5"/>
      <c r="E701" s="5"/>
      <c r="F701" s="5"/>
      <c r="G701" s="5"/>
    </row>
    <row r="702" spans="3:7" ht="13">
      <c r="C702" s="80"/>
      <c r="D702" s="5"/>
      <c r="E702" s="5"/>
      <c r="F702" s="5"/>
      <c r="G702" s="5"/>
    </row>
    <row r="703" spans="3:7" ht="13">
      <c r="C703" s="80"/>
      <c r="D703" s="5"/>
      <c r="E703" s="5"/>
      <c r="F703" s="5"/>
      <c r="G703" s="5"/>
    </row>
    <row r="704" spans="3:7" ht="13">
      <c r="C704" s="80"/>
      <c r="D704" s="5"/>
      <c r="E704" s="5"/>
      <c r="F704" s="5"/>
      <c r="G704" s="5"/>
    </row>
    <row r="705" spans="3:7" ht="13">
      <c r="C705" s="80"/>
      <c r="D705" s="5"/>
      <c r="E705" s="5"/>
      <c r="F705" s="5"/>
      <c r="G705" s="5"/>
    </row>
    <row r="706" spans="3:7" ht="13">
      <c r="C706" s="80"/>
      <c r="D706" s="5"/>
      <c r="E706" s="5"/>
      <c r="F706" s="5"/>
      <c r="G706" s="5"/>
    </row>
    <row r="707" spans="3:7" ht="13">
      <c r="C707" s="80"/>
      <c r="D707" s="5"/>
      <c r="E707" s="5"/>
      <c r="F707" s="5"/>
      <c r="G707" s="5"/>
    </row>
    <row r="708" spans="3:7" ht="13">
      <c r="C708" s="80"/>
      <c r="D708" s="5"/>
      <c r="E708" s="5"/>
      <c r="F708" s="5"/>
      <c r="G708" s="5"/>
    </row>
    <row r="709" spans="3:7" ht="13">
      <c r="C709" s="80"/>
      <c r="D709" s="5"/>
      <c r="E709" s="5"/>
      <c r="F709" s="5"/>
      <c r="G709" s="5"/>
    </row>
    <row r="710" spans="3:7" ht="13">
      <c r="C710" s="80"/>
      <c r="D710" s="5"/>
      <c r="E710" s="5"/>
      <c r="F710" s="5"/>
      <c r="G710" s="5"/>
    </row>
    <row r="711" spans="3:7" ht="13">
      <c r="C711" s="80"/>
      <c r="D711" s="5"/>
      <c r="E711" s="5"/>
      <c r="F711" s="5"/>
      <c r="G711" s="5"/>
    </row>
    <row r="712" spans="3:7" ht="13">
      <c r="C712" s="80"/>
      <c r="D712" s="5"/>
      <c r="E712" s="5"/>
      <c r="F712" s="5"/>
      <c r="G712" s="5"/>
    </row>
    <row r="713" spans="3:7" ht="13">
      <c r="C713" s="80"/>
      <c r="D713" s="5"/>
      <c r="E713" s="5"/>
      <c r="F713" s="5"/>
      <c r="G713" s="5"/>
    </row>
    <row r="714" spans="3:7" ht="13">
      <c r="C714" s="80"/>
      <c r="D714" s="5"/>
      <c r="E714" s="5"/>
      <c r="F714" s="5"/>
      <c r="G714" s="5"/>
    </row>
    <row r="715" spans="3:7" ht="13">
      <c r="C715" s="80"/>
      <c r="D715" s="5"/>
      <c r="E715" s="5"/>
      <c r="F715" s="5"/>
      <c r="G715" s="5"/>
    </row>
    <row r="716" spans="3:7" ht="13">
      <c r="C716" s="80"/>
      <c r="D716" s="5"/>
      <c r="E716" s="5"/>
      <c r="F716" s="5"/>
      <c r="G716" s="5"/>
    </row>
    <row r="717" spans="3:7" ht="13">
      <c r="C717" s="80"/>
      <c r="D717" s="5"/>
      <c r="E717" s="5"/>
      <c r="F717" s="5"/>
      <c r="G717" s="5"/>
    </row>
    <row r="718" spans="3:7" ht="13">
      <c r="C718" s="80"/>
      <c r="D718" s="5"/>
      <c r="E718" s="5"/>
      <c r="F718" s="5"/>
      <c r="G718" s="5"/>
    </row>
    <row r="719" spans="3:7" ht="13">
      <c r="C719" s="80"/>
      <c r="D719" s="5"/>
      <c r="E719" s="5"/>
      <c r="F719" s="5"/>
      <c r="G719" s="5"/>
    </row>
    <row r="720" spans="3:7" ht="13">
      <c r="C720" s="80"/>
      <c r="D720" s="5"/>
      <c r="E720" s="5"/>
      <c r="F720" s="5"/>
      <c r="G720" s="5"/>
    </row>
    <row r="721" spans="3:7" ht="13">
      <c r="C721" s="80"/>
      <c r="D721" s="5"/>
      <c r="E721" s="5"/>
      <c r="F721" s="5"/>
      <c r="G721" s="5"/>
    </row>
    <row r="722" spans="3:7" ht="13">
      <c r="C722" s="80"/>
      <c r="D722" s="5"/>
      <c r="E722" s="5"/>
      <c r="F722" s="5"/>
      <c r="G722" s="5"/>
    </row>
    <row r="723" spans="3:7" ht="13">
      <c r="C723" s="80"/>
      <c r="D723" s="5"/>
      <c r="E723" s="5"/>
      <c r="F723" s="5"/>
      <c r="G723" s="5"/>
    </row>
    <row r="724" spans="3:7" ht="13">
      <c r="C724" s="80"/>
      <c r="D724" s="5"/>
      <c r="E724" s="5"/>
      <c r="F724" s="5"/>
      <c r="G724" s="5"/>
    </row>
    <row r="725" spans="3:7" ht="13">
      <c r="C725" s="80"/>
      <c r="D725" s="5"/>
      <c r="E725" s="5"/>
      <c r="F725" s="5"/>
      <c r="G725" s="5"/>
    </row>
    <row r="726" spans="3:7" ht="13">
      <c r="C726" s="80"/>
      <c r="D726" s="5"/>
      <c r="E726" s="5"/>
      <c r="F726" s="5"/>
      <c r="G726" s="5"/>
    </row>
    <row r="727" spans="3:7" ht="13">
      <c r="C727" s="80"/>
      <c r="D727" s="5"/>
      <c r="E727" s="5"/>
      <c r="F727" s="5"/>
      <c r="G727" s="5"/>
    </row>
    <row r="728" spans="3:7" ht="13">
      <c r="C728" s="80"/>
      <c r="D728" s="5"/>
      <c r="E728" s="5"/>
      <c r="F728" s="5"/>
      <c r="G728" s="5"/>
    </row>
    <row r="729" spans="3:7" ht="13">
      <c r="C729" s="80"/>
      <c r="D729" s="5"/>
      <c r="E729" s="5"/>
      <c r="F729" s="5"/>
      <c r="G729" s="5"/>
    </row>
    <row r="730" spans="3:7" ht="13">
      <c r="C730" s="80"/>
      <c r="D730" s="5"/>
      <c r="E730" s="5"/>
      <c r="F730" s="5"/>
      <c r="G730" s="5"/>
    </row>
    <row r="731" spans="3:7" ht="13">
      <c r="C731" s="80"/>
      <c r="D731" s="5"/>
      <c r="E731" s="5"/>
      <c r="F731" s="5"/>
      <c r="G731" s="5"/>
    </row>
    <row r="732" spans="3:7" ht="13">
      <c r="C732" s="80"/>
      <c r="D732" s="5"/>
      <c r="E732" s="5"/>
      <c r="F732" s="5"/>
      <c r="G732" s="5"/>
    </row>
    <row r="733" spans="3:7" ht="13">
      <c r="C733" s="80"/>
      <c r="D733" s="5"/>
      <c r="E733" s="5"/>
      <c r="F733" s="5"/>
      <c r="G733" s="5"/>
    </row>
    <row r="734" spans="3:7" ht="13">
      <c r="C734" s="80"/>
      <c r="D734" s="5"/>
      <c r="E734" s="5"/>
      <c r="F734" s="5"/>
      <c r="G734" s="5"/>
    </row>
    <row r="735" spans="3:7" ht="13">
      <c r="C735" s="80"/>
      <c r="D735" s="5"/>
      <c r="E735" s="5"/>
      <c r="F735" s="5"/>
      <c r="G735" s="5"/>
    </row>
    <row r="736" spans="3:7" ht="13">
      <c r="C736" s="80"/>
      <c r="D736" s="5"/>
      <c r="E736" s="5"/>
      <c r="F736" s="5"/>
      <c r="G736" s="5"/>
    </row>
    <row r="737" spans="3:7" ht="13">
      <c r="C737" s="80"/>
      <c r="D737" s="5"/>
      <c r="E737" s="5"/>
      <c r="F737" s="5"/>
      <c r="G737" s="5"/>
    </row>
    <row r="738" spans="3:7" ht="13">
      <c r="C738" s="80"/>
      <c r="D738" s="5"/>
      <c r="E738" s="5"/>
      <c r="F738" s="5"/>
      <c r="G738" s="5"/>
    </row>
    <row r="739" spans="3:7" ht="13">
      <c r="C739" s="80"/>
      <c r="D739" s="5"/>
      <c r="E739" s="5"/>
      <c r="F739" s="5"/>
      <c r="G739" s="5"/>
    </row>
    <row r="740" spans="3:7" ht="13">
      <c r="C740" s="80"/>
      <c r="D740" s="5"/>
      <c r="E740" s="5"/>
      <c r="F740" s="5"/>
      <c r="G740" s="5"/>
    </row>
    <row r="741" spans="3:7" ht="13">
      <c r="C741" s="80"/>
      <c r="D741" s="5"/>
      <c r="E741" s="5"/>
      <c r="F741" s="5"/>
      <c r="G741" s="5"/>
    </row>
    <row r="742" spans="3:7" ht="13">
      <c r="C742" s="80"/>
      <c r="D742" s="5"/>
      <c r="E742" s="5"/>
      <c r="F742" s="5"/>
      <c r="G742" s="5"/>
    </row>
    <row r="743" spans="3:7" ht="13">
      <c r="C743" s="80"/>
      <c r="D743" s="5"/>
      <c r="E743" s="5"/>
      <c r="F743" s="5"/>
      <c r="G743" s="5"/>
    </row>
    <row r="744" spans="3:7" ht="13">
      <c r="C744" s="80"/>
      <c r="D744" s="5"/>
      <c r="E744" s="5"/>
      <c r="F744" s="5"/>
      <c r="G744" s="5"/>
    </row>
    <row r="745" spans="3:7" ht="13">
      <c r="C745" s="80"/>
      <c r="D745" s="5"/>
      <c r="E745" s="5"/>
      <c r="F745" s="5"/>
      <c r="G745" s="5"/>
    </row>
    <row r="746" spans="3:7" ht="13">
      <c r="C746" s="80"/>
      <c r="D746" s="5"/>
      <c r="E746" s="5"/>
      <c r="F746" s="5"/>
      <c r="G746" s="5"/>
    </row>
    <row r="747" spans="3:7" ht="13">
      <c r="C747" s="80"/>
      <c r="D747" s="5"/>
      <c r="E747" s="5"/>
      <c r="F747" s="5"/>
      <c r="G747" s="5"/>
    </row>
    <row r="748" spans="3:7" ht="13">
      <c r="C748" s="80"/>
      <c r="D748" s="5"/>
      <c r="E748" s="5"/>
      <c r="F748" s="5"/>
      <c r="G748" s="5"/>
    </row>
    <row r="749" spans="3:7" ht="13">
      <c r="C749" s="80"/>
      <c r="D749" s="5"/>
      <c r="E749" s="5"/>
      <c r="F749" s="5"/>
      <c r="G749" s="5"/>
    </row>
    <row r="750" spans="3:7" ht="13">
      <c r="C750" s="80"/>
      <c r="D750" s="5"/>
      <c r="E750" s="5"/>
      <c r="F750" s="5"/>
      <c r="G750" s="5"/>
    </row>
    <row r="751" spans="3:7" ht="13">
      <c r="C751" s="80"/>
      <c r="D751" s="5"/>
      <c r="E751" s="5"/>
      <c r="F751" s="5"/>
      <c r="G751" s="5"/>
    </row>
    <row r="752" spans="3:7" ht="13">
      <c r="C752" s="80"/>
      <c r="D752" s="5"/>
      <c r="E752" s="5"/>
      <c r="F752" s="5"/>
      <c r="G752" s="5"/>
    </row>
    <row r="753" spans="3:7" ht="13">
      <c r="C753" s="80"/>
      <c r="D753" s="5"/>
      <c r="E753" s="5"/>
      <c r="F753" s="5"/>
      <c r="G753" s="5"/>
    </row>
    <row r="754" spans="3:7" ht="13">
      <c r="C754" s="80"/>
      <c r="D754" s="5"/>
      <c r="E754" s="5"/>
      <c r="F754" s="5"/>
      <c r="G754" s="5"/>
    </row>
    <row r="755" spans="3:7" ht="13">
      <c r="C755" s="80"/>
      <c r="D755" s="5"/>
      <c r="E755" s="5"/>
      <c r="F755" s="5"/>
      <c r="G755" s="5"/>
    </row>
    <row r="756" spans="3:7" ht="13">
      <c r="C756" s="80"/>
      <c r="D756" s="5"/>
      <c r="E756" s="5"/>
      <c r="F756" s="5"/>
      <c r="G756" s="5"/>
    </row>
    <row r="757" spans="3:7" ht="13">
      <c r="C757" s="80"/>
      <c r="D757" s="5"/>
      <c r="E757" s="5"/>
      <c r="F757" s="5"/>
      <c r="G757" s="5"/>
    </row>
    <row r="758" spans="3:7" ht="13">
      <c r="C758" s="80"/>
      <c r="D758" s="5"/>
      <c r="E758" s="5"/>
      <c r="F758" s="5"/>
      <c r="G758" s="5"/>
    </row>
    <row r="759" spans="3:7" ht="13">
      <c r="C759" s="80"/>
      <c r="D759" s="5"/>
      <c r="E759" s="5"/>
      <c r="F759" s="5"/>
      <c r="G759" s="5"/>
    </row>
    <row r="760" spans="3:7" ht="13">
      <c r="C760" s="80"/>
      <c r="D760" s="5"/>
      <c r="E760" s="5"/>
      <c r="F760" s="5"/>
      <c r="G760" s="5"/>
    </row>
    <row r="761" spans="3:7" ht="13">
      <c r="C761" s="80"/>
      <c r="D761" s="5"/>
      <c r="E761" s="5"/>
      <c r="F761" s="5"/>
      <c r="G761" s="5"/>
    </row>
    <row r="762" spans="3:7" ht="13">
      <c r="C762" s="80"/>
      <c r="D762" s="5"/>
      <c r="E762" s="5"/>
      <c r="F762" s="5"/>
      <c r="G762" s="5"/>
    </row>
    <row r="763" spans="3:7" ht="13">
      <c r="C763" s="80"/>
      <c r="D763" s="5"/>
      <c r="E763" s="5"/>
      <c r="F763" s="5"/>
      <c r="G763" s="5"/>
    </row>
    <row r="764" spans="3:7" ht="13">
      <c r="C764" s="80"/>
      <c r="D764" s="5"/>
      <c r="E764" s="5"/>
      <c r="F764" s="5"/>
      <c r="G764" s="5"/>
    </row>
    <row r="765" spans="3:7" ht="13">
      <c r="C765" s="80"/>
      <c r="D765" s="5"/>
      <c r="E765" s="5"/>
      <c r="F765" s="5"/>
      <c r="G765" s="5"/>
    </row>
    <row r="766" spans="3:7" ht="13">
      <c r="C766" s="80"/>
      <c r="D766" s="5"/>
      <c r="E766" s="5"/>
      <c r="F766" s="5"/>
      <c r="G766" s="5"/>
    </row>
    <row r="767" spans="3:7" ht="13">
      <c r="C767" s="80"/>
      <c r="D767" s="5"/>
      <c r="E767" s="5"/>
      <c r="F767" s="5"/>
      <c r="G767" s="5"/>
    </row>
    <row r="768" spans="3:7" ht="13">
      <c r="C768" s="80"/>
      <c r="D768" s="5"/>
      <c r="E768" s="5"/>
      <c r="F768" s="5"/>
      <c r="G768" s="5"/>
    </row>
    <row r="769" spans="3:7" ht="13">
      <c r="C769" s="80"/>
      <c r="D769" s="5"/>
      <c r="E769" s="5"/>
      <c r="F769" s="5"/>
      <c r="G769" s="5"/>
    </row>
    <row r="770" spans="3:7" ht="13">
      <c r="C770" s="80"/>
      <c r="D770" s="5"/>
      <c r="E770" s="5"/>
      <c r="F770" s="5"/>
      <c r="G770" s="5"/>
    </row>
    <row r="771" spans="3:7" ht="13">
      <c r="C771" s="80"/>
      <c r="D771" s="5"/>
      <c r="E771" s="5"/>
      <c r="F771" s="5"/>
      <c r="G771" s="5"/>
    </row>
    <row r="772" spans="3:7" ht="13">
      <c r="C772" s="80"/>
      <c r="D772" s="5"/>
      <c r="E772" s="5"/>
      <c r="F772" s="5"/>
      <c r="G772" s="5"/>
    </row>
    <row r="773" spans="3:7" ht="13">
      <c r="C773" s="80"/>
      <c r="D773" s="5"/>
      <c r="E773" s="5"/>
      <c r="F773" s="5"/>
      <c r="G773" s="5"/>
    </row>
    <row r="774" spans="3:7" ht="13">
      <c r="C774" s="80"/>
      <c r="D774" s="5"/>
      <c r="E774" s="5"/>
      <c r="F774" s="5"/>
      <c r="G774" s="5"/>
    </row>
    <row r="775" spans="3:7" ht="13">
      <c r="C775" s="80"/>
      <c r="D775" s="5"/>
      <c r="E775" s="5"/>
      <c r="F775" s="5"/>
      <c r="G775" s="5"/>
    </row>
    <row r="776" spans="3:7" ht="13">
      <c r="C776" s="80"/>
      <c r="D776" s="5"/>
      <c r="E776" s="5"/>
      <c r="F776" s="5"/>
      <c r="G776" s="5"/>
    </row>
    <row r="777" spans="3:7" ht="13">
      <c r="C777" s="80"/>
      <c r="D777" s="5"/>
      <c r="E777" s="5"/>
      <c r="F777" s="5"/>
      <c r="G777" s="5"/>
    </row>
    <row r="778" spans="3:7" ht="13">
      <c r="C778" s="80"/>
      <c r="D778" s="5"/>
      <c r="E778" s="5"/>
      <c r="F778" s="5"/>
      <c r="G778" s="5"/>
    </row>
    <row r="779" spans="3:7" ht="13">
      <c r="C779" s="80"/>
      <c r="D779" s="5"/>
      <c r="E779" s="5"/>
      <c r="F779" s="5"/>
      <c r="G779" s="5"/>
    </row>
    <row r="780" spans="3:7" ht="13">
      <c r="C780" s="80"/>
      <c r="D780" s="5"/>
      <c r="E780" s="5"/>
      <c r="F780" s="5"/>
      <c r="G780" s="5"/>
    </row>
    <row r="781" spans="3:7" ht="13">
      <c r="C781" s="80"/>
      <c r="D781" s="5"/>
      <c r="E781" s="5"/>
      <c r="F781" s="5"/>
      <c r="G781" s="5"/>
    </row>
    <row r="782" spans="3:7" ht="13">
      <c r="C782" s="80"/>
      <c r="D782" s="5"/>
      <c r="E782" s="5"/>
      <c r="F782" s="5"/>
      <c r="G782" s="5"/>
    </row>
    <row r="783" spans="3:7" ht="13">
      <c r="C783" s="80"/>
      <c r="D783" s="5"/>
      <c r="E783" s="5"/>
      <c r="F783" s="5"/>
      <c r="G783" s="5"/>
    </row>
    <row r="784" spans="3:7" ht="13">
      <c r="C784" s="80"/>
      <c r="D784" s="5"/>
      <c r="E784" s="5"/>
      <c r="F784" s="5"/>
      <c r="G784" s="5"/>
    </row>
    <row r="785" spans="3:7" ht="13">
      <c r="C785" s="80"/>
      <c r="D785" s="5"/>
      <c r="E785" s="5"/>
      <c r="F785" s="5"/>
      <c r="G785" s="5"/>
    </row>
    <row r="786" spans="3:7" ht="13">
      <c r="C786" s="80"/>
      <c r="D786" s="5"/>
      <c r="E786" s="5"/>
      <c r="F786" s="5"/>
      <c r="G786" s="5"/>
    </row>
    <row r="787" spans="3:7" ht="13">
      <c r="C787" s="80"/>
      <c r="D787" s="5"/>
      <c r="E787" s="5"/>
      <c r="F787" s="5"/>
      <c r="G787" s="5"/>
    </row>
    <row r="788" spans="3:7" ht="13">
      <c r="C788" s="80"/>
      <c r="D788" s="5"/>
      <c r="E788" s="5"/>
      <c r="F788" s="5"/>
      <c r="G788" s="5"/>
    </row>
    <row r="789" spans="3:7" ht="13">
      <c r="C789" s="80"/>
      <c r="D789" s="5"/>
      <c r="E789" s="5"/>
      <c r="F789" s="5"/>
      <c r="G789" s="5"/>
    </row>
    <row r="790" spans="3:7" ht="13">
      <c r="C790" s="80"/>
      <c r="D790" s="5"/>
      <c r="E790" s="5"/>
      <c r="F790" s="5"/>
      <c r="G790" s="5"/>
    </row>
    <row r="791" spans="3:7" ht="13">
      <c r="C791" s="80"/>
      <c r="D791" s="5"/>
      <c r="E791" s="5"/>
      <c r="F791" s="5"/>
      <c r="G791" s="5"/>
    </row>
    <row r="792" spans="3:7" ht="13">
      <c r="C792" s="80"/>
      <c r="D792" s="5"/>
      <c r="E792" s="5"/>
      <c r="F792" s="5"/>
      <c r="G792" s="5"/>
    </row>
    <row r="793" spans="3:7" ht="13">
      <c r="C793" s="80"/>
      <c r="D793" s="5"/>
      <c r="E793" s="5"/>
      <c r="F793" s="5"/>
      <c r="G793" s="5"/>
    </row>
    <row r="794" spans="3:7" ht="13">
      <c r="C794" s="80"/>
      <c r="D794" s="5"/>
      <c r="E794" s="5"/>
      <c r="F794" s="5"/>
      <c r="G794" s="5"/>
    </row>
    <row r="795" spans="3:7" ht="13">
      <c r="C795" s="80"/>
      <c r="D795" s="5"/>
      <c r="E795" s="5"/>
      <c r="F795" s="5"/>
      <c r="G795" s="5"/>
    </row>
    <row r="796" spans="3:7" ht="13">
      <c r="C796" s="80"/>
      <c r="D796" s="5"/>
      <c r="E796" s="5"/>
      <c r="F796" s="5"/>
      <c r="G796" s="5"/>
    </row>
    <row r="797" spans="3:7" ht="13">
      <c r="C797" s="80"/>
      <c r="D797" s="5"/>
      <c r="E797" s="5"/>
      <c r="F797" s="5"/>
      <c r="G797" s="5"/>
    </row>
    <row r="798" spans="3:7" ht="13">
      <c r="C798" s="80"/>
      <c r="D798" s="5"/>
      <c r="E798" s="5"/>
      <c r="F798" s="5"/>
      <c r="G798" s="5"/>
    </row>
    <row r="799" spans="3:7" ht="13">
      <c r="C799" s="80"/>
      <c r="D799" s="5"/>
      <c r="E799" s="5"/>
      <c r="F799" s="5"/>
      <c r="G799" s="5"/>
    </row>
    <row r="800" spans="3:7" ht="13">
      <c r="C800" s="80"/>
      <c r="D800" s="5"/>
      <c r="E800" s="5"/>
      <c r="F800" s="5"/>
      <c r="G800" s="5"/>
    </row>
    <row r="801" spans="3:7" ht="13">
      <c r="C801" s="80"/>
      <c r="D801" s="5"/>
      <c r="E801" s="5"/>
      <c r="F801" s="5"/>
      <c r="G801" s="5"/>
    </row>
    <row r="802" spans="3:7" ht="13">
      <c r="C802" s="80"/>
      <c r="D802" s="5"/>
      <c r="E802" s="5"/>
      <c r="F802" s="5"/>
      <c r="G802" s="5"/>
    </row>
    <row r="803" spans="3:7" ht="13">
      <c r="C803" s="80"/>
      <c r="D803" s="5"/>
      <c r="E803" s="5"/>
      <c r="F803" s="5"/>
      <c r="G803" s="5"/>
    </row>
    <row r="804" spans="3:7" ht="13">
      <c r="C804" s="80"/>
      <c r="D804" s="5"/>
      <c r="E804" s="5"/>
      <c r="F804" s="5"/>
      <c r="G804" s="5"/>
    </row>
    <row r="805" spans="3:7" ht="13">
      <c r="C805" s="80"/>
      <c r="D805" s="5"/>
      <c r="E805" s="5"/>
      <c r="F805" s="5"/>
      <c r="G805" s="5"/>
    </row>
    <row r="806" spans="3:7" ht="13">
      <c r="C806" s="80"/>
      <c r="D806" s="5"/>
      <c r="E806" s="5"/>
      <c r="F806" s="5"/>
      <c r="G806" s="5"/>
    </row>
    <row r="807" spans="3:7" ht="13">
      <c r="C807" s="80"/>
      <c r="D807" s="5"/>
      <c r="E807" s="5"/>
      <c r="F807" s="5"/>
      <c r="G807" s="5"/>
    </row>
    <row r="808" spans="3:7" ht="13">
      <c r="C808" s="80"/>
      <c r="D808" s="5"/>
      <c r="E808" s="5"/>
      <c r="F808" s="5"/>
      <c r="G808" s="5"/>
    </row>
    <row r="809" spans="3:7" ht="13">
      <c r="C809" s="80"/>
      <c r="D809" s="5"/>
      <c r="E809" s="5"/>
      <c r="F809" s="5"/>
      <c r="G809" s="5"/>
    </row>
    <row r="810" spans="3:7" ht="13">
      <c r="C810" s="80"/>
      <c r="D810" s="5"/>
      <c r="E810" s="5"/>
      <c r="F810" s="5"/>
      <c r="G810" s="5"/>
    </row>
    <row r="811" spans="3:7" ht="13">
      <c r="C811" s="80"/>
      <c r="D811" s="5"/>
      <c r="E811" s="5"/>
      <c r="F811" s="5"/>
      <c r="G811" s="5"/>
    </row>
    <row r="812" spans="3:7" ht="13">
      <c r="C812" s="80"/>
      <c r="D812" s="5"/>
      <c r="E812" s="5"/>
      <c r="F812" s="5"/>
      <c r="G812" s="5"/>
    </row>
    <row r="813" spans="3:7" ht="13">
      <c r="C813" s="80"/>
      <c r="D813" s="5"/>
      <c r="E813" s="5"/>
      <c r="F813" s="5"/>
      <c r="G813" s="5"/>
    </row>
    <row r="814" spans="3:7" ht="13">
      <c r="C814" s="80"/>
      <c r="D814" s="5"/>
      <c r="E814" s="5"/>
      <c r="F814" s="5"/>
      <c r="G814" s="5"/>
    </row>
    <row r="815" spans="3:7" ht="13">
      <c r="C815" s="80"/>
      <c r="D815" s="5"/>
      <c r="E815" s="5"/>
      <c r="F815" s="5"/>
      <c r="G815" s="5"/>
    </row>
    <row r="816" spans="3:7" ht="13">
      <c r="C816" s="80"/>
      <c r="D816" s="5"/>
      <c r="E816" s="5"/>
      <c r="F816" s="5"/>
      <c r="G816" s="5"/>
    </row>
    <row r="817" spans="3:7" ht="13">
      <c r="C817" s="80"/>
      <c r="D817" s="5"/>
      <c r="E817" s="5"/>
      <c r="F817" s="5"/>
      <c r="G817" s="5"/>
    </row>
    <row r="818" spans="3:7" ht="13">
      <c r="C818" s="80"/>
      <c r="D818" s="5"/>
      <c r="E818" s="5"/>
      <c r="F818" s="5"/>
      <c r="G818" s="5"/>
    </row>
    <row r="819" spans="3:7" ht="13">
      <c r="C819" s="80"/>
      <c r="D819" s="5"/>
      <c r="E819" s="5"/>
      <c r="F819" s="5"/>
      <c r="G819" s="5"/>
    </row>
    <row r="820" spans="3:7" ht="13">
      <c r="C820" s="80"/>
      <c r="D820" s="5"/>
      <c r="E820" s="5"/>
      <c r="F820" s="5"/>
      <c r="G820" s="5"/>
    </row>
    <row r="821" spans="3:7" ht="13">
      <c r="C821" s="80"/>
      <c r="D821" s="5"/>
      <c r="E821" s="5"/>
      <c r="F821" s="5"/>
      <c r="G821" s="5"/>
    </row>
    <row r="822" spans="3:7" ht="13">
      <c r="C822" s="80"/>
      <c r="D822" s="5"/>
      <c r="E822" s="5"/>
      <c r="F822" s="5"/>
      <c r="G822" s="5"/>
    </row>
    <row r="823" spans="3:7" ht="13">
      <c r="C823" s="80"/>
      <c r="D823" s="5"/>
      <c r="E823" s="5"/>
      <c r="F823" s="5"/>
      <c r="G823" s="5"/>
    </row>
    <row r="824" spans="3:7" ht="13">
      <c r="C824" s="80"/>
      <c r="D824" s="5"/>
      <c r="E824" s="5"/>
      <c r="F824" s="5"/>
      <c r="G824" s="5"/>
    </row>
    <row r="825" spans="3:7" ht="13">
      <c r="C825" s="80"/>
      <c r="D825" s="5"/>
      <c r="E825" s="5"/>
      <c r="F825" s="5"/>
      <c r="G825" s="5"/>
    </row>
    <row r="826" spans="3:7" ht="13">
      <c r="C826" s="80"/>
      <c r="D826" s="5"/>
      <c r="E826" s="5"/>
      <c r="F826" s="5"/>
      <c r="G826" s="5"/>
    </row>
    <row r="827" spans="3:7" ht="13">
      <c r="C827" s="80"/>
      <c r="D827" s="5"/>
      <c r="E827" s="5"/>
      <c r="F827" s="5"/>
      <c r="G827" s="5"/>
    </row>
    <row r="828" spans="3:7" ht="13">
      <c r="C828" s="80"/>
      <c r="D828" s="5"/>
      <c r="E828" s="5"/>
      <c r="F828" s="5"/>
      <c r="G828" s="5"/>
    </row>
    <row r="829" spans="3:7" ht="13">
      <c r="C829" s="80"/>
      <c r="D829" s="5"/>
      <c r="E829" s="5"/>
      <c r="F829" s="5"/>
      <c r="G829" s="5"/>
    </row>
    <row r="830" spans="3:7" ht="13">
      <c r="C830" s="80"/>
      <c r="D830" s="5"/>
      <c r="E830" s="5"/>
      <c r="F830" s="5"/>
      <c r="G830" s="5"/>
    </row>
    <row r="831" spans="3:7" ht="13">
      <c r="C831" s="80"/>
      <c r="D831" s="5"/>
      <c r="E831" s="5"/>
      <c r="F831" s="5"/>
      <c r="G831" s="5"/>
    </row>
    <row r="832" spans="3:7" ht="13">
      <c r="C832" s="80"/>
      <c r="D832" s="5"/>
      <c r="E832" s="5"/>
      <c r="F832" s="5"/>
      <c r="G832" s="5"/>
    </row>
    <row r="833" spans="3:7" ht="13">
      <c r="C833" s="80"/>
      <c r="D833" s="5"/>
      <c r="E833" s="5"/>
      <c r="F833" s="5"/>
      <c r="G833" s="5"/>
    </row>
    <row r="834" spans="3:7" ht="13">
      <c r="C834" s="80"/>
      <c r="D834" s="5"/>
      <c r="E834" s="5"/>
      <c r="F834" s="5"/>
      <c r="G834" s="5"/>
    </row>
    <row r="835" spans="3:7" ht="13">
      <c r="C835" s="80"/>
      <c r="D835" s="5"/>
      <c r="E835" s="5"/>
      <c r="F835" s="5"/>
      <c r="G835" s="5"/>
    </row>
    <row r="836" spans="3:7" ht="13">
      <c r="C836" s="80"/>
      <c r="D836" s="5"/>
      <c r="E836" s="5"/>
      <c r="F836" s="5"/>
      <c r="G836" s="5"/>
    </row>
    <row r="837" spans="3:7" ht="13">
      <c r="C837" s="80"/>
      <c r="D837" s="5"/>
      <c r="E837" s="5"/>
      <c r="F837" s="5"/>
      <c r="G837" s="5"/>
    </row>
    <row r="838" spans="3:7" ht="13">
      <c r="C838" s="80"/>
      <c r="D838" s="5"/>
      <c r="E838" s="5"/>
      <c r="F838" s="5"/>
      <c r="G838" s="5"/>
    </row>
    <row r="839" spans="3:7" ht="13">
      <c r="C839" s="80"/>
      <c r="D839" s="5"/>
      <c r="E839" s="5"/>
      <c r="F839" s="5"/>
      <c r="G839" s="5"/>
    </row>
    <row r="840" spans="3:7" ht="13">
      <c r="C840" s="80"/>
      <c r="D840" s="5"/>
      <c r="E840" s="5"/>
      <c r="F840" s="5"/>
      <c r="G840" s="5"/>
    </row>
    <row r="841" spans="3:7" ht="13">
      <c r="C841" s="80"/>
      <c r="D841" s="5"/>
      <c r="E841" s="5"/>
      <c r="F841" s="5"/>
      <c r="G841" s="5"/>
    </row>
    <row r="842" spans="3:7" ht="13">
      <c r="C842" s="80"/>
      <c r="D842" s="5"/>
      <c r="E842" s="5"/>
      <c r="F842" s="5"/>
      <c r="G842" s="5"/>
    </row>
    <row r="843" spans="3:7" ht="13">
      <c r="C843" s="80"/>
      <c r="D843" s="5"/>
      <c r="E843" s="5"/>
      <c r="F843" s="5"/>
      <c r="G843" s="5"/>
    </row>
    <row r="844" spans="3:7" ht="13">
      <c r="C844" s="80"/>
      <c r="D844" s="5"/>
      <c r="E844" s="5"/>
      <c r="F844" s="5"/>
      <c r="G844" s="5"/>
    </row>
    <row r="845" spans="3:7" ht="13">
      <c r="C845" s="80"/>
      <c r="D845" s="5"/>
      <c r="E845" s="5"/>
      <c r="F845" s="5"/>
      <c r="G845" s="5"/>
    </row>
    <row r="846" spans="3:7" ht="13">
      <c r="C846" s="80"/>
      <c r="D846" s="5"/>
      <c r="E846" s="5"/>
      <c r="F846" s="5"/>
      <c r="G846" s="5"/>
    </row>
    <row r="847" spans="3:7" ht="13">
      <c r="C847" s="80"/>
      <c r="D847" s="5"/>
      <c r="E847" s="5"/>
      <c r="F847" s="5"/>
      <c r="G847" s="5"/>
    </row>
    <row r="848" spans="3:7" ht="13">
      <c r="C848" s="80"/>
      <c r="D848" s="5"/>
      <c r="E848" s="5"/>
      <c r="F848" s="5"/>
      <c r="G848" s="5"/>
    </row>
    <row r="849" spans="3:7" ht="13">
      <c r="C849" s="80"/>
      <c r="D849" s="5"/>
      <c r="E849" s="5"/>
      <c r="F849" s="5"/>
      <c r="G849" s="5"/>
    </row>
    <row r="850" spans="3:7" ht="13">
      <c r="C850" s="80"/>
      <c r="D850" s="5"/>
      <c r="E850" s="5"/>
      <c r="F850" s="5"/>
      <c r="G850" s="5"/>
    </row>
    <row r="851" spans="3:7" ht="13">
      <c r="C851" s="80"/>
      <c r="D851" s="5"/>
      <c r="E851" s="5"/>
      <c r="F851" s="5"/>
      <c r="G851" s="5"/>
    </row>
    <row r="852" spans="3:7" ht="13">
      <c r="C852" s="80"/>
      <c r="D852" s="5"/>
      <c r="E852" s="5"/>
      <c r="F852" s="5"/>
      <c r="G852" s="5"/>
    </row>
    <row r="853" spans="3:7" ht="13">
      <c r="C853" s="80"/>
      <c r="D853" s="5"/>
      <c r="E853" s="5"/>
      <c r="F853" s="5"/>
      <c r="G853" s="5"/>
    </row>
    <row r="854" spans="3:7" ht="13">
      <c r="C854" s="80"/>
      <c r="D854" s="5"/>
      <c r="E854" s="5"/>
      <c r="F854" s="5"/>
      <c r="G854" s="5"/>
    </row>
    <row r="855" spans="3:7" ht="13">
      <c r="C855" s="80"/>
      <c r="D855" s="5"/>
      <c r="E855" s="5"/>
      <c r="F855" s="5"/>
      <c r="G855" s="5"/>
    </row>
    <row r="856" spans="3:7" ht="13">
      <c r="C856" s="80"/>
      <c r="D856" s="5"/>
      <c r="E856" s="5"/>
      <c r="F856" s="5"/>
      <c r="G856" s="5"/>
    </row>
    <row r="857" spans="3:7" ht="13">
      <c r="C857" s="80"/>
      <c r="D857" s="5"/>
      <c r="E857" s="5"/>
      <c r="F857" s="5"/>
      <c r="G857" s="5"/>
    </row>
    <row r="858" spans="3:7" ht="13">
      <c r="C858" s="80"/>
      <c r="D858" s="5"/>
      <c r="E858" s="5"/>
      <c r="F858" s="5"/>
      <c r="G858" s="5"/>
    </row>
    <row r="859" spans="3:7" ht="13">
      <c r="C859" s="80"/>
      <c r="D859" s="5"/>
      <c r="E859" s="5"/>
      <c r="F859" s="5"/>
      <c r="G859" s="5"/>
    </row>
    <row r="860" spans="3:7" ht="13">
      <c r="C860" s="80"/>
      <c r="D860" s="5"/>
      <c r="E860" s="5"/>
      <c r="F860" s="5"/>
      <c r="G860" s="5"/>
    </row>
    <row r="861" spans="3:7" ht="13">
      <c r="C861" s="80"/>
      <c r="D861" s="5"/>
      <c r="E861" s="5"/>
      <c r="F861" s="5"/>
      <c r="G861" s="5"/>
    </row>
    <row r="862" spans="3:7" ht="13">
      <c r="C862" s="80"/>
      <c r="D862" s="5"/>
      <c r="E862" s="5"/>
      <c r="F862" s="5"/>
      <c r="G862" s="5"/>
    </row>
    <row r="863" spans="3:7" ht="13">
      <c r="C863" s="80"/>
      <c r="D863" s="5"/>
      <c r="E863" s="5"/>
      <c r="F863" s="5"/>
      <c r="G863" s="5"/>
    </row>
    <row r="864" spans="3:7" ht="13">
      <c r="C864" s="80"/>
      <c r="D864" s="5"/>
      <c r="E864" s="5"/>
      <c r="F864" s="5"/>
      <c r="G864" s="5"/>
    </row>
    <row r="865" spans="3:7" ht="13">
      <c r="C865" s="80"/>
      <c r="D865" s="5"/>
      <c r="E865" s="5"/>
      <c r="F865" s="5"/>
      <c r="G865" s="5"/>
    </row>
    <row r="866" spans="3:7" ht="13">
      <c r="C866" s="80"/>
      <c r="D866" s="5"/>
      <c r="E866" s="5"/>
      <c r="F866" s="5"/>
      <c r="G866" s="5"/>
    </row>
    <row r="867" spans="3:7" ht="13">
      <c r="C867" s="80"/>
      <c r="D867" s="5"/>
      <c r="E867" s="5"/>
      <c r="F867" s="5"/>
      <c r="G867" s="5"/>
    </row>
    <row r="868" spans="3:7" ht="13">
      <c r="C868" s="80"/>
      <c r="D868" s="5"/>
      <c r="E868" s="5"/>
      <c r="F868" s="5"/>
      <c r="G868" s="5"/>
    </row>
    <row r="869" spans="3:7" ht="13">
      <c r="C869" s="80"/>
      <c r="D869" s="5"/>
      <c r="E869" s="5"/>
      <c r="F869" s="5"/>
      <c r="G869" s="5"/>
    </row>
    <row r="870" spans="3:7" ht="13">
      <c r="C870" s="80"/>
      <c r="D870" s="5"/>
      <c r="E870" s="5"/>
      <c r="F870" s="5"/>
      <c r="G870" s="5"/>
    </row>
    <row r="871" spans="3:7" ht="13">
      <c r="C871" s="80"/>
      <c r="D871" s="5"/>
      <c r="E871" s="5"/>
      <c r="F871" s="5"/>
      <c r="G871" s="5"/>
    </row>
    <row r="872" spans="3:7" ht="13">
      <c r="C872" s="80"/>
      <c r="D872" s="5"/>
      <c r="E872" s="5"/>
      <c r="F872" s="5"/>
      <c r="G872" s="5"/>
    </row>
    <row r="873" spans="3:7" ht="13">
      <c r="C873" s="80"/>
      <c r="D873" s="5"/>
      <c r="E873" s="5"/>
      <c r="F873" s="5"/>
      <c r="G873" s="5"/>
    </row>
    <row r="874" spans="3:7" ht="13">
      <c r="C874" s="80"/>
      <c r="D874" s="5"/>
      <c r="E874" s="5"/>
      <c r="F874" s="5"/>
      <c r="G874" s="5"/>
    </row>
    <row r="875" spans="3:7" ht="13">
      <c r="C875" s="80"/>
      <c r="D875" s="5"/>
      <c r="E875" s="5"/>
      <c r="F875" s="5"/>
      <c r="G875" s="5"/>
    </row>
    <row r="876" spans="3:7" ht="13">
      <c r="C876" s="80"/>
      <c r="D876" s="5"/>
      <c r="E876" s="5"/>
      <c r="F876" s="5"/>
      <c r="G876" s="5"/>
    </row>
    <row r="877" spans="3:7" ht="13">
      <c r="C877" s="80"/>
      <c r="D877" s="5"/>
      <c r="E877" s="5"/>
      <c r="F877" s="5"/>
      <c r="G877" s="5"/>
    </row>
    <row r="878" spans="3:7" ht="13">
      <c r="C878" s="80"/>
      <c r="D878" s="5"/>
      <c r="E878" s="5"/>
      <c r="F878" s="5"/>
      <c r="G878" s="5"/>
    </row>
    <row r="879" spans="3:7" ht="13">
      <c r="C879" s="80"/>
      <c r="D879" s="5"/>
      <c r="E879" s="5"/>
      <c r="F879" s="5"/>
      <c r="G879" s="5"/>
    </row>
    <row r="880" spans="3:7" ht="13">
      <c r="C880" s="80"/>
      <c r="D880" s="5"/>
      <c r="E880" s="5"/>
      <c r="F880" s="5"/>
      <c r="G880" s="5"/>
    </row>
    <row r="881" spans="3:7" ht="13">
      <c r="C881" s="80"/>
      <c r="D881" s="5"/>
      <c r="E881" s="5"/>
      <c r="F881" s="5"/>
      <c r="G881" s="5"/>
    </row>
    <row r="882" spans="3:7" ht="13">
      <c r="C882" s="80"/>
      <c r="D882" s="5"/>
      <c r="E882" s="5"/>
      <c r="F882" s="5"/>
      <c r="G882" s="5"/>
    </row>
    <row r="883" spans="3:7" ht="13">
      <c r="C883" s="80"/>
      <c r="D883" s="5"/>
      <c r="E883" s="5"/>
      <c r="F883" s="5"/>
      <c r="G883" s="5"/>
    </row>
    <row r="884" spans="3:7" ht="13">
      <c r="C884" s="80"/>
      <c r="D884" s="5"/>
      <c r="E884" s="5"/>
      <c r="F884" s="5"/>
      <c r="G884" s="5"/>
    </row>
    <row r="885" spans="3:7" ht="13">
      <c r="C885" s="80"/>
      <c r="D885" s="5"/>
      <c r="E885" s="5"/>
      <c r="F885" s="5"/>
      <c r="G885" s="5"/>
    </row>
    <row r="886" spans="3:7" ht="13">
      <c r="C886" s="80"/>
      <c r="D886" s="5"/>
      <c r="E886" s="5"/>
      <c r="F886" s="5"/>
      <c r="G886" s="5"/>
    </row>
    <row r="887" spans="3:7" ht="13">
      <c r="C887" s="80"/>
      <c r="D887" s="5"/>
      <c r="E887" s="5"/>
      <c r="F887" s="5"/>
      <c r="G887" s="5"/>
    </row>
    <row r="888" spans="3:7" ht="13">
      <c r="C888" s="80"/>
      <c r="D888" s="5"/>
      <c r="E888" s="5"/>
      <c r="F888" s="5"/>
      <c r="G888" s="5"/>
    </row>
    <row r="889" spans="3:7" ht="13">
      <c r="C889" s="80"/>
      <c r="D889" s="5"/>
      <c r="E889" s="5"/>
      <c r="F889" s="5"/>
      <c r="G889" s="5"/>
    </row>
    <row r="890" spans="3:7" ht="13">
      <c r="C890" s="80"/>
      <c r="D890" s="5"/>
      <c r="E890" s="5"/>
      <c r="F890" s="5"/>
      <c r="G890" s="5"/>
    </row>
    <row r="891" spans="3:7" ht="13">
      <c r="C891" s="80"/>
      <c r="D891" s="5"/>
      <c r="E891" s="5"/>
      <c r="F891" s="5"/>
      <c r="G891" s="5"/>
    </row>
    <row r="892" spans="3:7" ht="13">
      <c r="C892" s="80"/>
      <c r="D892" s="5"/>
      <c r="E892" s="5"/>
      <c r="F892" s="5"/>
      <c r="G892" s="5"/>
    </row>
    <row r="893" spans="3:7" ht="13">
      <c r="C893" s="80"/>
      <c r="D893" s="5"/>
      <c r="E893" s="5"/>
      <c r="F893" s="5"/>
      <c r="G893" s="5"/>
    </row>
    <row r="894" spans="3:7" ht="13">
      <c r="C894" s="80"/>
      <c r="D894" s="5"/>
      <c r="E894" s="5"/>
      <c r="F894" s="5"/>
      <c r="G894" s="5"/>
    </row>
    <row r="895" spans="3:7" ht="13">
      <c r="C895" s="80"/>
      <c r="D895" s="5"/>
      <c r="E895" s="5"/>
      <c r="F895" s="5"/>
      <c r="G895" s="5"/>
    </row>
    <row r="896" spans="3:7" ht="13">
      <c r="C896" s="80"/>
      <c r="D896" s="5"/>
      <c r="E896" s="5"/>
      <c r="F896" s="5"/>
      <c r="G896" s="5"/>
    </row>
    <row r="897" spans="3:7" ht="13">
      <c r="C897" s="80"/>
      <c r="D897" s="5"/>
      <c r="E897" s="5"/>
      <c r="F897" s="5"/>
      <c r="G897" s="5"/>
    </row>
    <row r="898" spans="3:7" ht="13">
      <c r="C898" s="80"/>
      <c r="D898" s="5"/>
      <c r="E898" s="5"/>
      <c r="F898" s="5"/>
      <c r="G898" s="5"/>
    </row>
    <row r="899" spans="3:7" ht="13">
      <c r="C899" s="80"/>
      <c r="D899" s="5"/>
      <c r="E899" s="5"/>
      <c r="F899" s="5"/>
      <c r="G899" s="5"/>
    </row>
    <row r="900" spans="3:7" ht="13">
      <c r="C900" s="80"/>
      <c r="D900" s="5"/>
      <c r="E900" s="5"/>
      <c r="F900" s="5"/>
      <c r="G900" s="5"/>
    </row>
    <row r="901" spans="3:7" ht="13">
      <c r="C901" s="80"/>
      <c r="D901" s="5"/>
      <c r="E901" s="5"/>
      <c r="F901" s="5"/>
      <c r="G901" s="5"/>
    </row>
    <row r="902" spans="3:7" ht="13">
      <c r="C902" s="80"/>
      <c r="D902" s="5"/>
      <c r="E902" s="5"/>
      <c r="F902" s="5"/>
      <c r="G902" s="5"/>
    </row>
    <row r="903" spans="3:7" ht="13">
      <c r="C903" s="80"/>
      <c r="D903" s="5"/>
      <c r="E903" s="5"/>
      <c r="F903" s="5"/>
      <c r="G903" s="5"/>
    </row>
    <row r="904" spans="3:7" ht="13">
      <c r="C904" s="80"/>
      <c r="D904" s="5"/>
      <c r="E904" s="5"/>
      <c r="F904" s="5"/>
      <c r="G904" s="5"/>
    </row>
    <row r="905" spans="3:7" ht="13">
      <c r="C905" s="80"/>
      <c r="D905" s="5"/>
      <c r="E905" s="5"/>
      <c r="F905" s="5"/>
      <c r="G905" s="5"/>
    </row>
    <row r="906" spans="3:7" ht="13">
      <c r="C906" s="80"/>
      <c r="D906" s="5"/>
      <c r="E906" s="5"/>
      <c r="F906" s="5"/>
      <c r="G906" s="5"/>
    </row>
    <row r="907" spans="3:7" ht="13">
      <c r="C907" s="80"/>
      <c r="D907" s="5"/>
      <c r="E907" s="5"/>
      <c r="F907" s="5"/>
      <c r="G907" s="5"/>
    </row>
    <row r="908" spans="3:7" ht="13">
      <c r="C908" s="80"/>
      <c r="D908" s="5"/>
      <c r="E908" s="5"/>
      <c r="F908" s="5"/>
      <c r="G908" s="5"/>
    </row>
    <row r="909" spans="3:7" ht="13">
      <c r="C909" s="80"/>
      <c r="D909" s="5"/>
      <c r="E909" s="5"/>
      <c r="F909" s="5"/>
      <c r="G909" s="5"/>
    </row>
    <row r="910" spans="3:7" ht="13">
      <c r="C910" s="80"/>
      <c r="D910" s="5"/>
      <c r="E910" s="5"/>
      <c r="F910" s="5"/>
      <c r="G910" s="5"/>
    </row>
    <row r="911" spans="3:7" ht="13">
      <c r="C911" s="80"/>
      <c r="D911" s="5"/>
      <c r="E911" s="5"/>
      <c r="F911" s="5"/>
      <c r="G911" s="5"/>
    </row>
    <row r="912" spans="3:7" ht="13">
      <c r="C912" s="80"/>
      <c r="D912" s="5"/>
      <c r="E912" s="5"/>
      <c r="F912" s="5"/>
      <c r="G912" s="5"/>
    </row>
    <row r="913" spans="3:7" ht="13">
      <c r="C913" s="80"/>
      <c r="D913" s="5"/>
      <c r="E913" s="5"/>
      <c r="F913" s="5"/>
      <c r="G913" s="5"/>
    </row>
    <row r="914" spans="3:7" ht="13">
      <c r="C914" s="80"/>
      <c r="D914" s="5"/>
      <c r="E914" s="5"/>
      <c r="F914" s="5"/>
      <c r="G914" s="5"/>
    </row>
    <row r="915" spans="3:7" ht="13">
      <c r="C915" s="80"/>
      <c r="D915" s="5"/>
      <c r="E915" s="5"/>
      <c r="F915" s="5"/>
      <c r="G915" s="5"/>
    </row>
    <row r="916" spans="3:7" ht="13">
      <c r="C916" s="80"/>
      <c r="D916" s="5"/>
      <c r="E916" s="5"/>
      <c r="F916" s="5"/>
      <c r="G916" s="5"/>
    </row>
    <row r="917" spans="3:7" ht="13">
      <c r="C917" s="80"/>
      <c r="D917" s="5"/>
      <c r="E917" s="5"/>
      <c r="F917" s="5"/>
      <c r="G917" s="5"/>
    </row>
    <row r="918" spans="3:7" ht="13">
      <c r="C918" s="80"/>
      <c r="D918" s="5"/>
      <c r="E918" s="5"/>
      <c r="F918" s="5"/>
      <c r="G918" s="5"/>
    </row>
    <row r="919" spans="3:7" ht="13">
      <c r="C919" s="80"/>
      <c r="D919" s="5"/>
      <c r="E919" s="5"/>
      <c r="F919" s="5"/>
      <c r="G919" s="5"/>
    </row>
    <row r="920" spans="3:7" ht="13">
      <c r="C920" s="80"/>
      <c r="D920" s="5"/>
      <c r="E920" s="5"/>
      <c r="F920" s="5"/>
      <c r="G920" s="5"/>
    </row>
    <row r="921" spans="3:7" ht="13">
      <c r="C921" s="80"/>
      <c r="D921" s="5"/>
      <c r="E921" s="5"/>
      <c r="F921" s="5"/>
      <c r="G921" s="5"/>
    </row>
    <row r="922" spans="3:7" ht="13">
      <c r="C922" s="80"/>
      <c r="D922" s="5"/>
      <c r="E922" s="5"/>
      <c r="F922" s="5"/>
      <c r="G922" s="5"/>
    </row>
    <row r="923" spans="3:7" ht="13">
      <c r="C923" s="80"/>
      <c r="D923" s="5"/>
      <c r="E923" s="5"/>
      <c r="F923" s="5"/>
      <c r="G923" s="5"/>
    </row>
    <row r="924" spans="3:7" ht="13">
      <c r="C924" s="80"/>
      <c r="D924" s="5"/>
      <c r="E924" s="5"/>
      <c r="F924" s="5"/>
      <c r="G924" s="5"/>
    </row>
    <row r="925" spans="3:7" ht="13">
      <c r="C925" s="80"/>
      <c r="D925" s="5"/>
      <c r="E925" s="5"/>
      <c r="F925" s="5"/>
      <c r="G925" s="5"/>
    </row>
    <row r="926" spans="3:7" ht="13">
      <c r="C926" s="80"/>
      <c r="D926" s="5"/>
      <c r="E926" s="5"/>
      <c r="F926" s="5"/>
      <c r="G926" s="5"/>
    </row>
    <row r="927" spans="3:7" ht="13">
      <c r="C927" s="80"/>
      <c r="D927" s="5"/>
      <c r="E927" s="5"/>
      <c r="F927" s="5"/>
      <c r="G927" s="5"/>
    </row>
    <row r="928" spans="3:7" ht="13">
      <c r="C928" s="80"/>
      <c r="D928" s="5"/>
      <c r="E928" s="5"/>
      <c r="F928" s="5"/>
      <c r="G928" s="5"/>
    </row>
    <row r="929" spans="3:7" ht="13">
      <c r="C929" s="80"/>
      <c r="D929" s="5"/>
      <c r="E929" s="5"/>
      <c r="F929" s="5"/>
      <c r="G929" s="5"/>
    </row>
    <row r="930" spans="3:7" ht="13">
      <c r="C930" s="80"/>
      <c r="D930" s="5"/>
      <c r="E930" s="5"/>
      <c r="F930" s="5"/>
      <c r="G930" s="5"/>
    </row>
    <row r="931" spans="3:7" ht="13">
      <c r="C931" s="80"/>
      <c r="D931" s="5"/>
      <c r="E931" s="5"/>
      <c r="F931" s="5"/>
      <c r="G931" s="5"/>
    </row>
    <row r="932" spans="3:7" ht="13">
      <c r="C932" s="80"/>
      <c r="D932" s="5"/>
      <c r="E932" s="5"/>
      <c r="F932" s="5"/>
      <c r="G932" s="5"/>
    </row>
    <row r="933" spans="3:7" ht="13">
      <c r="C933" s="80"/>
      <c r="D933" s="5"/>
      <c r="E933" s="5"/>
      <c r="F933" s="5"/>
      <c r="G933" s="5"/>
    </row>
    <row r="934" spans="3:7" ht="13">
      <c r="C934" s="80"/>
      <c r="D934" s="5"/>
      <c r="E934" s="5"/>
      <c r="F934" s="5"/>
      <c r="G934" s="5"/>
    </row>
    <row r="935" spans="3:7" ht="13">
      <c r="C935" s="80"/>
      <c r="D935" s="5"/>
      <c r="E935" s="5"/>
      <c r="F935" s="5"/>
      <c r="G935" s="5"/>
    </row>
    <row r="936" spans="3:7" ht="13">
      <c r="C936" s="80"/>
      <c r="D936" s="5"/>
      <c r="E936" s="5"/>
      <c r="F936" s="5"/>
      <c r="G936" s="5"/>
    </row>
    <row r="937" spans="3:7" ht="13">
      <c r="C937" s="80"/>
      <c r="D937" s="5"/>
      <c r="E937" s="5"/>
      <c r="F937" s="5"/>
      <c r="G937" s="5"/>
    </row>
    <row r="938" spans="3:7" ht="13">
      <c r="C938" s="80"/>
      <c r="D938" s="5"/>
      <c r="E938" s="5"/>
      <c r="F938" s="5"/>
      <c r="G938" s="5"/>
    </row>
    <row r="939" spans="3:7" ht="13">
      <c r="C939" s="80"/>
      <c r="D939" s="5"/>
      <c r="E939" s="5"/>
      <c r="F939" s="5"/>
      <c r="G939" s="5"/>
    </row>
    <row r="940" spans="3:7" ht="13">
      <c r="C940" s="80"/>
      <c r="D940" s="5"/>
      <c r="E940" s="5"/>
      <c r="F940" s="5"/>
      <c r="G940" s="5"/>
    </row>
    <row r="941" spans="3:7" ht="13">
      <c r="C941" s="80"/>
      <c r="D941" s="5"/>
      <c r="E941" s="5"/>
      <c r="F941" s="5"/>
      <c r="G941" s="5"/>
    </row>
    <row r="942" spans="3:7" ht="13">
      <c r="C942" s="80"/>
      <c r="D942" s="5"/>
      <c r="E942" s="5"/>
      <c r="F942" s="5"/>
      <c r="G942" s="5"/>
    </row>
    <row r="943" spans="3:7" ht="13">
      <c r="C943" s="80"/>
      <c r="D943" s="5"/>
      <c r="E943" s="5"/>
      <c r="F943" s="5"/>
      <c r="G943" s="5"/>
    </row>
    <row r="944" spans="3:7" ht="13">
      <c r="C944" s="80"/>
      <c r="D944" s="5"/>
      <c r="E944" s="5"/>
      <c r="F944" s="5"/>
      <c r="G944" s="5"/>
    </row>
    <row r="945" spans="3:7" ht="13">
      <c r="C945" s="80"/>
      <c r="D945" s="5"/>
      <c r="E945" s="5"/>
      <c r="F945" s="5"/>
      <c r="G945" s="5"/>
    </row>
    <row r="946" spans="3:7" ht="13">
      <c r="C946" s="80"/>
      <c r="D946" s="5"/>
      <c r="E946" s="5"/>
      <c r="F946" s="5"/>
      <c r="G946" s="5"/>
    </row>
    <row r="947" spans="3:7" ht="13">
      <c r="C947" s="80"/>
      <c r="D947" s="5"/>
      <c r="E947" s="5"/>
      <c r="F947" s="5"/>
      <c r="G947" s="5"/>
    </row>
    <row r="948" spans="3:7" ht="13">
      <c r="C948" s="80"/>
      <c r="D948" s="5"/>
      <c r="E948" s="5"/>
      <c r="F948" s="5"/>
      <c r="G948" s="5"/>
    </row>
    <row r="949" spans="3:7" ht="13">
      <c r="C949" s="80"/>
      <c r="D949" s="5"/>
      <c r="E949" s="5"/>
      <c r="F949" s="5"/>
      <c r="G949" s="5"/>
    </row>
    <row r="950" spans="3:7" ht="13">
      <c r="C950" s="80"/>
      <c r="D950" s="5"/>
      <c r="E950" s="5"/>
      <c r="F950" s="5"/>
      <c r="G950" s="5"/>
    </row>
    <row r="951" spans="3:7" ht="13">
      <c r="C951" s="80"/>
      <c r="D951" s="5"/>
      <c r="E951" s="5"/>
      <c r="F951" s="5"/>
      <c r="G951" s="5"/>
    </row>
    <row r="952" spans="3:7" ht="13">
      <c r="C952" s="80"/>
      <c r="D952" s="5"/>
      <c r="E952" s="5"/>
      <c r="F952" s="5"/>
      <c r="G952" s="5"/>
    </row>
    <row r="953" spans="3:7" ht="13">
      <c r="C953" s="80"/>
      <c r="D953" s="5"/>
      <c r="E953" s="5"/>
      <c r="F953" s="5"/>
      <c r="G953" s="5"/>
    </row>
    <row r="954" spans="3:7" ht="13">
      <c r="C954" s="80"/>
      <c r="D954" s="5"/>
      <c r="E954" s="5"/>
      <c r="F954" s="5"/>
      <c r="G954" s="5"/>
    </row>
    <row r="955" spans="3:7" ht="13">
      <c r="C955" s="80"/>
      <c r="D955" s="5"/>
      <c r="E955" s="5"/>
      <c r="F955" s="5"/>
      <c r="G955" s="5"/>
    </row>
    <row r="956" spans="3:7" ht="13">
      <c r="C956" s="80"/>
      <c r="D956" s="5"/>
      <c r="E956" s="5"/>
      <c r="F956" s="5"/>
      <c r="G956" s="5"/>
    </row>
    <row r="957" spans="3:7" ht="13">
      <c r="C957" s="80"/>
      <c r="D957" s="5"/>
      <c r="E957" s="5"/>
      <c r="F957" s="5"/>
      <c r="G957" s="5"/>
    </row>
    <row r="958" spans="3:7" ht="13">
      <c r="C958" s="80"/>
      <c r="D958" s="5"/>
      <c r="E958" s="5"/>
      <c r="F958" s="5"/>
      <c r="G958" s="5"/>
    </row>
    <row r="959" spans="3:7" ht="13">
      <c r="C959" s="80"/>
      <c r="D959" s="5"/>
      <c r="E959" s="5"/>
      <c r="F959" s="5"/>
      <c r="G959" s="5"/>
    </row>
    <row r="960" spans="3:7" ht="13">
      <c r="C960" s="80"/>
      <c r="D960" s="5"/>
      <c r="E960" s="5"/>
      <c r="F960" s="5"/>
      <c r="G960" s="5"/>
    </row>
    <row r="961" spans="3:7" ht="13">
      <c r="C961" s="80"/>
      <c r="D961" s="5"/>
      <c r="E961" s="5"/>
      <c r="F961" s="5"/>
      <c r="G961" s="5"/>
    </row>
    <row r="962" spans="3:7" ht="13">
      <c r="C962" s="80"/>
      <c r="D962" s="5"/>
      <c r="E962" s="5"/>
      <c r="F962" s="5"/>
      <c r="G962" s="5"/>
    </row>
    <row r="963" spans="3:7" ht="13">
      <c r="C963" s="80"/>
      <c r="D963" s="5"/>
      <c r="E963" s="5"/>
      <c r="F963" s="5"/>
      <c r="G963" s="5"/>
    </row>
    <row r="964" spans="3:7" ht="13">
      <c r="C964" s="80"/>
      <c r="D964" s="5"/>
      <c r="E964" s="5"/>
      <c r="F964" s="5"/>
      <c r="G964" s="5"/>
    </row>
    <row r="965" spans="3:7" ht="13">
      <c r="C965" s="80"/>
      <c r="D965" s="5"/>
      <c r="E965" s="5"/>
      <c r="F965" s="5"/>
      <c r="G965" s="5"/>
    </row>
    <row r="966" spans="3:7" ht="13">
      <c r="C966" s="80"/>
      <c r="D966" s="5"/>
      <c r="E966" s="5"/>
      <c r="F966" s="5"/>
      <c r="G966" s="5"/>
    </row>
    <row r="967" spans="3:7" ht="13">
      <c r="C967" s="80"/>
      <c r="D967" s="5"/>
      <c r="E967" s="5"/>
      <c r="F967" s="5"/>
      <c r="G967" s="5"/>
    </row>
    <row r="968" spans="3:7" ht="13">
      <c r="C968" s="80"/>
      <c r="D968" s="5"/>
      <c r="E968" s="5"/>
      <c r="F968" s="5"/>
      <c r="G968" s="5"/>
    </row>
    <row r="969" spans="3:7" ht="13">
      <c r="C969" s="80"/>
      <c r="D969" s="5"/>
      <c r="E969" s="5"/>
      <c r="F969" s="5"/>
      <c r="G969" s="5"/>
    </row>
    <row r="970" spans="3:7" ht="13">
      <c r="C970" s="80"/>
      <c r="D970" s="5"/>
      <c r="E970" s="5"/>
      <c r="F970" s="5"/>
      <c r="G970" s="5"/>
    </row>
    <row r="971" spans="3:7" ht="13">
      <c r="C971" s="80"/>
      <c r="D971" s="5"/>
      <c r="E971" s="5"/>
      <c r="F971" s="5"/>
      <c r="G971" s="5"/>
    </row>
    <row r="972" spans="3:7" ht="13">
      <c r="C972" s="80"/>
      <c r="D972" s="5"/>
      <c r="E972" s="5"/>
      <c r="F972" s="5"/>
      <c r="G972" s="5"/>
    </row>
    <row r="973" spans="3:7" ht="13">
      <c r="C973" s="80"/>
      <c r="D973" s="5"/>
      <c r="E973" s="5"/>
      <c r="F973" s="5"/>
      <c r="G973" s="5"/>
    </row>
    <row r="974" spans="3:7" ht="13">
      <c r="C974" s="80"/>
      <c r="D974" s="5"/>
      <c r="E974" s="5"/>
      <c r="F974" s="5"/>
      <c r="G974" s="5"/>
    </row>
    <row r="975" spans="3:7" ht="13">
      <c r="C975" s="80"/>
      <c r="D975" s="5"/>
      <c r="E975" s="5"/>
      <c r="F975" s="5"/>
      <c r="G975" s="5"/>
    </row>
    <row r="976" spans="3:7" ht="13">
      <c r="C976" s="80"/>
      <c r="D976" s="5"/>
      <c r="E976" s="5"/>
      <c r="F976" s="5"/>
      <c r="G976" s="5"/>
    </row>
    <row r="977" spans="3:7" ht="13">
      <c r="C977" s="80"/>
      <c r="D977" s="5"/>
      <c r="E977" s="5"/>
      <c r="F977" s="5"/>
      <c r="G977" s="5"/>
    </row>
    <row r="978" spans="3:7" ht="13">
      <c r="C978" s="80"/>
      <c r="D978" s="5"/>
      <c r="E978" s="5"/>
      <c r="F978" s="5"/>
      <c r="G978" s="5"/>
    </row>
    <row r="979" spans="3:7" ht="13">
      <c r="C979" s="80"/>
      <c r="D979" s="5"/>
      <c r="E979" s="5"/>
      <c r="F979" s="5"/>
      <c r="G979" s="5"/>
    </row>
    <row r="980" spans="3:7" ht="13">
      <c r="C980" s="80"/>
      <c r="D980" s="5"/>
      <c r="E980" s="5"/>
      <c r="F980" s="5"/>
      <c r="G980" s="5"/>
    </row>
    <row r="981" spans="3:7" ht="13">
      <c r="C981" s="80"/>
      <c r="D981" s="5"/>
      <c r="E981" s="5"/>
      <c r="F981" s="5"/>
      <c r="G981" s="5"/>
    </row>
    <row r="982" spans="3:7" ht="13">
      <c r="C982" s="80"/>
      <c r="D982" s="5"/>
      <c r="E982" s="5"/>
      <c r="F982" s="5"/>
      <c r="G982" s="5"/>
    </row>
    <row r="983" spans="3:7" ht="13">
      <c r="C983" s="80"/>
      <c r="D983" s="5"/>
      <c r="E983" s="5"/>
      <c r="F983" s="5"/>
      <c r="G983" s="5"/>
    </row>
    <row r="984" spans="3:7" ht="13">
      <c r="C984" s="80"/>
      <c r="D984" s="5"/>
      <c r="E984" s="5"/>
      <c r="F984" s="5"/>
      <c r="G984" s="5"/>
    </row>
    <row r="985" spans="3:7" ht="13">
      <c r="C985" s="80"/>
      <c r="D985" s="5"/>
      <c r="E985" s="5"/>
      <c r="F985" s="5"/>
      <c r="G985" s="5"/>
    </row>
    <row r="986" spans="3:7" ht="13">
      <c r="C986" s="80"/>
      <c r="D986" s="5"/>
      <c r="E986" s="5"/>
      <c r="F986" s="5"/>
      <c r="G986" s="5"/>
    </row>
    <row r="987" spans="3:7" ht="13">
      <c r="C987" s="80"/>
      <c r="D987" s="5"/>
      <c r="E987" s="5"/>
      <c r="F987" s="5"/>
      <c r="G987" s="5"/>
    </row>
    <row r="988" spans="3:7" ht="13">
      <c r="C988" s="80"/>
      <c r="D988" s="5"/>
      <c r="E988" s="5"/>
      <c r="F988" s="5"/>
      <c r="G988" s="5"/>
    </row>
    <row r="989" spans="3:7" ht="13">
      <c r="C989" s="80"/>
      <c r="D989" s="5"/>
      <c r="E989" s="5"/>
      <c r="F989" s="5"/>
      <c r="G989" s="5"/>
    </row>
    <row r="990" spans="3:7" ht="13">
      <c r="C990" s="80"/>
      <c r="D990" s="5"/>
      <c r="E990" s="5"/>
      <c r="F990" s="5"/>
      <c r="G990" s="5"/>
    </row>
    <row r="991" spans="3:7" ht="13">
      <c r="C991" s="80"/>
      <c r="D991" s="5"/>
      <c r="E991" s="5"/>
      <c r="F991" s="5"/>
      <c r="G991" s="5"/>
    </row>
    <row r="992" spans="3:7" ht="13">
      <c r="C992" s="80"/>
      <c r="D992" s="5"/>
      <c r="E992" s="5"/>
      <c r="F992" s="5"/>
      <c r="G992" s="5"/>
    </row>
    <row r="993" spans="3:7" ht="13">
      <c r="C993" s="80"/>
      <c r="D993" s="5"/>
      <c r="E993" s="5"/>
      <c r="F993" s="5"/>
      <c r="G993" s="5"/>
    </row>
    <row r="994" spans="3:7" ht="13">
      <c r="C994" s="80"/>
      <c r="D994" s="5"/>
      <c r="E994" s="5"/>
      <c r="F994" s="5"/>
      <c r="G994" s="5"/>
    </row>
    <row r="995" spans="3:7" ht="13">
      <c r="C995" s="80"/>
      <c r="D995" s="5"/>
      <c r="E995" s="5"/>
      <c r="F995" s="5"/>
      <c r="G995" s="5"/>
    </row>
    <row r="996" spans="3:7" ht="13">
      <c r="C996" s="80"/>
      <c r="D996" s="5"/>
      <c r="E996" s="5"/>
      <c r="F996" s="5"/>
      <c r="G996" s="5"/>
    </row>
    <row r="997" spans="3:7" ht="13">
      <c r="C997" s="80"/>
      <c r="D997" s="5"/>
      <c r="E997" s="5"/>
      <c r="F997" s="5"/>
      <c r="G997" s="5"/>
    </row>
    <row r="998" spans="3:7" ht="13">
      <c r="C998" s="80"/>
      <c r="D998" s="5"/>
      <c r="E998" s="5"/>
      <c r="F998" s="5"/>
      <c r="G998" s="5"/>
    </row>
    <row r="999" spans="3:7" ht="13">
      <c r="C999" s="80"/>
      <c r="D999" s="5"/>
      <c r="E999" s="5"/>
      <c r="F999" s="5"/>
      <c r="G999" s="5"/>
    </row>
    <row r="1000" spans="3:7" ht="13">
      <c r="C1000" s="80"/>
      <c r="D1000" s="5"/>
      <c r="E1000" s="5"/>
      <c r="F1000" s="5"/>
      <c r="G1000" s="5"/>
    </row>
    <row r="1001" spans="3:7" ht="13">
      <c r="C1001" s="80"/>
      <c r="D1001" s="5"/>
      <c r="E1001" s="5"/>
      <c r="F1001" s="5"/>
      <c r="G1001" s="5"/>
    </row>
    <row r="1002" spans="3:7" ht="13">
      <c r="C1002" s="80"/>
      <c r="D1002" s="5"/>
      <c r="E1002" s="5"/>
      <c r="F1002" s="5"/>
      <c r="G1002" s="5"/>
    </row>
  </sheetData>
  <hyperlinks>
    <hyperlink ref="B5" r:id="rId1" xr:uid="{00000000-0004-0000-5900-000000000000}"/>
    <hyperlink ref="B6" r:id="rId2" xr:uid="{00000000-0004-0000-5900-000001000000}"/>
    <hyperlink ref="B7" r:id="rId3" xr:uid="{00000000-0004-0000-5900-000002000000}"/>
    <hyperlink ref="B8" r:id="rId4" xr:uid="{00000000-0004-0000-5900-000003000000}"/>
    <hyperlink ref="B9" r:id="rId5" xr:uid="{00000000-0004-0000-5900-000004000000}"/>
    <hyperlink ref="B10" r:id="rId6" xr:uid="{00000000-0004-0000-5900-000005000000}"/>
    <hyperlink ref="B11" r:id="rId7" xr:uid="{00000000-0004-0000-5900-000006000000}"/>
    <hyperlink ref="B12" r:id="rId8" xr:uid="{00000000-0004-0000-5900-000007000000}"/>
    <hyperlink ref="B13" r:id="rId9" xr:uid="{00000000-0004-0000-5900-000008000000}"/>
    <hyperlink ref="B14" r:id="rId10" xr:uid="{00000000-0004-0000-5900-000009000000}"/>
    <hyperlink ref="B15" r:id="rId11" xr:uid="{00000000-0004-0000-5900-00000A000000}"/>
    <hyperlink ref="B16" r:id="rId12" xr:uid="{00000000-0004-0000-5900-00000B000000}"/>
    <hyperlink ref="B18" r:id="rId13" xr:uid="{00000000-0004-0000-5900-00000C000000}"/>
    <hyperlink ref="B19" r:id="rId14" xr:uid="{00000000-0004-0000-5900-00000D000000}"/>
    <hyperlink ref="B20" r:id="rId15" xr:uid="{00000000-0004-0000-5900-00000E000000}"/>
    <hyperlink ref="B21" r:id="rId16" xr:uid="{00000000-0004-0000-5900-00000F000000}"/>
    <hyperlink ref="B22" r:id="rId17" xr:uid="{00000000-0004-0000-5900-000010000000}"/>
    <hyperlink ref="B23" r:id="rId18" xr:uid="{00000000-0004-0000-5900-000011000000}"/>
    <hyperlink ref="B24" r:id="rId19" xr:uid="{00000000-0004-0000-5900-000012000000}"/>
    <hyperlink ref="B25" r:id="rId20" xr:uid="{00000000-0004-0000-5900-000013000000}"/>
    <hyperlink ref="B26" r:id="rId21" xr:uid="{00000000-0004-0000-5900-000014000000}"/>
    <hyperlink ref="B27" r:id="rId22" xr:uid="{00000000-0004-0000-5900-000015000000}"/>
    <hyperlink ref="B28" r:id="rId23" xr:uid="{00000000-0004-0000-5900-000016000000}"/>
    <hyperlink ref="B29" r:id="rId24" xr:uid="{00000000-0004-0000-5900-000017000000}"/>
    <hyperlink ref="B30" r:id="rId25" xr:uid="{00000000-0004-0000-5900-000018000000}"/>
    <hyperlink ref="B31" r:id="rId26" xr:uid="{00000000-0004-0000-5900-000019000000}"/>
    <hyperlink ref="B32" r:id="rId27" xr:uid="{00000000-0004-0000-5900-00001A000000}"/>
    <hyperlink ref="B33" r:id="rId28" xr:uid="{00000000-0004-0000-5900-00001B000000}"/>
    <hyperlink ref="B34" r:id="rId29" xr:uid="{00000000-0004-0000-5900-00001C000000}"/>
    <hyperlink ref="B35" r:id="rId30" xr:uid="{00000000-0004-0000-5900-00001D000000}"/>
    <hyperlink ref="B36" r:id="rId31" xr:uid="{00000000-0004-0000-5900-00001E000000}"/>
    <hyperlink ref="B37" r:id="rId32" xr:uid="{00000000-0004-0000-5900-00001F000000}"/>
    <hyperlink ref="B38" r:id="rId33" xr:uid="{00000000-0004-0000-5900-000020000000}"/>
    <hyperlink ref="B39" r:id="rId34" xr:uid="{00000000-0004-0000-5900-000021000000}"/>
    <hyperlink ref="B40" r:id="rId35" xr:uid="{00000000-0004-0000-5900-000022000000}"/>
    <hyperlink ref="B41" r:id="rId36" xr:uid="{00000000-0004-0000-5900-000023000000}"/>
    <hyperlink ref="B42" r:id="rId37" xr:uid="{00000000-0004-0000-5900-000024000000}"/>
    <hyperlink ref="B44" r:id="rId38" xr:uid="{00000000-0004-0000-5900-000025000000}"/>
    <hyperlink ref="B45" r:id="rId39" xr:uid="{00000000-0004-0000-5900-000026000000}"/>
    <hyperlink ref="B46" r:id="rId40" xr:uid="{00000000-0004-0000-5900-000027000000}"/>
    <hyperlink ref="B47" r:id="rId41" xr:uid="{00000000-0004-0000-5900-000028000000}"/>
    <hyperlink ref="B48" r:id="rId42" xr:uid="{00000000-0004-0000-5900-000029000000}"/>
    <hyperlink ref="B49" r:id="rId43" xr:uid="{00000000-0004-0000-5900-00002A000000}"/>
    <hyperlink ref="B50" r:id="rId44" xr:uid="{00000000-0004-0000-5900-00002B000000}"/>
    <hyperlink ref="B51" r:id="rId45" xr:uid="{00000000-0004-0000-5900-00002C000000}"/>
    <hyperlink ref="B52" r:id="rId46" xr:uid="{00000000-0004-0000-5900-00002D000000}"/>
    <hyperlink ref="B53" r:id="rId47" xr:uid="{00000000-0004-0000-5900-00002E000000}"/>
    <hyperlink ref="B54" r:id="rId48" xr:uid="{00000000-0004-0000-5900-00002F000000}"/>
    <hyperlink ref="B55" r:id="rId49" xr:uid="{00000000-0004-0000-5900-000030000000}"/>
    <hyperlink ref="B56" r:id="rId50" xr:uid="{00000000-0004-0000-5900-000031000000}"/>
    <hyperlink ref="B57" r:id="rId51" xr:uid="{00000000-0004-0000-5900-000032000000}"/>
    <hyperlink ref="B58" r:id="rId52" xr:uid="{00000000-0004-0000-5900-000033000000}"/>
    <hyperlink ref="B59" r:id="rId53" xr:uid="{00000000-0004-0000-5900-000034000000}"/>
    <hyperlink ref="B60" r:id="rId54" xr:uid="{00000000-0004-0000-5900-000035000000}"/>
    <hyperlink ref="B61" r:id="rId55" xr:uid="{00000000-0004-0000-5900-000036000000}"/>
    <hyperlink ref="B63" r:id="rId56" xr:uid="{00000000-0004-0000-5900-000037000000}"/>
    <hyperlink ref="B64" r:id="rId57" xr:uid="{00000000-0004-0000-5900-000038000000}"/>
    <hyperlink ref="B65" r:id="rId58" xr:uid="{00000000-0004-0000-5900-000039000000}"/>
    <hyperlink ref="B68" r:id="rId59" xr:uid="{00000000-0004-0000-5900-00003A000000}"/>
    <hyperlink ref="B69" r:id="rId60" xr:uid="{00000000-0004-0000-5900-00003B000000}"/>
    <hyperlink ref="B70" r:id="rId61" xr:uid="{00000000-0004-0000-5900-00003C000000}"/>
    <hyperlink ref="B71" r:id="rId62" xr:uid="{00000000-0004-0000-5900-00003D000000}"/>
    <hyperlink ref="B72" r:id="rId63" xr:uid="{00000000-0004-0000-5900-00003E000000}"/>
    <hyperlink ref="B73" r:id="rId64" xr:uid="{00000000-0004-0000-5900-00003F000000}"/>
    <hyperlink ref="B74" r:id="rId65" xr:uid="{00000000-0004-0000-5900-000040000000}"/>
    <hyperlink ref="B75" r:id="rId66" xr:uid="{00000000-0004-0000-5900-000041000000}"/>
    <hyperlink ref="B76" r:id="rId67" xr:uid="{00000000-0004-0000-5900-000042000000}"/>
    <hyperlink ref="B77" r:id="rId68" xr:uid="{00000000-0004-0000-5900-000043000000}"/>
    <hyperlink ref="B78" r:id="rId69" xr:uid="{00000000-0004-0000-5900-000044000000}"/>
    <hyperlink ref="B79" r:id="rId70" xr:uid="{00000000-0004-0000-5900-000045000000}"/>
    <hyperlink ref="B80" r:id="rId71" xr:uid="{00000000-0004-0000-5900-000046000000}"/>
    <hyperlink ref="B82" r:id="rId72" xr:uid="{00000000-0004-0000-5900-000047000000}"/>
    <hyperlink ref="B83" r:id="rId73" xr:uid="{00000000-0004-0000-5900-000048000000}"/>
    <hyperlink ref="B84" r:id="rId74" xr:uid="{00000000-0004-0000-5900-000049000000}"/>
    <hyperlink ref="B85" r:id="rId75" xr:uid="{00000000-0004-0000-5900-00004A000000}"/>
    <hyperlink ref="B86" r:id="rId76" xr:uid="{00000000-0004-0000-5900-00004B000000}"/>
    <hyperlink ref="B87" r:id="rId77" xr:uid="{00000000-0004-0000-5900-00004C000000}"/>
    <hyperlink ref="B88" r:id="rId78" xr:uid="{00000000-0004-0000-5900-00004D000000}"/>
    <hyperlink ref="B89" r:id="rId79" xr:uid="{00000000-0004-0000-5900-00004E000000}"/>
    <hyperlink ref="B90" r:id="rId80" xr:uid="{00000000-0004-0000-5900-00004F000000}"/>
    <hyperlink ref="B91" r:id="rId81" xr:uid="{00000000-0004-0000-5900-000050000000}"/>
    <hyperlink ref="B92" r:id="rId82" xr:uid="{00000000-0004-0000-5900-000051000000}"/>
    <hyperlink ref="B95" r:id="rId83" xr:uid="{00000000-0004-0000-5900-000052000000}"/>
    <hyperlink ref="B96" r:id="rId84" xr:uid="{00000000-0004-0000-5900-000053000000}"/>
    <hyperlink ref="B97" r:id="rId85" xr:uid="{00000000-0004-0000-5900-000054000000}"/>
    <hyperlink ref="B98" r:id="rId86" xr:uid="{00000000-0004-0000-5900-000055000000}"/>
    <hyperlink ref="B99" r:id="rId87" xr:uid="{00000000-0004-0000-5900-000056000000}"/>
    <hyperlink ref="B100" r:id="rId88" xr:uid="{00000000-0004-0000-5900-000057000000}"/>
    <hyperlink ref="B101" r:id="rId89" xr:uid="{00000000-0004-0000-5900-000058000000}"/>
    <hyperlink ref="B102" r:id="rId90" xr:uid="{00000000-0004-0000-5900-000059000000}"/>
    <hyperlink ref="B103" r:id="rId91" xr:uid="{00000000-0004-0000-5900-00005A000000}"/>
    <hyperlink ref="B106" r:id="rId92" xr:uid="{00000000-0004-0000-5900-00005B000000}"/>
    <hyperlink ref="B107" r:id="rId93" xr:uid="{00000000-0004-0000-5900-00005C000000}"/>
    <hyperlink ref="B108" r:id="rId94" xr:uid="{00000000-0004-0000-5900-00005D000000}"/>
    <hyperlink ref="B109" r:id="rId95" xr:uid="{00000000-0004-0000-5900-00005E000000}"/>
    <hyperlink ref="B110" r:id="rId96" xr:uid="{00000000-0004-0000-5900-00005F000000}"/>
    <hyperlink ref="B111" r:id="rId97" xr:uid="{00000000-0004-0000-5900-000060000000}"/>
    <hyperlink ref="B112" r:id="rId98" xr:uid="{00000000-0004-0000-5900-000061000000}"/>
    <hyperlink ref="B113" r:id="rId99" xr:uid="{00000000-0004-0000-5900-000062000000}"/>
    <hyperlink ref="B114" r:id="rId100" xr:uid="{00000000-0004-0000-5900-000063000000}"/>
    <hyperlink ref="B115" r:id="rId101" xr:uid="{00000000-0004-0000-5900-000064000000}"/>
    <hyperlink ref="B116" r:id="rId102" xr:uid="{00000000-0004-0000-5900-000065000000}"/>
    <hyperlink ref="B117" r:id="rId103" xr:uid="{00000000-0004-0000-5900-000066000000}"/>
    <hyperlink ref="B118" r:id="rId104" xr:uid="{00000000-0004-0000-5900-000067000000}"/>
    <hyperlink ref="B119" r:id="rId105" xr:uid="{00000000-0004-0000-5900-000068000000}"/>
    <hyperlink ref="B121" r:id="rId106" xr:uid="{00000000-0004-0000-5900-000069000000}"/>
    <hyperlink ref="B122" r:id="rId107" xr:uid="{00000000-0004-0000-5900-00006A000000}"/>
    <hyperlink ref="B123" r:id="rId108" xr:uid="{00000000-0004-0000-5900-00006B000000}"/>
    <hyperlink ref="B125" r:id="rId109" xr:uid="{00000000-0004-0000-5900-00006C000000}"/>
    <hyperlink ref="B126" r:id="rId110" xr:uid="{00000000-0004-0000-5900-00006D000000}"/>
    <hyperlink ref="B127" r:id="rId111" xr:uid="{00000000-0004-0000-5900-00006E000000}"/>
    <hyperlink ref="B128" r:id="rId112" xr:uid="{00000000-0004-0000-5900-00006F000000}"/>
    <hyperlink ref="B129" r:id="rId113" xr:uid="{00000000-0004-0000-5900-000070000000}"/>
    <hyperlink ref="B130" r:id="rId114" xr:uid="{00000000-0004-0000-5900-000071000000}"/>
    <hyperlink ref="B131" r:id="rId115" xr:uid="{00000000-0004-0000-5900-000072000000}"/>
    <hyperlink ref="B132" r:id="rId116" xr:uid="{00000000-0004-0000-5900-000073000000}"/>
    <hyperlink ref="B133" r:id="rId117" xr:uid="{00000000-0004-0000-5900-000074000000}"/>
    <hyperlink ref="B134" r:id="rId118" xr:uid="{00000000-0004-0000-5900-000075000000}"/>
    <hyperlink ref="B135" r:id="rId119" xr:uid="{00000000-0004-0000-5900-000076000000}"/>
    <hyperlink ref="B136" r:id="rId120" xr:uid="{00000000-0004-0000-5900-000077000000}"/>
    <hyperlink ref="B137" r:id="rId121" xr:uid="{00000000-0004-0000-5900-000078000000}"/>
    <hyperlink ref="B138" r:id="rId122" xr:uid="{00000000-0004-0000-5900-000079000000}"/>
    <hyperlink ref="B139" r:id="rId123" xr:uid="{00000000-0004-0000-5900-00007A000000}"/>
    <hyperlink ref="B141" r:id="rId124" xr:uid="{00000000-0004-0000-5900-00007B000000}"/>
    <hyperlink ref="B142" r:id="rId125" xr:uid="{00000000-0004-0000-5900-00007C000000}"/>
    <hyperlink ref="B152" r:id="rId126" xr:uid="{00000000-0004-0000-5900-00007D000000}"/>
    <hyperlink ref="B153" r:id="rId127" xr:uid="{00000000-0004-0000-5900-00007E000000}"/>
    <hyperlink ref="B154" r:id="rId128" xr:uid="{00000000-0004-0000-5900-00007F000000}"/>
    <hyperlink ref="B155" r:id="rId129" xr:uid="{00000000-0004-0000-5900-000080000000}"/>
    <hyperlink ref="B156" r:id="rId130" xr:uid="{00000000-0004-0000-5900-000081000000}"/>
    <hyperlink ref="B157" r:id="rId131" xr:uid="{00000000-0004-0000-5900-000082000000}"/>
    <hyperlink ref="B158" r:id="rId132" xr:uid="{00000000-0004-0000-5900-000083000000}"/>
    <hyperlink ref="B159" r:id="rId133" xr:uid="{00000000-0004-0000-5900-000084000000}"/>
    <hyperlink ref="B160" r:id="rId134" xr:uid="{00000000-0004-0000-5900-000085000000}"/>
    <hyperlink ref="B170" r:id="rId135" xr:uid="{00000000-0004-0000-5900-000086000000}"/>
    <hyperlink ref="B171" r:id="rId136" xr:uid="{00000000-0004-0000-5900-000087000000}"/>
    <hyperlink ref="B172" r:id="rId137" xr:uid="{00000000-0004-0000-5900-000088000000}"/>
    <hyperlink ref="B173" r:id="rId138" xr:uid="{00000000-0004-0000-5900-000089000000}"/>
    <hyperlink ref="B174" r:id="rId139" xr:uid="{00000000-0004-0000-5900-00008A000000}"/>
    <hyperlink ref="B175" r:id="rId140" xr:uid="{00000000-0004-0000-5900-00008B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1">
    <outlinePr summaryBelow="0" summaryRight="0"/>
  </sheetPr>
  <dimension ref="A1:Z1005"/>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83203125" customWidth="1"/>
    <col min="3" max="3" width="9.6640625" customWidth="1"/>
    <col min="4" max="4" width="14.83203125" customWidth="1"/>
    <col min="5" max="5" width="14.33203125" customWidth="1"/>
    <col min="7" max="7" width="13.1640625" customWidth="1"/>
  </cols>
  <sheetData>
    <row r="1" spans="1:26" ht="15.75" customHeight="1">
      <c r="A1" s="1" t="s">
        <v>105</v>
      </c>
      <c r="C1" s="80"/>
      <c r="D1" s="81" t="s">
        <v>181</v>
      </c>
      <c r="E1" s="5"/>
      <c r="F1" s="5"/>
      <c r="G1" s="5"/>
    </row>
    <row r="2" spans="1:26" ht="15.75" customHeight="1">
      <c r="A2" s="7" t="s">
        <v>182</v>
      </c>
      <c r="B2" s="123">
        <v>43224</v>
      </c>
      <c r="C2" s="80"/>
      <c r="D2" s="82">
        <f>SUM(D5:G153)</f>
        <v>0</v>
      </c>
      <c r="E2" s="5"/>
      <c r="F2" s="5"/>
      <c r="G2" s="5"/>
    </row>
    <row r="3" spans="1:26" ht="15.75" customHeight="1">
      <c r="C3" s="80"/>
      <c r="D3" s="5"/>
      <c r="E3" s="5"/>
      <c r="F3" s="5"/>
      <c r="G3" s="5"/>
    </row>
    <row r="4" spans="1:26" ht="15.75" customHeight="1">
      <c r="A4" s="42" t="s">
        <v>183</v>
      </c>
      <c r="B4" s="42" t="s">
        <v>184</v>
      </c>
      <c r="C4" s="42" t="s">
        <v>185</v>
      </c>
      <c r="D4" s="83" t="s">
        <v>186</v>
      </c>
      <c r="E4" s="84" t="s">
        <v>187</v>
      </c>
      <c r="F4" s="84" t="s">
        <v>188</v>
      </c>
      <c r="G4" s="85" t="s">
        <v>189</v>
      </c>
      <c r="H4" s="84" t="s">
        <v>190</v>
      </c>
      <c r="I4" s="85"/>
    </row>
    <row r="5" spans="1:26" ht="15.75" customHeight="1">
      <c r="A5" s="48" t="s">
        <v>7080</v>
      </c>
      <c r="B5" s="49" t="s">
        <v>348</v>
      </c>
      <c r="C5" s="48" t="s">
        <v>205</v>
      </c>
      <c r="D5" s="86"/>
      <c r="E5" s="87"/>
      <c r="F5" s="87"/>
      <c r="G5" s="87"/>
      <c r="H5" s="88"/>
      <c r="I5" s="88"/>
      <c r="J5" s="88"/>
    </row>
    <row r="6" spans="1:26" ht="15.75" customHeight="1">
      <c r="A6" s="48" t="s">
        <v>7081</v>
      </c>
      <c r="B6" s="49" t="s">
        <v>6984</v>
      </c>
      <c r="C6" s="48" t="s">
        <v>205</v>
      </c>
      <c r="D6" s="48"/>
      <c r="E6" s="5"/>
      <c r="F6" s="5"/>
      <c r="G6" s="5"/>
      <c r="J6" s="88"/>
    </row>
    <row r="7" spans="1:26" ht="15.75" customHeight="1">
      <c r="A7" s="107" t="s">
        <v>7082</v>
      </c>
      <c r="B7" s="108" t="s">
        <v>6984</v>
      </c>
      <c r="C7" s="97" t="s">
        <v>205</v>
      </c>
      <c r="D7" s="97"/>
      <c r="E7" s="87"/>
      <c r="F7" s="86"/>
      <c r="G7" s="87"/>
      <c r="H7" s="88"/>
      <c r="I7" s="88"/>
    </row>
    <row r="8" spans="1:26" ht="15.75" customHeight="1">
      <c r="A8" s="48" t="s">
        <v>7083</v>
      </c>
      <c r="B8" s="49" t="s">
        <v>3277</v>
      </c>
      <c r="C8" s="48" t="s">
        <v>205</v>
      </c>
      <c r="D8" s="48"/>
      <c r="E8" s="51"/>
      <c r="F8" s="5"/>
      <c r="G8" s="5"/>
      <c r="J8" s="88"/>
      <c r="K8" s="88"/>
      <c r="L8" s="88"/>
      <c r="M8" s="88"/>
      <c r="N8" s="88"/>
      <c r="O8" s="88"/>
      <c r="P8" s="88"/>
      <c r="Q8" s="88"/>
      <c r="R8" s="88"/>
      <c r="S8" s="88"/>
      <c r="T8" s="88"/>
      <c r="U8" s="88"/>
      <c r="V8" s="88"/>
      <c r="W8" s="88"/>
      <c r="X8" s="88"/>
      <c r="Y8" s="88"/>
      <c r="Z8" s="88"/>
    </row>
    <row r="9" spans="1:26" ht="15.75" customHeight="1">
      <c r="A9" s="48" t="s">
        <v>7084</v>
      </c>
      <c r="B9" s="49" t="s">
        <v>3182</v>
      </c>
      <c r="C9" s="48" t="s">
        <v>205</v>
      </c>
      <c r="D9" s="48"/>
      <c r="E9" s="5"/>
      <c r="F9" s="5"/>
      <c r="G9" s="5"/>
    </row>
    <row r="10" spans="1:26" ht="15.75" customHeight="1">
      <c r="A10" s="48" t="s">
        <v>7085</v>
      </c>
      <c r="B10" s="49" t="s">
        <v>5038</v>
      </c>
      <c r="C10" s="48" t="s">
        <v>205</v>
      </c>
      <c r="D10" s="48"/>
      <c r="E10" s="5"/>
      <c r="F10" s="5"/>
      <c r="G10" s="5"/>
    </row>
    <row r="11" spans="1:26" ht="15.75" customHeight="1">
      <c r="A11" s="48" t="s">
        <v>7086</v>
      </c>
      <c r="B11" s="49" t="s">
        <v>5038</v>
      </c>
      <c r="C11" s="48" t="s">
        <v>205</v>
      </c>
      <c r="D11" s="48"/>
      <c r="E11" s="51"/>
      <c r="F11" s="5"/>
      <c r="G11" s="5"/>
    </row>
    <row r="12" spans="1:26" ht="15.75" customHeight="1">
      <c r="A12" s="48" t="s">
        <v>7087</v>
      </c>
      <c r="B12" s="49" t="s">
        <v>5039</v>
      </c>
      <c r="C12" s="48" t="s">
        <v>205</v>
      </c>
      <c r="D12" s="48"/>
      <c r="E12" s="51"/>
      <c r="F12" s="5"/>
      <c r="G12" s="5"/>
    </row>
    <row r="13" spans="1:26" ht="15.75" customHeight="1">
      <c r="A13" s="48" t="s">
        <v>7088</v>
      </c>
      <c r="B13" s="49" t="s">
        <v>4895</v>
      </c>
      <c r="C13" s="48" t="s">
        <v>205</v>
      </c>
      <c r="D13" s="48"/>
      <c r="E13" s="5"/>
      <c r="F13" s="5"/>
      <c r="G13" s="5"/>
    </row>
    <row r="14" spans="1:26" ht="15.75" customHeight="1">
      <c r="A14" s="48" t="s">
        <v>7089</v>
      </c>
      <c r="B14" s="49" t="s">
        <v>4753</v>
      </c>
      <c r="C14" s="48" t="s">
        <v>205</v>
      </c>
      <c r="D14" s="48"/>
      <c r="E14" s="51"/>
      <c r="F14" s="5"/>
      <c r="G14" s="5"/>
    </row>
    <row r="15" spans="1:26" ht="15.75" customHeight="1">
      <c r="A15" s="48" t="s">
        <v>7090</v>
      </c>
      <c r="B15" s="49" t="s">
        <v>4762</v>
      </c>
      <c r="C15" s="48" t="s">
        <v>205</v>
      </c>
      <c r="D15" s="48"/>
      <c r="E15" s="5"/>
      <c r="F15" s="5"/>
      <c r="G15" s="5"/>
    </row>
    <row r="16" spans="1:26" ht="15.75" customHeight="1">
      <c r="A16" s="48" t="s">
        <v>7091</v>
      </c>
      <c r="B16" s="49" t="s">
        <v>7092</v>
      </c>
      <c r="C16" s="48" t="s">
        <v>205</v>
      </c>
      <c r="D16" s="47"/>
      <c r="E16" s="51"/>
      <c r="F16" s="5"/>
      <c r="G16" s="5"/>
    </row>
    <row r="17" spans="1:7" ht="15.75" customHeight="1">
      <c r="A17" s="48" t="s">
        <v>7093</v>
      </c>
      <c r="B17" s="49" t="s">
        <v>6865</v>
      </c>
      <c r="C17" s="48" t="s">
        <v>199</v>
      </c>
      <c r="D17" s="48"/>
      <c r="E17" s="5"/>
      <c r="F17" s="5"/>
      <c r="G17" s="5"/>
    </row>
    <row r="18" spans="1:7" ht="15.75" customHeight="1">
      <c r="A18" s="48" t="s">
        <v>7094</v>
      </c>
      <c r="B18" s="49" t="s">
        <v>3377</v>
      </c>
      <c r="C18" s="48" t="s">
        <v>199</v>
      </c>
      <c r="D18" s="48"/>
      <c r="E18" s="51"/>
      <c r="F18" s="5"/>
      <c r="G18" s="5"/>
    </row>
    <row r="19" spans="1:7" ht="15.75" customHeight="1">
      <c r="A19" s="48" t="s">
        <v>7095</v>
      </c>
      <c r="B19" s="49" t="s">
        <v>4738</v>
      </c>
      <c r="C19" s="48" t="s">
        <v>199</v>
      </c>
      <c r="D19" s="48"/>
      <c r="E19" s="5"/>
      <c r="F19" s="5"/>
      <c r="G19" s="5"/>
    </row>
    <row r="20" spans="1:7" ht="15.75" customHeight="1">
      <c r="A20" s="48" t="s">
        <v>7096</v>
      </c>
      <c r="B20" s="49" t="s">
        <v>4738</v>
      </c>
      <c r="C20" s="48" t="s">
        <v>199</v>
      </c>
      <c r="D20" s="48"/>
      <c r="E20" s="51"/>
      <c r="F20" s="5"/>
      <c r="G20" s="5"/>
    </row>
    <row r="21" spans="1:7" ht="15.75" customHeight="1">
      <c r="A21" s="48" t="s">
        <v>7097</v>
      </c>
      <c r="B21" s="49" t="s">
        <v>4924</v>
      </c>
      <c r="C21" s="48" t="s">
        <v>199</v>
      </c>
      <c r="D21" s="48"/>
      <c r="E21" s="5"/>
      <c r="F21" s="5"/>
      <c r="G21" s="5"/>
    </row>
    <row r="22" spans="1:7" ht="15.75" customHeight="1">
      <c r="A22" s="48" t="s">
        <v>7098</v>
      </c>
      <c r="B22" s="49" t="s">
        <v>5000</v>
      </c>
      <c r="C22" s="48" t="s">
        <v>199</v>
      </c>
      <c r="D22" s="48"/>
      <c r="E22" s="51"/>
      <c r="F22" s="51"/>
      <c r="G22" s="5"/>
    </row>
    <row r="23" spans="1:7" ht="15.75" customHeight="1">
      <c r="A23" s="48" t="s">
        <v>7099</v>
      </c>
      <c r="B23" s="49" t="s">
        <v>5090</v>
      </c>
      <c r="C23" s="48" t="s">
        <v>199</v>
      </c>
      <c r="D23" s="48"/>
      <c r="E23" s="51"/>
      <c r="F23" s="5"/>
      <c r="G23" s="5"/>
    </row>
    <row r="24" spans="1:7" ht="15.75" customHeight="1">
      <c r="A24" s="48" t="s">
        <v>7100</v>
      </c>
      <c r="B24" s="49" t="s">
        <v>4774</v>
      </c>
      <c r="C24" s="48" t="s">
        <v>199</v>
      </c>
      <c r="D24" s="48"/>
      <c r="E24" s="5"/>
      <c r="F24" s="51"/>
      <c r="G24" s="5"/>
    </row>
    <row r="25" spans="1:7" ht="15.75" customHeight="1">
      <c r="A25" s="48" t="s">
        <v>7101</v>
      </c>
      <c r="B25" s="58" t="str">
        <f>HYPERLINK("https://bulbapedia.bulbagarden.net/wiki/Palkia-GX_(Forbidden_Light_20)","PalkiaGX")</f>
        <v>PalkiaGX</v>
      </c>
      <c r="C25" s="48" t="s">
        <v>208</v>
      </c>
      <c r="D25" s="48"/>
      <c r="E25" s="5"/>
      <c r="F25" s="5"/>
      <c r="G25" s="5"/>
    </row>
    <row r="26" spans="1:7" ht="15.75" customHeight="1">
      <c r="A26" s="48" t="s">
        <v>7102</v>
      </c>
      <c r="B26" s="49" t="s">
        <v>4740</v>
      </c>
      <c r="C26" s="48" t="s">
        <v>208</v>
      </c>
      <c r="D26" s="48"/>
      <c r="E26" s="51"/>
      <c r="F26" s="5"/>
      <c r="G26" s="5"/>
    </row>
    <row r="27" spans="1:7" ht="15.75" customHeight="1">
      <c r="A27" s="48" t="s">
        <v>7103</v>
      </c>
      <c r="B27" s="49" t="s">
        <v>4740</v>
      </c>
      <c r="C27" s="48" t="s">
        <v>208</v>
      </c>
      <c r="D27" s="48"/>
      <c r="E27" s="5"/>
      <c r="F27" s="5"/>
      <c r="G27" s="5"/>
    </row>
    <row r="28" spans="1:7" ht="15.75" customHeight="1">
      <c r="A28" s="48" t="s">
        <v>7104</v>
      </c>
      <c r="B28" s="49" t="s">
        <v>5004</v>
      </c>
      <c r="C28" s="48" t="s">
        <v>208</v>
      </c>
      <c r="D28" s="48"/>
      <c r="E28" s="5"/>
      <c r="F28" s="5"/>
      <c r="G28" s="5"/>
    </row>
    <row r="29" spans="1:7" ht="15.75" customHeight="1">
      <c r="A29" s="48" t="s">
        <v>7105</v>
      </c>
      <c r="B29" s="58" t="str">
        <f>HYPERLINK("https://bulbapedia.bulbagarden.net/wiki/Greninja-GX_(Forbidden_Light_24)","GreninjaGX")</f>
        <v>GreninjaGX</v>
      </c>
      <c r="C29" s="48" t="s">
        <v>208</v>
      </c>
      <c r="D29" s="48"/>
      <c r="E29" s="5"/>
      <c r="F29" s="5"/>
      <c r="G29" s="5"/>
    </row>
    <row r="30" spans="1:7" ht="15.75" customHeight="1">
      <c r="A30" s="48" t="s">
        <v>7106</v>
      </c>
      <c r="B30" s="49" t="s">
        <v>5007</v>
      </c>
      <c r="C30" s="48" t="s">
        <v>208</v>
      </c>
      <c r="D30" s="48"/>
      <c r="E30" s="51"/>
      <c r="F30" s="5"/>
      <c r="G30" s="5"/>
    </row>
    <row r="31" spans="1:7" ht="15.75" customHeight="1">
      <c r="A31" s="48" t="s">
        <v>7107</v>
      </c>
      <c r="B31" s="49" t="s">
        <v>5117</v>
      </c>
      <c r="C31" s="48" t="s">
        <v>208</v>
      </c>
      <c r="D31" s="47"/>
      <c r="E31" s="51"/>
      <c r="F31" s="5"/>
      <c r="G31" s="5"/>
    </row>
    <row r="32" spans="1:7" ht="15.75" customHeight="1">
      <c r="A32" s="48" t="s">
        <v>7108</v>
      </c>
      <c r="B32" s="49" t="s">
        <v>5118</v>
      </c>
      <c r="C32" s="48" t="s">
        <v>208</v>
      </c>
      <c r="D32" s="48"/>
      <c r="E32" s="51"/>
      <c r="F32" s="5"/>
      <c r="G32" s="5"/>
    </row>
    <row r="33" spans="1:7" ht="15.75" customHeight="1">
      <c r="A33" s="48" t="s">
        <v>7109</v>
      </c>
      <c r="B33" s="49" t="s">
        <v>5119</v>
      </c>
      <c r="C33" s="48" t="s">
        <v>208</v>
      </c>
      <c r="D33" s="48"/>
      <c r="E33" s="5"/>
      <c r="F33" s="51"/>
      <c r="G33" s="5"/>
    </row>
    <row r="34" spans="1:7" ht="15.75" customHeight="1">
      <c r="A34" s="48" t="s">
        <v>7110</v>
      </c>
      <c r="B34" s="49" t="s">
        <v>5091</v>
      </c>
      <c r="C34" s="48" t="s">
        <v>208</v>
      </c>
      <c r="D34" s="48"/>
      <c r="E34" s="51"/>
      <c r="F34" s="5"/>
      <c r="G34" s="5"/>
    </row>
    <row r="35" spans="1:7" ht="15.75" customHeight="1">
      <c r="A35" s="48" t="s">
        <v>7111</v>
      </c>
      <c r="B35" s="49" t="s">
        <v>5092</v>
      </c>
      <c r="C35" s="48" t="s">
        <v>208</v>
      </c>
      <c r="D35" s="48"/>
      <c r="E35" s="5"/>
      <c r="F35" s="5"/>
      <c r="G35" s="5"/>
    </row>
    <row r="36" spans="1:7" ht="15.75" customHeight="1">
      <c r="A36" s="48" t="s">
        <v>7112</v>
      </c>
      <c r="B36" s="58" t="str">
        <f>HYPERLINK("https://bulbapedia.bulbagarden.net/wiki/Volcanion_%E2%99%A2_(Forbidden_Light_31)","Volcanion♦")</f>
        <v>Volcanion♦</v>
      </c>
      <c r="C36" s="48" t="s">
        <v>208</v>
      </c>
      <c r="D36" s="48"/>
      <c r="E36" s="5"/>
      <c r="F36" s="5"/>
      <c r="G36" s="5"/>
    </row>
    <row r="37" spans="1:7" ht="15.75" customHeight="1">
      <c r="A37" s="48" t="s">
        <v>7113</v>
      </c>
      <c r="B37" s="49" t="s">
        <v>6478</v>
      </c>
      <c r="C37" s="48" t="s">
        <v>208</v>
      </c>
      <c r="D37" s="48"/>
      <c r="E37" s="51"/>
      <c r="F37" s="5"/>
      <c r="G37" s="5"/>
    </row>
    <row r="38" spans="1:7" ht="15.75" customHeight="1">
      <c r="A38" s="48" t="s">
        <v>7114</v>
      </c>
      <c r="B38" s="49" t="s">
        <v>6479</v>
      </c>
      <c r="C38" s="48" t="s">
        <v>208</v>
      </c>
      <c r="D38" s="48"/>
      <c r="E38" s="51"/>
      <c r="F38" s="5"/>
      <c r="G38" s="5"/>
    </row>
    <row r="39" spans="1:7" ht="15.75" customHeight="1">
      <c r="A39" s="48" t="s">
        <v>7115</v>
      </c>
      <c r="B39" s="49" t="s">
        <v>285</v>
      </c>
      <c r="C39" s="48" t="s">
        <v>192</v>
      </c>
      <c r="D39" s="48"/>
      <c r="E39" s="51"/>
      <c r="F39" s="5"/>
      <c r="G39" s="5"/>
    </row>
    <row r="40" spans="1:7" ht="15.75" customHeight="1">
      <c r="A40" s="48" t="s">
        <v>7116</v>
      </c>
      <c r="B40" s="49" t="s">
        <v>247</v>
      </c>
      <c r="C40" s="48" t="s">
        <v>192</v>
      </c>
      <c r="D40" s="48"/>
      <c r="E40" s="51"/>
      <c r="F40" s="5"/>
      <c r="G40" s="5"/>
    </row>
    <row r="41" spans="1:7" ht="15.75" customHeight="1">
      <c r="A41" s="48" t="s">
        <v>7117</v>
      </c>
      <c r="B41" s="49" t="s">
        <v>3074</v>
      </c>
      <c r="C41" s="48" t="s">
        <v>192</v>
      </c>
      <c r="D41" s="48"/>
      <c r="E41" s="51"/>
      <c r="F41" s="51"/>
      <c r="G41" s="5"/>
    </row>
    <row r="42" spans="1:7" ht="15.75" customHeight="1">
      <c r="A42" s="48" t="s">
        <v>7118</v>
      </c>
      <c r="B42" s="49" t="s">
        <v>5093</v>
      </c>
      <c r="C42" s="48" t="s">
        <v>192</v>
      </c>
      <c r="D42" s="48"/>
      <c r="E42" s="51"/>
      <c r="F42" s="5"/>
      <c r="G42" s="5"/>
    </row>
    <row r="43" spans="1:7" ht="15.75" customHeight="1">
      <c r="A43" s="48" t="s">
        <v>7119</v>
      </c>
      <c r="B43" s="49" t="s">
        <v>4797</v>
      </c>
      <c r="C43" s="48" t="s">
        <v>192</v>
      </c>
      <c r="D43" s="48"/>
      <c r="E43" s="5"/>
      <c r="F43" s="5"/>
      <c r="G43" s="5"/>
    </row>
    <row r="44" spans="1:7" ht="15.75" customHeight="1">
      <c r="A44" s="48" t="s">
        <v>7120</v>
      </c>
      <c r="B44" s="49" t="s">
        <v>7121</v>
      </c>
      <c r="C44" s="48" t="s">
        <v>192</v>
      </c>
      <c r="D44" s="48"/>
      <c r="E44" s="5"/>
      <c r="F44" s="5"/>
      <c r="G44" s="5"/>
    </row>
    <row r="45" spans="1:7" ht="15.75" customHeight="1">
      <c r="A45" s="48" t="s">
        <v>7122</v>
      </c>
      <c r="B45" s="49" t="s">
        <v>3338</v>
      </c>
      <c r="C45" s="48" t="s">
        <v>195</v>
      </c>
      <c r="D45" s="48"/>
      <c r="E45" s="5"/>
      <c r="F45" s="5"/>
      <c r="G45" s="5"/>
    </row>
    <row r="46" spans="1:7" ht="15.75" customHeight="1">
      <c r="A46" s="48" t="s">
        <v>7123</v>
      </c>
      <c r="B46" s="49" t="s">
        <v>3180</v>
      </c>
      <c r="C46" s="48" t="s">
        <v>195</v>
      </c>
      <c r="D46" s="48"/>
      <c r="E46" s="51"/>
      <c r="F46" s="5"/>
      <c r="G46" s="5"/>
    </row>
    <row r="47" spans="1:7" ht="15.75" customHeight="1">
      <c r="A47" s="48" t="s">
        <v>7124</v>
      </c>
      <c r="B47" s="49" t="s">
        <v>3175</v>
      </c>
      <c r="C47" s="48" t="s">
        <v>195</v>
      </c>
      <c r="D47" s="48"/>
      <c r="E47" s="51"/>
      <c r="F47" s="5"/>
      <c r="G47" s="5"/>
    </row>
    <row r="48" spans="1:7" ht="15.75" customHeight="1">
      <c r="A48" s="48" t="s">
        <v>7125</v>
      </c>
      <c r="B48" s="49" t="s">
        <v>3160</v>
      </c>
      <c r="C48" s="48" t="s">
        <v>195</v>
      </c>
      <c r="D48" s="48"/>
      <c r="E48" s="5"/>
      <c r="F48" s="5"/>
      <c r="G48" s="5"/>
    </row>
    <row r="49" spans="1:7" ht="15.75" customHeight="1">
      <c r="A49" s="48" t="s">
        <v>7126</v>
      </c>
      <c r="B49" s="49" t="s">
        <v>5094</v>
      </c>
      <c r="C49" s="48" t="s">
        <v>195</v>
      </c>
      <c r="D49" s="48"/>
      <c r="E49" s="5"/>
      <c r="F49" s="5"/>
      <c r="G49" s="5"/>
    </row>
    <row r="50" spans="1:7" ht="15.75" customHeight="1">
      <c r="A50" s="48" t="s">
        <v>7127</v>
      </c>
      <c r="B50" s="49" t="s">
        <v>4799</v>
      </c>
      <c r="C50" s="48" t="s">
        <v>195</v>
      </c>
      <c r="D50" s="48"/>
      <c r="E50" s="5"/>
      <c r="F50" s="5"/>
      <c r="G50" s="5"/>
    </row>
    <row r="51" spans="1:7" ht="15.75" customHeight="1">
      <c r="A51" s="48" t="s">
        <v>7128</v>
      </c>
      <c r="B51" s="49" t="s">
        <v>4755</v>
      </c>
      <c r="C51" s="48" t="s">
        <v>195</v>
      </c>
      <c r="D51" s="48"/>
      <c r="E51" s="51"/>
      <c r="F51" s="5"/>
      <c r="G51" s="5"/>
    </row>
    <row r="52" spans="1:7" ht="15.75" customHeight="1">
      <c r="A52" s="48" t="s">
        <v>7129</v>
      </c>
      <c r="B52" s="49" t="s">
        <v>4755</v>
      </c>
      <c r="C52" s="48" t="s">
        <v>195</v>
      </c>
      <c r="D52" s="48"/>
      <c r="E52" s="51"/>
      <c r="F52" s="5"/>
      <c r="G52" s="5"/>
    </row>
    <row r="53" spans="1:7" ht="13">
      <c r="A53" s="48" t="s">
        <v>7130</v>
      </c>
      <c r="B53" s="49" t="s">
        <v>5045</v>
      </c>
      <c r="C53" s="48" t="s">
        <v>195</v>
      </c>
      <c r="D53" s="48"/>
      <c r="E53" s="5"/>
      <c r="F53" s="5"/>
      <c r="G53" s="5"/>
    </row>
    <row r="54" spans="1:7" ht="13">
      <c r="A54" s="48" t="s">
        <v>7131</v>
      </c>
      <c r="B54" s="49" t="s">
        <v>5046</v>
      </c>
      <c r="C54" s="48" t="s">
        <v>195</v>
      </c>
      <c r="D54" s="48"/>
      <c r="E54" s="51"/>
      <c r="F54" s="5"/>
      <c r="G54" s="5"/>
    </row>
    <row r="55" spans="1:7" ht="13">
      <c r="A55" s="48" t="s">
        <v>7132</v>
      </c>
      <c r="B55" s="49" t="s">
        <v>5011</v>
      </c>
      <c r="C55" s="48" t="s">
        <v>195</v>
      </c>
      <c r="D55" s="48"/>
      <c r="E55" s="5"/>
      <c r="F55" s="5"/>
      <c r="G55" s="5"/>
    </row>
    <row r="56" spans="1:7" ht="13">
      <c r="A56" s="48" t="s">
        <v>7133</v>
      </c>
      <c r="B56" s="49" t="s">
        <v>4811</v>
      </c>
      <c r="C56" s="48" t="s">
        <v>195</v>
      </c>
      <c r="D56" s="48"/>
      <c r="E56" s="5"/>
      <c r="F56" s="5"/>
      <c r="G56" s="5"/>
    </row>
    <row r="57" spans="1:7" ht="13">
      <c r="A57" s="48" t="s">
        <v>7134</v>
      </c>
      <c r="B57" s="49" t="s">
        <v>5095</v>
      </c>
      <c r="C57" s="48" t="s">
        <v>195</v>
      </c>
      <c r="D57" s="48"/>
      <c r="E57" s="51"/>
      <c r="F57" s="5"/>
      <c r="G57" s="5"/>
    </row>
    <row r="58" spans="1:7" ht="13">
      <c r="A58" s="48" t="s">
        <v>7135</v>
      </c>
      <c r="B58" s="49" t="s">
        <v>5101</v>
      </c>
      <c r="C58" s="48" t="s">
        <v>195</v>
      </c>
      <c r="D58" s="48"/>
      <c r="E58" s="51"/>
      <c r="F58" s="5"/>
      <c r="G58" s="5"/>
    </row>
    <row r="59" spans="1:7" ht="13">
      <c r="A59" s="48" t="s">
        <v>7136</v>
      </c>
      <c r="B59" s="49" t="s">
        <v>4845</v>
      </c>
      <c r="C59" s="48" t="s">
        <v>195</v>
      </c>
      <c r="D59" s="48"/>
      <c r="E59" s="5"/>
      <c r="F59" s="5"/>
      <c r="G59" s="5"/>
    </row>
    <row r="60" spans="1:7" ht="13">
      <c r="A60" s="48" t="s">
        <v>7137</v>
      </c>
      <c r="B60" s="49" t="s">
        <v>7138</v>
      </c>
      <c r="C60" s="48" t="s">
        <v>195</v>
      </c>
      <c r="D60" s="48"/>
      <c r="E60" s="51"/>
      <c r="F60" s="5"/>
      <c r="G60" s="5"/>
    </row>
    <row r="61" spans="1:7" ht="13">
      <c r="A61" s="48" t="s">
        <v>7139</v>
      </c>
      <c r="B61" s="58" t="str">
        <f>HYPERLINK("https://bulbapedia.bulbagarden.net/wiki/Naganadel-GX_(Forbidden_Light_56)","NaganadelGX")</f>
        <v>NaganadelGX</v>
      </c>
      <c r="C61" s="48" t="s">
        <v>195</v>
      </c>
      <c r="D61" s="48"/>
      <c r="E61" s="5"/>
      <c r="F61" s="5"/>
      <c r="G61" s="5"/>
    </row>
    <row r="62" spans="1:7" ht="13">
      <c r="A62" s="48" t="s">
        <v>7140</v>
      </c>
      <c r="B62" s="49" t="s">
        <v>347</v>
      </c>
      <c r="C62" s="48" t="s">
        <v>225</v>
      </c>
      <c r="D62" s="48"/>
      <c r="E62" s="51"/>
      <c r="F62" s="5"/>
      <c r="G62" s="5"/>
    </row>
    <row r="63" spans="1:7" ht="13">
      <c r="A63" s="48" t="s">
        <v>7141</v>
      </c>
      <c r="B63" s="49" t="s">
        <v>3121</v>
      </c>
      <c r="C63" s="48" t="s">
        <v>225</v>
      </c>
      <c r="D63" s="48"/>
      <c r="E63" s="51"/>
      <c r="F63" s="5"/>
      <c r="G63" s="5"/>
    </row>
    <row r="64" spans="1:7" ht="13">
      <c r="A64" s="48" t="s">
        <v>7142</v>
      </c>
      <c r="B64" s="49" t="s">
        <v>3112</v>
      </c>
      <c r="C64" s="48" t="s">
        <v>225</v>
      </c>
      <c r="D64" s="47"/>
      <c r="E64" s="5"/>
      <c r="F64" s="51"/>
      <c r="G64" s="5"/>
    </row>
    <row r="65" spans="1:7" ht="13">
      <c r="A65" s="48" t="s">
        <v>7143</v>
      </c>
      <c r="B65" s="49" t="s">
        <v>3259</v>
      </c>
      <c r="C65" s="48" t="s">
        <v>225</v>
      </c>
      <c r="D65" s="48"/>
      <c r="E65" s="51"/>
      <c r="F65" s="5"/>
      <c r="G65" s="5"/>
    </row>
    <row r="66" spans="1:7" ht="13">
      <c r="A66" s="48" t="s">
        <v>7144</v>
      </c>
      <c r="B66" s="49" t="s">
        <v>3217</v>
      </c>
      <c r="C66" s="48" t="s">
        <v>225</v>
      </c>
      <c r="D66" s="48"/>
      <c r="E66" s="51"/>
      <c r="F66" s="5"/>
      <c r="G66" s="5"/>
    </row>
    <row r="67" spans="1:7" ht="13">
      <c r="A67" s="48" t="s">
        <v>7145</v>
      </c>
      <c r="B67" s="49" t="s">
        <v>3167</v>
      </c>
      <c r="C67" s="48" t="s">
        <v>225</v>
      </c>
      <c r="D67" s="48"/>
      <c r="E67" s="5"/>
      <c r="F67" s="51"/>
      <c r="G67" s="5"/>
    </row>
    <row r="68" spans="1:7" ht="13">
      <c r="A68" s="48" t="s">
        <v>7146</v>
      </c>
      <c r="B68" s="49" t="s">
        <v>3250</v>
      </c>
      <c r="C68" s="48" t="s">
        <v>225</v>
      </c>
      <c r="D68" s="48"/>
      <c r="E68" s="51"/>
      <c r="F68" s="5"/>
      <c r="G68" s="5"/>
    </row>
    <row r="69" spans="1:7" ht="13">
      <c r="A69" s="48" t="s">
        <v>7147</v>
      </c>
      <c r="B69" s="49" t="s">
        <v>3203</v>
      </c>
      <c r="C69" s="48" t="s">
        <v>225</v>
      </c>
      <c r="D69" s="47"/>
      <c r="E69" s="5"/>
      <c r="F69" s="5"/>
      <c r="G69" s="5"/>
    </row>
    <row r="70" spans="1:7" ht="13">
      <c r="A70" s="48" t="s">
        <v>7148</v>
      </c>
      <c r="B70" s="49" t="s">
        <v>5121</v>
      </c>
      <c r="C70" s="48" t="s">
        <v>225</v>
      </c>
      <c r="D70" s="48"/>
      <c r="E70" s="51"/>
      <c r="F70" s="5"/>
      <c r="G70" s="5"/>
    </row>
    <row r="71" spans="1:7" ht="13">
      <c r="A71" s="48" t="s">
        <v>7149</v>
      </c>
      <c r="B71" s="49" t="s">
        <v>5096</v>
      </c>
      <c r="C71" s="48" t="s">
        <v>225</v>
      </c>
      <c r="D71" s="48"/>
      <c r="E71" s="51"/>
      <c r="F71" s="5"/>
      <c r="G71" s="5"/>
    </row>
    <row r="72" spans="1:7" ht="13">
      <c r="A72" s="48" t="s">
        <v>7150</v>
      </c>
      <c r="B72" s="49" t="s">
        <v>5097</v>
      </c>
      <c r="C72" s="48" t="s">
        <v>225</v>
      </c>
      <c r="D72" s="48"/>
      <c r="E72" s="5"/>
      <c r="F72" s="5"/>
      <c r="G72" s="5"/>
    </row>
    <row r="73" spans="1:7" ht="13">
      <c r="A73" s="48" t="s">
        <v>7151</v>
      </c>
      <c r="B73" s="49" t="s">
        <v>5122</v>
      </c>
      <c r="C73" s="48" t="s">
        <v>225</v>
      </c>
      <c r="D73" s="48"/>
      <c r="E73" s="5"/>
      <c r="F73" s="5"/>
      <c r="G73" s="5"/>
    </row>
    <row r="74" spans="1:7" ht="13">
      <c r="A74" s="48" t="s">
        <v>7152</v>
      </c>
      <c r="B74" s="49" t="s">
        <v>5123</v>
      </c>
      <c r="C74" s="48" t="s">
        <v>225</v>
      </c>
      <c r="D74" s="48"/>
      <c r="E74" s="5"/>
      <c r="F74" s="51"/>
      <c r="G74" s="5"/>
    </row>
    <row r="75" spans="1:7" ht="13">
      <c r="A75" s="48" t="s">
        <v>7153</v>
      </c>
      <c r="B75" s="49" t="s">
        <v>5124</v>
      </c>
      <c r="C75" s="48" t="s">
        <v>225</v>
      </c>
      <c r="D75" s="48"/>
      <c r="E75" s="5"/>
      <c r="F75" s="5"/>
      <c r="G75" s="5"/>
    </row>
    <row r="76" spans="1:7" ht="13">
      <c r="A76" s="48" t="s">
        <v>7154</v>
      </c>
      <c r="B76" s="49" t="s">
        <v>4913</v>
      </c>
      <c r="C76" s="48" t="s">
        <v>225</v>
      </c>
      <c r="D76" s="48"/>
      <c r="E76" s="51"/>
      <c r="F76" s="5"/>
      <c r="G76" s="5"/>
    </row>
    <row r="77" spans="1:7" ht="13">
      <c r="A77" s="48" t="s">
        <v>7155</v>
      </c>
      <c r="B77" s="49" t="s">
        <v>4913</v>
      </c>
      <c r="C77" s="48" t="s">
        <v>225</v>
      </c>
      <c r="D77" s="48"/>
      <c r="E77" s="5"/>
      <c r="F77" s="5"/>
      <c r="G77" s="5"/>
    </row>
    <row r="78" spans="1:7" ht="13">
      <c r="A78" s="48" t="s">
        <v>7156</v>
      </c>
      <c r="B78" s="58" t="str">
        <f>HYPERLINK("https://bulbapedia.bulbagarden.net/wiki/Zygarde-GX_(Forbidden_Light_73)","ZygardeGX")</f>
        <v>ZygardeGX</v>
      </c>
      <c r="C78" s="48" t="s">
        <v>225</v>
      </c>
      <c r="D78" s="48"/>
      <c r="E78" s="5"/>
      <c r="F78" s="5"/>
      <c r="G78" s="5"/>
    </row>
    <row r="79" spans="1:7" ht="13">
      <c r="A79" s="48" t="s">
        <v>7157</v>
      </c>
      <c r="B79" s="58" t="str">
        <f>HYPERLINK("https://bulbapedia.bulbagarden.net/wiki/Diancie_%E2%99%A2_(Forbidden_Light_74)","Diancie♦")</f>
        <v>Diancie♦</v>
      </c>
      <c r="C79" s="48" t="s">
        <v>225</v>
      </c>
      <c r="D79" s="48"/>
      <c r="E79" s="5"/>
      <c r="F79" s="5"/>
      <c r="G79" s="5"/>
    </row>
    <row r="80" spans="1:7" ht="13">
      <c r="A80" s="48" t="s">
        <v>7158</v>
      </c>
      <c r="B80" s="49" t="s">
        <v>6329</v>
      </c>
      <c r="C80" s="48" t="s">
        <v>225</v>
      </c>
      <c r="D80" s="48"/>
      <c r="E80" s="51"/>
      <c r="F80" s="5"/>
      <c r="G80" s="5"/>
    </row>
    <row r="81" spans="1:7" ht="13">
      <c r="A81" s="48" t="s">
        <v>7159</v>
      </c>
      <c r="B81" s="49" t="s">
        <v>6310</v>
      </c>
      <c r="C81" s="48" t="s">
        <v>225</v>
      </c>
      <c r="D81" s="48"/>
      <c r="E81" s="51"/>
      <c r="F81" s="5"/>
      <c r="G81" s="5"/>
    </row>
    <row r="82" spans="1:7" ht="13">
      <c r="A82" s="48" t="s">
        <v>7160</v>
      </c>
      <c r="B82" s="49" t="s">
        <v>7161</v>
      </c>
      <c r="C82" s="48" t="s">
        <v>225</v>
      </c>
      <c r="D82" s="48"/>
      <c r="E82" s="51"/>
      <c r="F82" s="5"/>
      <c r="G82" s="51"/>
    </row>
    <row r="83" spans="1:7" ht="13">
      <c r="A83" s="48" t="s">
        <v>7162</v>
      </c>
      <c r="B83" s="49" t="s">
        <v>4802</v>
      </c>
      <c r="C83" s="48" t="s">
        <v>808</v>
      </c>
      <c r="D83" s="48"/>
      <c r="E83" s="51"/>
      <c r="F83" s="5"/>
      <c r="G83" s="5"/>
    </row>
    <row r="84" spans="1:7" ht="13">
      <c r="A84" s="48" t="s">
        <v>7163</v>
      </c>
      <c r="B84" s="58" t="str">
        <f>HYPERLINK("https://bulbapedia.bulbagarden.net/wiki/Yveltal-GX_(Forbidden_Light_79)","YveltalGX")</f>
        <v>YveltalGX</v>
      </c>
      <c r="C84" s="48" t="s">
        <v>808</v>
      </c>
      <c r="D84" s="48"/>
      <c r="E84" s="5"/>
      <c r="F84" s="5"/>
      <c r="G84" s="5"/>
    </row>
    <row r="85" spans="1:7" ht="13">
      <c r="A85" s="48" t="s">
        <v>7164</v>
      </c>
      <c r="B85" s="49" t="s">
        <v>7165</v>
      </c>
      <c r="C85" s="48" t="s">
        <v>808</v>
      </c>
      <c r="D85" s="48"/>
      <c r="E85" s="51"/>
      <c r="F85" s="51"/>
      <c r="G85" s="51"/>
    </row>
    <row r="86" spans="1:7" ht="13">
      <c r="A86" s="48" t="s">
        <v>7166</v>
      </c>
      <c r="B86" s="49" t="s">
        <v>3111</v>
      </c>
      <c r="C86" s="48" t="s">
        <v>220</v>
      </c>
      <c r="D86" s="48"/>
      <c r="E86" s="51"/>
      <c r="F86" s="51"/>
      <c r="G86" s="5"/>
    </row>
    <row r="87" spans="1:7" ht="13">
      <c r="A87" s="48" t="s">
        <v>7167</v>
      </c>
      <c r="B87" s="58" t="str">
        <f>HYPERLINK("https://bulbapedia.bulbagarden.net/wiki/Dialga-GX_(Forbidden_Light_82)","DialgaGX")</f>
        <v>DialgaGX</v>
      </c>
      <c r="C87" s="48" t="s">
        <v>220</v>
      </c>
      <c r="D87" s="48"/>
      <c r="E87" s="5"/>
      <c r="F87" s="5"/>
      <c r="G87" s="5"/>
    </row>
    <row r="88" spans="1:7" ht="13">
      <c r="A88" s="48" t="s">
        <v>7168</v>
      </c>
      <c r="B88" s="49" t="s">
        <v>5098</v>
      </c>
      <c r="C88" s="48" t="s">
        <v>4743</v>
      </c>
      <c r="D88" s="48"/>
      <c r="E88" s="5"/>
      <c r="F88" s="5"/>
      <c r="G88" s="5"/>
    </row>
    <row r="89" spans="1:7" ht="13">
      <c r="A89" s="48" t="s">
        <v>7169</v>
      </c>
      <c r="B89" s="49" t="s">
        <v>5098</v>
      </c>
      <c r="C89" s="48" t="s">
        <v>4743</v>
      </c>
      <c r="D89" s="48"/>
      <c r="E89" s="51"/>
      <c r="F89" s="5"/>
      <c r="G89" s="5"/>
    </row>
    <row r="90" spans="1:7" ht="13">
      <c r="A90" s="48" t="s">
        <v>7170</v>
      </c>
      <c r="B90" s="49" t="s">
        <v>4898</v>
      </c>
      <c r="C90" s="48" t="s">
        <v>4743</v>
      </c>
      <c r="D90" s="48"/>
      <c r="E90" s="5"/>
      <c r="F90" s="5"/>
      <c r="G90" s="5"/>
    </row>
    <row r="91" spans="1:7" ht="13">
      <c r="A91" s="48" t="s">
        <v>7171</v>
      </c>
      <c r="B91" s="49" t="s">
        <v>5099</v>
      </c>
      <c r="C91" s="48" t="s">
        <v>4743</v>
      </c>
      <c r="D91" s="48"/>
      <c r="E91" s="5"/>
      <c r="F91" s="5"/>
      <c r="G91" s="5"/>
    </row>
    <row r="92" spans="1:7" ht="13">
      <c r="A92" s="48" t="s">
        <v>7172</v>
      </c>
      <c r="B92" s="49" t="s">
        <v>4742</v>
      </c>
      <c r="C92" s="48" t="s">
        <v>4743</v>
      </c>
      <c r="D92" s="48"/>
      <c r="E92" s="5"/>
      <c r="F92" s="5"/>
      <c r="G92" s="5"/>
    </row>
    <row r="93" spans="1:7" ht="13">
      <c r="A93" s="48" t="s">
        <v>7173</v>
      </c>
      <c r="B93" s="49" t="s">
        <v>5120</v>
      </c>
      <c r="C93" s="48" t="s">
        <v>4743</v>
      </c>
      <c r="D93" s="48"/>
      <c r="E93" s="51"/>
      <c r="F93" s="5"/>
      <c r="G93" s="5"/>
    </row>
    <row r="94" spans="1:7" ht="13">
      <c r="A94" s="48" t="s">
        <v>7174</v>
      </c>
      <c r="B94" s="49" t="s">
        <v>5125</v>
      </c>
      <c r="C94" s="48" t="s">
        <v>4743</v>
      </c>
      <c r="D94" s="48"/>
      <c r="E94" s="51"/>
      <c r="F94" s="5"/>
      <c r="G94" s="5"/>
    </row>
    <row r="95" spans="1:7" ht="13">
      <c r="A95" s="48" t="s">
        <v>7175</v>
      </c>
      <c r="B95" s="58" t="str">
        <f>HYPERLINK("https://bulbapedia.bulbagarden.net/wiki/Xerneas-GX_(Forbidden_Light_90)","XerneasGX")</f>
        <v>XerneasGX</v>
      </c>
      <c r="C95" s="48" t="s">
        <v>4743</v>
      </c>
      <c r="D95" s="48"/>
      <c r="E95" s="5"/>
      <c r="F95" s="5"/>
      <c r="G95" s="5"/>
    </row>
    <row r="96" spans="1:7" ht="13">
      <c r="A96" s="48" t="s">
        <v>7176</v>
      </c>
      <c r="B96" s="49" t="s">
        <v>5102</v>
      </c>
      <c r="C96" s="48" t="s">
        <v>4285</v>
      </c>
      <c r="D96" s="48"/>
      <c r="E96" s="51"/>
      <c r="F96" s="5"/>
      <c r="G96" s="5"/>
    </row>
    <row r="97" spans="1:7" ht="13">
      <c r="A97" s="48" t="s">
        <v>7177</v>
      </c>
      <c r="B97" s="49" t="s">
        <v>5102</v>
      </c>
      <c r="C97" s="48" t="s">
        <v>4285</v>
      </c>
      <c r="D97" s="48"/>
      <c r="E97" s="5"/>
      <c r="F97" s="5"/>
      <c r="G97" s="5"/>
    </row>
    <row r="98" spans="1:7" ht="13">
      <c r="A98" s="48" t="s">
        <v>7178</v>
      </c>
      <c r="B98" s="49" t="s">
        <v>5103</v>
      </c>
      <c r="C98" s="48" t="s">
        <v>4285</v>
      </c>
      <c r="D98" s="48"/>
      <c r="E98" s="5"/>
      <c r="F98" s="5"/>
      <c r="G98" s="5"/>
    </row>
    <row r="99" spans="1:7" ht="13">
      <c r="A99" s="48" t="s">
        <v>7179</v>
      </c>
      <c r="B99" s="49" t="s">
        <v>5104</v>
      </c>
      <c r="C99" s="48" t="s">
        <v>4285</v>
      </c>
      <c r="D99" s="48"/>
      <c r="E99" s="5"/>
      <c r="F99" s="51"/>
      <c r="G99" s="5"/>
    </row>
    <row r="100" spans="1:7" ht="13">
      <c r="A100" s="48" t="s">
        <v>7180</v>
      </c>
      <c r="B100" s="58" t="str">
        <f>HYPERLINK("https://bulbapedia.bulbagarden.net/wiki/Ultra_Necrozma-GX_(Forbidden_Light_95)","Ultra NecrozmaGX")</f>
        <v>Ultra NecrozmaGX</v>
      </c>
      <c r="C100" s="48" t="s">
        <v>4285</v>
      </c>
      <c r="D100" s="48"/>
      <c r="E100" s="5"/>
      <c r="F100" s="5"/>
      <c r="G100" s="5"/>
    </row>
    <row r="101" spans="1:7" ht="13">
      <c r="A101" s="48" t="s">
        <v>7181</v>
      </c>
      <c r="B101" s="58" t="str">
        <f>HYPERLINK("https://bulbapedia.bulbagarden.net/wiki/Arceus_%E2%99%A2_(Forbidden_Light_96)","Arceus♦")</f>
        <v>Arceus♦</v>
      </c>
      <c r="C101" s="48" t="s">
        <v>197</v>
      </c>
      <c r="D101" s="48"/>
      <c r="E101" s="5"/>
      <c r="F101" s="5"/>
      <c r="G101" s="5"/>
    </row>
    <row r="102" spans="1:7" ht="13">
      <c r="A102" s="48" t="s">
        <v>7182</v>
      </c>
      <c r="B102" s="49" t="s">
        <v>5025</v>
      </c>
      <c r="C102" s="48" t="s">
        <v>197</v>
      </c>
      <c r="D102" s="48"/>
      <c r="E102" s="51"/>
      <c r="F102" s="5"/>
      <c r="G102" s="5"/>
    </row>
    <row r="103" spans="1:7" ht="13">
      <c r="A103" s="48" t="s">
        <v>7183</v>
      </c>
      <c r="B103" s="49" t="s">
        <v>5049</v>
      </c>
      <c r="C103" s="48" t="s">
        <v>197</v>
      </c>
      <c r="D103" s="48"/>
      <c r="E103" s="5"/>
      <c r="F103" s="5"/>
      <c r="G103" s="5"/>
    </row>
    <row r="104" spans="1:7" ht="13">
      <c r="A104" s="48" t="s">
        <v>7184</v>
      </c>
      <c r="B104" s="49" t="s">
        <v>5029</v>
      </c>
      <c r="C104" s="48" t="s">
        <v>197</v>
      </c>
      <c r="D104" s="48"/>
      <c r="E104" s="51"/>
      <c r="F104" s="5"/>
      <c r="G104" s="5"/>
    </row>
    <row r="105" spans="1:7" ht="13">
      <c r="A105" s="48" t="s">
        <v>7185</v>
      </c>
      <c r="B105" s="49" t="s">
        <v>5088</v>
      </c>
      <c r="C105" s="48" t="s">
        <v>197</v>
      </c>
      <c r="D105" s="48"/>
      <c r="E105" s="51"/>
      <c r="F105" s="5"/>
      <c r="G105" s="5"/>
    </row>
    <row r="106" spans="1:7" ht="13">
      <c r="A106" s="48" t="s">
        <v>7186</v>
      </c>
      <c r="B106" s="49" t="s">
        <v>5089</v>
      </c>
      <c r="C106" s="48" t="s">
        <v>197</v>
      </c>
      <c r="D106" s="48"/>
      <c r="E106" s="51"/>
      <c r="F106" s="5"/>
      <c r="G106" s="5"/>
    </row>
    <row r="107" spans="1:7" ht="13">
      <c r="A107" s="48" t="s">
        <v>7187</v>
      </c>
      <c r="B107" s="49" t="s">
        <v>7188</v>
      </c>
      <c r="C107" s="48" t="s">
        <v>4114</v>
      </c>
      <c r="D107" s="48"/>
      <c r="E107" s="51"/>
      <c r="F107" s="5"/>
      <c r="G107" s="51"/>
    </row>
    <row r="108" spans="1:7" ht="13">
      <c r="A108" s="48" t="s">
        <v>7189</v>
      </c>
      <c r="B108" s="49" t="s">
        <v>7190</v>
      </c>
      <c r="C108" s="48" t="s">
        <v>1013</v>
      </c>
      <c r="D108" s="48"/>
      <c r="E108" s="51"/>
      <c r="F108" s="5"/>
      <c r="G108" s="5"/>
    </row>
    <row r="109" spans="1:7" ht="13">
      <c r="A109" s="48" t="s">
        <v>7191</v>
      </c>
      <c r="B109" s="49" t="s">
        <v>7192</v>
      </c>
      <c r="C109" s="48" t="s">
        <v>1013</v>
      </c>
      <c r="D109" s="48"/>
      <c r="E109" s="5"/>
      <c r="F109" s="5"/>
      <c r="G109" s="5"/>
    </row>
    <row r="110" spans="1:7" ht="13">
      <c r="A110" s="48" t="s">
        <v>7193</v>
      </c>
      <c r="B110" s="49" t="s">
        <v>7194</v>
      </c>
      <c r="C110" s="48" t="s">
        <v>1013</v>
      </c>
      <c r="D110" s="48"/>
      <c r="E110" s="51"/>
      <c r="F110" s="51"/>
      <c r="G110" s="5"/>
    </row>
    <row r="111" spans="1:7" ht="13">
      <c r="A111" s="48" t="s">
        <v>7195</v>
      </c>
      <c r="B111" s="49" t="s">
        <v>7196</v>
      </c>
      <c r="C111" s="48" t="s">
        <v>4114</v>
      </c>
      <c r="D111" s="48"/>
      <c r="E111" s="5"/>
      <c r="F111" s="5"/>
      <c r="G111" s="5"/>
    </row>
    <row r="112" spans="1:7" ht="13">
      <c r="A112" s="48" t="s">
        <v>7197</v>
      </c>
      <c r="B112" s="49" t="s">
        <v>7198</v>
      </c>
      <c r="C112" s="48" t="s">
        <v>4114</v>
      </c>
      <c r="D112" s="48"/>
      <c r="E112" s="51"/>
      <c r="F112" s="5"/>
      <c r="G112" s="5"/>
    </row>
    <row r="113" spans="1:7" ht="13">
      <c r="A113" s="48" t="s">
        <v>7199</v>
      </c>
      <c r="B113" s="49" t="s">
        <v>3914</v>
      </c>
      <c r="C113" s="48" t="s">
        <v>1013</v>
      </c>
      <c r="D113" s="48"/>
      <c r="E113" s="5"/>
      <c r="F113" s="5"/>
      <c r="G113" s="5"/>
    </row>
    <row r="114" spans="1:7" ht="13">
      <c r="A114" s="48" t="s">
        <v>7200</v>
      </c>
      <c r="B114" s="49" t="s">
        <v>7201</v>
      </c>
      <c r="C114" s="48" t="s">
        <v>1013</v>
      </c>
      <c r="D114" s="48"/>
      <c r="E114" s="5"/>
      <c r="F114" s="5"/>
      <c r="G114" s="5"/>
    </row>
    <row r="115" spans="1:7" ht="13">
      <c r="A115" s="48" t="s">
        <v>7202</v>
      </c>
      <c r="B115" s="58" t="str">
        <f>HYPERLINK("https://bulbapedia.bulbagarden.net/wiki/Lysandre_%E2%99%A2_(Forbidden_Light_110)","Lysandre♦")</f>
        <v>Lysandre♦</v>
      </c>
      <c r="C115" s="48" t="s">
        <v>1013</v>
      </c>
      <c r="D115" s="48"/>
      <c r="E115" s="5"/>
      <c r="F115" s="5"/>
      <c r="G115" s="5"/>
    </row>
    <row r="116" spans="1:7" ht="13">
      <c r="A116" s="48" t="s">
        <v>7203</v>
      </c>
      <c r="B116" s="49" t="s">
        <v>7204</v>
      </c>
      <c r="C116" s="48" t="s">
        <v>229</v>
      </c>
      <c r="D116" s="48"/>
      <c r="E116" s="51"/>
      <c r="F116" s="5"/>
      <c r="G116" s="5"/>
    </row>
    <row r="117" spans="1:7" ht="13">
      <c r="A117" s="48" t="s">
        <v>7205</v>
      </c>
      <c r="B117" s="49" t="s">
        <v>7206</v>
      </c>
      <c r="C117" s="48" t="s">
        <v>4114</v>
      </c>
      <c r="D117" s="48"/>
      <c r="E117" s="51"/>
      <c r="F117" s="5"/>
      <c r="G117" s="5"/>
    </row>
    <row r="118" spans="1:7" ht="13">
      <c r="A118" s="48" t="s">
        <v>7207</v>
      </c>
      <c r="B118" s="49" t="s">
        <v>7206</v>
      </c>
      <c r="C118" s="48" t="s">
        <v>4114</v>
      </c>
      <c r="D118" s="48"/>
      <c r="E118" s="51"/>
      <c r="F118" s="5"/>
      <c r="G118" s="5"/>
    </row>
    <row r="119" spans="1:7" ht="13">
      <c r="A119" s="48" t="s">
        <v>7208</v>
      </c>
      <c r="B119" s="49" t="s">
        <v>7209</v>
      </c>
      <c r="C119" s="48" t="s">
        <v>4114</v>
      </c>
      <c r="D119" s="48"/>
      <c r="E119" s="5"/>
      <c r="F119" s="5"/>
      <c r="G119" s="5"/>
    </row>
    <row r="120" spans="1:7" ht="13">
      <c r="A120" s="48" t="s">
        <v>7210</v>
      </c>
      <c r="B120" s="49" t="s">
        <v>7209</v>
      </c>
      <c r="C120" s="48" t="s">
        <v>4114</v>
      </c>
      <c r="D120" s="48"/>
      <c r="E120" s="51"/>
      <c r="F120" s="5"/>
      <c r="G120" s="5"/>
    </row>
    <row r="121" spans="1:7" ht="13">
      <c r="A121" s="48" t="s">
        <v>7211</v>
      </c>
      <c r="B121" s="49" t="s">
        <v>7212</v>
      </c>
      <c r="C121" s="48" t="s">
        <v>1013</v>
      </c>
      <c r="D121" s="48"/>
      <c r="E121" s="51"/>
      <c r="F121" s="5"/>
      <c r="G121" s="5"/>
    </row>
    <row r="122" spans="1:7" ht="13">
      <c r="A122" s="48" t="s">
        <v>7213</v>
      </c>
      <c r="B122" s="49" t="s">
        <v>7214</v>
      </c>
      <c r="C122" s="48" t="s">
        <v>229</v>
      </c>
      <c r="D122" s="48"/>
      <c r="E122" s="51"/>
      <c r="F122" s="5"/>
      <c r="G122" s="5"/>
    </row>
    <row r="123" spans="1:7" ht="13">
      <c r="A123" s="48" t="s">
        <v>7215</v>
      </c>
      <c r="B123" s="49" t="s">
        <v>7037</v>
      </c>
      <c r="C123" s="48" t="s">
        <v>4114</v>
      </c>
      <c r="D123" s="48"/>
      <c r="E123" s="51"/>
      <c r="F123" s="5"/>
      <c r="G123" s="5"/>
    </row>
    <row r="124" spans="1:7" ht="13">
      <c r="A124" s="48" t="s">
        <v>7216</v>
      </c>
      <c r="B124" s="58" t="str">
        <f>HYPERLINK("https://bulbapedia.bulbagarden.net/wiki/Beast_Energy_%E2%99%A2_(Forbidden_Light_117)","Beast Energy♦")</f>
        <v>Beast Energy♦</v>
      </c>
      <c r="C124" s="48" t="s">
        <v>317</v>
      </c>
      <c r="D124" s="48"/>
      <c r="E124" s="5"/>
      <c r="F124" s="5"/>
      <c r="G124" s="5"/>
    </row>
    <row r="125" spans="1:7" ht="13">
      <c r="A125" s="48" t="s">
        <v>7217</v>
      </c>
      <c r="B125" s="49" t="s">
        <v>7218</v>
      </c>
      <c r="C125" s="48" t="s">
        <v>317</v>
      </c>
      <c r="D125" s="48"/>
      <c r="E125" s="5"/>
      <c r="F125" s="5"/>
      <c r="G125" s="5"/>
    </row>
    <row r="126" spans="1:7" ht="13">
      <c r="A126" s="48" t="s">
        <v>7219</v>
      </c>
      <c r="B126" s="58" t="str">
        <f>HYPERLINK("https://bulbapedia.bulbagarden.net/wiki/Palkia-GX_(Forbidden_Light_119)","PalkiaGX")</f>
        <v>PalkiaGX</v>
      </c>
      <c r="C126" s="48" t="s">
        <v>208</v>
      </c>
      <c r="D126" s="47"/>
      <c r="E126" s="5"/>
      <c r="F126" s="5"/>
      <c r="G126" s="5"/>
    </row>
    <row r="127" spans="1:7" ht="13">
      <c r="A127" s="48" t="s">
        <v>7220</v>
      </c>
      <c r="B127" s="58" t="str">
        <f>HYPERLINK("https://bulbapedia.bulbagarden.net/wiki/Greninja-GX_(Forbidden_Light_120)","GreninjaGX")</f>
        <v>GreninjaGX</v>
      </c>
      <c r="C127" s="48" t="s">
        <v>208</v>
      </c>
      <c r="D127" s="47"/>
      <c r="E127" s="5"/>
      <c r="F127" s="5"/>
      <c r="G127" s="5"/>
    </row>
    <row r="128" spans="1:7" ht="13">
      <c r="A128" s="48" t="s">
        <v>7221</v>
      </c>
      <c r="B128" s="58" t="str">
        <f>HYPERLINK("https://bulbapedia.bulbagarden.net/wiki/Naganadel-GX_(Forbidden_Light_121)","NaganadelGX")</f>
        <v>NaganadelGX</v>
      </c>
      <c r="C128" s="48" t="s">
        <v>195</v>
      </c>
      <c r="D128" s="47"/>
      <c r="E128" s="5"/>
      <c r="F128" s="5"/>
      <c r="G128" s="5"/>
    </row>
    <row r="129" spans="1:7" ht="13">
      <c r="A129" s="48" t="s">
        <v>7222</v>
      </c>
      <c r="B129" s="58" t="str">
        <f>HYPERLINK("https://bulbapedia.bulbagarden.net/wiki/Lucario-GX_(Forbidden_Light_122)","LucarioGX")</f>
        <v>LucarioGX</v>
      </c>
      <c r="C129" s="48" t="s">
        <v>225</v>
      </c>
      <c r="D129" s="47"/>
      <c r="E129" s="5"/>
      <c r="F129" s="5"/>
      <c r="G129" s="5"/>
    </row>
    <row r="130" spans="1:7" ht="13">
      <c r="A130" s="48" t="s">
        <v>7223</v>
      </c>
      <c r="B130" s="58" t="str">
        <f>HYPERLINK("https://bulbapedia.bulbagarden.net/wiki/Zygarde-GX_(Forbidden_Light_123)","ZygardeGX")</f>
        <v>ZygardeGX</v>
      </c>
      <c r="C130" s="48" t="s">
        <v>225</v>
      </c>
      <c r="D130" s="47"/>
      <c r="E130" s="5"/>
      <c r="F130" s="5"/>
      <c r="G130" s="5"/>
    </row>
    <row r="131" spans="1:7" ht="13">
      <c r="A131" s="48" t="s">
        <v>7224</v>
      </c>
      <c r="B131" s="58" t="str">
        <f>HYPERLINK("https://bulbapedia.bulbagarden.net/wiki/Yveltal-GX_(Forbidden_Light_124)","YveltalGX")</f>
        <v>YveltalGX</v>
      </c>
      <c r="C131" s="48" t="s">
        <v>808</v>
      </c>
      <c r="D131" s="47"/>
      <c r="E131" s="5"/>
      <c r="F131" s="5"/>
      <c r="G131" s="5"/>
    </row>
    <row r="132" spans="1:7" ht="13">
      <c r="A132" s="48" t="s">
        <v>7225</v>
      </c>
      <c r="B132" s="58" t="str">
        <f>HYPERLINK("https://bulbapedia.bulbagarden.net/wiki/Dialga-GX_(Forbidden_Light_125)","DialgaGX")</f>
        <v>DialgaGX</v>
      </c>
      <c r="C132" s="48" t="s">
        <v>220</v>
      </c>
      <c r="D132" s="47"/>
      <c r="E132" s="5"/>
      <c r="F132" s="5"/>
      <c r="G132" s="5"/>
    </row>
    <row r="133" spans="1:7" ht="13">
      <c r="A133" s="48" t="s">
        <v>7226</v>
      </c>
      <c r="B133" s="58" t="str">
        <f>HYPERLINK("https://bulbapedia.bulbagarden.net/wiki/Xerneas-GX_(Forbidden_Light_126)","XerneasGX")</f>
        <v>XerneasGX</v>
      </c>
      <c r="C133" s="48" t="s">
        <v>4743</v>
      </c>
      <c r="D133" s="47"/>
      <c r="E133" s="5"/>
      <c r="F133" s="5"/>
      <c r="G133" s="5"/>
    </row>
    <row r="134" spans="1:7" ht="13">
      <c r="A134" s="48" t="s">
        <v>7227</v>
      </c>
      <c r="B134" s="58" t="str">
        <f>HYPERLINK("https://bulbapedia.bulbagarden.net/wiki/Ultra_Necrozma-GX_(Forbidden_Light_127)","Ultra NecrozmaGX")</f>
        <v>Ultra NecrozmaGX</v>
      </c>
      <c r="C134" s="48" t="s">
        <v>4285</v>
      </c>
      <c r="D134" s="47"/>
      <c r="E134" s="5"/>
      <c r="F134" s="5"/>
      <c r="G134" s="5"/>
    </row>
    <row r="135" spans="1:7" ht="13">
      <c r="A135" s="48" t="s">
        <v>7228</v>
      </c>
      <c r="B135" s="49" t="s">
        <v>7190</v>
      </c>
      <c r="C135" s="48" t="s">
        <v>1013</v>
      </c>
      <c r="D135" s="48"/>
      <c r="E135" s="5"/>
      <c r="F135" s="5"/>
      <c r="G135" s="5"/>
    </row>
    <row r="136" spans="1:7" ht="13">
      <c r="A136" s="48" t="s">
        <v>7229</v>
      </c>
      <c r="B136" s="49" t="s">
        <v>7192</v>
      </c>
      <c r="C136" s="48" t="s">
        <v>1013</v>
      </c>
      <c r="D136" s="48"/>
      <c r="E136" s="5"/>
      <c r="F136" s="5"/>
      <c r="G136" s="5"/>
    </row>
    <row r="137" spans="1:7" ht="13">
      <c r="A137" s="48" t="s">
        <v>7230</v>
      </c>
      <c r="B137" s="49" t="s">
        <v>7194</v>
      </c>
      <c r="C137" s="48" t="s">
        <v>1013</v>
      </c>
      <c r="D137" s="48"/>
      <c r="E137" s="5"/>
      <c r="F137" s="5"/>
      <c r="G137" s="5"/>
    </row>
    <row r="138" spans="1:7" ht="13">
      <c r="A138" s="48" t="s">
        <v>7231</v>
      </c>
      <c r="B138" s="49" t="s">
        <v>7212</v>
      </c>
      <c r="C138" s="48" t="s">
        <v>1013</v>
      </c>
      <c r="D138" s="47"/>
      <c r="E138" s="5"/>
      <c r="F138" s="5"/>
      <c r="G138" s="5"/>
    </row>
    <row r="139" spans="1:7" ht="13">
      <c r="A139" s="48" t="s">
        <v>7232</v>
      </c>
      <c r="B139" s="58" t="str">
        <f>HYPERLINK("https://bulbapedia.bulbagarden.net/wiki/Palkia-GX_(Forbidden_Light_132)","PalkiaGX")</f>
        <v>PalkiaGX</v>
      </c>
      <c r="C139" s="48" t="s">
        <v>208</v>
      </c>
      <c r="D139" s="47"/>
      <c r="E139" s="5"/>
      <c r="F139" s="5"/>
      <c r="G139" s="5"/>
    </row>
    <row r="140" spans="1:7" ht="13">
      <c r="A140" s="48" t="s">
        <v>7233</v>
      </c>
      <c r="B140" s="58" t="str">
        <f>HYPERLINK("https://bulbapedia.bulbagarden.net/wiki/Greninja-GX_(Forbidden_Light_133)","GreninjaGX")</f>
        <v>GreninjaGX</v>
      </c>
      <c r="C140" s="48" t="s">
        <v>208</v>
      </c>
      <c r="D140" s="47"/>
      <c r="E140" s="5"/>
      <c r="F140" s="5"/>
      <c r="G140" s="5"/>
    </row>
    <row r="141" spans="1:7" ht="13">
      <c r="A141" s="48" t="s">
        <v>7234</v>
      </c>
      <c r="B141" s="58" t="str">
        <f>HYPERLINK("https://bulbapedia.bulbagarden.net/wiki/Naganadel-GX_(Forbidden_Light_134)","NaganadelGX")</f>
        <v>NaganadelGX</v>
      </c>
      <c r="C141" s="48" t="s">
        <v>195</v>
      </c>
      <c r="D141" s="48"/>
      <c r="E141" s="5"/>
      <c r="F141" s="5"/>
      <c r="G141" s="5"/>
    </row>
    <row r="142" spans="1:7" ht="13">
      <c r="A142" s="48" t="s">
        <v>7235</v>
      </c>
      <c r="B142" s="58" t="str">
        <f>HYPERLINK("https://bulbapedia.bulbagarden.net/wiki/Lucario-GX_(Forbidden_Light_135)","LucarioGX")</f>
        <v>LucarioGX</v>
      </c>
      <c r="C142" s="48" t="s">
        <v>225</v>
      </c>
      <c r="D142" s="48"/>
      <c r="E142" s="5"/>
      <c r="F142" s="5"/>
      <c r="G142" s="5"/>
    </row>
    <row r="143" spans="1:7" ht="13">
      <c r="A143" s="48" t="s">
        <v>7236</v>
      </c>
      <c r="B143" s="58" t="str">
        <f>HYPERLINK("https://bulbapedia.bulbagarden.net/wiki/Zygarde-GX_(Forbidden_Light_136)","ZygardeGX")</f>
        <v>ZygardeGX</v>
      </c>
      <c r="C143" s="48" t="s">
        <v>225</v>
      </c>
      <c r="D143" s="47"/>
      <c r="E143" s="5"/>
      <c r="F143" s="5"/>
      <c r="G143" s="5"/>
    </row>
    <row r="144" spans="1:7" ht="13">
      <c r="A144" s="48" t="s">
        <v>7237</v>
      </c>
      <c r="B144" s="58" t="str">
        <f>HYPERLINK("https://bulbapedia.bulbagarden.net/wiki/Yveltal-GX_(Forbidden_Light_137)","YveltalGX")</f>
        <v>YveltalGX</v>
      </c>
      <c r="C144" s="48" t="s">
        <v>808</v>
      </c>
      <c r="D144" s="47"/>
      <c r="E144" s="5"/>
      <c r="F144" s="5"/>
      <c r="G144" s="5"/>
    </row>
    <row r="145" spans="1:7" ht="13">
      <c r="A145" s="48" t="s">
        <v>7238</v>
      </c>
      <c r="B145" s="58" t="str">
        <f>HYPERLINK("https://bulbapedia.bulbagarden.net/wiki/Dialga-GX_(Forbidden_Light_138)","DialgaGX")</f>
        <v>DialgaGX</v>
      </c>
      <c r="C145" s="48" t="s">
        <v>220</v>
      </c>
      <c r="D145" s="47"/>
      <c r="E145" s="5"/>
      <c r="F145" s="5"/>
      <c r="G145" s="5"/>
    </row>
    <row r="146" spans="1:7" ht="13">
      <c r="A146" s="48" t="s">
        <v>7239</v>
      </c>
      <c r="B146" s="58" t="str">
        <f>HYPERLINK("https://bulbapedia.bulbagarden.net/wiki/Xerneas-GX_(Forbidden_Light_139)","XerneasGX")</f>
        <v>XerneasGX</v>
      </c>
      <c r="C146" s="48" t="s">
        <v>4743</v>
      </c>
      <c r="D146" s="47"/>
      <c r="E146" s="5"/>
      <c r="F146" s="5"/>
      <c r="G146" s="5"/>
    </row>
    <row r="147" spans="1:7" ht="13">
      <c r="A147" s="48" t="s">
        <v>7240</v>
      </c>
      <c r="B147" s="58" t="str">
        <f>HYPERLINK("https://bulbapedia.bulbagarden.net/wiki/Ultra_Necrozma-GX_(Forbidden_Light_140)","Ultra NecrozmaGX")</f>
        <v>Ultra NecrozmaGX</v>
      </c>
      <c r="C147" s="48" t="s">
        <v>4285</v>
      </c>
      <c r="D147" s="48"/>
      <c r="E147" s="5"/>
      <c r="F147" s="5"/>
      <c r="G147" s="5"/>
    </row>
    <row r="148" spans="1:7" ht="13">
      <c r="A148" s="48" t="s">
        <v>7241</v>
      </c>
      <c r="B148" s="49" t="s">
        <v>7188</v>
      </c>
      <c r="C148" s="48" t="s">
        <v>4114</v>
      </c>
      <c r="D148" s="47"/>
      <c r="E148" s="5"/>
      <c r="F148" s="5"/>
      <c r="G148" s="5"/>
    </row>
    <row r="149" spans="1:7" ht="13">
      <c r="A149" s="48" t="s">
        <v>7242</v>
      </c>
      <c r="B149" s="49" t="s">
        <v>7196</v>
      </c>
      <c r="C149" s="48" t="s">
        <v>4114</v>
      </c>
      <c r="D149" s="48"/>
      <c r="E149" s="5"/>
      <c r="F149" s="5"/>
      <c r="G149" s="5"/>
    </row>
    <row r="150" spans="1:7" ht="13">
      <c r="A150" s="48" t="s">
        <v>7243</v>
      </c>
      <c r="B150" s="49" t="s">
        <v>5548</v>
      </c>
      <c r="C150" s="48" t="s">
        <v>4114</v>
      </c>
      <c r="D150" s="47"/>
      <c r="E150" s="5"/>
      <c r="F150" s="5"/>
      <c r="G150" s="5"/>
    </row>
    <row r="151" spans="1:7" ht="13">
      <c r="A151" s="48" t="s">
        <v>7244</v>
      </c>
      <c r="B151" s="49" t="s">
        <v>7206</v>
      </c>
      <c r="C151" s="48" t="s">
        <v>4114</v>
      </c>
      <c r="D151" s="47"/>
      <c r="E151" s="5"/>
      <c r="F151" s="5"/>
      <c r="G151" s="5"/>
    </row>
    <row r="152" spans="1:7" ht="13">
      <c r="A152" s="48" t="s">
        <v>7245</v>
      </c>
      <c r="B152" s="49" t="s">
        <v>7209</v>
      </c>
      <c r="C152" s="48" t="s">
        <v>4114</v>
      </c>
      <c r="D152" s="48"/>
      <c r="E152" s="5"/>
      <c r="F152" s="5"/>
      <c r="G152" s="5"/>
    </row>
    <row r="153" spans="1:7" ht="13">
      <c r="A153" s="48" t="s">
        <v>7246</v>
      </c>
      <c r="B153" s="49" t="s">
        <v>7218</v>
      </c>
      <c r="C153" s="48" t="s">
        <v>317</v>
      </c>
      <c r="D153" s="47"/>
      <c r="E153" s="5"/>
      <c r="F153" s="5"/>
      <c r="G153" s="5"/>
    </row>
    <row r="154" spans="1:7" ht="13">
      <c r="G154" s="5"/>
    </row>
    <row r="155" spans="1:7" ht="13">
      <c r="A155" s="48"/>
      <c r="B155" s="53"/>
      <c r="C155" s="48"/>
      <c r="D155" s="47"/>
      <c r="E155" s="5"/>
      <c r="F155" s="5"/>
      <c r="G155" s="5"/>
    </row>
    <row r="156" spans="1:7" ht="13">
      <c r="A156" s="48"/>
      <c r="B156" s="50"/>
      <c r="C156" s="48"/>
      <c r="D156" s="47"/>
      <c r="E156" s="5"/>
      <c r="F156" s="5"/>
      <c r="G156" s="5"/>
    </row>
    <row r="157" spans="1:7" ht="13">
      <c r="A157" s="48"/>
      <c r="B157" s="50"/>
      <c r="C157" s="48"/>
      <c r="D157" s="47"/>
      <c r="E157" s="5"/>
      <c r="F157" s="5"/>
      <c r="G157" s="5"/>
    </row>
    <row r="158" spans="1:7" ht="13">
      <c r="A158" s="48"/>
      <c r="B158" s="50"/>
      <c r="C158" s="48"/>
      <c r="D158" s="47"/>
      <c r="E158" s="5"/>
      <c r="F158" s="5"/>
      <c r="G158" s="5"/>
    </row>
    <row r="159" spans="1:7" ht="13">
      <c r="A159" s="48"/>
      <c r="B159" s="50"/>
      <c r="C159" s="48"/>
      <c r="D159" s="47"/>
      <c r="E159" s="5"/>
      <c r="F159" s="5"/>
      <c r="G159" s="5"/>
    </row>
    <row r="160" spans="1:7" ht="13">
      <c r="A160" s="48"/>
      <c r="B160" s="50"/>
      <c r="C160" s="48"/>
      <c r="D160" s="47"/>
      <c r="E160" s="5"/>
      <c r="F160" s="5"/>
      <c r="G160" s="5"/>
    </row>
    <row r="161" spans="1:7" ht="13">
      <c r="A161" s="48"/>
      <c r="B161" s="50"/>
      <c r="C161" s="48"/>
      <c r="D161" s="47"/>
      <c r="E161" s="5"/>
      <c r="F161" s="5"/>
      <c r="G161" s="5"/>
    </row>
    <row r="162" spans="1:7" ht="13">
      <c r="A162" s="48"/>
      <c r="B162" s="50"/>
      <c r="C162" s="48"/>
      <c r="D162" s="47"/>
      <c r="E162" s="5"/>
      <c r="F162" s="5"/>
      <c r="G162" s="5"/>
    </row>
    <row r="163" spans="1:7" ht="13">
      <c r="A163" s="48"/>
      <c r="B163" s="50"/>
      <c r="C163" s="48"/>
      <c r="D163" s="47"/>
      <c r="E163" s="5"/>
      <c r="F163" s="5"/>
      <c r="G163" s="5"/>
    </row>
    <row r="164" spans="1:7" ht="13">
      <c r="A164" s="48"/>
      <c r="B164" s="50"/>
      <c r="C164" s="48"/>
      <c r="D164" s="47"/>
      <c r="E164" s="5"/>
      <c r="F164" s="5"/>
      <c r="G164" s="5"/>
    </row>
    <row r="165" spans="1:7" ht="13">
      <c r="A165" s="48"/>
      <c r="B165" s="53"/>
      <c r="C165" s="48"/>
      <c r="D165" s="47"/>
      <c r="E165" s="5"/>
      <c r="F165" s="5"/>
      <c r="G165" s="5"/>
    </row>
    <row r="166" spans="1:7" ht="13">
      <c r="A166" s="48"/>
      <c r="B166" s="53"/>
      <c r="C166" s="48"/>
      <c r="D166" s="47"/>
      <c r="E166" s="5"/>
      <c r="F166" s="5"/>
      <c r="G166" s="5"/>
    </row>
    <row r="167" spans="1:7" ht="13">
      <c r="A167" s="48"/>
      <c r="B167" s="53"/>
      <c r="C167" s="48"/>
      <c r="D167" s="47"/>
      <c r="E167" s="5"/>
      <c r="F167" s="5"/>
      <c r="G167" s="5"/>
    </row>
    <row r="168" spans="1:7" ht="13">
      <c r="A168" s="48"/>
      <c r="B168" s="53"/>
      <c r="C168" s="48"/>
      <c r="D168" s="47"/>
      <c r="E168" s="5"/>
      <c r="F168" s="5"/>
      <c r="G168" s="5"/>
    </row>
    <row r="169" spans="1:7" ht="13">
      <c r="A169" s="48"/>
      <c r="B169" s="53"/>
      <c r="C169" s="48"/>
      <c r="D169" s="47"/>
      <c r="E169" s="5"/>
      <c r="F169" s="5"/>
      <c r="G169" s="5"/>
    </row>
    <row r="170" spans="1:7" ht="13">
      <c r="A170" s="48"/>
      <c r="B170" s="53"/>
      <c r="C170" s="48"/>
      <c r="D170" s="47"/>
      <c r="E170" s="5"/>
      <c r="F170" s="5"/>
      <c r="G170" s="5"/>
    </row>
    <row r="171" spans="1:7" ht="13">
      <c r="A171" s="48"/>
      <c r="B171" s="53"/>
      <c r="C171" s="48"/>
      <c r="D171" s="47"/>
      <c r="E171" s="5"/>
      <c r="F171" s="5"/>
      <c r="G171" s="5"/>
    </row>
    <row r="172" spans="1:7" ht="13">
      <c r="A172" s="48"/>
      <c r="B172" s="53"/>
      <c r="C172" s="48"/>
      <c r="D172" s="47"/>
      <c r="E172" s="5"/>
      <c r="F172" s="5"/>
      <c r="G172" s="5"/>
    </row>
    <row r="173" spans="1:7" ht="13">
      <c r="A173" s="48"/>
      <c r="B173" s="53"/>
      <c r="C173" s="48"/>
      <c r="D173" s="47"/>
      <c r="E173" s="5"/>
      <c r="F173" s="5"/>
      <c r="G173" s="5"/>
    </row>
    <row r="174" spans="1:7" ht="13">
      <c r="A174" s="48"/>
      <c r="B174" s="50"/>
      <c r="C174" s="48"/>
      <c r="D174" s="47"/>
      <c r="E174" s="5"/>
      <c r="F174" s="5"/>
      <c r="G174" s="5"/>
    </row>
    <row r="175" spans="1:7" ht="13">
      <c r="A175" s="48"/>
      <c r="B175" s="50"/>
      <c r="C175" s="48"/>
      <c r="D175" s="47"/>
      <c r="E175" s="5"/>
      <c r="F175" s="5"/>
      <c r="G175" s="5"/>
    </row>
    <row r="176" spans="1:7" ht="13">
      <c r="A176" s="48"/>
      <c r="B176" s="50"/>
      <c r="C176" s="48"/>
      <c r="D176" s="47"/>
      <c r="E176" s="5"/>
      <c r="F176" s="5"/>
      <c r="G176" s="5"/>
    </row>
    <row r="177" spans="1:7" ht="13">
      <c r="A177" s="48"/>
      <c r="B177" s="50"/>
      <c r="C177" s="48"/>
      <c r="D177" s="47"/>
      <c r="E177" s="5"/>
      <c r="F177" s="5"/>
      <c r="G177" s="5"/>
    </row>
    <row r="178" spans="1:7" ht="13">
      <c r="A178" s="48"/>
      <c r="B178" s="50"/>
      <c r="C178" s="48"/>
      <c r="D178" s="47"/>
      <c r="E178" s="5"/>
      <c r="F178" s="5"/>
      <c r="G178" s="5"/>
    </row>
    <row r="179" spans="1:7" ht="13">
      <c r="A179" s="48"/>
      <c r="B179" s="50"/>
      <c r="C179" s="48"/>
      <c r="D179" s="47"/>
      <c r="E179" s="5"/>
      <c r="F179" s="5"/>
      <c r="G179" s="5"/>
    </row>
    <row r="180" spans="1:7" ht="13">
      <c r="A180" s="48"/>
      <c r="B180" s="53"/>
      <c r="C180" s="48"/>
      <c r="D180" s="47"/>
      <c r="E180" s="5"/>
      <c r="F180" s="5"/>
      <c r="G180" s="5"/>
    </row>
    <row r="181" spans="1:7" ht="13">
      <c r="A181" s="48"/>
      <c r="B181" s="53"/>
      <c r="C181" s="48"/>
      <c r="D181" s="47"/>
      <c r="E181" s="5"/>
      <c r="F181" s="5"/>
      <c r="G181" s="5"/>
    </row>
    <row r="182" spans="1:7" ht="13">
      <c r="C182" s="80"/>
      <c r="D182" s="5"/>
      <c r="E182" s="5"/>
      <c r="F182" s="5"/>
      <c r="G182" s="5"/>
    </row>
    <row r="183" spans="1:7" ht="13">
      <c r="C183" s="80"/>
      <c r="D183" s="5"/>
      <c r="E183" s="5"/>
      <c r="F183" s="5"/>
      <c r="G183" s="5"/>
    </row>
    <row r="184" spans="1:7" ht="13">
      <c r="C184" s="80"/>
      <c r="D184" s="5"/>
      <c r="E184" s="5"/>
      <c r="F184" s="5"/>
      <c r="G184" s="5"/>
    </row>
    <row r="185" spans="1:7" ht="13">
      <c r="C185" s="80"/>
      <c r="D185" s="5"/>
      <c r="E185" s="5"/>
      <c r="F185" s="5"/>
      <c r="G185" s="5"/>
    </row>
    <row r="186" spans="1:7" ht="13">
      <c r="C186" s="80"/>
      <c r="D186" s="5"/>
      <c r="E186" s="5"/>
      <c r="F186" s="5"/>
      <c r="G186" s="5"/>
    </row>
    <row r="187" spans="1:7" ht="13">
      <c r="C187" s="80"/>
      <c r="D187" s="5"/>
      <c r="E187" s="5"/>
      <c r="F187" s="5"/>
      <c r="G187" s="5"/>
    </row>
    <row r="188" spans="1:7" ht="13">
      <c r="C188" s="80"/>
      <c r="D188" s="5"/>
      <c r="E188" s="5"/>
      <c r="F188" s="5"/>
      <c r="G188" s="5"/>
    </row>
    <row r="189" spans="1:7" ht="13">
      <c r="C189" s="80"/>
      <c r="D189" s="5"/>
      <c r="E189" s="5"/>
      <c r="F189" s="5"/>
      <c r="G189" s="5"/>
    </row>
    <row r="190" spans="1:7" ht="13">
      <c r="C190" s="80"/>
      <c r="D190" s="5"/>
      <c r="E190" s="5"/>
      <c r="F190" s="5"/>
      <c r="G190" s="5"/>
    </row>
    <row r="191" spans="1:7" ht="13">
      <c r="C191" s="80"/>
      <c r="D191" s="5"/>
      <c r="E191" s="5"/>
      <c r="F191" s="5"/>
      <c r="G191" s="5"/>
    </row>
    <row r="192" spans="1:7" ht="13">
      <c r="C192" s="80"/>
      <c r="D192" s="5"/>
      <c r="E192" s="5"/>
      <c r="F192" s="5"/>
      <c r="G192" s="5"/>
    </row>
    <row r="193" spans="3:7" ht="13">
      <c r="C193" s="80"/>
      <c r="D193" s="5"/>
      <c r="E193" s="5"/>
      <c r="F193" s="5"/>
      <c r="G193" s="5"/>
    </row>
    <row r="194" spans="3:7" ht="13">
      <c r="C194" s="80"/>
      <c r="D194" s="5"/>
      <c r="E194" s="5"/>
      <c r="F194" s="5"/>
      <c r="G194" s="5"/>
    </row>
    <row r="195" spans="3:7" ht="13">
      <c r="C195" s="80"/>
      <c r="D195" s="5"/>
      <c r="E195" s="5"/>
      <c r="F195" s="5"/>
      <c r="G195" s="5"/>
    </row>
    <row r="196" spans="3:7" ht="13">
      <c r="C196" s="80"/>
      <c r="D196" s="5"/>
      <c r="E196" s="5"/>
      <c r="F196" s="5"/>
      <c r="G196" s="5"/>
    </row>
    <row r="197" spans="3:7" ht="13">
      <c r="C197" s="80"/>
      <c r="D197" s="5"/>
      <c r="E197" s="5"/>
      <c r="F197" s="5"/>
      <c r="G197" s="5"/>
    </row>
    <row r="198" spans="3:7" ht="13">
      <c r="C198" s="80"/>
      <c r="D198" s="5"/>
      <c r="E198" s="5"/>
      <c r="F198" s="5"/>
      <c r="G198" s="5"/>
    </row>
    <row r="199" spans="3:7" ht="13">
      <c r="C199" s="80"/>
      <c r="D199" s="5"/>
      <c r="E199" s="5"/>
      <c r="F199" s="5"/>
      <c r="G199" s="5"/>
    </row>
    <row r="200" spans="3:7" ht="13">
      <c r="C200" s="80"/>
      <c r="D200" s="5"/>
      <c r="E200" s="5"/>
      <c r="F200" s="5"/>
      <c r="G200" s="5"/>
    </row>
    <row r="201" spans="3:7" ht="13">
      <c r="C201" s="80"/>
      <c r="D201" s="5"/>
      <c r="E201" s="5"/>
      <c r="F201" s="5"/>
      <c r="G201" s="5"/>
    </row>
    <row r="202" spans="3:7" ht="13">
      <c r="C202" s="80"/>
      <c r="D202" s="5"/>
      <c r="E202" s="5"/>
      <c r="F202" s="5"/>
      <c r="G202" s="5"/>
    </row>
    <row r="203" spans="3:7" ht="13">
      <c r="C203" s="80"/>
      <c r="D203" s="5"/>
      <c r="E203" s="5"/>
      <c r="F203" s="5"/>
      <c r="G203" s="5"/>
    </row>
    <row r="204" spans="3:7" ht="13">
      <c r="C204" s="80"/>
      <c r="D204" s="5"/>
      <c r="E204" s="5"/>
      <c r="F204" s="5"/>
      <c r="G204" s="5"/>
    </row>
    <row r="205" spans="3:7" ht="13">
      <c r="C205" s="80"/>
      <c r="D205" s="5"/>
      <c r="E205" s="5"/>
      <c r="F205" s="5"/>
      <c r="G205" s="5"/>
    </row>
    <row r="206" spans="3:7" ht="13">
      <c r="C206" s="80"/>
      <c r="D206" s="5"/>
      <c r="E206" s="5"/>
      <c r="F206" s="5"/>
      <c r="G206" s="5"/>
    </row>
    <row r="207" spans="3:7" ht="13">
      <c r="C207" s="80"/>
      <c r="D207" s="5"/>
      <c r="E207" s="5"/>
      <c r="F207" s="5"/>
      <c r="G207" s="5"/>
    </row>
    <row r="208" spans="3:7" ht="13">
      <c r="C208" s="80"/>
      <c r="D208" s="5"/>
      <c r="E208" s="5"/>
      <c r="F208" s="5"/>
      <c r="G208" s="5"/>
    </row>
    <row r="209" spans="3:7" ht="13">
      <c r="C209" s="80"/>
      <c r="D209" s="5"/>
      <c r="E209" s="5"/>
      <c r="F209" s="5"/>
      <c r="G209" s="5"/>
    </row>
    <row r="210" spans="3:7" ht="13">
      <c r="C210" s="80"/>
      <c r="D210" s="5"/>
      <c r="E210" s="5"/>
      <c r="F210" s="5"/>
      <c r="G210" s="5"/>
    </row>
    <row r="211" spans="3:7" ht="13">
      <c r="C211" s="80"/>
      <c r="D211" s="5"/>
      <c r="E211" s="5"/>
      <c r="F211" s="5"/>
      <c r="G211" s="5"/>
    </row>
    <row r="212" spans="3:7" ht="13">
      <c r="C212" s="80"/>
      <c r="D212" s="5"/>
      <c r="E212" s="5"/>
      <c r="F212" s="5"/>
      <c r="G212" s="5"/>
    </row>
    <row r="213" spans="3:7" ht="13">
      <c r="C213" s="80"/>
      <c r="D213" s="5"/>
      <c r="E213" s="5"/>
      <c r="F213" s="5"/>
      <c r="G213" s="5"/>
    </row>
    <row r="214" spans="3:7" ht="13">
      <c r="C214" s="80"/>
      <c r="D214" s="5"/>
      <c r="E214" s="5"/>
      <c r="F214" s="5"/>
      <c r="G214" s="5"/>
    </row>
    <row r="215" spans="3:7" ht="13">
      <c r="C215" s="80"/>
      <c r="D215" s="5"/>
      <c r="E215" s="5"/>
      <c r="F215" s="5"/>
      <c r="G215" s="5"/>
    </row>
    <row r="216" spans="3:7" ht="13">
      <c r="C216" s="80"/>
      <c r="D216" s="5"/>
      <c r="E216" s="5"/>
      <c r="F216" s="5"/>
      <c r="G216" s="5"/>
    </row>
    <row r="217" spans="3:7" ht="13">
      <c r="C217" s="80"/>
      <c r="D217" s="5"/>
      <c r="E217" s="5"/>
      <c r="F217" s="5"/>
      <c r="G217" s="5"/>
    </row>
    <row r="218" spans="3:7" ht="13">
      <c r="C218" s="80"/>
      <c r="D218" s="5"/>
      <c r="E218" s="5"/>
      <c r="F218" s="5"/>
      <c r="G218" s="5"/>
    </row>
    <row r="219" spans="3:7" ht="13">
      <c r="C219" s="80"/>
      <c r="D219" s="5"/>
      <c r="E219" s="5"/>
      <c r="F219" s="5"/>
      <c r="G219" s="5"/>
    </row>
    <row r="220" spans="3:7" ht="13">
      <c r="C220" s="80"/>
      <c r="D220" s="5"/>
      <c r="E220" s="5"/>
      <c r="F220" s="5"/>
      <c r="G220" s="5"/>
    </row>
    <row r="221" spans="3:7" ht="13">
      <c r="C221" s="80"/>
      <c r="D221" s="5"/>
      <c r="E221" s="5"/>
      <c r="F221" s="5"/>
      <c r="G221" s="5"/>
    </row>
    <row r="222" spans="3:7" ht="13">
      <c r="C222" s="80"/>
      <c r="D222" s="5"/>
      <c r="E222" s="5"/>
      <c r="F222" s="5"/>
      <c r="G222" s="5"/>
    </row>
    <row r="223" spans="3:7" ht="13">
      <c r="C223" s="80"/>
      <c r="D223" s="5"/>
      <c r="E223" s="5"/>
      <c r="F223" s="5"/>
      <c r="G223" s="5"/>
    </row>
    <row r="224" spans="3:7" ht="13">
      <c r="C224" s="80"/>
      <c r="D224" s="5"/>
      <c r="E224" s="5"/>
      <c r="F224" s="5"/>
      <c r="G224" s="5"/>
    </row>
    <row r="225" spans="3:7" ht="13">
      <c r="C225" s="80"/>
      <c r="D225" s="5"/>
      <c r="E225" s="5"/>
      <c r="F225" s="5"/>
      <c r="G225" s="5"/>
    </row>
    <row r="226" spans="3:7" ht="13">
      <c r="C226" s="80"/>
      <c r="D226" s="5"/>
      <c r="E226" s="5"/>
      <c r="F226" s="5"/>
      <c r="G226" s="5"/>
    </row>
    <row r="227" spans="3:7" ht="13">
      <c r="C227" s="80"/>
      <c r="D227" s="5"/>
      <c r="E227" s="5"/>
      <c r="F227" s="5"/>
      <c r="G227" s="5"/>
    </row>
    <row r="228" spans="3:7" ht="13">
      <c r="C228" s="80"/>
      <c r="D228" s="5"/>
      <c r="E228" s="5"/>
      <c r="F228" s="5"/>
      <c r="G228" s="5"/>
    </row>
    <row r="229" spans="3:7" ht="13">
      <c r="C229" s="80"/>
      <c r="D229" s="5"/>
      <c r="E229" s="5"/>
      <c r="F229" s="5"/>
      <c r="G229" s="5"/>
    </row>
    <row r="230" spans="3:7" ht="13">
      <c r="C230" s="80"/>
      <c r="D230" s="5"/>
      <c r="E230" s="5"/>
      <c r="F230" s="5"/>
      <c r="G230" s="5"/>
    </row>
    <row r="231" spans="3:7" ht="13">
      <c r="C231" s="80"/>
      <c r="D231" s="5"/>
      <c r="E231" s="5"/>
      <c r="F231" s="5"/>
      <c r="G231" s="5"/>
    </row>
    <row r="232" spans="3:7" ht="13">
      <c r="C232" s="80"/>
      <c r="D232" s="5"/>
      <c r="E232" s="5"/>
      <c r="F232" s="5"/>
      <c r="G232" s="5"/>
    </row>
    <row r="233" spans="3:7" ht="13">
      <c r="C233" s="80"/>
      <c r="D233" s="5"/>
      <c r="E233" s="5"/>
      <c r="F233" s="5"/>
      <c r="G233" s="5"/>
    </row>
    <row r="234" spans="3:7" ht="13">
      <c r="C234" s="80"/>
      <c r="D234" s="5"/>
      <c r="E234" s="5"/>
      <c r="F234" s="5"/>
      <c r="G234" s="5"/>
    </row>
    <row r="235" spans="3:7" ht="13">
      <c r="C235" s="80"/>
      <c r="D235" s="5"/>
      <c r="E235" s="5"/>
      <c r="F235" s="5"/>
      <c r="G235" s="5"/>
    </row>
    <row r="236" spans="3:7" ht="13">
      <c r="C236" s="80"/>
      <c r="D236" s="5"/>
      <c r="E236" s="5"/>
      <c r="F236" s="5"/>
      <c r="G236" s="5"/>
    </row>
    <row r="237" spans="3:7" ht="13">
      <c r="C237" s="80"/>
      <c r="D237" s="5"/>
      <c r="E237" s="5"/>
      <c r="F237" s="5"/>
      <c r="G237" s="5"/>
    </row>
    <row r="238" spans="3:7" ht="13">
      <c r="C238" s="80"/>
      <c r="D238" s="5"/>
      <c r="E238" s="5"/>
      <c r="F238" s="5"/>
      <c r="G238" s="5"/>
    </row>
    <row r="239" spans="3:7" ht="13">
      <c r="C239" s="80"/>
      <c r="D239" s="5"/>
      <c r="E239" s="5"/>
      <c r="F239" s="5"/>
      <c r="G239" s="5"/>
    </row>
    <row r="240" spans="3:7" ht="13">
      <c r="C240" s="80"/>
      <c r="D240" s="5"/>
      <c r="E240" s="5"/>
      <c r="F240" s="5"/>
      <c r="G240" s="5"/>
    </row>
    <row r="241" spans="3:7" ht="13">
      <c r="C241" s="80"/>
      <c r="D241" s="5"/>
      <c r="E241" s="5"/>
      <c r="F241" s="5"/>
      <c r="G241" s="5"/>
    </row>
    <row r="242" spans="3:7" ht="13">
      <c r="C242" s="80"/>
      <c r="D242" s="5"/>
      <c r="E242" s="5"/>
      <c r="F242" s="5"/>
      <c r="G242" s="5"/>
    </row>
    <row r="243" spans="3:7" ht="13">
      <c r="C243" s="80"/>
      <c r="D243" s="5"/>
      <c r="E243" s="5"/>
      <c r="F243" s="5"/>
      <c r="G243" s="5"/>
    </row>
    <row r="244" spans="3:7" ht="13">
      <c r="C244" s="80"/>
      <c r="D244" s="5"/>
      <c r="E244" s="5"/>
      <c r="F244" s="5"/>
      <c r="G244" s="5"/>
    </row>
    <row r="245" spans="3:7" ht="13">
      <c r="C245" s="80"/>
      <c r="D245" s="5"/>
      <c r="E245" s="5"/>
      <c r="F245" s="5"/>
      <c r="G245" s="5"/>
    </row>
    <row r="246" spans="3:7" ht="13">
      <c r="C246" s="80"/>
      <c r="D246" s="5"/>
      <c r="E246" s="5"/>
      <c r="F246" s="5"/>
      <c r="G246" s="5"/>
    </row>
    <row r="247" spans="3:7" ht="13">
      <c r="C247" s="80"/>
      <c r="D247" s="5"/>
      <c r="E247" s="5"/>
      <c r="F247" s="5"/>
      <c r="G247" s="5"/>
    </row>
    <row r="248" spans="3:7" ht="13">
      <c r="C248" s="80"/>
      <c r="D248" s="5"/>
      <c r="E248" s="5"/>
      <c r="F248" s="5"/>
      <c r="G248" s="5"/>
    </row>
    <row r="249" spans="3:7" ht="13">
      <c r="C249" s="80"/>
      <c r="D249" s="5"/>
      <c r="E249" s="5"/>
      <c r="F249" s="5"/>
      <c r="G249" s="5"/>
    </row>
    <row r="250" spans="3:7" ht="13">
      <c r="C250" s="80"/>
      <c r="D250" s="5"/>
      <c r="E250" s="5"/>
      <c r="F250" s="5"/>
      <c r="G250" s="5"/>
    </row>
    <row r="251" spans="3:7" ht="13">
      <c r="C251" s="80"/>
      <c r="D251" s="5"/>
      <c r="E251" s="5"/>
      <c r="F251" s="5"/>
      <c r="G251" s="5"/>
    </row>
    <row r="252" spans="3:7" ht="13">
      <c r="C252" s="80"/>
      <c r="D252" s="5"/>
      <c r="E252" s="5"/>
      <c r="F252" s="5"/>
      <c r="G252" s="5"/>
    </row>
    <row r="253" spans="3:7" ht="13">
      <c r="C253" s="80"/>
      <c r="D253" s="5"/>
      <c r="E253" s="5"/>
      <c r="F253" s="5"/>
      <c r="G253" s="5"/>
    </row>
    <row r="254" spans="3:7" ht="13">
      <c r="C254" s="80"/>
      <c r="D254" s="5"/>
      <c r="E254" s="5"/>
      <c r="F254" s="5"/>
      <c r="G254" s="5"/>
    </row>
    <row r="255" spans="3:7" ht="13">
      <c r="C255" s="80"/>
      <c r="D255" s="5"/>
      <c r="E255" s="5"/>
      <c r="F255" s="5"/>
      <c r="G255" s="5"/>
    </row>
    <row r="256" spans="3:7" ht="13">
      <c r="C256" s="80"/>
      <c r="D256" s="5"/>
      <c r="E256" s="5"/>
      <c r="F256" s="5"/>
      <c r="G256" s="5"/>
    </row>
    <row r="257" spans="3:7" ht="13">
      <c r="C257" s="80"/>
      <c r="D257" s="5"/>
      <c r="E257" s="5"/>
      <c r="F257" s="5"/>
      <c r="G257" s="5"/>
    </row>
    <row r="258" spans="3:7" ht="13">
      <c r="C258" s="80"/>
      <c r="D258" s="5"/>
      <c r="E258" s="5"/>
      <c r="F258" s="5"/>
      <c r="G258" s="5"/>
    </row>
    <row r="259" spans="3:7" ht="13">
      <c r="C259" s="80"/>
      <c r="D259" s="5"/>
      <c r="E259" s="5"/>
      <c r="F259" s="5"/>
      <c r="G259" s="5"/>
    </row>
    <row r="260" spans="3:7" ht="13">
      <c r="C260" s="80"/>
      <c r="D260" s="5"/>
      <c r="E260" s="5"/>
      <c r="F260" s="5"/>
      <c r="G260" s="5"/>
    </row>
    <row r="261" spans="3:7" ht="13">
      <c r="C261" s="80"/>
      <c r="D261" s="5"/>
      <c r="E261" s="5"/>
      <c r="F261" s="5"/>
      <c r="G261" s="5"/>
    </row>
    <row r="262" spans="3:7" ht="13">
      <c r="C262" s="80"/>
      <c r="D262" s="5"/>
      <c r="E262" s="5"/>
      <c r="F262" s="5"/>
      <c r="G262" s="5"/>
    </row>
    <row r="263" spans="3:7" ht="13">
      <c r="C263" s="80"/>
      <c r="D263" s="5"/>
      <c r="E263" s="5"/>
      <c r="F263" s="5"/>
      <c r="G263" s="5"/>
    </row>
    <row r="264" spans="3:7" ht="13">
      <c r="C264" s="80"/>
      <c r="D264" s="5"/>
      <c r="E264" s="5"/>
      <c r="F264" s="5"/>
      <c r="G264" s="5"/>
    </row>
    <row r="265" spans="3:7" ht="13">
      <c r="C265" s="80"/>
      <c r="D265" s="5"/>
      <c r="E265" s="5"/>
      <c r="F265" s="5"/>
      <c r="G265" s="5"/>
    </row>
    <row r="266" spans="3:7" ht="13">
      <c r="C266" s="80"/>
      <c r="D266" s="5"/>
      <c r="E266" s="5"/>
      <c r="F266" s="5"/>
      <c r="G266" s="5"/>
    </row>
    <row r="267" spans="3:7" ht="13">
      <c r="C267" s="80"/>
      <c r="D267" s="5"/>
      <c r="E267" s="5"/>
      <c r="F267" s="5"/>
      <c r="G267" s="5"/>
    </row>
    <row r="268" spans="3:7" ht="13">
      <c r="C268" s="80"/>
      <c r="D268" s="5"/>
      <c r="E268" s="5"/>
      <c r="F268" s="5"/>
      <c r="G268" s="5"/>
    </row>
    <row r="269" spans="3:7" ht="13">
      <c r="C269" s="80"/>
      <c r="D269" s="5"/>
      <c r="E269" s="5"/>
      <c r="F269" s="5"/>
      <c r="G269" s="5"/>
    </row>
    <row r="270" spans="3:7" ht="13">
      <c r="C270" s="80"/>
      <c r="D270" s="5"/>
      <c r="E270" s="5"/>
      <c r="F270" s="5"/>
      <c r="G270" s="5"/>
    </row>
    <row r="271" spans="3:7" ht="13">
      <c r="C271" s="80"/>
      <c r="D271" s="5"/>
      <c r="E271" s="5"/>
      <c r="F271" s="5"/>
      <c r="G271" s="5"/>
    </row>
    <row r="272" spans="3:7" ht="13">
      <c r="C272" s="80"/>
      <c r="D272" s="5"/>
      <c r="E272" s="5"/>
      <c r="F272" s="5"/>
      <c r="G272" s="5"/>
    </row>
    <row r="273" spans="3:7" ht="13">
      <c r="C273" s="80"/>
      <c r="D273" s="5"/>
      <c r="E273" s="5"/>
      <c r="F273" s="5"/>
      <c r="G273" s="5"/>
    </row>
    <row r="274" spans="3:7" ht="13">
      <c r="C274" s="80"/>
      <c r="D274" s="5"/>
      <c r="E274" s="5"/>
      <c r="F274" s="5"/>
      <c r="G274" s="5"/>
    </row>
    <row r="275" spans="3:7" ht="13">
      <c r="C275" s="80"/>
      <c r="D275" s="5"/>
      <c r="E275" s="5"/>
      <c r="F275" s="5"/>
      <c r="G275" s="5"/>
    </row>
    <row r="276" spans="3:7" ht="13">
      <c r="C276" s="80"/>
      <c r="D276" s="5"/>
      <c r="E276" s="5"/>
      <c r="F276" s="5"/>
      <c r="G276" s="5"/>
    </row>
    <row r="277" spans="3:7" ht="13">
      <c r="C277" s="80"/>
      <c r="D277" s="5"/>
      <c r="E277" s="5"/>
      <c r="F277" s="5"/>
      <c r="G277" s="5"/>
    </row>
    <row r="278" spans="3:7" ht="13">
      <c r="C278" s="80"/>
      <c r="D278" s="5"/>
      <c r="E278" s="5"/>
      <c r="F278" s="5"/>
      <c r="G278" s="5"/>
    </row>
    <row r="279" spans="3:7" ht="13">
      <c r="C279" s="80"/>
      <c r="D279" s="5"/>
      <c r="E279" s="5"/>
      <c r="F279" s="5"/>
      <c r="G279" s="5"/>
    </row>
    <row r="280" spans="3:7" ht="13">
      <c r="C280" s="80"/>
      <c r="D280" s="5"/>
      <c r="E280" s="5"/>
      <c r="F280" s="5"/>
      <c r="G280" s="5"/>
    </row>
    <row r="281" spans="3:7" ht="13">
      <c r="C281" s="80"/>
      <c r="D281" s="5"/>
      <c r="E281" s="5"/>
      <c r="F281" s="5"/>
      <c r="G281" s="5"/>
    </row>
    <row r="282" spans="3:7" ht="13">
      <c r="C282" s="80"/>
      <c r="D282" s="5"/>
      <c r="E282" s="5"/>
      <c r="F282" s="5"/>
      <c r="G282" s="5"/>
    </row>
    <row r="283" spans="3:7" ht="13">
      <c r="C283" s="80"/>
      <c r="D283" s="5"/>
      <c r="E283" s="5"/>
      <c r="F283" s="5"/>
      <c r="G283" s="5"/>
    </row>
    <row r="284" spans="3:7" ht="13">
      <c r="C284" s="80"/>
      <c r="D284" s="5"/>
      <c r="E284" s="5"/>
      <c r="F284" s="5"/>
      <c r="G284" s="5"/>
    </row>
    <row r="285" spans="3:7" ht="13">
      <c r="C285" s="80"/>
      <c r="D285" s="5"/>
      <c r="E285" s="5"/>
      <c r="F285" s="5"/>
      <c r="G285" s="5"/>
    </row>
    <row r="286" spans="3:7" ht="13">
      <c r="C286" s="80"/>
      <c r="D286" s="5"/>
      <c r="E286" s="5"/>
      <c r="F286" s="5"/>
      <c r="G286" s="5"/>
    </row>
    <row r="287" spans="3:7" ht="13">
      <c r="C287" s="80"/>
      <c r="D287" s="5"/>
      <c r="E287" s="5"/>
      <c r="F287" s="5"/>
      <c r="G287" s="5"/>
    </row>
    <row r="288" spans="3:7" ht="13">
      <c r="C288" s="80"/>
      <c r="D288" s="5"/>
      <c r="E288" s="5"/>
      <c r="F288" s="5"/>
      <c r="G288" s="5"/>
    </row>
    <row r="289" spans="3:7" ht="13">
      <c r="C289" s="80"/>
      <c r="D289" s="5"/>
      <c r="E289" s="5"/>
      <c r="F289" s="5"/>
      <c r="G289" s="5"/>
    </row>
    <row r="290" spans="3:7" ht="13">
      <c r="C290" s="80"/>
      <c r="D290" s="5"/>
      <c r="E290" s="5"/>
      <c r="F290" s="5"/>
      <c r="G290" s="5"/>
    </row>
    <row r="291" spans="3:7" ht="13">
      <c r="C291" s="80"/>
      <c r="D291" s="5"/>
      <c r="E291" s="5"/>
      <c r="F291" s="5"/>
      <c r="G291" s="5"/>
    </row>
    <row r="292" spans="3:7" ht="13">
      <c r="C292" s="80"/>
      <c r="D292" s="5"/>
      <c r="E292" s="5"/>
      <c r="F292" s="5"/>
      <c r="G292" s="5"/>
    </row>
    <row r="293" spans="3:7" ht="13">
      <c r="C293" s="80"/>
      <c r="D293" s="5"/>
      <c r="E293" s="5"/>
      <c r="F293" s="5"/>
      <c r="G293" s="5"/>
    </row>
    <row r="294" spans="3:7" ht="13">
      <c r="C294" s="80"/>
      <c r="D294" s="5"/>
      <c r="E294" s="5"/>
      <c r="F294" s="5"/>
      <c r="G294" s="5"/>
    </row>
    <row r="295" spans="3:7" ht="13">
      <c r="C295" s="80"/>
      <c r="D295" s="5"/>
      <c r="E295" s="5"/>
      <c r="F295" s="5"/>
      <c r="G295" s="5"/>
    </row>
    <row r="296" spans="3:7" ht="13">
      <c r="C296" s="80"/>
      <c r="D296" s="5"/>
      <c r="E296" s="5"/>
      <c r="F296" s="5"/>
      <c r="G296" s="5"/>
    </row>
    <row r="297" spans="3:7" ht="13">
      <c r="C297" s="80"/>
      <c r="D297" s="5"/>
      <c r="E297" s="5"/>
      <c r="F297" s="5"/>
      <c r="G297" s="5"/>
    </row>
    <row r="298" spans="3:7" ht="13">
      <c r="C298" s="80"/>
      <c r="D298" s="5"/>
      <c r="E298" s="5"/>
      <c r="F298" s="5"/>
      <c r="G298" s="5"/>
    </row>
    <row r="299" spans="3:7" ht="13">
      <c r="C299" s="80"/>
      <c r="D299" s="5"/>
      <c r="E299" s="5"/>
      <c r="F299" s="5"/>
      <c r="G299" s="5"/>
    </row>
    <row r="300" spans="3:7" ht="13">
      <c r="C300" s="80"/>
      <c r="D300" s="5"/>
      <c r="E300" s="5"/>
      <c r="F300" s="5"/>
      <c r="G300" s="5"/>
    </row>
    <row r="301" spans="3:7" ht="13">
      <c r="C301" s="80"/>
      <c r="D301" s="5"/>
      <c r="E301" s="5"/>
      <c r="F301" s="5"/>
      <c r="G301" s="5"/>
    </row>
    <row r="302" spans="3:7" ht="13">
      <c r="C302" s="80"/>
      <c r="D302" s="5"/>
      <c r="E302" s="5"/>
      <c r="F302" s="5"/>
      <c r="G302" s="5"/>
    </row>
    <row r="303" spans="3:7" ht="13">
      <c r="C303" s="80"/>
      <c r="D303" s="5"/>
      <c r="E303" s="5"/>
      <c r="F303" s="5"/>
      <c r="G303" s="5"/>
    </row>
    <row r="304" spans="3:7" ht="13">
      <c r="C304" s="80"/>
      <c r="D304" s="5"/>
      <c r="E304" s="5"/>
      <c r="F304" s="5"/>
      <c r="G304" s="5"/>
    </row>
    <row r="305" spans="3:7" ht="13">
      <c r="C305" s="80"/>
      <c r="D305" s="5"/>
      <c r="E305" s="5"/>
      <c r="F305" s="5"/>
      <c r="G305" s="5"/>
    </row>
    <row r="306" spans="3:7" ht="13">
      <c r="C306" s="80"/>
      <c r="D306" s="5"/>
      <c r="E306" s="5"/>
      <c r="F306" s="5"/>
      <c r="G306" s="5"/>
    </row>
    <row r="307" spans="3:7" ht="13">
      <c r="C307" s="80"/>
      <c r="D307" s="5"/>
      <c r="E307" s="5"/>
      <c r="F307" s="5"/>
      <c r="G307" s="5"/>
    </row>
    <row r="308" spans="3:7" ht="13">
      <c r="C308" s="80"/>
      <c r="D308" s="5"/>
      <c r="E308" s="5"/>
      <c r="F308" s="5"/>
      <c r="G308" s="5"/>
    </row>
    <row r="309" spans="3:7" ht="13">
      <c r="C309" s="80"/>
      <c r="D309" s="5"/>
      <c r="E309" s="5"/>
      <c r="F309" s="5"/>
      <c r="G309" s="5"/>
    </row>
    <row r="310" spans="3:7" ht="13">
      <c r="C310" s="80"/>
      <c r="D310" s="5"/>
      <c r="E310" s="5"/>
      <c r="F310" s="5"/>
      <c r="G310" s="5"/>
    </row>
    <row r="311" spans="3:7" ht="13">
      <c r="C311" s="80"/>
      <c r="D311" s="5"/>
      <c r="E311" s="5"/>
      <c r="F311" s="5"/>
      <c r="G311" s="5"/>
    </row>
    <row r="312" spans="3:7" ht="13">
      <c r="C312" s="80"/>
      <c r="D312" s="5"/>
      <c r="E312" s="5"/>
      <c r="F312" s="5"/>
      <c r="G312" s="5"/>
    </row>
    <row r="313" spans="3:7" ht="13">
      <c r="C313" s="80"/>
      <c r="D313" s="5"/>
      <c r="E313" s="5"/>
      <c r="F313" s="5"/>
      <c r="G313" s="5"/>
    </row>
    <row r="314" spans="3:7" ht="13">
      <c r="C314" s="80"/>
      <c r="D314" s="5"/>
      <c r="E314" s="5"/>
      <c r="F314" s="5"/>
      <c r="G314" s="5"/>
    </row>
    <row r="315" spans="3:7" ht="13">
      <c r="C315" s="80"/>
      <c r="D315" s="5"/>
      <c r="E315" s="5"/>
      <c r="F315" s="5"/>
      <c r="G315" s="5"/>
    </row>
    <row r="316" spans="3:7" ht="13">
      <c r="C316" s="80"/>
      <c r="D316" s="5"/>
      <c r="E316" s="5"/>
      <c r="F316" s="5"/>
      <c r="G316" s="5"/>
    </row>
    <row r="317" spans="3:7" ht="13">
      <c r="C317" s="80"/>
      <c r="D317" s="5"/>
      <c r="E317" s="5"/>
      <c r="F317" s="5"/>
      <c r="G317" s="5"/>
    </row>
    <row r="318" spans="3:7" ht="13">
      <c r="C318" s="80"/>
      <c r="D318" s="5"/>
      <c r="E318" s="5"/>
      <c r="F318" s="5"/>
      <c r="G318" s="5"/>
    </row>
    <row r="319" spans="3:7" ht="13">
      <c r="C319" s="80"/>
      <c r="D319" s="5"/>
      <c r="E319" s="5"/>
      <c r="F319" s="5"/>
      <c r="G319" s="5"/>
    </row>
    <row r="320" spans="3:7" ht="13">
      <c r="C320" s="80"/>
      <c r="D320" s="5"/>
      <c r="E320" s="5"/>
      <c r="F320" s="5"/>
      <c r="G320" s="5"/>
    </row>
    <row r="321" spans="3:7" ht="13">
      <c r="C321" s="80"/>
      <c r="D321" s="5"/>
      <c r="E321" s="5"/>
      <c r="F321" s="5"/>
      <c r="G321" s="5"/>
    </row>
    <row r="322" spans="3:7" ht="13">
      <c r="C322" s="80"/>
      <c r="D322" s="5"/>
      <c r="E322" s="5"/>
      <c r="F322" s="5"/>
      <c r="G322" s="5"/>
    </row>
    <row r="323" spans="3:7" ht="13">
      <c r="C323" s="80"/>
      <c r="D323" s="5"/>
      <c r="E323" s="5"/>
      <c r="F323" s="5"/>
      <c r="G323" s="5"/>
    </row>
    <row r="324" spans="3:7" ht="13">
      <c r="C324" s="80"/>
      <c r="D324" s="5"/>
      <c r="E324" s="5"/>
      <c r="F324" s="5"/>
      <c r="G324" s="5"/>
    </row>
    <row r="325" spans="3:7" ht="13">
      <c r="C325" s="80"/>
      <c r="D325" s="5"/>
      <c r="E325" s="5"/>
      <c r="F325" s="5"/>
      <c r="G325" s="5"/>
    </row>
    <row r="326" spans="3:7" ht="13">
      <c r="C326" s="80"/>
      <c r="D326" s="5"/>
      <c r="E326" s="5"/>
      <c r="F326" s="5"/>
      <c r="G326" s="5"/>
    </row>
    <row r="327" spans="3:7" ht="13">
      <c r="C327" s="80"/>
      <c r="D327" s="5"/>
      <c r="E327" s="5"/>
      <c r="F327" s="5"/>
      <c r="G327" s="5"/>
    </row>
    <row r="328" spans="3:7" ht="13">
      <c r="C328" s="80"/>
      <c r="D328" s="5"/>
      <c r="E328" s="5"/>
      <c r="F328" s="5"/>
      <c r="G328" s="5"/>
    </row>
    <row r="329" spans="3:7" ht="13">
      <c r="C329" s="80"/>
      <c r="D329" s="5"/>
      <c r="E329" s="5"/>
      <c r="F329" s="5"/>
      <c r="G329" s="5"/>
    </row>
    <row r="330" spans="3:7" ht="13">
      <c r="C330" s="80"/>
      <c r="D330" s="5"/>
      <c r="E330" s="5"/>
      <c r="F330" s="5"/>
      <c r="G330" s="5"/>
    </row>
    <row r="331" spans="3:7" ht="13">
      <c r="C331" s="80"/>
      <c r="D331" s="5"/>
      <c r="E331" s="5"/>
      <c r="F331" s="5"/>
      <c r="G331" s="5"/>
    </row>
    <row r="332" spans="3:7" ht="13">
      <c r="C332" s="80"/>
      <c r="D332" s="5"/>
      <c r="E332" s="5"/>
      <c r="F332" s="5"/>
      <c r="G332" s="5"/>
    </row>
    <row r="333" spans="3:7" ht="13">
      <c r="C333" s="80"/>
      <c r="D333" s="5"/>
      <c r="E333" s="5"/>
      <c r="F333" s="5"/>
      <c r="G333" s="5"/>
    </row>
    <row r="334" spans="3:7" ht="13">
      <c r="C334" s="80"/>
      <c r="D334" s="5"/>
      <c r="E334" s="5"/>
      <c r="F334" s="5"/>
      <c r="G334" s="5"/>
    </row>
    <row r="335" spans="3:7" ht="13">
      <c r="C335" s="80"/>
      <c r="D335" s="5"/>
      <c r="E335" s="5"/>
      <c r="F335" s="5"/>
      <c r="G335" s="5"/>
    </row>
    <row r="336" spans="3:7" ht="13">
      <c r="C336" s="80"/>
      <c r="D336" s="5"/>
      <c r="E336" s="5"/>
      <c r="F336" s="5"/>
      <c r="G336" s="5"/>
    </row>
    <row r="337" spans="3:7" ht="13">
      <c r="C337" s="80"/>
      <c r="D337" s="5"/>
      <c r="E337" s="5"/>
      <c r="F337" s="5"/>
      <c r="G337" s="5"/>
    </row>
    <row r="338" spans="3:7" ht="13">
      <c r="C338" s="80"/>
      <c r="D338" s="5"/>
      <c r="E338" s="5"/>
      <c r="F338" s="5"/>
      <c r="G338" s="5"/>
    </row>
    <row r="339" spans="3:7" ht="13">
      <c r="C339" s="80"/>
      <c r="D339" s="5"/>
      <c r="E339" s="5"/>
      <c r="F339" s="5"/>
      <c r="G339" s="5"/>
    </row>
    <row r="340" spans="3:7" ht="13">
      <c r="C340" s="80"/>
      <c r="D340" s="5"/>
      <c r="E340" s="5"/>
      <c r="F340" s="5"/>
      <c r="G340" s="5"/>
    </row>
    <row r="341" spans="3:7" ht="13">
      <c r="C341" s="80"/>
      <c r="D341" s="5"/>
      <c r="E341" s="5"/>
      <c r="F341" s="5"/>
      <c r="G341" s="5"/>
    </row>
    <row r="342" spans="3:7" ht="13">
      <c r="C342" s="80"/>
      <c r="D342" s="5"/>
      <c r="E342" s="5"/>
      <c r="F342" s="5"/>
      <c r="G342" s="5"/>
    </row>
    <row r="343" spans="3:7" ht="13">
      <c r="C343" s="80"/>
      <c r="D343" s="5"/>
      <c r="E343" s="5"/>
      <c r="F343" s="5"/>
      <c r="G343" s="5"/>
    </row>
    <row r="344" spans="3:7" ht="13">
      <c r="C344" s="80"/>
      <c r="D344" s="5"/>
      <c r="E344" s="5"/>
      <c r="F344" s="5"/>
      <c r="G344" s="5"/>
    </row>
    <row r="345" spans="3:7" ht="13">
      <c r="C345" s="80"/>
      <c r="D345" s="5"/>
      <c r="E345" s="5"/>
      <c r="F345" s="5"/>
      <c r="G345" s="5"/>
    </row>
    <row r="346" spans="3:7" ht="13">
      <c r="C346" s="80"/>
      <c r="D346" s="5"/>
      <c r="E346" s="5"/>
      <c r="F346" s="5"/>
      <c r="G346" s="5"/>
    </row>
    <row r="347" spans="3:7" ht="13">
      <c r="C347" s="80"/>
      <c r="D347" s="5"/>
      <c r="E347" s="5"/>
      <c r="F347" s="5"/>
      <c r="G347" s="5"/>
    </row>
    <row r="348" spans="3:7" ht="13">
      <c r="C348" s="80"/>
      <c r="D348" s="5"/>
      <c r="E348" s="5"/>
      <c r="F348" s="5"/>
      <c r="G348" s="5"/>
    </row>
    <row r="349" spans="3:7" ht="13">
      <c r="C349" s="80"/>
      <c r="D349" s="5"/>
      <c r="E349" s="5"/>
      <c r="F349" s="5"/>
      <c r="G349" s="5"/>
    </row>
    <row r="350" spans="3:7" ht="13">
      <c r="C350" s="80"/>
      <c r="D350" s="5"/>
      <c r="E350" s="5"/>
      <c r="F350" s="5"/>
      <c r="G350" s="5"/>
    </row>
    <row r="351" spans="3:7" ht="13">
      <c r="C351" s="80"/>
      <c r="D351" s="5"/>
      <c r="E351" s="5"/>
      <c r="F351" s="5"/>
      <c r="G351" s="5"/>
    </row>
    <row r="352" spans="3:7" ht="13">
      <c r="C352" s="80"/>
      <c r="D352" s="5"/>
      <c r="E352" s="5"/>
      <c r="F352" s="5"/>
      <c r="G352" s="5"/>
    </row>
    <row r="353" spans="3:7" ht="13">
      <c r="C353" s="80"/>
      <c r="D353" s="5"/>
      <c r="E353" s="5"/>
      <c r="F353" s="5"/>
      <c r="G353" s="5"/>
    </row>
    <row r="354" spans="3:7" ht="13">
      <c r="C354" s="80"/>
      <c r="D354" s="5"/>
      <c r="E354" s="5"/>
      <c r="F354" s="5"/>
      <c r="G354" s="5"/>
    </row>
    <row r="355" spans="3:7" ht="13">
      <c r="C355" s="80"/>
      <c r="D355" s="5"/>
      <c r="E355" s="5"/>
      <c r="F355" s="5"/>
      <c r="G355" s="5"/>
    </row>
    <row r="356" spans="3:7" ht="13">
      <c r="C356" s="80"/>
      <c r="D356" s="5"/>
      <c r="E356" s="5"/>
      <c r="F356" s="5"/>
      <c r="G356" s="5"/>
    </row>
    <row r="357" spans="3:7" ht="13">
      <c r="C357" s="80"/>
      <c r="D357" s="5"/>
      <c r="E357" s="5"/>
      <c r="F357" s="5"/>
      <c r="G357" s="5"/>
    </row>
    <row r="358" spans="3:7" ht="13">
      <c r="C358" s="80"/>
      <c r="D358" s="5"/>
      <c r="E358" s="5"/>
      <c r="F358" s="5"/>
      <c r="G358" s="5"/>
    </row>
    <row r="359" spans="3:7" ht="13">
      <c r="C359" s="80"/>
      <c r="D359" s="5"/>
      <c r="E359" s="5"/>
      <c r="F359" s="5"/>
      <c r="G359" s="5"/>
    </row>
    <row r="360" spans="3:7" ht="13">
      <c r="C360" s="80"/>
      <c r="D360" s="5"/>
      <c r="E360" s="5"/>
      <c r="F360" s="5"/>
      <c r="G360" s="5"/>
    </row>
    <row r="361" spans="3:7" ht="13">
      <c r="C361" s="80"/>
      <c r="D361" s="5"/>
      <c r="E361" s="5"/>
      <c r="F361" s="5"/>
      <c r="G361" s="5"/>
    </row>
    <row r="362" spans="3:7" ht="13">
      <c r="C362" s="80"/>
      <c r="D362" s="5"/>
      <c r="E362" s="5"/>
      <c r="F362" s="5"/>
      <c r="G362" s="5"/>
    </row>
    <row r="363" spans="3:7" ht="13">
      <c r="C363" s="80"/>
      <c r="D363" s="5"/>
      <c r="E363" s="5"/>
      <c r="F363" s="5"/>
      <c r="G363" s="5"/>
    </row>
    <row r="364" spans="3:7" ht="13">
      <c r="C364" s="80"/>
      <c r="D364" s="5"/>
      <c r="E364" s="5"/>
      <c r="F364" s="5"/>
      <c r="G364" s="5"/>
    </row>
    <row r="365" spans="3:7" ht="13">
      <c r="C365" s="80"/>
      <c r="D365" s="5"/>
      <c r="E365" s="5"/>
      <c r="F365" s="5"/>
      <c r="G365" s="5"/>
    </row>
    <row r="366" spans="3:7" ht="13">
      <c r="C366" s="80"/>
      <c r="D366" s="5"/>
      <c r="E366" s="5"/>
      <c r="F366" s="5"/>
      <c r="G366" s="5"/>
    </row>
    <row r="367" spans="3:7" ht="13">
      <c r="C367" s="80"/>
      <c r="D367" s="5"/>
      <c r="E367" s="5"/>
      <c r="F367" s="5"/>
      <c r="G367" s="5"/>
    </row>
    <row r="368" spans="3:7" ht="13">
      <c r="C368" s="80"/>
      <c r="D368" s="5"/>
      <c r="E368" s="5"/>
      <c r="F368" s="5"/>
      <c r="G368" s="5"/>
    </row>
    <row r="369" spans="3:7" ht="13">
      <c r="C369" s="80"/>
      <c r="D369" s="5"/>
      <c r="E369" s="5"/>
      <c r="F369" s="5"/>
      <c r="G369" s="5"/>
    </row>
    <row r="370" spans="3:7" ht="13">
      <c r="C370" s="80"/>
      <c r="D370" s="5"/>
      <c r="E370" s="5"/>
      <c r="F370" s="5"/>
      <c r="G370" s="5"/>
    </row>
    <row r="371" spans="3:7" ht="13">
      <c r="C371" s="80"/>
      <c r="D371" s="5"/>
      <c r="E371" s="5"/>
      <c r="F371" s="5"/>
      <c r="G371" s="5"/>
    </row>
    <row r="372" spans="3:7" ht="13">
      <c r="C372" s="80"/>
      <c r="D372" s="5"/>
      <c r="E372" s="5"/>
      <c r="F372" s="5"/>
      <c r="G372" s="5"/>
    </row>
    <row r="373" spans="3:7" ht="13">
      <c r="C373" s="80"/>
      <c r="D373" s="5"/>
      <c r="E373" s="5"/>
      <c r="F373" s="5"/>
      <c r="G373" s="5"/>
    </row>
    <row r="374" spans="3:7" ht="13">
      <c r="C374" s="80"/>
      <c r="D374" s="5"/>
      <c r="E374" s="5"/>
      <c r="F374" s="5"/>
      <c r="G374" s="5"/>
    </row>
    <row r="375" spans="3:7" ht="13">
      <c r="C375" s="80"/>
      <c r="D375" s="5"/>
      <c r="E375" s="5"/>
      <c r="F375" s="5"/>
      <c r="G375" s="5"/>
    </row>
    <row r="376" spans="3:7" ht="13">
      <c r="C376" s="80"/>
      <c r="D376" s="5"/>
      <c r="E376" s="5"/>
      <c r="F376" s="5"/>
      <c r="G376" s="5"/>
    </row>
    <row r="377" spans="3:7" ht="13">
      <c r="C377" s="80"/>
      <c r="D377" s="5"/>
      <c r="E377" s="5"/>
      <c r="F377" s="5"/>
      <c r="G377" s="5"/>
    </row>
    <row r="378" spans="3:7" ht="13">
      <c r="C378" s="80"/>
      <c r="D378" s="5"/>
      <c r="E378" s="5"/>
      <c r="F378" s="5"/>
      <c r="G378" s="5"/>
    </row>
    <row r="379" spans="3:7" ht="13">
      <c r="C379" s="80"/>
      <c r="D379" s="5"/>
      <c r="E379" s="5"/>
      <c r="F379" s="5"/>
      <c r="G379" s="5"/>
    </row>
    <row r="380" spans="3:7" ht="13">
      <c r="C380" s="80"/>
      <c r="D380" s="5"/>
      <c r="E380" s="5"/>
      <c r="F380" s="5"/>
      <c r="G380" s="5"/>
    </row>
    <row r="381" spans="3:7" ht="13">
      <c r="C381" s="80"/>
      <c r="D381" s="5"/>
      <c r="E381" s="5"/>
      <c r="F381" s="5"/>
      <c r="G381" s="5"/>
    </row>
    <row r="382" spans="3:7" ht="13">
      <c r="C382" s="80"/>
      <c r="D382" s="5"/>
      <c r="E382" s="5"/>
      <c r="F382" s="5"/>
      <c r="G382" s="5"/>
    </row>
    <row r="383" spans="3:7" ht="13">
      <c r="C383" s="80"/>
      <c r="D383" s="5"/>
      <c r="E383" s="5"/>
      <c r="F383" s="5"/>
      <c r="G383" s="5"/>
    </row>
    <row r="384" spans="3:7" ht="13">
      <c r="C384" s="80"/>
      <c r="D384" s="5"/>
      <c r="E384" s="5"/>
      <c r="F384" s="5"/>
      <c r="G384" s="5"/>
    </row>
    <row r="385" spans="3:7" ht="13">
      <c r="C385" s="80"/>
      <c r="D385" s="5"/>
      <c r="E385" s="5"/>
      <c r="F385" s="5"/>
      <c r="G385" s="5"/>
    </row>
    <row r="386" spans="3:7" ht="13">
      <c r="C386" s="80"/>
      <c r="D386" s="5"/>
      <c r="E386" s="5"/>
      <c r="F386" s="5"/>
      <c r="G386" s="5"/>
    </row>
    <row r="387" spans="3:7" ht="13">
      <c r="C387" s="80"/>
      <c r="D387" s="5"/>
      <c r="E387" s="5"/>
      <c r="F387" s="5"/>
      <c r="G387" s="5"/>
    </row>
    <row r="388" spans="3:7" ht="13">
      <c r="C388" s="80"/>
      <c r="D388" s="5"/>
      <c r="E388" s="5"/>
      <c r="F388" s="5"/>
      <c r="G388" s="5"/>
    </row>
    <row r="389" spans="3:7" ht="13">
      <c r="C389" s="80"/>
      <c r="D389" s="5"/>
      <c r="E389" s="5"/>
      <c r="F389" s="5"/>
      <c r="G389" s="5"/>
    </row>
    <row r="390" spans="3:7" ht="13">
      <c r="C390" s="80"/>
      <c r="D390" s="5"/>
      <c r="E390" s="5"/>
      <c r="F390" s="5"/>
      <c r="G390" s="5"/>
    </row>
    <row r="391" spans="3:7" ht="13">
      <c r="C391" s="80"/>
      <c r="D391" s="5"/>
      <c r="E391" s="5"/>
      <c r="F391" s="5"/>
      <c r="G391" s="5"/>
    </row>
    <row r="392" spans="3:7" ht="13">
      <c r="C392" s="80"/>
      <c r="D392" s="5"/>
      <c r="E392" s="5"/>
      <c r="F392" s="5"/>
      <c r="G392" s="5"/>
    </row>
    <row r="393" spans="3:7" ht="13">
      <c r="C393" s="80"/>
      <c r="D393" s="5"/>
      <c r="E393" s="5"/>
      <c r="F393" s="5"/>
      <c r="G393" s="5"/>
    </row>
    <row r="394" spans="3:7" ht="13">
      <c r="C394" s="80"/>
      <c r="D394" s="5"/>
      <c r="E394" s="5"/>
      <c r="F394" s="5"/>
      <c r="G394" s="5"/>
    </row>
    <row r="395" spans="3:7" ht="13">
      <c r="C395" s="80"/>
      <c r="D395" s="5"/>
      <c r="E395" s="5"/>
      <c r="F395" s="5"/>
      <c r="G395" s="5"/>
    </row>
    <row r="396" spans="3:7" ht="13">
      <c r="C396" s="80"/>
      <c r="D396" s="5"/>
      <c r="E396" s="5"/>
      <c r="F396" s="5"/>
      <c r="G396" s="5"/>
    </row>
    <row r="397" spans="3:7" ht="13">
      <c r="C397" s="80"/>
      <c r="D397" s="5"/>
      <c r="E397" s="5"/>
      <c r="F397" s="5"/>
      <c r="G397" s="5"/>
    </row>
    <row r="398" spans="3:7" ht="13">
      <c r="C398" s="80"/>
      <c r="D398" s="5"/>
      <c r="E398" s="5"/>
      <c r="F398" s="5"/>
      <c r="G398" s="5"/>
    </row>
    <row r="399" spans="3:7" ht="13">
      <c r="C399" s="80"/>
      <c r="D399" s="5"/>
      <c r="E399" s="5"/>
      <c r="F399" s="5"/>
      <c r="G399" s="5"/>
    </row>
    <row r="400" spans="3:7" ht="13">
      <c r="C400" s="80"/>
      <c r="D400" s="5"/>
      <c r="E400" s="5"/>
      <c r="F400" s="5"/>
      <c r="G400" s="5"/>
    </row>
    <row r="401" spans="3:7" ht="13">
      <c r="C401" s="80"/>
      <c r="D401" s="5"/>
      <c r="E401" s="5"/>
      <c r="F401" s="5"/>
      <c r="G401" s="5"/>
    </row>
    <row r="402" spans="3:7" ht="13">
      <c r="C402" s="80"/>
      <c r="D402" s="5"/>
      <c r="E402" s="5"/>
      <c r="F402" s="5"/>
      <c r="G402" s="5"/>
    </row>
    <row r="403" spans="3:7" ht="13">
      <c r="C403" s="80"/>
      <c r="D403" s="5"/>
      <c r="E403" s="5"/>
      <c r="F403" s="5"/>
      <c r="G403" s="5"/>
    </row>
    <row r="404" spans="3:7" ht="13">
      <c r="C404" s="80"/>
      <c r="D404" s="5"/>
      <c r="E404" s="5"/>
      <c r="F404" s="5"/>
      <c r="G404" s="5"/>
    </row>
    <row r="405" spans="3:7" ht="13">
      <c r="C405" s="80"/>
      <c r="D405" s="5"/>
      <c r="E405" s="5"/>
      <c r="F405" s="5"/>
      <c r="G405" s="5"/>
    </row>
    <row r="406" spans="3:7" ht="13">
      <c r="C406" s="80"/>
      <c r="D406" s="5"/>
      <c r="E406" s="5"/>
      <c r="F406" s="5"/>
      <c r="G406" s="5"/>
    </row>
    <row r="407" spans="3:7" ht="13">
      <c r="C407" s="80"/>
      <c r="D407" s="5"/>
      <c r="E407" s="5"/>
      <c r="F407" s="5"/>
      <c r="G407" s="5"/>
    </row>
    <row r="408" spans="3:7" ht="13">
      <c r="C408" s="80"/>
      <c r="D408" s="5"/>
      <c r="E408" s="5"/>
      <c r="F408" s="5"/>
      <c r="G408" s="5"/>
    </row>
    <row r="409" spans="3:7" ht="13">
      <c r="C409" s="80"/>
      <c r="D409" s="5"/>
      <c r="E409" s="5"/>
      <c r="F409" s="5"/>
      <c r="G409" s="5"/>
    </row>
    <row r="410" spans="3:7" ht="13">
      <c r="C410" s="80"/>
      <c r="D410" s="5"/>
      <c r="E410" s="5"/>
      <c r="F410" s="5"/>
      <c r="G410" s="5"/>
    </row>
    <row r="411" spans="3:7" ht="13">
      <c r="C411" s="80"/>
      <c r="D411" s="5"/>
      <c r="E411" s="5"/>
      <c r="F411" s="5"/>
      <c r="G411" s="5"/>
    </row>
    <row r="412" spans="3:7" ht="13">
      <c r="C412" s="80"/>
      <c r="D412" s="5"/>
      <c r="E412" s="5"/>
      <c r="F412" s="5"/>
      <c r="G412" s="5"/>
    </row>
    <row r="413" spans="3:7" ht="13">
      <c r="C413" s="80"/>
      <c r="D413" s="5"/>
      <c r="E413" s="5"/>
      <c r="F413" s="5"/>
      <c r="G413" s="5"/>
    </row>
    <row r="414" spans="3:7" ht="13">
      <c r="C414" s="80"/>
      <c r="D414" s="5"/>
      <c r="E414" s="5"/>
      <c r="F414" s="5"/>
      <c r="G414" s="5"/>
    </row>
    <row r="415" spans="3:7" ht="13">
      <c r="C415" s="80"/>
      <c r="D415" s="5"/>
      <c r="E415" s="5"/>
      <c r="F415" s="5"/>
      <c r="G415" s="5"/>
    </row>
    <row r="416" spans="3:7" ht="13">
      <c r="C416" s="80"/>
      <c r="D416" s="5"/>
      <c r="E416" s="5"/>
      <c r="F416" s="5"/>
      <c r="G416" s="5"/>
    </row>
    <row r="417" spans="3:7" ht="13">
      <c r="C417" s="80"/>
      <c r="D417" s="5"/>
      <c r="E417" s="5"/>
      <c r="F417" s="5"/>
      <c r="G417" s="5"/>
    </row>
    <row r="418" spans="3:7" ht="13">
      <c r="C418" s="80"/>
      <c r="D418" s="5"/>
      <c r="E418" s="5"/>
      <c r="F418" s="5"/>
      <c r="G418" s="5"/>
    </row>
    <row r="419" spans="3:7" ht="13">
      <c r="C419" s="80"/>
      <c r="D419" s="5"/>
      <c r="E419" s="5"/>
      <c r="F419" s="5"/>
      <c r="G419" s="5"/>
    </row>
    <row r="420" spans="3:7" ht="13">
      <c r="C420" s="80"/>
      <c r="D420" s="5"/>
      <c r="E420" s="5"/>
      <c r="F420" s="5"/>
      <c r="G420" s="5"/>
    </row>
    <row r="421" spans="3:7" ht="13">
      <c r="C421" s="80"/>
      <c r="D421" s="5"/>
      <c r="E421" s="5"/>
      <c r="F421" s="5"/>
      <c r="G421" s="5"/>
    </row>
    <row r="422" spans="3:7" ht="13">
      <c r="C422" s="80"/>
      <c r="D422" s="5"/>
      <c r="E422" s="5"/>
      <c r="F422" s="5"/>
      <c r="G422" s="5"/>
    </row>
    <row r="423" spans="3:7" ht="13">
      <c r="C423" s="80"/>
      <c r="D423" s="5"/>
      <c r="E423" s="5"/>
      <c r="F423" s="5"/>
      <c r="G423" s="5"/>
    </row>
    <row r="424" spans="3:7" ht="13">
      <c r="C424" s="80"/>
      <c r="D424" s="5"/>
      <c r="E424" s="5"/>
      <c r="F424" s="5"/>
      <c r="G424" s="5"/>
    </row>
    <row r="425" spans="3:7" ht="13">
      <c r="C425" s="80"/>
      <c r="D425" s="5"/>
      <c r="E425" s="5"/>
      <c r="F425" s="5"/>
      <c r="G425" s="5"/>
    </row>
    <row r="426" spans="3:7" ht="13">
      <c r="C426" s="80"/>
      <c r="D426" s="5"/>
      <c r="E426" s="5"/>
      <c r="F426" s="5"/>
      <c r="G426" s="5"/>
    </row>
    <row r="427" spans="3:7" ht="13">
      <c r="C427" s="80"/>
      <c r="D427" s="5"/>
      <c r="E427" s="5"/>
      <c r="F427" s="5"/>
      <c r="G427" s="5"/>
    </row>
    <row r="428" spans="3:7" ht="13">
      <c r="C428" s="80"/>
      <c r="D428" s="5"/>
      <c r="E428" s="5"/>
      <c r="F428" s="5"/>
      <c r="G428" s="5"/>
    </row>
    <row r="429" spans="3:7" ht="13">
      <c r="C429" s="80"/>
      <c r="D429" s="5"/>
      <c r="E429" s="5"/>
      <c r="F429" s="5"/>
      <c r="G429" s="5"/>
    </row>
    <row r="430" spans="3:7" ht="13">
      <c r="C430" s="80"/>
      <c r="D430" s="5"/>
      <c r="E430" s="5"/>
      <c r="F430" s="5"/>
      <c r="G430" s="5"/>
    </row>
    <row r="431" spans="3:7" ht="13">
      <c r="C431" s="80"/>
      <c r="D431" s="5"/>
      <c r="E431" s="5"/>
      <c r="F431" s="5"/>
      <c r="G431" s="5"/>
    </row>
    <row r="432" spans="3:7" ht="13">
      <c r="C432" s="80"/>
      <c r="D432" s="5"/>
      <c r="E432" s="5"/>
      <c r="F432" s="5"/>
      <c r="G432" s="5"/>
    </row>
    <row r="433" spans="3:7" ht="13">
      <c r="C433" s="80"/>
      <c r="D433" s="5"/>
      <c r="E433" s="5"/>
      <c r="F433" s="5"/>
      <c r="G433" s="5"/>
    </row>
    <row r="434" spans="3:7" ht="13">
      <c r="C434" s="80"/>
      <c r="D434" s="5"/>
      <c r="E434" s="5"/>
      <c r="F434" s="5"/>
      <c r="G434" s="5"/>
    </row>
    <row r="435" spans="3:7" ht="13">
      <c r="C435" s="80"/>
      <c r="D435" s="5"/>
      <c r="E435" s="5"/>
      <c r="F435" s="5"/>
      <c r="G435" s="5"/>
    </row>
    <row r="436" spans="3:7" ht="13">
      <c r="C436" s="80"/>
      <c r="D436" s="5"/>
      <c r="E436" s="5"/>
      <c r="F436" s="5"/>
      <c r="G436" s="5"/>
    </row>
    <row r="437" spans="3:7" ht="13">
      <c r="C437" s="80"/>
      <c r="D437" s="5"/>
      <c r="E437" s="5"/>
      <c r="F437" s="5"/>
      <c r="G437" s="5"/>
    </row>
    <row r="438" spans="3:7" ht="13">
      <c r="C438" s="80"/>
      <c r="D438" s="5"/>
      <c r="E438" s="5"/>
      <c r="F438" s="5"/>
      <c r="G438" s="5"/>
    </row>
    <row r="439" spans="3:7" ht="13">
      <c r="C439" s="80"/>
      <c r="D439" s="5"/>
      <c r="E439" s="5"/>
      <c r="F439" s="5"/>
      <c r="G439" s="5"/>
    </row>
    <row r="440" spans="3:7" ht="13">
      <c r="C440" s="80"/>
      <c r="D440" s="5"/>
      <c r="E440" s="5"/>
      <c r="F440" s="5"/>
      <c r="G440" s="5"/>
    </row>
    <row r="441" spans="3:7" ht="13">
      <c r="C441" s="80"/>
      <c r="D441" s="5"/>
      <c r="E441" s="5"/>
      <c r="F441" s="5"/>
      <c r="G441" s="5"/>
    </row>
    <row r="442" spans="3:7" ht="13">
      <c r="C442" s="80"/>
      <c r="D442" s="5"/>
      <c r="E442" s="5"/>
      <c r="F442" s="5"/>
      <c r="G442" s="5"/>
    </row>
    <row r="443" spans="3:7" ht="13">
      <c r="C443" s="80"/>
      <c r="D443" s="5"/>
      <c r="E443" s="5"/>
      <c r="F443" s="5"/>
      <c r="G443" s="5"/>
    </row>
    <row r="444" spans="3:7" ht="13">
      <c r="C444" s="80"/>
      <c r="D444" s="5"/>
      <c r="E444" s="5"/>
      <c r="F444" s="5"/>
      <c r="G444" s="5"/>
    </row>
    <row r="445" spans="3:7" ht="13">
      <c r="C445" s="80"/>
      <c r="D445" s="5"/>
      <c r="E445" s="5"/>
      <c r="F445" s="5"/>
      <c r="G445" s="5"/>
    </row>
    <row r="446" spans="3:7" ht="13">
      <c r="C446" s="80"/>
      <c r="D446" s="5"/>
      <c r="E446" s="5"/>
      <c r="F446" s="5"/>
      <c r="G446" s="5"/>
    </row>
    <row r="447" spans="3:7" ht="13">
      <c r="C447" s="80"/>
      <c r="D447" s="5"/>
      <c r="E447" s="5"/>
      <c r="F447" s="5"/>
      <c r="G447" s="5"/>
    </row>
    <row r="448" spans="3:7" ht="13">
      <c r="C448" s="80"/>
      <c r="D448" s="5"/>
      <c r="E448" s="5"/>
      <c r="F448" s="5"/>
      <c r="G448" s="5"/>
    </row>
    <row r="449" spans="3:7" ht="13">
      <c r="C449" s="80"/>
      <c r="D449" s="5"/>
      <c r="E449" s="5"/>
      <c r="F449" s="5"/>
      <c r="G449" s="5"/>
    </row>
    <row r="450" spans="3:7" ht="13">
      <c r="C450" s="80"/>
      <c r="D450" s="5"/>
      <c r="E450" s="5"/>
      <c r="F450" s="5"/>
      <c r="G450" s="5"/>
    </row>
    <row r="451" spans="3:7" ht="13">
      <c r="C451" s="80"/>
      <c r="D451" s="5"/>
      <c r="E451" s="5"/>
      <c r="F451" s="5"/>
      <c r="G451" s="5"/>
    </row>
    <row r="452" spans="3:7" ht="13">
      <c r="C452" s="80"/>
      <c r="D452" s="5"/>
      <c r="E452" s="5"/>
      <c r="F452" s="5"/>
      <c r="G452" s="5"/>
    </row>
    <row r="453" spans="3:7" ht="13">
      <c r="C453" s="80"/>
      <c r="D453" s="5"/>
      <c r="E453" s="5"/>
      <c r="F453" s="5"/>
      <c r="G453" s="5"/>
    </row>
    <row r="454" spans="3:7" ht="13">
      <c r="C454" s="80"/>
      <c r="D454" s="5"/>
      <c r="E454" s="5"/>
      <c r="F454" s="5"/>
      <c r="G454" s="5"/>
    </row>
    <row r="455" spans="3:7" ht="13">
      <c r="C455" s="80"/>
      <c r="D455" s="5"/>
      <c r="E455" s="5"/>
      <c r="F455" s="5"/>
      <c r="G455" s="5"/>
    </row>
    <row r="456" spans="3:7" ht="13">
      <c r="C456" s="80"/>
      <c r="D456" s="5"/>
      <c r="E456" s="5"/>
      <c r="F456" s="5"/>
      <c r="G456" s="5"/>
    </row>
    <row r="457" spans="3:7" ht="13">
      <c r="C457" s="80"/>
      <c r="D457" s="5"/>
      <c r="E457" s="5"/>
      <c r="F457" s="5"/>
      <c r="G457" s="5"/>
    </row>
    <row r="458" spans="3:7" ht="13">
      <c r="C458" s="80"/>
      <c r="D458" s="5"/>
      <c r="E458" s="5"/>
      <c r="F458" s="5"/>
      <c r="G458" s="5"/>
    </row>
    <row r="459" spans="3:7" ht="13">
      <c r="C459" s="80"/>
      <c r="D459" s="5"/>
      <c r="E459" s="5"/>
      <c r="F459" s="5"/>
      <c r="G459" s="5"/>
    </row>
    <row r="460" spans="3:7" ht="13">
      <c r="C460" s="80"/>
      <c r="D460" s="5"/>
      <c r="E460" s="5"/>
      <c r="F460" s="5"/>
      <c r="G460" s="5"/>
    </row>
    <row r="461" spans="3:7" ht="13">
      <c r="C461" s="80"/>
      <c r="D461" s="5"/>
      <c r="E461" s="5"/>
      <c r="F461" s="5"/>
      <c r="G461" s="5"/>
    </row>
    <row r="462" spans="3:7" ht="13">
      <c r="C462" s="80"/>
      <c r="D462" s="5"/>
      <c r="E462" s="5"/>
      <c r="F462" s="5"/>
      <c r="G462" s="5"/>
    </row>
    <row r="463" spans="3:7" ht="13">
      <c r="C463" s="80"/>
      <c r="D463" s="5"/>
      <c r="E463" s="5"/>
      <c r="F463" s="5"/>
      <c r="G463" s="5"/>
    </row>
    <row r="464" spans="3:7" ht="13">
      <c r="C464" s="80"/>
      <c r="D464" s="5"/>
      <c r="E464" s="5"/>
      <c r="F464" s="5"/>
      <c r="G464" s="5"/>
    </row>
    <row r="465" spans="3:7" ht="13">
      <c r="C465" s="80"/>
      <c r="D465" s="5"/>
      <c r="E465" s="5"/>
      <c r="F465" s="5"/>
      <c r="G465" s="5"/>
    </row>
    <row r="466" spans="3:7" ht="13">
      <c r="C466" s="80"/>
      <c r="D466" s="5"/>
      <c r="E466" s="5"/>
      <c r="F466" s="5"/>
      <c r="G466" s="5"/>
    </row>
    <row r="467" spans="3:7" ht="13">
      <c r="C467" s="80"/>
      <c r="D467" s="5"/>
      <c r="E467" s="5"/>
      <c r="F467" s="5"/>
      <c r="G467" s="5"/>
    </row>
    <row r="468" spans="3:7" ht="13">
      <c r="C468" s="80"/>
      <c r="D468" s="5"/>
      <c r="E468" s="5"/>
      <c r="F468" s="5"/>
      <c r="G468" s="5"/>
    </row>
    <row r="469" spans="3:7" ht="13">
      <c r="C469" s="80"/>
      <c r="D469" s="5"/>
      <c r="E469" s="5"/>
      <c r="F469" s="5"/>
      <c r="G469" s="5"/>
    </row>
    <row r="470" spans="3:7" ht="13">
      <c r="C470" s="80"/>
      <c r="D470" s="5"/>
      <c r="E470" s="5"/>
      <c r="F470" s="5"/>
      <c r="G470" s="5"/>
    </row>
    <row r="471" spans="3:7" ht="13">
      <c r="C471" s="80"/>
      <c r="D471" s="5"/>
      <c r="E471" s="5"/>
      <c r="F471" s="5"/>
      <c r="G471" s="5"/>
    </row>
    <row r="472" spans="3:7" ht="13">
      <c r="C472" s="80"/>
      <c r="D472" s="5"/>
      <c r="E472" s="5"/>
      <c r="F472" s="5"/>
      <c r="G472" s="5"/>
    </row>
    <row r="473" spans="3:7" ht="13">
      <c r="C473" s="80"/>
      <c r="D473" s="5"/>
      <c r="E473" s="5"/>
      <c r="F473" s="5"/>
      <c r="G473" s="5"/>
    </row>
    <row r="474" spans="3:7" ht="13">
      <c r="C474" s="80"/>
      <c r="D474" s="5"/>
      <c r="E474" s="5"/>
      <c r="F474" s="5"/>
      <c r="G474" s="5"/>
    </row>
    <row r="475" spans="3:7" ht="13">
      <c r="C475" s="80"/>
      <c r="D475" s="5"/>
      <c r="E475" s="5"/>
      <c r="F475" s="5"/>
      <c r="G475" s="5"/>
    </row>
    <row r="476" spans="3:7" ht="13">
      <c r="C476" s="80"/>
      <c r="D476" s="5"/>
      <c r="E476" s="5"/>
      <c r="F476" s="5"/>
      <c r="G476" s="5"/>
    </row>
    <row r="477" spans="3:7" ht="13">
      <c r="C477" s="80"/>
      <c r="D477" s="5"/>
      <c r="E477" s="5"/>
      <c r="F477" s="5"/>
      <c r="G477" s="5"/>
    </row>
    <row r="478" spans="3:7" ht="13">
      <c r="C478" s="80"/>
      <c r="D478" s="5"/>
      <c r="E478" s="5"/>
      <c r="F478" s="5"/>
      <c r="G478" s="5"/>
    </row>
    <row r="479" spans="3:7" ht="13">
      <c r="C479" s="80"/>
      <c r="D479" s="5"/>
      <c r="E479" s="5"/>
      <c r="F479" s="5"/>
      <c r="G479" s="5"/>
    </row>
    <row r="480" spans="3:7" ht="13">
      <c r="C480" s="80"/>
      <c r="D480" s="5"/>
      <c r="E480" s="5"/>
      <c r="F480" s="5"/>
      <c r="G480" s="5"/>
    </row>
    <row r="481" spans="3:7" ht="13">
      <c r="C481" s="80"/>
      <c r="D481" s="5"/>
      <c r="E481" s="5"/>
      <c r="F481" s="5"/>
      <c r="G481" s="5"/>
    </row>
    <row r="482" spans="3:7" ht="13">
      <c r="C482" s="80"/>
      <c r="D482" s="5"/>
      <c r="E482" s="5"/>
      <c r="F482" s="5"/>
      <c r="G482" s="5"/>
    </row>
    <row r="483" spans="3:7" ht="13">
      <c r="C483" s="80"/>
      <c r="D483" s="5"/>
      <c r="E483" s="5"/>
      <c r="F483" s="5"/>
      <c r="G483" s="5"/>
    </row>
    <row r="484" spans="3:7" ht="13">
      <c r="C484" s="80"/>
      <c r="D484" s="5"/>
      <c r="E484" s="5"/>
      <c r="F484" s="5"/>
      <c r="G484" s="5"/>
    </row>
    <row r="485" spans="3:7" ht="13">
      <c r="C485" s="80"/>
      <c r="D485" s="5"/>
      <c r="E485" s="5"/>
      <c r="F485" s="5"/>
      <c r="G485" s="5"/>
    </row>
    <row r="486" spans="3:7" ht="13">
      <c r="C486" s="80"/>
      <c r="D486" s="5"/>
      <c r="E486" s="5"/>
      <c r="F486" s="5"/>
      <c r="G486" s="5"/>
    </row>
    <row r="487" spans="3:7" ht="13">
      <c r="C487" s="80"/>
      <c r="D487" s="5"/>
      <c r="E487" s="5"/>
      <c r="F487" s="5"/>
      <c r="G487" s="5"/>
    </row>
    <row r="488" spans="3:7" ht="13">
      <c r="C488" s="80"/>
      <c r="D488" s="5"/>
      <c r="E488" s="5"/>
      <c r="F488" s="5"/>
      <c r="G488" s="5"/>
    </row>
    <row r="489" spans="3:7" ht="13">
      <c r="C489" s="80"/>
      <c r="D489" s="5"/>
      <c r="E489" s="5"/>
      <c r="F489" s="5"/>
      <c r="G489" s="5"/>
    </row>
    <row r="490" spans="3:7" ht="13">
      <c r="C490" s="80"/>
      <c r="D490" s="5"/>
      <c r="E490" s="5"/>
      <c r="F490" s="5"/>
      <c r="G490" s="5"/>
    </row>
    <row r="491" spans="3:7" ht="13">
      <c r="C491" s="80"/>
      <c r="D491" s="5"/>
      <c r="E491" s="5"/>
      <c r="F491" s="5"/>
      <c r="G491" s="5"/>
    </row>
    <row r="492" spans="3:7" ht="13">
      <c r="C492" s="80"/>
      <c r="D492" s="5"/>
      <c r="E492" s="5"/>
      <c r="F492" s="5"/>
      <c r="G492" s="5"/>
    </row>
    <row r="493" spans="3:7" ht="13">
      <c r="C493" s="80"/>
      <c r="D493" s="5"/>
      <c r="E493" s="5"/>
      <c r="F493" s="5"/>
      <c r="G493" s="5"/>
    </row>
    <row r="494" spans="3:7" ht="13">
      <c r="C494" s="80"/>
      <c r="D494" s="5"/>
      <c r="E494" s="5"/>
      <c r="F494" s="5"/>
      <c r="G494" s="5"/>
    </row>
    <row r="495" spans="3:7" ht="13">
      <c r="C495" s="80"/>
      <c r="D495" s="5"/>
      <c r="E495" s="5"/>
      <c r="F495" s="5"/>
      <c r="G495" s="5"/>
    </row>
    <row r="496" spans="3:7" ht="13">
      <c r="C496" s="80"/>
      <c r="D496" s="5"/>
      <c r="E496" s="5"/>
      <c r="F496" s="5"/>
      <c r="G496" s="5"/>
    </row>
    <row r="497" spans="3:7" ht="13">
      <c r="C497" s="80"/>
      <c r="D497" s="5"/>
      <c r="E497" s="5"/>
      <c r="F497" s="5"/>
      <c r="G497" s="5"/>
    </row>
    <row r="498" spans="3:7" ht="13">
      <c r="C498" s="80"/>
      <c r="D498" s="5"/>
      <c r="E498" s="5"/>
      <c r="F498" s="5"/>
      <c r="G498" s="5"/>
    </row>
    <row r="499" spans="3:7" ht="13">
      <c r="C499" s="80"/>
      <c r="D499" s="5"/>
      <c r="E499" s="5"/>
      <c r="F499" s="5"/>
      <c r="G499" s="5"/>
    </row>
    <row r="500" spans="3:7" ht="13">
      <c r="C500" s="80"/>
      <c r="D500" s="5"/>
      <c r="E500" s="5"/>
      <c r="F500" s="5"/>
      <c r="G500" s="5"/>
    </row>
    <row r="501" spans="3:7" ht="13">
      <c r="C501" s="80"/>
      <c r="D501" s="5"/>
      <c r="E501" s="5"/>
      <c r="F501" s="5"/>
      <c r="G501" s="5"/>
    </row>
    <row r="502" spans="3:7" ht="13">
      <c r="C502" s="80"/>
      <c r="D502" s="5"/>
      <c r="E502" s="5"/>
      <c r="F502" s="5"/>
      <c r="G502" s="5"/>
    </row>
    <row r="503" spans="3:7" ht="13">
      <c r="C503" s="80"/>
      <c r="D503" s="5"/>
      <c r="E503" s="5"/>
      <c r="F503" s="5"/>
      <c r="G503" s="5"/>
    </row>
    <row r="504" spans="3:7" ht="13">
      <c r="C504" s="80"/>
      <c r="D504" s="5"/>
      <c r="E504" s="5"/>
      <c r="F504" s="5"/>
      <c r="G504" s="5"/>
    </row>
    <row r="505" spans="3:7" ht="13">
      <c r="C505" s="80"/>
      <c r="D505" s="5"/>
      <c r="E505" s="5"/>
      <c r="F505" s="5"/>
      <c r="G505" s="5"/>
    </row>
    <row r="506" spans="3:7" ht="13">
      <c r="C506" s="80"/>
      <c r="D506" s="5"/>
      <c r="E506" s="5"/>
      <c r="F506" s="5"/>
      <c r="G506" s="5"/>
    </row>
    <row r="507" spans="3:7" ht="13">
      <c r="C507" s="80"/>
      <c r="D507" s="5"/>
      <c r="E507" s="5"/>
      <c r="F507" s="5"/>
      <c r="G507" s="5"/>
    </row>
    <row r="508" spans="3:7" ht="13">
      <c r="C508" s="80"/>
      <c r="D508" s="5"/>
      <c r="E508" s="5"/>
      <c r="F508" s="5"/>
      <c r="G508" s="5"/>
    </row>
    <row r="509" spans="3:7" ht="13">
      <c r="C509" s="80"/>
      <c r="D509" s="5"/>
      <c r="E509" s="5"/>
      <c r="F509" s="5"/>
      <c r="G509" s="5"/>
    </row>
    <row r="510" spans="3:7" ht="13">
      <c r="C510" s="80"/>
      <c r="D510" s="5"/>
      <c r="E510" s="5"/>
      <c r="F510" s="5"/>
      <c r="G510" s="5"/>
    </row>
    <row r="511" spans="3:7" ht="13">
      <c r="C511" s="80"/>
      <c r="D511" s="5"/>
      <c r="E511" s="5"/>
      <c r="F511" s="5"/>
      <c r="G511" s="5"/>
    </row>
    <row r="512" spans="3:7" ht="13">
      <c r="C512" s="80"/>
      <c r="D512" s="5"/>
      <c r="E512" s="5"/>
      <c r="F512" s="5"/>
      <c r="G512" s="5"/>
    </row>
    <row r="513" spans="3:7" ht="13">
      <c r="C513" s="80"/>
      <c r="D513" s="5"/>
      <c r="E513" s="5"/>
      <c r="F513" s="5"/>
      <c r="G513" s="5"/>
    </row>
    <row r="514" spans="3:7" ht="13">
      <c r="C514" s="80"/>
      <c r="D514" s="5"/>
      <c r="E514" s="5"/>
      <c r="F514" s="5"/>
      <c r="G514" s="5"/>
    </row>
    <row r="515" spans="3:7" ht="13">
      <c r="C515" s="80"/>
      <c r="D515" s="5"/>
      <c r="E515" s="5"/>
      <c r="F515" s="5"/>
      <c r="G515" s="5"/>
    </row>
    <row r="516" spans="3:7" ht="13">
      <c r="C516" s="80"/>
      <c r="D516" s="5"/>
      <c r="E516" s="5"/>
      <c r="F516" s="5"/>
      <c r="G516" s="5"/>
    </row>
    <row r="517" spans="3:7" ht="13">
      <c r="C517" s="80"/>
      <c r="D517" s="5"/>
      <c r="E517" s="5"/>
      <c r="F517" s="5"/>
      <c r="G517" s="5"/>
    </row>
    <row r="518" spans="3:7" ht="13">
      <c r="C518" s="80"/>
      <c r="D518" s="5"/>
      <c r="E518" s="5"/>
      <c r="F518" s="5"/>
      <c r="G518" s="5"/>
    </row>
    <row r="519" spans="3:7" ht="13">
      <c r="C519" s="80"/>
      <c r="D519" s="5"/>
      <c r="E519" s="5"/>
      <c r="F519" s="5"/>
      <c r="G519" s="5"/>
    </row>
    <row r="520" spans="3:7" ht="13">
      <c r="C520" s="80"/>
      <c r="D520" s="5"/>
      <c r="E520" s="5"/>
      <c r="F520" s="5"/>
      <c r="G520" s="5"/>
    </row>
    <row r="521" spans="3:7" ht="13">
      <c r="C521" s="80"/>
      <c r="D521" s="5"/>
      <c r="E521" s="5"/>
      <c r="F521" s="5"/>
      <c r="G521" s="5"/>
    </row>
    <row r="522" spans="3:7" ht="13">
      <c r="C522" s="80"/>
      <c r="D522" s="5"/>
      <c r="E522" s="5"/>
      <c r="F522" s="5"/>
      <c r="G522" s="5"/>
    </row>
    <row r="523" spans="3:7" ht="13">
      <c r="C523" s="80"/>
      <c r="D523" s="5"/>
      <c r="E523" s="5"/>
      <c r="F523" s="5"/>
      <c r="G523" s="5"/>
    </row>
    <row r="524" spans="3:7" ht="13">
      <c r="C524" s="80"/>
      <c r="D524" s="5"/>
      <c r="E524" s="5"/>
      <c r="F524" s="5"/>
      <c r="G524" s="5"/>
    </row>
    <row r="525" spans="3:7" ht="13">
      <c r="C525" s="80"/>
      <c r="D525" s="5"/>
      <c r="E525" s="5"/>
      <c r="F525" s="5"/>
      <c r="G525" s="5"/>
    </row>
    <row r="526" spans="3:7" ht="13">
      <c r="C526" s="80"/>
      <c r="D526" s="5"/>
      <c r="E526" s="5"/>
      <c r="F526" s="5"/>
      <c r="G526" s="5"/>
    </row>
    <row r="527" spans="3:7" ht="13">
      <c r="C527" s="80"/>
      <c r="D527" s="5"/>
      <c r="E527" s="5"/>
      <c r="F527" s="5"/>
      <c r="G527" s="5"/>
    </row>
    <row r="528" spans="3:7" ht="13">
      <c r="C528" s="80"/>
      <c r="D528" s="5"/>
      <c r="E528" s="5"/>
      <c r="F528" s="5"/>
      <c r="G528" s="5"/>
    </row>
    <row r="529" spans="3:7" ht="13">
      <c r="C529" s="80"/>
      <c r="D529" s="5"/>
      <c r="E529" s="5"/>
      <c r="F529" s="5"/>
      <c r="G529" s="5"/>
    </row>
    <row r="530" spans="3:7" ht="13">
      <c r="C530" s="80"/>
      <c r="D530" s="5"/>
      <c r="E530" s="5"/>
      <c r="F530" s="5"/>
      <c r="G530" s="5"/>
    </row>
    <row r="531" spans="3:7" ht="13">
      <c r="C531" s="80"/>
      <c r="D531" s="5"/>
      <c r="E531" s="5"/>
      <c r="F531" s="5"/>
      <c r="G531" s="5"/>
    </row>
    <row r="532" spans="3:7" ht="13">
      <c r="C532" s="80"/>
      <c r="D532" s="5"/>
      <c r="E532" s="5"/>
      <c r="F532" s="5"/>
      <c r="G532" s="5"/>
    </row>
    <row r="533" spans="3:7" ht="13">
      <c r="C533" s="80"/>
      <c r="D533" s="5"/>
      <c r="E533" s="5"/>
      <c r="F533" s="5"/>
      <c r="G533" s="5"/>
    </row>
    <row r="534" spans="3:7" ht="13">
      <c r="C534" s="80"/>
      <c r="D534" s="5"/>
      <c r="E534" s="5"/>
      <c r="F534" s="5"/>
      <c r="G534" s="5"/>
    </row>
    <row r="535" spans="3:7" ht="13">
      <c r="C535" s="80"/>
      <c r="D535" s="5"/>
      <c r="E535" s="5"/>
      <c r="F535" s="5"/>
      <c r="G535" s="5"/>
    </row>
    <row r="536" spans="3:7" ht="13">
      <c r="C536" s="80"/>
      <c r="D536" s="5"/>
      <c r="E536" s="5"/>
      <c r="F536" s="5"/>
      <c r="G536" s="5"/>
    </row>
    <row r="537" spans="3:7" ht="13">
      <c r="C537" s="80"/>
      <c r="D537" s="5"/>
      <c r="E537" s="5"/>
      <c r="F537" s="5"/>
      <c r="G537" s="5"/>
    </row>
    <row r="538" spans="3:7" ht="13">
      <c r="C538" s="80"/>
      <c r="D538" s="5"/>
      <c r="E538" s="5"/>
      <c r="F538" s="5"/>
      <c r="G538" s="5"/>
    </row>
    <row r="539" spans="3:7" ht="13">
      <c r="C539" s="80"/>
      <c r="D539" s="5"/>
      <c r="E539" s="5"/>
      <c r="F539" s="5"/>
      <c r="G539" s="5"/>
    </row>
    <row r="540" spans="3:7" ht="13">
      <c r="C540" s="80"/>
      <c r="D540" s="5"/>
      <c r="E540" s="5"/>
      <c r="F540" s="5"/>
      <c r="G540" s="5"/>
    </row>
    <row r="541" spans="3:7" ht="13">
      <c r="C541" s="80"/>
      <c r="D541" s="5"/>
      <c r="E541" s="5"/>
      <c r="F541" s="5"/>
      <c r="G541" s="5"/>
    </row>
    <row r="542" spans="3:7" ht="13">
      <c r="C542" s="80"/>
      <c r="D542" s="5"/>
      <c r="E542" s="5"/>
      <c r="F542" s="5"/>
      <c r="G542" s="5"/>
    </row>
    <row r="543" spans="3:7" ht="13">
      <c r="C543" s="80"/>
      <c r="D543" s="5"/>
      <c r="E543" s="5"/>
      <c r="F543" s="5"/>
      <c r="G543" s="5"/>
    </row>
    <row r="544" spans="3:7" ht="13">
      <c r="C544" s="80"/>
      <c r="D544" s="5"/>
      <c r="E544" s="5"/>
      <c r="F544" s="5"/>
      <c r="G544" s="5"/>
    </row>
    <row r="545" spans="3:7" ht="13">
      <c r="C545" s="80"/>
      <c r="D545" s="5"/>
      <c r="E545" s="5"/>
      <c r="F545" s="5"/>
      <c r="G545" s="5"/>
    </row>
    <row r="546" spans="3:7" ht="13">
      <c r="C546" s="80"/>
      <c r="D546" s="5"/>
      <c r="E546" s="5"/>
      <c r="F546" s="5"/>
      <c r="G546" s="5"/>
    </row>
    <row r="547" spans="3:7" ht="13">
      <c r="C547" s="80"/>
      <c r="D547" s="5"/>
      <c r="E547" s="5"/>
      <c r="F547" s="5"/>
      <c r="G547" s="5"/>
    </row>
    <row r="548" spans="3:7" ht="13">
      <c r="C548" s="80"/>
      <c r="D548" s="5"/>
      <c r="E548" s="5"/>
      <c r="F548" s="5"/>
      <c r="G548" s="5"/>
    </row>
    <row r="549" spans="3:7" ht="13">
      <c r="C549" s="80"/>
      <c r="D549" s="5"/>
      <c r="E549" s="5"/>
      <c r="F549" s="5"/>
      <c r="G549" s="5"/>
    </row>
    <row r="550" spans="3:7" ht="13">
      <c r="C550" s="80"/>
      <c r="D550" s="5"/>
      <c r="E550" s="5"/>
      <c r="F550" s="5"/>
      <c r="G550" s="5"/>
    </row>
    <row r="551" spans="3:7" ht="13">
      <c r="C551" s="80"/>
      <c r="D551" s="5"/>
      <c r="E551" s="5"/>
      <c r="F551" s="5"/>
      <c r="G551" s="5"/>
    </row>
    <row r="552" spans="3:7" ht="13">
      <c r="C552" s="80"/>
      <c r="D552" s="5"/>
      <c r="E552" s="5"/>
      <c r="F552" s="5"/>
      <c r="G552" s="5"/>
    </row>
    <row r="553" spans="3:7" ht="13">
      <c r="C553" s="80"/>
      <c r="D553" s="5"/>
      <c r="E553" s="5"/>
      <c r="F553" s="5"/>
      <c r="G553" s="5"/>
    </row>
    <row r="554" spans="3:7" ht="13">
      <c r="C554" s="80"/>
      <c r="D554" s="5"/>
      <c r="E554" s="5"/>
      <c r="F554" s="5"/>
      <c r="G554" s="5"/>
    </row>
    <row r="555" spans="3:7" ht="13">
      <c r="C555" s="80"/>
      <c r="D555" s="5"/>
      <c r="E555" s="5"/>
      <c r="F555" s="5"/>
      <c r="G555" s="5"/>
    </row>
    <row r="556" spans="3:7" ht="13">
      <c r="C556" s="80"/>
      <c r="D556" s="5"/>
      <c r="E556" s="5"/>
      <c r="F556" s="5"/>
      <c r="G556" s="5"/>
    </row>
    <row r="557" spans="3:7" ht="13">
      <c r="C557" s="80"/>
      <c r="D557" s="5"/>
      <c r="E557" s="5"/>
      <c r="F557" s="5"/>
      <c r="G557" s="5"/>
    </row>
    <row r="558" spans="3:7" ht="13">
      <c r="C558" s="80"/>
      <c r="D558" s="5"/>
      <c r="E558" s="5"/>
      <c r="F558" s="5"/>
      <c r="G558" s="5"/>
    </row>
    <row r="559" spans="3:7" ht="13">
      <c r="C559" s="80"/>
      <c r="D559" s="5"/>
      <c r="E559" s="5"/>
      <c r="F559" s="5"/>
      <c r="G559" s="5"/>
    </row>
    <row r="560" spans="3:7" ht="13">
      <c r="C560" s="80"/>
      <c r="D560" s="5"/>
      <c r="E560" s="5"/>
      <c r="F560" s="5"/>
      <c r="G560" s="5"/>
    </row>
    <row r="561" spans="3:7" ht="13">
      <c r="C561" s="80"/>
      <c r="D561" s="5"/>
      <c r="E561" s="5"/>
      <c r="F561" s="5"/>
      <c r="G561" s="5"/>
    </row>
    <row r="562" spans="3:7" ht="13">
      <c r="C562" s="80"/>
      <c r="D562" s="5"/>
      <c r="E562" s="5"/>
      <c r="F562" s="5"/>
      <c r="G562" s="5"/>
    </row>
    <row r="563" spans="3:7" ht="13">
      <c r="C563" s="80"/>
      <c r="D563" s="5"/>
      <c r="E563" s="5"/>
      <c r="F563" s="5"/>
      <c r="G563" s="5"/>
    </row>
    <row r="564" spans="3:7" ht="13">
      <c r="C564" s="80"/>
      <c r="D564" s="5"/>
      <c r="E564" s="5"/>
      <c r="F564" s="5"/>
      <c r="G564" s="5"/>
    </row>
    <row r="565" spans="3:7" ht="13">
      <c r="C565" s="80"/>
      <c r="D565" s="5"/>
      <c r="E565" s="5"/>
      <c r="F565" s="5"/>
      <c r="G565" s="5"/>
    </row>
    <row r="566" spans="3:7" ht="13">
      <c r="C566" s="80"/>
      <c r="D566" s="5"/>
      <c r="E566" s="5"/>
      <c r="F566" s="5"/>
      <c r="G566" s="5"/>
    </row>
    <row r="567" spans="3:7" ht="13">
      <c r="C567" s="80"/>
      <c r="D567" s="5"/>
      <c r="E567" s="5"/>
      <c r="F567" s="5"/>
      <c r="G567" s="5"/>
    </row>
    <row r="568" spans="3:7" ht="13">
      <c r="C568" s="80"/>
      <c r="D568" s="5"/>
      <c r="E568" s="5"/>
      <c r="F568" s="5"/>
      <c r="G568" s="5"/>
    </row>
    <row r="569" spans="3:7" ht="13">
      <c r="C569" s="80"/>
      <c r="D569" s="5"/>
      <c r="E569" s="5"/>
      <c r="F569" s="5"/>
      <c r="G569" s="5"/>
    </row>
    <row r="570" spans="3:7" ht="13">
      <c r="C570" s="80"/>
      <c r="D570" s="5"/>
      <c r="E570" s="5"/>
      <c r="F570" s="5"/>
      <c r="G570" s="5"/>
    </row>
    <row r="571" spans="3:7" ht="13">
      <c r="C571" s="80"/>
      <c r="D571" s="5"/>
      <c r="E571" s="5"/>
      <c r="F571" s="5"/>
      <c r="G571" s="5"/>
    </row>
    <row r="572" spans="3:7" ht="13">
      <c r="C572" s="80"/>
      <c r="D572" s="5"/>
      <c r="E572" s="5"/>
      <c r="F572" s="5"/>
      <c r="G572" s="5"/>
    </row>
    <row r="573" spans="3:7" ht="13">
      <c r="C573" s="80"/>
      <c r="D573" s="5"/>
      <c r="E573" s="5"/>
      <c r="F573" s="5"/>
      <c r="G573" s="5"/>
    </row>
    <row r="574" spans="3:7" ht="13">
      <c r="C574" s="80"/>
      <c r="D574" s="5"/>
      <c r="E574" s="5"/>
      <c r="F574" s="5"/>
      <c r="G574" s="5"/>
    </row>
    <row r="575" spans="3:7" ht="13">
      <c r="C575" s="80"/>
      <c r="D575" s="5"/>
      <c r="E575" s="5"/>
      <c r="F575" s="5"/>
      <c r="G575" s="5"/>
    </row>
    <row r="576" spans="3:7" ht="13">
      <c r="C576" s="80"/>
      <c r="D576" s="5"/>
      <c r="E576" s="5"/>
      <c r="F576" s="5"/>
      <c r="G576" s="5"/>
    </row>
    <row r="577" spans="3:7" ht="13">
      <c r="C577" s="80"/>
      <c r="D577" s="5"/>
      <c r="E577" s="5"/>
      <c r="F577" s="5"/>
      <c r="G577" s="5"/>
    </row>
    <row r="578" spans="3:7" ht="13">
      <c r="C578" s="80"/>
      <c r="D578" s="5"/>
      <c r="E578" s="5"/>
      <c r="F578" s="5"/>
      <c r="G578" s="5"/>
    </row>
    <row r="579" spans="3:7" ht="13">
      <c r="C579" s="80"/>
      <c r="D579" s="5"/>
      <c r="E579" s="5"/>
      <c r="F579" s="5"/>
      <c r="G579" s="5"/>
    </row>
    <row r="580" spans="3:7" ht="13">
      <c r="C580" s="80"/>
      <c r="D580" s="5"/>
      <c r="E580" s="5"/>
      <c r="F580" s="5"/>
      <c r="G580" s="5"/>
    </row>
    <row r="581" spans="3:7" ht="13">
      <c r="C581" s="80"/>
      <c r="D581" s="5"/>
      <c r="E581" s="5"/>
      <c r="F581" s="5"/>
      <c r="G581" s="5"/>
    </row>
    <row r="582" spans="3:7" ht="13">
      <c r="C582" s="80"/>
      <c r="D582" s="5"/>
      <c r="E582" s="5"/>
      <c r="F582" s="5"/>
      <c r="G582" s="5"/>
    </row>
    <row r="583" spans="3:7" ht="13">
      <c r="C583" s="80"/>
      <c r="D583" s="5"/>
      <c r="E583" s="5"/>
      <c r="F583" s="5"/>
      <c r="G583" s="5"/>
    </row>
    <row r="584" spans="3:7" ht="13">
      <c r="C584" s="80"/>
      <c r="D584" s="5"/>
      <c r="E584" s="5"/>
      <c r="F584" s="5"/>
      <c r="G584" s="5"/>
    </row>
    <row r="585" spans="3:7" ht="13">
      <c r="C585" s="80"/>
      <c r="D585" s="5"/>
      <c r="E585" s="5"/>
      <c r="F585" s="5"/>
      <c r="G585" s="5"/>
    </row>
    <row r="586" spans="3:7" ht="13">
      <c r="C586" s="80"/>
      <c r="D586" s="5"/>
      <c r="E586" s="5"/>
      <c r="F586" s="5"/>
      <c r="G586" s="5"/>
    </row>
    <row r="587" spans="3:7" ht="13">
      <c r="C587" s="80"/>
      <c r="D587" s="5"/>
      <c r="E587" s="5"/>
      <c r="F587" s="5"/>
      <c r="G587" s="5"/>
    </row>
    <row r="588" spans="3:7" ht="13">
      <c r="C588" s="80"/>
      <c r="D588" s="5"/>
      <c r="E588" s="5"/>
      <c r="F588" s="5"/>
      <c r="G588" s="5"/>
    </row>
    <row r="589" spans="3:7" ht="13">
      <c r="C589" s="80"/>
      <c r="D589" s="5"/>
      <c r="E589" s="5"/>
      <c r="F589" s="5"/>
      <c r="G589" s="5"/>
    </row>
    <row r="590" spans="3:7" ht="13">
      <c r="C590" s="80"/>
      <c r="D590" s="5"/>
      <c r="E590" s="5"/>
      <c r="F590" s="5"/>
      <c r="G590" s="5"/>
    </row>
    <row r="591" spans="3:7" ht="13">
      <c r="C591" s="80"/>
      <c r="D591" s="5"/>
      <c r="E591" s="5"/>
      <c r="F591" s="5"/>
      <c r="G591" s="5"/>
    </row>
    <row r="592" spans="3:7" ht="13">
      <c r="C592" s="80"/>
      <c r="D592" s="5"/>
      <c r="E592" s="5"/>
      <c r="F592" s="5"/>
      <c r="G592" s="5"/>
    </row>
    <row r="593" spans="3:7" ht="13">
      <c r="C593" s="80"/>
      <c r="D593" s="5"/>
      <c r="E593" s="5"/>
      <c r="F593" s="5"/>
      <c r="G593" s="5"/>
    </row>
    <row r="594" spans="3:7" ht="13">
      <c r="C594" s="80"/>
      <c r="D594" s="5"/>
      <c r="E594" s="5"/>
      <c r="F594" s="5"/>
      <c r="G594" s="5"/>
    </row>
    <row r="595" spans="3:7" ht="13">
      <c r="C595" s="80"/>
      <c r="D595" s="5"/>
      <c r="E595" s="5"/>
      <c r="F595" s="5"/>
      <c r="G595" s="5"/>
    </row>
    <row r="596" spans="3:7" ht="13">
      <c r="C596" s="80"/>
      <c r="D596" s="5"/>
      <c r="E596" s="5"/>
      <c r="F596" s="5"/>
      <c r="G596" s="5"/>
    </row>
    <row r="597" spans="3:7" ht="13">
      <c r="C597" s="80"/>
      <c r="D597" s="5"/>
      <c r="E597" s="5"/>
      <c r="F597" s="5"/>
      <c r="G597" s="5"/>
    </row>
    <row r="598" spans="3:7" ht="13">
      <c r="C598" s="80"/>
      <c r="D598" s="5"/>
      <c r="E598" s="5"/>
      <c r="F598" s="5"/>
      <c r="G598" s="5"/>
    </row>
    <row r="599" spans="3:7" ht="13">
      <c r="C599" s="80"/>
      <c r="D599" s="5"/>
      <c r="E599" s="5"/>
      <c r="F599" s="5"/>
      <c r="G599" s="5"/>
    </row>
    <row r="600" spans="3:7" ht="13">
      <c r="C600" s="80"/>
      <c r="D600" s="5"/>
      <c r="E600" s="5"/>
      <c r="F600" s="5"/>
      <c r="G600" s="5"/>
    </row>
    <row r="601" spans="3:7" ht="13">
      <c r="C601" s="80"/>
      <c r="D601" s="5"/>
      <c r="E601" s="5"/>
      <c r="F601" s="5"/>
      <c r="G601" s="5"/>
    </row>
    <row r="602" spans="3:7" ht="13">
      <c r="C602" s="80"/>
      <c r="D602" s="5"/>
      <c r="E602" s="5"/>
      <c r="F602" s="5"/>
      <c r="G602" s="5"/>
    </row>
    <row r="603" spans="3:7" ht="13">
      <c r="C603" s="80"/>
      <c r="D603" s="5"/>
      <c r="E603" s="5"/>
      <c r="F603" s="5"/>
      <c r="G603" s="5"/>
    </row>
    <row r="604" spans="3:7" ht="13">
      <c r="C604" s="80"/>
      <c r="D604" s="5"/>
      <c r="E604" s="5"/>
      <c r="F604" s="5"/>
      <c r="G604" s="5"/>
    </row>
    <row r="605" spans="3:7" ht="13">
      <c r="C605" s="80"/>
      <c r="D605" s="5"/>
      <c r="E605" s="5"/>
      <c r="F605" s="5"/>
      <c r="G605" s="5"/>
    </row>
    <row r="606" spans="3:7" ht="13">
      <c r="C606" s="80"/>
      <c r="D606" s="5"/>
      <c r="E606" s="5"/>
      <c r="F606" s="5"/>
      <c r="G606" s="5"/>
    </row>
    <row r="607" spans="3:7" ht="13">
      <c r="C607" s="80"/>
      <c r="D607" s="5"/>
      <c r="E607" s="5"/>
      <c r="F607" s="5"/>
      <c r="G607" s="5"/>
    </row>
    <row r="608" spans="3:7" ht="13">
      <c r="C608" s="80"/>
      <c r="D608" s="5"/>
      <c r="E608" s="5"/>
      <c r="F608" s="5"/>
      <c r="G608" s="5"/>
    </row>
    <row r="609" spans="3:7" ht="13">
      <c r="C609" s="80"/>
      <c r="D609" s="5"/>
      <c r="E609" s="5"/>
      <c r="F609" s="5"/>
      <c r="G609" s="5"/>
    </row>
    <row r="610" spans="3:7" ht="13">
      <c r="C610" s="80"/>
      <c r="D610" s="5"/>
      <c r="E610" s="5"/>
      <c r="F610" s="5"/>
      <c r="G610" s="5"/>
    </row>
    <row r="611" spans="3:7" ht="13">
      <c r="C611" s="80"/>
      <c r="D611" s="5"/>
      <c r="E611" s="5"/>
      <c r="F611" s="5"/>
      <c r="G611" s="5"/>
    </row>
    <row r="612" spans="3:7" ht="13">
      <c r="C612" s="80"/>
      <c r="D612" s="5"/>
      <c r="E612" s="5"/>
      <c r="F612" s="5"/>
      <c r="G612" s="5"/>
    </row>
    <row r="613" spans="3:7" ht="13">
      <c r="C613" s="80"/>
      <c r="D613" s="5"/>
      <c r="E613" s="5"/>
      <c r="F613" s="5"/>
      <c r="G613" s="5"/>
    </row>
    <row r="614" spans="3:7" ht="13">
      <c r="C614" s="80"/>
      <c r="D614" s="5"/>
      <c r="E614" s="5"/>
      <c r="F614" s="5"/>
      <c r="G614" s="5"/>
    </row>
    <row r="615" spans="3:7" ht="13">
      <c r="C615" s="80"/>
      <c r="D615" s="5"/>
      <c r="E615" s="5"/>
      <c r="F615" s="5"/>
      <c r="G615" s="5"/>
    </row>
    <row r="616" spans="3:7" ht="13">
      <c r="C616" s="80"/>
      <c r="D616" s="5"/>
      <c r="E616" s="5"/>
      <c r="F616" s="5"/>
      <c r="G616" s="5"/>
    </row>
    <row r="617" spans="3:7" ht="13">
      <c r="C617" s="80"/>
      <c r="D617" s="5"/>
      <c r="E617" s="5"/>
      <c r="F617" s="5"/>
      <c r="G617" s="5"/>
    </row>
    <row r="618" spans="3:7" ht="13">
      <c r="C618" s="80"/>
      <c r="D618" s="5"/>
      <c r="E618" s="5"/>
      <c r="F618" s="5"/>
      <c r="G618" s="5"/>
    </row>
    <row r="619" spans="3:7" ht="13">
      <c r="C619" s="80"/>
      <c r="D619" s="5"/>
      <c r="E619" s="5"/>
      <c r="F619" s="5"/>
      <c r="G619" s="5"/>
    </row>
    <row r="620" spans="3:7" ht="13">
      <c r="C620" s="80"/>
      <c r="D620" s="5"/>
      <c r="E620" s="5"/>
      <c r="F620" s="5"/>
      <c r="G620" s="5"/>
    </row>
    <row r="621" spans="3:7" ht="13">
      <c r="C621" s="80"/>
      <c r="D621" s="5"/>
      <c r="E621" s="5"/>
      <c r="F621" s="5"/>
      <c r="G621" s="5"/>
    </row>
    <row r="622" spans="3:7" ht="13">
      <c r="C622" s="80"/>
      <c r="D622" s="5"/>
      <c r="E622" s="5"/>
      <c r="F622" s="5"/>
      <c r="G622" s="5"/>
    </row>
    <row r="623" spans="3:7" ht="13">
      <c r="C623" s="80"/>
      <c r="D623" s="5"/>
      <c r="E623" s="5"/>
      <c r="F623" s="5"/>
      <c r="G623" s="5"/>
    </row>
    <row r="624" spans="3:7" ht="13">
      <c r="C624" s="80"/>
      <c r="D624" s="5"/>
      <c r="E624" s="5"/>
      <c r="F624" s="5"/>
      <c r="G624" s="5"/>
    </row>
    <row r="625" spans="3:7" ht="13">
      <c r="C625" s="80"/>
      <c r="D625" s="5"/>
      <c r="E625" s="5"/>
      <c r="F625" s="5"/>
      <c r="G625" s="5"/>
    </row>
    <row r="626" spans="3:7" ht="13">
      <c r="C626" s="80"/>
      <c r="D626" s="5"/>
      <c r="E626" s="5"/>
      <c r="F626" s="5"/>
      <c r="G626" s="5"/>
    </row>
    <row r="627" spans="3:7" ht="13">
      <c r="C627" s="80"/>
      <c r="D627" s="5"/>
      <c r="E627" s="5"/>
      <c r="F627" s="5"/>
      <c r="G627" s="5"/>
    </row>
    <row r="628" spans="3:7" ht="13">
      <c r="C628" s="80"/>
      <c r="D628" s="5"/>
      <c r="E628" s="5"/>
      <c r="F628" s="5"/>
      <c r="G628" s="5"/>
    </row>
    <row r="629" spans="3:7" ht="13">
      <c r="C629" s="80"/>
      <c r="D629" s="5"/>
      <c r="E629" s="5"/>
      <c r="F629" s="5"/>
      <c r="G629" s="5"/>
    </row>
    <row r="630" spans="3:7" ht="13">
      <c r="C630" s="80"/>
      <c r="D630" s="5"/>
      <c r="E630" s="5"/>
      <c r="F630" s="5"/>
      <c r="G630" s="5"/>
    </row>
    <row r="631" spans="3:7" ht="13">
      <c r="C631" s="80"/>
      <c r="D631" s="5"/>
      <c r="E631" s="5"/>
      <c r="F631" s="5"/>
      <c r="G631" s="5"/>
    </row>
    <row r="632" spans="3:7" ht="13">
      <c r="C632" s="80"/>
      <c r="D632" s="5"/>
      <c r="E632" s="5"/>
      <c r="F632" s="5"/>
      <c r="G632" s="5"/>
    </row>
    <row r="633" spans="3:7" ht="13">
      <c r="C633" s="80"/>
      <c r="D633" s="5"/>
      <c r="E633" s="5"/>
      <c r="F633" s="5"/>
      <c r="G633" s="5"/>
    </row>
    <row r="634" spans="3:7" ht="13">
      <c r="C634" s="80"/>
      <c r="D634" s="5"/>
      <c r="E634" s="5"/>
      <c r="F634" s="5"/>
      <c r="G634" s="5"/>
    </row>
    <row r="635" spans="3:7" ht="13">
      <c r="C635" s="80"/>
      <c r="D635" s="5"/>
      <c r="E635" s="5"/>
      <c r="F635" s="5"/>
      <c r="G635" s="5"/>
    </row>
    <row r="636" spans="3:7" ht="13">
      <c r="C636" s="80"/>
      <c r="D636" s="5"/>
      <c r="E636" s="5"/>
      <c r="F636" s="5"/>
      <c r="G636" s="5"/>
    </row>
    <row r="637" spans="3:7" ht="13">
      <c r="C637" s="80"/>
      <c r="D637" s="5"/>
      <c r="E637" s="5"/>
      <c r="F637" s="5"/>
      <c r="G637" s="5"/>
    </row>
    <row r="638" spans="3:7" ht="13">
      <c r="C638" s="80"/>
      <c r="D638" s="5"/>
      <c r="E638" s="5"/>
      <c r="F638" s="5"/>
      <c r="G638" s="5"/>
    </row>
    <row r="639" spans="3:7" ht="13">
      <c r="C639" s="80"/>
      <c r="D639" s="5"/>
      <c r="E639" s="5"/>
      <c r="F639" s="5"/>
      <c r="G639" s="5"/>
    </row>
    <row r="640" spans="3:7" ht="13">
      <c r="C640" s="80"/>
      <c r="D640" s="5"/>
      <c r="E640" s="5"/>
      <c r="F640" s="5"/>
      <c r="G640" s="5"/>
    </row>
    <row r="641" spans="3:7" ht="13">
      <c r="C641" s="80"/>
      <c r="D641" s="5"/>
      <c r="E641" s="5"/>
      <c r="F641" s="5"/>
      <c r="G641" s="5"/>
    </row>
    <row r="642" spans="3:7" ht="13">
      <c r="C642" s="80"/>
      <c r="D642" s="5"/>
      <c r="E642" s="5"/>
      <c r="F642" s="5"/>
      <c r="G642" s="5"/>
    </row>
    <row r="643" spans="3:7" ht="13">
      <c r="C643" s="80"/>
      <c r="D643" s="5"/>
      <c r="E643" s="5"/>
      <c r="F643" s="5"/>
      <c r="G643" s="5"/>
    </row>
    <row r="644" spans="3:7" ht="13">
      <c r="C644" s="80"/>
      <c r="D644" s="5"/>
      <c r="E644" s="5"/>
      <c r="F644" s="5"/>
      <c r="G644" s="5"/>
    </row>
    <row r="645" spans="3:7" ht="13">
      <c r="C645" s="80"/>
      <c r="D645" s="5"/>
      <c r="E645" s="5"/>
      <c r="F645" s="5"/>
      <c r="G645" s="5"/>
    </row>
    <row r="646" spans="3:7" ht="13">
      <c r="C646" s="80"/>
      <c r="D646" s="5"/>
      <c r="E646" s="5"/>
      <c r="F646" s="5"/>
      <c r="G646" s="5"/>
    </row>
    <row r="647" spans="3:7" ht="13">
      <c r="C647" s="80"/>
      <c r="D647" s="5"/>
      <c r="E647" s="5"/>
      <c r="F647" s="5"/>
      <c r="G647" s="5"/>
    </row>
    <row r="648" spans="3:7" ht="13">
      <c r="C648" s="80"/>
      <c r="D648" s="5"/>
      <c r="E648" s="5"/>
      <c r="F648" s="5"/>
      <c r="G648" s="5"/>
    </row>
    <row r="649" spans="3:7" ht="13">
      <c r="C649" s="80"/>
      <c r="D649" s="5"/>
      <c r="E649" s="5"/>
      <c r="F649" s="5"/>
      <c r="G649" s="5"/>
    </row>
    <row r="650" spans="3:7" ht="13">
      <c r="C650" s="80"/>
      <c r="D650" s="5"/>
      <c r="E650" s="5"/>
      <c r="F650" s="5"/>
      <c r="G650" s="5"/>
    </row>
    <row r="651" spans="3:7" ht="13">
      <c r="C651" s="80"/>
      <c r="D651" s="5"/>
      <c r="E651" s="5"/>
      <c r="F651" s="5"/>
      <c r="G651" s="5"/>
    </row>
    <row r="652" spans="3:7" ht="13">
      <c r="C652" s="80"/>
      <c r="D652" s="5"/>
      <c r="E652" s="5"/>
      <c r="F652" s="5"/>
      <c r="G652" s="5"/>
    </row>
    <row r="653" spans="3:7" ht="13">
      <c r="C653" s="80"/>
      <c r="D653" s="5"/>
      <c r="E653" s="5"/>
      <c r="F653" s="5"/>
      <c r="G653" s="5"/>
    </row>
    <row r="654" spans="3:7" ht="13">
      <c r="C654" s="80"/>
      <c r="D654" s="5"/>
      <c r="E654" s="5"/>
      <c r="F654" s="5"/>
      <c r="G654" s="5"/>
    </row>
    <row r="655" spans="3:7" ht="13">
      <c r="C655" s="80"/>
      <c r="D655" s="5"/>
      <c r="E655" s="5"/>
      <c r="F655" s="5"/>
      <c r="G655" s="5"/>
    </row>
    <row r="656" spans="3:7" ht="13">
      <c r="C656" s="80"/>
      <c r="D656" s="5"/>
      <c r="E656" s="5"/>
      <c r="F656" s="5"/>
      <c r="G656" s="5"/>
    </row>
    <row r="657" spans="3:7" ht="13">
      <c r="C657" s="80"/>
      <c r="D657" s="5"/>
      <c r="E657" s="5"/>
      <c r="F657" s="5"/>
      <c r="G657" s="5"/>
    </row>
    <row r="658" spans="3:7" ht="13">
      <c r="C658" s="80"/>
      <c r="D658" s="5"/>
      <c r="E658" s="5"/>
      <c r="F658" s="5"/>
      <c r="G658" s="5"/>
    </row>
    <row r="659" spans="3:7" ht="13">
      <c r="C659" s="80"/>
      <c r="D659" s="5"/>
      <c r="E659" s="5"/>
      <c r="F659" s="5"/>
      <c r="G659" s="5"/>
    </row>
    <row r="660" spans="3:7" ht="13">
      <c r="C660" s="80"/>
      <c r="D660" s="5"/>
      <c r="E660" s="5"/>
      <c r="F660" s="5"/>
      <c r="G660" s="5"/>
    </row>
    <row r="661" spans="3:7" ht="13">
      <c r="C661" s="80"/>
      <c r="D661" s="5"/>
      <c r="E661" s="5"/>
      <c r="F661" s="5"/>
      <c r="G661" s="5"/>
    </row>
    <row r="662" spans="3:7" ht="13">
      <c r="C662" s="80"/>
      <c r="D662" s="5"/>
      <c r="E662" s="5"/>
      <c r="F662" s="5"/>
      <c r="G662" s="5"/>
    </row>
    <row r="663" spans="3:7" ht="13">
      <c r="C663" s="80"/>
      <c r="D663" s="5"/>
      <c r="E663" s="5"/>
      <c r="F663" s="5"/>
      <c r="G663" s="5"/>
    </row>
    <row r="664" spans="3:7" ht="13">
      <c r="C664" s="80"/>
      <c r="D664" s="5"/>
      <c r="E664" s="5"/>
      <c r="F664" s="5"/>
      <c r="G664" s="5"/>
    </row>
    <row r="665" spans="3:7" ht="13">
      <c r="C665" s="80"/>
      <c r="D665" s="5"/>
      <c r="E665" s="5"/>
      <c r="F665" s="5"/>
      <c r="G665" s="5"/>
    </row>
    <row r="666" spans="3:7" ht="13">
      <c r="C666" s="80"/>
      <c r="D666" s="5"/>
      <c r="E666" s="5"/>
      <c r="F666" s="5"/>
      <c r="G666" s="5"/>
    </row>
    <row r="667" spans="3:7" ht="13">
      <c r="C667" s="80"/>
      <c r="D667" s="5"/>
      <c r="E667" s="5"/>
      <c r="F667" s="5"/>
      <c r="G667" s="5"/>
    </row>
    <row r="668" spans="3:7" ht="13">
      <c r="C668" s="80"/>
      <c r="D668" s="5"/>
      <c r="E668" s="5"/>
      <c r="F668" s="5"/>
      <c r="G668" s="5"/>
    </row>
    <row r="669" spans="3:7" ht="13">
      <c r="C669" s="80"/>
      <c r="D669" s="5"/>
      <c r="E669" s="5"/>
      <c r="F669" s="5"/>
      <c r="G669" s="5"/>
    </row>
    <row r="670" spans="3:7" ht="13">
      <c r="C670" s="80"/>
      <c r="D670" s="5"/>
      <c r="E670" s="5"/>
      <c r="F670" s="5"/>
      <c r="G670" s="5"/>
    </row>
    <row r="671" spans="3:7" ht="13">
      <c r="C671" s="80"/>
      <c r="D671" s="5"/>
      <c r="E671" s="5"/>
      <c r="F671" s="5"/>
      <c r="G671" s="5"/>
    </row>
    <row r="672" spans="3:7" ht="13">
      <c r="C672" s="80"/>
      <c r="D672" s="5"/>
      <c r="E672" s="5"/>
      <c r="F672" s="5"/>
      <c r="G672" s="5"/>
    </row>
    <row r="673" spans="3:7" ht="13">
      <c r="C673" s="80"/>
      <c r="D673" s="5"/>
      <c r="E673" s="5"/>
      <c r="F673" s="5"/>
      <c r="G673" s="5"/>
    </row>
    <row r="674" spans="3:7" ht="13">
      <c r="C674" s="80"/>
      <c r="D674" s="5"/>
      <c r="E674" s="5"/>
      <c r="F674" s="5"/>
      <c r="G674" s="5"/>
    </row>
    <row r="675" spans="3:7" ht="13">
      <c r="C675" s="80"/>
      <c r="D675" s="5"/>
      <c r="E675" s="5"/>
      <c r="F675" s="5"/>
      <c r="G675" s="5"/>
    </row>
    <row r="676" spans="3:7" ht="13">
      <c r="C676" s="80"/>
      <c r="D676" s="5"/>
      <c r="E676" s="5"/>
      <c r="F676" s="5"/>
      <c r="G676" s="5"/>
    </row>
    <row r="677" spans="3:7" ht="13">
      <c r="C677" s="80"/>
      <c r="D677" s="5"/>
      <c r="E677" s="5"/>
      <c r="F677" s="5"/>
      <c r="G677" s="5"/>
    </row>
    <row r="678" spans="3:7" ht="13">
      <c r="C678" s="80"/>
      <c r="D678" s="5"/>
      <c r="E678" s="5"/>
      <c r="F678" s="5"/>
      <c r="G678" s="5"/>
    </row>
    <row r="679" spans="3:7" ht="13">
      <c r="C679" s="80"/>
      <c r="D679" s="5"/>
      <c r="E679" s="5"/>
      <c r="F679" s="5"/>
      <c r="G679" s="5"/>
    </row>
    <row r="680" spans="3:7" ht="13">
      <c r="C680" s="80"/>
      <c r="D680" s="5"/>
      <c r="E680" s="5"/>
      <c r="F680" s="5"/>
      <c r="G680" s="5"/>
    </row>
    <row r="681" spans="3:7" ht="13">
      <c r="C681" s="80"/>
      <c r="D681" s="5"/>
      <c r="E681" s="5"/>
      <c r="F681" s="5"/>
      <c r="G681" s="5"/>
    </row>
    <row r="682" spans="3:7" ht="13">
      <c r="C682" s="80"/>
      <c r="D682" s="5"/>
      <c r="E682" s="5"/>
      <c r="F682" s="5"/>
      <c r="G682" s="5"/>
    </row>
    <row r="683" spans="3:7" ht="13">
      <c r="C683" s="80"/>
      <c r="D683" s="5"/>
      <c r="E683" s="5"/>
      <c r="F683" s="5"/>
      <c r="G683" s="5"/>
    </row>
    <row r="684" spans="3:7" ht="13">
      <c r="C684" s="80"/>
      <c r="D684" s="5"/>
      <c r="E684" s="5"/>
      <c r="F684" s="5"/>
      <c r="G684" s="5"/>
    </row>
    <row r="685" spans="3:7" ht="13">
      <c r="C685" s="80"/>
      <c r="D685" s="5"/>
      <c r="E685" s="5"/>
      <c r="F685" s="5"/>
      <c r="G685" s="5"/>
    </row>
    <row r="686" spans="3:7" ht="13">
      <c r="C686" s="80"/>
      <c r="D686" s="5"/>
      <c r="E686" s="5"/>
      <c r="F686" s="5"/>
      <c r="G686" s="5"/>
    </row>
    <row r="687" spans="3:7" ht="13">
      <c r="C687" s="80"/>
      <c r="D687" s="5"/>
      <c r="E687" s="5"/>
      <c r="F687" s="5"/>
      <c r="G687" s="5"/>
    </row>
    <row r="688" spans="3:7" ht="13">
      <c r="C688" s="80"/>
      <c r="D688" s="5"/>
      <c r="E688" s="5"/>
      <c r="F688" s="5"/>
      <c r="G688" s="5"/>
    </row>
    <row r="689" spans="3:7" ht="13">
      <c r="C689" s="80"/>
      <c r="D689" s="5"/>
      <c r="E689" s="5"/>
      <c r="F689" s="5"/>
      <c r="G689" s="5"/>
    </row>
    <row r="690" spans="3:7" ht="13">
      <c r="C690" s="80"/>
      <c r="D690" s="5"/>
      <c r="E690" s="5"/>
      <c r="F690" s="5"/>
      <c r="G690" s="5"/>
    </row>
    <row r="691" spans="3:7" ht="13">
      <c r="C691" s="80"/>
      <c r="D691" s="5"/>
      <c r="E691" s="5"/>
      <c r="F691" s="5"/>
      <c r="G691" s="5"/>
    </row>
    <row r="692" spans="3:7" ht="13">
      <c r="C692" s="80"/>
      <c r="D692" s="5"/>
      <c r="E692" s="5"/>
      <c r="F692" s="5"/>
      <c r="G692" s="5"/>
    </row>
    <row r="693" spans="3:7" ht="13">
      <c r="C693" s="80"/>
      <c r="D693" s="5"/>
      <c r="E693" s="5"/>
      <c r="F693" s="5"/>
      <c r="G693" s="5"/>
    </row>
    <row r="694" spans="3:7" ht="13">
      <c r="C694" s="80"/>
      <c r="D694" s="5"/>
      <c r="E694" s="5"/>
      <c r="F694" s="5"/>
      <c r="G694" s="5"/>
    </row>
    <row r="695" spans="3:7" ht="13">
      <c r="C695" s="80"/>
      <c r="D695" s="5"/>
      <c r="E695" s="5"/>
      <c r="F695" s="5"/>
      <c r="G695" s="5"/>
    </row>
    <row r="696" spans="3:7" ht="13">
      <c r="C696" s="80"/>
      <c r="D696" s="5"/>
      <c r="E696" s="5"/>
      <c r="F696" s="5"/>
      <c r="G696" s="5"/>
    </row>
    <row r="697" spans="3:7" ht="13">
      <c r="C697" s="80"/>
      <c r="D697" s="5"/>
      <c r="E697" s="5"/>
      <c r="F697" s="5"/>
      <c r="G697" s="5"/>
    </row>
    <row r="698" spans="3:7" ht="13">
      <c r="C698" s="80"/>
      <c r="D698" s="5"/>
      <c r="E698" s="5"/>
      <c r="F698" s="5"/>
      <c r="G698" s="5"/>
    </row>
    <row r="699" spans="3:7" ht="13">
      <c r="C699" s="80"/>
      <c r="D699" s="5"/>
      <c r="E699" s="5"/>
      <c r="F699" s="5"/>
      <c r="G699" s="5"/>
    </row>
    <row r="700" spans="3:7" ht="13">
      <c r="C700" s="80"/>
      <c r="D700" s="5"/>
      <c r="E700" s="5"/>
      <c r="F700" s="5"/>
      <c r="G700" s="5"/>
    </row>
    <row r="701" spans="3:7" ht="13">
      <c r="C701" s="80"/>
      <c r="D701" s="5"/>
      <c r="E701" s="5"/>
      <c r="F701" s="5"/>
      <c r="G701" s="5"/>
    </row>
    <row r="702" spans="3:7" ht="13">
      <c r="C702" s="80"/>
      <c r="D702" s="5"/>
      <c r="E702" s="5"/>
      <c r="F702" s="5"/>
      <c r="G702" s="5"/>
    </row>
    <row r="703" spans="3:7" ht="13">
      <c r="C703" s="80"/>
      <c r="D703" s="5"/>
      <c r="E703" s="5"/>
      <c r="F703" s="5"/>
      <c r="G703" s="5"/>
    </row>
    <row r="704" spans="3:7" ht="13">
      <c r="C704" s="80"/>
      <c r="D704" s="5"/>
      <c r="E704" s="5"/>
      <c r="F704" s="5"/>
      <c r="G704" s="5"/>
    </row>
    <row r="705" spans="3:7" ht="13">
      <c r="C705" s="80"/>
      <c r="D705" s="5"/>
      <c r="E705" s="5"/>
      <c r="F705" s="5"/>
      <c r="G705" s="5"/>
    </row>
    <row r="706" spans="3:7" ht="13">
      <c r="C706" s="80"/>
      <c r="D706" s="5"/>
      <c r="E706" s="5"/>
      <c r="F706" s="5"/>
      <c r="G706" s="5"/>
    </row>
    <row r="707" spans="3:7" ht="13">
      <c r="C707" s="80"/>
      <c r="D707" s="5"/>
      <c r="E707" s="5"/>
      <c r="F707" s="5"/>
      <c r="G707" s="5"/>
    </row>
    <row r="708" spans="3:7" ht="13">
      <c r="C708" s="80"/>
      <c r="D708" s="5"/>
      <c r="E708" s="5"/>
      <c r="F708" s="5"/>
      <c r="G708" s="5"/>
    </row>
    <row r="709" spans="3:7" ht="13">
      <c r="C709" s="80"/>
      <c r="D709" s="5"/>
      <c r="E709" s="5"/>
      <c r="F709" s="5"/>
      <c r="G709" s="5"/>
    </row>
    <row r="710" spans="3:7" ht="13">
      <c r="C710" s="80"/>
      <c r="D710" s="5"/>
      <c r="E710" s="5"/>
      <c r="F710" s="5"/>
      <c r="G710" s="5"/>
    </row>
    <row r="711" spans="3:7" ht="13">
      <c r="C711" s="80"/>
      <c r="D711" s="5"/>
      <c r="E711" s="5"/>
      <c r="F711" s="5"/>
      <c r="G711" s="5"/>
    </row>
    <row r="712" spans="3:7" ht="13">
      <c r="C712" s="80"/>
      <c r="D712" s="5"/>
      <c r="E712" s="5"/>
      <c r="F712" s="5"/>
      <c r="G712" s="5"/>
    </row>
    <row r="713" spans="3:7" ht="13">
      <c r="C713" s="80"/>
      <c r="D713" s="5"/>
      <c r="E713" s="5"/>
      <c r="F713" s="5"/>
      <c r="G713" s="5"/>
    </row>
    <row r="714" spans="3:7" ht="13">
      <c r="C714" s="80"/>
      <c r="D714" s="5"/>
      <c r="E714" s="5"/>
      <c r="F714" s="5"/>
      <c r="G714" s="5"/>
    </row>
    <row r="715" spans="3:7" ht="13">
      <c r="C715" s="80"/>
      <c r="D715" s="5"/>
      <c r="E715" s="5"/>
      <c r="F715" s="5"/>
      <c r="G715" s="5"/>
    </row>
    <row r="716" spans="3:7" ht="13">
      <c r="C716" s="80"/>
      <c r="D716" s="5"/>
      <c r="E716" s="5"/>
      <c r="F716" s="5"/>
      <c r="G716" s="5"/>
    </row>
    <row r="717" spans="3:7" ht="13">
      <c r="C717" s="80"/>
      <c r="D717" s="5"/>
      <c r="E717" s="5"/>
      <c r="F717" s="5"/>
      <c r="G717" s="5"/>
    </row>
    <row r="718" spans="3:7" ht="13">
      <c r="C718" s="80"/>
      <c r="D718" s="5"/>
      <c r="E718" s="5"/>
      <c r="F718" s="5"/>
      <c r="G718" s="5"/>
    </row>
    <row r="719" spans="3:7" ht="13">
      <c r="C719" s="80"/>
      <c r="D719" s="5"/>
      <c r="E719" s="5"/>
      <c r="F719" s="5"/>
      <c r="G719" s="5"/>
    </row>
    <row r="720" spans="3:7" ht="13">
      <c r="C720" s="80"/>
      <c r="D720" s="5"/>
      <c r="E720" s="5"/>
      <c r="F720" s="5"/>
      <c r="G720" s="5"/>
    </row>
    <row r="721" spans="3:7" ht="13">
      <c r="C721" s="80"/>
      <c r="D721" s="5"/>
      <c r="E721" s="5"/>
      <c r="F721" s="5"/>
      <c r="G721" s="5"/>
    </row>
    <row r="722" spans="3:7" ht="13">
      <c r="C722" s="80"/>
      <c r="D722" s="5"/>
      <c r="E722" s="5"/>
      <c r="F722" s="5"/>
      <c r="G722" s="5"/>
    </row>
    <row r="723" spans="3:7" ht="13">
      <c r="C723" s="80"/>
      <c r="D723" s="5"/>
      <c r="E723" s="5"/>
      <c r="F723" s="5"/>
      <c r="G723" s="5"/>
    </row>
    <row r="724" spans="3:7" ht="13">
      <c r="C724" s="80"/>
      <c r="D724" s="5"/>
      <c r="E724" s="5"/>
      <c r="F724" s="5"/>
      <c r="G724" s="5"/>
    </row>
    <row r="725" spans="3:7" ht="13">
      <c r="C725" s="80"/>
      <c r="D725" s="5"/>
      <c r="E725" s="5"/>
      <c r="F725" s="5"/>
      <c r="G725" s="5"/>
    </row>
    <row r="726" spans="3:7" ht="13">
      <c r="C726" s="80"/>
      <c r="D726" s="5"/>
      <c r="E726" s="5"/>
      <c r="F726" s="5"/>
      <c r="G726" s="5"/>
    </row>
    <row r="727" spans="3:7" ht="13">
      <c r="C727" s="80"/>
      <c r="D727" s="5"/>
      <c r="E727" s="5"/>
      <c r="F727" s="5"/>
      <c r="G727" s="5"/>
    </row>
    <row r="728" spans="3:7" ht="13">
      <c r="C728" s="80"/>
      <c r="D728" s="5"/>
      <c r="E728" s="5"/>
      <c r="F728" s="5"/>
      <c r="G728" s="5"/>
    </row>
    <row r="729" spans="3:7" ht="13">
      <c r="C729" s="80"/>
      <c r="D729" s="5"/>
      <c r="E729" s="5"/>
      <c r="F729" s="5"/>
      <c r="G729" s="5"/>
    </row>
    <row r="730" spans="3:7" ht="13">
      <c r="C730" s="80"/>
      <c r="D730" s="5"/>
      <c r="E730" s="5"/>
      <c r="F730" s="5"/>
      <c r="G730" s="5"/>
    </row>
    <row r="731" spans="3:7" ht="13">
      <c r="C731" s="80"/>
      <c r="D731" s="5"/>
      <c r="E731" s="5"/>
      <c r="F731" s="5"/>
      <c r="G731" s="5"/>
    </row>
    <row r="732" spans="3:7" ht="13">
      <c r="C732" s="80"/>
      <c r="D732" s="5"/>
      <c r="E732" s="5"/>
      <c r="F732" s="5"/>
      <c r="G732" s="5"/>
    </row>
    <row r="733" spans="3:7" ht="13">
      <c r="C733" s="80"/>
      <c r="D733" s="5"/>
      <c r="E733" s="5"/>
      <c r="F733" s="5"/>
      <c r="G733" s="5"/>
    </row>
    <row r="734" spans="3:7" ht="13">
      <c r="C734" s="80"/>
      <c r="D734" s="5"/>
      <c r="E734" s="5"/>
      <c r="F734" s="5"/>
      <c r="G734" s="5"/>
    </row>
    <row r="735" spans="3:7" ht="13">
      <c r="C735" s="80"/>
      <c r="D735" s="5"/>
      <c r="E735" s="5"/>
      <c r="F735" s="5"/>
      <c r="G735" s="5"/>
    </row>
    <row r="736" spans="3:7" ht="13">
      <c r="C736" s="80"/>
      <c r="D736" s="5"/>
      <c r="E736" s="5"/>
      <c r="F736" s="5"/>
      <c r="G736" s="5"/>
    </row>
    <row r="737" spans="3:7" ht="13">
      <c r="C737" s="80"/>
      <c r="D737" s="5"/>
      <c r="E737" s="5"/>
      <c r="F737" s="5"/>
      <c r="G737" s="5"/>
    </row>
    <row r="738" spans="3:7" ht="13">
      <c r="C738" s="80"/>
      <c r="D738" s="5"/>
      <c r="E738" s="5"/>
      <c r="F738" s="5"/>
      <c r="G738" s="5"/>
    </row>
    <row r="739" spans="3:7" ht="13">
      <c r="C739" s="80"/>
      <c r="D739" s="5"/>
      <c r="E739" s="5"/>
      <c r="F739" s="5"/>
      <c r="G739" s="5"/>
    </row>
    <row r="740" spans="3:7" ht="13">
      <c r="C740" s="80"/>
      <c r="D740" s="5"/>
      <c r="E740" s="5"/>
      <c r="F740" s="5"/>
      <c r="G740" s="5"/>
    </row>
    <row r="741" spans="3:7" ht="13">
      <c r="C741" s="80"/>
      <c r="D741" s="5"/>
      <c r="E741" s="5"/>
      <c r="F741" s="5"/>
      <c r="G741" s="5"/>
    </row>
    <row r="742" spans="3:7" ht="13">
      <c r="C742" s="80"/>
      <c r="D742" s="5"/>
      <c r="E742" s="5"/>
      <c r="F742" s="5"/>
      <c r="G742" s="5"/>
    </row>
    <row r="743" spans="3:7" ht="13">
      <c r="C743" s="80"/>
      <c r="D743" s="5"/>
      <c r="E743" s="5"/>
      <c r="F743" s="5"/>
      <c r="G743" s="5"/>
    </row>
    <row r="744" spans="3:7" ht="13">
      <c r="C744" s="80"/>
      <c r="D744" s="5"/>
      <c r="E744" s="5"/>
      <c r="F744" s="5"/>
      <c r="G744" s="5"/>
    </row>
    <row r="745" spans="3:7" ht="13">
      <c r="C745" s="80"/>
      <c r="D745" s="5"/>
      <c r="E745" s="5"/>
      <c r="F745" s="5"/>
      <c r="G745" s="5"/>
    </row>
    <row r="746" spans="3:7" ht="13">
      <c r="C746" s="80"/>
      <c r="D746" s="5"/>
      <c r="E746" s="5"/>
      <c r="F746" s="5"/>
      <c r="G746" s="5"/>
    </row>
    <row r="747" spans="3:7" ht="13">
      <c r="C747" s="80"/>
      <c r="D747" s="5"/>
      <c r="E747" s="5"/>
      <c r="F747" s="5"/>
      <c r="G747" s="5"/>
    </row>
    <row r="748" spans="3:7" ht="13">
      <c r="C748" s="80"/>
      <c r="D748" s="5"/>
      <c r="E748" s="5"/>
      <c r="F748" s="5"/>
      <c r="G748" s="5"/>
    </row>
    <row r="749" spans="3:7" ht="13">
      <c r="C749" s="80"/>
      <c r="D749" s="5"/>
      <c r="E749" s="5"/>
      <c r="F749" s="5"/>
      <c r="G749" s="5"/>
    </row>
    <row r="750" spans="3:7" ht="13">
      <c r="C750" s="80"/>
      <c r="D750" s="5"/>
      <c r="E750" s="5"/>
      <c r="F750" s="5"/>
      <c r="G750" s="5"/>
    </row>
    <row r="751" spans="3:7" ht="13">
      <c r="C751" s="80"/>
      <c r="D751" s="5"/>
      <c r="E751" s="5"/>
      <c r="F751" s="5"/>
      <c r="G751" s="5"/>
    </row>
    <row r="752" spans="3:7" ht="13">
      <c r="C752" s="80"/>
      <c r="D752" s="5"/>
      <c r="E752" s="5"/>
      <c r="F752" s="5"/>
      <c r="G752" s="5"/>
    </row>
    <row r="753" spans="3:7" ht="13">
      <c r="C753" s="80"/>
      <c r="D753" s="5"/>
      <c r="E753" s="5"/>
      <c r="F753" s="5"/>
      <c r="G753" s="5"/>
    </row>
    <row r="754" spans="3:7" ht="13">
      <c r="C754" s="80"/>
      <c r="D754" s="5"/>
      <c r="E754" s="5"/>
      <c r="F754" s="5"/>
      <c r="G754" s="5"/>
    </row>
    <row r="755" spans="3:7" ht="13">
      <c r="C755" s="80"/>
      <c r="D755" s="5"/>
      <c r="E755" s="5"/>
      <c r="F755" s="5"/>
      <c r="G755" s="5"/>
    </row>
    <row r="756" spans="3:7" ht="13">
      <c r="C756" s="80"/>
      <c r="D756" s="5"/>
      <c r="E756" s="5"/>
      <c r="F756" s="5"/>
      <c r="G756" s="5"/>
    </row>
    <row r="757" spans="3:7" ht="13">
      <c r="C757" s="80"/>
      <c r="D757" s="5"/>
      <c r="E757" s="5"/>
      <c r="F757" s="5"/>
      <c r="G757" s="5"/>
    </row>
    <row r="758" spans="3:7" ht="13">
      <c r="C758" s="80"/>
      <c r="D758" s="5"/>
      <c r="E758" s="5"/>
      <c r="F758" s="5"/>
      <c r="G758" s="5"/>
    </row>
    <row r="759" spans="3:7" ht="13">
      <c r="C759" s="80"/>
      <c r="D759" s="5"/>
      <c r="E759" s="5"/>
      <c r="F759" s="5"/>
      <c r="G759" s="5"/>
    </row>
    <row r="760" spans="3:7" ht="13">
      <c r="C760" s="80"/>
      <c r="D760" s="5"/>
      <c r="E760" s="5"/>
      <c r="F760" s="5"/>
      <c r="G760" s="5"/>
    </row>
    <row r="761" spans="3:7" ht="13">
      <c r="C761" s="80"/>
      <c r="D761" s="5"/>
      <c r="E761" s="5"/>
      <c r="F761" s="5"/>
      <c r="G761" s="5"/>
    </row>
    <row r="762" spans="3:7" ht="13">
      <c r="C762" s="80"/>
      <c r="D762" s="5"/>
      <c r="E762" s="5"/>
      <c r="F762" s="5"/>
      <c r="G762" s="5"/>
    </row>
    <row r="763" spans="3:7" ht="13">
      <c r="C763" s="80"/>
      <c r="D763" s="5"/>
      <c r="E763" s="5"/>
      <c r="F763" s="5"/>
      <c r="G763" s="5"/>
    </row>
    <row r="764" spans="3:7" ht="13">
      <c r="C764" s="80"/>
      <c r="D764" s="5"/>
      <c r="E764" s="5"/>
      <c r="F764" s="5"/>
      <c r="G764" s="5"/>
    </row>
    <row r="765" spans="3:7" ht="13">
      <c r="C765" s="80"/>
      <c r="D765" s="5"/>
      <c r="E765" s="5"/>
      <c r="F765" s="5"/>
      <c r="G765" s="5"/>
    </row>
    <row r="766" spans="3:7" ht="13">
      <c r="C766" s="80"/>
      <c r="D766" s="5"/>
      <c r="E766" s="5"/>
      <c r="F766" s="5"/>
      <c r="G766" s="5"/>
    </row>
    <row r="767" spans="3:7" ht="13">
      <c r="C767" s="80"/>
      <c r="D767" s="5"/>
      <c r="E767" s="5"/>
      <c r="F767" s="5"/>
      <c r="G767" s="5"/>
    </row>
    <row r="768" spans="3:7" ht="13">
      <c r="C768" s="80"/>
      <c r="D768" s="5"/>
      <c r="E768" s="5"/>
      <c r="F768" s="5"/>
      <c r="G768" s="5"/>
    </row>
    <row r="769" spans="3:7" ht="13">
      <c r="C769" s="80"/>
      <c r="D769" s="5"/>
      <c r="E769" s="5"/>
      <c r="F769" s="5"/>
      <c r="G769" s="5"/>
    </row>
    <row r="770" spans="3:7" ht="13">
      <c r="C770" s="80"/>
      <c r="D770" s="5"/>
      <c r="E770" s="5"/>
      <c r="F770" s="5"/>
      <c r="G770" s="5"/>
    </row>
    <row r="771" spans="3:7" ht="13">
      <c r="C771" s="80"/>
      <c r="D771" s="5"/>
      <c r="E771" s="5"/>
      <c r="F771" s="5"/>
      <c r="G771" s="5"/>
    </row>
    <row r="772" spans="3:7" ht="13">
      <c r="C772" s="80"/>
      <c r="D772" s="5"/>
      <c r="E772" s="5"/>
      <c r="F772" s="5"/>
      <c r="G772" s="5"/>
    </row>
    <row r="773" spans="3:7" ht="13">
      <c r="C773" s="80"/>
      <c r="D773" s="5"/>
      <c r="E773" s="5"/>
      <c r="F773" s="5"/>
      <c r="G773" s="5"/>
    </row>
    <row r="774" spans="3:7" ht="13">
      <c r="C774" s="80"/>
      <c r="D774" s="5"/>
      <c r="E774" s="5"/>
      <c r="F774" s="5"/>
      <c r="G774" s="5"/>
    </row>
    <row r="775" spans="3:7" ht="13">
      <c r="C775" s="80"/>
      <c r="D775" s="5"/>
      <c r="E775" s="5"/>
      <c r="F775" s="5"/>
      <c r="G775" s="5"/>
    </row>
    <row r="776" spans="3:7" ht="13">
      <c r="C776" s="80"/>
      <c r="D776" s="5"/>
      <c r="E776" s="5"/>
      <c r="F776" s="5"/>
      <c r="G776" s="5"/>
    </row>
    <row r="777" spans="3:7" ht="13">
      <c r="C777" s="80"/>
      <c r="D777" s="5"/>
      <c r="E777" s="5"/>
      <c r="F777" s="5"/>
      <c r="G777" s="5"/>
    </row>
    <row r="778" spans="3:7" ht="13">
      <c r="C778" s="80"/>
      <c r="D778" s="5"/>
      <c r="E778" s="5"/>
      <c r="F778" s="5"/>
      <c r="G778" s="5"/>
    </row>
    <row r="779" spans="3:7" ht="13">
      <c r="C779" s="80"/>
      <c r="D779" s="5"/>
      <c r="E779" s="5"/>
      <c r="F779" s="5"/>
      <c r="G779" s="5"/>
    </row>
    <row r="780" spans="3:7" ht="13">
      <c r="C780" s="80"/>
      <c r="D780" s="5"/>
      <c r="E780" s="5"/>
      <c r="F780" s="5"/>
      <c r="G780" s="5"/>
    </row>
    <row r="781" spans="3:7" ht="13">
      <c r="C781" s="80"/>
      <c r="D781" s="5"/>
      <c r="E781" s="5"/>
      <c r="F781" s="5"/>
      <c r="G781" s="5"/>
    </row>
    <row r="782" spans="3:7" ht="13">
      <c r="C782" s="80"/>
      <c r="D782" s="5"/>
      <c r="E782" s="5"/>
      <c r="F782" s="5"/>
      <c r="G782" s="5"/>
    </row>
    <row r="783" spans="3:7" ht="13">
      <c r="C783" s="80"/>
      <c r="D783" s="5"/>
      <c r="E783" s="5"/>
      <c r="F783" s="5"/>
      <c r="G783" s="5"/>
    </row>
    <row r="784" spans="3:7" ht="13">
      <c r="C784" s="80"/>
      <c r="D784" s="5"/>
      <c r="E784" s="5"/>
      <c r="F784" s="5"/>
      <c r="G784" s="5"/>
    </row>
    <row r="785" spans="3:7" ht="13">
      <c r="C785" s="80"/>
      <c r="D785" s="5"/>
      <c r="E785" s="5"/>
      <c r="F785" s="5"/>
      <c r="G785" s="5"/>
    </row>
    <row r="786" spans="3:7" ht="13">
      <c r="C786" s="80"/>
      <c r="D786" s="5"/>
      <c r="E786" s="5"/>
      <c r="F786" s="5"/>
      <c r="G786" s="5"/>
    </row>
    <row r="787" spans="3:7" ht="13">
      <c r="C787" s="80"/>
      <c r="D787" s="5"/>
      <c r="E787" s="5"/>
      <c r="F787" s="5"/>
      <c r="G787" s="5"/>
    </row>
    <row r="788" spans="3:7" ht="13">
      <c r="C788" s="80"/>
      <c r="D788" s="5"/>
      <c r="E788" s="5"/>
      <c r="F788" s="5"/>
      <c r="G788" s="5"/>
    </row>
    <row r="789" spans="3:7" ht="13">
      <c r="C789" s="80"/>
      <c r="D789" s="5"/>
      <c r="E789" s="5"/>
      <c r="F789" s="5"/>
      <c r="G789" s="5"/>
    </row>
    <row r="790" spans="3:7" ht="13">
      <c r="C790" s="80"/>
      <c r="D790" s="5"/>
      <c r="E790" s="5"/>
      <c r="F790" s="5"/>
      <c r="G790" s="5"/>
    </row>
    <row r="791" spans="3:7" ht="13">
      <c r="C791" s="80"/>
      <c r="D791" s="5"/>
      <c r="E791" s="5"/>
      <c r="F791" s="5"/>
      <c r="G791" s="5"/>
    </row>
    <row r="792" spans="3:7" ht="13">
      <c r="C792" s="80"/>
      <c r="D792" s="5"/>
      <c r="E792" s="5"/>
      <c r="F792" s="5"/>
      <c r="G792" s="5"/>
    </row>
    <row r="793" spans="3:7" ht="13">
      <c r="C793" s="80"/>
      <c r="D793" s="5"/>
      <c r="E793" s="5"/>
      <c r="F793" s="5"/>
      <c r="G793" s="5"/>
    </row>
    <row r="794" spans="3:7" ht="13">
      <c r="C794" s="80"/>
      <c r="D794" s="5"/>
      <c r="E794" s="5"/>
      <c r="F794" s="5"/>
      <c r="G794" s="5"/>
    </row>
    <row r="795" spans="3:7" ht="13">
      <c r="C795" s="80"/>
      <c r="D795" s="5"/>
      <c r="E795" s="5"/>
      <c r="F795" s="5"/>
      <c r="G795" s="5"/>
    </row>
    <row r="796" spans="3:7" ht="13">
      <c r="C796" s="80"/>
      <c r="D796" s="5"/>
      <c r="E796" s="5"/>
      <c r="F796" s="5"/>
      <c r="G796" s="5"/>
    </row>
    <row r="797" spans="3:7" ht="13">
      <c r="C797" s="80"/>
      <c r="D797" s="5"/>
      <c r="E797" s="5"/>
      <c r="F797" s="5"/>
      <c r="G797" s="5"/>
    </row>
    <row r="798" spans="3:7" ht="13">
      <c r="C798" s="80"/>
      <c r="D798" s="5"/>
      <c r="E798" s="5"/>
      <c r="F798" s="5"/>
      <c r="G798" s="5"/>
    </row>
    <row r="799" spans="3:7" ht="13">
      <c r="C799" s="80"/>
      <c r="D799" s="5"/>
      <c r="E799" s="5"/>
      <c r="F799" s="5"/>
      <c r="G799" s="5"/>
    </row>
    <row r="800" spans="3:7" ht="13">
      <c r="C800" s="80"/>
      <c r="D800" s="5"/>
      <c r="E800" s="5"/>
      <c r="F800" s="5"/>
      <c r="G800" s="5"/>
    </row>
    <row r="801" spans="3:7" ht="13">
      <c r="C801" s="80"/>
      <c r="D801" s="5"/>
      <c r="E801" s="5"/>
      <c r="F801" s="5"/>
      <c r="G801" s="5"/>
    </row>
    <row r="802" spans="3:7" ht="13">
      <c r="C802" s="80"/>
      <c r="D802" s="5"/>
      <c r="E802" s="5"/>
      <c r="F802" s="5"/>
      <c r="G802" s="5"/>
    </row>
    <row r="803" spans="3:7" ht="13">
      <c r="C803" s="80"/>
      <c r="D803" s="5"/>
      <c r="E803" s="5"/>
      <c r="F803" s="5"/>
      <c r="G803" s="5"/>
    </row>
    <row r="804" spans="3:7" ht="13">
      <c r="C804" s="80"/>
      <c r="D804" s="5"/>
      <c r="E804" s="5"/>
      <c r="F804" s="5"/>
      <c r="G804" s="5"/>
    </row>
    <row r="805" spans="3:7" ht="13">
      <c r="C805" s="80"/>
      <c r="D805" s="5"/>
      <c r="E805" s="5"/>
      <c r="F805" s="5"/>
      <c r="G805" s="5"/>
    </row>
    <row r="806" spans="3:7" ht="13">
      <c r="C806" s="80"/>
      <c r="D806" s="5"/>
      <c r="E806" s="5"/>
      <c r="F806" s="5"/>
      <c r="G806" s="5"/>
    </row>
    <row r="807" spans="3:7" ht="13">
      <c r="C807" s="80"/>
      <c r="D807" s="5"/>
      <c r="E807" s="5"/>
      <c r="F807" s="5"/>
      <c r="G807" s="5"/>
    </row>
    <row r="808" spans="3:7" ht="13">
      <c r="C808" s="80"/>
      <c r="D808" s="5"/>
      <c r="E808" s="5"/>
      <c r="F808" s="5"/>
      <c r="G808" s="5"/>
    </row>
    <row r="809" spans="3:7" ht="13">
      <c r="C809" s="80"/>
      <c r="D809" s="5"/>
      <c r="E809" s="5"/>
      <c r="F809" s="5"/>
      <c r="G809" s="5"/>
    </row>
    <row r="810" spans="3:7" ht="13">
      <c r="C810" s="80"/>
      <c r="D810" s="5"/>
      <c r="E810" s="5"/>
      <c r="F810" s="5"/>
      <c r="G810" s="5"/>
    </row>
    <row r="811" spans="3:7" ht="13">
      <c r="C811" s="80"/>
      <c r="D811" s="5"/>
      <c r="E811" s="5"/>
      <c r="F811" s="5"/>
      <c r="G811" s="5"/>
    </row>
    <row r="812" spans="3:7" ht="13">
      <c r="C812" s="80"/>
      <c r="D812" s="5"/>
      <c r="E812" s="5"/>
      <c r="F812" s="5"/>
      <c r="G812" s="5"/>
    </row>
    <row r="813" spans="3:7" ht="13">
      <c r="C813" s="80"/>
      <c r="D813" s="5"/>
      <c r="E813" s="5"/>
      <c r="F813" s="5"/>
      <c r="G813" s="5"/>
    </row>
    <row r="814" spans="3:7" ht="13">
      <c r="C814" s="80"/>
      <c r="D814" s="5"/>
      <c r="E814" s="5"/>
      <c r="F814" s="5"/>
      <c r="G814" s="5"/>
    </row>
    <row r="815" spans="3:7" ht="13">
      <c r="C815" s="80"/>
      <c r="D815" s="5"/>
      <c r="E815" s="5"/>
      <c r="F815" s="5"/>
      <c r="G815" s="5"/>
    </row>
    <row r="816" spans="3:7" ht="13">
      <c r="C816" s="80"/>
      <c r="D816" s="5"/>
      <c r="E816" s="5"/>
      <c r="F816" s="5"/>
      <c r="G816" s="5"/>
    </row>
    <row r="817" spans="3:7" ht="13">
      <c r="C817" s="80"/>
      <c r="D817" s="5"/>
      <c r="E817" s="5"/>
      <c r="F817" s="5"/>
      <c r="G817" s="5"/>
    </row>
    <row r="818" spans="3:7" ht="13">
      <c r="C818" s="80"/>
      <c r="D818" s="5"/>
      <c r="E818" s="5"/>
      <c r="F818" s="5"/>
      <c r="G818" s="5"/>
    </row>
    <row r="819" spans="3:7" ht="13">
      <c r="C819" s="80"/>
      <c r="D819" s="5"/>
      <c r="E819" s="5"/>
      <c r="F819" s="5"/>
      <c r="G819" s="5"/>
    </row>
    <row r="820" spans="3:7" ht="13">
      <c r="C820" s="80"/>
      <c r="D820" s="5"/>
      <c r="E820" s="5"/>
      <c r="F820" s="5"/>
      <c r="G820" s="5"/>
    </row>
    <row r="821" spans="3:7" ht="13">
      <c r="C821" s="80"/>
      <c r="D821" s="5"/>
      <c r="E821" s="5"/>
      <c r="F821" s="5"/>
      <c r="G821" s="5"/>
    </row>
    <row r="822" spans="3:7" ht="13">
      <c r="C822" s="80"/>
      <c r="D822" s="5"/>
      <c r="E822" s="5"/>
      <c r="F822" s="5"/>
      <c r="G822" s="5"/>
    </row>
    <row r="823" spans="3:7" ht="13">
      <c r="C823" s="80"/>
      <c r="D823" s="5"/>
      <c r="E823" s="5"/>
      <c r="F823" s="5"/>
      <c r="G823" s="5"/>
    </row>
    <row r="824" spans="3:7" ht="13">
      <c r="C824" s="80"/>
      <c r="D824" s="5"/>
      <c r="E824" s="5"/>
      <c r="F824" s="5"/>
      <c r="G824" s="5"/>
    </row>
    <row r="825" spans="3:7" ht="13">
      <c r="C825" s="80"/>
      <c r="D825" s="5"/>
      <c r="E825" s="5"/>
      <c r="F825" s="5"/>
      <c r="G825" s="5"/>
    </row>
    <row r="826" spans="3:7" ht="13">
      <c r="C826" s="80"/>
      <c r="D826" s="5"/>
      <c r="E826" s="5"/>
      <c r="F826" s="5"/>
      <c r="G826" s="5"/>
    </row>
    <row r="827" spans="3:7" ht="13">
      <c r="C827" s="80"/>
      <c r="D827" s="5"/>
      <c r="E827" s="5"/>
      <c r="F827" s="5"/>
      <c r="G827" s="5"/>
    </row>
    <row r="828" spans="3:7" ht="13">
      <c r="C828" s="80"/>
      <c r="D828" s="5"/>
      <c r="E828" s="5"/>
      <c r="F828" s="5"/>
      <c r="G828" s="5"/>
    </row>
    <row r="829" spans="3:7" ht="13">
      <c r="C829" s="80"/>
      <c r="D829" s="5"/>
      <c r="E829" s="5"/>
      <c r="F829" s="5"/>
      <c r="G829" s="5"/>
    </row>
    <row r="830" spans="3:7" ht="13">
      <c r="C830" s="80"/>
      <c r="D830" s="5"/>
      <c r="E830" s="5"/>
      <c r="F830" s="5"/>
      <c r="G830" s="5"/>
    </row>
    <row r="831" spans="3:7" ht="13">
      <c r="C831" s="80"/>
      <c r="D831" s="5"/>
      <c r="E831" s="5"/>
      <c r="F831" s="5"/>
      <c r="G831" s="5"/>
    </row>
    <row r="832" spans="3:7" ht="13">
      <c r="C832" s="80"/>
      <c r="D832" s="5"/>
      <c r="E832" s="5"/>
      <c r="F832" s="5"/>
      <c r="G832" s="5"/>
    </row>
    <row r="833" spans="3:7" ht="13">
      <c r="C833" s="80"/>
      <c r="D833" s="5"/>
      <c r="E833" s="5"/>
      <c r="F833" s="5"/>
      <c r="G833" s="5"/>
    </row>
    <row r="834" spans="3:7" ht="13">
      <c r="C834" s="80"/>
      <c r="D834" s="5"/>
      <c r="E834" s="5"/>
      <c r="F834" s="5"/>
      <c r="G834" s="5"/>
    </row>
    <row r="835" spans="3:7" ht="13">
      <c r="C835" s="80"/>
      <c r="D835" s="5"/>
      <c r="E835" s="5"/>
      <c r="F835" s="5"/>
      <c r="G835" s="5"/>
    </row>
    <row r="836" spans="3:7" ht="13">
      <c r="C836" s="80"/>
      <c r="D836" s="5"/>
      <c r="E836" s="5"/>
      <c r="F836" s="5"/>
      <c r="G836" s="5"/>
    </row>
    <row r="837" spans="3:7" ht="13">
      <c r="C837" s="80"/>
      <c r="D837" s="5"/>
      <c r="E837" s="5"/>
      <c r="F837" s="5"/>
      <c r="G837" s="5"/>
    </row>
    <row r="838" spans="3:7" ht="13">
      <c r="C838" s="80"/>
      <c r="D838" s="5"/>
      <c r="E838" s="5"/>
      <c r="F838" s="5"/>
      <c r="G838" s="5"/>
    </row>
    <row r="839" spans="3:7" ht="13">
      <c r="C839" s="80"/>
      <c r="D839" s="5"/>
      <c r="E839" s="5"/>
      <c r="F839" s="5"/>
      <c r="G839" s="5"/>
    </row>
    <row r="840" spans="3:7" ht="13">
      <c r="C840" s="80"/>
      <c r="D840" s="5"/>
      <c r="E840" s="5"/>
      <c r="F840" s="5"/>
      <c r="G840" s="5"/>
    </row>
    <row r="841" spans="3:7" ht="13">
      <c r="C841" s="80"/>
      <c r="D841" s="5"/>
      <c r="E841" s="5"/>
      <c r="F841" s="5"/>
      <c r="G841" s="5"/>
    </row>
    <row r="842" spans="3:7" ht="13">
      <c r="C842" s="80"/>
      <c r="D842" s="5"/>
      <c r="E842" s="5"/>
      <c r="F842" s="5"/>
      <c r="G842" s="5"/>
    </row>
    <row r="843" spans="3:7" ht="13">
      <c r="C843" s="80"/>
      <c r="D843" s="5"/>
      <c r="E843" s="5"/>
      <c r="F843" s="5"/>
      <c r="G843" s="5"/>
    </row>
    <row r="844" spans="3:7" ht="13">
      <c r="C844" s="80"/>
      <c r="D844" s="5"/>
      <c r="E844" s="5"/>
      <c r="F844" s="5"/>
      <c r="G844" s="5"/>
    </row>
    <row r="845" spans="3:7" ht="13">
      <c r="C845" s="80"/>
      <c r="D845" s="5"/>
      <c r="E845" s="5"/>
      <c r="F845" s="5"/>
      <c r="G845" s="5"/>
    </row>
    <row r="846" spans="3:7" ht="13">
      <c r="C846" s="80"/>
      <c r="D846" s="5"/>
      <c r="E846" s="5"/>
      <c r="F846" s="5"/>
      <c r="G846" s="5"/>
    </row>
    <row r="847" spans="3:7" ht="13">
      <c r="C847" s="80"/>
      <c r="D847" s="5"/>
      <c r="E847" s="5"/>
      <c r="F847" s="5"/>
      <c r="G847" s="5"/>
    </row>
    <row r="848" spans="3:7" ht="13">
      <c r="C848" s="80"/>
      <c r="D848" s="5"/>
      <c r="E848" s="5"/>
      <c r="F848" s="5"/>
      <c r="G848" s="5"/>
    </row>
    <row r="849" spans="3:7" ht="13">
      <c r="C849" s="80"/>
      <c r="D849" s="5"/>
      <c r="E849" s="5"/>
      <c r="F849" s="5"/>
      <c r="G849" s="5"/>
    </row>
    <row r="850" spans="3:7" ht="13">
      <c r="C850" s="80"/>
      <c r="D850" s="5"/>
      <c r="E850" s="5"/>
      <c r="F850" s="5"/>
      <c r="G850" s="5"/>
    </row>
    <row r="851" spans="3:7" ht="13">
      <c r="C851" s="80"/>
      <c r="D851" s="5"/>
      <c r="E851" s="5"/>
      <c r="F851" s="5"/>
      <c r="G851" s="5"/>
    </row>
    <row r="852" spans="3:7" ht="13">
      <c r="C852" s="80"/>
      <c r="D852" s="5"/>
      <c r="E852" s="5"/>
      <c r="F852" s="5"/>
      <c r="G852" s="5"/>
    </row>
    <row r="853" spans="3:7" ht="13">
      <c r="C853" s="80"/>
      <c r="D853" s="5"/>
      <c r="E853" s="5"/>
      <c r="F853" s="5"/>
      <c r="G853" s="5"/>
    </row>
    <row r="854" spans="3:7" ht="13">
      <c r="C854" s="80"/>
      <c r="D854" s="5"/>
      <c r="E854" s="5"/>
      <c r="F854" s="5"/>
      <c r="G854" s="5"/>
    </row>
    <row r="855" spans="3:7" ht="13">
      <c r="C855" s="80"/>
      <c r="D855" s="5"/>
      <c r="E855" s="5"/>
      <c r="F855" s="5"/>
      <c r="G855" s="5"/>
    </row>
    <row r="856" spans="3:7" ht="13">
      <c r="C856" s="80"/>
      <c r="D856" s="5"/>
      <c r="E856" s="5"/>
      <c r="F856" s="5"/>
      <c r="G856" s="5"/>
    </row>
    <row r="857" spans="3:7" ht="13">
      <c r="C857" s="80"/>
      <c r="D857" s="5"/>
      <c r="E857" s="5"/>
      <c r="F857" s="5"/>
      <c r="G857" s="5"/>
    </row>
    <row r="858" spans="3:7" ht="13">
      <c r="C858" s="80"/>
      <c r="D858" s="5"/>
      <c r="E858" s="5"/>
      <c r="F858" s="5"/>
      <c r="G858" s="5"/>
    </row>
    <row r="859" spans="3:7" ht="13">
      <c r="C859" s="80"/>
      <c r="D859" s="5"/>
      <c r="E859" s="5"/>
      <c r="F859" s="5"/>
      <c r="G859" s="5"/>
    </row>
    <row r="860" spans="3:7" ht="13">
      <c r="C860" s="80"/>
      <c r="D860" s="5"/>
      <c r="E860" s="5"/>
      <c r="F860" s="5"/>
      <c r="G860" s="5"/>
    </row>
    <row r="861" spans="3:7" ht="13">
      <c r="C861" s="80"/>
      <c r="D861" s="5"/>
      <c r="E861" s="5"/>
      <c r="F861" s="5"/>
      <c r="G861" s="5"/>
    </row>
    <row r="862" spans="3:7" ht="13">
      <c r="C862" s="80"/>
      <c r="D862" s="5"/>
      <c r="E862" s="5"/>
      <c r="F862" s="5"/>
      <c r="G862" s="5"/>
    </row>
    <row r="863" spans="3:7" ht="13">
      <c r="C863" s="80"/>
      <c r="D863" s="5"/>
      <c r="E863" s="5"/>
      <c r="F863" s="5"/>
      <c r="G863" s="5"/>
    </row>
    <row r="864" spans="3:7" ht="13">
      <c r="C864" s="80"/>
      <c r="D864" s="5"/>
      <c r="E864" s="5"/>
      <c r="F864" s="5"/>
      <c r="G864" s="5"/>
    </row>
    <row r="865" spans="3:7" ht="13">
      <c r="C865" s="80"/>
      <c r="D865" s="5"/>
      <c r="E865" s="5"/>
      <c r="F865" s="5"/>
      <c r="G865" s="5"/>
    </row>
    <row r="866" spans="3:7" ht="13">
      <c r="C866" s="80"/>
      <c r="D866" s="5"/>
      <c r="E866" s="5"/>
      <c r="F866" s="5"/>
      <c r="G866" s="5"/>
    </row>
    <row r="867" spans="3:7" ht="13">
      <c r="C867" s="80"/>
      <c r="D867" s="5"/>
      <c r="E867" s="5"/>
      <c r="F867" s="5"/>
      <c r="G867" s="5"/>
    </row>
    <row r="868" spans="3:7" ht="13">
      <c r="C868" s="80"/>
      <c r="D868" s="5"/>
      <c r="E868" s="5"/>
      <c r="F868" s="5"/>
      <c r="G868" s="5"/>
    </row>
    <row r="869" spans="3:7" ht="13">
      <c r="C869" s="80"/>
      <c r="D869" s="5"/>
      <c r="E869" s="5"/>
      <c r="F869" s="5"/>
      <c r="G869" s="5"/>
    </row>
    <row r="870" spans="3:7" ht="13">
      <c r="C870" s="80"/>
      <c r="D870" s="5"/>
      <c r="E870" s="5"/>
      <c r="F870" s="5"/>
      <c r="G870" s="5"/>
    </row>
    <row r="871" spans="3:7" ht="13">
      <c r="C871" s="80"/>
      <c r="D871" s="5"/>
      <c r="E871" s="5"/>
      <c r="F871" s="5"/>
      <c r="G871" s="5"/>
    </row>
    <row r="872" spans="3:7" ht="13">
      <c r="C872" s="80"/>
      <c r="D872" s="5"/>
      <c r="E872" s="5"/>
      <c r="F872" s="5"/>
      <c r="G872" s="5"/>
    </row>
    <row r="873" spans="3:7" ht="13">
      <c r="C873" s="80"/>
      <c r="D873" s="5"/>
      <c r="E873" s="5"/>
      <c r="F873" s="5"/>
      <c r="G873" s="5"/>
    </row>
    <row r="874" spans="3:7" ht="13">
      <c r="C874" s="80"/>
      <c r="D874" s="5"/>
      <c r="E874" s="5"/>
      <c r="F874" s="5"/>
      <c r="G874" s="5"/>
    </row>
    <row r="875" spans="3:7" ht="13">
      <c r="C875" s="80"/>
      <c r="D875" s="5"/>
      <c r="E875" s="5"/>
      <c r="F875" s="5"/>
      <c r="G875" s="5"/>
    </row>
    <row r="876" spans="3:7" ht="13">
      <c r="C876" s="80"/>
      <c r="D876" s="5"/>
      <c r="E876" s="5"/>
      <c r="F876" s="5"/>
      <c r="G876" s="5"/>
    </row>
    <row r="877" spans="3:7" ht="13">
      <c r="C877" s="80"/>
      <c r="D877" s="5"/>
      <c r="E877" s="5"/>
      <c r="F877" s="5"/>
      <c r="G877" s="5"/>
    </row>
    <row r="878" spans="3:7" ht="13">
      <c r="C878" s="80"/>
      <c r="D878" s="5"/>
      <c r="E878" s="5"/>
      <c r="F878" s="5"/>
      <c r="G878" s="5"/>
    </row>
    <row r="879" spans="3:7" ht="13">
      <c r="C879" s="80"/>
      <c r="D879" s="5"/>
      <c r="E879" s="5"/>
      <c r="F879" s="5"/>
      <c r="G879" s="5"/>
    </row>
    <row r="880" spans="3:7" ht="13">
      <c r="C880" s="80"/>
      <c r="D880" s="5"/>
      <c r="E880" s="5"/>
      <c r="F880" s="5"/>
      <c r="G880" s="5"/>
    </row>
    <row r="881" spans="3:7" ht="13">
      <c r="C881" s="80"/>
      <c r="D881" s="5"/>
      <c r="E881" s="5"/>
      <c r="F881" s="5"/>
      <c r="G881" s="5"/>
    </row>
    <row r="882" spans="3:7" ht="13">
      <c r="C882" s="80"/>
      <c r="D882" s="5"/>
      <c r="E882" s="5"/>
      <c r="F882" s="5"/>
      <c r="G882" s="5"/>
    </row>
    <row r="883" spans="3:7" ht="13">
      <c r="C883" s="80"/>
      <c r="D883" s="5"/>
      <c r="E883" s="5"/>
      <c r="F883" s="5"/>
      <c r="G883" s="5"/>
    </row>
    <row r="884" spans="3:7" ht="13">
      <c r="C884" s="80"/>
      <c r="D884" s="5"/>
      <c r="E884" s="5"/>
      <c r="F884" s="5"/>
      <c r="G884" s="5"/>
    </row>
    <row r="885" spans="3:7" ht="13">
      <c r="C885" s="80"/>
      <c r="D885" s="5"/>
      <c r="E885" s="5"/>
      <c r="F885" s="5"/>
      <c r="G885" s="5"/>
    </row>
    <row r="886" spans="3:7" ht="13">
      <c r="C886" s="80"/>
      <c r="D886" s="5"/>
      <c r="E886" s="5"/>
      <c r="F886" s="5"/>
      <c r="G886" s="5"/>
    </row>
    <row r="887" spans="3:7" ht="13">
      <c r="C887" s="80"/>
      <c r="D887" s="5"/>
      <c r="E887" s="5"/>
      <c r="F887" s="5"/>
      <c r="G887" s="5"/>
    </row>
    <row r="888" spans="3:7" ht="13">
      <c r="C888" s="80"/>
      <c r="D888" s="5"/>
      <c r="E888" s="5"/>
      <c r="F888" s="5"/>
      <c r="G888" s="5"/>
    </row>
    <row r="889" spans="3:7" ht="13">
      <c r="C889" s="80"/>
      <c r="D889" s="5"/>
      <c r="E889" s="5"/>
      <c r="F889" s="5"/>
      <c r="G889" s="5"/>
    </row>
    <row r="890" spans="3:7" ht="13">
      <c r="C890" s="80"/>
      <c r="D890" s="5"/>
      <c r="E890" s="5"/>
      <c r="F890" s="5"/>
      <c r="G890" s="5"/>
    </row>
    <row r="891" spans="3:7" ht="13">
      <c r="C891" s="80"/>
      <c r="D891" s="5"/>
      <c r="E891" s="5"/>
      <c r="F891" s="5"/>
      <c r="G891" s="5"/>
    </row>
    <row r="892" spans="3:7" ht="13">
      <c r="C892" s="80"/>
      <c r="D892" s="5"/>
      <c r="E892" s="5"/>
      <c r="F892" s="5"/>
      <c r="G892" s="5"/>
    </row>
    <row r="893" spans="3:7" ht="13">
      <c r="C893" s="80"/>
      <c r="D893" s="5"/>
      <c r="E893" s="5"/>
      <c r="F893" s="5"/>
      <c r="G893" s="5"/>
    </row>
    <row r="894" spans="3:7" ht="13">
      <c r="C894" s="80"/>
      <c r="D894" s="5"/>
      <c r="E894" s="5"/>
      <c r="F894" s="5"/>
      <c r="G894" s="5"/>
    </row>
    <row r="895" spans="3:7" ht="13">
      <c r="C895" s="80"/>
      <c r="D895" s="5"/>
      <c r="E895" s="5"/>
      <c r="F895" s="5"/>
      <c r="G895" s="5"/>
    </row>
    <row r="896" spans="3:7" ht="13">
      <c r="C896" s="80"/>
      <c r="D896" s="5"/>
      <c r="E896" s="5"/>
      <c r="F896" s="5"/>
      <c r="G896" s="5"/>
    </row>
    <row r="897" spans="3:7" ht="13">
      <c r="C897" s="80"/>
      <c r="D897" s="5"/>
      <c r="E897" s="5"/>
      <c r="F897" s="5"/>
      <c r="G897" s="5"/>
    </row>
    <row r="898" spans="3:7" ht="13">
      <c r="C898" s="80"/>
      <c r="D898" s="5"/>
      <c r="E898" s="5"/>
      <c r="F898" s="5"/>
      <c r="G898" s="5"/>
    </row>
    <row r="899" spans="3:7" ht="13">
      <c r="C899" s="80"/>
      <c r="D899" s="5"/>
      <c r="E899" s="5"/>
      <c r="F899" s="5"/>
      <c r="G899" s="5"/>
    </row>
    <row r="900" spans="3:7" ht="13">
      <c r="C900" s="80"/>
      <c r="D900" s="5"/>
      <c r="E900" s="5"/>
      <c r="F900" s="5"/>
      <c r="G900" s="5"/>
    </row>
    <row r="901" spans="3:7" ht="13">
      <c r="C901" s="80"/>
      <c r="D901" s="5"/>
      <c r="E901" s="5"/>
      <c r="F901" s="5"/>
      <c r="G901" s="5"/>
    </row>
    <row r="902" spans="3:7" ht="13">
      <c r="C902" s="80"/>
      <c r="D902" s="5"/>
      <c r="E902" s="5"/>
      <c r="F902" s="5"/>
      <c r="G902" s="5"/>
    </row>
    <row r="903" spans="3:7" ht="13">
      <c r="C903" s="80"/>
      <c r="D903" s="5"/>
      <c r="E903" s="5"/>
      <c r="F903" s="5"/>
      <c r="G903" s="5"/>
    </row>
    <row r="904" spans="3:7" ht="13">
      <c r="C904" s="80"/>
      <c r="D904" s="5"/>
      <c r="E904" s="5"/>
      <c r="F904" s="5"/>
      <c r="G904" s="5"/>
    </row>
    <row r="905" spans="3:7" ht="13">
      <c r="C905" s="80"/>
      <c r="D905" s="5"/>
      <c r="E905" s="5"/>
      <c r="F905" s="5"/>
      <c r="G905" s="5"/>
    </row>
    <row r="906" spans="3:7" ht="13">
      <c r="C906" s="80"/>
      <c r="D906" s="5"/>
      <c r="E906" s="5"/>
      <c r="F906" s="5"/>
      <c r="G906" s="5"/>
    </row>
    <row r="907" spans="3:7" ht="13">
      <c r="C907" s="80"/>
      <c r="D907" s="5"/>
      <c r="E907" s="5"/>
      <c r="F907" s="5"/>
      <c r="G907" s="5"/>
    </row>
    <row r="908" spans="3:7" ht="13">
      <c r="C908" s="80"/>
      <c r="D908" s="5"/>
      <c r="E908" s="5"/>
      <c r="F908" s="5"/>
      <c r="G908" s="5"/>
    </row>
    <row r="909" spans="3:7" ht="13">
      <c r="C909" s="80"/>
      <c r="D909" s="5"/>
      <c r="E909" s="5"/>
      <c r="F909" s="5"/>
      <c r="G909" s="5"/>
    </row>
    <row r="910" spans="3:7" ht="13">
      <c r="C910" s="80"/>
      <c r="D910" s="5"/>
      <c r="E910" s="5"/>
      <c r="F910" s="5"/>
      <c r="G910" s="5"/>
    </row>
    <row r="911" spans="3:7" ht="13">
      <c r="C911" s="80"/>
      <c r="D911" s="5"/>
      <c r="E911" s="5"/>
      <c r="F911" s="5"/>
      <c r="G911" s="5"/>
    </row>
    <row r="912" spans="3:7" ht="13">
      <c r="C912" s="80"/>
      <c r="D912" s="5"/>
      <c r="E912" s="5"/>
      <c r="F912" s="5"/>
      <c r="G912" s="5"/>
    </row>
    <row r="913" spans="3:7" ht="13">
      <c r="C913" s="80"/>
      <c r="D913" s="5"/>
      <c r="E913" s="5"/>
      <c r="F913" s="5"/>
      <c r="G913" s="5"/>
    </row>
    <row r="914" spans="3:7" ht="13">
      <c r="C914" s="80"/>
      <c r="D914" s="5"/>
      <c r="E914" s="5"/>
      <c r="F914" s="5"/>
      <c r="G914" s="5"/>
    </row>
    <row r="915" spans="3:7" ht="13">
      <c r="C915" s="80"/>
      <c r="D915" s="5"/>
      <c r="E915" s="5"/>
      <c r="F915" s="5"/>
      <c r="G915" s="5"/>
    </row>
    <row r="916" spans="3:7" ht="13">
      <c r="C916" s="80"/>
      <c r="D916" s="5"/>
      <c r="E916" s="5"/>
      <c r="F916" s="5"/>
      <c r="G916" s="5"/>
    </row>
    <row r="917" spans="3:7" ht="13">
      <c r="C917" s="80"/>
      <c r="D917" s="5"/>
      <c r="E917" s="5"/>
      <c r="F917" s="5"/>
      <c r="G917" s="5"/>
    </row>
    <row r="918" spans="3:7" ht="13">
      <c r="C918" s="80"/>
      <c r="D918" s="5"/>
      <c r="E918" s="5"/>
      <c r="F918" s="5"/>
      <c r="G918" s="5"/>
    </row>
    <row r="919" spans="3:7" ht="13">
      <c r="C919" s="80"/>
      <c r="D919" s="5"/>
      <c r="E919" s="5"/>
      <c r="F919" s="5"/>
      <c r="G919" s="5"/>
    </row>
    <row r="920" spans="3:7" ht="13">
      <c r="C920" s="80"/>
      <c r="D920" s="5"/>
      <c r="E920" s="5"/>
      <c r="F920" s="5"/>
      <c r="G920" s="5"/>
    </row>
    <row r="921" spans="3:7" ht="13">
      <c r="C921" s="80"/>
      <c r="D921" s="5"/>
      <c r="E921" s="5"/>
      <c r="F921" s="5"/>
      <c r="G921" s="5"/>
    </row>
    <row r="922" spans="3:7" ht="13">
      <c r="C922" s="80"/>
      <c r="D922" s="5"/>
      <c r="E922" s="5"/>
      <c r="F922" s="5"/>
      <c r="G922" s="5"/>
    </row>
    <row r="923" spans="3:7" ht="13">
      <c r="C923" s="80"/>
      <c r="D923" s="5"/>
      <c r="E923" s="5"/>
      <c r="F923" s="5"/>
      <c r="G923" s="5"/>
    </row>
    <row r="924" spans="3:7" ht="13">
      <c r="C924" s="80"/>
      <c r="D924" s="5"/>
      <c r="E924" s="5"/>
      <c r="F924" s="5"/>
      <c r="G924" s="5"/>
    </row>
    <row r="925" spans="3:7" ht="13">
      <c r="C925" s="80"/>
      <c r="D925" s="5"/>
      <c r="E925" s="5"/>
      <c r="F925" s="5"/>
      <c r="G925" s="5"/>
    </row>
    <row r="926" spans="3:7" ht="13">
      <c r="C926" s="80"/>
      <c r="D926" s="5"/>
      <c r="E926" s="5"/>
      <c r="F926" s="5"/>
      <c r="G926" s="5"/>
    </row>
    <row r="927" spans="3:7" ht="13">
      <c r="C927" s="80"/>
      <c r="D927" s="5"/>
      <c r="E927" s="5"/>
      <c r="F927" s="5"/>
      <c r="G927" s="5"/>
    </row>
    <row r="928" spans="3:7" ht="13">
      <c r="C928" s="80"/>
      <c r="D928" s="5"/>
      <c r="E928" s="5"/>
      <c r="F928" s="5"/>
      <c r="G928" s="5"/>
    </row>
    <row r="929" spans="3:7" ht="13">
      <c r="C929" s="80"/>
      <c r="D929" s="5"/>
      <c r="E929" s="5"/>
      <c r="F929" s="5"/>
      <c r="G929" s="5"/>
    </row>
    <row r="930" spans="3:7" ht="13">
      <c r="C930" s="80"/>
      <c r="D930" s="5"/>
      <c r="E930" s="5"/>
      <c r="F930" s="5"/>
      <c r="G930" s="5"/>
    </row>
    <row r="931" spans="3:7" ht="13">
      <c r="C931" s="80"/>
      <c r="D931" s="5"/>
      <c r="E931" s="5"/>
      <c r="F931" s="5"/>
      <c r="G931" s="5"/>
    </row>
    <row r="932" spans="3:7" ht="13">
      <c r="C932" s="80"/>
      <c r="D932" s="5"/>
      <c r="E932" s="5"/>
      <c r="F932" s="5"/>
      <c r="G932" s="5"/>
    </row>
    <row r="933" spans="3:7" ht="13">
      <c r="C933" s="80"/>
      <c r="D933" s="5"/>
      <c r="E933" s="5"/>
      <c r="F933" s="5"/>
      <c r="G933" s="5"/>
    </row>
    <row r="934" spans="3:7" ht="13">
      <c r="C934" s="80"/>
      <c r="D934" s="5"/>
      <c r="E934" s="5"/>
      <c r="F934" s="5"/>
      <c r="G934" s="5"/>
    </row>
    <row r="935" spans="3:7" ht="13">
      <c r="C935" s="80"/>
      <c r="D935" s="5"/>
      <c r="E935" s="5"/>
      <c r="F935" s="5"/>
      <c r="G935" s="5"/>
    </row>
    <row r="936" spans="3:7" ht="13">
      <c r="C936" s="80"/>
      <c r="D936" s="5"/>
      <c r="E936" s="5"/>
      <c r="F936" s="5"/>
      <c r="G936" s="5"/>
    </row>
    <row r="937" spans="3:7" ht="13">
      <c r="C937" s="80"/>
      <c r="D937" s="5"/>
      <c r="E937" s="5"/>
      <c r="F937" s="5"/>
      <c r="G937" s="5"/>
    </row>
    <row r="938" spans="3:7" ht="13">
      <c r="C938" s="80"/>
      <c r="D938" s="5"/>
      <c r="E938" s="5"/>
      <c r="F938" s="5"/>
      <c r="G938" s="5"/>
    </row>
    <row r="939" spans="3:7" ht="13">
      <c r="C939" s="80"/>
      <c r="D939" s="5"/>
      <c r="E939" s="5"/>
      <c r="F939" s="5"/>
      <c r="G939" s="5"/>
    </row>
    <row r="940" spans="3:7" ht="13">
      <c r="C940" s="80"/>
      <c r="D940" s="5"/>
      <c r="E940" s="5"/>
      <c r="F940" s="5"/>
      <c r="G940" s="5"/>
    </row>
    <row r="941" spans="3:7" ht="13">
      <c r="C941" s="80"/>
      <c r="D941" s="5"/>
      <c r="E941" s="5"/>
      <c r="F941" s="5"/>
      <c r="G941" s="5"/>
    </row>
    <row r="942" spans="3:7" ht="13">
      <c r="C942" s="80"/>
      <c r="D942" s="5"/>
      <c r="E942" s="5"/>
      <c r="F942" s="5"/>
      <c r="G942" s="5"/>
    </row>
    <row r="943" spans="3:7" ht="13">
      <c r="C943" s="80"/>
      <c r="D943" s="5"/>
      <c r="E943" s="5"/>
      <c r="F943" s="5"/>
      <c r="G943" s="5"/>
    </row>
    <row r="944" spans="3:7" ht="13">
      <c r="C944" s="80"/>
      <c r="D944" s="5"/>
      <c r="E944" s="5"/>
      <c r="F944" s="5"/>
      <c r="G944" s="5"/>
    </row>
    <row r="945" spans="3:7" ht="13">
      <c r="C945" s="80"/>
      <c r="D945" s="5"/>
      <c r="E945" s="5"/>
      <c r="F945" s="5"/>
      <c r="G945" s="5"/>
    </row>
    <row r="946" spans="3:7" ht="13">
      <c r="C946" s="80"/>
      <c r="D946" s="5"/>
      <c r="E946" s="5"/>
      <c r="F946" s="5"/>
      <c r="G946" s="5"/>
    </row>
    <row r="947" spans="3:7" ht="13">
      <c r="C947" s="80"/>
      <c r="D947" s="5"/>
      <c r="E947" s="5"/>
      <c r="F947" s="5"/>
      <c r="G947" s="5"/>
    </row>
    <row r="948" spans="3:7" ht="13">
      <c r="C948" s="80"/>
      <c r="D948" s="5"/>
      <c r="E948" s="5"/>
      <c r="F948" s="5"/>
      <c r="G948" s="5"/>
    </row>
    <row r="949" spans="3:7" ht="13">
      <c r="C949" s="80"/>
      <c r="D949" s="5"/>
      <c r="E949" s="5"/>
      <c r="F949" s="5"/>
      <c r="G949" s="5"/>
    </row>
    <row r="950" spans="3:7" ht="13">
      <c r="C950" s="80"/>
      <c r="D950" s="5"/>
      <c r="E950" s="5"/>
      <c r="F950" s="5"/>
      <c r="G950" s="5"/>
    </row>
    <row r="951" spans="3:7" ht="13">
      <c r="C951" s="80"/>
      <c r="D951" s="5"/>
      <c r="E951" s="5"/>
      <c r="F951" s="5"/>
      <c r="G951" s="5"/>
    </row>
    <row r="952" spans="3:7" ht="13">
      <c r="C952" s="80"/>
      <c r="D952" s="5"/>
      <c r="E952" s="5"/>
      <c r="F952" s="5"/>
      <c r="G952" s="5"/>
    </row>
    <row r="953" spans="3:7" ht="13">
      <c r="C953" s="80"/>
      <c r="D953" s="5"/>
      <c r="E953" s="5"/>
      <c r="F953" s="5"/>
      <c r="G953" s="5"/>
    </row>
    <row r="954" spans="3:7" ht="13">
      <c r="C954" s="80"/>
      <c r="D954" s="5"/>
      <c r="E954" s="5"/>
      <c r="F954" s="5"/>
      <c r="G954" s="5"/>
    </row>
    <row r="955" spans="3:7" ht="13">
      <c r="C955" s="80"/>
      <c r="D955" s="5"/>
      <c r="E955" s="5"/>
      <c r="F955" s="5"/>
      <c r="G955" s="5"/>
    </row>
    <row r="956" spans="3:7" ht="13">
      <c r="C956" s="80"/>
      <c r="D956" s="5"/>
      <c r="E956" s="5"/>
      <c r="F956" s="5"/>
      <c r="G956" s="5"/>
    </row>
    <row r="957" spans="3:7" ht="13">
      <c r="C957" s="80"/>
      <c r="D957" s="5"/>
      <c r="E957" s="5"/>
      <c r="F957" s="5"/>
      <c r="G957" s="5"/>
    </row>
    <row r="958" spans="3:7" ht="13">
      <c r="C958" s="80"/>
      <c r="D958" s="5"/>
      <c r="E958" s="5"/>
      <c r="F958" s="5"/>
      <c r="G958" s="5"/>
    </row>
    <row r="959" spans="3:7" ht="13">
      <c r="C959" s="80"/>
      <c r="D959" s="5"/>
      <c r="E959" s="5"/>
      <c r="F959" s="5"/>
      <c r="G959" s="5"/>
    </row>
    <row r="960" spans="3:7" ht="13">
      <c r="C960" s="80"/>
      <c r="D960" s="5"/>
      <c r="E960" s="5"/>
      <c r="F960" s="5"/>
      <c r="G960" s="5"/>
    </row>
    <row r="961" spans="3:7" ht="13">
      <c r="C961" s="80"/>
      <c r="D961" s="5"/>
      <c r="E961" s="5"/>
      <c r="F961" s="5"/>
      <c r="G961" s="5"/>
    </row>
    <row r="962" spans="3:7" ht="13">
      <c r="C962" s="80"/>
      <c r="D962" s="5"/>
      <c r="E962" s="5"/>
      <c r="F962" s="5"/>
      <c r="G962" s="5"/>
    </row>
    <row r="963" spans="3:7" ht="13">
      <c r="C963" s="80"/>
      <c r="D963" s="5"/>
      <c r="E963" s="5"/>
      <c r="F963" s="5"/>
      <c r="G963" s="5"/>
    </row>
    <row r="964" spans="3:7" ht="13">
      <c r="C964" s="80"/>
      <c r="D964" s="5"/>
      <c r="E964" s="5"/>
      <c r="F964" s="5"/>
      <c r="G964" s="5"/>
    </row>
    <row r="965" spans="3:7" ht="13">
      <c r="C965" s="80"/>
      <c r="D965" s="5"/>
      <c r="E965" s="5"/>
      <c r="F965" s="5"/>
      <c r="G965" s="5"/>
    </row>
    <row r="966" spans="3:7" ht="13">
      <c r="C966" s="80"/>
      <c r="D966" s="5"/>
      <c r="E966" s="5"/>
      <c r="F966" s="5"/>
      <c r="G966" s="5"/>
    </row>
    <row r="967" spans="3:7" ht="13">
      <c r="C967" s="80"/>
      <c r="D967" s="5"/>
      <c r="E967" s="5"/>
      <c r="F967" s="5"/>
      <c r="G967" s="5"/>
    </row>
    <row r="968" spans="3:7" ht="13">
      <c r="C968" s="80"/>
      <c r="D968" s="5"/>
      <c r="E968" s="5"/>
      <c r="F968" s="5"/>
      <c r="G968" s="5"/>
    </row>
    <row r="969" spans="3:7" ht="13">
      <c r="C969" s="80"/>
      <c r="D969" s="5"/>
      <c r="E969" s="5"/>
      <c r="F969" s="5"/>
      <c r="G969" s="5"/>
    </row>
    <row r="970" spans="3:7" ht="13">
      <c r="C970" s="80"/>
      <c r="D970" s="5"/>
      <c r="E970" s="5"/>
      <c r="F970" s="5"/>
      <c r="G970" s="5"/>
    </row>
    <row r="971" spans="3:7" ht="13">
      <c r="C971" s="80"/>
      <c r="D971" s="5"/>
      <c r="E971" s="5"/>
      <c r="F971" s="5"/>
      <c r="G971" s="5"/>
    </row>
    <row r="972" spans="3:7" ht="13">
      <c r="C972" s="80"/>
      <c r="D972" s="5"/>
      <c r="E972" s="5"/>
      <c r="F972" s="5"/>
      <c r="G972" s="5"/>
    </row>
    <row r="973" spans="3:7" ht="13">
      <c r="C973" s="80"/>
      <c r="D973" s="5"/>
      <c r="E973" s="5"/>
      <c r="F973" s="5"/>
      <c r="G973" s="5"/>
    </row>
    <row r="974" spans="3:7" ht="13">
      <c r="C974" s="80"/>
      <c r="D974" s="5"/>
      <c r="E974" s="5"/>
      <c r="F974" s="5"/>
      <c r="G974" s="5"/>
    </row>
    <row r="975" spans="3:7" ht="13">
      <c r="C975" s="80"/>
      <c r="D975" s="5"/>
      <c r="E975" s="5"/>
      <c r="F975" s="5"/>
      <c r="G975" s="5"/>
    </row>
    <row r="976" spans="3:7" ht="13">
      <c r="C976" s="80"/>
      <c r="D976" s="5"/>
      <c r="E976" s="5"/>
      <c r="F976" s="5"/>
      <c r="G976" s="5"/>
    </row>
    <row r="977" spans="3:7" ht="13">
      <c r="C977" s="80"/>
      <c r="D977" s="5"/>
      <c r="E977" s="5"/>
      <c r="F977" s="5"/>
      <c r="G977" s="5"/>
    </row>
    <row r="978" spans="3:7" ht="13">
      <c r="C978" s="80"/>
      <c r="D978" s="5"/>
      <c r="E978" s="5"/>
      <c r="F978" s="5"/>
      <c r="G978" s="5"/>
    </row>
    <row r="979" spans="3:7" ht="13">
      <c r="C979" s="80"/>
      <c r="D979" s="5"/>
      <c r="E979" s="5"/>
      <c r="F979" s="5"/>
      <c r="G979" s="5"/>
    </row>
    <row r="980" spans="3:7" ht="13">
      <c r="C980" s="80"/>
      <c r="D980" s="5"/>
      <c r="E980" s="5"/>
      <c r="F980" s="5"/>
      <c r="G980" s="5"/>
    </row>
    <row r="981" spans="3:7" ht="13">
      <c r="C981" s="80"/>
      <c r="D981" s="5"/>
      <c r="E981" s="5"/>
      <c r="F981" s="5"/>
      <c r="G981" s="5"/>
    </row>
    <row r="982" spans="3:7" ht="13">
      <c r="C982" s="80"/>
      <c r="D982" s="5"/>
      <c r="E982" s="5"/>
      <c r="F982" s="5"/>
      <c r="G982" s="5"/>
    </row>
    <row r="983" spans="3:7" ht="13">
      <c r="C983" s="80"/>
      <c r="D983" s="5"/>
      <c r="E983" s="5"/>
      <c r="F983" s="5"/>
      <c r="G983" s="5"/>
    </row>
    <row r="984" spans="3:7" ht="13">
      <c r="C984" s="80"/>
      <c r="D984" s="5"/>
      <c r="E984" s="5"/>
      <c r="F984" s="5"/>
      <c r="G984" s="5"/>
    </row>
    <row r="985" spans="3:7" ht="13">
      <c r="C985" s="80"/>
      <c r="D985" s="5"/>
      <c r="E985" s="5"/>
      <c r="F985" s="5"/>
      <c r="G985" s="5"/>
    </row>
    <row r="986" spans="3:7" ht="13">
      <c r="C986" s="80"/>
      <c r="D986" s="5"/>
      <c r="E986" s="5"/>
      <c r="F986" s="5"/>
      <c r="G986" s="5"/>
    </row>
    <row r="987" spans="3:7" ht="13">
      <c r="C987" s="80"/>
      <c r="D987" s="5"/>
      <c r="E987" s="5"/>
      <c r="F987" s="5"/>
      <c r="G987" s="5"/>
    </row>
    <row r="988" spans="3:7" ht="13">
      <c r="C988" s="80"/>
      <c r="D988" s="5"/>
      <c r="E988" s="5"/>
      <c r="F988" s="5"/>
      <c r="G988" s="5"/>
    </row>
    <row r="989" spans="3:7" ht="13">
      <c r="C989" s="80"/>
      <c r="D989" s="5"/>
      <c r="E989" s="5"/>
      <c r="F989" s="5"/>
      <c r="G989" s="5"/>
    </row>
    <row r="990" spans="3:7" ht="13">
      <c r="C990" s="80"/>
      <c r="D990" s="5"/>
      <c r="E990" s="5"/>
      <c r="F990" s="5"/>
      <c r="G990" s="5"/>
    </row>
    <row r="991" spans="3:7" ht="13">
      <c r="C991" s="80"/>
      <c r="D991" s="5"/>
      <c r="E991" s="5"/>
      <c r="F991" s="5"/>
      <c r="G991" s="5"/>
    </row>
    <row r="992" spans="3:7" ht="13">
      <c r="C992" s="80"/>
      <c r="D992" s="5"/>
      <c r="E992" s="5"/>
      <c r="F992" s="5"/>
      <c r="G992" s="5"/>
    </row>
    <row r="993" spans="3:7" ht="13">
      <c r="C993" s="80"/>
      <c r="D993" s="5"/>
      <c r="E993" s="5"/>
      <c r="F993" s="5"/>
      <c r="G993" s="5"/>
    </row>
    <row r="994" spans="3:7" ht="13">
      <c r="C994" s="80"/>
      <c r="D994" s="5"/>
      <c r="E994" s="5"/>
      <c r="F994" s="5"/>
      <c r="G994" s="5"/>
    </row>
    <row r="995" spans="3:7" ht="13">
      <c r="C995" s="80"/>
      <c r="D995" s="5"/>
      <c r="E995" s="5"/>
      <c r="F995" s="5"/>
      <c r="G995" s="5"/>
    </row>
    <row r="996" spans="3:7" ht="13">
      <c r="C996" s="80"/>
      <c r="D996" s="5"/>
      <c r="E996" s="5"/>
      <c r="F996" s="5"/>
      <c r="G996" s="5"/>
    </row>
    <row r="997" spans="3:7" ht="13">
      <c r="C997" s="80"/>
      <c r="D997" s="5"/>
      <c r="E997" s="5"/>
      <c r="F997" s="5"/>
      <c r="G997" s="5"/>
    </row>
    <row r="998" spans="3:7" ht="13">
      <c r="C998" s="80"/>
      <c r="D998" s="5"/>
      <c r="E998" s="5"/>
      <c r="F998" s="5"/>
      <c r="G998" s="5"/>
    </row>
    <row r="999" spans="3:7" ht="13">
      <c r="C999" s="80"/>
      <c r="D999" s="5"/>
      <c r="E999" s="5"/>
      <c r="F999" s="5"/>
      <c r="G999" s="5"/>
    </row>
    <row r="1000" spans="3:7" ht="13">
      <c r="C1000" s="80"/>
      <c r="D1000" s="5"/>
      <c r="E1000" s="5"/>
      <c r="F1000" s="5"/>
      <c r="G1000" s="5"/>
    </row>
    <row r="1001" spans="3:7" ht="13">
      <c r="C1001" s="80"/>
      <c r="D1001" s="5"/>
      <c r="E1001" s="5"/>
      <c r="F1001" s="5"/>
      <c r="G1001" s="5"/>
    </row>
    <row r="1002" spans="3:7" ht="13">
      <c r="C1002" s="80"/>
      <c r="D1002" s="5"/>
      <c r="E1002" s="5"/>
      <c r="F1002" s="5"/>
      <c r="G1002" s="5"/>
    </row>
    <row r="1003" spans="3:7" ht="13">
      <c r="C1003" s="80"/>
      <c r="D1003" s="5"/>
      <c r="E1003" s="5"/>
      <c r="F1003" s="5"/>
      <c r="G1003" s="5"/>
    </row>
    <row r="1004" spans="3:7" ht="13">
      <c r="C1004" s="80"/>
      <c r="D1004" s="5"/>
      <c r="E1004" s="5"/>
      <c r="F1004" s="5"/>
      <c r="G1004" s="5"/>
    </row>
    <row r="1005" spans="3:7" ht="13">
      <c r="C1005" s="80"/>
      <c r="D1005" s="5"/>
      <c r="E1005" s="5"/>
      <c r="F1005" s="5"/>
      <c r="G1005" s="5"/>
    </row>
  </sheetData>
  <hyperlinks>
    <hyperlink ref="B5" r:id="rId1" xr:uid="{00000000-0004-0000-5A00-000000000000}"/>
    <hyperlink ref="B6" r:id="rId2" xr:uid="{00000000-0004-0000-5A00-000001000000}"/>
    <hyperlink ref="B7" r:id="rId3" xr:uid="{00000000-0004-0000-5A00-000002000000}"/>
    <hyperlink ref="B8" r:id="rId4" xr:uid="{00000000-0004-0000-5A00-000003000000}"/>
    <hyperlink ref="B9" r:id="rId5" xr:uid="{00000000-0004-0000-5A00-000004000000}"/>
    <hyperlink ref="B10" r:id="rId6" xr:uid="{00000000-0004-0000-5A00-000005000000}"/>
    <hyperlink ref="B11" r:id="rId7" xr:uid="{00000000-0004-0000-5A00-000006000000}"/>
    <hyperlink ref="B12" r:id="rId8" xr:uid="{00000000-0004-0000-5A00-000007000000}"/>
    <hyperlink ref="B13" r:id="rId9" xr:uid="{00000000-0004-0000-5A00-000008000000}"/>
    <hyperlink ref="B14" r:id="rId10" xr:uid="{00000000-0004-0000-5A00-000009000000}"/>
    <hyperlink ref="B15" r:id="rId11" xr:uid="{00000000-0004-0000-5A00-00000A000000}"/>
    <hyperlink ref="B16" r:id="rId12" xr:uid="{00000000-0004-0000-5A00-00000B000000}"/>
    <hyperlink ref="B17" r:id="rId13" xr:uid="{00000000-0004-0000-5A00-00000C000000}"/>
    <hyperlink ref="B18" r:id="rId14" xr:uid="{00000000-0004-0000-5A00-00000D000000}"/>
    <hyperlink ref="B19" r:id="rId15" xr:uid="{00000000-0004-0000-5A00-00000E000000}"/>
    <hyperlink ref="B20" r:id="rId16" xr:uid="{00000000-0004-0000-5A00-00000F000000}"/>
    <hyperlink ref="B21" r:id="rId17" xr:uid="{00000000-0004-0000-5A00-000010000000}"/>
    <hyperlink ref="B22" r:id="rId18" xr:uid="{00000000-0004-0000-5A00-000011000000}"/>
    <hyperlink ref="B23" r:id="rId19" xr:uid="{00000000-0004-0000-5A00-000012000000}"/>
    <hyperlink ref="B24" r:id="rId20" xr:uid="{00000000-0004-0000-5A00-000013000000}"/>
    <hyperlink ref="B26" r:id="rId21" xr:uid="{00000000-0004-0000-5A00-000014000000}"/>
    <hyperlink ref="B27" r:id="rId22" xr:uid="{00000000-0004-0000-5A00-000015000000}"/>
    <hyperlink ref="B28" r:id="rId23" xr:uid="{00000000-0004-0000-5A00-000016000000}"/>
    <hyperlink ref="B30" r:id="rId24" xr:uid="{00000000-0004-0000-5A00-000017000000}"/>
    <hyperlink ref="B31" r:id="rId25" xr:uid="{00000000-0004-0000-5A00-000018000000}"/>
    <hyperlink ref="B32" r:id="rId26" xr:uid="{00000000-0004-0000-5A00-000019000000}"/>
    <hyperlink ref="B33" r:id="rId27" xr:uid="{00000000-0004-0000-5A00-00001A000000}"/>
    <hyperlink ref="B34" r:id="rId28" xr:uid="{00000000-0004-0000-5A00-00001B000000}"/>
    <hyperlink ref="B35" r:id="rId29" xr:uid="{00000000-0004-0000-5A00-00001C000000}"/>
    <hyperlink ref="B37" r:id="rId30" xr:uid="{00000000-0004-0000-5A00-00001D000000}"/>
    <hyperlink ref="B38" r:id="rId31" xr:uid="{00000000-0004-0000-5A00-00001E000000}"/>
    <hyperlink ref="B39" r:id="rId32" xr:uid="{00000000-0004-0000-5A00-00001F000000}"/>
    <hyperlink ref="B40" r:id="rId33" xr:uid="{00000000-0004-0000-5A00-000020000000}"/>
    <hyperlink ref="B41" r:id="rId34" xr:uid="{00000000-0004-0000-5A00-000021000000}"/>
    <hyperlink ref="B42" r:id="rId35" xr:uid="{00000000-0004-0000-5A00-000022000000}"/>
    <hyperlink ref="B43" r:id="rId36" xr:uid="{00000000-0004-0000-5A00-000023000000}"/>
    <hyperlink ref="B44" r:id="rId37" xr:uid="{00000000-0004-0000-5A00-000024000000}"/>
    <hyperlink ref="B45" r:id="rId38" xr:uid="{00000000-0004-0000-5A00-000025000000}"/>
    <hyperlink ref="B46" r:id="rId39" xr:uid="{00000000-0004-0000-5A00-000026000000}"/>
    <hyperlink ref="B47" r:id="rId40" xr:uid="{00000000-0004-0000-5A00-000027000000}"/>
    <hyperlink ref="B48" r:id="rId41" xr:uid="{00000000-0004-0000-5A00-000028000000}"/>
    <hyperlink ref="B49" r:id="rId42" xr:uid="{00000000-0004-0000-5A00-000029000000}"/>
    <hyperlink ref="B50" r:id="rId43" xr:uid="{00000000-0004-0000-5A00-00002A000000}"/>
    <hyperlink ref="B51" r:id="rId44" xr:uid="{00000000-0004-0000-5A00-00002B000000}"/>
    <hyperlink ref="B52" r:id="rId45" xr:uid="{00000000-0004-0000-5A00-00002C000000}"/>
    <hyperlink ref="B53" r:id="rId46" xr:uid="{00000000-0004-0000-5A00-00002D000000}"/>
    <hyperlink ref="B54" r:id="rId47" xr:uid="{00000000-0004-0000-5A00-00002E000000}"/>
    <hyperlink ref="B55" r:id="rId48" xr:uid="{00000000-0004-0000-5A00-00002F000000}"/>
    <hyperlink ref="B56" r:id="rId49" xr:uid="{00000000-0004-0000-5A00-000030000000}"/>
    <hyperlink ref="B57" r:id="rId50" xr:uid="{00000000-0004-0000-5A00-000031000000}"/>
    <hyperlink ref="B58" r:id="rId51" xr:uid="{00000000-0004-0000-5A00-000032000000}"/>
    <hyperlink ref="B59" r:id="rId52" xr:uid="{00000000-0004-0000-5A00-000033000000}"/>
    <hyperlink ref="B60" r:id="rId53" xr:uid="{00000000-0004-0000-5A00-000034000000}"/>
    <hyperlink ref="B62" r:id="rId54" xr:uid="{00000000-0004-0000-5A00-000035000000}"/>
    <hyperlink ref="B63" r:id="rId55" xr:uid="{00000000-0004-0000-5A00-000036000000}"/>
    <hyperlink ref="B64" r:id="rId56" xr:uid="{00000000-0004-0000-5A00-000037000000}"/>
    <hyperlink ref="B65" r:id="rId57" xr:uid="{00000000-0004-0000-5A00-000038000000}"/>
    <hyperlink ref="B66" r:id="rId58" xr:uid="{00000000-0004-0000-5A00-000039000000}"/>
    <hyperlink ref="B67" r:id="rId59" xr:uid="{00000000-0004-0000-5A00-00003A000000}"/>
    <hyperlink ref="B68" r:id="rId60" xr:uid="{00000000-0004-0000-5A00-00003B000000}"/>
    <hyperlink ref="B69" r:id="rId61" xr:uid="{00000000-0004-0000-5A00-00003C000000}"/>
    <hyperlink ref="B70" r:id="rId62" xr:uid="{00000000-0004-0000-5A00-00003D000000}"/>
    <hyperlink ref="B71" r:id="rId63" xr:uid="{00000000-0004-0000-5A00-00003E000000}"/>
    <hyperlink ref="B72" r:id="rId64" xr:uid="{00000000-0004-0000-5A00-00003F000000}"/>
    <hyperlink ref="B73" r:id="rId65" xr:uid="{00000000-0004-0000-5A00-000040000000}"/>
    <hyperlink ref="B74" r:id="rId66" xr:uid="{00000000-0004-0000-5A00-000041000000}"/>
    <hyperlink ref="B75" r:id="rId67" xr:uid="{00000000-0004-0000-5A00-000042000000}"/>
    <hyperlink ref="B76" r:id="rId68" xr:uid="{00000000-0004-0000-5A00-000043000000}"/>
    <hyperlink ref="B77" r:id="rId69" xr:uid="{00000000-0004-0000-5A00-000044000000}"/>
    <hyperlink ref="B80" r:id="rId70" xr:uid="{00000000-0004-0000-5A00-000045000000}"/>
    <hyperlink ref="B81" r:id="rId71" xr:uid="{00000000-0004-0000-5A00-000046000000}"/>
    <hyperlink ref="B82" r:id="rId72" xr:uid="{00000000-0004-0000-5A00-000047000000}"/>
    <hyperlink ref="B83" r:id="rId73" xr:uid="{00000000-0004-0000-5A00-000048000000}"/>
    <hyperlink ref="B85" r:id="rId74" xr:uid="{00000000-0004-0000-5A00-000049000000}"/>
    <hyperlink ref="B86" r:id="rId75" xr:uid="{00000000-0004-0000-5A00-00004A000000}"/>
    <hyperlink ref="B88" r:id="rId76" xr:uid="{00000000-0004-0000-5A00-00004B000000}"/>
    <hyperlink ref="B89" r:id="rId77" xr:uid="{00000000-0004-0000-5A00-00004C000000}"/>
    <hyperlink ref="B90" r:id="rId78" xr:uid="{00000000-0004-0000-5A00-00004D000000}"/>
    <hyperlink ref="B91" r:id="rId79" xr:uid="{00000000-0004-0000-5A00-00004E000000}"/>
    <hyperlink ref="B92" r:id="rId80" xr:uid="{00000000-0004-0000-5A00-00004F000000}"/>
    <hyperlink ref="B93" r:id="rId81" xr:uid="{00000000-0004-0000-5A00-000050000000}"/>
    <hyperlink ref="B94" r:id="rId82" xr:uid="{00000000-0004-0000-5A00-000051000000}"/>
    <hyperlink ref="B96" r:id="rId83" xr:uid="{00000000-0004-0000-5A00-000052000000}"/>
    <hyperlink ref="B97" r:id="rId84" xr:uid="{00000000-0004-0000-5A00-000053000000}"/>
    <hyperlink ref="B98" r:id="rId85" xr:uid="{00000000-0004-0000-5A00-000054000000}"/>
    <hyperlink ref="B99" r:id="rId86" xr:uid="{00000000-0004-0000-5A00-000055000000}"/>
    <hyperlink ref="B102" r:id="rId87" xr:uid="{00000000-0004-0000-5A00-000056000000}"/>
    <hyperlink ref="B103" r:id="rId88" xr:uid="{00000000-0004-0000-5A00-000057000000}"/>
    <hyperlink ref="B104" r:id="rId89" xr:uid="{00000000-0004-0000-5A00-000058000000}"/>
    <hyperlink ref="B105" r:id="rId90" xr:uid="{00000000-0004-0000-5A00-000059000000}"/>
    <hyperlink ref="B106" r:id="rId91" xr:uid="{00000000-0004-0000-5A00-00005A000000}"/>
    <hyperlink ref="B107" r:id="rId92" xr:uid="{00000000-0004-0000-5A00-00005B000000}"/>
    <hyperlink ref="B108" r:id="rId93" xr:uid="{00000000-0004-0000-5A00-00005C000000}"/>
    <hyperlink ref="B109" r:id="rId94" xr:uid="{00000000-0004-0000-5A00-00005D000000}"/>
    <hyperlink ref="B110" r:id="rId95" xr:uid="{00000000-0004-0000-5A00-00005E000000}"/>
    <hyperlink ref="B111" r:id="rId96" xr:uid="{00000000-0004-0000-5A00-00005F000000}"/>
    <hyperlink ref="B112" r:id="rId97" xr:uid="{00000000-0004-0000-5A00-000060000000}"/>
    <hyperlink ref="B113" r:id="rId98" xr:uid="{00000000-0004-0000-5A00-000061000000}"/>
    <hyperlink ref="B114" r:id="rId99" xr:uid="{00000000-0004-0000-5A00-000062000000}"/>
    <hyperlink ref="B116" r:id="rId100" xr:uid="{00000000-0004-0000-5A00-000063000000}"/>
    <hyperlink ref="B117" r:id="rId101" xr:uid="{00000000-0004-0000-5A00-000064000000}"/>
    <hyperlink ref="B118" r:id="rId102" xr:uid="{00000000-0004-0000-5A00-000065000000}"/>
    <hyperlink ref="B119" r:id="rId103" xr:uid="{00000000-0004-0000-5A00-000066000000}"/>
    <hyperlink ref="B120" r:id="rId104" xr:uid="{00000000-0004-0000-5A00-000067000000}"/>
    <hyperlink ref="B121" r:id="rId105" xr:uid="{00000000-0004-0000-5A00-000068000000}"/>
    <hyperlink ref="B122" r:id="rId106" xr:uid="{00000000-0004-0000-5A00-000069000000}"/>
    <hyperlink ref="B123" r:id="rId107" xr:uid="{00000000-0004-0000-5A00-00006A000000}"/>
    <hyperlink ref="B125" r:id="rId108" xr:uid="{00000000-0004-0000-5A00-00006B000000}"/>
    <hyperlink ref="B135" r:id="rId109" xr:uid="{00000000-0004-0000-5A00-00006C000000}"/>
    <hyperlink ref="B136" r:id="rId110" xr:uid="{00000000-0004-0000-5A00-00006D000000}"/>
    <hyperlink ref="B137" r:id="rId111" xr:uid="{00000000-0004-0000-5A00-00006E000000}"/>
    <hyperlink ref="B138" r:id="rId112" xr:uid="{00000000-0004-0000-5A00-00006F000000}"/>
    <hyperlink ref="B148" r:id="rId113" xr:uid="{00000000-0004-0000-5A00-000070000000}"/>
    <hyperlink ref="B149" r:id="rId114" xr:uid="{00000000-0004-0000-5A00-000071000000}"/>
    <hyperlink ref="B150" r:id="rId115" xr:uid="{00000000-0004-0000-5A00-000072000000}"/>
    <hyperlink ref="B151" r:id="rId116" xr:uid="{00000000-0004-0000-5A00-000073000000}"/>
    <hyperlink ref="B152" r:id="rId117" xr:uid="{00000000-0004-0000-5A00-000074000000}"/>
    <hyperlink ref="B153" r:id="rId118" xr:uid="{00000000-0004-0000-5A00-000075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2">
    <outlinePr summaryBelow="0" summaryRight="0"/>
  </sheetPr>
  <dimension ref="A1:J1003"/>
  <sheetViews>
    <sheetView workbookViewId="0">
      <pane ySplit="4" topLeftCell="A5" activePane="bottomLeft" state="frozen"/>
      <selection pane="bottomLeft" activeCell="B6" sqref="B6"/>
    </sheetView>
  </sheetViews>
  <sheetFormatPr baseColWidth="10" defaultColWidth="12.6640625" defaultRowHeight="15.75" customHeight="1"/>
  <cols>
    <col min="2" max="2" width="18.6640625" customWidth="1"/>
    <col min="3" max="3" width="9.6640625" customWidth="1"/>
    <col min="4" max="4" width="14.83203125" customWidth="1"/>
    <col min="5" max="5" width="14.33203125" customWidth="1"/>
  </cols>
  <sheetData>
    <row r="1" spans="1:10" ht="15.75" customHeight="1">
      <c r="A1" s="1" t="s">
        <v>109</v>
      </c>
      <c r="C1" s="80"/>
      <c r="D1" s="81" t="s">
        <v>181</v>
      </c>
      <c r="E1" s="5"/>
      <c r="F1" s="5"/>
      <c r="G1" s="5"/>
    </row>
    <row r="2" spans="1:10" ht="15.75" customHeight="1">
      <c r="A2" s="7" t="s">
        <v>182</v>
      </c>
      <c r="B2" s="123">
        <v>43315</v>
      </c>
      <c r="C2" s="80"/>
      <c r="D2" s="82">
        <f>SUM(D5:G189)</f>
        <v>0</v>
      </c>
      <c r="E2" s="5"/>
      <c r="F2" s="5"/>
      <c r="G2" s="5"/>
    </row>
    <row r="3" spans="1:10" ht="15.75" customHeight="1">
      <c r="C3" s="80"/>
      <c r="D3" s="5"/>
      <c r="E3" s="5"/>
      <c r="F3" s="5"/>
      <c r="G3" s="5"/>
    </row>
    <row r="4" spans="1:10" ht="15.75" customHeight="1">
      <c r="A4" s="42" t="s">
        <v>183</v>
      </c>
      <c r="B4" s="42" t="s">
        <v>184</v>
      </c>
      <c r="C4" s="42" t="s">
        <v>185</v>
      </c>
      <c r="D4" s="83" t="s">
        <v>186</v>
      </c>
      <c r="E4" s="84" t="s">
        <v>187</v>
      </c>
      <c r="F4" s="84" t="s">
        <v>188</v>
      </c>
      <c r="G4" s="85" t="s">
        <v>189</v>
      </c>
      <c r="H4" s="84" t="s">
        <v>190</v>
      </c>
      <c r="I4" s="85"/>
    </row>
    <row r="5" spans="1:10" ht="15.75" customHeight="1">
      <c r="A5" s="64" t="s">
        <v>7247</v>
      </c>
      <c r="B5" s="77" t="s">
        <v>346</v>
      </c>
      <c r="C5" s="64" t="s">
        <v>205</v>
      </c>
      <c r="D5" s="86"/>
      <c r="E5" s="86"/>
      <c r="F5" s="87"/>
      <c r="G5" s="87"/>
      <c r="H5" s="88"/>
      <c r="I5" s="88"/>
      <c r="J5" s="88"/>
    </row>
    <row r="6" spans="1:10" ht="15.75" customHeight="1">
      <c r="A6" s="64" t="s">
        <v>7248</v>
      </c>
      <c r="B6" s="77" t="s">
        <v>345</v>
      </c>
      <c r="C6" s="64" t="s">
        <v>205</v>
      </c>
      <c r="D6" s="72"/>
      <c r="E6" s="51"/>
      <c r="F6" s="5"/>
      <c r="G6" s="5"/>
      <c r="J6" s="88"/>
    </row>
    <row r="7" spans="1:10" ht="15.75" customHeight="1">
      <c r="A7" s="64" t="s">
        <v>7249</v>
      </c>
      <c r="B7" s="77" t="s">
        <v>328</v>
      </c>
      <c r="C7" s="64" t="s">
        <v>205</v>
      </c>
      <c r="D7" s="72"/>
      <c r="E7" s="51"/>
      <c r="F7" s="51"/>
      <c r="G7" s="5"/>
    </row>
    <row r="8" spans="1:10" ht="15.75" customHeight="1">
      <c r="A8" s="64" t="s">
        <v>7250</v>
      </c>
      <c r="B8" s="77" t="s">
        <v>232</v>
      </c>
      <c r="C8" s="64" t="s">
        <v>205</v>
      </c>
      <c r="D8" s="72"/>
      <c r="E8" s="5"/>
      <c r="F8" s="5"/>
      <c r="G8" s="5"/>
    </row>
    <row r="9" spans="1:10" ht="15.75" customHeight="1">
      <c r="A9" s="64" t="s">
        <v>7251</v>
      </c>
      <c r="B9" s="77" t="s">
        <v>893</v>
      </c>
      <c r="C9" s="64" t="s">
        <v>205</v>
      </c>
      <c r="D9" s="72"/>
      <c r="E9" s="5"/>
      <c r="F9" s="5"/>
      <c r="G9" s="5"/>
    </row>
    <row r="10" spans="1:10" ht="15.75" customHeight="1">
      <c r="A10" s="64" t="s">
        <v>7252</v>
      </c>
      <c r="B10" s="77" t="s">
        <v>814</v>
      </c>
      <c r="C10" s="64" t="s">
        <v>205</v>
      </c>
      <c r="D10" s="72"/>
      <c r="E10" s="51"/>
      <c r="F10" s="51"/>
      <c r="G10" s="5"/>
    </row>
    <row r="11" spans="1:10" ht="15.75" customHeight="1">
      <c r="A11" s="64" t="s">
        <v>7253</v>
      </c>
      <c r="B11" s="77" t="s">
        <v>1187</v>
      </c>
      <c r="C11" s="64" t="s">
        <v>205</v>
      </c>
      <c r="D11" s="72"/>
      <c r="E11" s="51"/>
      <c r="F11" s="5"/>
      <c r="G11" s="5"/>
    </row>
    <row r="12" spans="1:10" ht="15.75" customHeight="1">
      <c r="A12" s="64" t="s">
        <v>7254</v>
      </c>
      <c r="B12" s="77" t="s">
        <v>1187</v>
      </c>
      <c r="C12" s="64" t="s">
        <v>205</v>
      </c>
      <c r="D12" s="72"/>
      <c r="E12" s="51"/>
      <c r="F12" s="5"/>
      <c r="G12" s="5"/>
    </row>
    <row r="13" spans="1:10" ht="15.75" customHeight="1">
      <c r="A13" s="64" t="s">
        <v>7255</v>
      </c>
      <c r="B13" s="77" t="s">
        <v>1188</v>
      </c>
      <c r="C13" s="64" t="s">
        <v>205</v>
      </c>
      <c r="D13" s="72"/>
      <c r="E13" s="51"/>
      <c r="F13" s="5"/>
      <c r="G13" s="5"/>
    </row>
    <row r="14" spans="1:10" ht="15.75" customHeight="1">
      <c r="A14" s="64" t="s">
        <v>7256</v>
      </c>
      <c r="B14" s="77" t="s">
        <v>1228</v>
      </c>
      <c r="C14" s="64" t="s">
        <v>205</v>
      </c>
      <c r="D14" s="72"/>
      <c r="E14" s="51"/>
      <c r="F14" s="5"/>
      <c r="G14" s="5"/>
    </row>
    <row r="15" spans="1:10" ht="15.75" customHeight="1">
      <c r="A15" s="72" t="s">
        <v>7257</v>
      </c>
      <c r="B15" s="77" t="s">
        <v>1228</v>
      </c>
      <c r="C15" s="64" t="s">
        <v>205</v>
      </c>
      <c r="D15" s="72"/>
      <c r="E15" s="51"/>
      <c r="F15" s="51"/>
      <c r="G15" s="5"/>
    </row>
    <row r="16" spans="1:10" ht="15.75" customHeight="1">
      <c r="A16" s="64" t="s">
        <v>7258</v>
      </c>
      <c r="B16" s="77" t="s">
        <v>1454</v>
      </c>
      <c r="C16" s="64" t="s">
        <v>205</v>
      </c>
      <c r="D16" s="72"/>
      <c r="E16" s="51"/>
      <c r="F16" s="5"/>
      <c r="G16" s="5"/>
    </row>
    <row r="17" spans="1:7" ht="15.75" customHeight="1">
      <c r="A17" s="64" t="s">
        <v>7259</v>
      </c>
      <c r="B17" s="77" t="s">
        <v>1454</v>
      </c>
      <c r="C17" s="64" t="s">
        <v>205</v>
      </c>
      <c r="D17" s="72"/>
      <c r="E17" s="5"/>
      <c r="F17" s="5"/>
      <c r="G17" s="5"/>
    </row>
    <row r="18" spans="1:7" ht="15.75" customHeight="1">
      <c r="A18" s="64" t="s">
        <v>7260</v>
      </c>
      <c r="B18" s="77" t="s">
        <v>1420</v>
      </c>
      <c r="C18" s="64" t="s">
        <v>205</v>
      </c>
      <c r="D18" s="72"/>
      <c r="E18" s="51"/>
      <c r="F18" s="5"/>
      <c r="G18" s="5"/>
    </row>
    <row r="19" spans="1:7" ht="15.75" customHeight="1">
      <c r="A19" s="64" t="s">
        <v>7261</v>
      </c>
      <c r="B19" s="78" t="str">
        <f>HYPERLINK("https://bulbapedia.bulbagarden.net/w/index.php?title=Shiftry-GX_(Celestial_Storm_14)&amp;action=edit&amp;redlink=1","ShiftryGX")</f>
        <v>ShiftryGX</v>
      </c>
      <c r="C19" s="64" t="s">
        <v>205</v>
      </c>
      <c r="D19" s="76"/>
      <c r="E19" s="5"/>
      <c r="F19" s="5"/>
      <c r="G19" s="5"/>
    </row>
    <row r="20" spans="1:7" ht="15.75" customHeight="1">
      <c r="A20" s="64" t="s">
        <v>7262</v>
      </c>
      <c r="B20" s="77" t="s">
        <v>1891</v>
      </c>
      <c r="C20" s="64" t="s">
        <v>205</v>
      </c>
      <c r="D20" s="72"/>
      <c r="E20" s="51"/>
      <c r="F20" s="5"/>
      <c r="G20" s="5"/>
    </row>
    <row r="21" spans="1:7" ht="15.75" customHeight="1">
      <c r="A21" s="64" t="s">
        <v>7263</v>
      </c>
      <c r="B21" s="77" t="s">
        <v>1818</v>
      </c>
      <c r="C21" s="64" t="s">
        <v>205</v>
      </c>
      <c r="D21" s="72"/>
      <c r="E21" s="5"/>
      <c r="F21" s="5"/>
      <c r="G21" s="5"/>
    </row>
    <row r="22" spans="1:7" ht="15.75" customHeight="1">
      <c r="A22" s="64" t="s">
        <v>7264</v>
      </c>
      <c r="B22" s="77" t="s">
        <v>1426</v>
      </c>
      <c r="C22" s="64" t="s">
        <v>205</v>
      </c>
      <c r="D22" s="72"/>
      <c r="E22" s="51"/>
      <c r="F22" s="5"/>
      <c r="G22" s="5"/>
    </row>
    <row r="23" spans="1:7" ht="15.75" customHeight="1">
      <c r="A23" s="64" t="s">
        <v>7265</v>
      </c>
      <c r="B23" s="77" t="s">
        <v>1407</v>
      </c>
      <c r="C23" s="64" t="s">
        <v>205</v>
      </c>
      <c r="D23" s="72"/>
      <c r="E23" s="51"/>
      <c r="F23" s="5"/>
      <c r="G23" s="5"/>
    </row>
    <row r="24" spans="1:7" ht="15.75" customHeight="1">
      <c r="A24" s="64" t="s">
        <v>7266</v>
      </c>
      <c r="B24" s="77" t="s">
        <v>1432</v>
      </c>
      <c r="C24" s="64" t="s">
        <v>205</v>
      </c>
      <c r="D24" s="72"/>
      <c r="E24" s="51"/>
      <c r="F24" s="5"/>
      <c r="G24" s="5"/>
    </row>
    <row r="25" spans="1:7" ht="15.75" customHeight="1">
      <c r="A25" s="64" t="s">
        <v>7267</v>
      </c>
      <c r="B25" s="77" t="s">
        <v>1357</v>
      </c>
      <c r="C25" s="64" t="s">
        <v>205</v>
      </c>
      <c r="D25" s="72"/>
      <c r="E25" s="51"/>
      <c r="F25" s="5"/>
      <c r="G25" s="5"/>
    </row>
    <row r="26" spans="1:7" ht="15.75" customHeight="1">
      <c r="A26" s="64" t="s">
        <v>7268</v>
      </c>
      <c r="B26" s="77" t="s">
        <v>1830</v>
      </c>
      <c r="C26" s="64" t="s">
        <v>205</v>
      </c>
      <c r="D26" s="72"/>
      <c r="E26" s="51"/>
      <c r="F26" s="5"/>
      <c r="G26" s="5"/>
    </row>
    <row r="27" spans="1:7" ht="15.75" customHeight="1">
      <c r="A27" s="64" t="s">
        <v>7269</v>
      </c>
      <c r="B27" s="77" t="s">
        <v>6249</v>
      </c>
      <c r="C27" s="64" t="s">
        <v>205</v>
      </c>
      <c r="D27" s="72"/>
      <c r="E27" s="51"/>
      <c r="F27" s="5"/>
      <c r="G27" s="5"/>
    </row>
    <row r="28" spans="1:7" ht="15.75" customHeight="1">
      <c r="A28" s="64" t="s">
        <v>7270</v>
      </c>
      <c r="B28" s="77" t="s">
        <v>980</v>
      </c>
      <c r="C28" s="64" t="s">
        <v>199</v>
      </c>
      <c r="D28" s="72"/>
      <c r="E28" s="51"/>
      <c r="F28" s="5"/>
      <c r="G28" s="5"/>
    </row>
    <row r="29" spans="1:7" ht="15.75" customHeight="1">
      <c r="A29" s="64" t="s">
        <v>7271</v>
      </c>
      <c r="B29" s="77" t="s">
        <v>974</v>
      </c>
      <c r="C29" s="64" t="s">
        <v>199</v>
      </c>
      <c r="D29" s="72"/>
      <c r="E29" s="51"/>
      <c r="F29" s="5"/>
      <c r="G29" s="51"/>
    </row>
    <row r="30" spans="1:7" ht="15.75" customHeight="1">
      <c r="A30" s="64" t="s">
        <v>7272</v>
      </c>
      <c r="B30" s="77" t="s">
        <v>1190</v>
      </c>
      <c r="C30" s="64" t="s">
        <v>199</v>
      </c>
      <c r="D30" s="72"/>
      <c r="E30" s="51"/>
      <c r="F30" s="5"/>
      <c r="G30" s="5"/>
    </row>
    <row r="31" spans="1:7" ht="15.75" customHeight="1">
      <c r="A31" s="64" t="s">
        <v>7273</v>
      </c>
      <c r="B31" s="77" t="s">
        <v>1190</v>
      </c>
      <c r="C31" s="64" t="s">
        <v>199</v>
      </c>
      <c r="D31" s="72"/>
      <c r="E31" s="51"/>
      <c r="F31" s="5"/>
      <c r="G31" s="5"/>
    </row>
    <row r="32" spans="1:7" ht="15.75" customHeight="1">
      <c r="A32" s="64" t="s">
        <v>7274</v>
      </c>
      <c r="B32" s="77" t="s">
        <v>1191</v>
      </c>
      <c r="C32" s="64" t="s">
        <v>199</v>
      </c>
      <c r="D32" s="72"/>
      <c r="E32" s="51"/>
      <c r="F32" s="5"/>
      <c r="G32" s="5"/>
    </row>
    <row r="33" spans="1:7" ht="15.75" customHeight="1">
      <c r="A33" s="64" t="s">
        <v>7275</v>
      </c>
      <c r="B33" s="78" t="str">
        <f>HYPERLINK("https://bulbapedia.bulbagarden.net/wiki/Blaziken-GX_(Celestial_Storm_28)","BlazikenGX")</f>
        <v>BlazikenGX</v>
      </c>
      <c r="C33" s="64" t="s">
        <v>199</v>
      </c>
      <c r="D33" s="72"/>
      <c r="E33" s="5"/>
      <c r="F33" s="5"/>
      <c r="G33" s="5"/>
    </row>
    <row r="34" spans="1:7" ht="15.75" customHeight="1">
      <c r="A34" s="64" t="s">
        <v>7276</v>
      </c>
      <c r="B34" s="77" t="s">
        <v>1511</v>
      </c>
      <c r="C34" s="64" t="s">
        <v>199</v>
      </c>
      <c r="D34" s="72"/>
      <c r="E34" s="51"/>
      <c r="F34" s="5"/>
      <c r="G34" s="5"/>
    </row>
    <row r="35" spans="1:7" ht="15.75" customHeight="1">
      <c r="A35" s="64" t="s">
        <v>7277</v>
      </c>
      <c r="B35" s="77" t="s">
        <v>6542</v>
      </c>
      <c r="C35" s="64" t="s">
        <v>199</v>
      </c>
      <c r="D35" s="72"/>
      <c r="E35" s="5"/>
      <c r="F35" s="5"/>
      <c r="G35" s="5"/>
    </row>
    <row r="36" spans="1:7" ht="15.75" customHeight="1">
      <c r="A36" s="64" t="s">
        <v>7278</v>
      </c>
      <c r="B36" s="78" t="str">
        <f>HYPERLINK("https://bulbapedia.bulbagarden.net/w/index.php?title=Articuno-GX_(Celestial_Storm_31)&amp;action=edit&amp;redlink=1","ArticunoGX")</f>
        <v>ArticunoGX</v>
      </c>
      <c r="C36" s="64" t="s">
        <v>208</v>
      </c>
      <c r="D36" s="72"/>
      <c r="E36" s="5"/>
      <c r="F36" s="5"/>
      <c r="G36" s="5"/>
    </row>
    <row r="37" spans="1:7" ht="15.75" customHeight="1">
      <c r="A37" s="64" t="s">
        <v>7279</v>
      </c>
      <c r="B37" s="77" t="s">
        <v>1189</v>
      </c>
      <c r="C37" s="64" t="s">
        <v>208</v>
      </c>
      <c r="D37" s="72"/>
      <c r="E37" s="51"/>
      <c r="F37" s="5"/>
      <c r="G37" s="5"/>
    </row>
    <row r="38" spans="1:7" ht="15.75" customHeight="1">
      <c r="A38" s="64" t="s">
        <v>7280</v>
      </c>
      <c r="B38" s="77" t="s">
        <v>1189</v>
      </c>
      <c r="C38" s="64" t="s">
        <v>208</v>
      </c>
      <c r="D38" s="72"/>
      <c r="E38" s="51"/>
      <c r="F38" s="5"/>
      <c r="G38" s="5"/>
    </row>
    <row r="39" spans="1:7" ht="15.75" customHeight="1">
      <c r="A39" s="64" t="s">
        <v>7281</v>
      </c>
      <c r="B39" s="77" t="s">
        <v>1192</v>
      </c>
      <c r="C39" s="64" t="s">
        <v>208</v>
      </c>
      <c r="D39" s="72"/>
      <c r="E39" s="51"/>
      <c r="F39" s="5"/>
      <c r="G39" s="5"/>
    </row>
    <row r="40" spans="1:7" ht="15.75" customHeight="1">
      <c r="A40" s="64" t="s">
        <v>7282</v>
      </c>
      <c r="B40" s="77" t="s">
        <v>1232</v>
      </c>
      <c r="C40" s="64" t="s">
        <v>208</v>
      </c>
      <c r="D40" s="72"/>
      <c r="E40" s="51"/>
      <c r="F40" s="5"/>
      <c r="G40" s="5"/>
    </row>
    <row r="41" spans="1:7" ht="15.75" customHeight="1">
      <c r="A41" s="64" t="s">
        <v>7283</v>
      </c>
      <c r="B41" s="77" t="s">
        <v>1443</v>
      </c>
      <c r="C41" s="64" t="s">
        <v>208</v>
      </c>
      <c r="D41" s="72"/>
      <c r="E41" s="51"/>
      <c r="F41" s="5"/>
      <c r="G41" s="5"/>
    </row>
    <row r="42" spans="1:7" ht="15.75" customHeight="1">
      <c r="A42" s="64" t="s">
        <v>7284</v>
      </c>
      <c r="B42" s="77" t="s">
        <v>1416</v>
      </c>
      <c r="C42" s="64" t="s">
        <v>208</v>
      </c>
      <c r="D42" s="72"/>
      <c r="E42" s="51"/>
      <c r="F42" s="5"/>
      <c r="G42" s="5"/>
    </row>
    <row r="43" spans="1:7" ht="15.75" customHeight="1">
      <c r="A43" s="64" t="s">
        <v>7285</v>
      </c>
      <c r="B43" s="77" t="s">
        <v>1195</v>
      </c>
      <c r="C43" s="64" t="s">
        <v>208</v>
      </c>
      <c r="D43" s="72"/>
      <c r="E43" s="5"/>
      <c r="F43" s="51"/>
      <c r="G43" s="5"/>
    </row>
    <row r="44" spans="1:7" ht="15.75" customHeight="1">
      <c r="A44" s="64" t="s">
        <v>7286</v>
      </c>
      <c r="B44" s="77" t="s">
        <v>1284</v>
      </c>
      <c r="C44" s="64" t="s">
        <v>208</v>
      </c>
      <c r="D44" s="72"/>
      <c r="E44" s="5"/>
      <c r="F44" s="5"/>
      <c r="G44" s="5"/>
    </row>
    <row r="45" spans="1:7" ht="15.75" customHeight="1">
      <c r="A45" s="64" t="s">
        <v>7287</v>
      </c>
      <c r="B45" s="77" t="s">
        <v>1234</v>
      </c>
      <c r="C45" s="64" t="s">
        <v>208</v>
      </c>
      <c r="D45" s="72"/>
      <c r="E45" s="5"/>
      <c r="F45" s="5"/>
      <c r="G45" s="5"/>
    </row>
    <row r="46" spans="1:7" ht="15.75" customHeight="1">
      <c r="A46" s="64" t="s">
        <v>7288</v>
      </c>
      <c r="B46" s="77" t="s">
        <v>1869</v>
      </c>
      <c r="C46" s="64" t="s">
        <v>208</v>
      </c>
      <c r="D46" s="72"/>
      <c r="E46" s="51"/>
      <c r="F46" s="5"/>
      <c r="G46" s="5"/>
    </row>
    <row r="47" spans="1:7" ht="15.75" customHeight="1">
      <c r="A47" s="64" t="s">
        <v>7289</v>
      </c>
      <c r="B47" s="77" t="s">
        <v>1816</v>
      </c>
      <c r="C47" s="64" t="s">
        <v>208</v>
      </c>
      <c r="D47" s="72"/>
      <c r="E47" s="51"/>
      <c r="F47" s="5"/>
      <c r="G47" s="5"/>
    </row>
    <row r="48" spans="1:7" ht="15.75" customHeight="1">
      <c r="A48" s="64" t="s">
        <v>7290</v>
      </c>
      <c r="B48" s="77" t="s">
        <v>1814</v>
      </c>
      <c r="C48" s="64" t="s">
        <v>208</v>
      </c>
      <c r="D48" s="72"/>
      <c r="E48" s="51"/>
      <c r="F48" s="5"/>
      <c r="G48" s="5"/>
    </row>
    <row r="49" spans="1:7" ht="15.75" customHeight="1">
      <c r="A49" s="64" t="s">
        <v>7291</v>
      </c>
      <c r="B49" s="77" t="s">
        <v>1847</v>
      </c>
      <c r="C49" s="64" t="s">
        <v>208</v>
      </c>
      <c r="D49" s="72"/>
      <c r="E49" s="5"/>
      <c r="F49" s="5"/>
      <c r="G49" s="5"/>
    </row>
    <row r="50" spans="1:7" ht="15.75" customHeight="1">
      <c r="A50" s="64" t="s">
        <v>7292</v>
      </c>
      <c r="B50" s="77" t="s">
        <v>2779</v>
      </c>
      <c r="C50" s="64" t="s">
        <v>208</v>
      </c>
      <c r="D50" s="72"/>
      <c r="E50" s="5"/>
      <c r="F50" s="5"/>
      <c r="G50" s="5"/>
    </row>
    <row r="51" spans="1:7" ht="15.75" customHeight="1">
      <c r="A51" s="64" t="s">
        <v>7293</v>
      </c>
      <c r="B51" s="77" t="s">
        <v>2236</v>
      </c>
      <c r="C51" s="64" t="s">
        <v>208</v>
      </c>
      <c r="D51" s="76"/>
      <c r="E51" s="51"/>
      <c r="F51" s="5"/>
      <c r="G51" s="5"/>
    </row>
    <row r="52" spans="1:7" ht="15.75" customHeight="1">
      <c r="A52" s="64" t="s">
        <v>7294</v>
      </c>
      <c r="B52" s="77" t="s">
        <v>298</v>
      </c>
      <c r="C52" s="64" t="s">
        <v>192</v>
      </c>
      <c r="D52" s="72"/>
      <c r="E52" s="51"/>
      <c r="F52" s="5"/>
      <c r="G52" s="5"/>
    </row>
    <row r="53" spans="1:7" ht="13">
      <c r="A53" s="64" t="s">
        <v>7295</v>
      </c>
      <c r="B53" s="78" t="str">
        <f>HYPERLINK("https://bulbapedia.bulbagarden.net/wiki/Electrode-GX_(Celestial_Storm_48)","ElectrodeGX")</f>
        <v>ElectrodeGX</v>
      </c>
      <c r="C53" s="64" t="s">
        <v>192</v>
      </c>
      <c r="D53" s="72"/>
      <c r="E53" s="5"/>
      <c r="F53" s="5"/>
      <c r="G53" s="5"/>
    </row>
    <row r="54" spans="1:7" ht="13">
      <c r="A54" s="64" t="s">
        <v>7296</v>
      </c>
      <c r="B54" s="77" t="s">
        <v>860</v>
      </c>
      <c r="C54" s="64" t="s">
        <v>192</v>
      </c>
      <c r="D54" s="72"/>
      <c r="E54" s="51"/>
      <c r="F54" s="5"/>
      <c r="G54" s="5"/>
    </row>
    <row r="55" spans="1:7" ht="13">
      <c r="A55" s="64" t="s">
        <v>7297</v>
      </c>
      <c r="B55" s="77" t="s">
        <v>831</v>
      </c>
      <c r="C55" s="64" t="s">
        <v>192</v>
      </c>
      <c r="D55" s="72"/>
      <c r="E55" s="5"/>
      <c r="F55" s="5"/>
      <c r="G55" s="5"/>
    </row>
    <row r="56" spans="1:7" ht="13">
      <c r="A56" s="64" t="s">
        <v>7298</v>
      </c>
      <c r="B56" s="77" t="s">
        <v>1257</v>
      </c>
      <c r="C56" s="64" t="s">
        <v>192</v>
      </c>
      <c r="D56" s="72"/>
      <c r="E56" s="5"/>
      <c r="F56" s="5"/>
      <c r="G56" s="5"/>
    </row>
    <row r="57" spans="1:7" ht="13">
      <c r="A57" s="64" t="s">
        <v>7299</v>
      </c>
      <c r="B57" s="77" t="s">
        <v>1224</v>
      </c>
      <c r="C57" s="64" t="s">
        <v>192</v>
      </c>
      <c r="D57" s="72"/>
      <c r="E57" s="51"/>
      <c r="F57" s="5"/>
      <c r="G57" s="5"/>
    </row>
    <row r="58" spans="1:7" ht="13">
      <c r="A58" s="64" t="s">
        <v>7300</v>
      </c>
      <c r="B58" s="77" t="s">
        <v>1503</v>
      </c>
      <c r="C58" s="64" t="s">
        <v>192</v>
      </c>
      <c r="D58" s="72"/>
      <c r="E58" s="51"/>
      <c r="F58" s="5"/>
      <c r="G58" s="5"/>
    </row>
    <row r="59" spans="1:7" ht="13">
      <c r="A59" s="64" t="s">
        <v>7301</v>
      </c>
      <c r="B59" s="77" t="s">
        <v>1501</v>
      </c>
      <c r="C59" s="64" t="s">
        <v>192</v>
      </c>
      <c r="D59" s="72"/>
      <c r="E59" s="51"/>
      <c r="F59" s="5"/>
      <c r="G59" s="5"/>
    </row>
    <row r="60" spans="1:7" ht="13">
      <c r="A60" s="64" t="s">
        <v>7302</v>
      </c>
      <c r="B60" s="77" t="s">
        <v>6542</v>
      </c>
      <c r="C60" s="64" t="s">
        <v>192</v>
      </c>
      <c r="D60" s="72"/>
      <c r="E60" s="51"/>
      <c r="F60" s="5"/>
      <c r="G60" s="5"/>
    </row>
    <row r="61" spans="1:7" ht="13">
      <c r="A61" s="64" t="s">
        <v>7303</v>
      </c>
      <c r="B61" s="78" t="str">
        <f>HYPERLINK("https://bulbapedia.bulbagarden.net/wiki/Mr._Mime-GX_(Celestial_Storm_56)","Mr. MimeGX")</f>
        <v>Mr. MimeGX</v>
      </c>
      <c r="C61" s="64" t="s">
        <v>195</v>
      </c>
      <c r="D61" s="72"/>
      <c r="E61" s="5"/>
      <c r="F61" s="5"/>
      <c r="G61" s="5"/>
    </row>
    <row r="62" spans="1:7" ht="13">
      <c r="A62" s="64" t="s">
        <v>7304</v>
      </c>
      <c r="B62" s="77" t="s">
        <v>1875</v>
      </c>
      <c r="C62" s="64" t="s">
        <v>195</v>
      </c>
      <c r="D62" s="72"/>
      <c r="E62" s="51"/>
      <c r="F62" s="5"/>
      <c r="G62" s="5"/>
    </row>
    <row r="63" spans="1:7" ht="13">
      <c r="A63" s="64" t="s">
        <v>7305</v>
      </c>
      <c r="B63" s="77" t="s">
        <v>1860</v>
      </c>
      <c r="C63" s="64" t="s">
        <v>195</v>
      </c>
      <c r="D63" s="72"/>
      <c r="E63" s="51"/>
      <c r="F63" s="5"/>
      <c r="G63" s="5"/>
    </row>
    <row r="64" spans="1:7" ht="13">
      <c r="A64" s="64" t="s">
        <v>7306</v>
      </c>
      <c r="B64" s="77" t="s">
        <v>1584</v>
      </c>
      <c r="C64" s="64" t="s">
        <v>195</v>
      </c>
      <c r="D64" s="72"/>
      <c r="E64" s="51"/>
      <c r="F64" s="5"/>
      <c r="G64" s="5"/>
    </row>
    <row r="65" spans="1:7" ht="13">
      <c r="A65" s="64" t="s">
        <v>7307</v>
      </c>
      <c r="B65" s="77" t="s">
        <v>1499</v>
      </c>
      <c r="C65" s="64" t="s">
        <v>195</v>
      </c>
      <c r="D65" s="72"/>
      <c r="E65" s="51"/>
      <c r="F65" s="5"/>
      <c r="G65" s="5"/>
    </row>
    <row r="66" spans="1:7" ht="13">
      <c r="A66" s="64" t="s">
        <v>7308</v>
      </c>
      <c r="B66" s="77" t="s">
        <v>1366</v>
      </c>
      <c r="C66" s="64" t="s">
        <v>195</v>
      </c>
      <c r="D66" s="72"/>
      <c r="E66" s="51"/>
      <c r="F66" s="5"/>
      <c r="G66" s="5"/>
    </row>
    <row r="67" spans="1:7" ht="13">
      <c r="A67" s="64" t="s">
        <v>7309</v>
      </c>
      <c r="B67" s="77" t="s">
        <v>1376</v>
      </c>
      <c r="C67" s="64" t="s">
        <v>195</v>
      </c>
      <c r="D67" s="72"/>
      <c r="E67" s="51"/>
      <c r="F67" s="5"/>
      <c r="G67" s="5"/>
    </row>
    <row r="68" spans="1:7" ht="13">
      <c r="A68" s="64" t="s">
        <v>7310</v>
      </c>
      <c r="B68" s="77" t="s">
        <v>1548</v>
      </c>
      <c r="C68" s="64" t="s">
        <v>195</v>
      </c>
      <c r="D68" s="72"/>
      <c r="E68" s="51"/>
      <c r="F68" s="5"/>
      <c r="G68" s="5"/>
    </row>
    <row r="69" spans="1:7" ht="13">
      <c r="A69" s="64" t="s">
        <v>7311</v>
      </c>
      <c r="B69" s="77" t="s">
        <v>1548</v>
      </c>
      <c r="C69" s="64" t="s">
        <v>195</v>
      </c>
      <c r="D69" s="72"/>
      <c r="E69" s="51"/>
      <c r="F69" s="5"/>
      <c r="G69" s="5"/>
    </row>
    <row r="70" spans="1:7" ht="13">
      <c r="A70" s="64" t="s">
        <v>7312</v>
      </c>
      <c r="B70" s="77" t="s">
        <v>1788</v>
      </c>
      <c r="C70" s="64" t="s">
        <v>195</v>
      </c>
      <c r="D70" s="72"/>
      <c r="E70" s="51"/>
      <c r="F70" s="5"/>
      <c r="G70" s="5"/>
    </row>
    <row r="71" spans="1:7" ht="13">
      <c r="A71" s="64" t="s">
        <v>7313</v>
      </c>
      <c r="B71" s="78" t="str">
        <f>HYPERLINK("https://bulbapedia.bulbagarden.net/w/index.php?title=Banette-GX_(Celestial_Storm_66)&amp;action=edit&amp;redlink=1","BanetteGX")</f>
        <v>BanetteGX</v>
      </c>
      <c r="C71" s="64" t="s">
        <v>195</v>
      </c>
      <c r="D71" s="72"/>
      <c r="E71" s="51"/>
      <c r="F71" s="5"/>
      <c r="G71" s="5"/>
    </row>
    <row r="72" spans="1:7" ht="13">
      <c r="A72" s="64" t="s">
        <v>7314</v>
      </c>
      <c r="B72" s="77" t="s">
        <v>5460</v>
      </c>
      <c r="C72" s="64" t="s">
        <v>195</v>
      </c>
      <c r="D72" s="72"/>
      <c r="E72" s="51"/>
      <c r="F72" s="51"/>
      <c r="G72" s="5"/>
    </row>
    <row r="73" spans="1:7" ht="13">
      <c r="A73" s="64" t="s">
        <v>7315</v>
      </c>
      <c r="B73" s="77" t="s">
        <v>5460</v>
      </c>
      <c r="C73" s="64" t="s">
        <v>195</v>
      </c>
      <c r="D73" s="72"/>
      <c r="E73" s="5"/>
      <c r="F73" s="5"/>
      <c r="G73" s="5"/>
    </row>
    <row r="74" spans="1:7" ht="13">
      <c r="A74" s="64" t="s">
        <v>7316</v>
      </c>
      <c r="B74" s="77" t="s">
        <v>5460</v>
      </c>
      <c r="C74" s="64" t="s">
        <v>195</v>
      </c>
      <c r="D74" s="72"/>
      <c r="E74" s="5"/>
      <c r="F74" s="5"/>
      <c r="G74" s="5"/>
    </row>
    <row r="75" spans="1:7" ht="13">
      <c r="A75" s="64" t="s">
        <v>7317</v>
      </c>
      <c r="B75" s="77" t="s">
        <v>6600</v>
      </c>
      <c r="C75" s="64" t="s">
        <v>195</v>
      </c>
      <c r="D75" s="72"/>
      <c r="E75" s="51"/>
      <c r="F75" s="51"/>
      <c r="G75" s="5"/>
    </row>
    <row r="76" spans="1:7" ht="13">
      <c r="A76" s="64" t="s">
        <v>7318</v>
      </c>
      <c r="B76" s="77" t="s">
        <v>288</v>
      </c>
      <c r="C76" s="64" t="s">
        <v>225</v>
      </c>
      <c r="D76" s="72"/>
      <c r="E76" s="51"/>
      <c r="F76" s="5"/>
      <c r="G76" s="5"/>
    </row>
    <row r="77" spans="1:7" ht="13">
      <c r="A77" s="64" t="s">
        <v>7319</v>
      </c>
      <c r="B77" s="77" t="s">
        <v>840</v>
      </c>
      <c r="C77" s="64" t="s">
        <v>225</v>
      </c>
      <c r="D77" s="72"/>
      <c r="E77" s="5"/>
      <c r="F77" s="5"/>
      <c r="G77" s="5"/>
    </row>
    <row r="78" spans="1:7" ht="13">
      <c r="A78" s="64" t="s">
        <v>7320</v>
      </c>
      <c r="B78" s="77" t="s">
        <v>801</v>
      </c>
      <c r="C78" s="64" t="s">
        <v>225</v>
      </c>
      <c r="D78" s="72"/>
      <c r="E78" s="5"/>
      <c r="F78" s="5"/>
      <c r="G78" s="5"/>
    </row>
    <row r="79" spans="1:7" ht="13">
      <c r="A79" s="64" t="s">
        <v>7321</v>
      </c>
      <c r="B79" s="77" t="s">
        <v>955</v>
      </c>
      <c r="C79" s="64" t="s">
        <v>225</v>
      </c>
      <c r="D79" s="72"/>
      <c r="E79" s="51"/>
      <c r="F79" s="5"/>
      <c r="G79" s="5"/>
    </row>
    <row r="80" spans="1:7" ht="13">
      <c r="A80" s="64" t="s">
        <v>7322</v>
      </c>
      <c r="B80" s="77" t="s">
        <v>948</v>
      </c>
      <c r="C80" s="64" t="s">
        <v>225</v>
      </c>
      <c r="D80" s="72"/>
      <c r="E80" s="51"/>
      <c r="F80" s="5"/>
      <c r="G80" s="5"/>
    </row>
    <row r="81" spans="1:7" ht="13">
      <c r="A81" s="64" t="s">
        <v>7323</v>
      </c>
      <c r="B81" s="77" t="s">
        <v>1541</v>
      </c>
      <c r="C81" s="64" t="s">
        <v>225</v>
      </c>
      <c r="D81" s="72"/>
      <c r="E81" s="5"/>
      <c r="F81" s="5"/>
      <c r="G81" s="5"/>
    </row>
    <row r="82" spans="1:7" ht="13">
      <c r="A82" s="64" t="s">
        <v>7324</v>
      </c>
      <c r="B82" s="77" t="s">
        <v>1802</v>
      </c>
      <c r="C82" s="64" t="s">
        <v>225</v>
      </c>
      <c r="D82" s="72"/>
      <c r="E82" s="51"/>
      <c r="F82" s="5"/>
      <c r="G82" s="5"/>
    </row>
    <row r="83" spans="1:7" ht="13">
      <c r="A83" s="64" t="s">
        <v>7325</v>
      </c>
      <c r="B83" s="77" t="s">
        <v>1400</v>
      </c>
      <c r="C83" s="64" t="s">
        <v>225</v>
      </c>
      <c r="D83" s="72"/>
      <c r="E83" s="51"/>
      <c r="F83" s="5"/>
      <c r="G83" s="5"/>
    </row>
    <row r="84" spans="1:7" ht="13">
      <c r="A84" s="64" t="s">
        <v>7326</v>
      </c>
      <c r="B84" s="77" t="s">
        <v>1790</v>
      </c>
      <c r="C84" s="64" t="s">
        <v>225</v>
      </c>
      <c r="D84" s="72"/>
      <c r="E84" s="5"/>
      <c r="F84" s="5"/>
      <c r="G84" s="5"/>
    </row>
    <row r="85" spans="1:7" ht="13">
      <c r="A85" s="64" t="s">
        <v>7327</v>
      </c>
      <c r="B85" s="77" t="s">
        <v>2780</v>
      </c>
      <c r="C85" s="64" t="s">
        <v>225</v>
      </c>
      <c r="D85" s="72"/>
      <c r="E85" s="51"/>
      <c r="F85" s="5"/>
      <c r="G85" s="5"/>
    </row>
    <row r="86" spans="1:7" ht="13">
      <c r="A86" s="64" t="s">
        <v>7328</v>
      </c>
      <c r="B86" s="77" t="s">
        <v>1935</v>
      </c>
      <c r="C86" s="64" t="s">
        <v>225</v>
      </c>
      <c r="D86" s="72"/>
      <c r="E86" s="51"/>
      <c r="F86" s="51"/>
      <c r="G86" s="5"/>
    </row>
    <row r="87" spans="1:7" ht="13">
      <c r="A87" s="64" t="s">
        <v>7329</v>
      </c>
      <c r="B87" s="78" t="str">
        <f>HYPERLINK("https://bulbapedia.bulbagarden.net/w/index.php?title=Palossand-GX_(Celestial_Storm_82)&amp;action=edit&amp;redlink=1","PalossandGX")</f>
        <v>PalossandGX</v>
      </c>
      <c r="C87" s="64" t="s">
        <v>225</v>
      </c>
      <c r="D87" s="76"/>
      <c r="E87" s="5"/>
      <c r="F87" s="5"/>
      <c r="G87" s="5"/>
    </row>
    <row r="88" spans="1:7" ht="13">
      <c r="A88" s="64" t="s">
        <v>7330</v>
      </c>
      <c r="B88" s="77" t="s">
        <v>6619</v>
      </c>
      <c r="C88" s="64" t="s">
        <v>225</v>
      </c>
      <c r="D88" s="72"/>
      <c r="E88" s="51"/>
      <c r="F88" s="5"/>
      <c r="G88" s="5"/>
    </row>
    <row r="89" spans="1:7" ht="13">
      <c r="A89" s="64" t="s">
        <v>7331</v>
      </c>
      <c r="B89" s="77" t="s">
        <v>6493</v>
      </c>
      <c r="C89" s="64" t="s">
        <v>808</v>
      </c>
      <c r="D89" s="72"/>
      <c r="E89" s="51"/>
      <c r="F89" s="5"/>
      <c r="G89" s="5"/>
    </row>
    <row r="90" spans="1:7" ht="13">
      <c r="A90" s="64" t="s">
        <v>7332</v>
      </c>
      <c r="B90" s="78" t="str">
        <f>HYPERLINK("https://bulbapedia.bulbagarden.net/wiki/Alolan_Raticate-GX_(Celestial_Storm_85)","Alolan RaticateGX")</f>
        <v>Alolan RaticateGX</v>
      </c>
      <c r="C90" s="64" t="s">
        <v>808</v>
      </c>
      <c r="D90" s="72"/>
      <c r="E90" s="5"/>
      <c r="F90" s="5"/>
      <c r="G90" s="5"/>
    </row>
    <row r="91" spans="1:7" ht="13">
      <c r="A91" s="64" t="s">
        <v>7333</v>
      </c>
      <c r="B91" s="77" t="s">
        <v>810</v>
      </c>
      <c r="C91" s="64" t="s">
        <v>808</v>
      </c>
      <c r="D91" s="72"/>
      <c r="E91" s="51"/>
      <c r="F91" s="5"/>
      <c r="G91" s="5"/>
    </row>
    <row r="92" spans="1:7" ht="13">
      <c r="A92" s="64" t="s">
        <v>7334</v>
      </c>
      <c r="B92" s="77" t="s">
        <v>941</v>
      </c>
      <c r="C92" s="64" t="s">
        <v>808</v>
      </c>
      <c r="D92" s="72"/>
      <c r="E92" s="5"/>
      <c r="F92" s="51"/>
      <c r="G92" s="5"/>
    </row>
    <row r="93" spans="1:7" ht="13">
      <c r="A93" s="64" t="s">
        <v>7335</v>
      </c>
      <c r="B93" s="77" t="s">
        <v>1370</v>
      </c>
      <c r="C93" s="64" t="s">
        <v>808</v>
      </c>
      <c r="D93" s="72"/>
      <c r="E93" s="51"/>
      <c r="F93" s="5"/>
      <c r="G93" s="5"/>
    </row>
    <row r="94" spans="1:7" ht="13">
      <c r="A94" s="64" t="s">
        <v>7336</v>
      </c>
      <c r="B94" s="77" t="s">
        <v>791</v>
      </c>
      <c r="C94" s="64" t="s">
        <v>220</v>
      </c>
      <c r="D94" s="72"/>
      <c r="E94" s="51"/>
      <c r="F94" s="51"/>
      <c r="G94" s="5"/>
    </row>
    <row r="95" spans="1:7" ht="13">
      <c r="A95" s="64" t="s">
        <v>7337</v>
      </c>
      <c r="B95" s="78" t="str">
        <f>HYPERLINK("https://bulbapedia.bulbagarden.net/w/index.php?title=Scizor-GX_(Celestial_Storm_90)&amp;action=edit&amp;redlink=1","ScizorGX")</f>
        <v>ScizorGX</v>
      </c>
      <c r="C95" s="64" t="s">
        <v>220</v>
      </c>
      <c r="D95" s="76"/>
      <c r="E95" s="5"/>
      <c r="F95" s="5"/>
      <c r="G95" s="5"/>
    </row>
    <row r="96" spans="1:7" ht="13">
      <c r="A96" s="64" t="s">
        <v>7338</v>
      </c>
      <c r="B96" s="77" t="s">
        <v>1368</v>
      </c>
      <c r="C96" s="64" t="s">
        <v>220</v>
      </c>
      <c r="D96" s="72"/>
      <c r="E96" s="51"/>
      <c r="F96" s="5"/>
      <c r="G96" s="5"/>
    </row>
    <row r="97" spans="1:7" ht="13">
      <c r="A97" s="64" t="s">
        <v>7339</v>
      </c>
      <c r="B97" s="77" t="s">
        <v>1197</v>
      </c>
      <c r="C97" s="64" t="s">
        <v>220</v>
      </c>
      <c r="D97" s="72"/>
      <c r="E97" s="5"/>
      <c r="F97" s="5"/>
      <c r="G97" s="5"/>
    </row>
    <row r="98" spans="1:7" ht="13">
      <c r="A98" s="64" t="s">
        <v>7340</v>
      </c>
      <c r="B98" s="77" t="s">
        <v>1197</v>
      </c>
      <c r="C98" s="64" t="s">
        <v>220</v>
      </c>
      <c r="D98" s="72"/>
      <c r="E98" s="51"/>
      <c r="F98" s="5"/>
      <c r="G98" s="5"/>
    </row>
    <row r="99" spans="1:7" ht="13">
      <c r="A99" s="64" t="s">
        <v>7341</v>
      </c>
      <c r="B99" s="77" t="s">
        <v>1198</v>
      </c>
      <c r="C99" s="64" t="s">
        <v>220</v>
      </c>
      <c r="D99" s="72"/>
      <c r="E99" s="51"/>
      <c r="F99" s="5"/>
      <c r="G99" s="5"/>
    </row>
    <row r="100" spans="1:7" ht="13">
      <c r="A100" s="64" t="s">
        <v>7342</v>
      </c>
      <c r="B100" s="77" t="s">
        <v>1804</v>
      </c>
      <c r="C100" s="64" t="s">
        <v>220</v>
      </c>
      <c r="D100" s="72"/>
      <c r="E100" s="5"/>
      <c r="F100" s="51"/>
      <c r="G100" s="51"/>
    </row>
    <row r="101" spans="1:7" ht="13">
      <c r="A101" s="64" t="s">
        <v>7343</v>
      </c>
      <c r="B101" s="77" t="s">
        <v>2781</v>
      </c>
      <c r="C101" s="64" t="s">
        <v>220</v>
      </c>
      <c r="D101" s="72"/>
      <c r="E101" s="5"/>
      <c r="F101" s="5"/>
      <c r="G101" s="5"/>
    </row>
    <row r="102" spans="1:7" ht="13">
      <c r="A102" s="64" t="s">
        <v>7344</v>
      </c>
      <c r="B102" s="78" t="str">
        <f>HYPERLINK("https://bulbapedia.bulbagarden.net/wiki/Jirachi_%E2%99%A2_(Celestial_Storm_97)","Jirachi♦")</f>
        <v>Jirachi♦</v>
      </c>
      <c r="C102" s="64" t="s">
        <v>220</v>
      </c>
      <c r="D102" s="72"/>
      <c r="E102" s="51"/>
      <c r="F102" s="5"/>
      <c r="G102" s="5"/>
    </row>
    <row r="103" spans="1:7" ht="13">
      <c r="A103" s="64" t="s">
        <v>7345</v>
      </c>
      <c r="B103" s="77" t="s">
        <v>3377</v>
      </c>
      <c r="C103" s="64" t="s">
        <v>220</v>
      </c>
      <c r="D103" s="72"/>
      <c r="E103" s="5"/>
      <c r="F103" s="51"/>
      <c r="G103" s="5"/>
    </row>
    <row r="104" spans="1:7" ht="13">
      <c r="A104" s="64" t="s">
        <v>7346</v>
      </c>
      <c r="B104" s="77" t="s">
        <v>6630</v>
      </c>
      <c r="C104" s="64" t="s">
        <v>220</v>
      </c>
      <c r="D104" s="72"/>
      <c r="E104" s="51"/>
      <c r="F104" s="51"/>
      <c r="G104" s="5"/>
    </row>
    <row r="105" spans="1:7" ht="13">
      <c r="A105" s="64" t="s">
        <v>7347</v>
      </c>
      <c r="B105" s="77" t="s">
        <v>7348</v>
      </c>
      <c r="C105" s="64" t="s">
        <v>220</v>
      </c>
      <c r="D105" s="72"/>
      <c r="E105" s="51"/>
      <c r="F105" s="51"/>
      <c r="G105" s="51"/>
    </row>
    <row r="106" spans="1:7" ht="13">
      <c r="A106" s="64" t="s">
        <v>7349</v>
      </c>
      <c r="B106" s="77" t="s">
        <v>7350</v>
      </c>
      <c r="C106" s="64" t="s">
        <v>220</v>
      </c>
      <c r="D106" s="72"/>
      <c r="E106" s="51"/>
      <c r="F106" s="5"/>
      <c r="G106" s="5"/>
    </row>
    <row r="107" spans="1:7" ht="13">
      <c r="A107" s="64" t="s">
        <v>7351</v>
      </c>
      <c r="B107" s="78" t="str">
        <f>HYPERLINK("https://bulbapedia.bulbagarden.net/wiki/Stakataka-GX_(Celestial_Storm_102)","StakatakaGX")</f>
        <v>StakatakaGX</v>
      </c>
      <c r="C107" s="72" t="s">
        <v>220</v>
      </c>
      <c r="D107" s="72"/>
      <c r="E107" s="5"/>
      <c r="F107" s="5"/>
      <c r="G107" s="5"/>
    </row>
    <row r="108" spans="1:7" ht="13">
      <c r="A108" s="64" t="s">
        <v>7352</v>
      </c>
      <c r="B108" s="77" t="s">
        <v>1526</v>
      </c>
      <c r="C108" s="64" t="s">
        <v>4285</v>
      </c>
      <c r="D108" s="72"/>
      <c r="E108" s="51"/>
      <c r="F108" s="5"/>
      <c r="G108" s="5"/>
    </row>
    <row r="109" spans="1:7" ht="13">
      <c r="A109" s="64" t="s">
        <v>7353</v>
      </c>
      <c r="B109" s="77" t="s">
        <v>1526</v>
      </c>
      <c r="C109" s="64" t="s">
        <v>4285</v>
      </c>
      <c r="D109" s="72"/>
      <c r="E109" s="51"/>
      <c r="F109" s="5"/>
      <c r="G109" s="5"/>
    </row>
    <row r="110" spans="1:7" ht="13">
      <c r="A110" s="64" t="s">
        <v>7354</v>
      </c>
      <c r="B110" s="77" t="s">
        <v>1521</v>
      </c>
      <c r="C110" s="64" t="s">
        <v>4285</v>
      </c>
      <c r="D110" s="72"/>
      <c r="E110" s="51"/>
      <c r="F110" s="5"/>
      <c r="G110" s="5"/>
    </row>
    <row r="111" spans="1:7" ht="13">
      <c r="A111" s="64" t="s">
        <v>7355</v>
      </c>
      <c r="B111" s="77" t="s">
        <v>1507</v>
      </c>
      <c r="C111" s="64" t="s">
        <v>4285</v>
      </c>
      <c r="D111" s="76"/>
      <c r="E111" s="5"/>
      <c r="F111" s="5"/>
      <c r="G111" s="5"/>
    </row>
    <row r="112" spans="1:7" ht="13">
      <c r="A112" s="64" t="s">
        <v>7356</v>
      </c>
      <c r="B112" s="78" t="str">
        <f>HYPERLINK("https://bulbapedia.bulbagarden.net/wiki/Latias_%E2%99%A2_(Celestial_Storm_107)","Latias♦")</f>
        <v>Latias♦</v>
      </c>
      <c r="C112" s="64" t="s">
        <v>4285</v>
      </c>
      <c r="D112" s="76"/>
      <c r="E112" s="51"/>
      <c r="F112" s="5"/>
      <c r="G112" s="5"/>
    </row>
    <row r="113" spans="1:7" ht="13">
      <c r="A113" s="64" t="s">
        <v>7357</v>
      </c>
      <c r="B113" s="78" t="str">
        <f>HYPERLINK("https://bulbapedia.bulbagarden.net/wiki/Latios_%E2%99%A2_(Celestial_Storm_108)","Latios♦")</f>
        <v>Latios♦</v>
      </c>
      <c r="C113" s="64" t="s">
        <v>4285</v>
      </c>
      <c r="D113" s="72"/>
      <c r="E113" s="5"/>
      <c r="F113" s="5"/>
      <c r="G113" s="5"/>
    </row>
    <row r="114" spans="1:7" ht="13">
      <c r="A114" s="64" t="s">
        <v>7358</v>
      </c>
      <c r="B114" s="78" t="str">
        <f>HYPERLINK("https://bulbapedia.bulbagarden.net/wiki/Rayquaza-GX_(Celestial_Storm_109)","RayquazaGX")</f>
        <v>RayquazaGX</v>
      </c>
      <c r="C114" s="64" t="s">
        <v>4285</v>
      </c>
      <c r="D114" s="72"/>
      <c r="E114" s="5"/>
      <c r="F114" s="5"/>
      <c r="G114" s="5"/>
    </row>
    <row r="115" spans="1:7" ht="13">
      <c r="A115" s="64" t="s">
        <v>7359</v>
      </c>
      <c r="B115" s="77" t="s">
        <v>954</v>
      </c>
      <c r="C115" s="64" t="s">
        <v>197</v>
      </c>
      <c r="D115" s="72"/>
      <c r="E115" s="51"/>
      <c r="F115" s="5"/>
      <c r="G115" s="5"/>
    </row>
    <row r="116" spans="1:7" ht="13">
      <c r="A116" s="64" t="s">
        <v>7360</v>
      </c>
      <c r="B116" s="77" t="s">
        <v>1321</v>
      </c>
      <c r="C116" s="64" t="s">
        <v>197</v>
      </c>
      <c r="D116" s="72"/>
      <c r="E116" s="51"/>
      <c r="F116" s="5"/>
      <c r="G116" s="5"/>
    </row>
    <row r="117" spans="1:7" ht="13">
      <c r="A117" s="64" t="s">
        <v>7361</v>
      </c>
      <c r="B117" s="77" t="s">
        <v>1242</v>
      </c>
      <c r="C117" s="64" t="s">
        <v>197</v>
      </c>
      <c r="D117" s="72"/>
      <c r="E117" s="51"/>
      <c r="F117" s="5"/>
      <c r="G117" s="5"/>
    </row>
    <row r="118" spans="1:7" ht="13">
      <c r="A118" s="64" t="s">
        <v>7362</v>
      </c>
      <c r="B118" s="77" t="s">
        <v>1278</v>
      </c>
      <c r="C118" s="64" t="s">
        <v>197</v>
      </c>
      <c r="D118" s="72"/>
      <c r="E118" s="51"/>
      <c r="F118" s="5"/>
      <c r="G118" s="5"/>
    </row>
    <row r="119" spans="1:7" ht="13">
      <c r="A119" s="64" t="s">
        <v>7363</v>
      </c>
      <c r="B119" s="77" t="s">
        <v>1282</v>
      </c>
      <c r="C119" s="64" t="s">
        <v>197</v>
      </c>
      <c r="D119" s="72"/>
      <c r="E119" s="51"/>
      <c r="F119" s="5"/>
      <c r="G119" s="5"/>
    </row>
    <row r="120" spans="1:7" ht="13">
      <c r="A120" s="64" t="s">
        <v>7364</v>
      </c>
      <c r="B120" s="77" t="s">
        <v>1230</v>
      </c>
      <c r="C120" s="64" t="s">
        <v>197</v>
      </c>
      <c r="D120" s="72"/>
      <c r="E120" s="51"/>
      <c r="F120" s="51"/>
      <c r="G120" s="5"/>
    </row>
    <row r="121" spans="1:7" ht="13">
      <c r="A121" s="64" t="s">
        <v>7365</v>
      </c>
      <c r="B121" s="77" t="s">
        <v>1898</v>
      </c>
      <c r="C121" s="64" t="s">
        <v>197</v>
      </c>
      <c r="D121" s="72"/>
      <c r="E121" s="51"/>
      <c r="F121" s="5"/>
      <c r="G121" s="5"/>
    </row>
    <row r="122" spans="1:7" ht="13">
      <c r="A122" s="64" t="s">
        <v>7366</v>
      </c>
      <c r="B122" s="77" t="s">
        <v>1898</v>
      </c>
      <c r="C122" s="64" t="s">
        <v>197</v>
      </c>
      <c r="D122" s="72"/>
      <c r="E122" s="51"/>
      <c r="F122" s="5"/>
      <c r="G122" s="5"/>
    </row>
    <row r="123" spans="1:7" ht="13">
      <c r="A123" s="64" t="s">
        <v>7367</v>
      </c>
      <c r="B123" s="77" t="s">
        <v>1845</v>
      </c>
      <c r="C123" s="64" t="s">
        <v>197</v>
      </c>
      <c r="D123" s="72"/>
      <c r="E123" s="51"/>
      <c r="F123" s="5"/>
      <c r="G123" s="5"/>
    </row>
    <row r="124" spans="1:7" ht="13">
      <c r="A124" s="64" t="s">
        <v>7368</v>
      </c>
      <c r="B124" s="77" t="s">
        <v>1796</v>
      </c>
      <c r="C124" s="64" t="s">
        <v>197</v>
      </c>
      <c r="D124" s="72"/>
      <c r="E124" s="51"/>
      <c r="F124" s="5"/>
      <c r="G124" s="5"/>
    </row>
    <row r="125" spans="1:7" ht="13">
      <c r="A125" s="64" t="s">
        <v>7369</v>
      </c>
      <c r="B125" s="77" t="s">
        <v>1276</v>
      </c>
      <c r="C125" s="64" t="s">
        <v>197</v>
      </c>
      <c r="D125" s="72"/>
      <c r="E125" s="51"/>
      <c r="F125" s="5"/>
      <c r="G125" s="5"/>
    </row>
    <row r="126" spans="1:7" ht="13">
      <c r="A126" s="64" t="s">
        <v>7370</v>
      </c>
      <c r="B126" s="77" t="s">
        <v>1216</v>
      </c>
      <c r="C126" s="64" t="s">
        <v>197</v>
      </c>
      <c r="D126" s="72"/>
      <c r="E126" s="5"/>
      <c r="F126" s="51"/>
      <c r="G126" s="5"/>
    </row>
    <row r="127" spans="1:7" ht="13">
      <c r="A127" s="64" t="s">
        <v>7371</v>
      </c>
      <c r="B127" s="77" t="s">
        <v>1383</v>
      </c>
      <c r="C127" s="64" t="s">
        <v>197</v>
      </c>
      <c r="D127" s="72"/>
      <c r="E127" s="5"/>
      <c r="F127" s="5"/>
      <c r="G127" s="5"/>
    </row>
    <row r="128" spans="1:7" ht="13">
      <c r="A128" s="64" t="s">
        <v>7372</v>
      </c>
      <c r="B128" s="77" t="s">
        <v>5399</v>
      </c>
      <c r="C128" s="64" t="s">
        <v>4114</v>
      </c>
      <c r="D128" s="72"/>
      <c r="E128" s="5"/>
      <c r="F128" s="5"/>
      <c r="G128" s="5"/>
    </row>
    <row r="129" spans="1:7" ht="13">
      <c r="A129" s="64" t="s">
        <v>7373</v>
      </c>
      <c r="B129" s="77" t="s">
        <v>1177</v>
      </c>
      <c r="C129" s="64" t="s">
        <v>1013</v>
      </c>
      <c r="D129" s="72"/>
      <c r="E129" s="5"/>
      <c r="F129" s="5"/>
      <c r="G129" s="5"/>
    </row>
    <row r="130" spans="1:7" ht="13">
      <c r="A130" s="64" t="s">
        <v>7374</v>
      </c>
      <c r="B130" s="77" t="s">
        <v>7375</v>
      </c>
      <c r="C130" s="64" t="s">
        <v>4114</v>
      </c>
      <c r="D130" s="72"/>
      <c r="E130" s="51"/>
      <c r="F130" s="5"/>
      <c r="G130" s="5"/>
    </row>
    <row r="131" spans="1:7" ht="13">
      <c r="A131" s="64" t="s">
        <v>7376</v>
      </c>
      <c r="B131" s="77" t="s">
        <v>1012</v>
      </c>
      <c r="C131" s="64" t="s">
        <v>1013</v>
      </c>
      <c r="D131" s="72"/>
      <c r="E131" s="51"/>
      <c r="F131" s="5"/>
      <c r="G131" s="5"/>
    </row>
    <row r="132" spans="1:7" ht="13">
      <c r="A132" s="64" t="s">
        <v>7377</v>
      </c>
      <c r="B132" s="77" t="s">
        <v>1014</v>
      </c>
      <c r="C132" s="64" t="s">
        <v>1013</v>
      </c>
      <c r="D132" s="72"/>
      <c r="E132" s="51"/>
      <c r="F132" s="5"/>
      <c r="G132" s="5"/>
    </row>
    <row r="133" spans="1:7" ht="13">
      <c r="A133" s="64" t="s">
        <v>7378</v>
      </c>
      <c r="B133" s="77" t="s">
        <v>1598</v>
      </c>
      <c r="C133" s="64" t="s">
        <v>4114</v>
      </c>
      <c r="D133" s="72"/>
      <c r="E133" s="51"/>
      <c r="F133" s="5"/>
      <c r="G133" s="5"/>
    </row>
    <row r="134" spans="1:7" ht="13">
      <c r="A134" s="64" t="s">
        <v>7379</v>
      </c>
      <c r="B134" s="77" t="s">
        <v>1140</v>
      </c>
      <c r="C134" s="64" t="s">
        <v>4114</v>
      </c>
      <c r="D134" s="72"/>
      <c r="E134" s="51"/>
      <c r="F134" s="5"/>
      <c r="G134" s="5"/>
    </row>
    <row r="135" spans="1:7" ht="13">
      <c r="A135" s="64" t="s">
        <v>7380</v>
      </c>
      <c r="B135" s="77" t="s">
        <v>1179</v>
      </c>
      <c r="C135" s="64" t="s">
        <v>1013</v>
      </c>
      <c r="D135" s="72"/>
      <c r="E135" s="51"/>
      <c r="F135" s="5"/>
      <c r="G135" s="5"/>
    </row>
    <row r="136" spans="1:7" ht="13">
      <c r="A136" s="64" t="s">
        <v>7381</v>
      </c>
      <c r="B136" s="77" t="s">
        <v>1180</v>
      </c>
      <c r="C136" s="64" t="s">
        <v>4114</v>
      </c>
      <c r="D136" s="72"/>
      <c r="E136" s="51"/>
      <c r="F136" s="5"/>
      <c r="G136" s="5"/>
    </row>
    <row r="137" spans="1:7" ht="13">
      <c r="A137" s="64" t="s">
        <v>7382</v>
      </c>
      <c r="B137" s="77" t="s">
        <v>6507</v>
      </c>
      <c r="C137" s="64" t="s">
        <v>1013</v>
      </c>
      <c r="D137" s="72"/>
      <c r="E137" s="51"/>
      <c r="F137" s="5"/>
      <c r="G137" s="5"/>
    </row>
    <row r="138" spans="1:7" ht="13">
      <c r="A138" s="64" t="s">
        <v>7383</v>
      </c>
      <c r="B138" s="77" t="s">
        <v>7384</v>
      </c>
      <c r="C138" s="64" t="s">
        <v>1013</v>
      </c>
      <c r="D138" s="72"/>
      <c r="E138" s="5"/>
      <c r="F138" s="5"/>
      <c r="G138" s="5"/>
    </row>
    <row r="139" spans="1:7" ht="13">
      <c r="A139" s="64" t="s">
        <v>7385</v>
      </c>
      <c r="B139" s="77" t="s">
        <v>7386</v>
      </c>
      <c r="C139" s="64" t="s">
        <v>4114</v>
      </c>
      <c r="D139" s="72"/>
      <c r="E139" s="51"/>
      <c r="F139" s="5"/>
      <c r="G139" s="5"/>
    </row>
    <row r="140" spans="1:7" ht="13">
      <c r="A140" s="64" t="s">
        <v>7387</v>
      </c>
      <c r="B140" s="77" t="s">
        <v>7388</v>
      </c>
      <c r="C140" s="64" t="s">
        <v>4114</v>
      </c>
      <c r="D140" s="72"/>
      <c r="E140" s="5"/>
      <c r="F140" s="5"/>
      <c r="G140" s="5"/>
    </row>
    <row r="141" spans="1:7" ht="13">
      <c r="A141" s="64" t="s">
        <v>7389</v>
      </c>
      <c r="B141" s="77" t="s">
        <v>1913</v>
      </c>
      <c r="C141" s="64" t="s">
        <v>4114</v>
      </c>
      <c r="D141" s="72"/>
      <c r="E141" s="51"/>
      <c r="F141" s="5"/>
      <c r="G141" s="5"/>
    </row>
    <row r="142" spans="1:7" ht="13">
      <c r="A142" s="64" t="s">
        <v>7390</v>
      </c>
      <c r="B142" s="77" t="s">
        <v>7391</v>
      </c>
      <c r="C142" s="64" t="s">
        <v>1013</v>
      </c>
      <c r="D142" s="72"/>
      <c r="E142" s="51"/>
      <c r="F142" s="5"/>
      <c r="G142" s="5"/>
    </row>
    <row r="143" spans="1:7" ht="13">
      <c r="A143" s="64" t="s">
        <v>7392</v>
      </c>
      <c r="B143" s="77" t="s">
        <v>1182</v>
      </c>
      <c r="C143" s="64" t="s">
        <v>4114</v>
      </c>
      <c r="D143" s="72"/>
      <c r="E143" s="51"/>
      <c r="F143" s="5"/>
      <c r="G143" s="5"/>
    </row>
    <row r="144" spans="1:7" ht="13">
      <c r="A144" s="64" t="s">
        <v>7393</v>
      </c>
      <c r="B144" s="77" t="s">
        <v>7394</v>
      </c>
      <c r="C144" s="64" t="s">
        <v>1013</v>
      </c>
      <c r="D144" s="72"/>
      <c r="E144" s="51"/>
      <c r="F144" s="5"/>
      <c r="G144" s="5"/>
    </row>
    <row r="145" spans="1:7" ht="13">
      <c r="A145" s="64" t="s">
        <v>7395</v>
      </c>
      <c r="B145" s="77" t="s">
        <v>1338</v>
      </c>
      <c r="C145" s="64" t="s">
        <v>4114</v>
      </c>
      <c r="D145" s="72"/>
      <c r="E145" s="51"/>
      <c r="F145" s="5"/>
      <c r="G145" s="5"/>
    </row>
    <row r="146" spans="1:7" ht="13">
      <c r="A146" s="64" t="s">
        <v>7396</v>
      </c>
      <c r="B146" s="77" t="s">
        <v>7397</v>
      </c>
      <c r="C146" s="64" t="s">
        <v>4114</v>
      </c>
      <c r="D146" s="72"/>
      <c r="E146" s="51"/>
      <c r="F146" s="5"/>
      <c r="G146" s="5"/>
    </row>
    <row r="147" spans="1:7" ht="13">
      <c r="A147" s="64" t="s">
        <v>7398</v>
      </c>
      <c r="B147" s="77" t="s">
        <v>1470</v>
      </c>
      <c r="C147" s="64" t="s">
        <v>4114</v>
      </c>
      <c r="D147" s="72"/>
      <c r="E147" s="51"/>
      <c r="F147" s="5"/>
      <c r="G147" s="51"/>
    </row>
    <row r="148" spans="1:7" ht="13">
      <c r="A148" s="64" t="s">
        <v>7399</v>
      </c>
      <c r="B148" s="77" t="s">
        <v>7400</v>
      </c>
      <c r="C148" s="64" t="s">
        <v>229</v>
      </c>
      <c r="D148" s="72"/>
      <c r="E148" s="5"/>
      <c r="F148" s="5"/>
      <c r="G148" s="5"/>
    </row>
    <row r="149" spans="1:7" ht="13">
      <c r="A149" s="64" t="s">
        <v>7401</v>
      </c>
      <c r="B149" s="77" t="s">
        <v>7402</v>
      </c>
      <c r="C149" s="64" t="s">
        <v>229</v>
      </c>
      <c r="D149" s="72"/>
      <c r="E149" s="51"/>
      <c r="F149" s="5"/>
      <c r="G149" s="5"/>
    </row>
    <row r="150" spans="1:7" ht="13">
      <c r="A150" s="64" t="s">
        <v>7403</v>
      </c>
      <c r="B150" s="77" t="s">
        <v>7404</v>
      </c>
      <c r="C150" s="64" t="s">
        <v>1013</v>
      </c>
      <c r="D150" s="76"/>
      <c r="E150" s="51"/>
      <c r="F150" s="5"/>
      <c r="G150" s="51"/>
    </row>
    <row r="151" spans="1:7" ht="13">
      <c r="A151" s="64" t="s">
        <v>7405</v>
      </c>
      <c r="B151" s="77" t="s">
        <v>925</v>
      </c>
      <c r="C151" s="64" t="s">
        <v>4114</v>
      </c>
      <c r="D151" s="72"/>
      <c r="E151" s="51"/>
      <c r="F151" s="5"/>
      <c r="G151" s="5"/>
    </row>
    <row r="152" spans="1:7" ht="13">
      <c r="A152" s="64" t="s">
        <v>7406</v>
      </c>
      <c r="B152" s="77" t="s">
        <v>315</v>
      </c>
      <c r="C152" s="64" t="s">
        <v>4114</v>
      </c>
      <c r="D152" s="72"/>
      <c r="E152" s="5"/>
      <c r="F152" s="5"/>
      <c r="G152" s="5"/>
    </row>
    <row r="153" spans="1:7" ht="13">
      <c r="A153" s="64" t="s">
        <v>7407</v>
      </c>
      <c r="B153" s="77" t="s">
        <v>7408</v>
      </c>
      <c r="C153" s="64" t="s">
        <v>1013</v>
      </c>
      <c r="D153" s="72"/>
      <c r="E153" s="5"/>
      <c r="F153" s="5"/>
      <c r="G153" s="5"/>
    </row>
    <row r="154" spans="1:7" ht="13">
      <c r="A154" s="64" t="s">
        <v>7409</v>
      </c>
      <c r="B154" s="77" t="s">
        <v>1606</v>
      </c>
      <c r="C154" s="51" t="s">
        <v>1013</v>
      </c>
      <c r="D154" s="72"/>
      <c r="E154" s="51"/>
      <c r="F154" s="5"/>
      <c r="G154" s="5"/>
    </row>
    <row r="155" spans="1:7" ht="13">
      <c r="A155" s="64" t="s">
        <v>7410</v>
      </c>
      <c r="B155" s="77" t="s">
        <v>1183</v>
      </c>
      <c r="C155" s="51" t="s">
        <v>1013</v>
      </c>
      <c r="D155" s="51"/>
      <c r="E155" s="51"/>
      <c r="F155" s="5"/>
      <c r="G155" s="5"/>
    </row>
    <row r="156" spans="1:7" ht="13">
      <c r="A156" s="64" t="s">
        <v>7411</v>
      </c>
      <c r="B156" s="77" t="s">
        <v>524</v>
      </c>
      <c r="C156" s="64" t="s">
        <v>317</v>
      </c>
      <c r="D156" s="51"/>
      <c r="E156" s="51"/>
      <c r="F156" s="5"/>
      <c r="G156" s="5"/>
    </row>
    <row r="157" spans="1:7" ht="13">
      <c r="A157" s="64" t="s">
        <v>7412</v>
      </c>
      <c r="B157" s="78" t="str">
        <f>HYPERLINK("https://bulbapedia.bulbagarden.net/w/index.php?title=Shiftry-GX_(Celestial_Storm_152)&amp;action=edit&amp;redlink=1","ShiftryGX")</f>
        <v>ShiftryGX</v>
      </c>
      <c r="C157" s="64" t="s">
        <v>205</v>
      </c>
      <c r="D157" s="5"/>
      <c r="E157" s="5"/>
      <c r="F157" s="5"/>
      <c r="G157" s="5"/>
    </row>
    <row r="158" spans="1:7" ht="13">
      <c r="A158" s="64" t="s">
        <v>7413</v>
      </c>
      <c r="B158" s="78" t="str">
        <f>HYPERLINK("https://bulbapedia.bulbagarden.net/w/index.php?title=Blaziken-GX_(Celestial_Storm_153)&amp;action=edit&amp;redlink=1","BlazikenGX")</f>
        <v>BlazikenGX</v>
      </c>
      <c r="C158" s="64" t="s">
        <v>199</v>
      </c>
      <c r="D158" s="5"/>
      <c r="E158" s="5"/>
      <c r="F158" s="5"/>
      <c r="G158" s="5"/>
    </row>
    <row r="159" spans="1:7" ht="13">
      <c r="A159" s="64" t="s">
        <v>7414</v>
      </c>
      <c r="B159" s="78" t="str">
        <f>HYPERLINK("https://bulbapedia.bulbagarden.net/w/index.php?title=Articuno-GX_(Celestial_Storm_154)&amp;action=edit&amp;redlink=1","ArticunoGX")</f>
        <v>ArticunoGX</v>
      </c>
      <c r="C159" s="64" t="s">
        <v>208</v>
      </c>
      <c r="D159" s="5"/>
      <c r="E159" s="5"/>
      <c r="F159" s="5"/>
      <c r="G159" s="5"/>
    </row>
    <row r="160" spans="1:7" ht="13">
      <c r="A160" s="64" t="s">
        <v>7415</v>
      </c>
      <c r="B160" s="78" t="str">
        <f>HYPERLINK("https://bulbapedia.bulbagarden.net/w/index.php?title=Electrode-GX_(Celestial_Storm_155)&amp;action=edit&amp;redlink=1","ElectrodeGX")</f>
        <v>ElectrodeGX</v>
      </c>
      <c r="C160" s="64" t="s">
        <v>192</v>
      </c>
      <c r="D160" s="5"/>
      <c r="E160" s="5"/>
      <c r="F160" s="5"/>
      <c r="G160" s="5"/>
    </row>
    <row r="161" spans="1:7" ht="13">
      <c r="A161" s="64" t="s">
        <v>7416</v>
      </c>
      <c r="B161" s="78" t="str">
        <f>HYPERLINK("https://bulbapedia.bulbagarden.net/w/index.php?title=Mr._Mime-GX_(Celestial_Storm_156)&amp;action=edit&amp;redlink=1","Mr. MimeGX")</f>
        <v>Mr. MimeGX</v>
      </c>
      <c r="C161" s="64" t="s">
        <v>195</v>
      </c>
      <c r="D161" s="5"/>
      <c r="E161" s="5"/>
      <c r="F161" s="5"/>
      <c r="G161" s="5"/>
    </row>
    <row r="162" spans="1:7" ht="13">
      <c r="A162" s="64" t="s">
        <v>7417</v>
      </c>
      <c r="B162" s="78" t="str">
        <f>HYPERLINK("https://bulbapedia.bulbagarden.net/w/index.php?title=Banette-GX_(Celestial_Storm_157)&amp;action=edit&amp;redlink=1","BanetteGX")</f>
        <v>BanetteGX</v>
      </c>
      <c r="C162" s="64" t="s">
        <v>195</v>
      </c>
      <c r="D162" s="66"/>
      <c r="E162" s="5"/>
      <c r="F162" s="5"/>
      <c r="G162" s="5"/>
    </row>
    <row r="163" spans="1:7" ht="13">
      <c r="A163" s="64" t="s">
        <v>7418</v>
      </c>
      <c r="B163" s="78" t="str">
        <f>HYPERLINK("https://bulbapedia.bulbagarden.net/w/index.php?title=Scizor-GX_(Celestial_Storm_158)&amp;action=edit&amp;redlink=1","ScizorGX")</f>
        <v>ScizorGX</v>
      </c>
      <c r="C163" s="64" t="s">
        <v>220</v>
      </c>
      <c r="D163" s="72"/>
      <c r="E163" s="5"/>
      <c r="F163" s="5"/>
      <c r="G163" s="5"/>
    </row>
    <row r="164" spans="1:7" ht="13">
      <c r="A164" s="64" t="s">
        <v>7419</v>
      </c>
      <c r="B164" s="78" t="str">
        <f>HYPERLINK("https://bulbapedia.bulbagarden.net/w/index.php?title=Stakataka-GX_(Celestial_Storm_159)&amp;action=edit&amp;redlink=1","StakatakaGX")</f>
        <v>StakatakaGX</v>
      </c>
      <c r="C164" s="64" t="s">
        <v>220</v>
      </c>
      <c r="D164" s="72"/>
      <c r="E164" s="5"/>
      <c r="F164" s="5"/>
      <c r="G164" s="5"/>
    </row>
    <row r="165" spans="1:7" ht="13">
      <c r="A165" s="64" t="s">
        <v>7420</v>
      </c>
      <c r="B165" s="78" t="str">
        <f>HYPERLINK("https://bulbapedia.bulbagarden.net/w/index.php?title=Rayquaza-GX_(Celestial_Storm_160)&amp;action=edit&amp;redlink=1","RayquazaGX")</f>
        <v>RayquazaGX</v>
      </c>
      <c r="C165" s="64" t="s">
        <v>4285</v>
      </c>
      <c r="D165" s="66"/>
      <c r="E165" s="5"/>
      <c r="F165" s="5"/>
      <c r="G165" s="5"/>
    </row>
    <row r="166" spans="1:7" ht="13">
      <c r="A166" s="64" t="s">
        <v>7421</v>
      </c>
      <c r="B166" s="77" t="s">
        <v>1177</v>
      </c>
      <c r="C166" s="64" t="s">
        <v>1013</v>
      </c>
      <c r="D166" s="66"/>
      <c r="E166" s="5"/>
      <c r="F166" s="5"/>
      <c r="G166" s="5"/>
    </row>
    <row r="167" spans="1:7" ht="13">
      <c r="A167" s="64" t="s">
        <v>7422</v>
      </c>
      <c r="B167" s="77" t="s">
        <v>1012</v>
      </c>
      <c r="C167" s="64" t="s">
        <v>1013</v>
      </c>
      <c r="D167" s="66"/>
      <c r="E167" s="5"/>
      <c r="F167" s="5"/>
      <c r="G167" s="5"/>
    </row>
    <row r="168" spans="1:7" ht="13">
      <c r="A168" s="64" t="s">
        <v>7423</v>
      </c>
      <c r="B168" s="77" t="s">
        <v>1014</v>
      </c>
      <c r="C168" s="64" t="s">
        <v>1013</v>
      </c>
      <c r="D168" s="72"/>
      <c r="E168" s="5"/>
      <c r="F168" s="5"/>
      <c r="G168" s="5"/>
    </row>
    <row r="169" spans="1:7" ht="13">
      <c r="A169" s="64" t="s">
        <v>7424</v>
      </c>
      <c r="B169" s="77" t="s">
        <v>7391</v>
      </c>
      <c r="C169" s="64" t="s">
        <v>1013</v>
      </c>
      <c r="D169" s="66"/>
      <c r="E169" s="5"/>
      <c r="F169" s="5"/>
      <c r="G169" s="5"/>
    </row>
    <row r="170" spans="1:7" ht="13">
      <c r="A170" s="64" t="s">
        <v>7425</v>
      </c>
      <c r="B170" s="77" t="s">
        <v>7404</v>
      </c>
      <c r="C170" s="64" t="s">
        <v>1013</v>
      </c>
      <c r="D170" s="72"/>
      <c r="E170" s="5"/>
      <c r="F170" s="5"/>
      <c r="G170" s="5"/>
    </row>
    <row r="171" spans="1:7" ht="13">
      <c r="A171" s="64" t="s">
        <v>7426</v>
      </c>
      <c r="B171" s="77" t="s">
        <v>7408</v>
      </c>
      <c r="C171" s="64" t="s">
        <v>1013</v>
      </c>
      <c r="D171" s="66"/>
      <c r="E171" s="5"/>
      <c r="F171" s="5"/>
      <c r="G171" s="5"/>
    </row>
    <row r="172" spans="1:7" ht="13">
      <c r="A172" s="64" t="s">
        <v>7427</v>
      </c>
      <c r="B172" s="77" t="s">
        <v>1606</v>
      </c>
      <c r="C172" s="64" t="s">
        <v>1013</v>
      </c>
      <c r="D172" s="66"/>
      <c r="E172" s="5"/>
      <c r="F172" s="5"/>
      <c r="G172" s="5"/>
    </row>
    <row r="173" spans="1:7" ht="13">
      <c r="A173" s="64" t="s">
        <v>7428</v>
      </c>
      <c r="B173" s="77" t="s">
        <v>1183</v>
      </c>
      <c r="C173" s="64" t="s">
        <v>1013</v>
      </c>
      <c r="D173" s="72"/>
      <c r="E173" s="5"/>
      <c r="F173" s="5"/>
      <c r="G173" s="5"/>
    </row>
    <row r="174" spans="1:7" ht="13">
      <c r="A174" s="48" t="s">
        <v>7429</v>
      </c>
      <c r="B174" s="125" t="str">
        <f>HYPERLINK("https://bulbapedia.bulbagarden.net/wiki/Shiftry-GX_(Celestial_Storm_169)","ShiftryGX")</f>
        <v>ShiftryGX</v>
      </c>
      <c r="C174" s="70" t="s">
        <v>205</v>
      </c>
      <c r="D174" s="126"/>
      <c r="E174" s="126"/>
      <c r="F174" s="5"/>
      <c r="G174" s="5"/>
    </row>
    <row r="175" spans="1:7" ht="13">
      <c r="A175" s="48" t="s">
        <v>7430</v>
      </c>
      <c r="B175" s="125" t="str">
        <f>HYPERLINK("https://bulbapedia.bulbagarden.net/wiki/Blaziken-GX_(Celestial_Storm_170)","BlazikenGX")</f>
        <v>BlazikenGX</v>
      </c>
      <c r="C175" s="70" t="s">
        <v>199</v>
      </c>
      <c r="D175" s="126"/>
      <c r="E175" s="126"/>
      <c r="F175" s="5"/>
      <c r="G175" s="5"/>
    </row>
    <row r="176" spans="1:7" ht="13">
      <c r="A176" s="48" t="s">
        <v>7431</v>
      </c>
      <c r="B176" s="125" t="str">
        <f>HYPERLINK("https://bulbapedia.bulbagarden.net/wiki/Articuno-GX_(Celestial_Storm_171)","ArticunoGX")</f>
        <v>ArticunoGX</v>
      </c>
      <c r="C176" s="70" t="s">
        <v>208</v>
      </c>
      <c r="D176" s="126"/>
      <c r="E176" s="126"/>
      <c r="F176" s="5"/>
      <c r="G176" s="5"/>
    </row>
    <row r="177" spans="1:7" ht="13">
      <c r="A177" s="48" t="s">
        <v>7432</v>
      </c>
      <c r="B177" s="125" t="str">
        <f>HYPERLINK("https://bulbapedia.bulbagarden.net/wiki/Electrode-GX_(Celestial_Storm_172)","ElectrodeGX")</f>
        <v>ElectrodeGX</v>
      </c>
      <c r="C177" s="70" t="s">
        <v>7433</v>
      </c>
      <c r="D177" s="126"/>
      <c r="E177" s="126"/>
      <c r="F177" s="5"/>
      <c r="G177" s="5"/>
    </row>
    <row r="178" spans="1:7" ht="13">
      <c r="A178" s="48" t="s">
        <v>7434</v>
      </c>
      <c r="B178" s="125" t="str">
        <f>HYPERLINK("https://bulbapedia.bulbagarden.net/wiki/Mr._Mime-GX_(Celestial_Storm_173)","Mr. MimeGX")</f>
        <v>Mr. MimeGX</v>
      </c>
      <c r="C178" s="70" t="s">
        <v>195</v>
      </c>
      <c r="D178" s="126"/>
      <c r="E178" s="126"/>
      <c r="F178" s="5"/>
      <c r="G178" s="5"/>
    </row>
    <row r="179" spans="1:7" ht="13">
      <c r="A179" s="48" t="s">
        <v>7435</v>
      </c>
      <c r="B179" s="125" t="str">
        <f>HYPERLINK("https://bulbapedia.bulbagarden.net/wiki/Banette-GX_(Celestial_Storm_174)","BanetteGX")</f>
        <v>BanetteGX</v>
      </c>
      <c r="C179" s="70" t="s">
        <v>195</v>
      </c>
      <c r="D179" s="126"/>
      <c r="E179" s="126"/>
      <c r="F179" s="5"/>
      <c r="G179" s="5"/>
    </row>
    <row r="180" spans="1:7" ht="13">
      <c r="A180" s="48" t="s">
        <v>7436</v>
      </c>
      <c r="B180" s="125" t="str">
        <f>HYPERLINK("https://bulbapedia.bulbagarden.net/wiki/Scizor-GX_(Celestial_Storm_175)","ScizorGX")</f>
        <v>ScizorGX</v>
      </c>
      <c r="C180" s="70" t="s">
        <v>220</v>
      </c>
      <c r="D180" s="127"/>
      <c r="E180" s="126"/>
      <c r="F180" s="5"/>
      <c r="G180" s="5"/>
    </row>
    <row r="181" spans="1:7" ht="13">
      <c r="A181" s="48" t="s">
        <v>7437</v>
      </c>
      <c r="B181" s="125" t="str">
        <f>HYPERLINK("https://bulbapedia.bulbagarden.net/wiki/Stakataka-GX_(Celestial_Storm_176)","StakatakaGX")</f>
        <v>StakatakaGX</v>
      </c>
      <c r="C181" s="70" t="s">
        <v>220</v>
      </c>
      <c r="D181" s="126"/>
      <c r="E181" s="126"/>
      <c r="F181" s="5"/>
      <c r="G181" s="5"/>
    </row>
    <row r="182" spans="1:7" ht="13">
      <c r="A182" s="48" t="s">
        <v>7438</v>
      </c>
      <c r="B182" s="125" t="str">
        <f t="shared" ref="B182:B183" si="0">HYPERLINK("https://bulbapedia.bulbagarden.net/wiki/Rayquaza-GX_(Celestial_Storm_177)","RayquazaGX")</f>
        <v>RayquazaGX</v>
      </c>
      <c r="C182" s="70" t="s">
        <v>4285</v>
      </c>
      <c r="D182" s="126"/>
      <c r="E182" s="126"/>
      <c r="F182" s="5"/>
      <c r="G182" s="5"/>
    </row>
    <row r="183" spans="1:7" ht="13">
      <c r="A183" s="48" t="s">
        <v>7439</v>
      </c>
      <c r="B183" s="125" t="str">
        <f t="shared" si="0"/>
        <v>RayquazaGX</v>
      </c>
      <c r="C183" s="70" t="s">
        <v>4285</v>
      </c>
      <c r="D183" s="127"/>
      <c r="E183" s="126"/>
      <c r="F183" s="5"/>
      <c r="G183" s="5"/>
    </row>
    <row r="184" spans="1:7" ht="13">
      <c r="A184" s="48" t="s">
        <v>7440</v>
      </c>
      <c r="B184" s="128" t="s">
        <v>5399</v>
      </c>
      <c r="C184" s="70" t="s">
        <v>4114</v>
      </c>
      <c r="D184" s="126"/>
      <c r="E184" s="126"/>
      <c r="F184" s="5"/>
      <c r="G184" s="5"/>
    </row>
    <row r="185" spans="1:7" ht="13">
      <c r="A185" s="48" t="s">
        <v>7441</v>
      </c>
      <c r="B185" s="128" t="s">
        <v>7386</v>
      </c>
      <c r="C185" s="70" t="s">
        <v>4114</v>
      </c>
      <c r="D185" s="127"/>
      <c r="E185" s="126"/>
      <c r="F185" s="5"/>
      <c r="G185" s="5"/>
    </row>
    <row r="186" spans="1:7" ht="13">
      <c r="A186" s="48" t="s">
        <v>7442</v>
      </c>
      <c r="B186" s="128" t="s">
        <v>1913</v>
      </c>
      <c r="C186" s="70" t="s">
        <v>4114</v>
      </c>
      <c r="D186" s="126"/>
      <c r="E186" s="126"/>
      <c r="F186" s="5"/>
      <c r="G186" s="5"/>
    </row>
    <row r="187" spans="1:7" ht="13">
      <c r="A187" s="48" t="s">
        <v>7443</v>
      </c>
      <c r="B187" s="128" t="s">
        <v>1338</v>
      </c>
      <c r="C187" s="70" t="s">
        <v>4114</v>
      </c>
      <c r="D187" s="126"/>
      <c r="E187" s="126"/>
      <c r="F187" s="5"/>
      <c r="G187" s="5"/>
    </row>
    <row r="188" spans="1:7" ht="13">
      <c r="A188" s="48" t="s">
        <v>7444</v>
      </c>
      <c r="B188" s="128" t="s">
        <v>7397</v>
      </c>
      <c r="C188" s="70" t="s">
        <v>4114</v>
      </c>
      <c r="D188" s="126"/>
      <c r="E188" s="126"/>
      <c r="F188" s="5"/>
      <c r="G188" s="5"/>
    </row>
    <row r="189" spans="1:7" ht="13">
      <c r="A189" s="48" t="s">
        <v>7445</v>
      </c>
      <c r="B189" s="128" t="s">
        <v>524</v>
      </c>
      <c r="C189" s="70" t="s">
        <v>317</v>
      </c>
      <c r="D189" s="126"/>
      <c r="E189" s="126"/>
      <c r="F189" s="5"/>
      <c r="G189" s="5"/>
    </row>
    <row r="190" spans="1:7" ht="13">
      <c r="F190" s="5"/>
      <c r="G190" s="5"/>
    </row>
    <row r="191" spans="1:7" ht="13">
      <c r="C191" s="37"/>
      <c r="D191" s="5"/>
      <c r="E191" s="5"/>
      <c r="F191" s="5"/>
      <c r="G191" s="5"/>
    </row>
    <row r="192" spans="1:7" ht="13">
      <c r="C192" s="80"/>
      <c r="D192" s="5"/>
      <c r="E192" s="5"/>
      <c r="F192" s="5"/>
      <c r="G192" s="5"/>
    </row>
    <row r="193" spans="3:7" ht="13">
      <c r="C193" s="80"/>
      <c r="D193" s="5"/>
      <c r="E193" s="5"/>
      <c r="F193" s="5"/>
      <c r="G193" s="5"/>
    </row>
    <row r="194" spans="3:7" ht="13">
      <c r="C194" s="80"/>
      <c r="D194" s="5"/>
      <c r="E194" s="5"/>
      <c r="F194" s="5"/>
      <c r="G194" s="5"/>
    </row>
    <row r="195" spans="3:7" ht="13">
      <c r="C195" s="80"/>
      <c r="D195" s="5"/>
      <c r="E195" s="5"/>
      <c r="F195" s="5"/>
      <c r="G195" s="5"/>
    </row>
    <row r="196" spans="3:7" ht="13">
      <c r="C196" s="80"/>
      <c r="D196" s="5"/>
      <c r="E196" s="5"/>
      <c r="F196" s="5"/>
      <c r="G196" s="5"/>
    </row>
    <row r="197" spans="3:7" ht="13">
      <c r="C197" s="80"/>
      <c r="D197" s="5"/>
      <c r="E197" s="5"/>
      <c r="F197" s="5"/>
      <c r="G197" s="5"/>
    </row>
    <row r="198" spans="3:7" ht="13">
      <c r="C198" s="80"/>
      <c r="D198" s="5"/>
      <c r="E198" s="5"/>
      <c r="F198" s="5"/>
      <c r="G198" s="5"/>
    </row>
    <row r="199" spans="3:7" ht="13">
      <c r="C199" s="80"/>
      <c r="D199" s="5"/>
      <c r="E199" s="5"/>
      <c r="F199" s="5"/>
      <c r="G199" s="5"/>
    </row>
    <row r="200" spans="3:7" ht="13">
      <c r="C200" s="80"/>
      <c r="D200" s="5"/>
      <c r="E200" s="5"/>
      <c r="F200" s="5"/>
      <c r="G200" s="5"/>
    </row>
    <row r="201" spans="3:7" ht="13">
      <c r="C201" s="80"/>
      <c r="D201" s="5"/>
      <c r="E201" s="5"/>
      <c r="F201" s="5"/>
      <c r="G201" s="5"/>
    </row>
    <row r="202" spans="3:7" ht="13">
      <c r="C202" s="80"/>
      <c r="D202" s="5"/>
      <c r="E202" s="5"/>
      <c r="F202" s="5"/>
      <c r="G202" s="5"/>
    </row>
    <row r="203" spans="3:7" ht="13">
      <c r="C203" s="80"/>
      <c r="D203" s="5"/>
      <c r="E203" s="5"/>
      <c r="F203" s="5"/>
      <c r="G203" s="5"/>
    </row>
    <row r="204" spans="3:7" ht="13">
      <c r="C204" s="80"/>
      <c r="D204" s="5"/>
      <c r="E204" s="5"/>
      <c r="F204" s="5"/>
      <c r="G204" s="5"/>
    </row>
    <row r="205" spans="3:7" ht="13">
      <c r="C205" s="80"/>
      <c r="D205" s="5"/>
      <c r="E205" s="5"/>
      <c r="F205" s="5"/>
      <c r="G205" s="5"/>
    </row>
    <row r="206" spans="3:7" ht="13">
      <c r="C206" s="80"/>
      <c r="D206" s="5"/>
      <c r="E206" s="5"/>
      <c r="F206" s="5"/>
      <c r="G206" s="5"/>
    </row>
    <row r="207" spans="3:7" ht="13">
      <c r="C207" s="80"/>
      <c r="D207" s="5"/>
      <c r="E207" s="5"/>
      <c r="F207" s="5"/>
      <c r="G207" s="5"/>
    </row>
    <row r="208" spans="3:7" ht="13">
      <c r="C208" s="80"/>
      <c r="D208" s="5"/>
      <c r="E208" s="5"/>
      <c r="F208" s="5"/>
      <c r="G208" s="5"/>
    </row>
    <row r="209" spans="3:7" ht="13">
      <c r="C209" s="80"/>
      <c r="D209" s="5"/>
      <c r="E209" s="5"/>
      <c r="F209" s="5"/>
      <c r="G209" s="5"/>
    </row>
    <row r="210" spans="3:7" ht="13">
      <c r="C210" s="80"/>
      <c r="D210" s="5"/>
      <c r="E210" s="5"/>
      <c r="F210" s="5"/>
      <c r="G210" s="5"/>
    </row>
    <row r="211" spans="3:7" ht="13">
      <c r="C211" s="80"/>
      <c r="D211" s="5"/>
      <c r="E211" s="5"/>
      <c r="F211" s="5"/>
      <c r="G211" s="5"/>
    </row>
    <row r="212" spans="3:7" ht="13">
      <c r="C212" s="80"/>
      <c r="D212" s="5"/>
      <c r="E212" s="5"/>
      <c r="F212" s="5"/>
      <c r="G212" s="5"/>
    </row>
    <row r="213" spans="3:7" ht="13">
      <c r="C213" s="80"/>
      <c r="D213" s="5"/>
      <c r="E213" s="5"/>
      <c r="F213" s="5"/>
      <c r="G213" s="5"/>
    </row>
    <row r="214" spans="3:7" ht="13">
      <c r="C214" s="80"/>
      <c r="D214" s="5"/>
      <c r="E214" s="5"/>
      <c r="F214" s="5"/>
      <c r="G214" s="5"/>
    </row>
    <row r="215" spans="3:7" ht="13">
      <c r="C215" s="80"/>
      <c r="D215" s="5"/>
      <c r="E215" s="5"/>
      <c r="F215" s="5"/>
      <c r="G215" s="5"/>
    </row>
    <row r="216" spans="3:7" ht="13">
      <c r="C216" s="80"/>
      <c r="D216" s="5"/>
      <c r="E216" s="5"/>
      <c r="F216" s="5"/>
      <c r="G216" s="5"/>
    </row>
    <row r="217" spans="3:7" ht="13">
      <c r="C217" s="80"/>
      <c r="D217" s="5"/>
      <c r="E217" s="5"/>
      <c r="F217" s="5"/>
      <c r="G217" s="5"/>
    </row>
    <row r="218" spans="3:7" ht="13">
      <c r="C218" s="80"/>
      <c r="D218" s="5"/>
      <c r="E218" s="5"/>
      <c r="F218" s="5"/>
      <c r="G218" s="5"/>
    </row>
    <row r="219" spans="3:7" ht="13">
      <c r="C219" s="80"/>
      <c r="D219" s="5"/>
      <c r="E219" s="5"/>
      <c r="F219" s="5"/>
      <c r="G219" s="5"/>
    </row>
    <row r="220" spans="3:7" ht="13">
      <c r="C220" s="80"/>
      <c r="D220" s="5"/>
      <c r="E220" s="5"/>
      <c r="F220" s="5"/>
      <c r="G220" s="5"/>
    </row>
    <row r="221" spans="3:7" ht="13">
      <c r="C221" s="80"/>
      <c r="D221" s="5"/>
      <c r="E221" s="5"/>
      <c r="F221" s="5"/>
      <c r="G221" s="5"/>
    </row>
    <row r="222" spans="3:7" ht="13">
      <c r="C222" s="80"/>
      <c r="D222" s="5"/>
      <c r="E222" s="5"/>
      <c r="F222" s="5"/>
      <c r="G222" s="5"/>
    </row>
    <row r="223" spans="3:7" ht="13">
      <c r="C223" s="80"/>
      <c r="D223" s="5"/>
      <c r="E223" s="5"/>
      <c r="F223" s="5"/>
      <c r="G223" s="5"/>
    </row>
    <row r="224" spans="3:7" ht="13">
      <c r="C224" s="80"/>
      <c r="D224" s="5"/>
      <c r="E224" s="5"/>
      <c r="F224" s="5"/>
      <c r="G224" s="5"/>
    </row>
    <row r="225" spans="3:7" ht="13">
      <c r="C225" s="80"/>
      <c r="D225" s="5"/>
      <c r="E225" s="5"/>
      <c r="F225" s="5"/>
      <c r="G225" s="5"/>
    </row>
    <row r="226" spans="3:7" ht="13">
      <c r="C226" s="80"/>
      <c r="D226" s="5"/>
      <c r="E226" s="5"/>
      <c r="F226" s="5"/>
      <c r="G226" s="5"/>
    </row>
    <row r="227" spans="3:7" ht="13">
      <c r="C227" s="80"/>
      <c r="D227" s="5"/>
      <c r="E227" s="5"/>
      <c r="F227" s="5"/>
      <c r="G227" s="5"/>
    </row>
    <row r="228" spans="3:7" ht="13">
      <c r="C228" s="80"/>
      <c r="D228" s="5"/>
      <c r="E228" s="5"/>
      <c r="F228" s="5"/>
      <c r="G228" s="5"/>
    </row>
    <row r="229" spans="3:7" ht="13">
      <c r="C229" s="80"/>
      <c r="D229" s="5"/>
      <c r="E229" s="5"/>
      <c r="F229" s="5"/>
      <c r="G229" s="5"/>
    </row>
    <row r="230" spans="3:7" ht="13">
      <c r="C230" s="80"/>
      <c r="D230" s="5"/>
      <c r="E230" s="5"/>
      <c r="F230" s="5"/>
      <c r="G230" s="5"/>
    </row>
    <row r="231" spans="3:7" ht="13">
      <c r="C231" s="80"/>
      <c r="D231" s="5"/>
      <c r="E231" s="5"/>
      <c r="F231" s="5"/>
      <c r="G231" s="5"/>
    </row>
    <row r="232" spans="3:7" ht="13">
      <c r="C232" s="80"/>
      <c r="D232" s="5"/>
      <c r="E232" s="5"/>
      <c r="F232" s="5"/>
      <c r="G232" s="5"/>
    </row>
    <row r="233" spans="3:7" ht="13">
      <c r="C233" s="80"/>
      <c r="D233" s="5"/>
      <c r="E233" s="5"/>
      <c r="F233" s="5"/>
      <c r="G233" s="5"/>
    </row>
    <row r="234" spans="3:7" ht="13">
      <c r="C234" s="80"/>
      <c r="D234" s="5"/>
      <c r="E234" s="5"/>
      <c r="F234" s="5"/>
      <c r="G234" s="5"/>
    </row>
    <row r="235" spans="3:7" ht="13">
      <c r="C235" s="80"/>
      <c r="D235" s="5"/>
      <c r="E235" s="5"/>
      <c r="F235" s="5"/>
      <c r="G235" s="5"/>
    </row>
    <row r="236" spans="3:7" ht="13">
      <c r="C236" s="80"/>
      <c r="D236" s="5"/>
      <c r="E236" s="5"/>
      <c r="F236" s="5"/>
      <c r="G236" s="5"/>
    </row>
    <row r="237" spans="3:7" ht="13">
      <c r="C237" s="80"/>
      <c r="D237" s="5"/>
      <c r="E237" s="5"/>
      <c r="F237" s="5"/>
      <c r="G237" s="5"/>
    </row>
    <row r="238" spans="3:7" ht="13">
      <c r="C238" s="80"/>
      <c r="D238" s="5"/>
      <c r="E238" s="5"/>
      <c r="F238" s="5"/>
      <c r="G238" s="5"/>
    </row>
    <row r="239" spans="3:7" ht="13">
      <c r="C239" s="80"/>
      <c r="D239" s="5"/>
      <c r="E239" s="5"/>
      <c r="F239" s="5"/>
      <c r="G239" s="5"/>
    </row>
    <row r="240" spans="3:7" ht="13">
      <c r="C240" s="80"/>
      <c r="D240" s="5"/>
      <c r="E240" s="5"/>
      <c r="F240" s="5"/>
      <c r="G240" s="5"/>
    </row>
    <row r="241" spans="3:7" ht="13">
      <c r="C241" s="80"/>
      <c r="D241" s="5"/>
      <c r="E241" s="5"/>
      <c r="F241" s="5"/>
      <c r="G241" s="5"/>
    </row>
    <row r="242" spans="3:7" ht="13">
      <c r="C242" s="80"/>
      <c r="D242" s="5"/>
      <c r="E242" s="5"/>
      <c r="F242" s="5"/>
      <c r="G242" s="5"/>
    </row>
    <row r="243" spans="3:7" ht="13">
      <c r="C243" s="80"/>
      <c r="D243" s="5"/>
      <c r="E243" s="5"/>
      <c r="F243" s="5"/>
      <c r="G243" s="5"/>
    </row>
    <row r="244" spans="3:7" ht="13">
      <c r="C244" s="80"/>
      <c r="D244" s="5"/>
      <c r="E244" s="5"/>
      <c r="F244" s="5"/>
      <c r="G244" s="5"/>
    </row>
    <row r="245" spans="3:7" ht="13">
      <c r="C245" s="80"/>
      <c r="D245" s="5"/>
      <c r="E245" s="5"/>
      <c r="F245" s="5"/>
      <c r="G245" s="5"/>
    </row>
    <row r="246" spans="3:7" ht="13">
      <c r="C246" s="80"/>
      <c r="D246" s="5"/>
      <c r="E246" s="5"/>
      <c r="F246" s="5"/>
      <c r="G246" s="5"/>
    </row>
    <row r="247" spans="3:7" ht="13">
      <c r="C247" s="80"/>
      <c r="D247" s="5"/>
      <c r="E247" s="5"/>
      <c r="F247" s="5"/>
      <c r="G247" s="5"/>
    </row>
    <row r="248" spans="3:7" ht="13">
      <c r="C248" s="80"/>
      <c r="D248" s="5"/>
      <c r="E248" s="5"/>
      <c r="F248" s="5"/>
      <c r="G248" s="5"/>
    </row>
    <row r="249" spans="3:7" ht="13">
      <c r="C249" s="80"/>
      <c r="D249" s="5"/>
      <c r="E249" s="5"/>
      <c r="F249" s="5"/>
      <c r="G249" s="5"/>
    </row>
    <row r="250" spans="3:7" ht="13">
      <c r="C250" s="80"/>
      <c r="D250" s="5"/>
      <c r="E250" s="5"/>
      <c r="F250" s="5"/>
      <c r="G250" s="5"/>
    </row>
    <row r="251" spans="3:7" ht="13">
      <c r="C251" s="80"/>
      <c r="D251" s="5"/>
      <c r="E251" s="5"/>
      <c r="F251" s="5"/>
      <c r="G251" s="5"/>
    </row>
    <row r="252" spans="3:7" ht="13">
      <c r="C252" s="80"/>
      <c r="D252" s="5"/>
      <c r="E252" s="5"/>
      <c r="F252" s="5"/>
      <c r="G252" s="5"/>
    </row>
    <row r="253" spans="3:7" ht="13">
      <c r="C253" s="80"/>
      <c r="D253" s="5"/>
      <c r="E253" s="5"/>
      <c r="F253" s="5"/>
      <c r="G253" s="5"/>
    </row>
    <row r="254" spans="3:7" ht="13">
      <c r="C254" s="80"/>
      <c r="D254" s="5"/>
      <c r="E254" s="5"/>
      <c r="F254" s="5"/>
      <c r="G254" s="5"/>
    </row>
    <row r="255" spans="3:7" ht="13">
      <c r="C255" s="80"/>
      <c r="D255" s="5"/>
      <c r="E255" s="5"/>
      <c r="F255" s="5"/>
      <c r="G255" s="5"/>
    </row>
    <row r="256" spans="3:7" ht="13">
      <c r="C256" s="80"/>
      <c r="D256" s="5"/>
      <c r="E256" s="5"/>
      <c r="F256" s="5"/>
      <c r="G256" s="5"/>
    </row>
    <row r="257" spans="3:7" ht="13">
      <c r="C257" s="80"/>
      <c r="D257" s="5"/>
      <c r="E257" s="5"/>
      <c r="F257" s="5"/>
      <c r="G257" s="5"/>
    </row>
    <row r="258" spans="3:7" ht="13">
      <c r="C258" s="80"/>
      <c r="D258" s="5"/>
      <c r="E258" s="5"/>
      <c r="F258" s="5"/>
      <c r="G258" s="5"/>
    </row>
    <row r="259" spans="3:7" ht="13">
      <c r="C259" s="80"/>
      <c r="D259" s="5"/>
      <c r="E259" s="5"/>
      <c r="F259" s="5"/>
      <c r="G259" s="5"/>
    </row>
    <row r="260" spans="3:7" ht="13">
      <c r="C260" s="80"/>
      <c r="D260" s="5"/>
      <c r="E260" s="5"/>
      <c r="F260" s="5"/>
      <c r="G260" s="5"/>
    </row>
    <row r="261" spans="3:7" ht="13">
      <c r="C261" s="80"/>
      <c r="D261" s="5"/>
      <c r="E261" s="5"/>
      <c r="F261" s="5"/>
      <c r="G261" s="5"/>
    </row>
    <row r="262" spans="3:7" ht="13">
      <c r="C262" s="80"/>
      <c r="D262" s="5"/>
      <c r="E262" s="5"/>
      <c r="F262" s="5"/>
      <c r="G262" s="5"/>
    </row>
    <row r="263" spans="3:7" ht="13">
      <c r="C263" s="80"/>
      <c r="D263" s="5"/>
      <c r="E263" s="5"/>
      <c r="F263" s="5"/>
      <c r="G263" s="5"/>
    </row>
    <row r="264" spans="3:7" ht="13">
      <c r="C264" s="80"/>
      <c r="D264" s="5"/>
      <c r="E264" s="5"/>
      <c r="F264" s="5"/>
      <c r="G264" s="5"/>
    </row>
    <row r="265" spans="3:7" ht="13">
      <c r="C265" s="80"/>
      <c r="D265" s="5"/>
      <c r="E265" s="5"/>
      <c r="F265" s="5"/>
      <c r="G265" s="5"/>
    </row>
    <row r="266" spans="3:7" ht="13">
      <c r="C266" s="80"/>
      <c r="D266" s="5"/>
      <c r="E266" s="5"/>
      <c r="F266" s="5"/>
      <c r="G266" s="5"/>
    </row>
    <row r="267" spans="3:7" ht="13">
      <c r="C267" s="80"/>
      <c r="D267" s="5"/>
      <c r="E267" s="5"/>
      <c r="F267" s="5"/>
      <c r="G267" s="5"/>
    </row>
    <row r="268" spans="3:7" ht="13">
      <c r="C268" s="80"/>
      <c r="D268" s="5"/>
      <c r="E268" s="5"/>
      <c r="F268" s="5"/>
      <c r="G268" s="5"/>
    </row>
    <row r="269" spans="3:7" ht="13">
      <c r="C269" s="80"/>
      <c r="D269" s="5"/>
      <c r="E269" s="5"/>
      <c r="F269" s="5"/>
      <c r="G269" s="5"/>
    </row>
    <row r="270" spans="3:7" ht="13">
      <c r="C270" s="80"/>
      <c r="D270" s="5"/>
      <c r="E270" s="5"/>
      <c r="F270" s="5"/>
      <c r="G270" s="5"/>
    </row>
    <row r="271" spans="3:7" ht="13">
      <c r="C271" s="80"/>
      <c r="D271" s="5"/>
      <c r="E271" s="5"/>
      <c r="F271" s="5"/>
      <c r="G271" s="5"/>
    </row>
    <row r="272" spans="3:7" ht="13">
      <c r="C272" s="80"/>
      <c r="D272" s="5"/>
      <c r="E272" s="5"/>
      <c r="F272" s="5"/>
      <c r="G272" s="5"/>
    </row>
    <row r="273" spans="3:7" ht="13">
      <c r="C273" s="80"/>
      <c r="D273" s="5"/>
      <c r="E273" s="5"/>
      <c r="F273" s="5"/>
      <c r="G273" s="5"/>
    </row>
    <row r="274" spans="3:7" ht="13">
      <c r="C274" s="80"/>
      <c r="D274" s="5"/>
      <c r="E274" s="5"/>
      <c r="F274" s="5"/>
      <c r="G274" s="5"/>
    </row>
    <row r="275" spans="3:7" ht="13">
      <c r="C275" s="80"/>
      <c r="D275" s="5"/>
      <c r="E275" s="5"/>
      <c r="F275" s="5"/>
      <c r="G275" s="5"/>
    </row>
    <row r="276" spans="3:7" ht="13">
      <c r="C276" s="80"/>
      <c r="D276" s="5"/>
      <c r="E276" s="5"/>
      <c r="F276" s="5"/>
      <c r="G276" s="5"/>
    </row>
    <row r="277" spans="3:7" ht="13">
      <c r="C277" s="80"/>
      <c r="D277" s="5"/>
      <c r="E277" s="5"/>
      <c r="F277" s="5"/>
      <c r="G277" s="5"/>
    </row>
    <row r="278" spans="3:7" ht="13">
      <c r="C278" s="80"/>
      <c r="D278" s="5"/>
      <c r="E278" s="5"/>
      <c r="F278" s="5"/>
      <c r="G278" s="5"/>
    </row>
    <row r="279" spans="3:7" ht="13">
      <c r="C279" s="80"/>
      <c r="D279" s="5"/>
      <c r="E279" s="5"/>
      <c r="F279" s="5"/>
      <c r="G279" s="5"/>
    </row>
    <row r="280" spans="3:7" ht="13">
      <c r="C280" s="80"/>
      <c r="D280" s="5"/>
      <c r="E280" s="5"/>
      <c r="F280" s="5"/>
      <c r="G280" s="5"/>
    </row>
    <row r="281" spans="3:7" ht="13">
      <c r="C281" s="80"/>
      <c r="D281" s="5"/>
      <c r="E281" s="5"/>
      <c r="F281" s="5"/>
      <c r="G281" s="5"/>
    </row>
    <row r="282" spans="3:7" ht="13">
      <c r="C282" s="80"/>
      <c r="D282" s="5"/>
      <c r="E282" s="5"/>
      <c r="F282" s="5"/>
      <c r="G282" s="5"/>
    </row>
    <row r="283" spans="3:7" ht="13">
      <c r="C283" s="80"/>
      <c r="D283" s="5"/>
      <c r="E283" s="5"/>
      <c r="F283" s="5"/>
      <c r="G283" s="5"/>
    </row>
    <row r="284" spans="3:7" ht="13">
      <c r="C284" s="80"/>
      <c r="D284" s="5"/>
      <c r="E284" s="5"/>
      <c r="F284" s="5"/>
      <c r="G284" s="5"/>
    </row>
    <row r="285" spans="3:7" ht="13">
      <c r="C285" s="80"/>
      <c r="D285" s="5"/>
      <c r="E285" s="5"/>
      <c r="F285" s="5"/>
      <c r="G285" s="5"/>
    </row>
    <row r="286" spans="3:7" ht="13">
      <c r="C286" s="80"/>
      <c r="D286" s="5"/>
      <c r="E286" s="5"/>
      <c r="F286" s="5"/>
      <c r="G286" s="5"/>
    </row>
    <row r="287" spans="3:7" ht="13">
      <c r="C287" s="80"/>
      <c r="D287" s="5"/>
      <c r="E287" s="5"/>
      <c r="F287" s="5"/>
      <c r="G287" s="5"/>
    </row>
    <row r="288" spans="3:7" ht="13">
      <c r="C288" s="80"/>
      <c r="D288" s="5"/>
      <c r="E288" s="5"/>
      <c r="F288" s="5"/>
      <c r="G288" s="5"/>
    </row>
    <row r="289" spans="3:7" ht="13">
      <c r="C289" s="80"/>
      <c r="D289" s="5"/>
      <c r="E289" s="5"/>
      <c r="F289" s="5"/>
      <c r="G289" s="5"/>
    </row>
    <row r="290" spans="3:7" ht="13">
      <c r="C290" s="80"/>
      <c r="D290" s="5"/>
      <c r="E290" s="5"/>
      <c r="F290" s="5"/>
      <c r="G290" s="5"/>
    </row>
    <row r="291" spans="3:7" ht="13">
      <c r="C291" s="80"/>
      <c r="D291" s="5"/>
      <c r="E291" s="5"/>
      <c r="F291" s="5"/>
      <c r="G291" s="5"/>
    </row>
    <row r="292" spans="3:7" ht="13">
      <c r="C292" s="80"/>
      <c r="D292" s="5"/>
      <c r="E292" s="5"/>
      <c r="F292" s="5"/>
      <c r="G292" s="5"/>
    </row>
    <row r="293" spans="3:7" ht="13">
      <c r="C293" s="80"/>
      <c r="D293" s="5"/>
      <c r="E293" s="5"/>
      <c r="F293" s="5"/>
      <c r="G293" s="5"/>
    </row>
    <row r="294" spans="3:7" ht="13">
      <c r="C294" s="80"/>
      <c r="D294" s="5"/>
      <c r="E294" s="5"/>
      <c r="F294" s="5"/>
      <c r="G294" s="5"/>
    </row>
    <row r="295" spans="3:7" ht="13">
      <c r="C295" s="80"/>
      <c r="D295" s="5"/>
      <c r="E295" s="5"/>
      <c r="F295" s="5"/>
      <c r="G295" s="5"/>
    </row>
    <row r="296" spans="3:7" ht="13">
      <c r="C296" s="80"/>
      <c r="D296" s="5"/>
      <c r="E296" s="5"/>
      <c r="F296" s="5"/>
      <c r="G296" s="5"/>
    </row>
    <row r="297" spans="3:7" ht="13">
      <c r="C297" s="80"/>
      <c r="D297" s="5"/>
      <c r="E297" s="5"/>
      <c r="F297" s="5"/>
      <c r="G297" s="5"/>
    </row>
    <row r="298" spans="3:7" ht="13">
      <c r="C298" s="80"/>
      <c r="D298" s="5"/>
      <c r="E298" s="5"/>
      <c r="F298" s="5"/>
      <c r="G298" s="5"/>
    </row>
    <row r="299" spans="3:7" ht="13">
      <c r="C299" s="80"/>
      <c r="D299" s="5"/>
      <c r="E299" s="5"/>
      <c r="F299" s="5"/>
      <c r="G299" s="5"/>
    </row>
    <row r="300" spans="3:7" ht="13">
      <c r="C300" s="80"/>
      <c r="D300" s="5"/>
      <c r="E300" s="5"/>
      <c r="F300" s="5"/>
      <c r="G300" s="5"/>
    </row>
    <row r="301" spans="3:7" ht="13">
      <c r="C301" s="80"/>
      <c r="D301" s="5"/>
      <c r="E301" s="5"/>
      <c r="F301" s="5"/>
      <c r="G301" s="5"/>
    </row>
    <row r="302" spans="3:7" ht="13">
      <c r="C302" s="80"/>
      <c r="D302" s="5"/>
      <c r="E302" s="5"/>
      <c r="F302" s="5"/>
      <c r="G302" s="5"/>
    </row>
    <row r="303" spans="3:7" ht="13">
      <c r="C303" s="80"/>
      <c r="D303" s="5"/>
      <c r="E303" s="5"/>
      <c r="F303" s="5"/>
      <c r="G303" s="5"/>
    </row>
    <row r="304" spans="3:7" ht="13">
      <c r="C304" s="80"/>
      <c r="D304" s="5"/>
      <c r="E304" s="5"/>
      <c r="F304" s="5"/>
      <c r="G304" s="5"/>
    </row>
    <row r="305" spans="3:7" ht="13">
      <c r="C305" s="80"/>
      <c r="D305" s="5"/>
      <c r="E305" s="5"/>
      <c r="F305" s="5"/>
      <c r="G305" s="5"/>
    </row>
    <row r="306" spans="3:7" ht="13">
      <c r="C306" s="80"/>
      <c r="D306" s="5"/>
      <c r="E306" s="5"/>
      <c r="F306" s="5"/>
      <c r="G306" s="5"/>
    </row>
    <row r="307" spans="3:7" ht="13">
      <c r="C307" s="80"/>
      <c r="D307" s="5"/>
      <c r="E307" s="5"/>
      <c r="F307" s="5"/>
      <c r="G307" s="5"/>
    </row>
    <row r="308" spans="3:7" ht="13">
      <c r="C308" s="80"/>
      <c r="D308" s="5"/>
      <c r="E308" s="5"/>
      <c r="F308" s="5"/>
      <c r="G308" s="5"/>
    </row>
    <row r="309" spans="3:7" ht="13">
      <c r="C309" s="80"/>
      <c r="D309" s="5"/>
      <c r="E309" s="5"/>
      <c r="F309" s="5"/>
      <c r="G309" s="5"/>
    </row>
    <row r="310" spans="3:7" ht="13">
      <c r="C310" s="80"/>
      <c r="D310" s="5"/>
      <c r="E310" s="5"/>
      <c r="F310" s="5"/>
      <c r="G310" s="5"/>
    </row>
    <row r="311" spans="3:7" ht="13">
      <c r="C311" s="80"/>
      <c r="D311" s="5"/>
      <c r="E311" s="5"/>
      <c r="F311" s="5"/>
      <c r="G311" s="5"/>
    </row>
    <row r="312" spans="3:7" ht="13">
      <c r="C312" s="80"/>
      <c r="D312" s="5"/>
      <c r="E312" s="5"/>
      <c r="F312" s="5"/>
      <c r="G312" s="5"/>
    </row>
    <row r="313" spans="3:7" ht="13">
      <c r="C313" s="80"/>
      <c r="D313" s="5"/>
      <c r="E313" s="5"/>
      <c r="F313" s="5"/>
      <c r="G313" s="5"/>
    </row>
    <row r="314" spans="3:7" ht="13">
      <c r="C314" s="80"/>
      <c r="D314" s="5"/>
      <c r="E314" s="5"/>
      <c r="F314" s="5"/>
      <c r="G314" s="5"/>
    </row>
    <row r="315" spans="3:7" ht="13">
      <c r="C315" s="80"/>
      <c r="D315" s="5"/>
      <c r="E315" s="5"/>
      <c r="F315" s="5"/>
      <c r="G315" s="5"/>
    </row>
    <row r="316" spans="3:7" ht="13">
      <c r="C316" s="80"/>
      <c r="D316" s="5"/>
      <c r="E316" s="5"/>
      <c r="F316" s="5"/>
      <c r="G316" s="5"/>
    </row>
    <row r="317" spans="3:7" ht="13">
      <c r="C317" s="80"/>
      <c r="D317" s="5"/>
      <c r="E317" s="5"/>
      <c r="F317" s="5"/>
      <c r="G317" s="5"/>
    </row>
    <row r="318" spans="3:7" ht="13">
      <c r="C318" s="80"/>
      <c r="D318" s="5"/>
      <c r="E318" s="5"/>
      <c r="F318" s="5"/>
      <c r="G318" s="5"/>
    </row>
    <row r="319" spans="3:7" ht="13">
      <c r="C319" s="80"/>
      <c r="D319" s="5"/>
      <c r="E319" s="5"/>
      <c r="F319" s="5"/>
      <c r="G319" s="5"/>
    </row>
    <row r="320" spans="3:7" ht="13">
      <c r="C320" s="80"/>
      <c r="D320" s="5"/>
      <c r="E320" s="5"/>
      <c r="F320" s="5"/>
      <c r="G320" s="5"/>
    </row>
    <row r="321" spans="3:7" ht="13">
      <c r="C321" s="80"/>
      <c r="D321" s="5"/>
      <c r="E321" s="5"/>
      <c r="F321" s="5"/>
      <c r="G321" s="5"/>
    </row>
    <row r="322" spans="3:7" ht="13">
      <c r="C322" s="80"/>
      <c r="D322" s="5"/>
      <c r="E322" s="5"/>
      <c r="F322" s="5"/>
      <c r="G322" s="5"/>
    </row>
    <row r="323" spans="3:7" ht="13">
      <c r="C323" s="80"/>
      <c r="D323" s="5"/>
      <c r="E323" s="5"/>
      <c r="F323" s="5"/>
      <c r="G323" s="5"/>
    </row>
    <row r="324" spans="3:7" ht="13">
      <c r="C324" s="80"/>
      <c r="D324" s="5"/>
      <c r="E324" s="5"/>
      <c r="F324" s="5"/>
      <c r="G324" s="5"/>
    </row>
    <row r="325" spans="3:7" ht="13">
      <c r="C325" s="80"/>
      <c r="D325" s="5"/>
      <c r="E325" s="5"/>
      <c r="F325" s="5"/>
      <c r="G325" s="5"/>
    </row>
    <row r="326" spans="3:7" ht="13">
      <c r="C326" s="80"/>
      <c r="D326" s="5"/>
      <c r="E326" s="5"/>
      <c r="F326" s="5"/>
      <c r="G326" s="5"/>
    </row>
    <row r="327" spans="3:7" ht="13">
      <c r="C327" s="80"/>
      <c r="D327" s="5"/>
      <c r="E327" s="5"/>
      <c r="F327" s="5"/>
      <c r="G327" s="5"/>
    </row>
    <row r="328" spans="3:7" ht="13">
      <c r="C328" s="80"/>
      <c r="D328" s="5"/>
      <c r="E328" s="5"/>
      <c r="F328" s="5"/>
      <c r="G328" s="5"/>
    </row>
    <row r="329" spans="3:7" ht="13">
      <c r="C329" s="80"/>
      <c r="D329" s="5"/>
      <c r="E329" s="5"/>
      <c r="F329" s="5"/>
      <c r="G329" s="5"/>
    </row>
    <row r="330" spans="3:7" ht="13">
      <c r="C330" s="80"/>
      <c r="D330" s="5"/>
      <c r="E330" s="5"/>
      <c r="F330" s="5"/>
      <c r="G330" s="5"/>
    </row>
    <row r="331" spans="3:7" ht="13">
      <c r="C331" s="80"/>
      <c r="D331" s="5"/>
      <c r="E331" s="5"/>
      <c r="F331" s="5"/>
      <c r="G331" s="5"/>
    </row>
    <row r="332" spans="3:7" ht="13">
      <c r="C332" s="80"/>
      <c r="D332" s="5"/>
      <c r="E332" s="5"/>
      <c r="F332" s="5"/>
      <c r="G332" s="5"/>
    </row>
    <row r="333" spans="3:7" ht="13">
      <c r="C333" s="80"/>
      <c r="D333" s="5"/>
      <c r="E333" s="5"/>
      <c r="F333" s="5"/>
      <c r="G333" s="5"/>
    </row>
    <row r="334" spans="3:7" ht="13">
      <c r="C334" s="80"/>
      <c r="D334" s="5"/>
      <c r="E334" s="5"/>
      <c r="F334" s="5"/>
      <c r="G334" s="5"/>
    </row>
    <row r="335" spans="3:7" ht="13">
      <c r="C335" s="80"/>
      <c r="D335" s="5"/>
      <c r="E335" s="5"/>
      <c r="F335" s="5"/>
      <c r="G335" s="5"/>
    </row>
    <row r="336" spans="3:7" ht="13">
      <c r="C336" s="80"/>
      <c r="D336" s="5"/>
      <c r="E336" s="5"/>
      <c r="F336" s="5"/>
      <c r="G336" s="5"/>
    </row>
    <row r="337" spans="3:7" ht="13">
      <c r="C337" s="80"/>
      <c r="D337" s="5"/>
      <c r="E337" s="5"/>
      <c r="F337" s="5"/>
      <c r="G337" s="5"/>
    </row>
    <row r="338" spans="3:7" ht="13">
      <c r="C338" s="80"/>
      <c r="D338" s="5"/>
      <c r="E338" s="5"/>
      <c r="F338" s="5"/>
      <c r="G338" s="5"/>
    </row>
    <row r="339" spans="3:7" ht="13">
      <c r="C339" s="80"/>
      <c r="D339" s="5"/>
      <c r="E339" s="5"/>
      <c r="F339" s="5"/>
      <c r="G339" s="5"/>
    </row>
    <row r="340" spans="3:7" ht="13">
      <c r="C340" s="80"/>
      <c r="D340" s="5"/>
      <c r="E340" s="5"/>
      <c r="F340" s="5"/>
      <c r="G340" s="5"/>
    </row>
    <row r="341" spans="3:7" ht="13">
      <c r="C341" s="80"/>
      <c r="D341" s="5"/>
      <c r="E341" s="5"/>
      <c r="F341" s="5"/>
      <c r="G341" s="5"/>
    </row>
    <row r="342" spans="3:7" ht="13">
      <c r="C342" s="80"/>
      <c r="D342" s="5"/>
      <c r="E342" s="5"/>
      <c r="F342" s="5"/>
      <c r="G342" s="5"/>
    </row>
    <row r="343" spans="3:7" ht="13">
      <c r="C343" s="80"/>
      <c r="D343" s="5"/>
      <c r="E343" s="5"/>
      <c r="F343" s="5"/>
      <c r="G343" s="5"/>
    </row>
    <row r="344" spans="3:7" ht="13">
      <c r="C344" s="80"/>
      <c r="D344" s="5"/>
      <c r="E344" s="5"/>
      <c r="F344" s="5"/>
      <c r="G344" s="5"/>
    </row>
    <row r="345" spans="3:7" ht="13">
      <c r="C345" s="80"/>
      <c r="D345" s="5"/>
      <c r="E345" s="5"/>
      <c r="F345" s="5"/>
      <c r="G345" s="5"/>
    </row>
    <row r="346" spans="3:7" ht="13">
      <c r="C346" s="80"/>
      <c r="D346" s="5"/>
      <c r="E346" s="5"/>
      <c r="F346" s="5"/>
      <c r="G346" s="5"/>
    </row>
    <row r="347" spans="3:7" ht="13">
      <c r="C347" s="80"/>
      <c r="D347" s="5"/>
      <c r="E347" s="5"/>
      <c r="F347" s="5"/>
      <c r="G347" s="5"/>
    </row>
    <row r="348" spans="3:7" ht="13">
      <c r="C348" s="80"/>
      <c r="D348" s="5"/>
      <c r="E348" s="5"/>
      <c r="F348" s="5"/>
      <c r="G348" s="5"/>
    </row>
    <row r="349" spans="3:7" ht="13">
      <c r="C349" s="80"/>
      <c r="D349" s="5"/>
      <c r="E349" s="5"/>
      <c r="F349" s="5"/>
      <c r="G349" s="5"/>
    </row>
    <row r="350" spans="3:7" ht="13">
      <c r="C350" s="80"/>
      <c r="D350" s="5"/>
      <c r="E350" s="5"/>
      <c r="F350" s="5"/>
      <c r="G350" s="5"/>
    </row>
    <row r="351" spans="3:7" ht="13">
      <c r="C351" s="80"/>
      <c r="D351" s="5"/>
      <c r="E351" s="5"/>
      <c r="F351" s="5"/>
      <c r="G351" s="5"/>
    </row>
    <row r="352" spans="3:7" ht="13">
      <c r="C352" s="80"/>
      <c r="D352" s="5"/>
      <c r="E352" s="5"/>
      <c r="F352" s="5"/>
      <c r="G352" s="5"/>
    </row>
    <row r="353" spans="3:7" ht="13">
      <c r="C353" s="80"/>
      <c r="D353" s="5"/>
      <c r="E353" s="5"/>
      <c r="F353" s="5"/>
      <c r="G353" s="5"/>
    </row>
    <row r="354" spans="3:7" ht="13">
      <c r="C354" s="80"/>
      <c r="D354" s="5"/>
      <c r="E354" s="5"/>
      <c r="F354" s="5"/>
      <c r="G354" s="5"/>
    </row>
    <row r="355" spans="3:7" ht="13">
      <c r="C355" s="80"/>
      <c r="D355" s="5"/>
      <c r="E355" s="5"/>
      <c r="F355" s="5"/>
      <c r="G355" s="5"/>
    </row>
    <row r="356" spans="3:7" ht="13">
      <c r="C356" s="80"/>
      <c r="D356" s="5"/>
      <c r="E356" s="5"/>
      <c r="F356" s="5"/>
      <c r="G356" s="5"/>
    </row>
    <row r="357" spans="3:7" ht="13">
      <c r="C357" s="80"/>
      <c r="D357" s="5"/>
      <c r="E357" s="5"/>
      <c r="F357" s="5"/>
      <c r="G357" s="5"/>
    </row>
    <row r="358" spans="3:7" ht="13">
      <c r="C358" s="80"/>
      <c r="D358" s="5"/>
      <c r="E358" s="5"/>
      <c r="F358" s="5"/>
      <c r="G358" s="5"/>
    </row>
    <row r="359" spans="3:7" ht="13">
      <c r="C359" s="80"/>
      <c r="D359" s="5"/>
      <c r="E359" s="5"/>
      <c r="F359" s="5"/>
      <c r="G359" s="5"/>
    </row>
    <row r="360" spans="3:7" ht="13">
      <c r="C360" s="80"/>
      <c r="D360" s="5"/>
      <c r="E360" s="5"/>
      <c r="F360" s="5"/>
      <c r="G360" s="5"/>
    </row>
    <row r="361" spans="3:7" ht="13">
      <c r="C361" s="80"/>
      <c r="D361" s="5"/>
      <c r="E361" s="5"/>
      <c r="F361" s="5"/>
      <c r="G361" s="5"/>
    </row>
    <row r="362" spans="3:7" ht="13">
      <c r="C362" s="80"/>
      <c r="D362" s="5"/>
      <c r="E362" s="5"/>
      <c r="F362" s="5"/>
      <c r="G362" s="5"/>
    </row>
    <row r="363" spans="3:7" ht="13">
      <c r="C363" s="80"/>
      <c r="D363" s="5"/>
      <c r="E363" s="5"/>
      <c r="F363" s="5"/>
      <c r="G363" s="5"/>
    </row>
    <row r="364" spans="3:7" ht="13">
      <c r="C364" s="80"/>
      <c r="D364" s="5"/>
      <c r="E364" s="5"/>
      <c r="F364" s="5"/>
      <c r="G364" s="5"/>
    </row>
    <row r="365" spans="3:7" ht="13">
      <c r="C365" s="80"/>
      <c r="D365" s="5"/>
      <c r="E365" s="5"/>
      <c r="F365" s="5"/>
      <c r="G365" s="5"/>
    </row>
    <row r="366" spans="3:7" ht="13">
      <c r="C366" s="80"/>
      <c r="D366" s="5"/>
      <c r="E366" s="5"/>
      <c r="F366" s="5"/>
      <c r="G366" s="5"/>
    </row>
    <row r="367" spans="3:7" ht="13">
      <c r="C367" s="80"/>
      <c r="D367" s="5"/>
      <c r="E367" s="5"/>
      <c r="F367" s="5"/>
      <c r="G367" s="5"/>
    </row>
    <row r="368" spans="3:7" ht="13">
      <c r="C368" s="80"/>
      <c r="D368" s="5"/>
      <c r="E368" s="5"/>
      <c r="F368" s="5"/>
      <c r="G368" s="5"/>
    </row>
    <row r="369" spans="3:7" ht="13">
      <c r="C369" s="80"/>
      <c r="D369" s="5"/>
      <c r="E369" s="5"/>
      <c r="F369" s="5"/>
      <c r="G369" s="5"/>
    </row>
    <row r="370" spans="3:7" ht="13">
      <c r="C370" s="80"/>
      <c r="D370" s="5"/>
      <c r="E370" s="5"/>
      <c r="F370" s="5"/>
      <c r="G370" s="5"/>
    </row>
    <row r="371" spans="3:7" ht="13">
      <c r="C371" s="80"/>
      <c r="D371" s="5"/>
      <c r="E371" s="5"/>
      <c r="F371" s="5"/>
      <c r="G371" s="5"/>
    </row>
    <row r="372" spans="3:7" ht="13">
      <c r="C372" s="80"/>
      <c r="D372" s="5"/>
      <c r="E372" s="5"/>
      <c r="F372" s="5"/>
      <c r="G372" s="5"/>
    </row>
    <row r="373" spans="3:7" ht="13">
      <c r="C373" s="80"/>
      <c r="D373" s="5"/>
      <c r="E373" s="5"/>
      <c r="F373" s="5"/>
      <c r="G373" s="5"/>
    </row>
    <row r="374" spans="3:7" ht="13">
      <c r="C374" s="80"/>
      <c r="D374" s="5"/>
      <c r="E374" s="5"/>
      <c r="F374" s="5"/>
      <c r="G374" s="5"/>
    </row>
    <row r="375" spans="3:7" ht="13">
      <c r="C375" s="80"/>
      <c r="D375" s="5"/>
      <c r="E375" s="5"/>
      <c r="F375" s="5"/>
      <c r="G375" s="5"/>
    </row>
    <row r="376" spans="3:7" ht="13">
      <c r="C376" s="80"/>
      <c r="D376" s="5"/>
      <c r="E376" s="5"/>
      <c r="F376" s="5"/>
      <c r="G376" s="5"/>
    </row>
    <row r="377" spans="3:7" ht="13">
      <c r="C377" s="80"/>
      <c r="D377" s="5"/>
      <c r="E377" s="5"/>
      <c r="F377" s="5"/>
      <c r="G377" s="5"/>
    </row>
    <row r="378" spans="3:7" ht="13">
      <c r="C378" s="80"/>
      <c r="D378" s="5"/>
      <c r="E378" s="5"/>
      <c r="F378" s="5"/>
      <c r="G378" s="5"/>
    </row>
    <row r="379" spans="3:7" ht="13">
      <c r="C379" s="80"/>
      <c r="D379" s="5"/>
      <c r="E379" s="5"/>
      <c r="F379" s="5"/>
      <c r="G379" s="5"/>
    </row>
    <row r="380" spans="3:7" ht="13">
      <c r="C380" s="80"/>
      <c r="D380" s="5"/>
      <c r="E380" s="5"/>
      <c r="F380" s="5"/>
      <c r="G380" s="5"/>
    </row>
    <row r="381" spans="3:7" ht="13">
      <c r="C381" s="80"/>
      <c r="D381" s="5"/>
      <c r="E381" s="5"/>
      <c r="F381" s="5"/>
      <c r="G381" s="5"/>
    </row>
    <row r="382" spans="3:7" ht="13">
      <c r="C382" s="80"/>
      <c r="D382" s="5"/>
      <c r="E382" s="5"/>
      <c r="F382" s="5"/>
      <c r="G382" s="5"/>
    </row>
    <row r="383" spans="3:7" ht="13">
      <c r="C383" s="80"/>
      <c r="D383" s="5"/>
      <c r="E383" s="5"/>
      <c r="F383" s="5"/>
      <c r="G383" s="5"/>
    </row>
    <row r="384" spans="3:7" ht="13">
      <c r="C384" s="80"/>
      <c r="D384" s="5"/>
      <c r="E384" s="5"/>
      <c r="F384" s="5"/>
      <c r="G384" s="5"/>
    </row>
    <row r="385" spans="3:7" ht="13">
      <c r="C385" s="80"/>
      <c r="D385" s="5"/>
      <c r="E385" s="5"/>
      <c r="F385" s="5"/>
      <c r="G385" s="5"/>
    </row>
    <row r="386" spans="3:7" ht="13">
      <c r="C386" s="80"/>
      <c r="D386" s="5"/>
      <c r="E386" s="5"/>
      <c r="F386" s="5"/>
      <c r="G386" s="5"/>
    </row>
    <row r="387" spans="3:7" ht="13">
      <c r="C387" s="80"/>
      <c r="D387" s="5"/>
      <c r="E387" s="5"/>
      <c r="F387" s="5"/>
      <c r="G387" s="5"/>
    </row>
    <row r="388" spans="3:7" ht="13">
      <c r="C388" s="80"/>
      <c r="D388" s="5"/>
      <c r="E388" s="5"/>
      <c r="F388" s="5"/>
      <c r="G388" s="5"/>
    </row>
    <row r="389" spans="3:7" ht="13">
      <c r="C389" s="80"/>
      <c r="D389" s="5"/>
      <c r="E389" s="5"/>
      <c r="F389" s="5"/>
      <c r="G389" s="5"/>
    </row>
    <row r="390" spans="3:7" ht="13">
      <c r="C390" s="80"/>
      <c r="D390" s="5"/>
      <c r="E390" s="5"/>
      <c r="F390" s="5"/>
      <c r="G390" s="5"/>
    </row>
    <row r="391" spans="3:7" ht="13">
      <c r="C391" s="80"/>
      <c r="D391" s="5"/>
      <c r="E391" s="5"/>
      <c r="F391" s="5"/>
      <c r="G391" s="5"/>
    </row>
    <row r="392" spans="3:7" ht="13">
      <c r="C392" s="80"/>
      <c r="D392" s="5"/>
      <c r="E392" s="5"/>
      <c r="F392" s="5"/>
      <c r="G392" s="5"/>
    </row>
    <row r="393" spans="3:7" ht="13">
      <c r="C393" s="80"/>
      <c r="D393" s="5"/>
      <c r="E393" s="5"/>
      <c r="F393" s="5"/>
      <c r="G393" s="5"/>
    </row>
    <row r="394" spans="3:7" ht="13">
      <c r="C394" s="80"/>
      <c r="D394" s="5"/>
      <c r="E394" s="5"/>
      <c r="F394" s="5"/>
      <c r="G394" s="5"/>
    </row>
    <row r="395" spans="3:7" ht="13">
      <c r="C395" s="80"/>
      <c r="D395" s="5"/>
      <c r="E395" s="5"/>
      <c r="F395" s="5"/>
      <c r="G395" s="5"/>
    </row>
    <row r="396" spans="3:7" ht="13">
      <c r="C396" s="80"/>
      <c r="D396" s="5"/>
      <c r="E396" s="5"/>
      <c r="F396" s="5"/>
      <c r="G396" s="5"/>
    </row>
    <row r="397" spans="3:7" ht="13">
      <c r="C397" s="80"/>
      <c r="D397" s="5"/>
      <c r="E397" s="5"/>
      <c r="F397" s="5"/>
      <c r="G397" s="5"/>
    </row>
    <row r="398" spans="3:7" ht="13">
      <c r="C398" s="80"/>
      <c r="D398" s="5"/>
      <c r="E398" s="5"/>
      <c r="F398" s="5"/>
      <c r="G398" s="5"/>
    </row>
    <row r="399" spans="3:7" ht="13">
      <c r="C399" s="80"/>
      <c r="D399" s="5"/>
      <c r="E399" s="5"/>
      <c r="F399" s="5"/>
      <c r="G399" s="5"/>
    </row>
    <row r="400" spans="3:7" ht="13">
      <c r="C400" s="80"/>
      <c r="D400" s="5"/>
      <c r="E400" s="5"/>
      <c r="F400" s="5"/>
      <c r="G400" s="5"/>
    </row>
    <row r="401" spans="3:7" ht="13">
      <c r="C401" s="80"/>
      <c r="D401" s="5"/>
      <c r="E401" s="5"/>
      <c r="F401" s="5"/>
      <c r="G401" s="5"/>
    </row>
    <row r="402" spans="3:7" ht="13">
      <c r="C402" s="80"/>
      <c r="D402" s="5"/>
      <c r="E402" s="5"/>
      <c r="F402" s="5"/>
      <c r="G402" s="5"/>
    </row>
    <row r="403" spans="3:7" ht="13">
      <c r="C403" s="80"/>
      <c r="D403" s="5"/>
      <c r="E403" s="5"/>
      <c r="F403" s="5"/>
      <c r="G403" s="5"/>
    </row>
    <row r="404" spans="3:7" ht="13">
      <c r="C404" s="80"/>
      <c r="D404" s="5"/>
      <c r="E404" s="5"/>
      <c r="F404" s="5"/>
      <c r="G404" s="5"/>
    </row>
    <row r="405" spans="3:7" ht="13">
      <c r="C405" s="80"/>
      <c r="D405" s="5"/>
      <c r="E405" s="5"/>
      <c r="F405" s="5"/>
      <c r="G405" s="5"/>
    </row>
    <row r="406" spans="3:7" ht="13">
      <c r="C406" s="80"/>
      <c r="D406" s="5"/>
      <c r="E406" s="5"/>
      <c r="F406" s="5"/>
      <c r="G406" s="5"/>
    </row>
    <row r="407" spans="3:7" ht="13">
      <c r="C407" s="80"/>
      <c r="D407" s="5"/>
      <c r="E407" s="5"/>
      <c r="F407" s="5"/>
      <c r="G407" s="5"/>
    </row>
    <row r="408" spans="3:7" ht="13">
      <c r="C408" s="80"/>
      <c r="D408" s="5"/>
      <c r="E408" s="5"/>
      <c r="F408" s="5"/>
      <c r="G408" s="5"/>
    </row>
    <row r="409" spans="3:7" ht="13">
      <c r="C409" s="80"/>
      <c r="D409" s="5"/>
      <c r="E409" s="5"/>
      <c r="F409" s="5"/>
      <c r="G409" s="5"/>
    </row>
    <row r="410" spans="3:7" ht="13">
      <c r="C410" s="80"/>
      <c r="D410" s="5"/>
      <c r="E410" s="5"/>
      <c r="F410" s="5"/>
      <c r="G410" s="5"/>
    </row>
    <row r="411" spans="3:7" ht="13">
      <c r="C411" s="80"/>
      <c r="D411" s="5"/>
      <c r="E411" s="5"/>
      <c r="F411" s="5"/>
      <c r="G411" s="5"/>
    </row>
    <row r="412" spans="3:7" ht="13">
      <c r="C412" s="80"/>
      <c r="D412" s="5"/>
      <c r="E412" s="5"/>
      <c r="F412" s="5"/>
      <c r="G412" s="5"/>
    </row>
    <row r="413" spans="3:7" ht="13">
      <c r="C413" s="80"/>
      <c r="D413" s="5"/>
      <c r="E413" s="5"/>
      <c r="F413" s="5"/>
      <c r="G413" s="5"/>
    </row>
    <row r="414" spans="3:7" ht="13">
      <c r="C414" s="80"/>
      <c r="D414" s="5"/>
      <c r="E414" s="5"/>
      <c r="F414" s="5"/>
      <c r="G414" s="5"/>
    </row>
    <row r="415" spans="3:7" ht="13">
      <c r="C415" s="80"/>
      <c r="D415" s="5"/>
      <c r="E415" s="5"/>
      <c r="F415" s="5"/>
      <c r="G415" s="5"/>
    </row>
    <row r="416" spans="3:7" ht="13">
      <c r="C416" s="80"/>
      <c r="D416" s="5"/>
      <c r="E416" s="5"/>
      <c r="F416" s="5"/>
      <c r="G416" s="5"/>
    </row>
    <row r="417" spans="3:7" ht="13">
      <c r="C417" s="80"/>
      <c r="D417" s="5"/>
      <c r="E417" s="5"/>
      <c r="F417" s="5"/>
      <c r="G417" s="5"/>
    </row>
    <row r="418" spans="3:7" ht="13">
      <c r="C418" s="80"/>
      <c r="D418" s="5"/>
      <c r="E418" s="5"/>
      <c r="F418" s="5"/>
      <c r="G418" s="5"/>
    </row>
    <row r="419" spans="3:7" ht="13">
      <c r="C419" s="80"/>
      <c r="D419" s="5"/>
      <c r="E419" s="5"/>
      <c r="F419" s="5"/>
      <c r="G419" s="5"/>
    </row>
    <row r="420" spans="3:7" ht="13">
      <c r="C420" s="80"/>
      <c r="D420" s="5"/>
      <c r="E420" s="5"/>
      <c r="F420" s="5"/>
      <c r="G420" s="5"/>
    </row>
    <row r="421" spans="3:7" ht="13">
      <c r="C421" s="80"/>
      <c r="D421" s="5"/>
      <c r="E421" s="5"/>
      <c r="F421" s="5"/>
      <c r="G421" s="5"/>
    </row>
    <row r="422" spans="3:7" ht="13">
      <c r="C422" s="80"/>
      <c r="D422" s="5"/>
      <c r="E422" s="5"/>
      <c r="F422" s="5"/>
      <c r="G422" s="5"/>
    </row>
    <row r="423" spans="3:7" ht="13">
      <c r="C423" s="80"/>
      <c r="D423" s="5"/>
      <c r="E423" s="5"/>
      <c r="F423" s="5"/>
      <c r="G423" s="5"/>
    </row>
    <row r="424" spans="3:7" ht="13">
      <c r="C424" s="80"/>
      <c r="D424" s="5"/>
      <c r="E424" s="5"/>
      <c r="F424" s="5"/>
      <c r="G424" s="5"/>
    </row>
    <row r="425" spans="3:7" ht="13">
      <c r="C425" s="80"/>
      <c r="D425" s="5"/>
      <c r="E425" s="5"/>
      <c r="F425" s="5"/>
      <c r="G425" s="5"/>
    </row>
    <row r="426" spans="3:7" ht="13">
      <c r="C426" s="80"/>
      <c r="D426" s="5"/>
      <c r="E426" s="5"/>
      <c r="F426" s="5"/>
      <c r="G426" s="5"/>
    </row>
    <row r="427" spans="3:7" ht="13">
      <c r="C427" s="80"/>
      <c r="D427" s="5"/>
      <c r="E427" s="5"/>
      <c r="F427" s="5"/>
      <c r="G427" s="5"/>
    </row>
    <row r="428" spans="3:7" ht="13">
      <c r="C428" s="80"/>
      <c r="D428" s="5"/>
      <c r="E428" s="5"/>
      <c r="F428" s="5"/>
      <c r="G428" s="5"/>
    </row>
    <row r="429" spans="3:7" ht="13">
      <c r="C429" s="80"/>
      <c r="D429" s="5"/>
      <c r="E429" s="5"/>
      <c r="F429" s="5"/>
      <c r="G429" s="5"/>
    </row>
    <row r="430" spans="3:7" ht="13">
      <c r="C430" s="80"/>
      <c r="D430" s="5"/>
      <c r="E430" s="5"/>
      <c r="F430" s="5"/>
      <c r="G430" s="5"/>
    </row>
    <row r="431" spans="3:7" ht="13">
      <c r="C431" s="80"/>
      <c r="D431" s="5"/>
      <c r="E431" s="5"/>
      <c r="F431" s="5"/>
      <c r="G431" s="5"/>
    </row>
    <row r="432" spans="3:7" ht="13">
      <c r="C432" s="80"/>
      <c r="D432" s="5"/>
      <c r="E432" s="5"/>
      <c r="F432" s="5"/>
      <c r="G432" s="5"/>
    </row>
    <row r="433" spans="3:7" ht="13">
      <c r="C433" s="80"/>
      <c r="D433" s="5"/>
      <c r="E433" s="5"/>
      <c r="F433" s="5"/>
      <c r="G433" s="5"/>
    </row>
    <row r="434" spans="3:7" ht="13">
      <c r="C434" s="80"/>
      <c r="D434" s="5"/>
      <c r="E434" s="5"/>
      <c r="F434" s="5"/>
      <c r="G434" s="5"/>
    </row>
    <row r="435" spans="3:7" ht="13">
      <c r="C435" s="80"/>
      <c r="D435" s="5"/>
      <c r="E435" s="5"/>
      <c r="F435" s="5"/>
      <c r="G435" s="5"/>
    </row>
    <row r="436" spans="3:7" ht="13">
      <c r="C436" s="80"/>
      <c r="D436" s="5"/>
      <c r="E436" s="5"/>
      <c r="F436" s="5"/>
      <c r="G436" s="5"/>
    </row>
    <row r="437" spans="3:7" ht="13">
      <c r="C437" s="80"/>
      <c r="D437" s="5"/>
      <c r="E437" s="5"/>
      <c r="F437" s="5"/>
      <c r="G437" s="5"/>
    </row>
    <row r="438" spans="3:7" ht="13">
      <c r="C438" s="80"/>
      <c r="D438" s="5"/>
      <c r="E438" s="5"/>
      <c r="F438" s="5"/>
      <c r="G438" s="5"/>
    </row>
    <row r="439" spans="3:7" ht="13">
      <c r="C439" s="80"/>
      <c r="D439" s="5"/>
      <c r="E439" s="5"/>
      <c r="F439" s="5"/>
      <c r="G439" s="5"/>
    </row>
    <row r="440" spans="3:7" ht="13">
      <c r="C440" s="80"/>
      <c r="D440" s="5"/>
      <c r="E440" s="5"/>
      <c r="F440" s="5"/>
      <c r="G440" s="5"/>
    </row>
    <row r="441" spans="3:7" ht="13">
      <c r="C441" s="80"/>
      <c r="D441" s="5"/>
      <c r="E441" s="5"/>
      <c r="F441" s="5"/>
      <c r="G441" s="5"/>
    </row>
    <row r="442" spans="3:7" ht="13">
      <c r="C442" s="80"/>
      <c r="D442" s="5"/>
      <c r="E442" s="5"/>
      <c r="F442" s="5"/>
      <c r="G442" s="5"/>
    </row>
    <row r="443" spans="3:7" ht="13">
      <c r="C443" s="80"/>
      <c r="D443" s="5"/>
      <c r="E443" s="5"/>
      <c r="F443" s="5"/>
      <c r="G443" s="5"/>
    </row>
    <row r="444" spans="3:7" ht="13">
      <c r="C444" s="80"/>
      <c r="D444" s="5"/>
      <c r="E444" s="5"/>
      <c r="F444" s="5"/>
      <c r="G444" s="5"/>
    </row>
    <row r="445" spans="3:7" ht="13">
      <c r="C445" s="80"/>
      <c r="D445" s="5"/>
      <c r="E445" s="5"/>
      <c r="F445" s="5"/>
      <c r="G445" s="5"/>
    </row>
    <row r="446" spans="3:7" ht="13">
      <c r="C446" s="80"/>
      <c r="D446" s="5"/>
      <c r="E446" s="5"/>
      <c r="F446" s="5"/>
      <c r="G446" s="5"/>
    </row>
    <row r="447" spans="3:7" ht="13">
      <c r="C447" s="80"/>
      <c r="D447" s="5"/>
      <c r="E447" s="5"/>
      <c r="F447" s="5"/>
      <c r="G447" s="5"/>
    </row>
    <row r="448" spans="3:7" ht="13">
      <c r="C448" s="80"/>
      <c r="D448" s="5"/>
      <c r="E448" s="5"/>
      <c r="F448" s="5"/>
      <c r="G448" s="5"/>
    </row>
    <row r="449" spans="3:7" ht="13">
      <c r="C449" s="80"/>
      <c r="D449" s="5"/>
      <c r="E449" s="5"/>
      <c r="F449" s="5"/>
      <c r="G449" s="5"/>
    </row>
    <row r="450" spans="3:7" ht="13">
      <c r="C450" s="80"/>
      <c r="D450" s="5"/>
      <c r="E450" s="5"/>
      <c r="F450" s="5"/>
      <c r="G450" s="5"/>
    </row>
    <row r="451" spans="3:7" ht="13">
      <c r="C451" s="80"/>
      <c r="D451" s="5"/>
      <c r="E451" s="5"/>
      <c r="F451" s="5"/>
      <c r="G451" s="5"/>
    </row>
    <row r="452" spans="3:7" ht="13">
      <c r="C452" s="80"/>
      <c r="D452" s="5"/>
      <c r="E452" s="5"/>
      <c r="F452" s="5"/>
      <c r="G452" s="5"/>
    </row>
    <row r="453" spans="3:7" ht="13">
      <c r="C453" s="80"/>
      <c r="D453" s="5"/>
      <c r="E453" s="5"/>
      <c r="F453" s="5"/>
      <c r="G453" s="5"/>
    </row>
    <row r="454" spans="3:7" ht="13">
      <c r="C454" s="80"/>
      <c r="D454" s="5"/>
      <c r="E454" s="5"/>
      <c r="F454" s="5"/>
      <c r="G454" s="5"/>
    </row>
    <row r="455" spans="3:7" ht="13">
      <c r="C455" s="80"/>
      <c r="D455" s="5"/>
      <c r="E455" s="5"/>
      <c r="F455" s="5"/>
      <c r="G455" s="5"/>
    </row>
    <row r="456" spans="3:7" ht="13">
      <c r="C456" s="80"/>
      <c r="D456" s="5"/>
      <c r="E456" s="5"/>
      <c r="F456" s="5"/>
      <c r="G456" s="5"/>
    </row>
    <row r="457" spans="3:7" ht="13">
      <c r="C457" s="80"/>
      <c r="D457" s="5"/>
      <c r="E457" s="5"/>
      <c r="F457" s="5"/>
      <c r="G457" s="5"/>
    </row>
    <row r="458" spans="3:7" ht="13">
      <c r="C458" s="80"/>
      <c r="D458" s="5"/>
      <c r="E458" s="5"/>
      <c r="F458" s="5"/>
      <c r="G458" s="5"/>
    </row>
    <row r="459" spans="3:7" ht="13">
      <c r="C459" s="80"/>
      <c r="D459" s="5"/>
      <c r="E459" s="5"/>
      <c r="F459" s="5"/>
      <c r="G459" s="5"/>
    </row>
    <row r="460" spans="3:7" ht="13">
      <c r="C460" s="80"/>
      <c r="D460" s="5"/>
      <c r="E460" s="5"/>
      <c r="F460" s="5"/>
      <c r="G460" s="5"/>
    </row>
    <row r="461" spans="3:7" ht="13">
      <c r="C461" s="80"/>
      <c r="D461" s="5"/>
      <c r="E461" s="5"/>
      <c r="F461" s="5"/>
      <c r="G461" s="5"/>
    </row>
    <row r="462" spans="3:7" ht="13">
      <c r="C462" s="80"/>
      <c r="D462" s="5"/>
      <c r="E462" s="5"/>
      <c r="F462" s="5"/>
      <c r="G462" s="5"/>
    </row>
    <row r="463" spans="3:7" ht="13">
      <c r="C463" s="80"/>
      <c r="D463" s="5"/>
      <c r="E463" s="5"/>
      <c r="F463" s="5"/>
      <c r="G463" s="5"/>
    </row>
    <row r="464" spans="3:7" ht="13">
      <c r="C464" s="80"/>
      <c r="D464" s="5"/>
      <c r="E464" s="5"/>
      <c r="F464" s="5"/>
      <c r="G464" s="5"/>
    </row>
    <row r="465" spans="3:7" ht="13">
      <c r="C465" s="80"/>
      <c r="D465" s="5"/>
      <c r="E465" s="5"/>
      <c r="F465" s="5"/>
      <c r="G465" s="5"/>
    </row>
    <row r="466" spans="3:7" ht="13">
      <c r="C466" s="80"/>
      <c r="D466" s="5"/>
      <c r="E466" s="5"/>
      <c r="F466" s="5"/>
      <c r="G466" s="5"/>
    </row>
    <row r="467" spans="3:7" ht="13">
      <c r="C467" s="80"/>
      <c r="D467" s="5"/>
      <c r="E467" s="5"/>
      <c r="F467" s="5"/>
      <c r="G467" s="5"/>
    </row>
    <row r="468" spans="3:7" ht="13">
      <c r="C468" s="80"/>
      <c r="D468" s="5"/>
      <c r="E468" s="5"/>
      <c r="F468" s="5"/>
      <c r="G468" s="5"/>
    </row>
    <row r="469" spans="3:7" ht="13">
      <c r="C469" s="80"/>
      <c r="D469" s="5"/>
      <c r="E469" s="5"/>
      <c r="F469" s="5"/>
      <c r="G469" s="5"/>
    </row>
    <row r="470" spans="3:7" ht="13">
      <c r="C470" s="80"/>
      <c r="D470" s="5"/>
      <c r="E470" s="5"/>
      <c r="F470" s="5"/>
      <c r="G470" s="5"/>
    </row>
    <row r="471" spans="3:7" ht="13">
      <c r="C471" s="80"/>
      <c r="D471" s="5"/>
      <c r="E471" s="5"/>
      <c r="F471" s="5"/>
      <c r="G471" s="5"/>
    </row>
    <row r="472" spans="3:7" ht="13">
      <c r="C472" s="80"/>
      <c r="D472" s="5"/>
      <c r="E472" s="5"/>
      <c r="F472" s="5"/>
      <c r="G472" s="5"/>
    </row>
    <row r="473" spans="3:7" ht="13">
      <c r="C473" s="80"/>
      <c r="D473" s="5"/>
      <c r="E473" s="5"/>
      <c r="F473" s="5"/>
      <c r="G473" s="5"/>
    </row>
    <row r="474" spans="3:7" ht="13">
      <c r="C474" s="80"/>
      <c r="D474" s="5"/>
      <c r="E474" s="5"/>
      <c r="F474" s="5"/>
      <c r="G474" s="5"/>
    </row>
    <row r="475" spans="3:7" ht="13">
      <c r="C475" s="80"/>
      <c r="D475" s="5"/>
      <c r="E475" s="5"/>
      <c r="F475" s="5"/>
      <c r="G475" s="5"/>
    </row>
    <row r="476" spans="3:7" ht="13">
      <c r="C476" s="80"/>
      <c r="D476" s="5"/>
      <c r="E476" s="5"/>
      <c r="F476" s="5"/>
      <c r="G476" s="5"/>
    </row>
    <row r="477" spans="3:7" ht="13">
      <c r="C477" s="80"/>
      <c r="D477" s="5"/>
      <c r="E477" s="5"/>
      <c r="F477" s="5"/>
      <c r="G477" s="5"/>
    </row>
    <row r="478" spans="3:7" ht="13">
      <c r="C478" s="80"/>
      <c r="D478" s="5"/>
      <c r="E478" s="5"/>
      <c r="F478" s="5"/>
      <c r="G478" s="5"/>
    </row>
    <row r="479" spans="3:7" ht="13">
      <c r="C479" s="80"/>
      <c r="D479" s="5"/>
      <c r="E479" s="5"/>
      <c r="F479" s="5"/>
      <c r="G479" s="5"/>
    </row>
    <row r="480" spans="3:7" ht="13">
      <c r="C480" s="80"/>
      <c r="D480" s="5"/>
      <c r="E480" s="5"/>
      <c r="F480" s="5"/>
      <c r="G480" s="5"/>
    </row>
    <row r="481" spans="3:7" ht="13">
      <c r="C481" s="80"/>
      <c r="D481" s="5"/>
      <c r="E481" s="5"/>
      <c r="F481" s="5"/>
      <c r="G481" s="5"/>
    </row>
    <row r="482" spans="3:7" ht="13">
      <c r="C482" s="80"/>
      <c r="D482" s="5"/>
      <c r="E482" s="5"/>
      <c r="F482" s="5"/>
      <c r="G482" s="5"/>
    </row>
    <row r="483" spans="3:7" ht="13">
      <c r="C483" s="80"/>
      <c r="D483" s="5"/>
      <c r="E483" s="5"/>
      <c r="F483" s="5"/>
      <c r="G483" s="5"/>
    </row>
    <row r="484" spans="3:7" ht="13">
      <c r="C484" s="80"/>
      <c r="D484" s="5"/>
      <c r="E484" s="5"/>
      <c r="F484" s="5"/>
      <c r="G484" s="5"/>
    </row>
    <row r="485" spans="3:7" ht="13">
      <c r="C485" s="80"/>
      <c r="D485" s="5"/>
      <c r="E485" s="5"/>
      <c r="F485" s="5"/>
      <c r="G485" s="5"/>
    </row>
    <row r="486" spans="3:7" ht="13">
      <c r="C486" s="80"/>
      <c r="D486" s="5"/>
      <c r="E486" s="5"/>
      <c r="F486" s="5"/>
      <c r="G486" s="5"/>
    </row>
    <row r="487" spans="3:7" ht="13">
      <c r="C487" s="80"/>
      <c r="D487" s="5"/>
      <c r="E487" s="5"/>
      <c r="F487" s="5"/>
      <c r="G487" s="5"/>
    </row>
    <row r="488" spans="3:7" ht="13">
      <c r="C488" s="80"/>
      <c r="D488" s="5"/>
      <c r="E488" s="5"/>
      <c r="F488" s="5"/>
      <c r="G488" s="5"/>
    </row>
    <row r="489" spans="3:7" ht="13">
      <c r="C489" s="80"/>
      <c r="D489" s="5"/>
      <c r="E489" s="5"/>
      <c r="F489" s="5"/>
      <c r="G489" s="5"/>
    </row>
    <row r="490" spans="3:7" ht="13">
      <c r="C490" s="80"/>
      <c r="D490" s="5"/>
      <c r="E490" s="5"/>
      <c r="F490" s="5"/>
      <c r="G490" s="5"/>
    </row>
    <row r="491" spans="3:7" ht="13">
      <c r="C491" s="80"/>
      <c r="D491" s="5"/>
      <c r="E491" s="5"/>
      <c r="F491" s="5"/>
      <c r="G491" s="5"/>
    </row>
    <row r="492" spans="3:7" ht="13">
      <c r="C492" s="80"/>
      <c r="D492" s="5"/>
      <c r="E492" s="5"/>
      <c r="F492" s="5"/>
      <c r="G492" s="5"/>
    </row>
    <row r="493" spans="3:7" ht="13">
      <c r="C493" s="80"/>
      <c r="D493" s="5"/>
      <c r="E493" s="5"/>
      <c r="F493" s="5"/>
      <c r="G493" s="5"/>
    </row>
    <row r="494" spans="3:7" ht="13">
      <c r="C494" s="80"/>
      <c r="D494" s="5"/>
      <c r="E494" s="5"/>
      <c r="F494" s="5"/>
      <c r="G494" s="5"/>
    </row>
    <row r="495" spans="3:7" ht="13">
      <c r="C495" s="80"/>
      <c r="D495" s="5"/>
      <c r="E495" s="5"/>
      <c r="F495" s="5"/>
      <c r="G495" s="5"/>
    </row>
    <row r="496" spans="3:7" ht="13">
      <c r="C496" s="80"/>
      <c r="D496" s="5"/>
      <c r="E496" s="5"/>
      <c r="F496" s="5"/>
      <c r="G496" s="5"/>
    </row>
    <row r="497" spans="3:7" ht="13">
      <c r="C497" s="80"/>
      <c r="D497" s="5"/>
      <c r="E497" s="5"/>
      <c r="F497" s="5"/>
      <c r="G497" s="5"/>
    </row>
    <row r="498" spans="3:7" ht="13">
      <c r="C498" s="80"/>
      <c r="D498" s="5"/>
      <c r="E498" s="5"/>
      <c r="F498" s="5"/>
      <c r="G498" s="5"/>
    </row>
    <row r="499" spans="3:7" ht="13">
      <c r="C499" s="80"/>
      <c r="D499" s="5"/>
      <c r="E499" s="5"/>
      <c r="F499" s="5"/>
      <c r="G499" s="5"/>
    </row>
    <row r="500" spans="3:7" ht="13">
      <c r="C500" s="80"/>
      <c r="D500" s="5"/>
      <c r="E500" s="5"/>
      <c r="F500" s="5"/>
      <c r="G500" s="5"/>
    </row>
    <row r="501" spans="3:7" ht="13">
      <c r="C501" s="80"/>
      <c r="D501" s="5"/>
      <c r="E501" s="5"/>
      <c r="F501" s="5"/>
      <c r="G501" s="5"/>
    </row>
    <row r="502" spans="3:7" ht="13">
      <c r="C502" s="80"/>
      <c r="D502" s="5"/>
      <c r="E502" s="5"/>
      <c r="F502" s="5"/>
      <c r="G502" s="5"/>
    </row>
    <row r="503" spans="3:7" ht="13">
      <c r="C503" s="80"/>
      <c r="D503" s="5"/>
      <c r="E503" s="5"/>
      <c r="F503" s="5"/>
      <c r="G503" s="5"/>
    </row>
    <row r="504" spans="3:7" ht="13">
      <c r="C504" s="80"/>
      <c r="D504" s="5"/>
      <c r="E504" s="5"/>
      <c r="F504" s="5"/>
      <c r="G504" s="5"/>
    </row>
    <row r="505" spans="3:7" ht="13">
      <c r="C505" s="80"/>
      <c r="D505" s="5"/>
      <c r="E505" s="5"/>
      <c r="F505" s="5"/>
      <c r="G505" s="5"/>
    </row>
    <row r="506" spans="3:7" ht="13">
      <c r="C506" s="80"/>
      <c r="D506" s="5"/>
      <c r="E506" s="5"/>
      <c r="F506" s="5"/>
      <c r="G506" s="5"/>
    </row>
    <row r="507" spans="3:7" ht="13">
      <c r="C507" s="80"/>
      <c r="D507" s="5"/>
      <c r="E507" s="5"/>
      <c r="F507" s="5"/>
      <c r="G507" s="5"/>
    </row>
    <row r="508" spans="3:7" ht="13">
      <c r="C508" s="80"/>
      <c r="D508" s="5"/>
      <c r="E508" s="5"/>
      <c r="F508" s="5"/>
      <c r="G508" s="5"/>
    </row>
    <row r="509" spans="3:7" ht="13">
      <c r="C509" s="80"/>
      <c r="D509" s="5"/>
      <c r="E509" s="5"/>
      <c r="F509" s="5"/>
      <c r="G509" s="5"/>
    </row>
    <row r="510" spans="3:7" ht="13">
      <c r="C510" s="80"/>
      <c r="D510" s="5"/>
      <c r="E510" s="5"/>
      <c r="F510" s="5"/>
      <c r="G510" s="5"/>
    </row>
    <row r="511" spans="3:7" ht="13">
      <c r="C511" s="80"/>
      <c r="D511" s="5"/>
      <c r="E511" s="5"/>
      <c r="F511" s="5"/>
      <c r="G511" s="5"/>
    </row>
    <row r="512" spans="3:7" ht="13">
      <c r="C512" s="80"/>
      <c r="D512" s="5"/>
      <c r="E512" s="5"/>
      <c r="F512" s="5"/>
      <c r="G512" s="5"/>
    </row>
    <row r="513" spans="3:7" ht="13">
      <c r="C513" s="80"/>
      <c r="D513" s="5"/>
      <c r="E513" s="5"/>
      <c r="F513" s="5"/>
      <c r="G513" s="5"/>
    </row>
    <row r="514" spans="3:7" ht="13">
      <c r="C514" s="80"/>
      <c r="D514" s="5"/>
      <c r="E514" s="5"/>
      <c r="F514" s="5"/>
      <c r="G514" s="5"/>
    </row>
    <row r="515" spans="3:7" ht="13">
      <c r="C515" s="80"/>
      <c r="D515" s="5"/>
      <c r="E515" s="5"/>
      <c r="F515" s="5"/>
      <c r="G515" s="5"/>
    </row>
    <row r="516" spans="3:7" ht="13">
      <c r="C516" s="80"/>
      <c r="D516" s="5"/>
      <c r="E516" s="5"/>
      <c r="F516" s="5"/>
      <c r="G516" s="5"/>
    </row>
    <row r="517" spans="3:7" ht="13">
      <c r="C517" s="80"/>
      <c r="D517" s="5"/>
      <c r="E517" s="5"/>
      <c r="F517" s="5"/>
      <c r="G517" s="5"/>
    </row>
    <row r="518" spans="3:7" ht="13">
      <c r="C518" s="80"/>
      <c r="D518" s="5"/>
      <c r="E518" s="5"/>
      <c r="F518" s="5"/>
      <c r="G518" s="5"/>
    </row>
    <row r="519" spans="3:7" ht="13">
      <c r="C519" s="80"/>
      <c r="D519" s="5"/>
      <c r="E519" s="5"/>
      <c r="F519" s="5"/>
      <c r="G519" s="5"/>
    </row>
    <row r="520" spans="3:7" ht="13">
      <c r="C520" s="80"/>
      <c r="D520" s="5"/>
      <c r="E520" s="5"/>
      <c r="F520" s="5"/>
      <c r="G520" s="5"/>
    </row>
    <row r="521" spans="3:7" ht="13">
      <c r="C521" s="80"/>
      <c r="D521" s="5"/>
      <c r="E521" s="5"/>
      <c r="F521" s="5"/>
      <c r="G521" s="5"/>
    </row>
    <row r="522" spans="3:7" ht="13">
      <c r="C522" s="80"/>
      <c r="D522" s="5"/>
      <c r="E522" s="5"/>
      <c r="F522" s="5"/>
      <c r="G522" s="5"/>
    </row>
    <row r="523" spans="3:7" ht="13">
      <c r="C523" s="80"/>
      <c r="D523" s="5"/>
      <c r="E523" s="5"/>
      <c r="F523" s="5"/>
      <c r="G523" s="5"/>
    </row>
    <row r="524" spans="3:7" ht="13">
      <c r="C524" s="80"/>
      <c r="D524" s="5"/>
      <c r="E524" s="5"/>
      <c r="F524" s="5"/>
      <c r="G524" s="5"/>
    </row>
    <row r="525" spans="3:7" ht="13">
      <c r="C525" s="80"/>
      <c r="D525" s="5"/>
      <c r="E525" s="5"/>
      <c r="F525" s="5"/>
      <c r="G525" s="5"/>
    </row>
    <row r="526" spans="3:7" ht="13">
      <c r="C526" s="80"/>
      <c r="D526" s="5"/>
      <c r="E526" s="5"/>
      <c r="F526" s="5"/>
      <c r="G526" s="5"/>
    </row>
    <row r="527" spans="3:7" ht="13">
      <c r="C527" s="80"/>
      <c r="D527" s="5"/>
      <c r="E527" s="5"/>
      <c r="F527" s="5"/>
      <c r="G527" s="5"/>
    </row>
    <row r="528" spans="3:7" ht="13">
      <c r="C528" s="80"/>
      <c r="D528" s="5"/>
      <c r="E528" s="5"/>
      <c r="F528" s="5"/>
      <c r="G528" s="5"/>
    </row>
    <row r="529" spans="3:7" ht="13">
      <c r="C529" s="80"/>
      <c r="D529" s="5"/>
      <c r="E529" s="5"/>
      <c r="F529" s="5"/>
      <c r="G529" s="5"/>
    </row>
    <row r="530" spans="3:7" ht="13">
      <c r="C530" s="80"/>
      <c r="D530" s="5"/>
      <c r="E530" s="5"/>
      <c r="F530" s="5"/>
      <c r="G530" s="5"/>
    </row>
    <row r="531" spans="3:7" ht="13">
      <c r="C531" s="80"/>
      <c r="D531" s="5"/>
      <c r="E531" s="5"/>
      <c r="F531" s="5"/>
      <c r="G531" s="5"/>
    </row>
    <row r="532" spans="3:7" ht="13">
      <c r="C532" s="80"/>
      <c r="D532" s="5"/>
      <c r="E532" s="5"/>
      <c r="F532" s="5"/>
      <c r="G532" s="5"/>
    </row>
    <row r="533" spans="3:7" ht="13">
      <c r="C533" s="80"/>
      <c r="D533" s="5"/>
      <c r="E533" s="5"/>
      <c r="F533" s="5"/>
      <c r="G533" s="5"/>
    </row>
    <row r="534" spans="3:7" ht="13">
      <c r="C534" s="80"/>
      <c r="D534" s="5"/>
      <c r="E534" s="5"/>
      <c r="F534" s="5"/>
      <c r="G534" s="5"/>
    </row>
    <row r="535" spans="3:7" ht="13">
      <c r="C535" s="80"/>
      <c r="D535" s="5"/>
      <c r="E535" s="5"/>
      <c r="F535" s="5"/>
      <c r="G535" s="5"/>
    </row>
    <row r="536" spans="3:7" ht="13">
      <c r="C536" s="80"/>
      <c r="D536" s="5"/>
      <c r="E536" s="5"/>
      <c r="F536" s="5"/>
      <c r="G536" s="5"/>
    </row>
    <row r="537" spans="3:7" ht="13">
      <c r="C537" s="80"/>
      <c r="D537" s="5"/>
      <c r="E537" s="5"/>
      <c r="F537" s="5"/>
      <c r="G537" s="5"/>
    </row>
    <row r="538" spans="3:7" ht="13">
      <c r="C538" s="80"/>
      <c r="D538" s="5"/>
      <c r="E538" s="5"/>
      <c r="F538" s="5"/>
      <c r="G538" s="5"/>
    </row>
    <row r="539" spans="3:7" ht="13">
      <c r="C539" s="80"/>
      <c r="D539" s="5"/>
      <c r="E539" s="5"/>
      <c r="F539" s="5"/>
      <c r="G539" s="5"/>
    </row>
    <row r="540" spans="3:7" ht="13">
      <c r="C540" s="80"/>
      <c r="D540" s="5"/>
      <c r="E540" s="5"/>
      <c r="F540" s="5"/>
      <c r="G540" s="5"/>
    </row>
    <row r="541" spans="3:7" ht="13">
      <c r="C541" s="80"/>
      <c r="D541" s="5"/>
      <c r="E541" s="5"/>
      <c r="F541" s="5"/>
      <c r="G541" s="5"/>
    </row>
    <row r="542" spans="3:7" ht="13">
      <c r="C542" s="80"/>
      <c r="D542" s="5"/>
      <c r="E542" s="5"/>
      <c r="F542" s="5"/>
      <c r="G542" s="5"/>
    </row>
    <row r="543" spans="3:7" ht="13">
      <c r="C543" s="80"/>
      <c r="D543" s="5"/>
      <c r="E543" s="5"/>
      <c r="F543" s="5"/>
      <c r="G543" s="5"/>
    </row>
    <row r="544" spans="3:7" ht="13">
      <c r="C544" s="80"/>
      <c r="D544" s="5"/>
      <c r="E544" s="5"/>
      <c r="F544" s="5"/>
      <c r="G544" s="5"/>
    </row>
    <row r="545" spans="3:7" ht="13">
      <c r="C545" s="80"/>
      <c r="D545" s="5"/>
      <c r="E545" s="5"/>
      <c r="F545" s="5"/>
      <c r="G545" s="5"/>
    </row>
    <row r="546" spans="3:7" ht="13">
      <c r="C546" s="80"/>
      <c r="D546" s="5"/>
      <c r="E546" s="5"/>
      <c r="F546" s="5"/>
      <c r="G546" s="5"/>
    </row>
    <row r="547" spans="3:7" ht="13">
      <c r="C547" s="80"/>
      <c r="D547" s="5"/>
      <c r="E547" s="5"/>
      <c r="F547" s="5"/>
      <c r="G547" s="5"/>
    </row>
    <row r="548" spans="3:7" ht="13">
      <c r="C548" s="80"/>
      <c r="D548" s="5"/>
      <c r="E548" s="5"/>
      <c r="F548" s="5"/>
      <c r="G548" s="5"/>
    </row>
    <row r="549" spans="3:7" ht="13">
      <c r="C549" s="80"/>
      <c r="D549" s="5"/>
      <c r="E549" s="5"/>
      <c r="F549" s="5"/>
      <c r="G549" s="5"/>
    </row>
    <row r="550" spans="3:7" ht="13">
      <c r="C550" s="80"/>
      <c r="D550" s="5"/>
      <c r="E550" s="5"/>
      <c r="F550" s="5"/>
      <c r="G550" s="5"/>
    </row>
    <row r="551" spans="3:7" ht="13">
      <c r="C551" s="80"/>
      <c r="D551" s="5"/>
      <c r="E551" s="5"/>
      <c r="F551" s="5"/>
      <c r="G551" s="5"/>
    </row>
    <row r="552" spans="3:7" ht="13">
      <c r="C552" s="80"/>
      <c r="D552" s="5"/>
      <c r="E552" s="5"/>
      <c r="F552" s="5"/>
      <c r="G552" s="5"/>
    </row>
    <row r="553" spans="3:7" ht="13">
      <c r="C553" s="80"/>
      <c r="D553" s="5"/>
      <c r="E553" s="5"/>
      <c r="F553" s="5"/>
      <c r="G553" s="5"/>
    </row>
    <row r="554" spans="3:7" ht="13">
      <c r="C554" s="80"/>
      <c r="D554" s="5"/>
      <c r="E554" s="5"/>
      <c r="F554" s="5"/>
      <c r="G554" s="5"/>
    </row>
    <row r="555" spans="3:7" ht="13">
      <c r="C555" s="80"/>
      <c r="D555" s="5"/>
      <c r="E555" s="5"/>
      <c r="F555" s="5"/>
      <c r="G555" s="5"/>
    </row>
    <row r="556" spans="3:7" ht="13">
      <c r="C556" s="80"/>
      <c r="D556" s="5"/>
      <c r="E556" s="5"/>
      <c r="F556" s="5"/>
      <c r="G556" s="5"/>
    </row>
    <row r="557" spans="3:7" ht="13">
      <c r="C557" s="80"/>
      <c r="D557" s="5"/>
      <c r="E557" s="5"/>
      <c r="F557" s="5"/>
      <c r="G557" s="5"/>
    </row>
    <row r="558" spans="3:7" ht="13">
      <c r="C558" s="80"/>
      <c r="D558" s="5"/>
      <c r="E558" s="5"/>
      <c r="F558" s="5"/>
      <c r="G558" s="5"/>
    </row>
    <row r="559" spans="3:7" ht="13">
      <c r="C559" s="80"/>
      <c r="D559" s="5"/>
      <c r="E559" s="5"/>
      <c r="F559" s="5"/>
      <c r="G559" s="5"/>
    </row>
    <row r="560" spans="3:7" ht="13">
      <c r="C560" s="80"/>
      <c r="D560" s="5"/>
      <c r="E560" s="5"/>
      <c r="F560" s="5"/>
      <c r="G560" s="5"/>
    </row>
    <row r="561" spans="3:7" ht="13">
      <c r="C561" s="80"/>
      <c r="D561" s="5"/>
      <c r="E561" s="5"/>
      <c r="F561" s="5"/>
      <c r="G561" s="5"/>
    </row>
    <row r="562" spans="3:7" ht="13">
      <c r="C562" s="80"/>
      <c r="D562" s="5"/>
      <c r="E562" s="5"/>
      <c r="F562" s="5"/>
      <c r="G562" s="5"/>
    </row>
    <row r="563" spans="3:7" ht="13">
      <c r="C563" s="80"/>
      <c r="D563" s="5"/>
      <c r="E563" s="5"/>
      <c r="F563" s="5"/>
      <c r="G563" s="5"/>
    </row>
    <row r="564" spans="3:7" ht="13">
      <c r="C564" s="80"/>
      <c r="D564" s="5"/>
      <c r="E564" s="5"/>
      <c r="F564" s="5"/>
      <c r="G564" s="5"/>
    </row>
    <row r="565" spans="3:7" ht="13">
      <c r="C565" s="80"/>
      <c r="D565" s="5"/>
      <c r="E565" s="5"/>
      <c r="F565" s="5"/>
      <c r="G565" s="5"/>
    </row>
    <row r="566" spans="3:7" ht="13">
      <c r="C566" s="80"/>
      <c r="D566" s="5"/>
      <c r="E566" s="5"/>
      <c r="F566" s="5"/>
      <c r="G566" s="5"/>
    </row>
    <row r="567" spans="3:7" ht="13">
      <c r="C567" s="80"/>
      <c r="D567" s="5"/>
      <c r="E567" s="5"/>
      <c r="F567" s="5"/>
      <c r="G567" s="5"/>
    </row>
    <row r="568" spans="3:7" ht="13">
      <c r="C568" s="80"/>
      <c r="D568" s="5"/>
      <c r="E568" s="5"/>
      <c r="F568" s="5"/>
      <c r="G568" s="5"/>
    </row>
    <row r="569" spans="3:7" ht="13">
      <c r="C569" s="80"/>
      <c r="D569" s="5"/>
      <c r="E569" s="5"/>
      <c r="F569" s="5"/>
      <c r="G569" s="5"/>
    </row>
    <row r="570" spans="3:7" ht="13">
      <c r="C570" s="80"/>
      <c r="D570" s="5"/>
      <c r="E570" s="5"/>
      <c r="F570" s="5"/>
      <c r="G570" s="5"/>
    </row>
    <row r="571" spans="3:7" ht="13">
      <c r="C571" s="80"/>
      <c r="D571" s="5"/>
      <c r="E571" s="5"/>
      <c r="F571" s="5"/>
      <c r="G571" s="5"/>
    </row>
    <row r="572" spans="3:7" ht="13">
      <c r="C572" s="80"/>
      <c r="D572" s="5"/>
      <c r="E572" s="5"/>
      <c r="F572" s="5"/>
      <c r="G572" s="5"/>
    </row>
    <row r="573" spans="3:7" ht="13">
      <c r="C573" s="80"/>
      <c r="D573" s="5"/>
      <c r="E573" s="5"/>
      <c r="F573" s="5"/>
      <c r="G573" s="5"/>
    </row>
    <row r="574" spans="3:7" ht="13">
      <c r="C574" s="80"/>
      <c r="D574" s="5"/>
      <c r="E574" s="5"/>
      <c r="F574" s="5"/>
      <c r="G574" s="5"/>
    </row>
    <row r="575" spans="3:7" ht="13">
      <c r="C575" s="80"/>
      <c r="D575" s="5"/>
      <c r="E575" s="5"/>
      <c r="F575" s="5"/>
      <c r="G575" s="5"/>
    </row>
    <row r="576" spans="3:7" ht="13">
      <c r="C576" s="80"/>
      <c r="D576" s="5"/>
      <c r="E576" s="5"/>
      <c r="F576" s="5"/>
      <c r="G576" s="5"/>
    </row>
    <row r="577" spans="3:7" ht="13">
      <c r="C577" s="80"/>
      <c r="D577" s="5"/>
      <c r="E577" s="5"/>
      <c r="F577" s="5"/>
      <c r="G577" s="5"/>
    </row>
    <row r="578" spans="3:7" ht="13">
      <c r="C578" s="80"/>
      <c r="D578" s="5"/>
      <c r="E578" s="5"/>
      <c r="F578" s="5"/>
      <c r="G578" s="5"/>
    </row>
    <row r="579" spans="3:7" ht="13">
      <c r="C579" s="80"/>
      <c r="D579" s="5"/>
      <c r="E579" s="5"/>
      <c r="F579" s="5"/>
      <c r="G579" s="5"/>
    </row>
    <row r="580" spans="3:7" ht="13">
      <c r="C580" s="80"/>
      <c r="D580" s="5"/>
      <c r="E580" s="5"/>
      <c r="F580" s="5"/>
      <c r="G580" s="5"/>
    </row>
    <row r="581" spans="3:7" ht="13">
      <c r="C581" s="80"/>
      <c r="D581" s="5"/>
      <c r="E581" s="5"/>
      <c r="F581" s="5"/>
      <c r="G581" s="5"/>
    </row>
    <row r="582" spans="3:7" ht="13">
      <c r="C582" s="80"/>
      <c r="D582" s="5"/>
      <c r="E582" s="5"/>
      <c r="F582" s="5"/>
      <c r="G582" s="5"/>
    </row>
    <row r="583" spans="3:7" ht="13">
      <c r="C583" s="80"/>
      <c r="D583" s="5"/>
      <c r="E583" s="5"/>
      <c r="F583" s="5"/>
      <c r="G583" s="5"/>
    </row>
    <row r="584" spans="3:7" ht="13">
      <c r="C584" s="80"/>
      <c r="D584" s="5"/>
      <c r="E584" s="5"/>
      <c r="F584" s="5"/>
      <c r="G584" s="5"/>
    </row>
    <row r="585" spans="3:7" ht="13">
      <c r="C585" s="80"/>
      <c r="D585" s="5"/>
      <c r="E585" s="5"/>
      <c r="F585" s="5"/>
      <c r="G585" s="5"/>
    </row>
    <row r="586" spans="3:7" ht="13">
      <c r="C586" s="80"/>
      <c r="D586" s="5"/>
      <c r="E586" s="5"/>
      <c r="F586" s="5"/>
      <c r="G586" s="5"/>
    </row>
    <row r="587" spans="3:7" ht="13">
      <c r="C587" s="80"/>
      <c r="D587" s="5"/>
      <c r="E587" s="5"/>
      <c r="F587" s="5"/>
      <c r="G587" s="5"/>
    </row>
    <row r="588" spans="3:7" ht="13">
      <c r="C588" s="80"/>
      <c r="D588" s="5"/>
      <c r="E588" s="5"/>
      <c r="F588" s="5"/>
      <c r="G588" s="5"/>
    </row>
    <row r="589" spans="3:7" ht="13">
      <c r="C589" s="80"/>
      <c r="D589" s="5"/>
      <c r="E589" s="5"/>
      <c r="F589" s="5"/>
      <c r="G589" s="5"/>
    </row>
    <row r="590" spans="3:7" ht="13">
      <c r="C590" s="80"/>
      <c r="D590" s="5"/>
      <c r="E590" s="5"/>
      <c r="F590" s="5"/>
      <c r="G590" s="5"/>
    </row>
    <row r="591" spans="3:7" ht="13">
      <c r="C591" s="80"/>
      <c r="D591" s="5"/>
      <c r="E591" s="5"/>
      <c r="F591" s="5"/>
      <c r="G591" s="5"/>
    </row>
    <row r="592" spans="3:7" ht="13">
      <c r="C592" s="80"/>
      <c r="D592" s="5"/>
      <c r="E592" s="5"/>
      <c r="F592" s="5"/>
      <c r="G592" s="5"/>
    </row>
    <row r="593" spans="3:7" ht="13">
      <c r="C593" s="80"/>
      <c r="D593" s="5"/>
      <c r="E593" s="5"/>
      <c r="F593" s="5"/>
      <c r="G593" s="5"/>
    </row>
    <row r="594" spans="3:7" ht="13">
      <c r="C594" s="80"/>
      <c r="D594" s="5"/>
      <c r="E594" s="5"/>
      <c r="F594" s="5"/>
      <c r="G594" s="5"/>
    </row>
    <row r="595" spans="3:7" ht="13">
      <c r="C595" s="80"/>
      <c r="D595" s="5"/>
      <c r="E595" s="5"/>
      <c r="F595" s="5"/>
      <c r="G595" s="5"/>
    </row>
    <row r="596" spans="3:7" ht="13">
      <c r="C596" s="80"/>
      <c r="D596" s="5"/>
      <c r="E596" s="5"/>
      <c r="F596" s="5"/>
      <c r="G596" s="5"/>
    </row>
    <row r="597" spans="3:7" ht="13">
      <c r="C597" s="80"/>
      <c r="D597" s="5"/>
      <c r="E597" s="5"/>
      <c r="F597" s="5"/>
      <c r="G597" s="5"/>
    </row>
    <row r="598" spans="3:7" ht="13">
      <c r="C598" s="80"/>
      <c r="D598" s="5"/>
      <c r="E598" s="5"/>
      <c r="F598" s="5"/>
      <c r="G598" s="5"/>
    </row>
    <row r="599" spans="3:7" ht="13">
      <c r="C599" s="80"/>
      <c r="D599" s="5"/>
      <c r="E599" s="5"/>
      <c r="F599" s="5"/>
      <c r="G599" s="5"/>
    </row>
    <row r="600" spans="3:7" ht="13">
      <c r="C600" s="80"/>
      <c r="D600" s="5"/>
      <c r="E600" s="5"/>
      <c r="F600" s="5"/>
      <c r="G600" s="5"/>
    </row>
    <row r="601" spans="3:7" ht="13">
      <c r="C601" s="80"/>
      <c r="D601" s="5"/>
      <c r="E601" s="5"/>
      <c r="F601" s="5"/>
      <c r="G601" s="5"/>
    </row>
    <row r="602" spans="3:7" ht="13">
      <c r="C602" s="80"/>
      <c r="D602" s="5"/>
      <c r="E602" s="5"/>
      <c r="F602" s="5"/>
      <c r="G602" s="5"/>
    </row>
    <row r="603" spans="3:7" ht="13">
      <c r="C603" s="80"/>
      <c r="D603" s="5"/>
      <c r="E603" s="5"/>
      <c r="F603" s="5"/>
      <c r="G603" s="5"/>
    </row>
    <row r="604" spans="3:7" ht="13">
      <c r="C604" s="80"/>
      <c r="D604" s="5"/>
      <c r="E604" s="5"/>
      <c r="F604" s="5"/>
      <c r="G604" s="5"/>
    </row>
    <row r="605" spans="3:7" ht="13">
      <c r="C605" s="80"/>
      <c r="D605" s="5"/>
      <c r="E605" s="5"/>
      <c r="F605" s="5"/>
      <c r="G605" s="5"/>
    </row>
    <row r="606" spans="3:7" ht="13">
      <c r="C606" s="80"/>
      <c r="D606" s="5"/>
      <c r="E606" s="5"/>
      <c r="F606" s="5"/>
      <c r="G606" s="5"/>
    </row>
    <row r="607" spans="3:7" ht="13">
      <c r="C607" s="80"/>
      <c r="D607" s="5"/>
      <c r="E607" s="5"/>
      <c r="F607" s="5"/>
      <c r="G607" s="5"/>
    </row>
    <row r="608" spans="3:7" ht="13">
      <c r="C608" s="80"/>
      <c r="D608" s="5"/>
      <c r="E608" s="5"/>
      <c r="F608" s="5"/>
      <c r="G608" s="5"/>
    </row>
    <row r="609" spans="3:7" ht="13">
      <c r="C609" s="80"/>
      <c r="D609" s="5"/>
      <c r="E609" s="5"/>
      <c r="F609" s="5"/>
      <c r="G609" s="5"/>
    </row>
    <row r="610" spans="3:7" ht="13">
      <c r="C610" s="80"/>
      <c r="D610" s="5"/>
      <c r="E610" s="5"/>
      <c r="F610" s="5"/>
      <c r="G610" s="5"/>
    </row>
    <row r="611" spans="3:7" ht="13">
      <c r="C611" s="80"/>
      <c r="D611" s="5"/>
      <c r="E611" s="5"/>
      <c r="F611" s="5"/>
      <c r="G611" s="5"/>
    </row>
    <row r="612" spans="3:7" ht="13">
      <c r="C612" s="80"/>
      <c r="D612" s="5"/>
      <c r="E612" s="5"/>
      <c r="F612" s="5"/>
      <c r="G612" s="5"/>
    </row>
    <row r="613" spans="3:7" ht="13">
      <c r="C613" s="80"/>
      <c r="D613" s="5"/>
      <c r="E613" s="5"/>
      <c r="F613" s="5"/>
      <c r="G613" s="5"/>
    </row>
    <row r="614" spans="3:7" ht="13">
      <c r="C614" s="80"/>
      <c r="D614" s="5"/>
      <c r="E614" s="5"/>
      <c r="F614" s="5"/>
      <c r="G614" s="5"/>
    </row>
    <row r="615" spans="3:7" ht="13">
      <c r="C615" s="80"/>
      <c r="D615" s="5"/>
      <c r="E615" s="5"/>
      <c r="F615" s="5"/>
      <c r="G615" s="5"/>
    </row>
    <row r="616" spans="3:7" ht="13">
      <c r="C616" s="80"/>
      <c r="D616" s="5"/>
      <c r="E616" s="5"/>
      <c r="F616" s="5"/>
      <c r="G616" s="5"/>
    </row>
    <row r="617" spans="3:7" ht="13">
      <c r="C617" s="80"/>
      <c r="D617" s="5"/>
      <c r="E617" s="5"/>
      <c r="F617" s="5"/>
      <c r="G617" s="5"/>
    </row>
    <row r="618" spans="3:7" ht="13">
      <c r="C618" s="80"/>
      <c r="D618" s="5"/>
      <c r="E618" s="5"/>
      <c r="F618" s="5"/>
      <c r="G618" s="5"/>
    </row>
    <row r="619" spans="3:7" ht="13">
      <c r="C619" s="80"/>
      <c r="D619" s="5"/>
      <c r="E619" s="5"/>
      <c r="F619" s="5"/>
      <c r="G619" s="5"/>
    </row>
    <row r="620" spans="3:7" ht="13">
      <c r="C620" s="80"/>
      <c r="D620" s="5"/>
      <c r="E620" s="5"/>
      <c r="F620" s="5"/>
      <c r="G620" s="5"/>
    </row>
    <row r="621" spans="3:7" ht="13">
      <c r="C621" s="80"/>
      <c r="D621" s="5"/>
      <c r="E621" s="5"/>
      <c r="F621" s="5"/>
      <c r="G621" s="5"/>
    </row>
    <row r="622" spans="3:7" ht="13">
      <c r="C622" s="80"/>
      <c r="D622" s="5"/>
      <c r="E622" s="5"/>
      <c r="F622" s="5"/>
      <c r="G622" s="5"/>
    </row>
    <row r="623" spans="3:7" ht="13">
      <c r="C623" s="80"/>
      <c r="D623" s="5"/>
      <c r="E623" s="5"/>
      <c r="F623" s="5"/>
      <c r="G623" s="5"/>
    </row>
    <row r="624" spans="3:7" ht="13">
      <c r="C624" s="80"/>
      <c r="D624" s="5"/>
      <c r="E624" s="5"/>
      <c r="F624" s="5"/>
      <c r="G624" s="5"/>
    </row>
    <row r="625" spans="3:7" ht="13">
      <c r="C625" s="80"/>
      <c r="D625" s="5"/>
      <c r="E625" s="5"/>
      <c r="F625" s="5"/>
      <c r="G625" s="5"/>
    </row>
    <row r="626" spans="3:7" ht="13">
      <c r="C626" s="80"/>
      <c r="D626" s="5"/>
      <c r="E626" s="5"/>
      <c r="F626" s="5"/>
      <c r="G626" s="5"/>
    </row>
    <row r="627" spans="3:7" ht="13">
      <c r="C627" s="80"/>
      <c r="D627" s="5"/>
      <c r="E627" s="5"/>
      <c r="F627" s="5"/>
      <c r="G627" s="5"/>
    </row>
    <row r="628" spans="3:7" ht="13">
      <c r="C628" s="80"/>
      <c r="D628" s="5"/>
      <c r="E628" s="5"/>
      <c r="F628" s="5"/>
      <c r="G628" s="5"/>
    </row>
    <row r="629" spans="3:7" ht="13">
      <c r="C629" s="80"/>
      <c r="D629" s="5"/>
      <c r="E629" s="5"/>
      <c r="F629" s="5"/>
      <c r="G629" s="5"/>
    </row>
    <row r="630" spans="3:7" ht="13">
      <c r="C630" s="80"/>
      <c r="D630" s="5"/>
      <c r="E630" s="5"/>
      <c r="F630" s="5"/>
      <c r="G630" s="5"/>
    </row>
    <row r="631" spans="3:7" ht="13">
      <c r="C631" s="80"/>
      <c r="D631" s="5"/>
      <c r="E631" s="5"/>
      <c r="F631" s="5"/>
      <c r="G631" s="5"/>
    </row>
    <row r="632" spans="3:7" ht="13">
      <c r="C632" s="80"/>
      <c r="D632" s="5"/>
      <c r="E632" s="5"/>
      <c r="F632" s="5"/>
      <c r="G632" s="5"/>
    </row>
    <row r="633" spans="3:7" ht="13">
      <c r="C633" s="80"/>
      <c r="D633" s="5"/>
      <c r="E633" s="5"/>
      <c r="F633" s="5"/>
      <c r="G633" s="5"/>
    </row>
    <row r="634" spans="3:7" ht="13">
      <c r="C634" s="80"/>
      <c r="D634" s="5"/>
      <c r="E634" s="5"/>
      <c r="F634" s="5"/>
      <c r="G634" s="5"/>
    </row>
    <row r="635" spans="3:7" ht="13">
      <c r="C635" s="80"/>
      <c r="D635" s="5"/>
      <c r="E635" s="5"/>
      <c r="F635" s="5"/>
      <c r="G635" s="5"/>
    </row>
    <row r="636" spans="3:7" ht="13">
      <c r="C636" s="80"/>
      <c r="D636" s="5"/>
      <c r="E636" s="5"/>
      <c r="F636" s="5"/>
      <c r="G636" s="5"/>
    </row>
    <row r="637" spans="3:7" ht="13">
      <c r="C637" s="80"/>
      <c r="D637" s="5"/>
      <c r="E637" s="5"/>
      <c r="F637" s="5"/>
      <c r="G637" s="5"/>
    </row>
    <row r="638" spans="3:7" ht="13">
      <c r="C638" s="80"/>
      <c r="D638" s="5"/>
      <c r="E638" s="5"/>
      <c r="F638" s="5"/>
      <c r="G638" s="5"/>
    </row>
    <row r="639" spans="3:7" ht="13">
      <c r="C639" s="80"/>
      <c r="D639" s="5"/>
      <c r="E639" s="5"/>
      <c r="F639" s="5"/>
      <c r="G639" s="5"/>
    </row>
    <row r="640" spans="3:7" ht="13">
      <c r="C640" s="80"/>
      <c r="D640" s="5"/>
      <c r="E640" s="5"/>
      <c r="F640" s="5"/>
      <c r="G640" s="5"/>
    </row>
    <row r="641" spans="3:7" ht="13">
      <c r="C641" s="80"/>
      <c r="D641" s="5"/>
      <c r="E641" s="5"/>
      <c r="F641" s="5"/>
      <c r="G641" s="5"/>
    </row>
    <row r="642" spans="3:7" ht="13">
      <c r="C642" s="80"/>
      <c r="D642" s="5"/>
      <c r="E642" s="5"/>
      <c r="F642" s="5"/>
      <c r="G642" s="5"/>
    </row>
    <row r="643" spans="3:7" ht="13">
      <c r="C643" s="80"/>
      <c r="D643" s="5"/>
      <c r="E643" s="5"/>
      <c r="F643" s="5"/>
      <c r="G643" s="5"/>
    </row>
    <row r="644" spans="3:7" ht="13">
      <c r="C644" s="80"/>
      <c r="D644" s="5"/>
      <c r="E644" s="5"/>
      <c r="F644" s="5"/>
      <c r="G644" s="5"/>
    </row>
    <row r="645" spans="3:7" ht="13">
      <c r="C645" s="80"/>
      <c r="D645" s="5"/>
      <c r="E645" s="5"/>
      <c r="F645" s="5"/>
      <c r="G645" s="5"/>
    </row>
    <row r="646" spans="3:7" ht="13">
      <c r="C646" s="80"/>
      <c r="D646" s="5"/>
      <c r="E646" s="5"/>
      <c r="F646" s="5"/>
      <c r="G646" s="5"/>
    </row>
    <row r="647" spans="3:7" ht="13">
      <c r="C647" s="80"/>
      <c r="D647" s="5"/>
      <c r="E647" s="5"/>
      <c r="F647" s="5"/>
      <c r="G647" s="5"/>
    </row>
    <row r="648" spans="3:7" ht="13">
      <c r="C648" s="80"/>
      <c r="D648" s="5"/>
      <c r="E648" s="5"/>
      <c r="F648" s="5"/>
      <c r="G648" s="5"/>
    </row>
    <row r="649" spans="3:7" ht="13">
      <c r="C649" s="80"/>
      <c r="D649" s="5"/>
      <c r="E649" s="5"/>
      <c r="F649" s="5"/>
      <c r="G649" s="5"/>
    </row>
    <row r="650" spans="3:7" ht="13">
      <c r="C650" s="80"/>
      <c r="D650" s="5"/>
      <c r="E650" s="5"/>
      <c r="F650" s="5"/>
      <c r="G650" s="5"/>
    </row>
    <row r="651" spans="3:7" ht="13">
      <c r="C651" s="80"/>
      <c r="D651" s="5"/>
      <c r="E651" s="5"/>
      <c r="F651" s="5"/>
      <c r="G651" s="5"/>
    </row>
    <row r="652" spans="3:7" ht="13">
      <c r="C652" s="80"/>
      <c r="D652" s="5"/>
      <c r="E652" s="5"/>
      <c r="F652" s="5"/>
      <c r="G652" s="5"/>
    </row>
    <row r="653" spans="3:7" ht="13">
      <c r="C653" s="80"/>
      <c r="D653" s="5"/>
      <c r="E653" s="5"/>
      <c r="F653" s="5"/>
      <c r="G653" s="5"/>
    </row>
    <row r="654" spans="3:7" ht="13">
      <c r="C654" s="80"/>
      <c r="D654" s="5"/>
      <c r="E654" s="5"/>
      <c r="F654" s="5"/>
      <c r="G654" s="5"/>
    </row>
    <row r="655" spans="3:7" ht="13">
      <c r="C655" s="80"/>
      <c r="D655" s="5"/>
      <c r="E655" s="5"/>
      <c r="F655" s="5"/>
      <c r="G655" s="5"/>
    </row>
    <row r="656" spans="3:7" ht="13">
      <c r="C656" s="80"/>
      <c r="D656" s="5"/>
      <c r="E656" s="5"/>
      <c r="F656" s="5"/>
      <c r="G656" s="5"/>
    </row>
    <row r="657" spans="3:7" ht="13">
      <c r="C657" s="80"/>
      <c r="D657" s="5"/>
      <c r="E657" s="5"/>
      <c r="F657" s="5"/>
      <c r="G657" s="5"/>
    </row>
    <row r="658" spans="3:7" ht="13">
      <c r="C658" s="80"/>
      <c r="D658" s="5"/>
      <c r="E658" s="5"/>
      <c r="F658" s="5"/>
      <c r="G658" s="5"/>
    </row>
    <row r="659" spans="3:7" ht="13">
      <c r="C659" s="80"/>
      <c r="D659" s="5"/>
      <c r="E659" s="5"/>
      <c r="F659" s="5"/>
      <c r="G659" s="5"/>
    </row>
    <row r="660" spans="3:7" ht="13">
      <c r="C660" s="80"/>
      <c r="D660" s="5"/>
      <c r="E660" s="5"/>
      <c r="F660" s="5"/>
      <c r="G660" s="5"/>
    </row>
    <row r="661" spans="3:7" ht="13">
      <c r="C661" s="80"/>
      <c r="D661" s="5"/>
      <c r="E661" s="5"/>
      <c r="F661" s="5"/>
      <c r="G661" s="5"/>
    </row>
    <row r="662" spans="3:7" ht="13">
      <c r="C662" s="80"/>
      <c r="D662" s="5"/>
      <c r="E662" s="5"/>
      <c r="F662" s="5"/>
      <c r="G662" s="5"/>
    </row>
    <row r="663" spans="3:7" ht="13">
      <c r="C663" s="80"/>
      <c r="D663" s="5"/>
      <c r="E663" s="5"/>
      <c r="F663" s="5"/>
      <c r="G663" s="5"/>
    </row>
    <row r="664" spans="3:7" ht="13">
      <c r="C664" s="80"/>
      <c r="D664" s="5"/>
      <c r="E664" s="5"/>
      <c r="F664" s="5"/>
      <c r="G664" s="5"/>
    </row>
    <row r="665" spans="3:7" ht="13">
      <c r="C665" s="80"/>
      <c r="D665" s="5"/>
      <c r="E665" s="5"/>
      <c r="F665" s="5"/>
      <c r="G665" s="5"/>
    </row>
    <row r="666" spans="3:7" ht="13">
      <c r="C666" s="80"/>
      <c r="D666" s="5"/>
      <c r="E666" s="5"/>
      <c r="F666" s="5"/>
      <c r="G666" s="5"/>
    </row>
    <row r="667" spans="3:7" ht="13">
      <c r="C667" s="80"/>
      <c r="D667" s="5"/>
      <c r="E667" s="5"/>
      <c r="F667" s="5"/>
      <c r="G667" s="5"/>
    </row>
    <row r="668" spans="3:7" ht="13">
      <c r="C668" s="80"/>
      <c r="D668" s="5"/>
      <c r="E668" s="5"/>
      <c r="F668" s="5"/>
      <c r="G668" s="5"/>
    </row>
    <row r="669" spans="3:7" ht="13">
      <c r="C669" s="80"/>
      <c r="D669" s="5"/>
      <c r="E669" s="5"/>
      <c r="F669" s="5"/>
      <c r="G669" s="5"/>
    </row>
    <row r="670" spans="3:7" ht="13">
      <c r="C670" s="80"/>
      <c r="D670" s="5"/>
      <c r="E670" s="5"/>
      <c r="F670" s="5"/>
      <c r="G670" s="5"/>
    </row>
    <row r="671" spans="3:7" ht="13">
      <c r="C671" s="80"/>
      <c r="D671" s="5"/>
      <c r="E671" s="5"/>
      <c r="F671" s="5"/>
      <c r="G671" s="5"/>
    </row>
    <row r="672" spans="3:7" ht="13">
      <c r="C672" s="80"/>
      <c r="D672" s="5"/>
      <c r="E672" s="5"/>
      <c r="F672" s="5"/>
      <c r="G672" s="5"/>
    </row>
    <row r="673" spans="3:7" ht="13">
      <c r="C673" s="80"/>
      <c r="D673" s="5"/>
      <c r="E673" s="5"/>
      <c r="F673" s="5"/>
      <c r="G673" s="5"/>
    </row>
    <row r="674" spans="3:7" ht="13">
      <c r="C674" s="80"/>
      <c r="D674" s="5"/>
      <c r="E674" s="5"/>
      <c r="F674" s="5"/>
      <c r="G674" s="5"/>
    </row>
    <row r="675" spans="3:7" ht="13">
      <c r="C675" s="80"/>
      <c r="D675" s="5"/>
      <c r="E675" s="5"/>
      <c r="F675" s="5"/>
      <c r="G675" s="5"/>
    </row>
    <row r="676" spans="3:7" ht="13">
      <c r="C676" s="80"/>
      <c r="D676" s="5"/>
      <c r="E676" s="5"/>
      <c r="F676" s="5"/>
      <c r="G676" s="5"/>
    </row>
    <row r="677" spans="3:7" ht="13">
      <c r="C677" s="80"/>
      <c r="D677" s="5"/>
      <c r="E677" s="5"/>
      <c r="F677" s="5"/>
      <c r="G677" s="5"/>
    </row>
    <row r="678" spans="3:7" ht="13">
      <c r="C678" s="80"/>
      <c r="D678" s="5"/>
      <c r="E678" s="5"/>
      <c r="F678" s="5"/>
      <c r="G678" s="5"/>
    </row>
    <row r="679" spans="3:7" ht="13">
      <c r="C679" s="80"/>
      <c r="D679" s="5"/>
      <c r="E679" s="5"/>
      <c r="F679" s="5"/>
      <c r="G679" s="5"/>
    </row>
    <row r="680" spans="3:7" ht="13">
      <c r="C680" s="80"/>
      <c r="D680" s="5"/>
      <c r="E680" s="5"/>
      <c r="F680" s="5"/>
      <c r="G680" s="5"/>
    </row>
    <row r="681" spans="3:7" ht="13">
      <c r="C681" s="80"/>
      <c r="D681" s="5"/>
      <c r="E681" s="5"/>
      <c r="F681" s="5"/>
      <c r="G681" s="5"/>
    </row>
    <row r="682" spans="3:7" ht="13">
      <c r="C682" s="80"/>
      <c r="D682" s="5"/>
      <c r="E682" s="5"/>
      <c r="F682" s="5"/>
      <c r="G682" s="5"/>
    </row>
    <row r="683" spans="3:7" ht="13">
      <c r="C683" s="80"/>
      <c r="D683" s="5"/>
      <c r="E683" s="5"/>
      <c r="F683" s="5"/>
      <c r="G683" s="5"/>
    </row>
    <row r="684" spans="3:7" ht="13">
      <c r="C684" s="80"/>
      <c r="D684" s="5"/>
      <c r="E684" s="5"/>
      <c r="F684" s="5"/>
      <c r="G684" s="5"/>
    </row>
    <row r="685" spans="3:7" ht="13">
      <c r="C685" s="80"/>
      <c r="D685" s="5"/>
      <c r="E685" s="5"/>
      <c r="F685" s="5"/>
      <c r="G685" s="5"/>
    </row>
    <row r="686" spans="3:7" ht="13">
      <c r="C686" s="80"/>
      <c r="D686" s="5"/>
      <c r="E686" s="5"/>
      <c r="F686" s="5"/>
      <c r="G686" s="5"/>
    </row>
    <row r="687" spans="3:7" ht="13">
      <c r="C687" s="80"/>
      <c r="D687" s="5"/>
      <c r="E687" s="5"/>
      <c r="F687" s="5"/>
      <c r="G687" s="5"/>
    </row>
    <row r="688" spans="3:7" ht="13">
      <c r="C688" s="80"/>
      <c r="D688" s="5"/>
      <c r="E688" s="5"/>
      <c r="F688" s="5"/>
      <c r="G688" s="5"/>
    </row>
    <row r="689" spans="3:7" ht="13">
      <c r="C689" s="80"/>
      <c r="D689" s="5"/>
      <c r="E689" s="5"/>
      <c r="F689" s="5"/>
      <c r="G689" s="5"/>
    </row>
    <row r="690" spans="3:7" ht="13">
      <c r="C690" s="80"/>
      <c r="D690" s="5"/>
      <c r="E690" s="5"/>
      <c r="F690" s="5"/>
      <c r="G690" s="5"/>
    </row>
    <row r="691" spans="3:7" ht="13">
      <c r="C691" s="80"/>
      <c r="D691" s="5"/>
      <c r="E691" s="5"/>
      <c r="F691" s="5"/>
      <c r="G691" s="5"/>
    </row>
    <row r="692" spans="3:7" ht="13">
      <c r="C692" s="80"/>
      <c r="D692" s="5"/>
      <c r="E692" s="5"/>
      <c r="F692" s="5"/>
      <c r="G692" s="5"/>
    </row>
    <row r="693" spans="3:7" ht="13">
      <c r="C693" s="80"/>
      <c r="D693" s="5"/>
      <c r="E693" s="5"/>
      <c r="F693" s="5"/>
      <c r="G693" s="5"/>
    </row>
    <row r="694" spans="3:7" ht="13">
      <c r="C694" s="80"/>
      <c r="D694" s="5"/>
      <c r="E694" s="5"/>
      <c r="F694" s="5"/>
      <c r="G694" s="5"/>
    </row>
    <row r="695" spans="3:7" ht="13">
      <c r="C695" s="80"/>
      <c r="D695" s="5"/>
      <c r="E695" s="5"/>
      <c r="F695" s="5"/>
      <c r="G695" s="5"/>
    </row>
    <row r="696" spans="3:7" ht="13">
      <c r="C696" s="80"/>
      <c r="D696" s="5"/>
      <c r="E696" s="5"/>
      <c r="F696" s="5"/>
      <c r="G696" s="5"/>
    </row>
    <row r="697" spans="3:7" ht="13">
      <c r="C697" s="80"/>
      <c r="D697" s="5"/>
      <c r="E697" s="5"/>
      <c r="F697" s="5"/>
      <c r="G697" s="5"/>
    </row>
    <row r="698" spans="3:7" ht="13">
      <c r="C698" s="80"/>
      <c r="D698" s="5"/>
      <c r="E698" s="5"/>
      <c r="F698" s="5"/>
      <c r="G698" s="5"/>
    </row>
    <row r="699" spans="3:7" ht="13">
      <c r="C699" s="80"/>
      <c r="D699" s="5"/>
      <c r="E699" s="5"/>
      <c r="F699" s="5"/>
      <c r="G699" s="5"/>
    </row>
    <row r="700" spans="3:7" ht="13">
      <c r="C700" s="80"/>
      <c r="D700" s="5"/>
      <c r="E700" s="5"/>
      <c r="F700" s="5"/>
      <c r="G700" s="5"/>
    </row>
    <row r="701" spans="3:7" ht="13">
      <c r="C701" s="80"/>
      <c r="D701" s="5"/>
      <c r="E701" s="5"/>
      <c r="F701" s="5"/>
      <c r="G701" s="5"/>
    </row>
    <row r="702" spans="3:7" ht="13">
      <c r="C702" s="80"/>
      <c r="D702" s="5"/>
      <c r="E702" s="5"/>
      <c r="F702" s="5"/>
      <c r="G702" s="5"/>
    </row>
    <row r="703" spans="3:7" ht="13">
      <c r="C703" s="80"/>
      <c r="D703" s="5"/>
      <c r="E703" s="5"/>
      <c r="F703" s="5"/>
      <c r="G703" s="5"/>
    </row>
    <row r="704" spans="3:7" ht="13">
      <c r="C704" s="80"/>
      <c r="D704" s="5"/>
      <c r="E704" s="5"/>
      <c r="F704" s="5"/>
      <c r="G704" s="5"/>
    </row>
    <row r="705" spans="3:7" ht="13">
      <c r="C705" s="80"/>
      <c r="D705" s="5"/>
      <c r="E705" s="5"/>
      <c r="F705" s="5"/>
      <c r="G705" s="5"/>
    </row>
    <row r="706" spans="3:7" ht="13">
      <c r="C706" s="80"/>
      <c r="D706" s="5"/>
      <c r="E706" s="5"/>
      <c r="F706" s="5"/>
      <c r="G706" s="5"/>
    </row>
    <row r="707" spans="3:7" ht="13">
      <c r="C707" s="80"/>
      <c r="D707" s="5"/>
      <c r="E707" s="5"/>
      <c r="F707" s="5"/>
      <c r="G707" s="5"/>
    </row>
    <row r="708" spans="3:7" ht="13">
      <c r="C708" s="80"/>
      <c r="D708" s="5"/>
      <c r="E708" s="5"/>
      <c r="F708" s="5"/>
      <c r="G708" s="5"/>
    </row>
    <row r="709" spans="3:7" ht="13">
      <c r="C709" s="80"/>
      <c r="D709" s="5"/>
      <c r="E709" s="5"/>
      <c r="F709" s="5"/>
      <c r="G709" s="5"/>
    </row>
    <row r="710" spans="3:7" ht="13">
      <c r="C710" s="80"/>
      <c r="D710" s="5"/>
      <c r="E710" s="5"/>
      <c r="F710" s="5"/>
      <c r="G710" s="5"/>
    </row>
    <row r="711" spans="3:7" ht="13">
      <c r="C711" s="80"/>
      <c r="D711" s="5"/>
      <c r="E711" s="5"/>
      <c r="F711" s="5"/>
      <c r="G711" s="5"/>
    </row>
    <row r="712" spans="3:7" ht="13">
      <c r="C712" s="80"/>
      <c r="D712" s="5"/>
      <c r="E712" s="5"/>
      <c r="F712" s="5"/>
      <c r="G712" s="5"/>
    </row>
    <row r="713" spans="3:7" ht="13">
      <c r="C713" s="80"/>
      <c r="D713" s="5"/>
      <c r="E713" s="5"/>
      <c r="F713" s="5"/>
      <c r="G713" s="5"/>
    </row>
    <row r="714" spans="3:7" ht="13">
      <c r="C714" s="80"/>
      <c r="D714" s="5"/>
      <c r="E714" s="5"/>
      <c r="F714" s="5"/>
      <c r="G714" s="5"/>
    </row>
    <row r="715" spans="3:7" ht="13">
      <c r="C715" s="80"/>
      <c r="D715" s="5"/>
      <c r="E715" s="5"/>
      <c r="F715" s="5"/>
      <c r="G715" s="5"/>
    </row>
    <row r="716" spans="3:7" ht="13">
      <c r="C716" s="80"/>
      <c r="D716" s="5"/>
      <c r="E716" s="5"/>
      <c r="F716" s="5"/>
      <c r="G716" s="5"/>
    </row>
    <row r="717" spans="3:7" ht="13">
      <c r="C717" s="80"/>
      <c r="D717" s="5"/>
      <c r="E717" s="5"/>
      <c r="F717" s="5"/>
      <c r="G717" s="5"/>
    </row>
    <row r="718" spans="3:7" ht="13">
      <c r="C718" s="80"/>
      <c r="D718" s="5"/>
      <c r="E718" s="5"/>
      <c r="F718" s="5"/>
      <c r="G718" s="5"/>
    </row>
    <row r="719" spans="3:7" ht="13">
      <c r="C719" s="80"/>
      <c r="D719" s="5"/>
      <c r="E719" s="5"/>
      <c r="F719" s="5"/>
      <c r="G719" s="5"/>
    </row>
    <row r="720" spans="3:7" ht="13">
      <c r="C720" s="80"/>
      <c r="D720" s="5"/>
      <c r="E720" s="5"/>
      <c r="F720" s="5"/>
      <c r="G720" s="5"/>
    </row>
    <row r="721" spans="3:7" ht="13">
      <c r="C721" s="80"/>
      <c r="D721" s="5"/>
      <c r="E721" s="5"/>
      <c r="F721" s="5"/>
      <c r="G721" s="5"/>
    </row>
    <row r="722" spans="3:7" ht="13">
      <c r="C722" s="80"/>
      <c r="D722" s="5"/>
      <c r="E722" s="5"/>
      <c r="F722" s="5"/>
      <c r="G722" s="5"/>
    </row>
    <row r="723" spans="3:7" ht="13">
      <c r="C723" s="80"/>
      <c r="D723" s="5"/>
      <c r="E723" s="5"/>
      <c r="F723" s="5"/>
      <c r="G723" s="5"/>
    </row>
    <row r="724" spans="3:7" ht="13">
      <c r="C724" s="80"/>
      <c r="D724" s="5"/>
      <c r="E724" s="5"/>
      <c r="F724" s="5"/>
      <c r="G724" s="5"/>
    </row>
    <row r="725" spans="3:7" ht="13">
      <c r="C725" s="80"/>
      <c r="D725" s="5"/>
      <c r="E725" s="5"/>
      <c r="F725" s="5"/>
      <c r="G725" s="5"/>
    </row>
    <row r="726" spans="3:7" ht="13">
      <c r="C726" s="80"/>
      <c r="D726" s="5"/>
      <c r="E726" s="5"/>
      <c r="F726" s="5"/>
      <c r="G726" s="5"/>
    </row>
    <row r="727" spans="3:7" ht="13">
      <c r="C727" s="80"/>
      <c r="D727" s="5"/>
      <c r="E727" s="5"/>
      <c r="F727" s="5"/>
      <c r="G727" s="5"/>
    </row>
    <row r="728" spans="3:7" ht="13">
      <c r="C728" s="80"/>
      <c r="D728" s="5"/>
      <c r="E728" s="5"/>
      <c r="F728" s="5"/>
      <c r="G728" s="5"/>
    </row>
    <row r="729" spans="3:7" ht="13">
      <c r="C729" s="80"/>
      <c r="D729" s="5"/>
      <c r="E729" s="5"/>
      <c r="F729" s="5"/>
      <c r="G729" s="5"/>
    </row>
    <row r="730" spans="3:7" ht="13">
      <c r="C730" s="80"/>
      <c r="D730" s="5"/>
      <c r="E730" s="5"/>
      <c r="F730" s="5"/>
      <c r="G730" s="5"/>
    </row>
    <row r="731" spans="3:7" ht="13">
      <c r="C731" s="80"/>
      <c r="D731" s="5"/>
      <c r="E731" s="5"/>
      <c r="F731" s="5"/>
      <c r="G731" s="5"/>
    </row>
    <row r="732" spans="3:7" ht="13">
      <c r="C732" s="80"/>
      <c r="D732" s="5"/>
      <c r="E732" s="5"/>
      <c r="F732" s="5"/>
      <c r="G732" s="5"/>
    </row>
    <row r="733" spans="3:7" ht="13">
      <c r="C733" s="80"/>
      <c r="D733" s="5"/>
      <c r="E733" s="5"/>
      <c r="F733" s="5"/>
      <c r="G733" s="5"/>
    </row>
    <row r="734" spans="3:7" ht="13">
      <c r="C734" s="80"/>
      <c r="D734" s="5"/>
      <c r="E734" s="5"/>
      <c r="F734" s="5"/>
      <c r="G734" s="5"/>
    </row>
    <row r="735" spans="3:7" ht="13">
      <c r="C735" s="80"/>
      <c r="D735" s="5"/>
      <c r="E735" s="5"/>
      <c r="F735" s="5"/>
      <c r="G735" s="5"/>
    </row>
    <row r="736" spans="3:7" ht="13">
      <c r="C736" s="80"/>
      <c r="D736" s="5"/>
      <c r="E736" s="5"/>
      <c r="F736" s="5"/>
      <c r="G736" s="5"/>
    </row>
    <row r="737" spans="3:7" ht="13">
      <c r="C737" s="80"/>
      <c r="D737" s="5"/>
      <c r="E737" s="5"/>
      <c r="F737" s="5"/>
      <c r="G737" s="5"/>
    </row>
    <row r="738" spans="3:7" ht="13">
      <c r="C738" s="80"/>
      <c r="D738" s="5"/>
      <c r="E738" s="5"/>
      <c r="F738" s="5"/>
      <c r="G738" s="5"/>
    </row>
    <row r="739" spans="3:7" ht="13">
      <c r="C739" s="80"/>
      <c r="D739" s="5"/>
      <c r="E739" s="5"/>
      <c r="F739" s="5"/>
      <c r="G739" s="5"/>
    </row>
    <row r="740" spans="3:7" ht="13">
      <c r="C740" s="80"/>
      <c r="D740" s="5"/>
      <c r="E740" s="5"/>
      <c r="F740" s="5"/>
      <c r="G740" s="5"/>
    </row>
    <row r="741" spans="3:7" ht="13">
      <c r="C741" s="80"/>
      <c r="D741" s="5"/>
      <c r="E741" s="5"/>
      <c r="F741" s="5"/>
      <c r="G741" s="5"/>
    </row>
    <row r="742" spans="3:7" ht="13">
      <c r="C742" s="80"/>
      <c r="D742" s="5"/>
      <c r="E742" s="5"/>
      <c r="F742" s="5"/>
      <c r="G742" s="5"/>
    </row>
    <row r="743" spans="3:7" ht="13">
      <c r="C743" s="80"/>
      <c r="D743" s="5"/>
      <c r="E743" s="5"/>
      <c r="F743" s="5"/>
      <c r="G743" s="5"/>
    </row>
    <row r="744" spans="3:7" ht="13">
      <c r="C744" s="80"/>
      <c r="D744" s="5"/>
      <c r="E744" s="5"/>
      <c r="F744" s="5"/>
      <c r="G744" s="5"/>
    </row>
    <row r="745" spans="3:7" ht="13">
      <c r="C745" s="80"/>
      <c r="D745" s="5"/>
      <c r="E745" s="5"/>
      <c r="F745" s="5"/>
      <c r="G745" s="5"/>
    </row>
    <row r="746" spans="3:7" ht="13">
      <c r="C746" s="80"/>
      <c r="D746" s="5"/>
      <c r="E746" s="5"/>
      <c r="F746" s="5"/>
      <c r="G746" s="5"/>
    </row>
    <row r="747" spans="3:7" ht="13">
      <c r="C747" s="80"/>
      <c r="D747" s="5"/>
      <c r="E747" s="5"/>
      <c r="F747" s="5"/>
      <c r="G747" s="5"/>
    </row>
    <row r="748" spans="3:7" ht="13">
      <c r="C748" s="80"/>
      <c r="D748" s="5"/>
      <c r="E748" s="5"/>
      <c r="F748" s="5"/>
      <c r="G748" s="5"/>
    </row>
    <row r="749" spans="3:7" ht="13">
      <c r="C749" s="80"/>
      <c r="D749" s="5"/>
      <c r="E749" s="5"/>
      <c r="F749" s="5"/>
      <c r="G749" s="5"/>
    </row>
    <row r="750" spans="3:7" ht="13">
      <c r="C750" s="80"/>
      <c r="D750" s="5"/>
      <c r="E750" s="5"/>
      <c r="F750" s="5"/>
      <c r="G750" s="5"/>
    </row>
    <row r="751" spans="3:7" ht="13">
      <c r="C751" s="80"/>
      <c r="D751" s="5"/>
      <c r="E751" s="5"/>
      <c r="F751" s="5"/>
      <c r="G751" s="5"/>
    </row>
    <row r="752" spans="3:7" ht="13">
      <c r="C752" s="80"/>
      <c r="D752" s="5"/>
      <c r="E752" s="5"/>
      <c r="F752" s="5"/>
      <c r="G752" s="5"/>
    </row>
    <row r="753" spans="3:7" ht="13">
      <c r="C753" s="80"/>
      <c r="D753" s="5"/>
      <c r="E753" s="5"/>
      <c r="F753" s="5"/>
      <c r="G753" s="5"/>
    </row>
    <row r="754" spans="3:7" ht="13">
      <c r="C754" s="80"/>
      <c r="D754" s="5"/>
      <c r="E754" s="5"/>
      <c r="F754" s="5"/>
      <c r="G754" s="5"/>
    </row>
    <row r="755" spans="3:7" ht="13">
      <c r="C755" s="80"/>
      <c r="D755" s="5"/>
      <c r="E755" s="5"/>
      <c r="F755" s="5"/>
      <c r="G755" s="5"/>
    </row>
    <row r="756" spans="3:7" ht="13">
      <c r="C756" s="80"/>
      <c r="D756" s="5"/>
      <c r="E756" s="5"/>
      <c r="F756" s="5"/>
      <c r="G756" s="5"/>
    </row>
    <row r="757" spans="3:7" ht="13">
      <c r="C757" s="80"/>
      <c r="D757" s="5"/>
      <c r="E757" s="5"/>
      <c r="F757" s="5"/>
      <c r="G757" s="5"/>
    </row>
    <row r="758" spans="3:7" ht="13">
      <c r="C758" s="80"/>
      <c r="D758" s="5"/>
      <c r="E758" s="5"/>
      <c r="F758" s="5"/>
      <c r="G758" s="5"/>
    </row>
    <row r="759" spans="3:7" ht="13">
      <c r="C759" s="80"/>
      <c r="D759" s="5"/>
      <c r="E759" s="5"/>
      <c r="F759" s="5"/>
      <c r="G759" s="5"/>
    </row>
    <row r="760" spans="3:7" ht="13">
      <c r="C760" s="80"/>
      <c r="D760" s="5"/>
      <c r="E760" s="5"/>
      <c r="F760" s="5"/>
      <c r="G760" s="5"/>
    </row>
    <row r="761" spans="3:7" ht="13">
      <c r="C761" s="80"/>
      <c r="D761" s="5"/>
      <c r="E761" s="5"/>
      <c r="F761" s="5"/>
      <c r="G761" s="5"/>
    </row>
    <row r="762" spans="3:7" ht="13">
      <c r="C762" s="80"/>
      <c r="D762" s="5"/>
      <c r="E762" s="5"/>
      <c r="F762" s="5"/>
      <c r="G762" s="5"/>
    </row>
    <row r="763" spans="3:7" ht="13">
      <c r="C763" s="80"/>
      <c r="D763" s="5"/>
      <c r="E763" s="5"/>
      <c r="F763" s="5"/>
      <c r="G763" s="5"/>
    </row>
    <row r="764" spans="3:7" ht="13">
      <c r="C764" s="80"/>
      <c r="D764" s="5"/>
      <c r="E764" s="5"/>
      <c r="F764" s="5"/>
      <c r="G764" s="5"/>
    </row>
    <row r="765" spans="3:7" ht="13">
      <c r="C765" s="80"/>
      <c r="D765" s="5"/>
      <c r="E765" s="5"/>
      <c r="F765" s="5"/>
      <c r="G765" s="5"/>
    </row>
    <row r="766" spans="3:7" ht="13">
      <c r="C766" s="80"/>
      <c r="D766" s="5"/>
      <c r="E766" s="5"/>
      <c r="F766" s="5"/>
      <c r="G766" s="5"/>
    </row>
    <row r="767" spans="3:7" ht="13">
      <c r="C767" s="80"/>
      <c r="D767" s="5"/>
      <c r="E767" s="5"/>
      <c r="F767" s="5"/>
      <c r="G767" s="5"/>
    </row>
    <row r="768" spans="3:7" ht="13">
      <c r="C768" s="80"/>
      <c r="D768" s="5"/>
      <c r="E768" s="5"/>
      <c r="F768" s="5"/>
      <c r="G768" s="5"/>
    </row>
    <row r="769" spans="3:7" ht="13">
      <c r="C769" s="80"/>
      <c r="D769" s="5"/>
      <c r="E769" s="5"/>
      <c r="F769" s="5"/>
      <c r="G769" s="5"/>
    </row>
    <row r="770" spans="3:7" ht="13">
      <c r="C770" s="80"/>
      <c r="D770" s="5"/>
      <c r="E770" s="5"/>
      <c r="F770" s="5"/>
      <c r="G770" s="5"/>
    </row>
    <row r="771" spans="3:7" ht="13">
      <c r="C771" s="80"/>
      <c r="D771" s="5"/>
      <c r="E771" s="5"/>
      <c r="F771" s="5"/>
      <c r="G771" s="5"/>
    </row>
    <row r="772" spans="3:7" ht="13">
      <c r="C772" s="80"/>
      <c r="D772" s="5"/>
      <c r="E772" s="5"/>
      <c r="F772" s="5"/>
      <c r="G772" s="5"/>
    </row>
    <row r="773" spans="3:7" ht="13">
      <c r="C773" s="80"/>
      <c r="D773" s="5"/>
      <c r="E773" s="5"/>
      <c r="F773" s="5"/>
      <c r="G773" s="5"/>
    </row>
    <row r="774" spans="3:7" ht="13">
      <c r="C774" s="80"/>
      <c r="D774" s="5"/>
      <c r="E774" s="5"/>
      <c r="F774" s="5"/>
      <c r="G774" s="5"/>
    </row>
    <row r="775" spans="3:7" ht="13">
      <c r="C775" s="80"/>
      <c r="D775" s="5"/>
      <c r="E775" s="5"/>
      <c r="F775" s="5"/>
      <c r="G775" s="5"/>
    </row>
    <row r="776" spans="3:7" ht="13">
      <c r="C776" s="80"/>
      <c r="D776" s="5"/>
      <c r="E776" s="5"/>
      <c r="F776" s="5"/>
      <c r="G776" s="5"/>
    </row>
    <row r="777" spans="3:7" ht="13">
      <c r="C777" s="80"/>
      <c r="D777" s="5"/>
      <c r="E777" s="5"/>
      <c r="F777" s="5"/>
      <c r="G777" s="5"/>
    </row>
    <row r="778" spans="3:7" ht="13">
      <c r="C778" s="80"/>
      <c r="D778" s="5"/>
      <c r="E778" s="5"/>
      <c r="F778" s="5"/>
      <c r="G778" s="5"/>
    </row>
    <row r="779" spans="3:7" ht="13">
      <c r="C779" s="80"/>
      <c r="D779" s="5"/>
      <c r="E779" s="5"/>
      <c r="F779" s="5"/>
      <c r="G779" s="5"/>
    </row>
    <row r="780" spans="3:7" ht="13">
      <c r="C780" s="80"/>
      <c r="D780" s="5"/>
      <c r="E780" s="5"/>
      <c r="F780" s="5"/>
      <c r="G780" s="5"/>
    </row>
    <row r="781" spans="3:7" ht="13">
      <c r="C781" s="80"/>
      <c r="D781" s="5"/>
      <c r="E781" s="5"/>
      <c r="F781" s="5"/>
      <c r="G781" s="5"/>
    </row>
    <row r="782" spans="3:7" ht="13">
      <c r="C782" s="80"/>
      <c r="D782" s="5"/>
      <c r="E782" s="5"/>
      <c r="F782" s="5"/>
      <c r="G782" s="5"/>
    </row>
    <row r="783" spans="3:7" ht="13">
      <c r="C783" s="80"/>
      <c r="D783" s="5"/>
      <c r="E783" s="5"/>
      <c r="F783" s="5"/>
      <c r="G783" s="5"/>
    </row>
    <row r="784" spans="3:7" ht="13">
      <c r="C784" s="80"/>
      <c r="D784" s="5"/>
      <c r="E784" s="5"/>
      <c r="F784" s="5"/>
      <c r="G784" s="5"/>
    </row>
    <row r="785" spans="3:7" ht="13">
      <c r="C785" s="80"/>
      <c r="D785" s="5"/>
      <c r="E785" s="5"/>
      <c r="F785" s="5"/>
      <c r="G785" s="5"/>
    </row>
    <row r="786" spans="3:7" ht="13">
      <c r="C786" s="80"/>
      <c r="D786" s="5"/>
      <c r="E786" s="5"/>
      <c r="F786" s="5"/>
      <c r="G786" s="5"/>
    </row>
    <row r="787" spans="3:7" ht="13">
      <c r="C787" s="80"/>
      <c r="D787" s="5"/>
      <c r="E787" s="5"/>
      <c r="F787" s="5"/>
      <c r="G787" s="5"/>
    </row>
    <row r="788" spans="3:7" ht="13">
      <c r="C788" s="80"/>
      <c r="D788" s="5"/>
      <c r="E788" s="5"/>
      <c r="F788" s="5"/>
      <c r="G788" s="5"/>
    </row>
    <row r="789" spans="3:7" ht="13">
      <c r="C789" s="80"/>
      <c r="D789" s="5"/>
      <c r="E789" s="5"/>
      <c r="F789" s="5"/>
      <c r="G789" s="5"/>
    </row>
    <row r="790" spans="3:7" ht="13">
      <c r="C790" s="80"/>
      <c r="D790" s="5"/>
      <c r="E790" s="5"/>
      <c r="F790" s="5"/>
      <c r="G790" s="5"/>
    </row>
    <row r="791" spans="3:7" ht="13">
      <c r="C791" s="80"/>
      <c r="D791" s="5"/>
      <c r="E791" s="5"/>
      <c r="F791" s="5"/>
      <c r="G791" s="5"/>
    </row>
    <row r="792" spans="3:7" ht="13">
      <c r="C792" s="80"/>
      <c r="D792" s="5"/>
      <c r="E792" s="5"/>
      <c r="F792" s="5"/>
      <c r="G792" s="5"/>
    </row>
    <row r="793" spans="3:7" ht="13">
      <c r="C793" s="80"/>
      <c r="D793" s="5"/>
      <c r="E793" s="5"/>
      <c r="F793" s="5"/>
      <c r="G793" s="5"/>
    </row>
    <row r="794" spans="3:7" ht="13">
      <c r="C794" s="80"/>
      <c r="D794" s="5"/>
      <c r="E794" s="5"/>
      <c r="F794" s="5"/>
      <c r="G794" s="5"/>
    </row>
    <row r="795" spans="3:7" ht="13">
      <c r="C795" s="80"/>
      <c r="D795" s="5"/>
      <c r="E795" s="5"/>
      <c r="F795" s="5"/>
      <c r="G795" s="5"/>
    </row>
    <row r="796" spans="3:7" ht="13">
      <c r="C796" s="80"/>
      <c r="D796" s="5"/>
      <c r="E796" s="5"/>
      <c r="F796" s="5"/>
      <c r="G796" s="5"/>
    </row>
    <row r="797" spans="3:7" ht="13">
      <c r="C797" s="80"/>
      <c r="D797" s="5"/>
      <c r="E797" s="5"/>
      <c r="F797" s="5"/>
      <c r="G797" s="5"/>
    </row>
    <row r="798" spans="3:7" ht="13">
      <c r="C798" s="80"/>
      <c r="D798" s="5"/>
      <c r="E798" s="5"/>
      <c r="F798" s="5"/>
      <c r="G798" s="5"/>
    </row>
    <row r="799" spans="3:7" ht="13">
      <c r="C799" s="80"/>
      <c r="D799" s="5"/>
      <c r="E799" s="5"/>
      <c r="F799" s="5"/>
      <c r="G799" s="5"/>
    </row>
    <row r="800" spans="3:7" ht="13">
      <c r="C800" s="80"/>
      <c r="D800" s="5"/>
      <c r="E800" s="5"/>
      <c r="F800" s="5"/>
      <c r="G800" s="5"/>
    </row>
    <row r="801" spans="3:7" ht="13">
      <c r="C801" s="80"/>
      <c r="D801" s="5"/>
      <c r="E801" s="5"/>
      <c r="F801" s="5"/>
      <c r="G801" s="5"/>
    </row>
    <row r="802" spans="3:7" ht="13">
      <c r="C802" s="80"/>
      <c r="D802" s="5"/>
      <c r="E802" s="5"/>
      <c r="F802" s="5"/>
      <c r="G802" s="5"/>
    </row>
    <row r="803" spans="3:7" ht="13">
      <c r="C803" s="80"/>
      <c r="D803" s="5"/>
      <c r="E803" s="5"/>
      <c r="F803" s="5"/>
      <c r="G803" s="5"/>
    </row>
    <row r="804" spans="3:7" ht="13">
      <c r="C804" s="80"/>
      <c r="D804" s="5"/>
      <c r="E804" s="5"/>
      <c r="F804" s="5"/>
      <c r="G804" s="5"/>
    </row>
    <row r="805" spans="3:7" ht="13">
      <c r="C805" s="80"/>
      <c r="D805" s="5"/>
      <c r="E805" s="5"/>
      <c r="F805" s="5"/>
      <c r="G805" s="5"/>
    </row>
    <row r="806" spans="3:7" ht="13">
      <c r="C806" s="80"/>
      <c r="D806" s="5"/>
      <c r="E806" s="5"/>
      <c r="F806" s="5"/>
      <c r="G806" s="5"/>
    </row>
    <row r="807" spans="3:7" ht="13">
      <c r="C807" s="80"/>
      <c r="D807" s="5"/>
      <c r="E807" s="5"/>
      <c r="F807" s="5"/>
      <c r="G807" s="5"/>
    </row>
    <row r="808" spans="3:7" ht="13">
      <c r="C808" s="80"/>
      <c r="D808" s="5"/>
      <c r="E808" s="5"/>
      <c r="F808" s="5"/>
      <c r="G808" s="5"/>
    </row>
    <row r="809" spans="3:7" ht="13">
      <c r="C809" s="80"/>
      <c r="D809" s="5"/>
      <c r="E809" s="5"/>
      <c r="F809" s="5"/>
      <c r="G809" s="5"/>
    </row>
    <row r="810" spans="3:7" ht="13">
      <c r="C810" s="80"/>
      <c r="D810" s="5"/>
      <c r="E810" s="5"/>
      <c r="F810" s="5"/>
      <c r="G810" s="5"/>
    </row>
    <row r="811" spans="3:7" ht="13">
      <c r="C811" s="80"/>
      <c r="D811" s="5"/>
      <c r="E811" s="5"/>
      <c r="F811" s="5"/>
      <c r="G811" s="5"/>
    </row>
    <row r="812" spans="3:7" ht="13">
      <c r="C812" s="80"/>
      <c r="D812" s="5"/>
      <c r="E812" s="5"/>
      <c r="F812" s="5"/>
      <c r="G812" s="5"/>
    </row>
    <row r="813" spans="3:7" ht="13">
      <c r="C813" s="80"/>
      <c r="D813" s="5"/>
      <c r="E813" s="5"/>
      <c r="F813" s="5"/>
      <c r="G813" s="5"/>
    </row>
    <row r="814" spans="3:7" ht="13">
      <c r="C814" s="80"/>
      <c r="D814" s="5"/>
      <c r="E814" s="5"/>
      <c r="F814" s="5"/>
      <c r="G814" s="5"/>
    </row>
    <row r="815" spans="3:7" ht="13">
      <c r="C815" s="80"/>
      <c r="D815" s="5"/>
      <c r="E815" s="5"/>
      <c r="F815" s="5"/>
      <c r="G815" s="5"/>
    </row>
    <row r="816" spans="3:7" ht="13">
      <c r="C816" s="80"/>
      <c r="D816" s="5"/>
      <c r="E816" s="5"/>
      <c r="F816" s="5"/>
      <c r="G816" s="5"/>
    </row>
    <row r="817" spans="3:7" ht="13">
      <c r="C817" s="80"/>
      <c r="D817" s="5"/>
      <c r="E817" s="5"/>
      <c r="F817" s="5"/>
      <c r="G817" s="5"/>
    </row>
    <row r="818" spans="3:7" ht="13">
      <c r="C818" s="80"/>
      <c r="D818" s="5"/>
      <c r="E818" s="5"/>
      <c r="F818" s="5"/>
      <c r="G818" s="5"/>
    </row>
    <row r="819" spans="3:7" ht="13">
      <c r="C819" s="80"/>
      <c r="D819" s="5"/>
      <c r="E819" s="5"/>
      <c r="F819" s="5"/>
      <c r="G819" s="5"/>
    </row>
    <row r="820" spans="3:7" ht="13">
      <c r="C820" s="80"/>
      <c r="D820" s="5"/>
      <c r="E820" s="5"/>
      <c r="F820" s="5"/>
      <c r="G820" s="5"/>
    </row>
    <row r="821" spans="3:7" ht="13">
      <c r="C821" s="80"/>
      <c r="D821" s="5"/>
      <c r="E821" s="5"/>
      <c r="F821" s="5"/>
      <c r="G821" s="5"/>
    </row>
    <row r="822" spans="3:7" ht="13">
      <c r="C822" s="80"/>
      <c r="D822" s="5"/>
      <c r="E822" s="5"/>
      <c r="F822" s="5"/>
      <c r="G822" s="5"/>
    </row>
    <row r="823" spans="3:7" ht="13">
      <c r="C823" s="80"/>
      <c r="D823" s="5"/>
      <c r="E823" s="5"/>
      <c r="F823" s="5"/>
      <c r="G823" s="5"/>
    </row>
    <row r="824" spans="3:7" ht="13">
      <c r="C824" s="80"/>
      <c r="D824" s="5"/>
      <c r="E824" s="5"/>
      <c r="F824" s="5"/>
      <c r="G824" s="5"/>
    </row>
    <row r="825" spans="3:7" ht="13">
      <c r="C825" s="80"/>
      <c r="D825" s="5"/>
      <c r="E825" s="5"/>
      <c r="F825" s="5"/>
      <c r="G825" s="5"/>
    </row>
    <row r="826" spans="3:7" ht="13">
      <c r="C826" s="80"/>
      <c r="D826" s="5"/>
      <c r="E826" s="5"/>
      <c r="F826" s="5"/>
      <c r="G826" s="5"/>
    </row>
    <row r="827" spans="3:7" ht="13">
      <c r="C827" s="80"/>
      <c r="D827" s="5"/>
      <c r="E827" s="5"/>
      <c r="F827" s="5"/>
      <c r="G827" s="5"/>
    </row>
    <row r="828" spans="3:7" ht="13">
      <c r="C828" s="80"/>
      <c r="D828" s="5"/>
      <c r="E828" s="5"/>
      <c r="F828" s="5"/>
      <c r="G828" s="5"/>
    </row>
    <row r="829" spans="3:7" ht="13">
      <c r="C829" s="80"/>
      <c r="D829" s="5"/>
      <c r="E829" s="5"/>
      <c r="F829" s="5"/>
      <c r="G829" s="5"/>
    </row>
    <row r="830" spans="3:7" ht="13">
      <c r="C830" s="80"/>
      <c r="D830" s="5"/>
      <c r="E830" s="5"/>
      <c r="F830" s="5"/>
      <c r="G830" s="5"/>
    </row>
    <row r="831" spans="3:7" ht="13">
      <c r="C831" s="80"/>
      <c r="D831" s="5"/>
      <c r="E831" s="5"/>
      <c r="F831" s="5"/>
      <c r="G831" s="5"/>
    </row>
    <row r="832" spans="3:7" ht="13">
      <c r="C832" s="80"/>
      <c r="D832" s="5"/>
      <c r="E832" s="5"/>
      <c r="F832" s="5"/>
      <c r="G832" s="5"/>
    </row>
    <row r="833" spans="3:7" ht="13">
      <c r="C833" s="80"/>
      <c r="D833" s="5"/>
      <c r="E833" s="5"/>
      <c r="F833" s="5"/>
      <c r="G833" s="5"/>
    </row>
    <row r="834" spans="3:7" ht="13">
      <c r="C834" s="80"/>
      <c r="D834" s="5"/>
      <c r="E834" s="5"/>
      <c r="F834" s="5"/>
      <c r="G834" s="5"/>
    </row>
    <row r="835" spans="3:7" ht="13">
      <c r="C835" s="80"/>
      <c r="D835" s="5"/>
      <c r="E835" s="5"/>
      <c r="F835" s="5"/>
      <c r="G835" s="5"/>
    </row>
    <row r="836" spans="3:7" ht="13">
      <c r="C836" s="80"/>
      <c r="D836" s="5"/>
      <c r="E836" s="5"/>
      <c r="F836" s="5"/>
      <c r="G836" s="5"/>
    </row>
    <row r="837" spans="3:7" ht="13">
      <c r="C837" s="80"/>
      <c r="D837" s="5"/>
      <c r="E837" s="5"/>
      <c r="F837" s="5"/>
      <c r="G837" s="5"/>
    </row>
    <row r="838" spans="3:7" ht="13">
      <c r="C838" s="80"/>
      <c r="D838" s="5"/>
      <c r="E838" s="5"/>
      <c r="F838" s="5"/>
      <c r="G838" s="5"/>
    </row>
    <row r="839" spans="3:7" ht="13">
      <c r="C839" s="80"/>
      <c r="D839" s="5"/>
      <c r="E839" s="5"/>
      <c r="F839" s="5"/>
      <c r="G839" s="5"/>
    </row>
    <row r="840" spans="3:7" ht="13">
      <c r="C840" s="80"/>
      <c r="D840" s="5"/>
      <c r="E840" s="5"/>
      <c r="F840" s="5"/>
      <c r="G840" s="5"/>
    </row>
    <row r="841" spans="3:7" ht="13">
      <c r="C841" s="80"/>
      <c r="D841" s="5"/>
      <c r="E841" s="5"/>
      <c r="F841" s="5"/>
      <c r="G841" s="5"/>
    </row>
    <row r="842" spans="3:7" ht="13">
      <c r="C842" s="80"/>
      <c r="D842" s="5"/>
      <c r="E842" s="5"/>
      <c r="F842" s="5"/>
      <c r="G842" s="5"/>
    </row>
    <row r="843" spans="3:7" ht="13">
      <c r="C843" s="80"/>
      <c r="D843" s="5"/>
      <c r="E843" s="5"/>
      <c r="F843" s="5"/>
      <c r="G843" s="5"/>
    </row>
    <row r="844" spans="3:7" ht="13">
      <c r="C844" s="80"/>
      <c r="D844" s="5"/>
      <c r="E844" s="5"/>
      <c r="F844" s="5"/>
      <c r="G844" s="5"/>
    </row>
    <row r="845" spans="3:7" ht="13">
      <c r="C845" s="80"/>
      <c r="D845" s="5"/>
      <c r="E845" s="5"/>
      <c r="F845" s="5"/>
      <c r="G845" s="5"/>
    </row>
    <row r="846" spans="3:7" ht="13">
      <c r="C846" s="80"/>
      <c r="D846" s="5"/>
      <c r="E846" s="5"/>
      <c r="F846" s="5"/>
      <c r="G846" s="5"/>
    </row>
    <row r="847" spans="3:7" ht="13">
      <c r="C847" s="80"/>
      <c r="D847" s="5"/>
      <c r="E847" s="5"/>
      <c r="F847" s="5"/>
      <c r="G847" s="5"/>
    </row>
    <row r="848" spans="3:7" ht="13">
      <c r="C848" s="80"/>
      <c r="D848" s="5"/>
      <c r="E848" s="5"/>
      <c r="F848" s="5"/>
      <c r="G848" s="5"/>
    </row>
    <row r="849" spans="3:7" ht="13">
      <c r="C849" s="80"/>
      <c r="D849" s="5"/>
      <c r="E849" s="5"/>
      <c r="F849" s="5"/>
      <c r="G849" s="5"/>
    </row>
    <row r="850" spans="3:7" ht="13">
      <c r="C850" s="80"/>
      <c r="D850" s="5"/>
      <c r="E850" s="5"/>
      <c r="F850" s="5"/>
      <c r="G850" s="5"/>
    </row>
    <row r="851" spans="3:7" ht="13">
      <c r="C851" s="80"/>
      <c r="D851" s="5"/>
      <c r="E851" s="5"/>
      <c r="F851" s="5"/>
      <c r="G851" s="5"/>
    </row>
    <row r="852" spans="3:7" ht="13">
      <c r="C852" s="80"/>
      <c r="D852" s="5"/>
      <c r="E852" s="5"/>
      <c r="F852" s="5"/>
      <c r="G852" s="5"/>
    </row>
    <row r="853" spans="3:7" ht="13">
      <c r="C853" s="80"/>
      <c r="D853" s="5"/>
      <c r="E853" s="5"/>
      <c r="F853" s="5"/>
      <c r="G853" s="5"/>
    </row>
    <row r="854" spans="3:7" ht="13">
      <c r="C854" s="80"/>
      <c r="D854" s="5"/>
      <c r="E854" s="5"/>
      <c r="F854" s="5"/>
      <c r="G854" s="5"/>
    </row>
    <row r="855" spans="3:7" ht="13">
      <c r="C855" s="80"/>
      <c r="D855" s="5"/>
      <c r="E855" s="5"/>
      <c r="F855" s="5"/>
      <c r="G855" s="5"/>
    </row>
    <row r="856" spans="3:7" ht="13">
      <c r="C856" s="80"/>
      <c r="D856" s="5"/>
      <c r="E856" s="5"/>
      <c r="F856" s="5"/>
      <c r="G856" s="5"/>
    </row>
    <row r="857" spans="3:7" ht="13">
      <c r="C857" s="80"/>
      <c r="D857" s="5"/>
      <c r="E857" s="5"/>
      <c r="F857" s="5"/>
      <c r="G857" s="5"/>
    </row>
    <row r="858" spans="3:7" ht="13">
      <c r="C858" s="80"/>
      <c r="D858" s="5"/>
      <c r="E858" s="5"/>
      <c r="F858" s="5"/>
      <c r="G858" s="5"/>
    </row>
    <row r="859" spans="3:7" ht="13">
      <c r="C859" s="80"/>
      <c r="D859" s="5"/>
      <c r="E859" s="5"/>
      <c r="F859" s="5"/>
      <c r="G859" s="5"/>
    </row>
    <row r="860" spans="3:7" ht="13">
      <c r="C860" s="80"/>
      <c r="D860" s="5"/>
      <c r="E860" s="5"/>
      <c r="F860" s="5"/>
      <c r="G860" s="5"/>
    </row>
    <row r="861" spans="3:7" ht="13">
      <c r="C861" s="80"/>
      <c r="D861" s="5"/>
      <c r="E861" s="5"/>
      <c r="F861" s="5"/>
      <c r="G861" s="5"/>
    </row>
    <row r="862" spans="3:7" ht="13">
      <c r="C862" s="80"/>
      <c r="D862" s="5"/>
      <c r="E862" s="5"/>
      <c r="F862" s="5"/>
      <c r="G862" s="5"/>
    </row>
    <row r="863" spans="3:7" ht="13">
      <c r="C863" s="80"/>
      <c r="D863" s="5"/>
      <c r="E863" s="5"/>
      <c r="F863" s="5"/>
      <c r="G863" s="5"/>
    </row>
    <row r="864" spans="3:7" ht="13">
      <c r="C864" s="80"/>
      <c r="D864" s="5"/>
      <c r="E864" s="5"/>
      <c r="F864" s="5"/>
      <c r="G864" s="5"/>
    </row>
    <row r="865" spans="3:7" ht="13">
      <c r="C865" s="80"/>
      <c r="D865" s="5"/>
      <c r="E865" s="5"/>
      <c r="F865" s="5"/>
      <c r="G865" s="5"/>
    </row>
    <row r="866" spans="3:7" ht="13">
      <c r="C866" s="80"/>
      <c r="D866" s="5"/>
      <c r="E866" s="5"/>
      <c r="F866" s="5"/>
      <c r="G866" s="5"/>
    </row>
    <row r="867" spans="3:7" ht="13">
      <c r="C867" s="80"/>
      <c r="D867" s="5"/>
      <c r="E867" s="5"/>
      <c r="F867" s="5"/>
      <c r="G867" s="5"/>
    </row>
    <row r="868" spans="3:7" ht="13">
      <c r="C868" s="80"/>
      <c r="D868" s="5"/>
      <c r="E868" s="5"/>
      <c r="F868" s="5"/>
      <c r="G868" s="5"/>
    </row>
    <row r="869" spans="3:7" ht="13">
      <c r="C869" s="80"/>
      <c r="D869" s="5"/>
      <c r="E869" s="5"/>
      <c r="F869" s="5"/>
      <c r="G869" s="5"/>
    </row>
    <row r="870" spans="3:7" ht="13">
      <c r="C870" s="80"/>
      <c r="D870" s="5"/>
      <c r="E870" s="5"/>
      <c r="F870" s="5"/>
      <c r="G870" s="5"/>
    </row>
    <row r="871" spans="3:7" ht="13">
      <c r="C871" s="80"/>
      <c r="D871" s="5"/>
      <c r="E871" s="5"/>
      <c r="F871" s="5"/>
      <c r="G871" s="5"/>
    </row>
    <row r="872" spans="3:7" ht="13">
      <c r="C872" s="80"/>
      <c r="D872" s="5"/>
      <c r="E872" s="5"/>
      <c r="F872" s="5"/>
      <c r="G872" s="5"/>
    </row>
    <row r="873" spans="3:7" ht="13">
      <c r="C873" s="80"/>
      <c r="D873" s="5"/>
      <c r="E873" s="5"/>
      <c r="F873" s="5"/>
      <c r="G873" s="5"/>
    </row>
    <row r="874" spans="3:7" ht="13">
      <c r="C874" s="80"/>
      <c r="D874" s="5"/>
      <c r="E874" s="5"/>
      <c r="F874" s="5"/>
      <c r="G874" s="5"/>
    </row>
    <row r="875" spans="3:7" ht="13">
      <c r="C875" s="80"/>
      <c r="D875" s="5"/>
      <c r="E875" s="5"/>
      <c r="F875" s="5"/>
      <c r="G875" s="5"/>
    </row>
    <row r="876" spans="3:7" ht="13">
      <c r="C876" s="80"/>
      <c r="D876" s="5"/>
      <c r="E876" s="5"/>
      <c r="F876" s="5"/>
      <c r="G876" s="5"/>
    </row>
    <row r="877" spans="3:7" ht="13">
      <c r="C877" s="80"/>
      <c r="D877" s="5"/>
      <c r="E877" s="5"/>
      <c r="F877" s="5"/>
      <c r="G877" s="5"/>
    </row>
    <row r="878" spans="3:7" ht="13">
      <c r="C878" s="80"/>
      <c r="D878" s="5"/>
      <c r="E878" s="5"/>
      <c r="F878" s="5"/>
      <c r="G878" s="5"/>
    </row>
    <row r="879" spans="3:7" ht="13">
      <c r="C879" s="80"/>
      <c r="D879" s="5"/>
      <c r="E879" s="5"/>
      <c r="F879" s="5"/>
      <c r="G879" s="5"/>
    </row>
    <row r="880" spans="3:7" ht="13">
      <c r="C880" s="80"/>
      <c r="D880" s="5"/>
      <c r="E880" s="5"/>
      <c r="F880" s="5"/>
      <c r="G880" s="5"/>
    </row>
    <row r="881" spans="3:7" ht="13">
      <c r="C881" s="80"/>
      <c r="D881" s="5"/>
      <c r="E881" s="5"/>
      <c r="F881" s="5"/>
      <c r="G881" s="5"/>
    </row>
    <row r="882" spans="3:7" ht="13">
      <c r="C882" s="80"/>
      <c r="D882" s="5"/>
      <c r="E882" s="5"/>
      <c r="F882" s="5"/>
      <c r="G882" s="5"/>
    </row>
    <row r="883" spans="3:7" ht="13">
      <c r="C883" s="80"/>
      <c r="D883" s="5"/>
      <c r="E883" s="5"/>
      <c r="F883" s="5"/>
      <c r="G883" s="5"/>
    </row>
    <row r="884" spans="3:7" ht="13">
      <c r="C884" s="80"/>
      <c r="D884" s="5"/>
      <c r="E884" s="5"/>
      <c r="F884" s="5"/>
      <c r="G884" s="5"/>
    </row>
    <row r="885" spans="3:7" ht="13">
      <c r="C885" s="80"/>
      <c r="D885" s="5"/>
      <c r="E885" s="5"/>
      <c r="F885" s="5"/>
      <c r="G885" s="5"/>
    </row>
    <row r="886" spans="3:7" ht="13">
      <c r="C886" s="80"/>
      <c r="D886" s="5"/>
      <c r="E886" s="5"/>
      <c r="F886" s="5"/>
      <c r="G886" s="5"/>
    </row>
    <row r="887" spans="3:7" ht="13">
      <c r="C887" s="80"/>
      <c r="D887" s="5"/>
      <c r="E887" s="5"/>
      <c r="F887" s="5"/>
      <c r="G887" s="5"/>
    </row>
    <row r="888" spans="3:7" ht="13">
      <c r="C888" s="80"/>
      <c r="D888" s="5"/>
      <c r="E888" s="5"/>
      <c r="F888" s="5"/>
      <c r="G888" s="5"/>
    </row>
    <row r="889" spans="3:7" ht="13">
      <c r="C889" s="80"/>
      <c r="D889" s="5"/>
      <c r="E889" s="5"/>
      <c r="F889" s="5"/>
      <c r="G889" s="5"/>
    </row>
    <row r="890" spans="3:7" ht="13">
      <c r="C890" s="80"/>
      <c r="D890" s="5"/>
      <c r="E890" s="5"/>
      <c r="F890" s="5"/>
      <c r="G890" s="5"/>
    </row>
    <row r="891" spans="3:7" ht="13">
      <c r="C891" s="80"/>
      <c r="D891" s="5"/>
      <c r="E891" s="5"/>
      <c r="F891" s="5"/>
      <c r="G891" s="5"/>
    </row>
    <row r="892" spans="3:7" ht="13">
      <c r="C892" s="80"/>
      <c r="D892" s="5"/>
      <c r="E892" s="5"/>
      <c r="F892" s="5"/>
      <c r="G892" s="5"/>
    </row>
    <row r="893" spans="3:7" ht="13">
      <c r="C893" s="80"/>
      <c r="D893" s="5"/>
      <c r="E893" s="5"/>
      <c r="F893" s="5"/>
      <c r="G893" s="5"/>
    </row>
    <row r="894" spans="3:7" ht="13">
      <c r="C894" s="80"/>
      <c r="D894" s="5"/>
      <c r="E894" s="5"/>
      <c r="F894" s="5"/>
      <c r="G894" s="5"/>
    </row>
    <row r="895" spans="3:7" ht="13">
      <c r="C895" s="80"/>
      <c r="D895" s="5"/>
      <c r="E895" s="5"/>
      <c r="F895" s="5"/>
      <c r="G895" s="5"/>
    </row>
    <row r="896" spans="3:7" ht="13">
      <c r="C896" s="80"/>
      <c r="D896" s="5"/>
      <c r="E896" s="5"/>
      <c r="F896" s="5"/>
      <c r="G896" s="5"/>
    </row>
    <row r="897" spans="3:7" ht="13">
      <c r="C897" s="80"/>
      <c r="D897" s="5"/>
      <c r="E897" s="5"/>
      <c r="F897" s="5"/>
      <c r="G897" s="5"/>
    </row>
    <row r="898" spans="3:7" ht="13">
      <c r="C898" s="80"/>
      <c r="D898" s="5"/>
      <c r="E898" s="5"/>
      <c r="F898" s="5"/>
      <c r="G898" s="5"/>
    </row>
    <row r="899" spans="3:7" ht="13">
      <c r="C899" s="80"/>
      <c r="D899" s="5"/>
      <c r="E899" s="5"/>
      <c r="F899" s="5"/>
      <c r="G899" s="5"/>
    </row>
    <row r="900" spans="3:7" ht="13">
      <c r="C900" s="80"/>
      <c r="D900" s="5"/>
      <c r="E900" s="5"/>
      <c r="F900" s="5"/>
      <c r="G900" s="5"/>
    </row>
    <row r="901" spans="3:7" ht="13">
      <c r="C901" s="80"/>
      <c r="D901" s="5"/>
      <c r="E901" s="5"/>
      <c r="F901" s="5"/>
      <c r="G901" s="5"/>
    </row>
    <row r="902" spans="3:7" ht="13">
      <c r="C902" s="80"/>
      <c r="D902" s="5"/>
      <c r="E902" s="5"/>
      <c r="F902" s="5"/>
      <c r="G902" s="5"/>
    </row>
    <row r="903" spans="3:7" ht="13">
      <c r="C903" s="80"/>
      <c r="D903" s="5"/>
      <c r="E903" s="5"/>
      <c r="F903" s="5"/>
      <c r="G903" s="5"/>
    </row>
    <row r="904" spans="3:7" ht="13">
      <c r="C904" s="80"/>
      <c r="D904" s="5"/>
      <c r="E904" s="5"/>
      <c r="F904" s="5"/>
      <c r="G904" s="5"/>
    </row>
    <row r="905" spans="3:7" ht="13">
      <c r="C905" s="80"/>
      <c r="D905" s="5"/>
      <c r="E905" s="5"/>
      <c r="F905" s="5"/>
      <c r="G905" s="5"/>
    </row>
    <row r="906" spans="3:7" ht="13">
      <c r="C906" s="80"/>
      <c r="D906" s="5"/>
      <c r="E906" s="5"/>
      <c r="F906" s="5"/>
      <c r="G906" s="5"/>
    </row>
    <row r="907" spans="3:7" ht="13">
      <c r="C907" s="80"/>
      <c r="D907" s="5"/>
      <c r="E907" s="5"/>
      <c r="F907" s="5"/>
      <c r="G907" s="5"/>
    </row>
    <row r="908" spans="3:7" ht="13">
      <c r="C908" s="80"/>
      <c r="D908" s="5"/>
      <c r="E908" s="5"/>
      <c r="F908" s="5"/>
      <c r="G908" s="5"/>
    </row>
    <row r="909" spans="3:7" ht="13">
      <c r="C909" s="80"/>
      <c r="D909" s="5"/>
      <c r="E909" s="5"/>
      <c r="F909" s="5"/>
      <c r="G909" s="5"/>
    </row>
    <row r="910" spans="3:7" ht="13">
      <c r="C910" s="80"/>
      <c r="D910" s="5"/>
      <c r="E910" s="5"/>
      <c r="F910" s="5"/>
      <c r="G910" s="5"/>
    </row>
    <row r="911" spans="3:7" ht="13">
      <c r="C911" s="80"/>
      <c r="D911" s="5"/>
      <c r="E911" s="5"/>
      <c r="F911" s="5"/>
      <c r="G911" s="5"/>
    </row>
    <row r="912" spans="3:7" ht="13">
      <c r="C912" s="80"/>
      <c r="D912" s="5"/>
      <c r="E912" s="5"/>
      <c r="F912" s="5"/>
      <c r="G912" s="5"/>
    </row>
    <row r="913" spans="3:7" ht="13">
      <c r="C913" s="80"/>
      <c r="D913" s="5"/>
      <c r="E913" s="5"/>
      <c r="F913" s="5"/>
      <c r="G913" s="5"/>
    </row>
    <row r="914" spans="3:7" ht="13">
      <c r="C914" s="80"/>
      <c r="D914" s="5"/>
      <c r="E914" s="5"/>
      <c r="F914" s="5"/>
      <c r="G914" s="5"/>
    </row>
    <row r="915" spans="3:7" ht="13">
      <c r="C915" s="80"/>
      <c r="D915" s="5"/>
      <c r="E915" s="5"/>
      <c r="F915" s="5"/>
      <c r="G915" s="5"/>
    </row>
    <row r="916" spans="3:7" ht="13">
      <c r="C916" s="80"/>
      <c r="D916" s="5"/>
      <c r="E916" s="5"/>
      <c r="F916" s="5"/>
      <c r="G916" s="5"/>
    </row>
    <row r="917" spans="3:7" ht="13">
      <c r="C917" s="80"/>
      <c r="D917" s="5"/>
      <c r="E917" s="5"/>
      <c r="F917" s="5"/>
      <c r="G917" s="5"/>
    </row>
    <row r="918" spans="3:7" ht="13">
      <c r="C918" s="80"/>
      <c r="D918" s="5"/>
      <c r="E918" s="5"/>
      <c r="F918" s="5"/>
      <c r="G918" s="5"/>
    </row>
    <row r="919" spans="3:7" ht="13">
      <c r="C919" s="80"/>
      <c r="D919" s="5"/>
      <c r="E919" s="5"/>
      <c r="F919" s="5"/>
      <c r="G919" s="5"/>
    </row>
    <row r="920" spans="3:7" ht="13">
      <c r="C920" s="80"/>
      <c r="D920" s="5"/>
      <c r="E920" s="5"/>
      <c r="F920" s="5"/>
      <c r="G920" s="5"/>
    </row>
    <row r="921" spans="3:7" ht="13">
      <c r="C921" s="80"/>
      <c r="D921" s="5"/>
      <c r="E921" s="5"/>
      <c r="F921" s="5"/>
      <c r="G921" s="5"/>
    </row>
    <row r="922" spans="3:7" ht="13">
      <c r="C922" s="80"/>
      <c r="D922" s="5"/>
      <c r="E922" s="5"/>
      <c r="F922" s="5"/>
      <c r="G922" s="5"/>
    </row>
    <row r="923" spans="3:7" ht="13">
      <c r="C923" s="80"/>
      <c r="D923" s="5"/>
      <c r="E923" s="5"/>
      <c r="F923" s="5"/>
      <c r="G923" s="5"/>
    </row>
    <row r="924" spans="3:7" ht="13">
      <c r="C924" s="80"/>
      <c r="D924" s="5"/>
      <c r="E924" s="5"/>
      <c r="F924" s="5"/>
      <c r="G924" s="5"/>
    </row>
    <row r="925" spans="3:7" ht="13">
      <c r="C925" s="80"/>
      <c r="D925" s="5"/>
      <c r="E925" s="5"/>
      <c r="F925" s="5"/>
      <c r="G925" s="5"/>
    </row>
    <row r="926" spans="3:7" ht="13">
      <c r="C926" s="80"/>
      <c r="D926" s="5"/>
      <c r="E926" s="5"/>
      <c r="F926" s="5"/>
      <c r="G926" s="5"/>
    </row>
    <row r="927" spans="3:7" ht="13">
      <c r="C927" s="80"/>
      <c r="D927" s="5"/>
      <c r="E927" s="5"/>
      <c r="F927" s="5"/>
      <c r="G927" s="5"/>
    </row>
    <row r="928" spans="3:7" ht="13">
      <c r="C928" s="80"/>
      <c r="D928" s="5"/>
      <c r="E928" s="5"/>
      <c r="F928" s="5"/>
      <c r="G928" s="5"/>
    </row>
    <row r="929" spans="3:7" ht="13">
      <c r="C929" s="80"/>
      <c r="D929" s="5"/>
      <c r="E929" s="5"/>
      <c r="F929" s="5"/>
      <c r="G929" s="5"/>
    </row>
    <row r="930" spans="3:7" ht="13">
      <c r="C930" s="80"/>
      <c r="D930" s="5"/>
      <c r="E930" s="5"/>
      <c r="F930" s="5"/>
      <c r="G930" s="5"/>
    </row>
    <row r="931" spans="3:7" ht="13">
      <c r="C931" s="80"/>
      <c r="D931" s="5"/>
      <c r="E931" s="5"/>
      <c r="F931" s="5"/>
      <c r="G931" s="5"/>
    </row>
    <row r="932" spans="3:7" ht="13">
      <c r="C932" s="80"/>
      <c r="D932" s="5"/>
      <c r="E932" s="5"/>
      <c r="F932" s="5"/>
      <c r="G932" s="5"/>
    </row>
    <row r="933" spans="3:7" ht="13">
      <c r="C933" s="80"/>
      <c r="D933" s="5"/>
      <c r="E933" s="5"/>
      <c r="F933" s="5"/>
      <c r="G933" s="5"/>
    </row>
    <row r="934" spans="3:7" ht="13">
      <c r="C934" s="80"/>
      <c r="D934" s="5"/>
      <c r="E934" s="5"/>
      <c r="F934" s="5"/>
      <c r="G934" s="5"/>
    </row>
    <row r="935" spans="3:7" ht="13">
      <c r="C935" s="80"/>
      <c r="D935" s="5"/>
      <c r="E935" s="5"/>
      <c r="F935" s="5"/>
      <c r="G935" s="5"/>
    </row>
    <row r="936" spans="3:7" ht="13">
      <c r="C936" s="80"/>
      <c r="D936" s="5"/>
      <c r="E936" s="5"/>
      <c r="F936" s="5"/>
      <c r="G936" s="5"/>
    </row>
    <row r="937" spans="3:7" ht="13">
      <c r="C937" s="80"/>
      <c r="D937" s="5"/>
      <c r="E937" s="5"/>
      <c r="F937" s="5"/>
      <c r="G937" s="5"/>
    </row>
    <row r="938" spans="3:7" ht="13">
      <c r="C938" s="80"/>
      <c r="D938" s="5"/>
      <c r="E938" s="5"/>
      <c r="F938" s="5"/>
      <c r="G938" s="5"/>
    </row>
    <row r="939" spans="3:7" ht="13">
      <c r="C939" s="80"/>
      <c r="D939" s="5"/>
      <c r="E939" s="5"/>
      <c r="F939" s="5"/>
      <c r="G939" s="5"/>
    </row>
    <row r="940" spans="3:7" ht="13">
      <c r="C940" s="80"/>
      <c r="D940" s="5"/>
      <c r="E940" s="5"/>
      <c r="F940" s="5"/>
      <c r="G940" s="5"/>
    </row>
    <row r="941" spans="3:7" ht="13">
      <c r="C941" s="80"/>
      <c r="D941" s="5"/>
      <c r="E941" s="5"/>
      <c r="F941" s="5"/>
      <c r="G941" s="5"/>
    </row>
    <row r="942" spans="3:7" ht="13">
      <c r="C942" s="80"/>
      <c r="D942" s="5"/>
      <c r="E942" s="5"/>
      <c r="F942" s="5"/>
      <c r="G942" s="5"/>
    </row>
    <row r="943" spans="3:7" ht="13">
      <c r="C943" s="80"/>
      <c r="D943" s="5"/>
      <c r="E943" s="5"/>
      <c r="F943" s="5"/>
      <c r="G943" s="5"/>
    </row>
    <row r="944" spans="3:7" ht="13">
      <c r="C944" s="80"/>
      <c r="D944" s="5"/>
      <c r="E944" s="5"/>
      <c r="F944" s="5"/>
      <c r="G944" s="5"/>
    </row>
    <row r="945" spans="3:7" ht="13">
      <c r="C945" s="80"/>
      <c r="D945" s="5"/>
      <c r="E945" s="5"/>
      <c r="F945" s="5"/>
      <c r="G945" s="5"/>
    </row>
    <row r="946" spans="3:7" ht="13">
      <c r="C946" s="80"/>
      <c r="D946" s="5"/>
      <c r="E946" s="5"/>
      <c r="F946" s="5"/>
      <c r="G946" s="5"/>
    </row>
    <row r="947" spans="3:7" ht="13">
      <c r="C947" s="80"/>
      <c r="D947" s="5"/>
      <c r="E947" s="5"/>
      <c r="F947" s="5"/>
      <c r="G947" s="5"/>
    </row>
    <row r="948" spans="3:7" ht="13">
      <c r="C948" s="80"/>
      <c r="D948" s="5"/>
      <c r="E948" s="5"/>
      <c r="F948" s="5"/>
      <c r="G948" s="5"/>
    </row>
    <row r="949" spans="3:7" ht="13">
      <c r="C949" s="80"/>
      <c r="D949" s="5"/>
      <c r="E949" s="5"/>
      <c r="F949" s="5"/>
      <c r="G949" s="5"/>
    </row>
    <row r="950" spans="3:7" ht="13">
      <c r="C950" s="80"/>
      <c r="D950" s="5"/>
      <c r="E950" s="5"/>
      <c r="F950" s="5"/>
      <c r="G950" s="5"/>
    </row>
    <row r="951" spans="3:7" ht="13">
      <c r="C951" s="80"/>
      <c r="D951" s="5"/>
      <c r="E951" s="5"/>
      <c r="F951" s="5"/>
      <c r="G951" s="5"/>
    </row>
    <row r="952" spans="3:7" ht="13">
      <c r="C952" s="80"/>
      <c r="D952" s="5"/>
      <c r="E952" s="5"/>
      <c r="F952" s="5"/>
      <c r="G952" s="5"/>
    </row>
    <row r="953" spans="3:7" ht="13">
      <c r="C953" s="80"/>
      <c r="D953" s="5"/>
      <c r="E953" s="5"/>
      <c r="F953" s="5"/>
      <c r="G953" s="5"/>
    </row>
    <row r="954" spans="3:7" ht="13">
      <c r="C954" s="80"/>
      <c r="D954" s="5"/>
      <c r="E954" s="5"/>
      <c r="F954" s="5"/>
      <c r="G954" s="5"/>
    </row>
    <row r="955" spans="3:7" ht="13">
      <c r="C955" s="80"/>
      <c r="D955" s="5"/>
      <c r="E955" s="5"/>
      <c r="F955" s="5"/>
      <c r="G955" s="5"/>
    </row>
    <row r="956" spans="3:7" ht="13">
      <c r="C956" s="80"/>
      <c r="D956" s="5"/>
      <c r="E956" s="5"/>
      <c r="F956" s="5"/>
      <c r="G956" s="5"/>
    </row>
    <row r="957" spans="3:7" ht="13">
      <c r="C957" s="80"/>
      <c r="D957" s="5"/>
      <c r="E957" s="5"/>
      <c r="F957" s="5"/>
      <c r="G957" s="5"/>
    </row>
    <row r="958" spans="3:7" ht="13">
      <c r="C958" s="80"/>
      <c r="D958" s="5"/>
      <c r="E958" s="5"/>
      <c r="F958" s="5"/>
      <c r="G958" s="5"/>
    </row>
    <row r="959" spans="3:7" ht="13">
      <c r="C959" s="80"/>
      <c r="D959" s="5"/>
      <c r="E959" s="5"/>
      <c r="F959" s="5"/>
      <c r="G959" s="5"/>
    </row>
    <row r="960" spans="3:7" ht="13">
      <c r="C960" s="80"/>
      <c r="D960" s="5"/>
      <c r="E960" s="5"/>
      <c r="F960" s="5"/>
      <c r="G960" s="5"/>
    </row>
    <row r="961" spans="3:7" ht="13">
      <c r="C961" s="80"/>
      <c r="D961" s="5"/>
      <c r="E961" s="5"/>
      <c r="F961" s="5"/>
      <c r="G961" s="5"/>
    </row>
    <row r="962" spans="3:7" ht="13">
      <c r="C962" s="80"/>
      <c r="D962" s="5"/>
      <c r="E962" s="5"/>
      <c r="F962" s="5"/>
      <c r="G962" s="5"/>
    </row>
    <row r="963" spans="3:7" ht="13">
      <c r="C963" s="80"/>
      <c r="D963" s="5"/>
      <c r="E963" s="5"/>
      <c r="F963" s="5"/>
      <c r="G963" s="5"/>
    </row>
    <row r="964" spans="3:7" ht="13">
      <c r="C964" s="80"/>
      <c r="D964" s="5"/>
      <c r="E964" s="5"/>
      <c r="F964" s="5"/>
      <c r="G964" s="5"/>
    </row>
    <row r="965" spans="3:7" ht="13">
      <c r="C965" s="80"/>
      <c r="D965" s="5"/>
      <c r="E965" s="5"/>
      <c r="F965" s="5"/>
      <c r="G965" s="5"/>
    </row>
    <row r="966" spans="3:7" ht="13">
      <c r="C966" s="80"/>
      <c r="D966" s="5"/>
      <c r="E966" s="5"/>
      <c r="F966" s="5"/>
      <c r="G966" s="5"/>
    </row>
    <row r="967" spans="3:7" ht="13">
      <c r="C967" s="80"/>
      <c r="D967" s="5"/>
      <c r="E967" s="5"/>
      <c r="F967" s="5"/>
      <c r="G967" s="5"/>
    </row>
    <row r="968" spans="3:7" ht="13">
      <c r="C968" s="80"/>
      <c r="D968" s="5"/>
      <c r="E968" s="5"/>
      <c r="F968" s="5"/>
      <c r="G968" s="5"/>
    </row>
    <row r="969" spans="3:7" ht="13">
      <c r="C969" s="80"/>
      <c r="D969" s="5"/>
      <c r="E969" s="5"/>
      <c r="F969" s="5"/>
      <c r="G969" s="5"/>
    </row>
    <row r="970" spans="3:7" ht="13">
      <c r="C970" s="80"/>
      <c r="D970" s="5"/>
      <c r="E970" s="5"/>
      <c r="F970" s="5"/>
      <c r="G970" s="5"/>
    </row>
    <row r="971" spans="3:7" ht="13">
      <c r="C971" s="80"/>
      <c r="D971" s="5"/>
      <c r="E971" s="5"/>
      <c r="F971" s="5"/>
      <c r="G971" s="5"/>
    </row>
    <row r="972" spans="3:7" ht="13">
      <c r="C972" s="80"/>
      <c r="D972" s="5"/>
      <c r="E972" s="5"/>
      <c r="F972" s="5"/>
      <c r="G972" s="5"/>
    </row>
    <row r="973" spans="3:7" ht="13">
      <c r="C973" s="80"/>
      <c r="D973" s="5"/>
      <c r="E973" s="5"/>
      <c r="F973" s="5"/>
      <c r="G973" s="5"/>
    </row>
    <row r="974" spans="3:7" ht="13">
      <c r="C974" s="80"/>
      <c r="D974" s="5"/>
      <c r="E974" s="5"/>
      <c r="F974" s="5"/>
      <c r="G974" s="5"/>
    </row>
    <row r="975" spans="3:7" ht="13">
      <c r="C975" s="80"/>
      <c r="D975" s="5"/>
      <c r="E975" s="5"/>
      <c r="F975" s="5"/>
      <c r="G975" s="5"/>
    </row>
    <row r="976" spans="3:7" ht="13">
      <c r="C976" s="80"/>
      <c r="D976" s="5"/>
      <c r="E976" s="5"/>
      <c r="F976" s="5"/>
      <c r="G976" s="5"/>
    </row>
    <row r="977" spans="3:7" ht="13">
      <c r="C977" s="80"/>
      <c r="D977" s="5"/>
      <c r="E977" s="5"/>
      <c r="F977" s="5"/>
      <c r="G977" s="5"/>
    </row>
    <row r="978" spans="3:7" ht="13">
      <c r="C978" s="80"/>
      <c r="D978" s="5"/>
      <c r="E978" s="5"/>
      <c r="F978" s="5"/>
      <c r="G978" s="5"/>
    </row>
    <row r="979" spans="3:7" ht="13">
      <c r="C979" s="80"/>
      <c r="D979" s="5"/>
      <c r="E979" s="5"/>
      <c r="F979" s="5"/>
      <c r="G979" s="5"/>
    </row>
    <row r="980" spans="3:7" ht="13">
      <c r="C980" s="80"/>
      <c r="D980" s="5"/>
      <c r="E980" s="5"/>
      <c r="F980" s="5"/>
      <c r="G980" s="5"/>
    </row>
    <row r="981" spans="3:7" ht="13">
      <c r="C981" s="80"/>
      <c r="D981" s="5"/>
      <c r="E981" s="5"/>
      <c r="F981" s="5"/>
      <c r="G981" s="5"/>
    </row>
    <row r="982" spans="3:7" ht="13">
      <c r="C982" s="80"/>
      <c r="D982" s="5"/>
      <c r="E982" s="5"/>
      <c r="F982" s="5"/>
      <c r="G982" s="5"/>
    </row>
    <row r="983" spans="3:7" ht="13">
      <c r="C983" s="80"/>
      <c r="D983" s="5"/>
      <c r="E983" s="5"/>
      <c r="F983" s="5"/>
      <c r="G983" s="5"/>
    </row>
    <row r="984" spans="3:7" ht="13">
      <c r="C984" s="80"/>
      <c r="D984" s="5"/>
      <c r="E984" s="5"/>
      <c r="F984" s="5"/>
      <c r="G984" s="5"/>
    </row>
    <row r="985" spans="3:7" ht="13">
      <c r="C985" s="80"/>
      <c r="D985" s="5"/>
      <c r="E985" s="5"/>
      <c r="F985" s="5"/>
      <c r="G985" s="5"/>
    </row>
    <row r="986" spans="3:7" ht="13">
      <c r="C986" s="80"/>
      <c r="D986" s="5"/>
      <c r="E986" s="5"/>
      <c r="F986" s="5"/>
      <c r="G986" s="5"/>
    </row>
    <row r="987" spans="3:7" ht="13">
      <c r="C987" s="80"/>
      <c r="D987" s="5"/>
      <c r="E987" s="5"/>
      <c r="F987" s="5"/>
      <c r="G987" s="5"/>
    </row>
    <row r="988" spans="3:7" ht="13">
      <c r="C988" s="80"/>
      <c r="D988" s="5"/>
      <c r="E988" s="5"/>
      <c r="F988" s="5"/>
      <c r="G988" s="5"/>
    </row>
    <row r="989" spans="3:7" ht="13">
      <c r="C989" s="80"/>
      <c r="D989" s="5"/>
      <c r="E989" s="5"/>
      <c r="F989" s="5"/>
      <c r="G989" s="5"/>
    </row>
    <row r="990" spans="3:7" ht="13">
      <c r="C990" s="80"/>
      <c r="D990" s="5"/>
      <c r="E990" s="5"/>
      <c r="F990" s="5"/>
      <c r="G990" s="5"/>
    </row>
    <row r="991" spans="3:7" ht="13">
      <c r="C991" s="80"/>
      <c r="D991" s="5"/>
      <c r="E991" s="5"/>
      <c r="F991" s="5"/>
      <c r="G991" s="5"/>
    </row>
    <row r="992" spans="3:7" ht="13">
      <c r="C992" s="80"/>
      <c r="D992" s="5"/>
      <c r="E992" s="5"/>
      <c r="F992" s="5"/>
      <c r="G992" s="5"/>
    </row>
    <row r="993" spans="3:7" ht="13">
      <c r="C993" s="80"/>
      <c r="D993" s="5"/>
      <c r="E993" s="5"/>
      <c r="F993" s="5"/>
      <c r="G993" s="5"/>
    </row>
    <row r="994" spans="3:7" ht="13">
      <c r="C994" s="80"/>
      <c r="D994" s="5"/>
      <c r="E994" s="5"/>
      <c r="F994" s="5"/>
      <c r="G994" s="5"/>
    </row>
    <row r="995" spans="3:7" ht="13">
      <c r="C995" s="80"/>
      <c r="D995" s="5"/>
      <c r="E995" s="5"/>
      <c r="F995" s="5"/>
      <c r="G995" s="5"/>
    </row>
    <row r="996" spans="3:7" ht="13">
      <c r="C996" s="80"/>
      <c r="D996" s="5"/>
      <c r="E996" s="5"/>
      <c r="F996" s="5"/>
      <c r="G996" s="5"/>
    </row>
    <row r="997" spans="3:7" ht="13">
      <c r="C997" s="80"/>
      <c r="D997" s="5"/>
      <c r="E997" s="5"/>
      <c r="F997" s="5"/>
      <c r="G997" s="5"/>
    </row>
    <row r="998" spans="3:7" ht="13">
      <c r="C998" s="80"/>
      <c r="D998" s="5"/>
      <c r="E998" s="5"/>
      <c r="F998" s="5"/>
      <c r="G998" s="5"/>
    </row>
    <row r="999" spans="3:7" ht="13">
      <c r="C999" s="80"/>
      <c r="D999" s="5"/>
      <c r="E999" s="5"/>
      <c r="F999" s="5"/>
      <c r="G999" s="5"/>
    </row>
    <row r="1000" spans="3:7" ht="13">
      <c r="C1000" s="80"/>
      <c r="D1000" s="5"/>
      <c r="E1000" s="5"/>
      <c r="F1000" s="5"/>
      <c r="G1000" s="5"/>
    </row>
    <row r="1001" spans="3:7" ht="13">
      <c r="C1001" s="80"/>
      <c r="D1001" s="5"/>
      <c r="E1001" s="5"/>
      <c r="F1001" s="5"/>
      <c r="G1001" s="5"/>
    </row>
    <row r="1002" spans="3:7" ht="13">
      <c r="C1002" s="80"/>
      <c r="D1002" s="5"/>
      <c r="E1002" s="5"/>
      <c r="F1002" s="5"/>
      <c r="G1002" s="5"/>
    </row>
    <row r="1003" spans="3:7" ht="13">
      <c r="C1003" s="80"/>
      <c r="D1003" s="5"/>
      <c r="E1003" s="5"/>
      <c r="F1003" s="5"/>
      <c r="G1003" s="5"/>
    </row>
  </sheetData>
  <hyperlinks>
    <hyperlink ref="B5" r:id="rId1" xr:uid="{00000000-0004-0000-5B00-000000000000}"/>
    <hyperlink ref="B6" r:id="rId2" xr:uid="{00000000-0004-0000-5B00-000001000000}"/>
    <hyperlink ref="B7" r:id="rId3" xr:uid="{00000000-0004-0000-5B00-000002000000}"/>
    <hyperlink ref="B8" r:id="rId4" xr:uid="{00000000-0004-0000-5B00-000003000000}"/>
    <hyperlink ref="B9" r:id="rId5" xr:uid="{00000000-0004-0000-5B00-000004000000}"/>
    <hyperlink ref="B10" r:id="rId6" xr:uid="{00000000-0004-0000-5B00-000005000000}"/>
    <hyperlink ref="B11" r:id="rId7" xr:uid="{00000000-0004-0000-5B00-000006000000}"/>
    <hyperlink ref="B12" r:id="rId8" xr:uid="{00000000-0004-0000-5B00-000007000000}"/>
    <hyperlink ref="B13" r:id="rId9" xr:uid="{00000000-0004-0000-5B00-000008000000}"/>
    <hyperlink ref="B14" r:id="rId10" xr:uid="{00000000-0004-0000-5B00-000009000000}"/>
    <hyperlink ref="B15" r:id="rId11" xr:uid="{00000000-0004-0000-5B00-00000A000000}"/>
    <hyperlink ref="B16" r:id="rId12" xr:uid="{00000000-0004-0000-5B00-00000B000000}"/>
    <hyperlink ref="B17" r:id="rId13" xr:uid="{00000000-0004-0000-5B00-00000C000000}"/>
    <hyperlink ref="B18" r:id="rId14" xr:uid="{00000000-0004-0000-5B00-00000D000000}"/>
    <hyperlink ref="B20" r:id="rId15" xr:uid="{00000000-0004-0000-5B00-00000E000000}"/>
    <hyperlink ref="B21" r:id="rId16" xr:uid="{00000000-0004-0000-5B00-00000F000000}"/>
    <hyperlink ref="B22" r:id="rId17" xr:uid="{00000000-0004-0000-5B00-000010000000}"/>
    <hyperlink ref="B23" r:id="rId18" xr:uid="{00000000-0004-0000-5B00-000011000000}"/>
    <hyperlink ref="B24" r:id="rId19" xr:uid="{00000000-0004-0000-5B00-000012000000}"/>
    <hyperlink ref="B25" r:id="rId20" xr:uid="{00000000-0004-0000-5B00-000013000000}"/>
    <hyperlink ref="B26" r:id="rId21" xr:uid="{00000000-0004-0000-5B00-000014000000}"/>
    <hyperlink ref="B27" r:id="rId22" xr:uid="{00000000-0004-0000-5B00-000015000000}"/>
    <hyperlink ref="B28" r:id="rId23" xr:uid="{00000000-0004-0000-5B00-000016000000}"/>
    <hyperlink ref="B29" r:id="rId24" xr:uid="{00000000-0004-0000-5B00-000017000000}"/>
    <hyperlink ref="B30" r:id="rId25" xr:uid="{00000000-0004-0000-5B00-000018000000}"/>
    <hyperlink ref="B31" r:id="rId26" xr:uid="{00000000-0004-0000-5B00-000019000000}"/>
    <hyperlink ref="B32" r:id="rId27" xr:uid="{00000000-0004-0000-5B00-00001A000000}"/>
    <hyperlink ref="B34" r:id="rId28" xr:uid="{00000000-0004-0000-5B00-00001B000000}"/>
    <hyperlink ref="B35" r:id="rId29" xr:uid="{00000000-0004-0000-5B00-00001C000000}"/>
    <hyperlink ref="B37" r:id="rId30" xr:uid="{00000000-0004-0000-5B00-00001D000000}"/>
    <hyperlink ref="B38" r:id="rId31" xr:uid="{00000000-0004-0000-5B00-00001E000000}"/>
    <hyperlink ref="B39" r:id="rId32" xr:uid="{00000000-0004-0000-5B00-00001F000000}"/>
    <hyperlink ref="B40" r:id="rId33" xr:uid="{00000000-0004-0000-5B00-000020000000}"/>
    <hyperlink ref="B41" r:id="rId34" xr:uid="{00000000-0004-0000-5B00-000021000000}"/>
    <hyperlink ref="B42" r:id="rId35" xr:uid="{00000000-0004-0000-5B00-000022000000}"/>
    <hyperlink ref="B43" r:id="rId36" xr:uid="{00000000-0004-0000-5B00-000023000000}"/>
    <hyperlink ref="B44" r:id="rId37" xr:uid="{00000000-0004-0000-5B00-000024000000}"/>
    <hyperlink ref="B45" r:id="rId38" xr:uid="{00000000-0004-0000-5B00-000025000000}"/>
    <hyperlink ref="B46" r:id="rId39" xr:uid="{00000000-0004-0000-5B00-000026000000}"/>
    <hyperlink ref="B47" r:id="rId40" xr:uid="{00000000-0004-0000-5B00-000027000000}"/>
    <hyperlink ref="B48" r:id="rId41" xr:uid="{00000000-0004-0000-5B00-000028000000}"/>
    <hyperlink ref="B49" r:id="rId42" xr:uid="{00000000-0004-0000-5B00-000029000000}"/>
    <hyperlink ref="B50" r:id="rId43" xr:uid="{00000000-0004-0000-5B00-00002A000000}"/>
    <hyperlink ref="B51" r:id="rId44" xr:uid="{00000000-0004-0000-5B00-00002B000000}"/>
    <hyperlink ref="B52" r:id="rId45" xr:uid="{00000000-0004-0000-5B00-00002C000000}"/>
    <hyperlink ref="B54" r:id="rId46" xr:uid="{00000000-0004-0000-5B00-00002D000000}"/>
    <hyperlink ref="B55" r:id="rId47" xr:uid="{00000000-0004-0000-5B00-00002E000000}"/>
    <hyperlink ref="B56" r:id="rId48" xr:uid="{00000000-0004-0000-5B00-00002F000000}"/>
    <hyperlink ref="B57" r:id="rId49" xr:uid="{00000000-0004-0000-5B00-000030000000}"/>
    <hyperlink ref="B58" r:id="rId50" xr:uid="{00000000-0004-0000-5B00-000031000000}"/>
    <hyperlink ref="B59" r:id="rId51" xr:uid="{00000000-0004-0000-5B00-000032000000}"/>
    <hyperlink ref="B60" r:id="rId52" xr:uid="{00000000-0004-0000-5B00-000033000000}"/>
    <hyperlink ref="B62" r:id="rId53" xr:uid="{00000000-0004-0000-5B00-000034000000}"/>
    <hyperlink ref="B63" r:id="rId54" xr:uid="{00000000-0004-0000-5B00-000035000000}"/>
    <hyperlink ref="B64" r:id="rId55" xr:uid="{00000000-0004-0000-5B00-000036000000}"/>
    <hyperlink ref="B65" r:id="rId56" xr:uid="{00000000-0004-0000-5B00-000037000000}"/>
    <hyperlink ref="B66" r:id="rId57" xr:uid="{00000000-0004-0000-5B00-000038000000}"/>
    <hyperlink ref="B67" r:id="rId58" xr:uid="{00000000-0004-0000-5B00-000039000000}"/>
    <hyperlink ref="B68" r:id="rId59" xr:uid="{00000000-0004-0000-5B00-00003A000000}"/>
    <hyperlink ref="B69" r:id="rId60" xr:uid="{00000000-0004-0000-5B00-00003B000000}"/>
    <hyperlink ref="B70" r:id="rId61" xr:uid="{00000000-0004-0000-5B00-00003C000000}"/>
    <hyperlink ref="B72" r:id="rId62" xr:uid="{00000000-0004-0000-5B00-00003D000000}"/>
    <hyperlink ref="B73" r:id="rId63" xr:uid="{00000000-0004-0000-5B00-00003E000000}"/>
    <hyperlink ref="B74" r:id="rId64" xr:uid="{00000000-0004-0000-5B00-00003F000000}"/>
    <hyperlink ref="B75" r:id="rId65" xr:uid="{00000000-0004-0000-5B00-000040000000}"/>
    <hyperlink ref="B76" r:id="rId66" xr:uid="{00000000-0004-0000-5B00-000041000000}"/>
    <hyperlink ref="B77" r:id="rId67" xr:uid="{00000000-0004-0000-5B00-000042000000}"/>
    <hyperlink ref="B78" r:id="rId68" xr:uid="{00000000-0004-0000-5B00-000043000000}"/>
    <hyperlink ref="B79" r:id="rId69" xr:uid="{00000000-0004-0000-5B00-000044000000}"/>
    <hyperlink ref="B80" r:id="rId70" xr:uid="{00000000-0004-0000-5B00-000045000000}"/>
    <hyperlink ref="B81" r:id="rId71" xr:uid="{00000000-0004-0000-5B00-000046000000}"/>
    <hyperlink ref="B82" r:id="rId72" xr:uid="{00000000-0004-0000-5B00-000047000000}"/>
    <hyperlink ref="B83" r:id="rId73" xr:uid="{00000000-0004-0000-5B00-000048000000}"/>
    <hyperlink ref="B84" r:id="rId74" xr:uid="{00000000-0004-0000-5B00-000049000000}"/>
    <hyperlink ref="B85" r:id="rId75" xr:uid="{00000000-0004-0000-5B00-00004A000000}"/>
    <hyperlink ref="B86" r:id="rId76" xr:uid="{00000000-0004-0000-5B00-00004B000000}"/>
    <hyperlink ref="B88" r:id="rId77" xr:uid="{00000000-0004-0000-5B00-00004C000000}"/>
    <hyperlink ref="B89" r:id="rId78" xr:uid="{00000000-0004-0000-5B00-00004D000000}"/>
    <hyperlink ref="B91" r:id="rId79" xr:uid="{00000000-0004-0000-5B00-00004E000000}"/>
    <hyperlink ref="B92" r:id="rId80" xr:uid="{00000000-0004-0000-5B00-00004F000000}"/>
    <hyperlink ref="B93" r:id="rId81" xr:uid="{00000000-0004-0000-5B00-000050000000}"/>
    <hyperlink ref="B94" r:id="rId82" xr:uid="{00000000-0004-0000-5B00-000051000000}"/>
    <hyperlink ref="B96" r:id="rId83" xr:uid="{00000000-0004-0000-5B00-000052000000}"/>
    <hyperlink ref="B97" r:id="rId84" xr:uid="{00000000-0004-0000-5B00-000053000000}"/>
    <hyperlink ref="B98" r:id="rId85" xr:uid="{00000000-0004-0000-5B00-000054000000}"/>
    <hyperlink ref="B99" r:id="rId86" xr:uid="{00000000-0004-0000-5B00-000055000000}"/>
    <hyperlink ref="B100" r:id="rId87" xr:uid="{00000000-0004-0000-5B00-000056000000}"/>
    <hyperlink ref="B101" r:id="rId88" xr:uid="{00000000-0004-0000-5B00-000057000000}"/>
    <hyperlink ref="B103" r:id="rId89" xr:uid="{00000000-0004-0000-5B00-000058000000}"/>
    <hyperlink ref="B104" r:id="rId90" xr:uid="{00000000-0004-0000-5B00-000059000000}"/>
    <hyperlink ref="B105" r:id="rId91" xr:uid="{00000000-0004-0000-5B00-00005A000000}"/>
    <hyperlink ref="B106" r:id="rId92" xr:uid="{00000000-0004-0000-5B00-00005B000000}"/>
    <hyperlink ref="B108" r:id="rId93" xr:uid="{00000000-0004-0000-5B00-00005C000000}"/>
    <hyperlink ref="B109" r:id="rId94" xr:uid="{00000000-0004-0000-5B00-00005D000000}"/>
    <hyperlink ref="B110" r:id="rId95" xr:uid="{00000000-0004-0000-5B00-00005E000000}"/>
    <hyperlink ref="B111" r:id="rId96" xr:uid="{00000000-0004-0000-5B00-00005F000000}"/>
    <hyperlink ref="B115" r:id="rId97" xr:uid="{00000000-0004-0000-5B00-000060000000}"/>
    <hyperlink ref="B116" r:id="rId98" xr:uid="{00000000-0004-0000-5B00-000061000000}"/>
    <hyperlink ref="B117" r:id="rId99" xr:uid="{00000000-0004-0000-5B00-000062000000}"/>
    <hyperlink ref="B118" r:id="rId100" xr:uid="{00000000-0004-0000-5B00-000063000000}"/>
    <hyperlink ref="B119" r:id="rId101" xr:uid="{00000000-0004-0000-5B00-000064000000}"/>
    <hyperlink ref="B120" r:id="rId102" xr:uid="{00000000-0004-0000-5B00-000065000000}"/>
    <hyperlink ref="B121" r:id="rId103" xr:uid="{00000000-0004-0000-5B00-000066000000}"/>
    <hyperlink ref="B122" r:id="rId104" xr:uid="{00000000-0004-0000-5B00-000067000000}"/>
    <hyperlink ref="B123" r:id="rId105" xr:uid="{00000000-0004-0000-5B00-000068000000}"/>
    <hyperlink ref="B124" r:id="rId106" xr:uid="{00000000-0004-0000-5B00-000069000000}"/>
    <hyperlink ref="B125" r:id="rId107" xr:uid="{00000000-0004-0000-5B00-00006A000000}"/>
    <hyperlink ref="B126" r:id="rId108" xr:uid="{00000000-0004-0000-5B00-00006B000000}"/>
    <hyperlink ref="B127" r:id="rId109" xr:uid="{00000000-0004-0000-5B00-00006C000000}"/>
    <hyperlink ref="B128" r:id="rId110" xr:uid="{00000000-0004-0000-5B00-00006D000000}"/>
    <hyperlink ref="B129" r:id="rId111" xr:uid="{00000000-0004-0000-5B00-00006E000000}"/>
    <hyperlink ref="B130" r:id="rId112" xr:uid="{00000000-0004-0000-5B00-00006F000000}"/>
    <hyperlink ref="B131" r:id="rId113" xr:uid="{00000000-0004-0000-5B00-000070000000}"/>
    <hyperlink ref="B132" r:id="rId114" xr:uid="{00000000-0004-0000-5B00-000071000000}"/>
    <hyperlink ref="B133" r:id="rId115" xr:uid="{00000000-0004-0000-5B00-000072000000}"/>
    <hyperlink ref="B134" r:id="rId116" xr:uid="{00000000-0004-0000-5B00-000073000000}"/>
    <hyperlink ref="B135" r:id="rId117" xr:uid="{00000000-0004-0000-5B00-000074000000}"/>
    <hyperlink ref="B136" r:id="rId118" xr:uid="{00000000-0004-0000-5B00-000075000000}"/>
    <hyperlink ref="B137" r:id="rId119" xr:uid="{00000000-0004-0000-5B00-000076000000}"/>
    <hyperlink ref="B138" r:id="rId120" xr:uid="{00000000-0004-0000-5B00-000077000000}"/>
    <hyperlink ref="B139" r:id="rId121" xr:uid="{00000000-0004-0000-5B00-000078000000}"/>
    <hyperlink ref="B140" r:id="rId122" xr:uid="{00000000-0004-0000-5B00-000079000000}"/>
    <hyperlink ref="B141" r:id="rId123" xr:uid="{00000000-0004-0000-5B00-00007A000000}"/>
    <hyperlink ref="B142" r:id="rId124" xr:uid="{00000000-0004-0000-5B00-00007B000000}"/>
    <hyperlink ref="B143" r:id="rId125" xr:uid="{00000000-0004-0000-5B00-00007C000000}"/>
    <hyperlink ref="B144" r:id="rId126" xr:uid="{00000000-0004-0000-5B00-00007D000000}"/>
    <hyperlink ref="B145" r:id="rId127" xr:uid="{00000000-0004-0000-5B00-00007E000000}"/>
    <hyperlink ref="B146" r:id="rId128" xr:uid="{00000000-0004-0000-5B00-00007F000000}"/>
    <hyperlink ref="B147" r:id="rId129" xr:uid="{00000000-0004-0000-5B00-000080000000}"/>
    <hyperlink ref="B148" r:id="rId130" xr:uid="{00000000-0004-0000-5B00-000081000000}"/>
    <hyperlink ref="B149" r:id="rId131" xr:uid="{00000000-0004-0000-5B00-000082000000}"/>
    <hyperlink ref="B150" r:id="rId132" xr:uid="{00000000-0004-0000-5B00-000083000000}"/>
    <hyperlink ref="B151" r:id="rId133" xr:uid="{00000000-0004-0000-5B00-000084000000}"/>
    <hyperlink ref="B152" r:id="rId134" xr:uid="{00000000-0004-0000-5B00-000085000000}"/>
    <hyperlink ref="B153" r:id="rId135" xr:uid="{00000000-0004-0000-5B00-000086000000}"/>
    <hyperlink ref="B154" r:id="rId136" xr:uid="{00000000-0004-0000-5B00-000087000000}"/>
    <hyperlink ref="B155" r:id="rId137" xr:uid="{00000000-0004-0000-5B00-000088000000}"/>
    <hyperlink ref="B156" r:id="rId138" xr:uid="{00000000-0004-0000-5B00-000089000000}"/>
    <hyperlink ref="B166" r:id="rId139" xr:uid="{00000000-0004-0000-5B00-00008A000000}"/>
    <hyperlink ref="B167" r:id="rId140" xr:uid="{00000000-0004-0000-5B00-00008B000000}"/>
    <hyperlink ref="B168" r:id="rId141" xr:uid="{00000000-0004-0000-5B00-00008C000000}"/>
    <hyperlink ref="B169" r:id="rId142" xr:uid="{00000000-0004-0000-5B00-00008D000000}"/>
    <hyperlink ref="B170" r:id="rId143" xr:uid="{00000000-0004-0000-5B00-00008E000000}"/>
    <hyperlink ref="B171" r:id="rId144" xr:uid="{00000000-0004-0000-5B00-00008F000000}"/>
    <hyperlink ref="B172" r:id="rId145" xr:uid="{00000000-0004-0000-5B00-000090000000}"/>
    <hyperlink ref="B173" r:id="rId146" xr:uid="{00000000-0004-0000-5B00-000091000000}"/>
    <hyperlink ref="B184" r:id="rId147" xr:uid="{00000000-0004-0000-5B00-000092000000}"/>
    <hyperlink ref="B185" r:id="rId148" xr:uid="{00000000-0004-0000-5B00-000093000000}"/>
    <hyperlink ref="B186" r:id="rId149" xr:uid="{00000000-0004-0000-5B00-000094000000}"/>
    <hyperlink ref="B187" r:id="rId150" xr:uid="{00000000-0004-0000-5B00-000095000000}"/>
    <hyperlink ref="B188" r:id="rId151" xr:uid="{00000000-0004-0000-5B00-000096000000}"/>
    <hyperlink ref="B189" r:id="rId152" xr:uid="{00000000-0004-0000-5B00-000097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3">
    <outlinePr summaryBelow="0" summaryRight="0"/>
  </sheetPr>
  <dimension ref="A1:J1004"/>
  <sheetViews>
    <sheetView workbookViewId="0">
      <pane ySplit="4" topLeftCell="A5" activePane="bottomLeft" state="frozen"/>
      <selection pane="bottomLeft" activeCell="B6" sqref="B6"/>
    </sheetView>
  </sheetViews>
  <sheetFormatPr baseColWidth="10" defaultColWidth="12.6640625" defaultRowHeight="15.75" customHeight="1"/>
  <cols>
    <col min="2" max="2" width="15.5" customWidth="1"/>
    <col min="3" max="3" width="9.6640625" customWidth="1"/>
    <col min="4" max="4" width="14.83203125" customWidth="1"/>
    <col min="5" max="5" width="14.33203125" customWidth="1"/>
  </cols>
  <sheetData>
    <row r="1" spans="1:10" ht="15.75" customHeight="1">
      <c r="A1" s="1" t="s">
        <v>113</v>
      </c>
      <c r="C1" s="80"/>
      <c r="D1" s="81" t="s">
        <v>181</v>
      </c>
      <c r="E1" s="5"/>
      <c r="F1" s="5"/>
      <c r="G1" s="5"/>
    </row>
    <row r="2" spans="1:10" ht="15.75" customHeight="1">
      <c r="A2" s="7" t="s">
        <v>182</v>
      </c>
      <c r="B2" s="123">
        <v>43350</v>
      </c>
      <c r="C2" s="80"/>
      <c r="D2" s="82">
        <f>SUM(D5:G84)</f>
        <v>0</v>
      </c>
      <c r="E2" s="5"/>
      <c r="F2" s="5"/>
      <c r="G2" s="5"/>
    </row>
    <row r="3" spans="1:10" ht="15.75" customHeight="1">
      <c r="C3" s="80"/>
      <c r="D3" s="5"/>
      <c r="E3" s="5"/>
      <c r="F3" s="5"/>
      <c r="G3" s="5"/>
    </row>
    <row r="4" spans="1:10" ht="15.75" customHeight="1">
      <c r="A4" s="42" t="s">
        <v>183</v>
      </c>
      <c r="B4" s="42" t="s">
        <v>184</v>
      </c>
      <c r="C4" s="42" t="s">
        <v>185</v>
      </c>
      <c r="D4" s="83" t="s">
        <v>186</v>
      </c>
      <c r="E4" s="84" t="s">
        <v>187</v>
      </c>
      <c r="F4" s="84" t="s">
        <v>188</v>
      </c>
      <c r="G4" s="85" t="s">
        <v>189</v>
      </c>
      <c r="H4" s="84" t="s">
        <v>190</v>
      </c>
      <c r="I4" s="85"/>
    </row>
    <row r="5" spans="1:10" ht="15.75" customHeight="1">
      <c r="A5" s="48" t="s">
        <v>7446</v>
      </c>
      <c r="B5" s="49" t="s">
        <v>278</v>
      </c>
      <c r="C5" s="72" t="s">
        <v>199</v>
      </c>
      <c r="D5" s="86"/>
      <c r="E5" s="87"/>
      <c r="F5" s="87"/>
      <c r="G5" s="87"/>
      <c r="H5" s="88"/>
      <c r="I5" s="88"/>
      <c r="J5" s="88"/>
    </row>
    <row r="6" spans="1:10" ht="15.75" customHeight="1">
      <c r="A6" s="48" t="s">
        <v>7447</v>
      </c>
      <c r="B6" s="49" t="s">
        <v>258</v>
      </c>
      <c r="C6" s="72" t="s">
        <v>199</v>
      </c>
      <c r="D6" s="72"/>
      <c r="E6" s="5"/>
      <c r="F6" s="5"/>
      <c r="G6" s="5"/>
      <c r="J6" s="88"/>
    </row>
    <row r="7" spans="1:10" ht="15.75" customHeight="1">
      <c r="A7" s="48" t="s">
        <v>7448</v>
      </c>
      <c r="B7" s="49" t="s">
        <v>243</v>
      </c>
      <c r="C7" s="72" t="s">
        <v>199</v>
      </c>
      <c r="D7" s="72"/>
      <c r="E7" s="5"/>
      <c r="F7" s="51"/>
      <c r="G7" s="5"/>
    </row>
    <row r="8" spans="1:10" ht="15.75" customHeight="1">
      <c r="A8" s="48" t="s">
        <v>7449</v>
      </c>
      <c r="B8" s="49" t="s">
        <v>1190</v>
      </c>
      <c r="C8" s="72" t="s">
        <v>199</v>
      </c>
      <c r="D8" s="72"/>
      <c r="E8" s="51"/>
      <c r="F8" s="5"/>
      <c r="G8" s="5"/>
    </row>
    <row r="9" spans="1:10" ht="15.75" customHeight="1">
      <c r="A9" s="48" t="s">
        <v>7450</v>
      </c>
      <c r="B9" s="49" t="s">
        <v>1191</v>
      </c>
      <c r="C9" s="72" t="s">
        <v>199</v>
      </c>
      <c r="D9" s="72"/>
      <c r="E9" s="51"/>
      <c r="F9" s="5"/>
      <c r="G9" s="5"/>
    </row>
    <row r="10" spans="1:10" ht="15.75" customHeight="1">
      <c r="A10" s="48" t="s">
        <v>7451</v>
      </c>
      <c r="B10" s="49" t="s">
        <v>1212</v>
      </c>
      <c r="C10" s="72" t="s">
        <v>199</v>
      </c>
      <c r="D10" s="72"/>
      <c r="E10" s="51"/>
      <c r="F10" s="5"/>
      <c r="G10" s="5"/>
    </row>
    <row r="11" spans="1:10" ht="15.75" customHeight="1">
      <c r="A11" s="48" t="s">
        <v>7452</v>
      </c>
      <c r="B11" s="58" t="str">
        <f>HYPERLINK("https://bulbapedia.bulbagarden.net/wiki/Victini_%E2%99%A2_(Dragon_Majesty_7)","Victini♦")</f>
        <v>Victini♦</v>
      </c>
      <c r="C11" s="72" t="s">
        <v>199</v>
      </c>
      <c r="D11" s="72"/>
      <c r="E11" s="51"/>
      <c r="F11" s="5"/>
      <c r="G11" s="5"/>
    </row>
    <row r="12" spans="1:10" ht="15.75" customHeight="1">
      <c r="A12" s="48" t="s">
        <v>7453</v>
      </c>
      <c r="B12" s="49" t="s">
        <v>4122</v>
      </c>
      <c r="C12" s="72" t="s">
        <v>199</v>
      </c>
      <c r="D12" s="72"/>
      <c r="E12" s="51"/>
      <c r="F12" s="5"/>
      <c r="G12" s="5"/>
    </row>
    <row r="13" spans="1:10" ht="15.75" customHeight="1">
      <c r="A13" s="48" t="s">
        <v>7454</v>
      </c>
      <c r="B13" s="49" t="s">
        <v>4131</v>
      </c>
      <c r="C13" s="72" t="s">
        <v>199</v>
      </c>
      <c r="D13" s="72"/>
      <c r="E13" s="51"/>
      <c r="F13" s="5"/>
      <c r="G13" s="5"/>
    </row>
    <row r="14" spans="1:10" ht="15.75" customHeight="1">
      <c r="A14" s="48" t="s">
        <v>7455</v>
      </c>
      <c r="B14" s="49" t="s">
        <v>4056</v>
      </c>
      <c r="C14" s="72" t="s">
        <v>199</v>
      </c>
      <c r="D14" s="72"/>
      <c r="E14" s="51"/>
      <c r="F14" s="5"/>
      <c r="G14" s="5"/>
    </row>
    <row r="15" spans="1:10" ht="15.75" customHeight="1">
      <c r="A15" s="48" t="s">
        <v>7456</v>
      </c>
      <c r="B15" s="58" t="str">
        <f>HYPERLINK("https://bulbapedia.bulbagarden.net/wiki/Reshiram-GX_(Dragon_Majesty_11)","ReshiramGX")</f>
        <v>ReshiramGX</v>
      </c>
      <c r="C15" s="72" t="s">
        <v>199</v>
      </c>
      <c r="D15" s="72"/>
      <c r="E15" s="51"/>
      <c r="F15" s="5"/>
      <c r="G15" s="5"/>
    </row>
    <row r="16" spans="1:10" ht="15.75" customHeight="1">
      <c r="A16" s="48" t="s">
        <v>7457</v>
      </c>
      <c r="B16" s="49" t="s">
        <v>6189</v>
      </c>
      <c r="C16" s="72" t="s">
        <v>199</v>
      </c>
      <c r="D16" s="72"/>
      <c r="E16" s="51"/>
      <c r="F16" s="5"/>
      <c r="G16" s="5"/>
    </row>
    <row r="17" spans="1:7" ht="15.75" customHeight="1">
      <c r="A17" s="48" t="s">
        <v>7458</v>
      </c>
      <c r="B17" s="49" t="s">
        <v>6366</v>
      </c>
      <c r="C17" s="72" t="s">
        <v>199</v>
      </c>
      <c r="D17" s="72"/>
      <c r="E17" s="5"/>
      <c r="F17" s="5"/>
      <c r="G17" s="5"/>
    </row>
    <row r="18" spans="1:7" ht="15.75" customHeight="1">
      <c r="A18" s="48" t="s">
        <v>7459</v>
      </c>
      <c r="B18" s="49" t="s">
        <v>6545</v>
      </c>
      <c r="C18" s="72" t="s">
        <v>199</v>
      </c>
      <c r="D18" s="72"/>
      <c r="E18" s="51"/>
      <c r="F18" s="5"/>
      <c r="G18" s="5"/>
    </row>
    <row r="19" spans="1:7" ht="15.75" customHeight="1">
      <c r="A19" s="48" t="s">
        <v>7460</v>
      </c>
      <c r="B19" s="49" t="s">
        <v>382</v>
      </c>
      <c r="C19" s="72" t="s">
        <v>208</v>
      </c>
      <c r="D19" s="72"/>
      <c r="E19" s="51"/>
      <c r="F19" s="5"/>
      <c r="G19" s="5"/>
    </row>
    <row r="20" spans="1:7" ht="15.75" customHeight="1">
      <c r="A20" s="48" t="s">
        <v>7461</v>
      </c>
      <c r="B20" s="49" t="s">
        <v>382</v>
      </c>
      <c r="C20" s="72" t="s">
        <v>208</v>
      </c>
      <c r="D20" s="72"/>
      <c r="E20" s="5"/>
      <c r="F20" s="5"/>
      <c r="G20" s="5"/>
    </row>
    <row r="21" spans="1:7" ht="15.75" customHeight="1">
      <c r="A21" s="48" t="s">
        <v>7462</v>
      </c>
      <c r="B21" s="49" t="s">
        <v>375</v>
      </c>
      <c r="C21" s="72" t="s">
        <v>208</v>
      </c>
      <c r="D21" s="72"/>
      <c r="E21" s="51"/>
      <c r="F21" s="5"/>
      <c r="G21" s="5"/>
    </row>
    <row r="22" spans="1:7" ht="15.75" customHeight="1">
      <c r="A22" s="48" t="s">
        <v>7463</v>
      </c>
      <c r="B22" s="58" t="str">
        <f>HYPERLINK("https://bulbapedia.bulbagarden.net/wiki/Kingdra-GX_(Dragon_Majesty_18)","KingdraGX")</f>
        <v>KingdraGX</v>
      </c>
      <c r="C22" s="72" t="s">
        <v>208</v>
      </c>
      <c r="D22" s="72"/>
      <c r="E22" s="51"/>
      <c r="F22" s="5"/>
      <c r="G22" s="5"/>
    </row>
    <row r="23" spans="1:7" ht="15.75" customHeight="1">
      <c r="A23" s="48" t="s">
        <v>7464</v>
      </c>
      <c r="B23" s="49" t="s">
        <v>268</v>
      </c>
      <c r="C23" s="72" t="s">
        <v>208</v>
      </c>
      <c r="D23" s="72"/>
      <c r="E23" s="51"/>
      <c r="F23" s="5"/>
      <c r="G23" s="5"/>
    </row>
    <row r="24" spans="1:7" ht="15.75" customHeight="1">
      <c r="A24" s="48" t="s">
        <v>7465</v>
      </c>
      <c r="B24" s="49" t="s">
        <v>245</v>
      </c>
      <c r="C24" s="72" t="s">
        <v>208</v>
      </c>
      <c r="D24" s="72"/>
      <c r="E24" s="5"/>
      <c r="F24" s="51"/>
      <c r="G24" s="5"/>
    </row>
    <row r="25" spans="1:7" ht="15.75" customHeight="1">
      <c r="A25" s="48" t="s">
        <v>7466</v>
      </c>
      <c r="B25" s="49" t="s">
        <v>364</v>
      </c>
      <c r="C25" s="72" t="s">
        <v>208</v>
      </c>
      <c r="D25" s="72"/>
      <c r="E25" s="51"/>
      <c r="F25" s="5"/>
      <c r="G25" s="5"/>
    </row>
    <row r="26" spans="1:7" ht="15.75" customHeight="1">
      <c r="A26" s="48" t="s">
        <v>7467</v>
      </c>
      <c r="B26" s="49" t="s">
        <v>903</v>
      </c>
      <c r="C26" s="72" t="s">
        <v>208</v>
      </c>
      <c r="D26" s="72"/>
      <c r="E26" s="51"/>
      <c r="F26" s="5"/>
      <c r="G26" s="5"/>
    </row>
    <row r="27" spans="1:7" ht="15.75" customHeight="1">
      <c r="A27" s="48" t="s">
        <v>7468</v>
      </c>
      <c r="B27" s="49" t="s">
        <v>820</v>
      </c>
      <c r="C27" s="72" t="s">
        <v>208</v>
      </c>
      <c r="D27" s="72"/>
      <c r="E27" s="51"/>
      <c r="F27" s="5"/>
      <c r="G27" s="5"/>
    </row>
    <row r="28" spans="1:7" ht="15.75" customHeight="1">
      <c r="A28" s="48" t="s">
        <v>7469</v>
      </c>
      <c r="B28" s="49" t="s">
        <v>772</v>
      </c>
      <c r="C28" s="72" t="s">
        <v>208</v>
      </c>
      <c r="D28" s="72"/>
      <c r="E28" s="51"/>
      <c r="F28" s="51"/>
      <c r="G28" s="5"/>
    </row>
    <row r="29" spans="1:7" ht="15.75" customHeight="1">
      <c r="A29" s="48" t="s">
        <v>7470</v>
      </c>
      <c r="B29" s="49" t="s">
        <v>906</v>
      </c>
      <c r="C29" s="72" t="s">
        <v>208</v>
      </c>
      <c r="D29" s="72"/>
      <c r="E29" s="51"/>
      <c r="F29" s="5"/>
      <c r="G29" s="5"/>
    </row>
    <row r="30" spans="1:7" ht="15.75" customHeight="1">
      <c r="A30" s="48" t="s">
        <v>7471</v>
      </c>
      <c r="B30" s="49" t="s">
        <v>844</v>
      </c>
      <c r="C30" s="72" t="s">
        <v>208</v>
      </c>
      <c r="D30" s="72"/>
      <c r="E30" s="51"/>
      <c r="F30" s="5"/>
      <c r="G30" s="5"/>
    </row>
    <row r="31" spans="1:7" ht="15.75" customHeight="1">
      <c r="A31" s="48" t="s">
        <v>7472</v>
      </c>
      <c r="B31" s="49" t="s">
        <v>947</v>
      </c>
      <c r="C31" s="72" t="s">
        <v>208</v>
      </c>
      <c r="D31" s="72"/>
      <c r="E31" s="51"/>
      <c r="F31" s="5"/>
      <c r="G31" s="5"/>
    </row>
    <row r="32" spans="1:7" ht="15.75" customHeight="1">
      <c r="A32" s="48" t="s">
        <v>7473</v>
      </c>
      <c r="B32" s="49" t="s">
        <v>1873</v>
      </c>
      <c r="C32" s="72" t="s">
        <v>208</v>
      </c>
      <c r="D32" s="72"/>
      <c r="E32" s="5"/>
      <c r="F32" s="5"/>
      <c r="G32" s="5"/>
    </row>
    <row r="33" spans="1:7" ht="15.75" customHeight="1">
      <c r="A33" s="48" t="s">
        <v>7474</v>
      </c>
      <c r="B33" s="49" t="s">
        <v>1806</v>
      </c>
      <c r="C33" s="72" t="s">
        <v>208</v>
      </c>
      <c r="D33" s="72"/>
      <c r="E33" s="51"/>
      <c r="F33" s="5"/>
      <c r="G33" s="5"/>
    </row>
    <row r="34" spans="1:7" ht="15.75" customHeight="1">
      <c r="A34" s="48" t="s">
        <v>7475</v>
      </c>
      <c r="B34" s="49" t="s">
        <v>3355</v>
      </c>
      <c r="C34" s="72" t="s">
        <v>208</v>
      </c>
      <c r="D34" s="72"/>
      <c r="E34" s="5"/>
      <c r="F34" s="5"/>
      <c r="G34" s="5"/>
    </row>
    <row r="35" spans="1:7" ht="15.75" customHeight="1">
      <c r="A35" s="48" t="s">
        <v>7476</v>
      </c>
      <c r="B35" s="49" t="s">
        <v>6477</v>
      </c>
      <c r="C35" s="72" t="s">
        <v>208</v>
      </c>
      <c r="D35" s="72"/>
      <c r="E35" s="5"/>
      <c r="F35" s="5"/>
      <c r="G35" s="5"/>
    </row>
    <row r="36" spans="1:7" ht="15.75" customHeight="1">
      <c r="A36" s="48" t="s">
        <v>7477</v>
      </c>
      <c r="B36" s="49" t="s">
        <v>1461</v>
      </c>
      <c r="C36" s="72" t="s">
        <v>225</v>
      </c>
      <c r="D36" s="72"/>
      <c r="E36" s="5"/>
      <c r="F36" s="5"/>
      <c r="G36" s="5"/>
    </row>
    <row r="37" spans="1:7" ht="15.75" customHeight="1">
      <c r="A37" s="48" t="s">
        <v>7478</v>
      </c>
      <c r="B37" s="49" t="s">
        <v>4105</v>
      </c>
      <c r="C37" s="72" t="s">
        <v>808</v>
      </c>
      <c r="D37" s="72"/>
      <c r="E37" s="51"/>
      <c r="F37" s="51"/>
      <c r="G37" s="5"/>
    </row>
    <row r="38" spans="1:7" ht="15.75" customHeight="1">
      <c r="A38" s="48" t="s">
        <v>7479</v>
      </c>
      <c r="B38" s="49" t="s">
        <v>260</v>
      </c>
      <c r="C38" s="72" t="s">
        <v>4285</v>
      </c>
      <c r="D38" s="72"/>
      <c r="E38" s="51"/>
      <c r="F38" s="51"/>
      <c r="G38" s="5"/>
    </row>
    <row r="39" spans="1:7" ht="15.75" customHeight="1">
      <c r="A39" s="48" t="s">
        <v>7480</v>
      </c>
      <c r="B39" s="49" t="s">
        <v>260</v>
      </c>
      <c r="C39" s="72" t="s">
        <v>4285</v>
      </c>
      <c r="D39" s="72"/>
      <c r="E39" s="51"/>
      <c r="F39" s="5"/>
      <c r="G39" s="5"/>
    </row>
    <row r="40" spans="1:7" ht="15.75" customHeight="1">
      <c r="A40" s="48" t="s">
        <v>7481</v>
      </c>
      <c r="B40" s="49" t="s">
        <v>254</v>
      </c>
      <c r="C40" s="72" t="s">
        <v>4285</v>
      </c>
      <c r="D40" s="72"/>
      <c r="E40" s="51"/>
      <c r="F40" s="5"/>
      <c r="G40" s="5"/>
    </row>
    <row r="41" spans="1:7" ht="15.75" customHeight="1">
      <c r="A41" s="48" t="s">
        <v>7482</v>
      </c>
      <c r="B41" s="58" t="str">
        <f>HYPERLINK("https://bulbapedia.bulbagarden.net/wiki/Dragonite-GX_(Dragon_Majesty_37)","DragoniteGX")</f>
        <v>DragoniteGX</v>
      </c>
      <c r="C41" s="72" t="s">
        <v>4285</v>
      </c>
      <c r="D41" s="72"/>
      <c r="E41" s="51"/>
      <c r="F41" s="5"/>
      <c r="G41" s="5"/>
    </row>
    <row r="42" spans="1:7" ht="15.75" customHeight="1">
      <c r="A42" s="48" t="s">
        <v>7483</v>
      </c>
      <c r="B42" s="49" t="s">
        <v>1524</v>
      </c>
      <c r="C42" s="72" t="s">
        <v>4285</v>
      </c>
      <c r="D42" s="72"/>
      <c r="E42" s="51"/>
      <c r="F42" s="5"/>
      <c r="G42" s="5"/>
    </row>
    <row r="43" spans="1:7" ht="15.75" customHeight="1">
      <c r="A43" s="48" t="s">
        <v>7484</v>
      </c>
      <c r="B43" s="49" t="s">
        <v>1200</v>
      </c>
      <c r="C43" s="72" t="s">
        <v>4285</v>
      </c>
      <c r="D43" s="72"/>
      <c r="E43" s="51"/>
      <c r="F43" s="5"/>
      <c r="G43" s="5"/>
    </row>
    <row r="44" spans="1:7" ht="15.75" customHeight="1">
      <c r="A44" s="48" t="s">
        <v>7485</v>
      </c>
      <c r="B44" s="49" t="s">
        <v>1493</v>
      </c>
      <c r="C44" s="72" t="s">
        <v>4285</v>
      </c>
      <c r="D44" s="72"/>
      <c r="E44" s="5"/>
      <c r="F44" s="51"/>
      <c r="G44" s="5"/>
    </row>
    <row r="45" spans="1:7" ht="15.75" customHeight="1">
      <c r="A45" s="48" t="s">
        <v>7486</v>
      </c>
      <c r="B45" s="49" t="s">
        <v>1493</v>
      </c>
      <c r="C45" s="72" t="s">
        <v>4285</v>
      </c>
      <c r="D45" s="72"/>
      <c r="E45" s="5"/>
      <c r="F45" s="51"/>
      <c r="G45" s="5"/>
    </row>
    <row r="46" spans="1:7" ht="15.75" customHeight="1">
      <c r="A46" s="48" t="s">
        <v>7487</v>
      </c>
      <c r="B46" s="58" t="str">
        <f>HYPERLINK("https://bulbapedia.bulbagarden.net/wiki/Altaria-GX_(Dragon_Majesty_41)","AltariaGX")</f>
        <v>AltariaGX</v>
      </c>
      <c r="C46" s="72" t="s">
        <v>4285</v>
      </c>
      <c r="D46" s="72"/>
      <c r="E46" s="51"/>
      <c r="F46" s="5"/>
      <c r="G46" s="5"/>
    </row>
    <row r="47" spans="1:7" ht="15.75" customHeight="1">
      <c r="A47" s="48" t="s">
        <v>7488</v>
      </c>
      <c r="B47" s="49" t="s">
        <v>1526</v>
      </c>
      <c r="C47" s="72" t="s">
        <v>4285</v>
      </c>
      <c r="D47" s="72"/>
      <c r="E47" s="5"/>
      <c r="F47" s="5"/>
      <c r="G47" s="5"/>
    </row>
    <row r="48" spans="1:7" ht="15.75" customHeight="1">
      <c r="A48" s="48" t="s">
        <v>7489</v>
      </c>
      <c r="B48" s="49" t="s">
        <v>1521</v>
      </c>
      <c r="C48" s="72" t="s">
        <v>4285</v>
      </c>
      <c r="D48" s="72"/>
      <c r="E48" s="51"/>
      <c r="F48" s="5"/>
      <c r="G48" s="5"/>
    </row>
    <row r="49" spans="1:7" ht="15.75" customHeight="1">
      <c r="A49" s="48" t="s">
        <v>7490</v>
      </c>
      <c r="B49" s="58" t="str">
        <f>HYPERLINK("https://bulbapedia.bulbagarden.net/wiki/Salamence-GX_(Dragon_Majesty_44)","SalamenceGX")</f>
        <v>SalamenceGX</v>
      </c>
      <c r="C49" s="72" t="s">
        <v>4285</v>
      </c>
      <c r="D49" s="72"/>
      <c r="E49" s="51"/>
      <c r="F49" s="5"/>
      <c r="G49" s="5"/>
    </row>
    <row r="50" spans="1:7" ht="15.75" customHeight="1">
      <c r="A50" s="48" t="s">
        <v>7491</v>
      </c>
      <c r="B50" s="49" t="s">
        <v>4112</v>
      </c>
      <c r="C50" s="72" t="s">
        <v>4285</v>
      </c>
      <c r="D50" s="72"/>
      <c r="E50" s="51"/>
      <c r="F50" s="5"/>
      <c r="G50" s="5"/>
    </row>
    <row r="51" spans="1:7" ht="15.75" customHeight="1">
      <c r="A51" s="48" t="s">
        <v>7492</v>
      </c>
      <c r="B51" s="49" t="s">
        <v>4129</v>
      </c>
      <c r="C51" s="72" t="s">
        <v>4285</v>
      </c>
      <c r="D51" s="72"/>
      <c r="E51" s="51"/>
      <c r="F51" s="51"/>
      <c r="G51" s="5"/>
    </row>
    <row r="52" spans="1:7" ht="15.75" customHeight="1">
      <c r="A52" s="48" t="s">
        <v>7493</v>
      </c>
      <c r="B52" s="49" t="s">
        <v>4070</v>
      </c>
      <c r="C52" s="72" t="s">
        <v>4285</v>
      </c>
      <c r="D52" s="72"/>
      <c r="E52" s="51"/>
      <c r="F52" s="51"/>
      <c r="G52" s="5"/>
    </row>
    <row r="53" spans="1:7" ht="13">
      <c r="A53" s="48" t="s">
        <v>7494</v>
      </c>
      <c r="B53" s="58" t="str">
        <f>HYPERLINK("https://bulbapedia.bulbagarden.net/wiki/White_Kyurem-GX_(Dragon_Majesty_48)","White KyuremGX")</f>
        <v>White KyuremGX</v>
      </c>
      <c r="C53" s="72" t="s">
        <v>4285</v>
      </c>
      <c r="D53" s="72"/>
      <c r="E53" s="51"/>
      <c r="F53" s="5"/>
      <c r="G53" s="5"/>
    </row>
    <row r="54" spans="1:7" ht="13">
      <c r="A54" s="48" t="s">
        <v>7495</v>
      </c>
      <c r="B54" s="49" t="s">
        <v>4913</v>
      </c>
      <c r="C54" s="72" t="s">
        <v>4285</v>
      </c>
      <c r="D54" s="72"/>
      <c r="E54" s="51"/>
      <c r="F54" s="5"/>
      <c r="G54" s="5"/>
    </row>
    <row r="55" spans="1:7" ht="13">
      <c r="A55" s="48" t="s">
        <v>7496</v>
      </c>
      <c r="B55" s="49" t="s">
        <v>6214</v>
      </c>
      <c r="C55" s="72" t="s">
        <v>4285</v>
      </c>
      <c r="D55" s="72"/>
      <c r="E55" s="51"/>
      <c r="F55" s="5"/>
      <c r="G55" s="5"/>
    </row>
    <row r="56" spans="1:7" ht="13">
      <c r="A56" s="48" t="s">
        <v>7497</v>
      </c>
      <c r="B56" s="49" t="s">
        <v>6643</v>
      </c>
      <c r="C56" s="72" t="s">
        <v>4285</v>
      </c>
      <c r="D56" s="72"/>
      <c r="E56" s="51"/>
      <c r="F56" s="5"/>
      <c r="G56" s="5"/>
    </row>
    <row r="57" spans="1:7" ht="13">
      <c r="A57" s="48" t="s">
        <v>7498</v>
      </c>
      <c r="B57" s="49" t="s">
        <v>6645</v>
      </c>
      <c r="C57" s="72" t="s">
        <v>4285</v>
      </c>
      <c r="D57" s="72"/>
      <c r="E57" s="51"/>
      <c r="F57" s="5"/>
      <c r="G57" s="5"/>
    </row>
    <row r="58" spans="1:7" ht="13">
      <c r="A58" s="48" t="s">
        <v>7499</v>
      </c>
      <c r="B58" s="49" t="s">
        <v>6647</v>
      </c>
      <c r="C58" s="72" t="s">
        <v>4285</v>
      </c>
      <c r="D58" s="72"/>
      <c r="E58" s="51"/>
      <c r="F58" s="5"/>
      <c r="G58" s="5"/>
    </row>
    <row r="59" spans="1:7" ht="13">
      <c r="A59" s="48" t="s">
        <v>7500</v>
      </c>
      <c r="B59" s="49" t="s">
        <v>6866</v>
      </c>
      <c r="C59" s="72" t="s">
        <v>4285</v>
      </c>
      <c r="D59" s="72"/>
      <c r="E59" s="5"/>
      <c r="F59" s="51"/>
      <c r="G59" s="5"/>
    </row>
    <row r="60" spans="1:7" ht="13">
      <c r="A60" s="48" t="s">
        <v>7501</v>
      </c>
      <c r="B60" s="49" t="s">
        <v>321</v>
      </c>
      <c r="C60" s="72" t="s">
        <v>197</v>
      </c>
      <c r="D60" s="72"/>
      <c r="E60" s="5"/>
      <c r="F60" s="5"/>
      <c r="G60" s="5"/>
    </row>
    <row r="61" spans="1:7" ht="13">
      <c r="A61" s="48" t="s">
        <v>7502</v>
      </c>
      <c r="B61" s="49" t="s">
        <v>1587</v>
      </c>
      <c r="C61" s="51" t="s">
        <v>197</v>
      </c>
      <c r="D61" s="72"/>
      <c r="E61" s="51"/>
      <c r="F61" s="5"/>
      <c r="G61" s="5"/>
    </row>
    <row r="62" spans="1:7" ht="13">
      <c r="A62" s="48" t="s">
        <v>7503</v>
      </c>
      <c r="B62" s="49" t="s">
        <v>1587</v>
      </c>
      <c r="C62" s="51" t="s">
        <v>197</v>
      </c>
      <c r="D62" s="51"/>
      <c r="E62" s="51"/>
      <c r="F62" s="5"/>
      <c r="G62" s="5"/>
    </row>
    <row r="63" spans="1:7" ht="13">
      <c r="A63" s="48" t="s">
        <v>7504</v>
      </c>
      <c r="B63" s="49" t="s">
        <v>7505</v>
      </c>
      <c r="C63" s="72" t="s">
        <v>1013</v>
      </c>
      <c r="D63" s="51"/>
      <c r="E63" s="5"/>
      <c r="F63" s="51"/>
      <c r="G63" s="5"/>
    </row>
    <row r="64" spans="1:7" ht="13">
      <c r="A64" s="48" t="s">
        <v>7506</v>
      </c>
      <c r="B64" s="49" t="s">
        <v>7507</v>
      </c>
      <c r="C64" s="72" t="s">
        <v>4114</v>
      </c>
      <c r="D64" s="51"/>
      <c r="E64" s="5"/>
      <c r="F64" s="5"/>
      <c r="G64" s="5"/>
    </row>
    <row r="65" spans="1:7" ht="13">
      <c r="A65" s="48" t="s">
        <v>7508</v>
      </c>
      <c r="B65" s="49" t="s">
        <v>7509</v>
      </c>
      <c r="C65" s="72" t="s">
        <v>4114</v>
      </c>
      <c r="D65" s="51"/>
      <c r="E65" s="51"/>
      <c r="F65" s="5"/>
      <c r="G65" s="5"/>
    </row>
    <row r="66" spans="1:7" ht="13">
      <c r="A66" s="48" t="s">
        <v>7510</v>
      </c>
      <c r="B66" s="49" t="s">
        <v>7509</v>
      </c>
      <c r="C66" s="72" t="s">
        <v>4114</v>
      </c>
      <c r="D66" s="51"/>
      <c r="E66" s="51"/>
      <c r="F66" s="5"/>
      <c r="G66" s="5"/>
    </row>
    <row r="67" spans="1:7" ht="13">
      <c r="A67" s="48" t="s">
        <v>7511</v>
      </c>
      <c r="B67" s="58" t="str">
        <f>HYPERLINK("https://bulbapedia.bulbagarden.net/wiki/Lance_%E2%99%A2_(Dragon_Majesty_61)","Lance♦")</f>
        <v>Lance♦</v>
      </c>
      <c r="C67" s="72" t="s">
        <v>1013</v>
      </c>
      <c r="D67" s="51"/>
      <c r="E67" s="5"/>
      <c r="F67" s="5"/>
      <c r="G67" s="5"/>
    </row>
    <row r="68" spans="1:7" ht="13">
      <c r="A68" s="48" t="s">
        <v>7512</v>
      </c>
      <c r="B68" s="49" t="s">
        <v>7513</v>
      </c>
      <c r="C68" s="72" t="s">
        <v>4114</v>
      </c>
      <c r="D68" s="51"/>
      <c r="E68" s="51"/>
      <c r="F68" s="5"/>
      <c r="G68" s="5"/>
    </row>
    <row r="69" spans="1:7" ht="13">
      <c r="A69" s="48" t="s">
        <v>7514</v>
      </c>
      <c r="B69" s="49" t="s">
        <v>7515</v>
      </c>
      <c r="C69" s="72" t="s">
        <v>229</v>
      </c>
      <c r="D69" s="51"/>
      <c r="E69" s="51"/>
      <c r="F69" s="5"/>
      <c r="G69" s="5"/>
    </row>
    <row r="70" spans="1:7" ht="13">
      <c r="A70" s="48" t="s">
        <v>7516</v>
      </c>
      <c r="B70" s="49" t="s">
        <v>7517</v>
      </c>
      <c r="C70" s="72" t="s">
        <v>1013</v>
      </c>
      <c r="D70" s="72"/>
      <c r="E70" s="5"/>
      <c r="F70" s="5"/>
      <c r="G70" s="5"/>
    </row>
    <row r="71" spans="1:7" ht="13">
      <c r="A71" s="48" t="s">
        <v>7518</v>
      </c>
      <c r="B71" s="58" t="str">
        <f>HYPERLINK("https://bulbapedia.bulbagarden.net/wiki/Reshiram-GX_(Dragon_Majesty_65)","ReshiramGX")</f>
        <v>ReshiramGX</v>
      </c>
      <c r="C71" s="72" t="s">
        <v>199</v>
      </c>
      <c r="D71" s="72"/>
      <c r="E71" s="5"/>
      <c r="F71" s="5"/>
      <c r="G71" s="5"/>
    </row>
    <row r="72" spans="1:7" ht="13">
      <c r="A72" s="48" t="s">
        <v>7519</v>
      </c>
      <c r="B72" s="58" t="str">
        <f>HYPERLINK("https://bulbapedia.bulbagarden.net/wiki/Kingdra-GX_(Dragon_Majesty_66)","KingdraGX")</f>
        <v>KingdraGX</v>
      </c>
      <c r="C72" s="72" t="s">
        <v>208</v>
      </c>
      <c r="D72" s="72"/>
      <c r="E72" s="5"/>
      <c r="F72" s="5"/>
      <c r="G72" s="5"/>
    </row>
    <row r="73" spans="1:7" ht="13">
      <c r="A73" s="48" t="s">
        <v>7520</v>
      </c>
      <c r="B73" s="58" t="str">
        <f>HYPERLINK("https://bulbapedia.bulbagarden.net/wiki/Dragonite-GX_(Dragon_Majesty_67)","DragoniteGX")</f>
        <v>DragoniteGX</v>
      </c>
      <c r="C73" s="72" t="s">
        <v>4285</v>
      </c>
      <c r="D73" s="66"/>
      <c r="E73" s="5"/>
      <c r="F73" s="5"/>
      <c r="G73" s="5"/>
    </row>
    <row r="74" spans="1:7" ht="13">
      <c r="A74" s="48" t="s">
        <v>7521</v>
      </c>
      <c r="B74" s="58" t="str">
        <f>HYPERLINK("https://bulbapedia.bulbagarden.net/wiki/Altaria-GX_(Dragon_Majesty_68)","AltariaGX")</f>
        <v>AltariaGX</v>
      </c>
      <c r="C74" s="72" t="s">
        <v>4285</v>
      </c>
      <c r="D74" s="72"/>
      <c r="E74" s="5"/>
      <c r="F74" s="5"/>
      <c r="G74" s="5"/>
    </row>
    <row r="75" spans="1:7" ht="13">
      <c r="A75" s="48" t="s">
        <v>7522</v>
      </c>
      <c r="B75" s="49" t="s">
        <v>7505</v>
      </c>
      <c r="C75" s="72" t="s">
        <v>1013</v>
      </c>
      <c r="D75" s="72"/>
      <c r="E75" s="5"/>
      <c r="F75" s="5"/>
      <c r="G75" s="5"/>
    </row>
    <row r="76" spans="1:7" ht="13">
      <c r="A76" s="48" t="s">
        <v>7523</v>
      </c>
      <c r="B76" s="49" t="s">
        <v>7517</v>
      </c>
      <c r="C76" s="72" t="s">
        <v>1013</v>
      </c>
      <c r="D76" s="72"/>
      <c r="E76" s="5"/>
      <c r="F76" s="5"/>
      <c r="G76" s="5"/>
    </row>
    <row r="77" spans="1:7" ht="13">
      <c r="A77" s="48" t="s">
        <v>7524</v>
      </c>
      <c r="B77" s="58" t="str">
        <f>HYPERLINK("https://bulbapedia.bulbagarden.net/wiki/Reshiram-GX_(Dragon_Majesty_71)","ReshiramGX")</f>
        <v>ReshiramGX</v>
      </c>
      <c r="C77" s="72" t="s">
        <v>199</v>
      </c>
      <c r="D77" s="66"/>
      <c r="E77" s="5"/>
      <c r="F77" s="5"/>
      <c r="G77" s="5"/>
    </row>
    <row r="78" spans="1:7" ht="13">
      <c r="A78" s="48" t="s">
        <v>7525</v>
      </c>
      <c r="B78" s="58" t="str">
        <f>HYPERLINK("https://bulbapedia.bulbagarden.net/wiki/Altaria-GX_(Dragon_Majesty_72)","AltariaGX")</f>
        <v>AltariaGX</v>
      </c>
      <c r="C78" s="72" t="s">
        <v>4285</v>
      </c>
      <c r="D78" s="72"/>
      <c r="E78" s="5"/>
      <c r="F78" s="5"/>
      <c r="G78" s="5"/>
    </row>
    <row r="79" spans="1:7" ht="13">
      <c r="A79" s="48" t="s">
        <v>7526</v>
      </c>
      <c r="B79" s="58" t="str">
        <f>HYPERLINK("https://bulbapedia.bulbagarden.net/wiki/Salamence-GX_(Dragon_Majesty_73)","SalamenceGX")</f>
        <v>SalamenceGX</v>
      </c>
      <c r="C79" s="72" t="s">
        <v>4285</v>
      </c>
      <c r="D79" s="66"/>
      <c r="E79" s="5"/>
      <c r="F79" s="5"/>
      <c r="G79" s="5"/>
    </row>
    <row r="80" spans="1:7" ht="13">
      <c r="A80" s="48" t="s">
        <v>7527</v>
      </c>
      <c r="B80" s="58" t="str">
        <f>HYPERLINK("https://bulbapedia.bulbagarden.net/wiki/White_Kyurem-GX_(Dragon_Majesty_74)","White KyuremGX")</f>
        <v>White KyuremGX</v>
      </c>
      <c r="C80" s="72" t="s">
        <v>4285</v>
      </c>
      <c r="D80" s="72"/>
      <c r="E80" s="5"/>
      <c r="F80" s="5"/>
      <c r="G80" s="5"/>
    </row>
    <row r="81" spans="1:7" ht="13">
      <c r="A81" s="48" t="s">
        <v>7528</v>
      </c>
      <c r="B81" s="49" t="s">
        <v>7507</v>
      </c>
      <c r="C81" s="72" t="s">
        <v>4114</v>
      </c>
      <c r="D81" s="66"/>
      <c r="E81" s="5"/>
      <c r="F81" s="5"/>
      <c r="G81" s="5"/>
    </row>
    <row r="82" spans="1:7" ht="13">
      <c r="A82" s="48" t="s">
        <v>7529</v>
      </c>
      <c r="B82" s="49" t="s">
        <v>7509</v>
      </c>
      <c r="C82" s="48" t="s">
        <v>4114</v>
      </c>
      <c r="D82" s="48"/>
      <c r="E82" s="5"/>
      <c r="F82" s="5"/>
      <c r="G82" s="5"/>
    </row>
    <row r="83" spans="1:7" ht="13">
      <c r="A83" s="48" t="s">
        <v>7530</v>
      </c>
      <c r="B83" s="49" t="s">
        <v>7513</v>
      </c>
      <c r="C83" s="70" t="s">
        <v>4114</v>
      </c>
      <c r="D83" s="126"/>
      <c r="E83" s="126"/>
      <c r="F83" s="5"/>
      <c r="G83" s="5"/>
    </row>
    <row r="84" spans="1:7" ht="13">
      <c r="A84" s="48" t="s">
        <v>7531</v>
      </c>
      <c r="B84" s="58" t="str">
        <f>HYPERLINK("https://bulbapedia.bulbagarden.net/w/index.php?title=Ultra_Necrozma-GX_(Dragon_Majesty_78)&amp;action=edit&amp;redlink=1","Ultra NecrozmaGX")</f>
        <v>Ultra NecrozmaGX</v>
      </c>
      <c r="C84" s="70" t="s">
        <v>4285</v>
      </c>
      <c r="D84" s="126"/>
      <c r="E84" s="126"/>
      <c r="F84" s="5"/>
      <c r="G84" s="5"/>
    </row>
    <row r="85" spans="1:7" ht="13">
      <c r="F85" s="5"/>
      <c r="G85" s="5"/>
    </row>
    <row r="86" spans="1:7" ht="13">
      <c r="A86" s="64"/>
      <c r="B86" s="129"/>
      <c r="C86" s="70"/>
      <c r="D86" s="126"/>
      <c r="E86" s="126"/>
      <c r="F86" s="5"/>
      <c r="G86" s="5"/>
    </row>
    <row r="87" spans="1:7" ht="13">
      <c r="A87" s="64"/>
      <c r="B87" s="129"/>
      <c r="C87" s="70"/>
      <c r="D87" s="126"/>
      <c r="E87" s="126"/>
      <c r="F87" s="5"/>
      <c r="G87" s="5"/>
    </row>
    <row r="88" spans="1:7" ht="13">
      <c r="A88" s="64"/>
      <c r="B88" s="129"/>
      <c r="C88" s="70"/>
      <c r="D88" s="126"/>
      <c r="E88" s="126"/>
      <c r="F88" s="5"/>
      <c r="G88" s="5"/>
    </row>
    <row r="89" spans="1:7" ht="13">
      <c r="A89" s="64"/>
      <c r="B89" s="130"/>
      <c r="C89" s="70"/>
      <c r="D89" s="126"/>
      <c r="E89" s="126"/>
      <c r="F89" s="5"/>
      <c r="G89" s="5"/>
    </row>
    <row r="90" spans="1:7" ht="13">
      <c r="A90" s="64"/>
      <c r="B90" s="129"/>
      <c r="C90" s="70"/>
      <c r="D90" s="126"/>
      <c r="E90" s="126"/>
      <c r="F90" s="5"/>
      <c r="G90" s="5"/>
    </row>
    <row r="91" spans="1:7" ht="13">
      <c r="A91" s="64"/>
      <c r="B91" s="129"/>
      <c r="C91" s="70"/>
      <c r="D91" s="126"/>
      <c r="E91" s="126"/>
      <c r="F91" s="5"/>
      <c r="G91" s="5"/>
    </row>
    <row r="92" spans="1:7" ht="13">
      <c r="A92" s="64"/>
      <c r="B92" s="130"/>
      <c r="C92" s="70"/>
      <c r="D92" s="126"/>
      <c r="E92" s="126"/>
      <c r="F92" s="5"/>
      <c r="G92" s="5"/>
    </row>
    <row r="93" spans="1:7" ht="13">
      <c r="A93" s="64"/>
      <c r="B93" s="129"/>
      <c r="C93" s="70"/>
      <c r="D93" s="126"/>
      <c r="E93" s="126"/>
      <c r="F93" s="5"/>
      <c r="G93" s="5"/>
    </row>
    <row r="94" spans="1:7" ht="13">
      <c r="A94" s="64"/>
      <c r="B94" s="129"/>
      <c r="C94" s="70"/>
      <c r="D94" s="127"/>
      <c r="E94" s="126"/>
      <c r="F94" s="5"/>
      <c r="G94" s="5"/>
    </row>
    <row r="95" spans="1:7" ht="13">
      <c r="A95" s="64"/>
      <c r="B95" s="129"/>
      <c r="C95" s="70"/>
      <c r="D95" s="126"/>
      <c r="E95" s="126"/>
      <c r="F95" s="5"/>
      <c r="G95" s="5"/>
    </row>
    <row r="96" spans="1:7" ht="13">
      <c r="A96" s="64"/>
      <c r="B96" s="129"/>
      <c r="C96" s="70"/>
      <c r="D96" s="126"/>
      <c r="E96" s="126"/>
      <c r="F96" s="5"/>
      <c r="G96" s="5"/>
    </row>
    <row r="97" spans="1:7" ht="13">
      <c r="A97" s="64"/>
      <c r="B97" s="130"/>
      <c r="C97" s="70"/>
      <c r="D97" s="126"/>
      <c r="E97" s="126"/>
      <c r="F97" s="5"/>
      <c r="G97" s="5"/>
    </row>
    <row r="98" spans="1:7" ht="13">
      <c r="A98" s="64"/>
      <c r="B98" s="129"/>
      <c r="C98" s="70"/>
      <c r="D98" s="126"/>
      <c r="E98" s="126"/>
      <c r="F98" s="5"/>
      <c r="G98" s="5"/>
    </row>
    <row r="99" spans="1:7" ht="13">
      <c r="A99" s="64"/>
      <c r="B99" s="129"/>
      <c r="C99" s="37"/>
      <c r="D99" s="5"/>
      <c r="E99" s="5"/>
      <c r="F99" s="5"/>
      <c r="G99" s="5"/>
    </row>
    <row r="100" spans="1:7" ht="13">
      <c r="A100" s="64"/>
      <c r="B100" s="129"/>
      <c r="C100" s="80"/>
      <c r="D100" s="5"/>
      <c r="E100" s="5"/>
      <c r="F100" s="5"/>
      <c r="G100" s="5"/>
    </row>
    <row r="101" spans="1:7" ht="13">
      <c r="A101" s="64"/>
      <c r="B101" s="129"/>
      <c r="C101" s="80"/>
      <c r="D101" s="5"/>
      <c r="E101" s="5"/>
      <c r="F101" s="5"/>
      <c r="G101" s="5"/>
    </row>
    <row r="102" spans="1:7" ht="13">
      <c r="A102" s="64"/>
      <c r="B102" s="129"/>
      <c r="C102" s="80"/>
      <c r="D102" s="5"/>
      <c r="E102" s="5"/>
      <c r="F102" s="5"/>
      <c r="G102" s="5"/>
    </row>
    <row r="103" spans="1:7" ht="13">
      <c r="A103" s="64"/>
      <c r="B103" s="129"/>
      <c r="C103" s="80"/>
      <c r="D103" s="5"/>
      <c r="E103" s="5"/>
      <c r="F103" s="5"/>
      <c r="G103" s="5"/>
    </row>
    <row r="104" spans="1:7" ht="13">
      <c r="A104" s="64"/>
      <c r="B104" s="130"/>
      <c r="C104" s="80"/>
      <c r="D104" s="5"/>
      <c r="E104" s="5"/>
      <c r="F104" s="5"/>
      <c r="G104" s="5"/>
    </row>
    <row r="105" spans="1:7" ht="13">
      <c r="A105" s="64"/>
      <c r="B105" s="129"/>
      <c r="C105" s="80"/>
      <c r="D105" s="5"/>
      <c r="E105" s="5"/>
      <c r="F105" s="5"/>
      <c r="G105" s="5"/>
    </row>
    <row r="106" spans="1:7" ht="13">
      <c r="A106" s="64"/>
      <c r="B106" s="129"/>
      <c r="C106" s="80"/>
      <c r="D106" s="5"/>
      <c r="E106" s="5"/>
      <c r="F106" s="5"/>
      <c r="G106" s="5"/>
    </row>
    <row r="107" spans="1:7" ht="13">
      <c r="A107" s="64"/>
      <c r="B107" s="129"/>
      <c r="C107" s="80"/>
      <c r="D107" s="5"/>
      <c r="E107" s="5"/>
      <c r="F107" s="5"/>
      <c r="G107" s="5"/>
    </row>
    <row r="108" spans="1:7" ht="13">
      <c r="A108" s="64"/>
      <c r="B108" s="129"/>
      <c r="C108" s="80"/>
      <c r="D108" s="5"/>
      <c r="E108" s="5"/>
      <c r="F108" s="5"/>
      <c r="G108" s="5"/>
    </row>
    <row r="109" spans="1:7" ht="13">
      <c r="A109" s="64"/>
      <c r="B109" s="130"/>
      <c r="C109" s="80"/>
      <c r="D109" s="5"/>
      <c r="E109" s="5"/>
      <c r="F109" s="5"/>
      <c r="G109" s="5"/>
    </row>
    <row r="110" spans="1:7" ht="13">
      <c r="A110" s="64"/>
      <c r="B110" s="129"/>
      <c r="C110" s="80"/>
      <c r="D110" s="5"/>
      <c r="E110" s="5"/>
      <c r="F110" s="5"/>
      <c r="G110" s="5"/>
    </row>
    <row r="111" spans="1:7" ht="13">
      <c r="A111" s="64"/>
      <c r="B111" s="129"/>
      <c r="C111" s="80"/>
      <c r="D111" s="5"/>
      <c r="E111" s="5"/>
      <c r="F111" s="5"/>
      <c r="G111" s="5"/>
    </row>
    <row r="112" spans="1:7" ht="13">
      <c r="A112" s="64"/>
      <c r="B112" s="129"/>
      <c r="C112" s="80"/>
      <c r="D112" s="5"/>
      <c r="E112" s="5"/>
      <c r="F112" s="5"/>
      <c r="G112" s="5"/>
    </row>
    <row r="113" spans="1:7" ht="13">
      <c r="A113" s="64"/>
      <c r="B113" s="129"/>
      <c r="C113" s="80"/>
      <c r="D113" s="5"/>
      <c r="E113" s="5"/>
      <c r="F113" s="5"/>
      <c r="G113" s="5"/>
    </row>
    <row r="114" spans="1:7" ht="13">
      <c r="A114" s="64"/>
      <c r="B114" s="130"/>
      <c r="C114" s="80"/>
      <c r="D114" s="5"/>
      <c r="E114" s="5"/>
      <c r="F114" s="5"/>
      <c r="G114" s="5"/>
    </row>
    <row r="115" spans="1:7" ht="13">
      <c r="A115" s="64"/>
      <c r="B115" s="130"/>
      <c r="C115" s="80"/>
      <c r="D115" s="5"/>
      <c r="E115" s="5"/>
      <c r="F115" s="5"/>
      <c r="G115" s="5"/>
    </row>
    <row r="116" spans="1:7" ht="13">
      <c r="A116" s="64"/>
      <c r="B116" s="130"/>
      <c r="C116" s="80"/>
      <c r="D116" s="5"/>
      <c r="E116" s="5"/>
      <c r="F116" s="5"/>
      <c r="G116" s="5"/>
    </row>
    <row r="117" spans="1:7" ht="13">
      <c r="A117" s="64"/>
      <c r="B117" s="129"/>
      <c r="C117" s="80"/>
      <c r="D117" s="5"/>
      <c r="E117" s="5"/>
      <c r="F117" s="5"/>
      <c r="G117" s="5"/>
    </row>
    <row r="118" spans="1:7" ht="13">
      <c r="A118" s="64"/>
      <c r="B118" s="129"/>
      <c r="C118" s="80"/>
      <c r="D118" s="5"/>
      <c r="E118" s="5"/>
      <c r="F118" s="5"/>
      <c r="G118" s="5"/>
    </row>
    <row r="119" spans="1:7" ht="13">
      <c r="A119" s="64"/>
      <c r="B119" s="129"/>
      <c r="C119" s="80"/>
      <c r="D119" s="5"/>
      <c r="E119" s="5"/>
      <c r="F119" s="5"/>
      <c r="G119" s="5"/>
    </row>
    <row r="120" spans="1:7" ht="13">
      <c r="A120" s="64"/>
      <c r="B120" s="129"/>
      <c r="C120" s="80"/>
      <c r="D120" s="5"/>
      <c r="E120" s="5"/>
      <c r="F120" s="5"/>
      <c r="G120" s="5"/>
    </row>
    <row r="121" spans="1:7" ht="13">
      <c r="A121" s="64"/>
      <c r="B121" s="129"/>
      <c r="C121" s="80"/>
      <c r="D121" s="5"/>
      <c r="E121" s="5"/>
      <c r="F121" s="5"/>
      <c r="G121" s="5"/>
    </row>
    <row r="122" spans="1:7" ht="13">
      <c r="A122" s="64"/>
      <c r="B122" s="129"/>
      <c r="C122" s="80"/>
      <c r="D122" s="5"/>
      <c r="E122" s="5"/>
      <c r="F122" s="5"/>
      <c r="G122" s="5"/>
    </row>
    <row r="123" spans="1:7" ht="13">
      <c r="A123" s="64"/>
      <c r="B123" s="129"/>
      <c r="C123" s="80"/>
      <c r="D123" s="5"/>
      <c r="E123" s="5"/>
      <c r="F123" s="5"/>
      <c r="G123" s="5"/>
    </row>
    <row r="124" spans="1:7" ht="13">
      <c r="A124" s="64"/>
      <c r="B124" s="129"/>
      <c r="C124" s="80"/>
      <c r="D124" s="5"/>
      <c r="E124" s="5"/>
      <c r="F124" s="5"/>
      <c r="G124" s="5"/>
    </row>
    <row r="125" spans="1:7" ht="13">
      <c r="A125" s="64"/>
      <c r="B125" s="129"/>
      <c r="C125" s="80"/>
      <c r="D125" s="5"/>
      <c r="E125" s="5"/>
      <c r="F125" s="5"/>
      <c r="G125" s="5"/>
    </row>
    <row r="126" spans="1:7" ht="13">
      <c r="A126" s="64"/>
      <c r="B126" s="129"/>
      <c r="C126" s="80"/>
      <c r="D126" s="5"/>
      <c r="E126" s="5"/>
      <c r="F126" s="5"/>
      <c r="G126" s="5"/>
    </row>
    <row r="127" spans="1:7" ht="13">
      <c r="A127" s="64"/>
      <c r="B127" s="129"/>
      <c r="C127" s="80"/>
      <c r="D127" s="5"/>
      <c r="E127" s="5"/>
      <c r="F127" s="5"/>
      <c r="G127" s="5"/>
    </row>
    <row r="128" spans="1:7" ht="13">
      <c r="A128" s="64"/>
      <c r="B128" s="129"/>
      <c r="C128" s="80"/>
      <c r="D128" s="5"/>
      <c r="E128" s="5"/>
      <c r="F128" s="5"/>
      <c r="G128" s="5"/>
    </row>
    <row r="129" spans="1:7" ht="13">
      <c r="A129" s="64"/>
      <c r="B129" s="129"/>
      <c r="C129" s="80"/>
      <c r="D129" s="5"/>
      <c r="E129" s="5"/>
      <c r="F129" s="5"/>
      <c r="G129" s="5"/>
    </row>
    <row r="130" spans="1:7" ht="13">
      <c r="A130" s="64"/>
      <c r="B130" s="129"/>
      <c r="C130" s="80"/>
      <c r="D130" s="5"/>
      <c r="E130" s="5"/>
      <c r="F130" s="5"/>
      <c r="G130" s="5"/>
    </row>
    <row r="131" spans="1:7" ht="13">
      <c r="A131" s="64"/>
      <c r="B131" s="129"/>
      <c r="C131" s="80"/>
      <c r="D131" s="5"/>
      <c r="E131" s="5"/>
      <c r="F131" s="5"/>
      <c r="G131" s="5"/>
    </row>
    <row r="132" spans="1:7" ht="13">
      <c r="A132" s="64"/>
      <c r="B132" s="129"/>
      <c r="C132" s="80"/>
      <c r="D132" s="5"/>
      <c r="E132" s="5"/>
      <c r="F132" s="5"/>
      <c r="G132" s="5"/>
    </row>
    <row r="133" spans="1:7" ht="13">
      <c r="A133" s="64"/>
      <c r="B133" s="129"/>
      <c r="C133" s="80"/>
      <c r="D133" s="5"/>
      <c r="E133" s="5"/>
      <c r="F133" s="5"/>
      <c r="G133" s="5"/>
    </row>
    <row r="134" spans="1:7" ht="13">
      <c r="A134" s="64"/>
      <c r="B134" s="129"/>
      <c r="C134" s="80"/>
      <c r="D134" s="5"/>
      <c r="E134" s="5"/>
      <c r="F134" s="5"/>
      <c r="G134" s="5"/>
    </row>
    <row r="135" spans="1:7" ht="13">
      <c r="A135" s="64"/>
      <c r="B135" s="129"/>
      <c r="C135" s="80"/>
      <c r="D135" s="5"/>
      <c r="E135" s="5"/>
      <c r="F135" s="5"/>
      <c r="G135" s="5"/>
    </row>
    <row r="136" spans="1:7" ht="13">
      <c r="A136" s="64"/>
      <c r="B136" s="129"/>
      <c r="C136" s="80"/>
      <c r="D136" s="5"/>
      <c r="E136" s="5"/>
      <c r="F136" s="5"/>
      <c r="G136" s="5"/>
    </row>
    <row r="137" spans="1:7" ht="13">
      <c r="A137" s="64"/>
      <c r="B137" s="129"/>
      <c r="C137" s="80"/>
      <c r="D137" s="5"/>
      <c r="E137" s="5"/>
      <c r="F137" s="5"/>
      <c r="G137" s="5"/>
    </row>
    <row r="138" spans="1:7" ht="13">
      <c r="A138" s="64"/>
      <c r="B138" s="129"/>
      <c r="C138" s="80"/>
      <c r="D138" s="5"/>
      <c r="E138" s="5"/>
      <c r="F138" s="5"/>
      <c r="G138" s="5"/>
    </row>
    <row r="139" spans="1:7" ht="13">
      <c r="A139" s="64"/>
      <c r="B139" s="129"/>
      <c r="C139" s="80"/>
      <c r="D139" s="5"/>
      <c r="E139" s="5"/>
      <c r="F139" s="5"/>
      <c r="G139" s="5"/>
    </row>
    <row r="140" spans="1:7" ht="13">
      <c r="A140" s="64"/>
      <c r="B140" s="129"/>
      <c r="C140" s="80"/>
      <c r="D140" s="5"/>
      <c r="E140" s="5"/>
      <c r="F140" s="5"/>
      <c r="G140" s="5"/>
    </row>
    <row r="141" spans="1:7" ht="13">
      <c r="A141" s="64"/>
      <c r="B141" s="129"/>
      <c r="C141" s="80"/>
      <c r="D141" s="5"/>
      <c r="E141" s="5"/>
      <c r="F141" s="5"/>
      <c r="G141" s="5"/>
    </row>
    <row r="142" spans="1:7" ht="13">
      <c r="A142" s="64"/>
      <c r="B142" s="129"/>
      <c r="C142" s="80"/>
      <c r="D142" s="5"/>
      <c r="E142" s="5"/>
      <c r="F142" s="5"/>
      <c r="G142" s="5"/>
    </row>
    <row r="143" spans="1:7" ht="13">
      <c r="A143" s="64"/>
      <c r="B143" s="129"/>
      <c r="C143" s="80"/>
      <c r="D143" s="5"/>
      <c r="E143" s="5"/>
      <c r="F143" s="5"/>
      <c r="G143" s="5"/>
    </row>
    <row r="144" spans="1:7" ht="13">
      <c r="A144" s="64"/>
      <c r="B144" s="129"/>
      <c r="C144" s="80"/>
      <c r="D144" s="5"/>
      <c r="E144" s="5"/>
      <c r="F144" s="5"/>
      <c r="G144" s="5"/>
    </row>
    <row r="145" spans="1:7" ht="13">
      <c r="A145" s="64"/>
      <c r="B145" s="129"/>
      <c r="C145" s="80"/>
      <c r="D145" s="5"/>
      <c r="E145" s="5"/>
      <c r="F145" s="5"/>
      <c r="G145" s="5"/>
    </row>
    <row r="146" spans="1:7" ht="13">
      <c r="A146" s="64"/>
      <c r="B146" s="129"/>
      <c r="C146" s="80"/>
      <c r="D146" s="5"/>
      <c r="E146" s="5"/>
      <c r="F146" s="5"/>
      <c r="G146" s="5"/>
    </row>
    <row r="147" spans="1:7" ht="13">
      <c r="A147" s="64"/>
      <c r="B147" s="129"/>
      <c r="C147" s="80"/>
      <c r="D147" s="5"/>
      <c r="E147" s="5"/>
      <c r="F147" s="5"/>
      <c r="G147" s="5"/>
    </row>
    <row r="148" spans="1:7" ht="13">
      <c r="A148" s="64"/>
      <c r="B148" s="129"/>
      <c r="C148" s="80"/>
      <c r="D148" s="5"/>
      <c r="E148" s="5"/>
      <c r="F148" s="5"/>
      <c r="G148" s="5"/>
    </row>
    <row r="149" spans="1:7" ht="13">
      <c r="A149" s="64"/>
      <c r="B149" s="129"/>
      <c r="C149" s="80"/>
      <c r="D149" s="5"/>
      <c r="E149" s="5"/>
      <c r="F149" s="5"/>
      <c r="G149" s="5"/>
    </row>
    <row r="150" spans="1:7" ht="13">
      <c r="A150" s="64"/>
      <c r="B150" s="129"/>
      <c r="C150" s="80"/>
      <c r="D150" s="5"/>
      <c r="E150" s="5"/>
      <c r="F150" s="5"/>
      <c r="G150" s="5"/>
    </row>
    <row r="151" spans="1:7" ht="13">
      <c r="A151" s="64"/>
      <c r="B151" s="129"/>
      <c r="C151" s="80"/>
      <c r="D151" s="5"/>
      <c r="E151" s="5"/>
      <c r="F151" s="5"/>
      <c r="G151" s="5"/>
    </row>
    <row r="152" spans="1:7" ht="13">
      <c r="A152" s="64"/>
      <c r="B152" s="129"/>
      <c r="C152" s="80"/>
      <c r="D152" s="5"/>
      <c r="E152" s="5"/>
      <c r="F152" s="5"/>
      <c r="G152" s="5"/>
    </row>
    <row r="153" spans="1:7" ht="13">
      <c r="A153" s="64"/>
      <c r="B153" s="129"/>
      <c r="C153" s="80"/>
      <c r="D153" s="5"/>
      <c r="E153" s="5"/>
      <c r="F153" s="5"/>
      <c r="G153" s="5"/>
    </row>
    <row r="154" spans="1:7" ht="13">
      <c r="A154" s="64"/>
      <c r="B154" s="129"/>
      <c r="C154" s="80"/>
      <c r="D154" s="5"/>
      <c r="E154" s="5"/>
      <c r="F154" s="5"/>
      <c r="G154" s="5"/>
    </row>
    <row r="155" spans="1:7" ht="13">
      <c r="A155" s="64"/>
      <c r="B155" s="129"/>
      <c r="C155" s="80"/>
      <c r="D155" s="5"/>
      <c r="E155" s="5"/>
      <c r="F155" s="5"/>
      <c r="G155" s="5"/>
    </row>
    <row r="156" spans="1:7" ht="13">
      <c r="A156" s="64"/>
      <c r="B156" s="129"/>
      <c r="C156" s="80"/>
      <c r="D156" s="5"/>
      <c r="E156" s="5"/>
      <c r="F156" s="5"/>
      <c r="G156" s="5"/>
    </row>
    <row r="157" spans="1:7" ht="13">
      <c r="A157" s="64"/>
      <c r="B157" s="129"/>
      <c r="C157" s="80"/>
      <c r="D157" s="5"/>
      <c r="E157" s="5"/>
      <c r="F157" s="5"/>
      <c r="G157" s="5"/>
    </row>
    <row r="158" spans="1:7" ht="13">
      <c r="A158" s="64"/>
      <c r="B158" s="129"/>
      <c r="C158" s="80"/>
      <c r="D158" s="5"/>
      <c r="E158" s="5"/>
      <c r="F158" s="5"/>
      <c r="G158" s="5"/>
    </row>
    <row r="159" spans="1:7" ht="13">
      <c r="A159" s="64"/>
      <c r="B159" s="130"/>
      <c r="C159" s="80"/>
      <c r="D159" s="5"/>
      <c r="E159" s="5"/>
      <c r="F159" s="5"/>
      <c r="G159" s="5"/>
    </row>
    <row r="160" spans="1:7" ht="13">
      <c r="A160" s="64"/>
      <c r="B160" s="130"/>
      <c r="C160" s="80"/>
      <c r="D160" s="5"/>
      <c r="E160" s="5"/>
      <c r="F160" s="5"/>
      <c r="G160" s="5"/>
    </row>
    <row r="161" spans="1:7" ht="13">
      <c r="A161" s="64"/>
      <c r="B161" s="130"/>
      <c r="C161" s="80"/>
      <c r="D161" s="5"/>
      <c r="E161" s="5"/>
      <c r="F161" s="5"/>
      <c r="G161" s="5"/>
    </row>
    <row r="162" spans="1:7" ht="13">
      <c r="A162" s="64"/>
      <c r="B162" s="130"/>
      <c r="C162" s="80"/>
      <c r="D162" s="5"/>
      <c r="E162" s="5"/>
      <c r="F162" s="5"/>
      <c r="G162" s="5"/>
    </row>
    <row r="163" spans="1:7" ht="13">
      <c r="A163" s="64"/>
      <c r="B163" s="130"/>
      <c r="C163" s="80"/>
      <c r="D163" s="5"/>
      <c r="E163" s="5"/>
      <c r="F163" s="5"/>
      <c r="G163" s="5"/>
    </row>
    <row r="164" spans="1:7" ht="13">
      <c r="A164" s="64"/>
      <c r="B164" s="130"/>
      <c r="C164" s="80"/>
      <c r="D164" s="5"/>
      <c r="E164" s="5"/>
      <c r="F164" s="5"/>
      <c r="G164" s="5"/>
    </row>
    <row r="165" spans="1:7" ht="13">
      <c r="A165" s="64"/>
      <c r="B165" s="130"/>
      <c r="C165" s="80"/>
      <c r="D165" s="5"/>
      <c r="E165" s="5"/>
      <c r="F165" s="5"/>
      <c r="G165" s="5"/>
    </row>
    <row r="166" spans="1:7" ht="13">
      <c r="A166" s="64"/>
      <c r="B166" s="130"/>
      <c r="C166" s="80"/>
      <c r="D166" s="5"/>
      <c r="E166" s="5"/>
      <c r="F166" s="5"/>
      <c r="G166" s="5"/>
    </row>
    <row r="167" spans="1:7" ht="13">
      <c r="A167" s="64"/>
      <c r="B167" s="130"/>
      <c r="C167" s="80"/>
      <c r="D167" s="5"/>
      <c r="E167" s="5"/>
      <c r="F167" s="5"/>
      <c r="G167" s="5"/>
    </row>
    <row r="168" spans="1:7" ht="13">
      <c r="A168" s="64"/>
      <c r="B168" s="129"/>
      <c r="C168" s="80"/>
      <c r="D168" s="5"/>
      <c r="E168" s="5"/>
      <c r="F168" s="5"/>
      <c r="G168" s="5"/>
    </row>
    <row r="169" spans="1:7" ht="13">
      <c r="A169" s="64"/>
      <c r="B169" s="129"/>
      <c r="C169" s="80"/>
      <c r="D169" s="5"/>
      <c r="E169" s="5"/>
      <c r="F169" s="5"/>
      <c r="G169" s="5"/>
    </row>
    <row r="170" spans="1:7" ht="13">
      <c r="A170" s="64"/>
      <c r="B170" s="129"/>
      <c r="C170" s="80"/>
      <c r="D170" s="5"/>
      <c r="E170" s="5"/>
      <c r="F170" s="5"/>
      <c r="G170" s="5"/>
    </row>
    <row r="171" spans="1:7" ht="13">
      <c r="A171" s="64"/>
      <c r="B171" s="129"/>
      <c r="C171" s="80"/>
      <c r="D171" s="5"/>
      <c r="E171" s="5"/>
      <c r="F171" s="5"/>
      <c r="G171" s="5"/>
    </row>
    <row r="172" spans="1:7" ht="13">
      <c r="A172" s="64"/>
      <c r="B172" s="129"/>
      <c r="C172" s="80"/>
      <c r="D172" s="5"/>
      <c r="E172" s="5"/>
      <c r="F172" s="5"/>
      <c r="G172" s="5"/>
    </row>
    <row r="173" spans="1:7" ht="13">
      <c r="A173" s="64"/>
      <c r="B173" s="129"/>
      <c r="C173" s="80"/>
      <c r="D173" s="5"/>
      <c r="E173" s="5"/>
      <c r="F173" s="5"/>
      <c r="G173" s="5"/>
    </row>
    <row r="174" spans="1:7" ht="13">
      <c r="A174" s="64"/>
      <c r="B174" s="129"/>
      <c r="C174" s="80"/>
      <c r="D174" s="5"/>
      <c r="E174" s="5"/>
      <c r="F174" s="5"/>
      <c r="G174" s="5"/>
    </row>
    <row r="175" spans="1:7" ht="13">
      <c r="A175" s="64"/>
      <c r="B175" s="129"/>
      <c r="C175" s="80"/>
      <c r="D175" s="5"/>
      <c r="E175" s="5"/>
      <c r="F175" s="5"/>
      <c r="G175" s="5"/>
    </row>
    <row r="176" spans="1:7" ht="13">
      <c r="A176" s="48"/>
      <c r="B176" s="50"/>
      <c r="C176" s="80"/>
      <c r="D176" s="5"/>
      <c r="E176" s="5"/>
      <c r="F176" s="5"/>
      <c r="G176" s="5"/>
    </row>
    <row r="177" spans="1:7" ht="13">
      <c r="A177" s="48"/>
      <c r="B177" s="53"/>
      <c r="C177" s="80"/>
      <c r="D177" s="5"/>
      <c r="E177" s="5"/>
      <c r="F177" s="5"/>
      <c r="G177" s="5"/>
    </row>
    <row r="178" spans="1:7" ht="13">
      <c r="A178" s="48"/>
      <c r="B178" s="53"/>
      <c r="C178" s="80"/>
      <c r="D178" s="5"/>
      <c r="E178" s="5"/>
      <c r="F178" s="5"/>
      <c r="G178" s="5"/>
    </row>
    <row r="179" spans="1:7" ht="13">
      <c r="A179" s="48"/>
      <c r="B179" s="53"/>
      <c r="C179" s="80"/>
      <c r="D179" s="5"/>
      <c r="E179" s="5"/>
      <c r="F179" s="5"/>
      <c r="G179" s="5"/>
    </row>
    <row r="180" spans="1:7" ht="13">
      <c r="A180" s="48"/>
      <c r="B180" s="53"/>
      <c r="C180" s="80"/>
      <c r="D180" s="5"/>
      <c r="E180" s="5"/>
      <c r="F180" s="5"/>
      <c r="G180" s="5"/>
    </row>
    <row r="181" spans="1:7" ht="13">
      <c r="A181" s="48"/>
      <c r="B181" s="53"/>
      <c r="C181" s="80"/>
      <c r="D181" s="5"/>
      <c r="E181" s="5"/>
      <c r="F181" s="5"/>
      <c r="G181" s="5"/>
    </row>
    <row r="182" spans="1:7" ht="13">
      <c r="A182" s="48"/>
      <c r="B182" s="53"/>
      <c r="C182" s="80"/>
      <c r="D182" s="5"/>
      <c r="E182" s="5"/>
      <c r="F182" s="5"/>
      <c r="G182" s="5"/>
    </row>
    <row r="183" spans="1:7" ht="13">
      <c r="A183" s="48"/>
      <c r="B183" s="53"/>
      <c r="C183" s="80"/>
      <c r="D183" s="5"/>
      <c r="E183" s="5"/>
      <c r="F183" s="5"/>
      <c r="G183" s="5"/>
    </row>
    <row r="184" spans="1:7" ht="13">
      <c r="A184" s="48"/>
      <c r="B184" s="53"/>
      <c r="C184" s="80"/>
      <c r="D184" s="5"/>
      <c r="E184" s="5"/>
      <c r="F184" s="5"/>
      <c r="G184" s="5"/>
    </row>
    <row r="185" spans="1:7" ht="13">
      <c r="A185" s="48"/>
      <c r="B185" s="53"/>
      <c r="C185" s="80"/>
      <c r="D185" s="5"/>
      <c r="E185" s="5"/>
      <c r="F185" s="5"/>
      <c r="G185" s="5"/>
    </row>
    <row r="186" spans="1:7" ht="13">
      <c r="A186" s="48"/>
      <c r="B186" s="50"/>
      <c r="C186" s="80"/>
      <c r="D186" s="5"/>
      <c r="E186" s="5"/>
      <c r="F186" s="5"/>
      <c r="G186" s="5"/>
    </row>
    <row r="187" spans="1:7" ht="13">
      <c r="A187" s="48"/>
      <c r="B187" s="50"/>
      <c r="C187" s="80"/>
      <c r="D187" s="5"/>
      <c r="E187" s="5"/>
      <c r="F187" s="5"/>
      <c r="G187" s="5"/>
    </row>
    <row r="188" spans="1:7" ht="13">
      <c r="A188" s="48"/>
      <c r="B188" s="50"/>
      <c r="C188" s="80"/>
      <c r="D188" s="5"/>
      <c r="E188" s="5"/>
      <c r="F188" s="5"/>
      <c r="G188" s="5"/>
    </row>
    <row r="189" spans="1:7" ht="13">
      <c r="A189" s="48"/>
      <c r="B189" s="50"/>
      <c r="C189" s="80"/>
      <c r="D189" s="5"/>
      <c r="E189" s="5"/>
      <c r="F189" s="5"/>
      <c r="G189" s="5"/>
    </row>
    <row r="190" spans="1:7" ht="13">
      <c r="A190" s="48"/>
      <c r="B190" s="50"/>
      <c r="C190" s="80"/>
      <c r="D190" s="5"/>
      <c r="E190" s="5"/>
      <c r="F190" s="5"/>
      <c r="G190" s="5"/>
    </row>
    <row r="191" spans="1:7" ht="13">
      <c r="A191" s="48"/>
      <c r="B191" s="50"/>
      <c r="C191" s="80"/>
      <c r="D191" s="5"/>
      <c r="E191" s="5"/>
      <c r="F191" s="5"/>
      <c r="G191" s="5"/>
    </row>
    <row r="192" spans="1:7" ht="13">
      <c r="C192" s="80"/>
      <c r="D192" s="5"/>
      <c r="E192" s="5"/>
      <c r="F192" s="5"/>
      <c r="G192" s="5"/>
    </row>
    <row r="193" spans="3:7" ht="13">
      <c r="C193" s="80"/>
      <c r="D193" s="5"/>
      <c r="E193" s="5"/>
      <c r="F193" s="5"/>
      <c r="G193" s="5"/>
    </row>
    <row r="194" spans="3:7" ht="13">
      <c r="C194" s="80"/>
      <c r="D194" s="5"/>
      <c r="E194" s="5"/>
      <c r="F194" s="5"/>
      <c r="G194" s="5"/>
    </row>
    <row r="195" spans="3:7" ht="13">
      <c r="C195" s="80"/>
      <c r="D195" s="5"/>
      <c r="E195" s="5"/>
      <c r="F195" s="5"/>
      <c r="G195" s="5"/>
    </row>
    <row r="196" spans="3:7" ht="13">
      <c r="C196" s="80"/>
      <c r="D196" s="5"/>
      <c r="E196" s="5"/>
      <c r="F196" s="5"/>
      <c r="G196" s="5"/>
    </row>
    <row r="197" spans="3:7" ht="13">
      <c r="C197" s="80"/>
      <c r="D197" s="5"/>
      <c r="E197" s="5"/>
      <c r="F197" s="5"/>
      <c r="G197" s="5"/>
    </row>
    <row r="198" spans="3:7" ht="13">
      <c r="C198" s="80"/>
      <c r="D198" s="5"/>
      <c r="E198" s="5"/>
      <c r="F198" s="5"/>
      <c r="G198" s="5"/>
    </row>
    <row r="199" spans="3:7" ht="13">
      <c r="C199" s="80"/>
      <c r="D199" s="5"/>
      <c r="E199" s="5"/>
      <c r="F199" s="5"/>
      <c r="G199" s="5"/>
    </row>
    <row r="200" spans="3:7" ht="13">
      <c r="C200" s="80"/>
      <c r="D200" s="5"/>
      <c r="E200" s="5"/>
      <c r="F200" s="5"/>
      <c r="G200" s="5"/>
    </row>
    <row r="201" spans="3:7" ht="13">
      <c r="C201" s="80"/>
      <c r="D201" s="5"/>
      <c r="E201" s="5"/>
      <c r="F201" s="5"/>
      <c r="G201" s="5"/>
    </row>
    <row r="202" spans="3:7" ht="13">
      <c r="C202" s="80"/>
      <c r="D202" s="5"/>
      <c r="E202" s="5"/>
      <c r="F202" s="5"/>
      <c r="G202" s="5"/>
    </row>
    <row r="203" spans="3:7" ht="13">
      <c r="C203" s="80"/>
      <c r="D203" s="5"/>
      <c r="E203" s="5"/>
      <c r="F203" s="5"/>
      <c r="G203" s="5"/>
    </row>
    <row r="204" spans="3:7" ht="13">
      <c r="C204" s="80"/>
      <c r="D204" s="5"/>
      <c r="E204" s="5"/>
      <c r="F204" s="5"/>
      <c r="G204" s="5"/>
    </row>
    <row r="205" spans="3:7" ht="13">
      <c r="C205" s="80"/>
      <c r="D205" s="5"/>
      <c r="E205" s="5"/>
      <c r="F205" s="5"/>
      <c r="G205" s="5"/>
    </row>
    <row r="206" spans="3:7" ht="13">
      <c r="C206" s="80"/>
      <c r="D206" s="5"/>
      <c r="E206" s="5"/>
      <c r="F206" s="5"/>
      <c r="G206" s="5"/>
    </row>
    <row r="207" spans="3:7" ht="13">
      <c r="C207" s="80"/>
      <c r="D207" s="5"/>
      <c r="E207" s="5"/>
      <c r="F207" s="5"/>
      <c r="G207" s="5"/>
    </row>
    <row r="208" spans="3:7" ht="13">
      <c r="C208" s="80"/>
      <c r="D208" s="5"/>
      <c r="E208" s="5"/>
      <c r="F208" s="5"/>
      <c r="G208" s="5"/>
    </row>
    <row r="209" spans="3:7" ht="13">
      <c r="C209" s="80"/>
      <c r="D209" s="5"/>
      <c r="E209" s="5"/>
      <c r="F209" s="5"/>
      <c r="G209" s="5"/>
    </row>
    <row r="210" spans="3:7" ht="13">
      <c r="C210" s="80"/>
      <c r="D210" s="5"/>
      <c r="E210" s="5"/>
      <c r="F210" s="5"/>
      <c r="G210" s="5"/>
    </row>
    <row r="211" spans="3:7" ht="13">
      <c r="C211" s="80"/>
      <c r="D211" s="5"/>
      <c r="E211" s="5"/>
      <c r="F211" s="5"/>
      <c r="G211" s="5"/>
    </row>
    <row r="212" spans="3:7" ht="13">
      <c r="C212" s="80"/>
      <c r="D212" s="5"/>
      <c r="E212" s="5"/>
      <c r="F212" s="5"/>
      <c r="G212" s="5"/>
    </row>
    <row r="213" spans="3:7" ht="13">
      <c r="C213" s="80"/>
      <c r="D213" s="5"/>
      <c r="E213" s="5"/>
      <c r="F213" s="5"/>
      <c r="G213" s="5"/>
    </row>
    <row r="214" spans="3:7" ht="13">
      <c r="C214" s="80"/>
      <c r="D214" s="5"/>
      <c r="E214" s="5"/>
      <c r="F214" s="5"/>
      <c r="G214" s="5"/>
    </row>
    <row r="215" spans="3:7" ht="13">
      <c r="C215" s="80"/>
      <c r="D215" s="5"/>
      <c r="E215" s="5"/>
      <c r="F215" s="5"/>
      <c r="G215" s="5"/>
    </row>
    <row r="216" spans="3:7" ht="13">
      <c r="C216" s="80"/>
      <c r="D216" s="5"/>
      <c r="E216" s="5"/>
      <c r="F216" s="5"/>
      <c r="G216" s="5"/>
    </row>
    <row r="217" spans="3:7" ht="13">
      <c r="C217" s="80"/>
      <c r="D217" s="5"/>
      <c r="E217" s="5"/>
      <c r="F217" s="5"/>
      <c r="G217" s="5"/>
    </row>
    <row r="218" spans="3:7" ht="13">
      <c r="C218" s="80"/>
      <c r="D218" s="5"/>
      <c r="E218" s="5"/>
      <c r="F218" s="5"/>
      <c r="G218" s="5"/>
    </row>
    <row r="219" spans="3:7" ht="13">
      <c r="C219" s="80"/>
      <c r="D219" s="5"/>
      <c r="E219" s="5"/>
      <c r="F219" s="5"/>
      <c r="G219" s="5"/>
    </row>
    <row r="220" spans="3:7" ht="13">
      <c r="C220" s="80"/>
      <c r="D220" s="5"/>
      <c r="E220" s="5"/>
      <c r="F220" s="5"/>
      <c r="G220" s="5"/>
    </row>
    <row r="221" spans="3:7" ht="13">
      <c r="C221" s="80"/>
      <c r="D221" s="5"/>
      <c r="E221" s="5"/>
      <c r="F221" s="5"/>
      <c r="G221" s="5"/>
    </row>
    <row r="222" spans="3:7" ht="13">
      <c r="C222" s="80"/>
      <c r="D222" s="5"/>
      <c r="E222" s="5"/>
      <c r="F222" s="5"/>
      <c r="G222" s="5"/>
    </row>
    <row r="223" spans="3:7" ht="13">
      <c r="C223" s="80"/>
      <c r="D223" s="5"/>
      <c r="E223" s="5"/>
      <c r="F223" s="5"/>
      <c r="G223" s="5"/>
    </row>
    <row r="224" spans="3:7" ht="13">
      <c r="C224" s="80"/>
      <c r="D224" s="5"/>
      <c r="E224" s="5"/>
      <c r="F224" s="5"/>
      <c r="G224" s="5"/>
    </row>
    <row r="225" spans="3:7" ht="13">
      <c r="C225" s="80"/>
      <c r="D225" s="5"/>
      <c r="E225" s="5"/>
      <c r="F225" s="5"/>
      <c r="G225" s="5"/>
    </row>
    <row r="226" spans="3:7" ht="13">
      <c r="C226" s="80"/>
      <c r="D226" s="5"/>
      <c r="E226" s="5"/>
      <c r="F226" s="5"/>
      <c r="G226" s="5"/>
    </row>
    <row r="227" spans="3:7" ht="13">
      <c r="C227" s="80"/>
      <c r="D227" s="5"/>
      <c r="E227" s="5"/>
      <c r="F227" s="5"/>
      <c r="G227" s="5"/>
    </row>
    <row r="228" spans="3:7" ht="13">
      <c r="C228" s="80"/>
      <c r="D228" s="5"/>
      <c r="E228" s="5"/>
      <c r="F228" s="5"/>
      <c r="G228" s="5"/>
    </row>
    <row r="229" spans="3:7" ht="13">
      <c r="C229" s="80"/>
      <c r="D229" s="5"/>
      <c r="E229" s="5"/>
      <c r="F229" s="5"/>
      <c r="G229" s="5"/>
    </row>
    <row r="230" spans="3:7" ht="13">
      <c r="C230" s="80"/>
      <c r="D230" s="5"/>
      <c r="E230" s="5"/>
      <c r="F230" s="5"/>
      <c r="G230" s="5"/>
    </row>
    <row r="231" spans="3:7" ht="13">
      <c r="C231" s="80"/>
      <c r="D231" s="5"/>
      <c r="E231" s="5"/>
      <c r="F231" s="5"/>
      <c r="G231" s="5"/>
    </row>
    <row r="232" spans="3:7" ht="13">
      <c r="C232" s="80"/>
      <c r="D232" s="5"/>
      <c r="E232" s="5"/>
      <c r="F232" s="5"/>
      <c r="G232" s="5"/>
    </row>
    <row r="233" spans="3:7" ht="13">
      <c r="C233" s="80"/>
      <c r="D233" s="5"/>
      <c r="E233" s="5"/>
      <c r="F233" s="5"/>
      <c r="G233" s="5"/>
    </row>
    <row r="234" spans="3:7" ht="13">
      <c r="C234" s="80"/>
      <c r="D234" s="5"/>
      <c r="E234" s="5"/>
      <c r="F234" s="5"/>
      <c r="G234" s="5"/>
    </row>
    <row r="235" spans="3:7" ht="13">
      <c r="C235" s="80"/>
      <c r="D235" s="5"/>
      <c r="E235" s="5"/>
      <c r="F235" s="5"/>
      <c r="G235" s="5"/>
    </row>
    <row r="236" spans="3:7" ht="13">
      <c r="C236" s="80"/>
      <c r="D236" s="5"/>
      <c r="E236" s="5"/>
      <c r="F236" s="5"/>
      <c r="G236" s="5"/>
    </row>
    <row r="237" spans="3:7" ht="13">
      <c r="C237" s="80"/>
      <c r="D237" s="5"/>
      <c r="E237" s="5"/>
      <c r="F237" s="5"/>
      <c r="G237" s="5"/>
    </row>
    <row r="238" spans="3:7" ht="13">
      <c r="C238" s="80"/>
      <c r="D238" s="5"/>
      <c r="E238" s="5"/>
      <c r="F238" s="5"/>
      <c r="G238" s="5"/>
    </row>
    <row r="239" spans="3:7" ht="13">
      <c r="C239" s="80"/>
      <c r="D239" s="5"/>
      <c r="E239" s="5"/>
      <c r="F239" s="5"/>
      <c r="G239" s="5"/>
    </row>
    <row r="240" spans="3:7" ht="13">
      <c r="C240" s="80"/>
      <c r="D240" s="5"/>
      <c r="E240" s="5"/>
      <c r="F240" s="5"/>
      <c r="G240" s="5"/>
    </row>
    <row r="241" spans="3:7" ht="13">
      <c r="C241" s="80"/>
      <c r="D241" s="5"/>
      <c r="E241" s="5"/>
      <c r="F241" s="5"/>
      <c r="G241" s="5"/>
    </row>
    <row r="242" spans="3:7" ht="13">
      <c r="C242" s="80"/>
      <c r="D242" s="5"/>
      <c r="E242" s="5"/>
      <c r="F242" s="5"/>
      <c r="G242" s="5"/>
    </row>
    <row r="243" spans="3:7" ht="13">
      <c r="C243" s="80"/>
      <c r="D243" s="5"/>
      <c r="E243" s="5"/>
      <c r="F243" s="5"/>
      <c r="G243" s="5"/>
    </row>
    <row r="244" spans="3:7" ht="13">
      <c r="C244" s="80"/>
      <c r="D244" s="5"/>
      <c r="E244" s="5"/>
      <c r="F244" s="5"/>
      <c r="G244" s="5"/>
    </row>
    <row r="245" spans="3:7" ht="13">
      <c r="C245" s="80"/>
      <c r="D245" s="5"/>
      <c r="E245" s="5"/>
      <c r="F245" s="5"/>
      <c r="G245" s="5"/>
    </row>
    <row r="246" spans="3:7" ht="13">
      <c r="C246" s="80"/>
      <c r="D246" s="5"/>
      <c r="E246" s="5"/>
      <c r="F246" s="5"/>
      <c r="G246" s="5"/>
    </row>
    <row r="247" spans="3:7" ht="13">
      <c r="C247" s="80"/>
      <c r="D247" s="5"/>
      <c r="E247" s="5"/>
      <c r="F247" s="5"/>
      <c r="G247" s="5"/>
    </row>
    <row r="248" spans="3:7" ht="13">
      <c r="C248" s="80"/>
      <c r="D248" s="5"/>
      <c r="E248" s="5"/>
      <c r="F248" s="5"/>
      <c r="G248" s="5"/>
    </row>
    <row r="249" spans="3:7" ht="13">
      <c r="C249" s="80"/>
      <c r="D249" s="5"/>
      <c r="E249" s="5"/>
      <c r="F249" s="5"/>
      <c r="G249" s="5"/>
    </row>
    <row r="250" spans="3:7" ht="13">
      <c r="C250" s="80"/>
      <c r="D250" s="5"/>
      <c r="E250" s="5"/>
      <c r="F250" s="5"/>
      <c r="G250" s="5"/>
    </row>
    <row r="251" spans="3:7" ht="13">
      <c r="C251" s="80"/>
      <c r="D251" s="5"/>
      <c r="E251" s="5"/>
      <c r="F251" s="5"/>
      <c r="G251" s="5"/>
    </row>
    <row r="252" spans="3:7" ht="13">
      <c r="C252" s="80"/>
      <c r="D252" s="5"/>
      <c r="E252" s="5"/>
      <c r="F252" s="5"/>
      <c r="G252" s="5"/>
    </row>
    <row r="253" spans="3:7" ht="13">
      <c r="C253" s="80"/>
      <c r="D253" s="5"/>
      <c r="E253" s="5"/>
      <c r="F253" s="5"/>
      <c r="G253" s="5"/>
    </row>
    <row r="254" spans="3:7" ht="13">
      <c r="C254" s="80"/>
      <c r="D254" s="5"/>
      <c r="E254" s="5"/>
      <c r="F254" s="5"/>
      <c r="G254" s="5"/>
    </row>
    <row r="255" spans="3:7" ht="13">
      <c r="C255" s="80"/>
      <c r="D255" s="5"/>
      <c r="E255" s="5"/>
      <c r="F255" s="5"/>
      <c r="G255" s="5"/>
    </row>
    <row r="256" spans="3:7" ht="13">
      <c r="C256" s="80"/>
      <c r="D256" s="5"/>
      <c r="E256" s="5"/>
      <c r="F256" s="5"/>
      <c r="G256" s="5"/>
    </row>
    <row r="257" spans="3:7" ht="13">
      <c r="C257" s="80"/>
      <c r="D257" s="5"/>
      <c r="E257" s="5"/>
      <c r="F257" s="5"/>
      <c r="G257" s="5"/>
    </row>
    <row r="258" spans="3:7" ht="13">
      <c r="C258" s="80"/>
      <c r="D258" s="5"/>
      <c r="E258" s="5"/>
      <c r="F258" s="5"/>
      <c r="G258" s="5"/>
    </row>
    <row r="259" spans="3:7" ht="13">
      <c r="C259" s="80"/>
      <c r="D259" s="5"/>
      <c r="E259" s="5"/>
      <c r="F259" s="5"/>
      <c r="G259" s="5"/>
    </row>
    <row r="260" spans="3:7" ht="13">
      <c r="C260" s="80"/>
      <c r="D260" s="5"/>
      <c r="E260" s="5"/>
      <c r="F260" s="5"/>
      <c r="G260" s="5"/>
    </row>
    <row r="261" spans="3:7" ht="13">
      <c r="C261" s="80"/>
      <c r="D261" s="5"/>
      <c r="E261" s="5"/>
      <c r="F261" s="5"/>
      <c r="G261" s="5"/>
    </row>
    <row r="262" spans="3:7" ht="13">
      <c r="C262" s="80"/>
      <c r="D262" s="5"/>
      <c r="E262" s="5"/>
      <c r="F262" s="5"/>
      <c r="G262" s="5"/>
    </row>
    <row r="263" spans="3:7" ht="13">
      <c r="C263" s="80"/>
      <c r="D263" s="5"/>
      <c r="E263" s="5"/>
      <c r="F263" s="5"/>
      <c r="G263" s="5"/>
    </row>
    <row r="264" spans="3:7" ht="13">
      <c r="C264" s="80"/>
      <c r="D264" s="5"/>
      <c r="E264" s="5"/>
      <c r="F264" s="5"/>
      <c r="G264" s="5"/>
    </row>
    <row r="265" spans="3:7" ht="13">
      <c r="C265" s="80"/>
      <c r="D265" s="5"/>
      <c r="E265" s="5"/>
      <c r="F265" s="5"/>
      <c r="G265" s="5"/>
    </row>
    <row r="266" spans="3:7" ht="13">
      <c r="C266" s="80"/>
      <c r="D266" s="5"/>
      <c r="E266" s="5"/>
      <c r="F266" s="5"/>
      <c r="G266" s="5"/>
    </row>
    <row r="267" spans="3:7" ht="13">
      <c r="C267" s="80"/>
      <c r="D267" s="5"/>
      <c r="E267" s="5"/>
      <c r="F267" s="5"/>
      <c r="G267" s="5"/>
    </row>
    <row r="268" spans="3:7" ht="13">
      <c r="C268" s="80"/>
      <c r="D268" s="5"/>
      <c r="E268" s="5"/>
      <c r="F268" s="5"/>
      <c r="G268" s="5"/>
    </row>
    <row r="269" spans="3:7" ht="13">
      <c r="C269" s="80"/>
      <c r="D269" s="5"/>
      <c r="E269" s="5"/>
      <c r="F269" s="5"/>
      <c r="G269" s="5"/>
    </row>
    <row r="270" spans="3:7" ht="13">
      <c r="C270" s="80"/>
      <c r="D270" s="5"/>
      <c r="E270" s="5"/>
      <c r="F270" s="5"/>
      <c r="G270" s="5"/>
    </row>
    <row r="271" spans="3:7" ht="13">
      <c r="C271" s="80"/>
      <c r="D271" s="5"/>
      <c r="E271" s="5"/>
      <c r="F271" s="5"/>
      <c r="G271" s="5"/>
    </row>
    <row r="272" spans="3:7" ht="13">
      <c r="C272" s="80"/>
      <c r="D272" s="5"/>
      <c r="E272" s="5"/>
      <c r="F272" s="5"/>
      <c r="G272" s="5"/>
    </row>
    <row r="273" spans="3:7" ht="13">
      <c r="C273" s="80"/>
      <c r="D273" s="5"/>
      <c r="E273" s="5"/>
      <c r="F273" s="5"/>
      <c r="G273" s="5"/>
    </row>
    <row r="274" spans="3:7" ht="13">
      <c r="C274" s="80"/>
      <c r="D274" s="5"/>
      <c r="E274" s="5"/>
      <c r="F274" s="5"/>
      <c r="G274" s="5"/>
    </row>
    <row r="275" spans="3:7" ht="13">
      <c r="C275" s="80"/>
      <c r="D275" s="5"/>
      <c r="E275" s="5"/>
      <c r="F275" s="5"/>
      <c r="G275" s="5"/>
    </row>
    <row r="276" spans="3:7" ht="13">
      <c r="C276" s="80"/>
      <c r="D276" s="5"/>
      <c r="E276" s="5"/>
      <c r="F276" s="5"/>
      <c r="G276" s="5"/>
    </row>
    <row r="277" spans="3:7" ht="13">
      <c r="C277" s="80"/>
      <c r="D277" s="5"/>
      <c r="E277" s="5"/>
      <c r="F277" s="5"/>
      <c r="G277" s="5"/>
    </row>
    <row r="278" spans="3:7" ht="13">
      <c r="C278" s="80"/>
      <c r="D278" s="5"/>
      <c r="E278" s="5"/>
      <c r="F278" s="5"/>
      <c r="G278" s="5"/>
    </row>
    <row r="279" spans="3:7" ht="13">
      <c r="C279" s="80"/>
      <c r="D279" s="5"/>
      <c r="E279" s="5"/>
      <c r="F279" s="5"/>
      <c r="G279" s="5"/>
    </row>
    <row r="280" spans="3:7" ht="13">
      <c r="C280" s="80"/>
      <c r="D280" s="5"/>
      <c r="E280" s="5"/>
      <c r="F280" s="5"/>
      <c r="G280" s="5"/>
    </row>
    <row r="281" spans="3:7" ht="13">
      <c r="C281" s="80"/>
      <c r="D281" s="5"/>
      <c r="E281" s="5"/>
      <c r="F281" s="5"/>
      <c r="G281" s="5"/>
    </row>
    <row r="282" spans="3:7" ht="13">
      <c r="C282" s="80"/>
      <c r="D282" s="5"/>
      <c r="E282" s="5"/>
      <c r="F282" s="5"/>
      <c r="G282" s="5"/>
    </row>
    <row r="283" spans="3:7" ht="13">
      <c r="C283" s="80"/>
      <c r="D283" s="5"/>
      <c r="E283" s="5"/>
      <c r="F283" s="5"/>
      <c r="G283" s="5"/>
    </row>
    <row r="284" spans="3:7" ht="13">
      <c r="C284" s="80"/>
      <c r="D284" s="5"/>
      <c r="E284" s="5"/>
      <c r="F284" s="5"/>
      <c r="G284" s="5"/>
    </row>
    <row r="285" spans="3:7" ht="13">
      <c r="C285" s="80"/>
      <c r="D285" s="5"/>
      <c r="E285" s="5"/>
      <c r="F285" s="5"/>
      <c r="G285" s="5"/>
    </row>
    <row r="286" spans="3:7" ht="13">
      <c r="C286" s="80"/>
      <c r="D286" s="5"/>
      <c r="E286" s="5"/>
      <c r="F286" s="5"/>
      <c r="G286" s="5"/>
    </row>
    <row r="287" spans="3:7" ht="13">
      <c r="C287" s="80"/>
      <c r="D287" s="5"/>
      <c r="E287" s="5"/>
      <c r="F287" s="5"/>
      <c r="G287" s="5"/>
    </row>
    <row r="288" spans="3:7" ht="13">
      <c r="C288" s="80"/>
      <c r="D288" s="5"/>
      <c r="E288" s="5"/>
      <c r="F288" s="5"/>
      <c r="G288" s="5"/>
    </row>
    <row r="289" spans="3:7" ht="13">
      <c r="C289" s="80"/>
      <c r="D289" s="5"/>
      <c r="E289" s="5"/>
      <c r="F289" s="5"/>
      <c r="G289" s="5"/>
    </row>
    <row r="290" spans="3:7" ht="13">
      <c r="C290" s="80"/>
      <c r="D290" s="5"/>
      <c r="E290" s="5"/>
      <c r="F290" s="5"/>
      <c r="G290" s="5"/>
    </row>
    <row r="291" spans="3:7" ht="13">
      <c r="C291" s="80"/>
      <c r="D291" s="5"/>
      <c r="E291" s="5"/>
      <c r="F291" s="5"/>
      <c r="G291" s="5"/>
    </row>
    <row r="292" spans="3:7" ht="13">
      <c r="C292" s="80"/>
      <c r="D292" s="5"/>
      <c r="E292" s="5"/>
      <c r="F292" s="5"/>
      <c r="G292" s="5"/>
    </row>
    <row r="293" spans="3:7" ht="13">
      <c r="C293" s="80"/>
      <c r="D293" s="5"/>
      <c r="E293" s="5"/>
      <c r="F293" s="5"/>
      <c r="G293" s="5"/>
    </row>
    <row r="294" spans="3:7" ht="13">
      <c r="C294" s="80"/>
      <c r="D294" s="5"/>
      <c r="E294" s="5"/>
      <c r="F294" s="5"/>
      <c r="G294" s="5"/>
    </row>
    <row r="295" spans="3:7" ht="13">
      <c r="C295" s="80"/>
      <c r="D295" s="5"/>
      <c r="E295" s="5"/>
      <c r="F295" s="5"/>
      <c r="G295" s="5"/>
    </row>
    <row r="296" spans="3:7" ht="13">
      <c r="C296" s="80"/>
      <c r="D296" s="5"/>
      <c r="E296" s="5"/>
      <c r="F296" s="5"/>
      <c r="G296" s="5"/>
    </row>
    <row r="297" spans="3:7" ht="13">
      <c r="C297" s="80"/>
      <c r="D297" s="5"/>
      <c r="E297" s="5"/>
      <c r="F297" s="5"/>
      <c r="G297" s="5"/>
    </row>
    <row r="298" spans="3:7" ht="13">
      <c r="C298" s="80"/>
      <c r="D298" s="5"/>
      <c r="E298" s="5"/>
      <c r="F298" s="5"/>
      <c r="G298" s="5"/>
    </row>
    <row r="299" spans="3:7" ht="13">
      <c r="C299" s="80"/>
      <c r="D299" s="5"/>
      <c r="E299" s="5"/>
      <c r="F299" s="5"/>
      <c r="G299" s="5"/>
    </row>
    <row r="300" spans="3:7" ht="13">
      <c r="C300" s="80"/>
      <c r="D300" s="5"/>
      <c r="E300" s="5"/>
      <c r="F300" s="5"/>
      <c r="G300" s="5"/>
    </row>
    <row r="301" spans="3:7" ht="13">
      <c r="C301" s="80"/>
      <c r="D301" s="5"/>
      <c r="E301" s="5"/>
      <c r="F301" s="5"/>
      <c r="G301" s="5"/>
    </row>
    <row r="302" spans="3:7" ht="13">
      <c r="C302" s="80"/>
      <c r="D302" s="5"/>
      <c r="E302" s="5"/>
      <c r="F302" s="5"/>
      <c r="G302" s="5"/>
    </row>
    <row r="303" spans="3:7" ht="13">
      <c r="C303" s="80"/>
      <c r="D303" s="5"/>
      <c r="E303" s="5"/>
      <c r="F303" s="5"/>
      <c r="G303" s="5"/>
    </row>
    <row r="304" spans="3:7" ht="13">
      <c r="C304" s="80"/>
      <c r="D304" s="5"/>
      <c r="E304" s="5"/>
      <c r="F304" s="5"/>
      <c r="G304" s="5"/>
    </row>
    <row r="305" spans="3:7" ht="13">
      <c r="C305" s="80"/>
      <c r="D305" s="5"/>
      <c r="E305" s="5"/>
      <c r="F305" s="5"/>
      <c r="G305" s="5"/>
    </row>
    <row r="306" spans="3:7" ht="13">
      <c r="C306" s="80"/>
      <c r="D306" s="5"/>
      <c r="E306" s="5"/>
      <c r="F306" s="5"/>
      <c r="G306" s="5"/>
    </row>
    <row r="307" spans="3:7" ht="13">
      <c r="C307" s="80"/>
      <c r="D307" s="5"/>
      <c r="E307" s="5"/>
      <c r="F307" s="5"/>
      <c r="G307" s="5"/>
    </row>
    <row r="308" spans="3:7" ht="13">
      <c r="C308" s="80"/>
      <c r="D308" s="5"/>
      <c r="E308" s="5"/>
      <c r="F308" s="5"/>
      <c r="G308" s="5"/>
    </row>
    <row r="309" spans="3:7" ht="13">
      <c r="C309" s="80"/>
      <c r="D309" s="5"/>
      <c r="E309" s="5"/>
      <c r="F309" s="5"/>
      <c r="G309" s="5"/>
    </row>
    <row r="310" spans="3:7" ht="13">
      <c r="C310" s="80"/>
      <c r="D310" s="5"/>
      <c r="E310" s="5"/>
      <c r="F310" s="5"/>
      <c r="G310" s="5"/>
    </row>
    <row r="311" spans="3:7" ht="13">
      <c r="C311" s="80"/>
      <c r="D311" s="5"/>
      <c r="E311" s="5"/>
      <c r="F311" s="5"/>
      <c r="G311" s="5"/>
    </row>
    <row r="312" spans="3:7" ht="13">
      <c r="C312" s="80"/>
      <c r="D312" s="5"/>
      <c r="E312" s="5"/>
      <c r="F312" s="5"/>
      <c r="G312" s="5"/>
    </row>
    <row r="313" spans="3:7" ht="13">
      <c r="C313" s="80"/>
      <c r="D313" s="5"/>
      <c r="E313" s="5"/>
      <c r="F313" s="5"/>
      <c r="G313" s="5"/>
    </row>
    <row r="314" spans="3:7" ht="13">
      <c r="C314" s="80"/>
      <c r="D314" s="5"/>
      <c r="E314" s="5"/>
      <c r="F314" s="5"/>
      <c r="G314" s="5"/>
    </row>
    <row r="315" spans="3:7" ht="13">
      <c r="C315" s="80"/>
      <c r="D315" s="5"/>
      <c r="E315" s="5"/>
      <c r="F315" s="5"/>
      <c r="G315" s="5"/>
    </row>
    <row r="316" spans="3:7" ht="13">
      <c r="C316" s="80"/>
      <c r="D316" s="5"/>
      <c r="E316" s="5"/>
      <c r="F316" s="5"/>
      <c r="G316" s="5"/>
    </row>
    <row r="317" spans="3:7" ht="13">
      <c r="C317" s="80"/>
      <c r="D317" s="5"/>
      <c r="E317" s="5"/>
      <c r="F317" s="5"/>
      <c r="G317" s="5"/>
    </row>
    <row r="318" spans="3:7" ht="13">
      <c r="C318" s="80"/>
      <c r="D318" s="5"/>
      <c r="E318" s="5"/>
      <c r="F318" s="5"/>
      <c r="G318" s="5"/>
    </row>
    <row r="319" spans="3:7" ht="13">
      <c r="C319" s="80"/>
      <c r="D319" s="5"/>
      <c r="E319" s="5"/>
      <c r="F319" s="5"/>
      <c r="G319" s="5"/>
    </row>
    <row r="320" spans="3:7" ht="13">
      <c r="C320" s="80"/>
      <c r="D320" s="5"/>
      <c r="E320" s="5"/>
      <c r="F320" s="5"/>
      <c r="G320" s="5"/>
    </row>
    <row r="321" spans="3:7" ht="13">
      <c r="C321" s="80"/>
      <c r="D321" s="5"/>
      <c r="E321" s="5"/>
      <c r="F321" s="5"/>
      <c r="G321" s="5"/>
    </row>
    <row r="322" spans="3:7" ht="13">
      <c r="C322" s="80"/>
      <c r="D322" s="5"/>
      <c r="E322" s="5"/>
      <c r="F322" s="5"/>
      <c r="G322" s="5"/>
    </row>
    <row r="323" spans="3:7" ht="13">
      <c r="C323" s="80"/>
      <c r="D323" s="5"/>
      <c r="E323" s="5"/>
      <c r="F323" s="5"/>
      <c r="G323" s="5"/>
    </row>
    <row r="324" spans="3:7" ht="13">
      <c r="C324" s="80"/>
      <c r="D324" s="5"/>
      <c r="E324" s="5"/>
      <c r="F324" s="5"/>
      <c r="G324" s="5"/>
    </row>
    <row r="325" spans="3:7" ht="13">
      <c r="C325" s="80"/>
      <c r="D325" s="5"/>
      <c r="E325" s="5"/>
      <c r="F325" s="5"/>
      <c r="G325" s="5"/>
    </row>
    <row r="326" spans="3:7" ht="13">
      <c r="C326" s="80"/>
      <c r="D326" s="5"/>
      <c r="E326" s="5"/>
      <c r="F326" s="5"/>
      <c r="G326" s="5"/>
    </row>
    <row r="327" spans="3:7" ht="13">
      <c r="C327" s="80"/>
      <c r="D327" s="5"/>
      <c r="E327" s="5"/>
      <c r="F327" s="5"/>
      <c r="G327" s="5"/>
    </row>
    <row r="328" spans="3:7" ht="13">
      <c r="C328" s="80"/>
      <c r="D328" s="5"/>
      <c r="E328" s="5"/>
      <c r="F328" s="5"/>
      <c r="G328" s="5"/>
    </row>
    <row r="329" spans="3:7" ht="13">
      <c r="C329" s="80"/>
      <c r="D329" s="5"/>
      <c r="E329" s="5"/>
      <c r="F329" s="5"/>
      <c r="G329" s="5"/>
    </row>
    <row r="330" spans="3:7" ht="13">
      <c r="C330" s="80"/>
      <c r="D330" s="5"/>
      <c r="E330" s="5"/>
      <c r="F330" s="5"/>
      <c r="G330" s="5"/>
    </row>
    <row r="331" spans="3:7" ht="13">
      <c r="C331" s="80"/>
      <c r="D331" s="5"/>
      <c r="E331" s="5"/>
      <c r="F331" s="5"/>
      <c r="G331" s="5"/>
    </row>
    <row r="332" spans="3:7" ht="13">
      <c r="C332" s="80"/>
      <c r="D332" s="5"/>
      <c r="E332" s="5"/>
      <c r="F332" s="5"/>
      <c r="G332" s="5"/>
    </row>
    <row r="333" spans="3:7" ht="13">
      <c r="C333" s="80"/>
      <c r="D333" s="5"/>
      <c r="E333" s="5"/>
      <c r="F333" s="5"/>
      <c r="G333" s="5"/>
    </row>
    <row r="334" spans="3:7" ht="13">
      <c r="C334" s="80"/>
      <c r="D334" s="5"/>
      <c r="E334" s="5"/>
      <c r="F334" s="5"/>
      <c r="G334" s="5"/>
    </row>
    <row r="335" spans="3:7" ht="13">
      <c r="C335" s="80"/>
      <c r="D335" s="5"/>
      <c r="E335" s="5"/>
      <c r="F335" s="5"/>
      <c r="G335" s="5"/>
    </row>
    <row r="336" spans="3:7" ht="13">
      <c r="C336" s="80"/>
      <c r="D336" s="5"/>
      <c r="E336" s="5"/>
      <c r="F336" s="5"/>
      <c r="G336" s="5"/>
    </row>
    <row r="337" spans="3:7" ht="13">
      <c r="C337" s="80"/>
      <c r="D337" s="5"/>
      <c r="E337" s="5"/>
      <c r="F337" s="5"/>
      <c r="G337" s="5"/>
    </row>
    <row r="338" spans="3:7" ht="13">
      <c r="C338" s="80"/>
      <c r="D338" s="5"/>
      <c r="E338" s="5"/>
      <c r="F338" s="5"/>
      <c r="G338" s="5"/>
    </row>
    <row r="339" spans="3:7" ht="13">
      <c r="C339" s="80"/>
      <c r="D339" s="5"/>
      <c r="E339" s="5"/>
      <c r="F339" s="5"/>
      <c r="G339" s="5"/>
    </row>
    <row r="340" spans="3:7" ht="13">
      <c r="C340" s="80"/>
      <c r="D340" s="5"/>
      <c r="E340" s="5"/>
      <c r="F340" s="5"/>
      <c r="G340" s="5"/>
    </row>
    <row r="341" spans="3:7" ht="13">
      <c r="C341" s="80"/>
      <c r="D341" s="5"/>
      <c r="E341" s="5"/>
      <c r="F341" s="5"/>
      <c r="G341" s="5"/>
    </row>
    <row r="342" spans="3:7" ht="13">
      <c r="C342" s="80"/>
      <c r="D342" s="5"/>
      <c r="E342" s="5"/>
      <c r="F342" s="5"/>
      <c r="G342" s="5"/>
    </row>
    <row r="343" spans="3:7" ht="13">
      <c r="C343" s="80"/>
      <c r="D343" s="5"/>
      <c r="E343" s="5"/>
      <c r="F343" s="5"/>
      <c r="G343" s="5"/>
    </row>
    <row r="344" spans="3:7" ht="13">
      <c r="C344" s="80"/>
      <c r="D344" s="5"/>
      <c r="E344" s="5"/>
      <c r="F344" s="5"/>
      <c r="G344" s="5"/>
    </row>
    <row r="345" spans="3:7" ht="13">
      <c r="C345" s="80"/>
      <c r="D345" s="5"/>
      <c r="E345" s="5"/>
      <c r="F345" s="5"/>
      <c r="G345" s="5"/>
    </row>
    <row r="346" spans="3:7" ht="13">
      <c r="C346" s="80"/>
      <c r="D346" s="5"/>
      <c r="E346" s="5"/>
      <c r="F346" s="5"/>
      <c r="G346" s="5"/>
    </row>
    <row r="347" spans="3:7" ht="13">
      <c r="C347" s="80"/>
      <c r="D347" s="5"/>
      <c r="E347" s="5"/>
      <c r="F347" s="5"/>
      <c r="G347" s="5"/>
    </row>
    <row r="348" spans="3:7" ht="13">
      <c r="C348" s="80"/>
      <c r="D348" s="5"/>
      <c r="E348" s="5"/>
      <c r="F348" s="5"/>
      <c r="G348" s="5"/>
    </row>
    <row r="349" spans="3:7" ht="13">
      <c r="C349" s="80"/>
      <c r="D349" s="5"/>
      <c r="E349" s="5"/>
      <c r="F349" s="5"/>
      <c r="G349" s="5"/>
    </row>
    <row r="350" spans="3:7" ht="13">
      <c r="C350" s="80"/>
      <c r="D350" s="5"/>
      <c r="E350" s="5"/>
      <c r="F350" s="5"/>
      <c r="G350" s="5"/>
    </row>
    <row r="351" spans="3:7" ht="13">
      <c r="C351" s="80"/>
      <c r="D351" s="5"/>
      <c r="E351" s="5"/>
      <c r="F351" s="5"/>
      <c r="G351" s="5"/>
    </row>
    <row r="352" spans="3:7" ht="13">
      <c r="C352" s="80"/>
      <c r="D352" s="5"/>
      <c r="E352" s="5"/>
      <c r="F352" s="5"/>
      <c r="G352" s="5"/>
    </row>
    <row r="353" spans="3:7" ht="13">
      <c r="C353" s="80"/>
      <c r="D353" s="5"/>
      <c r="E353" s="5"/>
      <c r="F353" s="5"/>
      <c r="G353" s="5"/>
    </row>
    <row r="354" spans="3:7" ht="13">
      <c r="C354" s="80"/>
      <c r="D354" s="5"/>
      <c r="E354" s="5"/>
      <c r="F354" s="5"/>
      <c r="G354" s="5"/>
    </row>
    <row r="355" spans="3:7" ht="13">
      <c r="C355" s="80"/>
      <c r="D355" s="5"/>
      <c r="E355" s="5"/>
      <c r="F355" s="5"/>
      <c r="G355" s="5"/>
    </row>
    <row r="356" spans="3:7" ht="13">
      <c r="C356" s="80"/>
      <c r="D356" s="5"/>
      <c r="E356" s="5"/>
      <c r="F356" s="5"/>
      <c r="G356" s="5"/>
    </row>
    <row r="357" spans="3:7" ht="13">
      <c r="C357" s="80"/>
      <c r="D357" s="5"/>
      <c r="E357" s="5"/>
      <c r="F357" s="5"/>
      <c r="G357" s="5"/>
    </row>
    <row r="358" spans="3:7" ht="13">
      <c r="C358" s="80"/>
      <c r="D358" s="5"/>
      <c r="E358" s="5"/>
      <c r="F358" s="5"/>
      <c r="G358" s="5"/>
    </row>
    <row r="359" spans="3:7" ht="13">
      <c r="C359" s="80"/>
      <c r="D359" s="5"/>
      <c r="E359" s="5"/>
      <c r="F359" s="5"/>
      <c r="G359" s="5"/>
    </row>
    <row r="360" spans="3:7" ht="13">
      <c r="C360" s="80"/>
      <c r="D360" s="5"/>
      <c r="E360" s="5"/>
      <c r="F360" s="5"/>
      <c r="G360" s="5"/>
    </row>
    <row r="361" spans="3:7" ht="13">
      <c r="C361" s="80"/>
      <c r="D361" s="5"/>
      <c r="E361" s="5"/>
      <c r="F361" s="5"/>
      <c r="G361" s="5"/>
    </row>
    <row r="362" spans="3:7" ht="13">
      <c r="C362" s="80"/>
      <c r="D362" s="5"/>
      <c r="E362" s="5"/>
      <c r="F362" s="5"/>
      <c r="G362" s="5"/>
    </row>
    <row r="363" spans="3:7" ht="13">
      <c r="C363" s="80"/>
      <c r="D363" s="5"/>
      <c r="E363" s="5"/>
      <c r="F363" s="5"/>
      <c r="G363" s="5"/>
    </row>
    <row r="364" spans="3:7" ht="13">
      <c r="C364" s="80"/>
      <c r="D364" s="5"/>
      <c r="E364" s="5"/>
      <c r="F364" s="5"/>
      <c r="G364" s="5"/>
    </row>
    <row r="365" spans="3:7" ht="13">
      <c r="C365" s="80"/>
      <c r="D365" s="5"/>
      <c r="E365" s="5"/>
      <c r="F365" s="5"/>
      <c r="G365" s="5"/>
    </row>
    <row r="366" spans="3:7" ht="13">
      <c r="C366" s="80"/>
      <c r="D366" s="5"/>
      <c r="E366" s="5"/>
      <c r="F366" s="5"/>
      <c r="G366" s="5"/>
    </row>
    <row r="367" spans="3:7" ht="13">
      <c r="C367" s="80"/>
      <c r="D367" s="5"/>
      <c r="E367" s="5"/>
      <c r="F367" s="5"/>
      <c r="G367" s="5"/>
    </row>
    <row r="368" spans="3:7" ht="13">
      <c r="C368" s="80"/>
      <c r="D368" s="5"/>
      <c r="E368" s="5"/>
      <c r="F368" s="5"/>
      <c r="G368" s="5"/>
    </row>
    <row r="369" spans="3:7" ht="13">
      <c r="C369" s="80"/>
      <c r="D369" s="5"/>
      <c r="E369" s="5"/>
      <c r="F369" s="5"/>
      <c r="G369" s="5"/>
    </row>
    <row r="370" spans="3:7" ht="13">
      <c r="C370" s="80"/>
      <c r="D370" s="5"/>
      <c r="E370" s="5"/>
      <c r="F370" s="5"/>
      <c r="G370" s="5"/>
    </row>
    <row r="371" spans="3:7" ht="13">
      <c r="C371" s="80"/>
      <c r="D371" s="5"/>
      <c r="E371" s="5"/>
      <c r="F371" s="5"/>
      <c r="G371" s="5"/>
    </row>
    <row r="372" spans="3:7" ht="13">
      <c r="C372" s="80"/>
      <c r="D372" s="5"/>
      <c r="E372" s="5"/>
      <c r="F372" s="5"/>
      <c r="G372" s="5"/>
    </row>
    <row r="373" spans="3:7" ht="13">
      <c r="C373" s="80"/>
      <c r="D373" s="5"/>
      <c r="E373" s="5"/>
      <c r="F373" s="5"/>
      <c r="G373" s="5"/>
    </row>
    <row r="374" spans="3:7" ht="13">
      <c r="C374" s="80"/>
      <c r="D374" s="5"/>
      <c r="E374" s="5"/>
      <c r="F374" s="5"/>
      <c r="G374" s="5"/>
    </row>
    <row r="375" spans="3:7" ht="13">
      <c r="C375" s="80"/>
      <c r="D375" s="5"/>
      <c r="E375" s="5"/>
      <c r="F375" s="5"/>
      <c r="G375" s="5"/>
    </row>
    <row r="376" spans="3:7" ht="13">
      <c r="C376" s="80"/>
      <c r="D376" s="5"/>
      <c r="E376" s="5"/>
      <c r="F376" s="5"/>
      <c r="G376" s="5"/>
    </row>
    <row r="377" spans="3:7" ht="13">
      <c r="C377" s="80"/>
      <c r="D377" s="5"/>
      <c r="E377" s="5"/>
      <c r="F377" s="5"/>
      <c r="G377" s="5"/>
    </row>
    <row r="378" spans="3:7" ht="13">
      <c r="C378" s="80"/>
      <c r="D378" s="5"/>
      <c r="E378" s="5"/>
      <c r="F378" s="5"/>
      <c r="G378" s="5"/>
    </row>
    <row r="379" spans="3:7" ht="13">
      <c r="C379" s="80"/>
      <c r="D379" s="5"/>
      <c r="E379" s="5"/>
      <c r="F379" s="5"/>
      <c r="G379" s="5"/>
    </row>
    <row r="380" spans="3:7" ht="13">
      <c r="C380" s="80"/>
      <c r="D380" s="5"/>
      <c r="E380" s="5"/>
      <c r="F380" s="5"/>
      <c r="G380" s="5"/>
    </row>
    <row r="381" spans="3:7" ht="13">
      <c r="C381" s="80"/>
      <c r="D381" s="5"/>
      <c r="E381" s="5"/>
      <c r="F381" s="5"/>
      <c r="G381" s="5"/>
    </row>
    <row r="382" spans="3:7" ht="13">
      <c r="C382" s="80"/>
      <c r="D382" s="5"/>
      <c r="E382" s="5"/>
      <c r="F382" s="5"/>
      <c r="G382" s="5"/>
    </row>
    <row r="383" spans="3:7" ht="13">
      <c r="C383" s="80"/>
      <c r="D383" s="5"/>
      <c r="E383" s="5"/>
      <c r="F383" s="5"/>
      <c r="G383" s="5"/>
    </row>
    <row r="384" spans="3:7" ht="13">
      <c r="C384" s="80"/>
      <c r="D384" s="5"/>
      <c r="E384" s="5"/>
      <c r="F384" s="5"/>
      <c r="G384" s="5"/>
    </row>
    <row r="385" spans="3:7" ht="13">
      <c r="C385" s="80"/>
      <c r="D385" s="5"/>
      <c r="E385" s="5"/>
      <c r="F385" s="5"/>
      <c r="G385" s="5"/>
    </row>
    <row r="386" spans="3:7" ht="13">
      <c r="C386" s="80"/>
      <c r="D386" s="5"/>
      <c r="E386" s="5"/>
      <c r="F386" s="5"/>
      <c r="G386" s="5"/>
    </row>
    <row r="387" spans="3:7" ht="13">
      <c r="C387" s="80"/>
      <c r="D387" s="5"/>
      <c r="E387" s="5"/>
      <c r="F387" s="5"/>
      <c r="G387" s="5"/>
    </row>
    <row r="388" spans="3:7" ht="13">
      <c r="C388" s="80"/>
      <c r="D388" s="5"/>
      <c r="E388" s="5"/>
      <c r="F388" s="5"/>
      <c r="G388" s="5"/>
    </row>
    <row r="389" spans="3:7" ht="13">
      <c r="C389" s="80"/>
      <c r="D389" s="5"/>
      <c r="E389" s="5"/>
      <c r="F389" s="5"/>
      <c r="G389" s="5"/>
    </row>
    <row r="390" spans="3:7" ht="13">
      <c r="C390" s="80"/>
      <c r="D390" s="5"/>
      <c r="E390" s="5"/>
      <c r="F390" s="5"/>
      <c r="G390" s="5"/>
    </row>
    <row r="391" spans="3:7" ht="13">
      <c r="C391" s="80"/>
      <c r="D391" s="5"/>
      <c r="E391" s="5"/>
      <c r="F391" s="5"/>
      <c r="G391" s="5"/>
    </row>
    <row r="392" spans="3:7" ht="13">
      <c r="C392" s="80"/>
      <c r="D392" s="5"/>
      <c r="E392" s="5"/>
      <c r="F392" s="5"/>
      <c r="G392" s="5"/>
    </row>
    <row r="393" spans="3:7" ht="13">
      <c r="C393" s="80"/>
      <c r="D393" s="5"/>
      <c r="E393" s="5"/>
      <c r="F393" s="5"/>
      <c r="G393" s="5"/>
    </row>
    <row r="394" spans="3:7" ht="13">
      <c r="C394" s="80"/>
      <c r="D394" s="5"/>
      <c r="E394" s="5"/>
      <c r="F394" s="5"/>
      <c r="G394" s="5"/>
    </row>
    <row r="395" spans="3:7" ht="13">
      <c r="C395" s="80"/>
      <c r="D395" s="5"/>
      <c r="E395" s="5"/>
      <c r="F395" s="5"/>
      <c r="G395" s="5"/>
    </row>
    <row r="396" spans="3:7" ht="13">
      <c r="C396" s="80"/>
      <c r="D396" s="5"/>
      <c r="E396" s="5"/>
      <c r="F396" s="5"/>
      <c r="G396" s="5"/>
    </row>
    <row r="397" spans="3:7" ht="13">
      <c r="C397" s="80"/>
      <c r="D397" s="5"/>
      <c r="E397" s="5"/>
      <c r="F397" s="5"/>
      <c r="G397" s="5"/>
    </row>
    <row r="398" spans="3:7" ht="13">
      <c r="C398" s="80"/>
      <c r="D398" s="5"/>
      <c r="E398" s="5"/>
      <c r="F398" s="5"/>
      <c r="G398" s="5"/>
    </row>
    <row r="399" spans="3:7" ht="13">
      <c r="C399" s="80"/>
      <c r="D399" s="5"/>
      <c r="E399" s="5"/>
      <c r="F399" s="5"/>
      <c r="G399" s="5"/>
    </row>
    <row r="400" spans="3:7" ht="13">
      <c r="C400" s="80"/>
      <c r="D400" s="5"/>
      <c r="E400" s="5"/>
      <c r="F400" s="5"/>
      <c r="G400" s="5"/>
    </row>
    <row r="401" spans="3:7" ht="13">
      <c r="C401" s="80"/>
      <c r="D401" s="5"/>
      <c r="E401" s="5"/>
      <c r="F401" s="5"/>
      <c r="G401" s="5"/>
    </row>
    <row r="402" spans="3:7" ht="13">
      <c r="C402" s="80"/>
      <c r="D402" s="5"/>
      <c r="E402" s="5"/>
      <c r="F402" s="5"/>
      <c r="G402" s="5"/>
    </row>
    <row r="403" spans="3:7" ht="13">
      <c r="C403" s="80"/>
      <c r="D403" s="5"/>
      <c r="E403" s="5"/>
      <c r="F403" s="5"/>
      <c r="G403" s="5"/>
    </row>
    <row r="404" spans="3:7" ht="13">
      <c r="C404" s="80"/>
      <c r="D404" s="5"/>
      <c r="E404" s="5"/>
      <c r="F404" s="5"/>
      <c r="G404" s="5"/>
    </row>
    <row r="405" spans="3:7" ht="13">
      <c r="C405" s="80"/>
      <c r="D405" s="5"/>
      <c r="E405" s="5"/>
      <c r="F405" s="5"/>
      <c r="G405" s="5"/>
    </row>
    <row r="406" spans="3:7" ht="13">
      <c r="C406" s="80"/>
      <c r="D406" s="5"/>
      <c r="E406" s="5"/>
      <c r="F406" s="5"/>
      <c r="G406" s="5"/>
    </row>
    <row r="407" spans="3:7" ht="13">
      <c r="C407" s="80"/>
      <c r="D407" s="5"/>
      <c r="E407" s="5"/>
      <c r="F407" s="5"/>
      <c r="G407" s="5"/>
    </row>
    <row r="408" spans="3:7" ht="13">
      <c r="C408" s="80"/>
      <c r="D408" s="5"/>
      <c r="E408" s="5"/>
      <c r="F408" s="5"/>
      <c r="G408" s="5"/>
    </row>
    <row r="409" spans="3:7" ht="13">
      <c r="C409" s="80"/>
      <c r="D409" s="5"/>
      <c r="E409" s="5"/>
      <c r="F409" s="5"/>
      <c r="G409" s="5"/>
    </row>
    <row r="410" spans="3:7" ht="13">
      <c r="C410" s="80"/>
      <c r="D410" s="5"/>
      <c r="E410" s="5"/>
      <c r="F410" s="5"/>
      <c r="G410" s="5"/>
    </row>
    <row r="411" spans="3:7" ht="13">
      <c r="C411" s="80"/>
      <c r="D411" s="5"/>
      <c r="E411" s="5"/>
      <c r="F411" s="5"/>
      <c r="G411" s="5"/>
    </row>
    <row r="412" spans="3:7" ht="13">
      <c r="C412" s="80"/>
      <c r="D412" s="5"/>
      <c r="E412" s="5"/>
      <c r="F412" s="5"/>
      <c r="G412" s="5"/>
    </row>
    <row r="413" spans="3:7" ht="13">
      <c r="C413" s="80"/>
      <c r="D413" s="5"/>
      <c r="E413" s="5"/>
      <c r="F413" s="5"/>
      <c r="G413" s="5"/>
    </row>
    <row r="414" spans="3:7" ht="13">
      <c r="C414" s="80"/>
      <c r="D414" s="5"/>
      <c r="E414" s="5"/>
      <c r="F414" s="5"/>
      <c r="G414" s="5"/>
    </row>
    <row r="415" spans="3:7" ht="13">
      <c r="C415" s="80"/>
      <c r="D415" s="5"/>
      <c r="E415" s="5"/>
      <c r="F415" s="5"/>
      <c r="G415" s="5"/>
    </row>
    <row r="416" spans="3:7" ht="13">
      <c r="C416" s="80"/>
      <c r="D416" s="5"/>
      <c r="E416" s="5"/>
      <c r="F416" s="5"/>
      <c r="G416" s="5"/>
    </row>
    <row r="417" spans="3:7" ht="13">
      <c r="C417" s="80"/>
      <c r="D417" s="5"/>
      <c r="E417" s="5"/>
      <c r="F417" s="5"/>
      <c r="G417" s="5"/>
    </row>
    <row r="418" spans="3:7" ht="13">
      <c r="C418" s="80"/>
      <c r="D418" s="5"/>
      <c r="E418" s="5"/>
      <c r="F418" s="5"/>
      <c r="G418" s="5"/>
    </row>
    <row r="419" spans="3:7" ht="13">
      <c r="C419" s="80"/>
      <c r="D419" s="5"/>
      <c r="E419" s="5"/>
      <c r="F419" s="5"/>
      <c r="G419" s="5"/>
    </row>
    <row r="420" spans="3:7" ht="13">
      <c r="C420" s="80"/>
      <c r="D420" s="5"/>
      <c r="E420" s="5"/>
      <c r="F420" s="5"/>
      <c r="G420" s="5"/>
    </row>
    <row r="421" spans="3:7" ht="13">
      <c r="C421" s="80"/>
      <c r="D421" s="5"/>
      <c r="E421" s="5"/>
      <c r="F421" s="5"/>
      <c r="G421" s="5"/>
    </row>
    <row r="422" spans="3:7" ht="13">
      <c r="C422" s="80"/>
      <c r="D422" s="5"/>
      <c r="E422" s="5"/>
      <c r="F422" s="5"/>
      <c r="G422" s="5"/>
    </row>
    <row r="423" spans="3:7" ht="13">
      <c r="C423" s="80"/>
      <c r="D423" s="5"/>
      <c r="E423" s="5"/>
      <c r="F423" s="5"/>
      <c r="G423" s="5"/>
    </row>
    <row r="424" spans="3:7" ht="13">
      <c r="C424" s="80"/>
      <c r="D424" s="5"/>
      <c r="E424" s="5"/>
      <c r="F424" s="5"/>
      <c r="G424" s="5"/>
    </row>
    <row r="425" spans="3:7" ht="13">
      <c r="C425" s="80"/>
      <c r="D425" s="5"/>
      <c r="E425" s="5"/>
      <c r="F425" s="5"/>
      <c r="G425" s="5"/>
    </row>
    <row r="426" spans="3:7" ht="13">
      <c r="C426" s="80"/>
      <c r="D426" s="5"/>
      <c r="E426" s="5"/>
      <c r="F426" s="5"/>
      <c r="G426" s="5"/>
    </row>
    <row r="427" spans="3:7" ht="13">
      <c r="C427" s="80"/>
      <c r="D427" s="5"/>
      <c r="E427" s="5"/>
      <c r="F427" s="5"/>
      <c r="G427" s="5"/>
    </row>
    <row r="428" spans="3:7" ht="13">
      <c r="C428" s="80"/>
      <c r="D428" s="5"/>
      <c r="E428" s="5"/>
      <c r="F428" s="5"/>
      <c r="G428" s="5"/>
    </row>
    <row r="429" spans="3:7" ht="13">
      <c r="C429" s="80"/>
      <c r="D429" s="5"/>
      <c r="E429" s="5"/>
      <c r="F429" s="5"/>
      <c r="G429" s="5"/>
    </row>
    <row r="430" spans="3:7" ht="13">
      <c r="C430" s="80"/>
      <c r="D430" s="5"/>
      <c r="E430" s="5"/>
      <c r="F430" s="5"/>
      <c r="G430" s="5"/>
    </row>
    <row r="431" spans="3:7" ht="13">
      <c r="C431" s="80"/>
      <c r="D431" s="5"/>
      <c r="E431" s="5"/>
      <c r="F431" s="5"/>
      <c r="G431" s="5"/>
    </row>
    <row r="432" spans="3:7" ht="13">
      <c r="C432" s="80"/>
      <c r="D432" s="5"/>
      <c r="E432" s="5"/>
      <c r="F432" s="5"/>
      <c r="G432" s="5"/>
    </row>
    <row r="433" spans="3:7" ht="13">
      <c r="C433" s="80"/>
      <c r="D433" s="5"/>
      <c r="E433" s="5"/>
      <c r="F433" s="5"/>
      <c r="G433" s="5"/>
    </row>
    <row r="434" spans="3:7" ht="13">
      <c r="C434" s="80"/>
      <c r="D434" s="5"/>
      <c r="E434" s="5"/>
      <c r="F434" s="5"/>
      <c r="G434" s="5"/>
    </row>
    <row r="435" spans="3:7" ht="13">
      <c r="C435" s="80"/>
      <c r="D435" s="5"/>
      <c r="E435" s="5"/>
      <c r="F435" s="5"/>
      <c r="G435" s="5"/>
    </row>
    <row r="436" spans="3:7" ht="13">
      <c r="C436" s="80"/>
      <c r="D436" s="5"/>
      <c r="E436" s="5"/>
      <c r="F436" s="5"/>
      <c r="G436" s="5"/>
    </row>
    <row r="437" spans="3:7" ht="13">
      <c r="C437" s="80"/>
      <c r="D437" s="5"/>
      <c r="E437" s="5"/>
      <c r="F437" s="5"/>
      <c r="G437" s="5"/>
    </row>
    <row r="438" spans="3:7" ht="13">
      <c r="C438" s="80"/>
      <c r="D438" s="5"/>
      <c r="E438" s="5"/>
      <c r="F438" s="5"/>
      <c r="G438" s="5"/>
    </row>
    <row r="439" spans="3:7" ht="13">
      <c r="C439" s="80"/>
      <c r="D439" s="5"/>
      <c r="E439" s="5"/>
      <c r="F439" s="5"/>
      <c r="G439" s="5"/>
    </row>
    <row r="440" spans="3:7" ht="13">
      <c r="C440" s="80"/>
      <c r="D440" s="5"/>
      <c r="E440" s="5"/>
      <c r="F440" s="5"/>
      <c r="G440" s="5"/>
    </row>
    <row r="441" spans="3:7" ht="13">
      <c r="C441" s="80"/>
      <c r="D441" s="5"/>
      <c r="E441" s="5"/>
      <c r="F441" s="5"/>
      <c r="G441" s="5"/>
    </row>
    <row r="442" spans="3:7" ht="13">
      <c r="C442" s="80"/>
      <c r="D442" s="5"/>
      <c r="E442" s="5"/>
      <c r="F442" s="5"/>
      <c r="G442" s="5"/>
    </row>
    <row r="443" spans="3:7" ht="13">
      <c r="C443" s="80"/>
      <c r="D443" s="5"/>
      <c r="E443" s="5"/>
      <c r="F443" s="5"/>
      <c r="G443" s="5"/>
    </row>
    <row r="444" spans="3:7" ht="13">
      <c r="C444" s="80"/>
      <c r="D444" s="5"/>
      <c r="E444" s="5"/>
      <c r="F444" s="5"/>
      <c r="G444" s="5"/>
    </row>
    <row r="445" spans="3:7" ht="13">
      <c r="C445" s="80"/>
      <c r="D445" s="5"/>
      <c r="E445" s="5"/>
      <c r="F445" s="5"/>
      <c r="G445" s="5"/>
    </row>
    <row r="446" spans="3:7" ht="13">
      <c r="C446" s="80"/>
      <c r="D446" s="5"/>
      <c r="E446" s="5"/>
      <c r="F446" s="5"/>
      <c r="G446" s="5"/>
    </row>
    <row r="447" spans="3:7" ht="13">
      <c r="C447" s="80"/>
      <c r="D447" s="5"/>
      <c r="E447" s="5"/>
      <c r="F447" s="5"/>
      <c r="G447" s="5"/>
    </row>
    <row r="448" spans="3:7" ht="13">
      <c r="C448" s="80"/>
      <c r="D448" s="5"/>
      <c r="E448" s="5"/>
      <c r="F448" s="5"/>
      <c r="G448" s="5"/>
    </row>
    <row r="449" spans="3:7" ht="13">
      <c r="C449" s="80"/>
      <c r="D449" s="5"/>
      <c r="E449" s="5"/>
      <c r="F449" s="5"/>
      <c r="G449" s="5"/>
    </row>
    <row r="450" spans="3:7" ht="13">
      <c r="C450" s="80"/>
      <c r="D450" s="5"/>
      <c r="E450" s="5"/>
      <c r="F450" s="5"/>
      <c r="G450" s="5"/>
    </row>
    <row r="451" spans="3:7" ht="13">
      <c r="C451" s="80"/>
      <c r="D451" s="5"/>
      <c r="E451" s="5"/>
      <c r="F451" s="5"/>
      <c r="G451" s="5"/>
    </row>
    <row r="452" spans="3:7" ht="13">
      <c r="C452" s="80"/>
      <c r="D452" s="5"/>
      <c r="E452" s="5"/>
      <c r="F452" s="5"/>
      <c r="G452" s="5"/>
    </row>
    <row r="453" spans="3:7" ht="13">
      <c r="C453" s="80"/>
      <c r="D453" s="5"/>
      <c r="E453" s="5"/>
      <c r="F453" s="5"/>
      <c r="G453" s="5"/>
    </row>
    <row r="454" spans="3:7" ht="13">
      <c r="C454" s="80"/>
      <c r="D454" s="5"/>
      <c r="E454" s="5"/>
      <c r="F454" s="5"/>
      <c r="G454" s="5"/>
    </row>
    <row r="455" spans="3:7" ht="13">
      <c r="C455" s="80"/>
      <c r="D455" s="5"/>
      <c r="E455" s="5"/>
      <c r="F455" s="5"/>
      <c r="G455" s="5"/>
    </row>
    <row r="456" spans="3:7" ht="13">
      <c r="C456" s="80"/>
      <c r="D456" s="5"/>
      <c r="E456" s="5"/>
      <c r="F456" s="5"/>
      <c r="G456" s="5"/>
    </row>
    <row r="457" spans="3:7" ht="13">
      <c r="C457" s="80"/>
      <c r="D457" s="5"/>
      <c r="E457" s="5"/>
      <c r="F457" s="5"/>
      <c r="G457" s="5"/>
    </row>
    <row r="458" spans="3:7" ht="13">
      <c r="C458" s="80"/>
      <c r="D458" s="5"/>
      <c r="E458" s="5"/>
      <c r="F458" s="5"/>
      <c r="G458" s="5"/>
    </row>
    <row r="459" spans="3:7" ht="13">
      <c r="C459" s="80"/>
      <c r="D459" s="5"/>
      <c r="E459" s="5"/>
      <c r="F459" s="5"/>
      <c r="G459" s="5"/>
    </row>
    <row r="460" spans="3:7" ht="13">
      <c r="C460" s="80"/>
      <c r="D460" s="5"/>
      <c r="E460" s="5"/>
      <c r="F460" s="5"/>
      <c r="G460" s="5"/>
    </row>
    <row r="461" spans="3:7" ht="13">
      <c r="C461" s="80"/>
      <c r="D461" s="5"/>
      <c r="E461" s="5"/>
      <c r="F461" s="5"/>
      <c r="G461" s="5"/>
    </row>
    <row r="462" spans="3:7" ht="13">
      <c r="C462" s="80"/>
      <c r="D462" s="5"/>
      <c r="E462" s="5"/>
      <c r="F462" s="5"/>
      <c r="G462" s="5"/>
    </row>
    <row r="463" spans="3:7" ht="13">
      <c r="C463" s="80"/>
      <c r="D463" s="5"/>
      <c r="E463" s="5"/>
      <c r="F463" s="5"/>
      <c r="G463" s="5"/>
    </row>
    <row r="464" spans="3:7" ht="13">
      <c r="C464" s="80"/>
      <c r="D464" s="5"/>
      <c r="E464" s="5"/>
      <c r="F464" s="5"/>
      <c r="G464" s="5"/>
    </row>
    <row r="465" spans="3:7" ht="13">
      <c r="C465" s="80"/>
      <c r="D465" s="5"/>
      <c r="E465" s="5"/>
      <c r="F465" s="5"/>
      <c r="G465" s="5"/>
    </row>
    <row r="466" spans="3:7" ht="13">
      <c r="C466" s="80"/>
      <c r="D466" s="5"/>
      <c r="E466" s="5"/>
      <c r="F466" s="5"/>
      <c r="G466" s="5"/>
    </row>
    <row r="467" spans="3:7" ht="13">
      <c r="C467" s="80"/>
      <c r="D467" s="5"/>
      <c r="E467" s="5"/>
      <c r="F467" s="5"/>
      <c r="G467" s="5"/>
    </row>
    <row r="468" spans="3:7" ht="13">
      <c r="C468" s="80"/>
      <c r="D468" s="5"/>
      <c r="E468" s="5"/>
      <c r="F468" s="5"/>
      <c r="G468" s="5"/>
    </row>
    <row r="469" spans="3:7" ht="13">
      <c r="C469" s="80"/>
      <c r="D469" s="5"/>
      <c r="E469" s="5"/>
      <c r="F469" s="5"/>
      <c r="G469" s="5"/>
    </row>
    <row r="470" spans="3:7" ht="13">
      <c r="C470" s="80"/>
      <c r="D470" s="5"/>
      <c r="E470" s="5"/>
      <c r="F470" s="5"/>
      <c r="G470" s="5"/>
    </row>
    <row r="471" spans="3:7" ht="13">
      <c r="C471" s="80"/>
      <c r="D471" s="5"/>
      <c r="E471" s="5"/>
      <c r="F471" s="5"/>
      <c r="G471" s="5"/>
    </row>
    <row r="472" spans="3:7" ht="13">
      <c r="C472" s="80"/>
      <c r="D472" s="5"/>
      <c r="E472" s="5"/>
      <c r="F472" s="5"/>
      <c r="G472" s="5"/>
    </row>
    <row r="473" spans="3:7" ht="13">
      <c r="C473" s="80"/>
      <c r="D473" s="5"/>
      <c r="E473" s="5"/>
      <c r="F473" s="5"/>
      <c r="G473" s="5"/>
    </row>
    <row r="474" spans="3:7" ht="13">
      <c r="C474" s="80"/>
      <c r="D474" s="5"/>
      <c r="E474" s="5"/>
      <c r="F474" s="5"/>
      <c r="G474" s="5"/>
    </row>
    <row r="475" spans="3:7" ht="13">
      <c r="C475" s="80"/>
      <c r="D475" s="5"/>
      <c r="E475" s="5"/>
      <c r="F475" s="5"/>
      <c r="G475" s="5"/>
    </row>
    <row r="476" spans="3:7" ht="13">
      <c r="C476" s="80"/>
      <c r="D476" s="5"/>
      <c r="E476" s="5"/>
      <c r="F476" s="5"/>
      <c r="G476" s="5"/>
    </row>
    <row r="477" spans="3:7" ht="13">
      <c r="C477" s="80"/>
      <c r="D477" s="5"/>
      <c r="E477" s="5"/>
      <c r="F477" s="5"/>
      <c r="G477" s="5"/>
    </row>
    <row r="478" spans="3:7" ht="13">
      <c r="C478" s="80"/>
      <c r="D478" s="5"/>
      <c r="E478" s="5"/>
      <c r="F478" s="5"/>
      <c r="G478" s="5"/>
    </row>
    <row r="479" spans="3:7" ht="13">
      <c r="C479" s="80"/>
      <c r="D479" s="5"/>
      <c r="E479" s="5"/>
      <c r="F479" s="5"/>
      <c r="G479" s="5"/>
    </row>
    <row r="480" spans="3:7" ht="13">
      <c r="C480" s="80"/>
      <c r="D480" s="5"/>
      <c r="E480" s="5"/>
      <c r="F480" s="5"/>
      <c r="G480" s="5"/>
    </row>
    <row r="481" spans="3:7" ht="13">
      <c r="C481" s="80"/>
      <c r="D481" s="5"/>
      <c r="E481" s="5"/>
      <c r="F481" s="5"/>
      <c r="G481" s="5"/>
    </row>
    <row r="482" spans="3:7" ht="13">
      <c r="C482" s="80"/>
      <c r="D482" s="5"/>
      <c r="E482" s="5"/>
      <c r="F482" s="5"/>
      <c r="G482" s="5"/>
    </row>
    <row r="483" spans="3:7" ht="13">
      <c r="C483" s="80"/>
      <c r="D483" s="5"/>
      <c r="E483" s="5"/>
      <c r="F483" s="5"/>
      <c r="G483" s="5"/>
    </row>
    <row r="484" spans="3:7" ht="13">
      <c r="C484" s="80"/>
      <c r="D484" s="5"/>
      <c r="E484" s="5"/>
      <c r="F484" s="5"/>
      <c r="G484" s="5"/>
    </row>
    <row r="485" spans="3:7" ht="13">
      <c r="C485" s="80"/>
      <c r="D485" s="5"/>
      <c r="E485" s="5"/>
      <c r="F485" s="5"/>
      <c r="G485" s="5"/>
    </row>
    <row r="486" spans="3:7" ht="13">
      <c r="C486" s="80"/>
      <c r="D486" s="5"/>
      <c r="E486" s="5"/>
      <c r="F486" s="5"/>
      <c r="G486" s="5"/>
    </row>
    <row r="487" spans="3:7" ht="13">
      <c r="C487" s="80"/>
      <c r="D487" s="5"/>
      <c r="E487" s="5"/>
      <c r="F487" s="5"/>
      <c r="G487" s="5"/>
    </row>
    <row r="488" spans="3:7" ht="13">
      <c r="C488" s="80"/>
      <c r="D488" s="5"/>
      <c r="E488" s="5"/>
      <c r="F488" s="5"/>
      <c r="G488" s="5"/>
    </row>
    <row r="489" spans="3:7" ht="13">
      <c r="C489" s="80"/>
      <c r="D489" s="5"/>
      <c r="E489" s="5"/>
      <c r="F489" s="5"/>
      <c r="G489" s="5"/>
    </row>
    <row r="490" spans="3:7" ht="13">
      <c r="C490" s="80"/>
      <c r="D490" s="5"/>
      <c r="E490" s="5"/>
      <c r="F490" s="5"/>
      <c r="G490" s="5"/>
    </row>
    <row r="491" spans="3:7" ht="13">
      <c r="C491" s="80"/>
      <c r="D491" s="5"/>
      <c r="E491" s="5"/>
      <c r="F491" s="5"/>
      <c r="G491" s="5"/>
    </row>
    <row r="492" spans="3:7" ht="13">
      <c r="C492" s="80"/>
      <c r="D492" s="5"/>
      <c r="E492" s="5"/>
      <c r="F492" s="5"/>
      <c r="G492" s="5"/>
    </row>
    <row r="493" spans="3:7" ht="13">
      <c r="C493" s="80"/>
      <c r="D493" s="5"/>
      <c r="E493" s="5"/>
      <c r="F493" s="5"/>
      <c r="G493" s="5"/>
    </row>
    <row r="494" spans="3:7" ht="13">
      <c r="C494" s="80"/>
      <c r="D494" s="5"/>
      <c r="E494" s="5"/>
      <c r="F494" s="5"/>
      <c r="G494" s="5"/>
    </row>
    <row r="495" spans="3:7" ht="13">
      <c r="C495" s="80"/>
      <c r="D495" s="5"/>
      <c r="E495" s="5"/>
      <c r="F495" s="5"/>
      <c r="G495" s="5"/>
    </row>
    <row r="496" spans="3:7" ht="13">
      <c r="C496" s="80"/>
      <c r="D496" s="5"/>
      <c r="E496" s="5"/>
      <c r="F496" s="5"/>
      <c r="G496" s="5"/>
    </row>
    <row r="497" spans="3:7" ht="13">
      <c r="C497" s="80"/>
      <c r="D497" s="5"/>
      <c r="E497" s="5"/>
      <c r="F497" s="5"/>
      <c r="G497" s="5"/>
    </row>
    <row r="498" spans="3:7" ht="13">
      <c r="C498" s="80"/>
      <c r="D498" s="5"/>
      <c r="E498" s="5"/>
      <c r="F498" s="5"/>
      <c r="G498" s="5"/>
    </row>
    <row r="499" spans="3:7" ht="13">
      <c r="C499" s="80"/>
      <c r="D499" s="5"/>
      <c r="E499" s="5"/>
      <c r="F499" s="5"/>
      <c r="G499" s="5"/>
    </row>
    <row r="500" spans="3:7" ht="13">
      <c r="C500" s="80"/>
      <c r="D500" s="5"/>
      <c r="E500" s="5"/>
      <c r="F500" s="5"/>
      <c r="G500" s="5"/>
    </row>
    <row r="501" spans="3:7" ht="13">
      <c r="C501" s="80"/>
      <c r="D501" s="5"/>
      <c r="E501" s="5"/>
      <c r="F501" s="5"/>
      <c r="G501" s="5"/>
    </row>
    <row r="502" spans="3:7" ht="13">
      <c r="C502" s="80"/>
      <c r="D502" s="5"/>
      <c r="E502" s="5"/>
      <c r="F502" s="5"/>
      <c r="G502" s="5"/>
    </row>
    <row r="503" spans="3:7" ht="13">
      <c r="C503" s="80"/>
      <c r="D503" s="5"/>
      <c r="E503" s="5"/>
      <c r="F503" s="5"/>
      <c r="G503" s="5"/>
    </row>
    <row r="504" spans="3:7" ht="13">
      <c r="C504" s="80"/>
      <c r="D504" s="5"/>
      <c r="E504" s="5"/>
      <c r="F504" s="5"/>
      <c r="G504" s="5"/>
    </row>
    <row r="505" spans="3:7" ht="13">
      <c r="C505" s="80"/>
      <c r="D505" s="5"/>
      <c r="E505" s="5"/>
      <c r="F505" s="5"/>
      <c r="G505" s="5"/>
    </row>
    <row r="506" spans="3:7" ht="13">
      <c r="C506" s="80"/>
      <c r="D506" s="5"/>
      <c r="E506" s="5"/>
      <c r="F506" s="5"/>
      <c r="G506" s="5"/>
    </row>
    <row r="507" spans="3:7" ht="13">
      <c r="C507" s="80"/>
      <c r="D507" s="5"/>
      <c r="E507" s="5"/>
      <c r="F507" s="5"/>
      <c r="G507" s="5"/>
    </row>
    <row r="508" spans="3:7" ht="13">
      <c r="C508" s="80"/>
      <c r="D508" s="5"/>
      <c r="E508" s="5"/>
      <c r="F508" s="5"/>
      <c r="G508" s="5"/>
    </row>
    <row r="509" spans="3:7" ht="13">
      <c r="C509" s="80"/>
      <c r="D509" s="5"/>
      <c r="E509" s="5"/>
      <c r="F509" s="5"/>
      <c r="G509" s="5"/>
    </row>
    <row r="510" spans="3:7" ht="13">
      <c r="C510" s="80"/>
      <c r="D510" s="5"/>
      <c r="E510" s="5"/>
      <c r="F510" s="5"/>
      <c r="G510" s="5"/>
    </row>
    <row r="511" spans="3:7" ht="13">
      <c r="C511" s="80"/>
      <c r="D511" s="5"/>
      <c r="E511" s="5"/>
      <c r="F511" s="5"/>
      <c r="G511" s="5"/>
    </row>
    <row r="512" spans="3:7" ht="13">
      <c r="C512" s="80"/>
      <c r="D512" s="5"/>
      <c r="E512" s="5"/>
      <c r="F512" s="5"/>
      <c r="G512" s="5"/>
    </row>
    <row r="513" spans="3:7" ht="13">
      <c r="C513" s="80"/>
      <c r="D513" s="5"/>
      <c r="E513" s="5"/>
      <c r="F513" s="5"/>
      <c r="G513" s="5"/>
    </row>
    <row r="514" spans="3:7" ht="13">
      <c r="C514" s="80"/>
      <c r="D514" s="5"/>
      <c r="E514" s="5"/>
      <c r="F514" s="5"/>
      <c r="G514" s="5"/>
    </row>
    <row r="515" spans="3:7" ht="13">
      <c r="C515" s="80"/>
      <c r="D515" s="5"/>
      <c r="E515" s="5"/>
      <c r="F515" s="5"/>
      <c r="G515" s="5"/>
    </row>
    <row r="516" spans="3:7" ht="13">
      <c r="C516" s="80"/>
      <c r="D516" s="5"/>
      <c r="E516" s="5"/>
      <c r="F516" s="5"/>
      <c r="G516" s="5"/>
    </row>
    <row r="517" spans="3:7" ht="13">
      <c r="C517" s="80"/>
      <c r="D517" s="5"/>
      <c r="E517" s="5"/>
      <c r="F517" s="5"/>
      <c r="G517" s="5"/>
    </row>
    <row r="518" spans="3:7" ht="13">
      <c r="C518" s="80"/>
      <c r="D518" s="5"/>
      <c r="E518" s="5"/>
      <c r="F518" s="5"/>
      <c r="G518" s="5"/>
    </row>
    <row r="519" spans="3:7" ht="13">
      <c r="C519" s="80"/>
      <c r="D519" s="5"/>
      <c r="E519" s="5"/>
      <c r="F519" s="5"/>
      <c r="G519" s="5"/>
    </row>
    <row r="520" spans="3:7" ht="13">
      <c r="C520" s="80"/>
      <c r="D520" s="5"/>
      <c r="E520" s="5"/>
      <c r="F520" s="5"/>
      <c r="G520" s="5"/>
    </row>
    <row r="521" spans="3:7" ht="13">
      <c r="C521" s="80"/>
      <c r="D521" s="5"/>
      <c r="E521" s="5"/>
      <c r="F521" s="5"/>
      <c r="G521" s="5"/>
    </row>
    <row r="522" spans="3:7" ht="13">
      <c r="C522" s="80"/>
      <c r="D522" s="5"/>
      <c r="E522" s="5"/>
      <c r="F522" s="5"/>
      <c r="G522" s="5"/>
    </row>
    <row r="523" spans="3:7" ht="13">
      <c r="C523" s="80"/>
      <c r="D523" s="5"/>
      <c r="E523" s="5"/>
      <c r="F523" s="5"/>
      <c r="G523" s="5"/>
    </row>
    <row r="524" spans="3:7" ht="13">
      <c r="C524" s="80"/>
      <c r="D524" s="5"/>
      <c r="E524" s="5"/>
      <c r="F524" s="5"/>
      <c r="G524" s="5"/>
    </row>
    <row r="525" spans="3:7" ht="13">
      <c r="C525" s="80"/>
      <c r="D525" s="5"/>
      <c r="E525" s="5"/>
      <c r="F525" s="5"/>
      <c r="G525" s="5"/>
    </row>
    <row r="526" spans="3:7" ht="13">
      <c r="C526" s="80"/>
      <c r="D526" s="5"/>
      <c r="E526" s="5"/>
      <c r="F526" s="5"/>
      <c r="G526" s="5"/>
    </row>
    <row r="527" spans="3:7" ht="13">
      <c r="C527" s="80"/>
      <c r="D527" s="5"/>
      <c r="E527" s="5"/>
      <c r="F527" s="5"/>
      <c r="G527" s="5"/>
    </row>
    <row r="528" spans="3:7" ht="13">
      <c r="C528" s="80"/>
      <c r="D528" s="5"/>
      <c r="E528" s="5"/>
      <c r="F528" s="5"/>
      <c r="G528" s="5"/>
    </row>
    <row r="529" spans="3:7" ht="13">
      <c r="C529" s="80"/>
      <c r="D529" s="5"/>
      <c r="E529" s="5"/>
      <c r="F529" s="5"/>
      <c r="G529" s="5"/>
    </row>
    <row r="530" spans="3:7" ht="13">
      <c r="C530" s="80"/>
      <c r="D530" s="5"/>
      <c r="E530" s="5"/>
      <c r="F530" s="5"/>
      <c r="G530" s="5"/>
    </row>
    <row r="531" spans="3:7" ht="13">
      <c r="C531" s="80"/>
      <c r="D531" s="5"/>
      <c r="E531" s="5"/>
      <c r="F531" s="5"/>
      <c r="G531" s="5"/>
    </row>
    <row r="532" spans="3:7" ht="13">
      <c r="C532" s="80"/>
      <c r="D532" s="5"/>
      <c r="E532" s="5"/>
      <c r="F532" s="5"/>
      <c r="G532" s="5"/>
    </row>
    <row r="533" spans="3:7" ht="13">
      <c r="C533" s="80"/>
      <c r="D533" s="5"/>
      <c r="E533" s="5"/>
      <c r="F533" s="5"/>
      <c r="G533" s="5"/>
    </row>
    <row r="534" spans="3:7" ht="13">
      <c r="C534" s="80"/>
      <c r="D534" s="5"/>
      <c r="E534" s="5"/>
      <c r="F534" s="5"/>
      <c r="G534" s="5"/>
    </row>
    <row r="535" spans="3:7" ht="13">
      <c r="C535" s="80"/>
      <c r="D535" s="5"/>
      <c r="E535" s="5"/>
      <c r="F535" s="5"/>
      <c r="G535" s="5"/>
    </row>
    <row r="536" spans="3:7" ht="13">
      <c r="C536" s="80"/>
      <c r="D536" s="5"/>
      <c r="E536" s="5"/>
      <c r="F536" s="5"/>
      <c r="G536" s="5"/>
    </row>
    <row r="537" spans="3:7" ht="13">
      <c r="C537" s="80"/>
      <c r="D537" s="5"/>
      <c r="E537" s="5"/>
      <c r="F537" s="5"/>
      <c r="G537" s="5"/>
    </row>
    <row r="538" spans="3:7" ht="13">
      <c r="C538" s="80"/>
      <c r="D538" s="5"/>
      <c r="E538" s="5"/>
      <c r="F538" s="5"/>
      <c r="G538" s="5"/>
    </row>
    <row r="539" spans="3:7" ht="13">
      <c r="C539" s="80"/>
      <c r="D539" s="5"/>
      <c r="E539" s="5"/>
      <c r="F539" s="5"/>
      <c r="G539" s="5"/>
    </row>
    <row r="540" spans="3:7" ht="13">
      <c r="C540" s="80"/>
      <c r="D540" s="5"/>
      <c r="E540" s="5"/>
      <c r="F540" s="5"/>
      <c r="G540" s="5"/>
    </row>
    <row r="541" spans="3:7" ht="13">
      <c r="C541" s="80"/>
      <c r="D541" s="5"/>
      <c r="E541" s="5"/>
      <c r="F541" s="5"/>
      <c r="G541" s="5"/>
    </row>
    <row r="542" spans="3:7" ht="13">
      <c r="C542" s="80"/>
      <c r="D542" s="5"/>
      <c r="E542" s="5"/>
      <c r="F542" s="5"/>
      <c r="G542" s="5"/>
    </row>
    <row r="543" spans="3:7" ht="13">
      <c r="C543" s="80"/>
      <c r="D543" s="5"/>
      <c r="E543" s="5"/>
      <c r="F543" s="5"/>
      <c r="G543" s="5"/>
    </row>
    <row r="544" spans="3:7" ht="13">
      <c r="C544" s="80"/>
      <c r="D544" s="5"/>
      <c r="E544" s="5"/>
      <c r="F544" s="5"/>
      <c r="G544" s="5"/>
    </row>
    <row r="545" spans="3:7" ht="13">
      <c r="C545" s="80"/>
      <c r="D545" s="5"/>
      <c r="E545" s="5"/>
      <c r="F545" s="5"/>
      <c r="G545" s="5"/>
    </row>
    <row r="546" spans="3:7" ht="13">
      <c r="C546" s="80"/>
      <c r="D546" s="5"/>
      <c r="E546" s="5"/>
      <c r="F546" s="5"/>
      <c r="G546" s="5"/>
    </row>
    <row r="547" spans="3:7" ht="13">
      <c r="C547" s="80"/>
      <c r="D547" s="5"/>
      <c r="E547" s="5"/>
      <c r="F547" s="5"/>
      <c r="G547" s="5"/>
    </row>
    <row r="548" spans="3:7" ht="13">
      <c r="C548" s="80"/>
      <c r="D548" s="5"/>
      <c r="E548" s="5"/>
      <c r="F548" s="5"/>
      <c r="G548" s="5"/>
    </row>
    <row r="549" spans="3:7" ht="13">
      <c r="C549" s="80"/>
      <c r="D549" s="5"/>
      <c r="E549" s="5"/>
      <c r="F549" s="5"/>
      <c r="G549" s="5"/>
    </row>
    <row r="550" spans="3:7" ht="13">
      <c r="C550" s="80"/>
      <c r="D550" s="5"/>
      <c r="E550" s="5"/>
      <c r="F550" s="5"/>
      <c r="G550" s="5"/>
    </row>
    <row r="551" spans="3:7" ht="13">
      <c r="C551" s="80"/>
      <c r="D551" s="5"/>
      <c r="E551" s="5"/>
      <c r="F551" s="5"/>
      <c r="G551" s="5"/>
    </row>
    <row r="552" spans="3:7" ht="13">
      <c r="C552" s="80"/>
      <c r="D552" s="5"/>
      <c r="E552" s="5"/>
      <c r="F552" s="5"/>
      <c r="G552" s="5"/>
    </row>
    <row r="553" spans="3:7" ht="13">
      <c r="C553" s="80"/>
      <c r="D553" s="5"/>
      <c r="E553" s="5"/>
      <c r="F553" s="5"/>
      <c r="G553" s="5"/>
    </row>
    <row r="554" spans="3:7" ht="13">
      <c r="C554" s="80"/>
      <c r="D554" s="5"/>
      <c r="E554" s="5"/>
      <c r="F554" s="5"/>
      <c r="G554" s="5"/>
    </row>
    <row r="555" spans="3:7" ht="13">
      <c r="C555" s="80"/>
      <c r="D555" s="5"/>
      <c r="E555" s="5"/>
      <c r="F555" s="5"/>
      <c r="G555" s="5"/>
    </row>
    <row r="556" spans="3:7" ht="13">
      <c r="C556" s="80"/>
      <c r="D556" s="5"/>
      <c r="E556" s="5"/>
      <c r="F556" s="5"/>
      <c r="G556" s="5"/>
    </row>
    <row r="557" spans="3:7" ht="13">
      <c r="C557" s="80"/>
      <c r="D557" s="5"/>
      <c r="E557" s="5"/>
      <c r="F557" s="5"/>
      <c r="G557" s="5"/>
    </row>
    <row r="558" spans="3:7" ht="13">
      <c r="C558" s="80"/>
      <c r="D558" s="5"/>
      <c r="E558" s="5"/>
      <c r="F558" s="5"/>
      <c r="G558" s="5"/>
    </row>
    <row r="559" spans="3:7" ht="13">
      <c r="C559" s="80"/>
      <c r="D559" s="5"/>
      <c r="E559" s="5"/>
      <c r="F559" s="5"/>
      <c r="G559" s="5"/>
    </row>
    <row r="560" spans="3:7" ht="13">
      <c r="C560" s="80"/>
      <c r="D560" s="5"/>
      <c r="E560" s="5"/>
      <c r="F560" s="5"/>
      <c r="G560" s="5"/>
    </row>
    <row r="561" spans="3:7" ht="13">
      <c r="C561" s="80"/>
      <c r="D561" s="5"/>
      <c r="E561" s="5"/>
      <c r="F561" s="5"/>
      <c r="G561" s="5"/>
    </row>
    <row r="562" spans="3:7" ht="13">
      <c r="C562" s="80"/>
      <c r="D562" s="5"/>
      <c r="E562" s="5"/>
      <c r="F562" s="5"/>
      <c r="G562" s="5"/>
    </row>
    <row r="563" spans="3:7" ht="13">
      <c r="C563" s="80"/>
      <c r="D563" s="5"/>
      <c r="E563" s="5"/>
      <c r="F563" s="5"/>
      <c r="G563" s="5"/>
    </row>
    <row r="564" spans="3:7" ht="13">
      <c r="C564" s="80"/>
      <c r="D564" s="5"/>
      <c r="E564" s="5"/>
      <c r="F564" s="5"/>
      <c r="G564" s="5"/>
    </row>
    <row r="565" spans="3:7" ht="13">
      <c r="C565" s="80"/>
      <c r="D565" s="5"/>
      <c r="E565" s="5"/>
      <c r="F565" s="5"/>
      <c r="G565" s="5"/>
    </row>
    <row r="566" spans="3:7" ht="13">
      <c r="C566" s="80"/>
      <c r="D566" s="5"/>
      <c r="E566" s="5"/>
      <c r="F566" s="5"/>
      <c r="G566" s="5"/>
    </row>
    <row r="567" spans="3:7" ht="13">
      <c r="C567" s="80"/>
      <c r="D567" s="5"/>
      <c r="E567" s="5"/>
      <c r="F567" s="5"/>
      <c r="G567" s="5"/>
    </row>
    <row r="568" spans="3:7" ht="13">
      <c r="C568" s="80"/>
      <c r="D568" s="5"/>
      <c r="E568" s="5"/>
      <c r="F568" s="5"/>
      <c r="G568" s="5"/>
    </row>
    <row r="569" spans="3:7" ht="13">
      <c r="C569" s="80"/>
      <c r="D569" s="5"/>
      <c r="E569" s="5"/>
      <c r="F569" s="5"/>
      <c r="G569" s="5"/>
    </row>
    <row r="570" spans="3:7" ht="13">
      <c r="C570" s="80"/>
      <c r="D570" s="5"/>
      <c r="E570" s="5"/>
      <c r="F570" s="5"/>
      <c r="G570" s="5"/>
    </row>
    <row r="571" spans="3:7" ht="13">
      <c r="C571" s="80"/>
      <c r="D571" s="5"/>
      <c r="E571" s="5"/>
      <c r="F571" s="5"/>
      <c r="G571" s="5"/>
    </row>
    <row r="572" spans="3:7" ht="13">
      <c r="C572" s="80"/>
      <c r="D572" s="5"/>
      <c r="E572" s="5"/>
      <c r="F572" s="5"/>
      <c r="G572" s="5"/>
    </row>
    <row r="573" spans="3:7" ht="13">
      <c r="C573" s="80"/>
      <c r="D573" s="5"/>
      <c r="E573" s="5"/>
      <c r="F573" s="5"/>
      <c r="G573" s="5"/>
    </row>
    <row r="574" spans="3:7" ht="13">
      <c r="C574" s="80"/>
      <c r="D574" s="5"/>
      <c r="E574" s="5"/>
      <c r="F574" s="5"/>
      <c r="G574" s="5"/>
    </row>
    <row r="575" spans="3:7" ht="13">
      <c r="C575" s="80"/>
      <c r="D575" s="5"/>
      <c r="E575" s="5"/>
      <c r="F575" s="5"/>
      <c r="G575" s="5"/>
    </row>
    <row r="576" spans="3:7" ht="13">
      <c r="C576" s="80"/>
      <c r="D576" s="5"/>
      <c r="E576" s="5"/>
      <c r="F576" s="5"/>
      <c r="G576" s="5"/>
    </row>
    <row r="577" spans="3:7" ht="13">
      <c r="C577" s="80"/>
      <c r="D577" s="5"/>
      <c r="E577" s="5"/>
      <c r="F577" s="5"/>
      <c r="G577" s="5"/>
    </row>
    <row r="578" spans="3:7" ht="13">
      <c r="C578" s="80"/>
      <c r="D578" s="5"/>
      <c r="E578" s="5"/>
      <c r="F578" s="5"/>
      <c r="G578" s="5"/>
    </row>
    <row r="579" spans="3:7" ht="13">
      <c r="C579" s="80"/>
      <c r="D579" s="5"/>
      <c r="E579" s="5"/>
      <c r="F579" s="5"/>
      <c r="G579" s="5"/>
    </row>
    <row r="580" spans="3:7" ht="13">
      <c r="C580" s="80"/>
      <c r="D580" s="5"/>
      <c r="E580" s="5"/>
      <c r="F580" s="5"/>
      <c r="G580" s="5"/>
    </row>
    <row r="581" spans="3:7" ht="13">
      <c r="C581" s="80"/>
      <c r="D581" s="5"/>
      <c r="E581" s="5"/>
      <c r="F581" s="5"/>
      <c r="G581" s="5"/>
    </row>
    <row r="582" spans="3:7" ht="13">
      <c r="C582" s="80"/>
      <c r="D582" s="5"/>
      <c r="E582" s="5"/>
      <c r="F582" s="5"/>
      <c r="G582" s="5"/>
    </row>
    <row r="583" spans="3:7" ht="13">
      <c r="C583" s="80"/>
      <c r="D583" s="5"/>
      <c r="E583" s="5"/>
      <c r="F583" s="5"/>
      <c r="G583" s="5"/>
    </row>
    <row r="584" spans="3:7" ht="13">
      <c r="C584" s="80"/>
      <c r="D584" s="5"/>
      <c r="E584" s="5"/>
      <c r="F584" s="5"/>
      <c r="G584" s="5"/>
    </row>
    <row r="585" spans="3:7" ht="13">
      <c r="C585" s="80"/>
      <c r="D585" s="5"/>
      <c r="E585" s="5"/>
      <c r="F585" s="5"/>
      <c r="G585" s="5"/>
    </row>
    <row r="586" spans="3:7" ht="13">
      <c r="C586" s="80"/>
      <c r="D586" s="5"/>
      <c r="E586" s="5"/>
      <c r="F586" s="5"/>
      <c r="G586" s="5"/>
    </row>
    <row r="587" spans="3:7" ht="13">
      <c r="C587" s="80"/>
      <c r="D587" s="5"/>
      <c r="E587" s="5"/>
      <c r="F587" s="5"/>
      <c r="G587" s="5"/>
    </row>
    <row r="588" spans="3:7" ht="13">
      <c r="C588" s="80"/>
      <c r="D588" s="5"/>
      <c r="E588" s="5"/>
      <c r="F588" s="5"/>
      <c r="G588" s="5"/>
    </row>
    <row r="589" spans="3:7" ht="13">
      <c r="C589" s="80"/>
      <c r="D589" s="5"/>
      <c r="E589" s="5"/>
      <c r="F589" s="5"/>
      <c r="G589" s="5"/>
    </row>
    <row r="590" spans="3:7" ht="13">
      <c r="C590" s="80"/>
      <c r="D590" s="5"/>
      <c r="E590" s="5"/>
      <c r="F590" s="5"/>
      <c r="G590" s="5"/>
    </row>
    <row r="591" spans="3:7" ht="13">
      <c r="C591" s="80"/>
      <c r="D591" s="5"/>
      <c r="E591" s="5"/>
      <c r="F591" s="5"/>
      <c r="G591" s="5"/>
    </row>
    <row r="592" spans="3:7" ht="13">
      <c r="C592" s="80"/>
      <c r="D592" s="5"/>
      <c r="E592" s="5"/>
      <c r="F592" s="5"/>
      <c r="G592" s="5"/>
    </row>
    <row r="593" spans="3:7" ht="13">
      <c r="C593" s="80"/>
      <c r="D593" s="5"/>
      <c r="E593" s="5"/>
      <c r="F593" s="5"/>
      <c r="G593" s="5"/>
    </row>
    <row r="594" spans="3:7" ht="13">
      <c r="C594" s="80"/>
      <c r="D594" s="5"/>
      <c r="E594" s="5"/>
      <c r="F594" s="5"/>
      <c r="G594" s="5"/>
    </row>
    <row r="595" spans="3:7" ht="13">
      <c r="C595" s="80"/>
      <c r="D595" s="5"/>
      <c r="E595" s="5"/>
      <c r="F595" s="5"/>
      <c r="G595" s="5"/>
    </row>
    <row r="596" spans="3:7" ht="13">
      <c r="C596" s="80"/>
      <c r="D596" s="5"/>
      <c r="E596" s="5"/>
      <c r="F596" s="5"/>
      <c r="G596" s="5"/>
    </row>
    <row r="597" spans="3:7" ht="13">
      <c r="C597" s="80"/>
      <c r="D597" s="5"/>
      <c r="E597" s="5"/>
      <c r="F597" s="5"/>
      <c r="G597" s="5"/>
    </row>
    <row r="598" spans="3:7" ht="13">
      <c r="C598" s="80"/>
      <c r="D598" s="5"/>
      <c r="E598" s="5"/>
      <c r="F598" s="5"/>
      <c r="G598" s="5"/>
    </row>
    <row r="599" spans="3:7" ht="13">
      <c r="C599" s="80"/>
      <c r="D599" s="5"/>
      <c r="E599" s="5"/>
      <c r="F599" s="5"/>
      <c r="G599" s="5"/>
    </row>
    <row r="600" spans="3:7" ht="13">
      <c r="C600" s="80"/>
      <c r="D600" s="5"/>
      <c r="E600" s="5"/>
      <c r="F600" s="5"/>
      <c r="G600" s="5"/>
    </row>
    <row r="601" spans="3:7" ht="13">
      <c r="C601" s="80"/>
      <c r="D601" s="5"/>
      <c r="E601" s="5"/>
      <c r="F601" s="5"/>
      <c r="G601" s="5"/>
    </row>
    <row r="602" spans="3:7" ht="13">
      <c r="C602" s="80"/>
      <c r="D602" s="5"/>
      <c r="E602" s="5"/>
      <c r="F602" s="5"/>
      <c r="G602" s="5"/>
    </row>
    <row r="603" spans="3:7" ht="13">
      <c r="C603" s="80"/>
      <c r="D603" s="5"/>
      <c r="E603" s="5"/>
      <c r="F603" s="5"/>
      <c r="G603" s="5"/>
    </row>
    <row r="604" spans="3:7" ht="13">
      <c r="C604" s="80"/>
      <c r="D604" s="5"/>
      <c r="E604" s="5"/>
      <c r="F604" s="5"/>
      <c r="G604" s="5"/>
    </row>
    <row r="605" spans="3:7" ht="13">
      <c r="C605" s="80"/>
      <c r="D605" s="5"/>
      <c r="E605" s="5"/>
      <c r="F605" s="5"/>
      <c r="G605" s="5"/>
    </row>
    <row r="606" spans="3:7" ht="13">
      <c r="C606" s="80"/>
      <c r="D606" s="5"/>
      <c r="E606" s="5"/>
      <c r="F606" s="5"/>
      <c r="G606" s="5"/>
    </row>
    <row r="607" spans="3:7" ht="13">
      <c r="C607" s="80"/>
      <c r="D607" s="5"/>
      <c r="E607" s="5"/>
      <c r="F607" s="5"/>
      <c r="G607" s="5"/>
    </row>
    <row r="608" spans="3:7" ht="13">
      <c r="C608" s="80"/>
      <c r="D608" s="5"/>
      <c r="E608" s="5"/>
      <c r="F608" s="5"/>
      <c r="G608" s="5"/>
    </row>
    <row r="609" spans="3:7" ht="13">
      <c r="C609" s="80"/>
      <c r="D609" s="5"/>
      <c r="E609" s="5"/>
      <c r="F609" s="5"/>
      <c r="G609" s="5"/>
    </row>
    <row r="610" spans="3:7" ht="13">
      <c r="C610" s="80"/>
      <c r="D610" s="5"/>
      <c r="E610" s="5"/>
      <c r="F610" s="5"/>
      <c r="G610" s="5"/>
    </row>
    <row r="611" spans="3:7" ht="13">
      <c r="C611" s="80"/>
      <c r="D611" s="5"/>
      <c r="E611" s="5"/>
      <c r="F611" s="5"/>
      <c r="G611" s="5"/>
    </row>
    <row r="612" spans="3:7" ht="13">
      <c r="C612" s="80"/>
      <c r="D612" s="5"/>
      <c r="E612" s="5"/>
      <c r="F612" s="5"/>
      <c r="G612" s="5"/>
    </row>
    <row r="613" spans="3:7" ht="13">
      <c r="C613" s="80"/>
      <c r="D613" s="5"/>
      <c r="E613" s="5"/>
      <c r="F613" s="5"/>
      <c r="G613" s="5"/>
    </row>
    <row r="614" spans="3:7" ht="13">
      <c r="C614" s="80"/>
      <c r="D614" s="5"/>
      <c r="E614" s="5"/>
      <c r="F614" s="5"/>
      <c r="G614" s="5"/>
    </row>
    <row r="615" spans="3:7" ht="13">
      <c r="C615" s="80"/>
      <c r="D615" s="5"/>
      <c r="E615" s="5"/>
      <c r="F615" s="5"/>
      <c r="G615" s="5"/>
    </row>
    <row r="616" spans="3:7" ht="13">
      <c r="C616" s="80"/>
      <c r="D616" s="5"/>
      <c r="E616" s="5"/>
      <c r="F616" s="5"/>
      <c r="G616" s="5"/>
    </row>
    <row r="617" spans="3:7" ht="13">
      <c r="C617" s="80"/>
      <c r="D617" s="5"/>
      <c r="E617" s="5"/>
      <c r="F617" s="5"/>
      <c r="G617" s="5"/>
    </row>
    <row r="618" spans="3:7" ht="13">
      <c r="C618" s="80"/>
      <c r="D618" s="5"/>
      <c r="E618" s="5"/>
      <c r="F618" s="5"/>
      <c r="G618" s="5"/>
    </row>
    <row r="619" spans="3:7" ht="13">
      <c r="C619" s="80"/>
      <c r="D619" s="5"/>
      <c r="E619" s="5"/>
      <c r="F619" s="5"/>
      <c r="G619" s="5"/>
    </row>
    <row r="620" spans="3:7" ht="13">
      <c r="C620" s="80"/>
      <c r="D620" s="5"/>
      <c r="E620" s="5"/>
      <c r="F620" s="5"/>
      <c r="G620" s="5"/>
    </row>
    <row r="621" spans="3:7" ht="13">
      <c r="C621" s="80"/>
      <c r="D621" s="5"/>
      <c r="E621" s="5"/>
      <c r="F621" s="5"/>
      <c r="G621" s="5"/>
    </row>
    <row r="622" spans="3:7" ht="13">
      <c r="C622" s="80"/>
      <c r="D622" s="5"/>
      <c r="E622" s="5"/>
      <c r="F622" s="5"/>
      <c r="G622" s="5"/>
    </row>
    <row r="623" spans="3:7" ht="13">
      <c r="C623" s="80"/>
      <c r="D623" s="5"/>
      <c r="E623" s="5"/>
      <c r="F623" s="5"/>
      <c r="G623" s="5"/>
    </row>
    <row r="624" spans="3:7" ht="13">
      <c r="C624" s="80"/>
      <c r="D624" s="5"/>
      <c r="E624" s="5"/>
      <c r="F624" s="5"/>
      <c r="G624" s="5"/>
    </row>
    <row r="625" spans="3:7" ht="13">
      <c r="C625" s="80"/>
      <c r="D625" s="5"/>
      <c r="E625" s="5"/>
      <c r="F625" s="5"/>
      <c r="G625" s="5"/>
    </row>
    <row r="626" spans="3:7" ht="13">
      <c r="C626" s="80"/>
      <c r="D626" s="5"/>
      <c r="E626" s="5"/>
      <c r="F626" s="5"/>
      <c r="G626" s="5"/>
    </row>
    <row r="627" spans="3:7" ht="13">
      <c r="C627" s="80"/>
      <c r="D627" s="5"/>
      <c r="E627" s="5"/>
      <c r="F627" s="5"/>
      <c r="G627" s="5"/>
    </row>
    <row r="628" spans="3:7" ht="13">
      <c r="C628" s="80"/>
      <c r="D628" s="5"/>
      <c r="E628" s="5"/>
      <c r="F628" s="5"/>
      <c r="G628" s="5"/>
    </row>
    <row r="629" spans="3:7" ht="13">
      <c r="C629" s="80"/>
      <c r="D629" s="5"/>
      <c r="E629" s="5"/>
      <c r="F629" s="5"/>
      <c r="G629" s="5"/>
    </row>
    <row r="630" spans="3:7" ht="13">
      <c r="C630" s="80"/>
      <c r="D630" s="5"/>
      <c r="E630" s="5"/>
      <c r="F630" s="5"/>
      <c r="G630" s="5"/>
    </row>
    <row r="631" spans="3:7" ht="13">
      <c r="C631" s="80"/>
      <c r="D631" s="5"/>
      <c r="E631" s="5"/>
      <c r="F631" s="5"/>
      <c r="G631" s="5"/>
    </row>
    <row r="632" spans="3:7" ht="13">
      <c r="C632" s="80"/>
      <c r="D632" s="5"/>
      <c r="E632" s="5"/>
      <c r="F632" s="5"/>
      <c r="G632" s="5"/>
    </row>
    <row r="633" spans="3:7" ht="13">
      <c r="C633" s="80"/>
      <c r="D633" s="5"/>
      <c r="E633" s="5"/>
      <c r="F633" s="5"/>
      <c r="G633" s="5"/>
    </row>
    <row r="634" spans="3:7" ht="13">
      <c r="C634" s="80"/>
      <c r="D634" s="5"/>
      <c r="E634" s="5"/>
      <c r="F634" s="5"/>
      <c r="G634" s="5"/>
    </row>
    <row r="635" spans="3:7" ht="13">
      <c r="C635" s="80"/>
      <c r="D635" s="5"/>
      <c r="E635" s="5"/>
      <c r="F635" s="5"/>
      <c r="G635" s="5"/>
    </row>
    <row r="636" spans="3:7" ht="13">
      <c r="C636" s="80"/>
      <c r="D636" s="5"/>
      <c r="E636" s="5"/>
      <c r="F636" s="5"/>
      <c r="G636" s="5"/>
    </row>
    <row r="637" spans="3:7" ht="13">
      <c r="C637" s="80"/>
      <c r="D637" s="5"/>
      <c r="E637" s="5"/>
      <c r="F637" s="5"/>
      <c r="G637" s="5"/>
    </row>
    <row r="638" spans="3:7" ht="13">
      <c r="C638" s="80"/>
      <c r="D638" s="5"/>
      <c r="E638" s="5"/>
      <c r="F638" s="5"/>
      <c r="G638" s="5"/>
    </row>
    <row r="639" spans="3:7" ht="13">
      <c r="C639" s="80"/>
      <c r="D639" s="5"/>
      <c r="E639" s="5"/>
      <c r="F639" s="5"/>
      <c r="G639" s="5"/>
    </row>
    <row r="640" spans="3:7" ht="13">
      <c r="C640" s="80"/>
      <c r="D640" s="5"/>
      <c r="E640" s="5"/>
      <c r="F640" s="5"/>
      <c r="G640" s="5"/>
    </row>
    <row r="641" spans="3:7" ht="13">
      <c r="C641" s="80"/>
      <c r="D641" s="5"/>
      <c r="E641" s="5"/>
      <c r="F641" s="5"/>
      <c r="G641" s="5"/>
    </row>
    <row r="642" spans="3:7" ht="13">
      <c r="C642" s="80"/>
      <c r="D642" s="5"/>
      <c r="E642" s="5"/>
      <c r="F642" s="5"/>
      <c r="G642" s="5"/>
    </row>
    <row r="643" spans="3:7" ht="13">
      <c r="C643" s="80"/>
      <c r="D643" s="5"/>
      <c r="E643" s="5"/>
      <c r="F643" s="5"/>
      <c r="G643" s="5"/>
    </row>
    <row r="644" spans="3:7" ht="13">
      <c r="C644" s="80"/>
      <c r="D644" s="5"/>
      <c r="E644" s="5"/>
      <c r="F644" s="5"/>
      <c r="G644" s="5"/>
    </row>
    <row r="645" spans="3:7" ht="13">
      <c r="C645" s="80"/>
      <c r="D645" s="5"/>
      <c r="E645" s="5"/>
      <c r="F645" s="5"/>
      <c r="G645" s="5"/>
    </row>
    <row r="646" spans="3:7" ht="13">
      <c r="C646" s="80"/>
      <c r="D646" s="5"/>
      <c r="E646" s="5"/>
      <c r="F646" s="5"/>
      <c r="G646" s="5"/>
    </row>
    <row r="647" spans="3:7" ht="13">
      <c r="C647" s="80"/>
      <c r="D647" s="5"/>
      <c r="E647" s="5"/>
      <c r="F647" s="5"/>
      <c r="G647" s="5"/>
    </row>
    <row r="648" spans="3:7" ht="13">
      <c r="C648" s="80"/>
      <c r="D648" s="5"/>
      <c r="E648" s="5"/>
      <c r="F648" s="5"/>
      <c r="G648" s="5"/>
    </row>
    <row r="649" spans="3:7" ht="13">
      <c r="C649" s="80"/>
      <c r="D649" s="5"/>
      <c r="E649" s="5"/>
      <c r="F649" s="5"/>
      <c r="G649" s="5"/>
    </row>
    <row r="650" spans="3:7" ht="13">
      <c r="C650" s="80"/>
      <c r="D650" s="5"/>
      <c r="E650" s="5"/>
      <c r="F650" s="5"/>
      <c r="G650" s="5"/>
    </row>
    <row r="651" spans="3:7" ht="13">
      <c r="C651" s="80"/>
      <c r="D651" s="5"/>
      <c r="E651" s="5"/>
      <c r="F651" s="5"/>
      <c r="G651" s="5"/>
    </row>
    <row r="652" spans="3:7" ht="13">
      <c r="C652" s="80"/>
      <c r="D652" s="5"/>
      <c r="E652" s="5"/>
      <c r="F652" s="5"/>
      <c r="G652" s="5"/>
    </row>
    <row r="653" spans="3:7" ht="13">
      <c r="C653" s="80"/>
      <c r="D653" s="5"/>
      <c r="E653" s="5"/>
      <c r="F653" s="5"/>
      <c r="G653" s="5"/>
    </row>
    <row r="654" spans="3:7" ht="13">
      <c r="C654" s="80"/>
      <c r="D654" s="5"/>
      <c r="E654" s="5"/>
      <c r="F654" s="5"/>
      <c r="G654" s="5"/>
    </row>
    <row r="655" spans="3:7" ht="13">
      <c r="C655" s="80"/>
      <c r="D655" s="5"/>
      <c r="E655" s="5"/>
      <c r="F655" s="5"/>
      <c r="G655" s="5"/>
    </row>
    <row r="656" spans="3:7" ht="13">
      <c r="C656" s="80"/>
      <c r="D656" s="5"/>
      <c r="E656" s="5"/>
      <c r="F656" s="5"/>
      <c r="G656" s="5"/>
    </row>
    <row r="657" spans="3:7" ht="13">
      <c r="C657" s="80"/>
      <c r="D657" s="5"/>
      <c r="E657" s="5"/>
      <c r="F657" s="5"/>
      <c r="G657" s="5"/>
    </row>
    <row r="658" spans="3:7" ht="13">
      <c r="C658" s="80"/>
      <c r="D658" s="5"/>
      <c r="E658" s="5"/>
      <c r="F658" s="5"/>
      <c r="G658" s="5"/>
    </row>
    <row r="659" spans="3:7" ht="13">
      <c r="C659" s="80"/>
      <c r="D659" s="5"/>
      <c r="E659" s="5"/>
      <c r="F659" s="5"/>
      <c r="G659" s="5"/>
    </row>
    <row r="660" spans="3:7" ht="13">
      <c r="C660" s="80"/>
      <c r="D660" s="5"/>
      <c r="E660" s="5"/>
      <c r="F660" s="5"/>
      <c r="G660" s="5"/>
    </row>
    <row r="661" spans="3:7" ht="13">
      <c r="C661" s="80"/>
      <c r="D661" s="5"/>
      <c r="E661" s="5"/>
      <c r="F661" s="5"/>
      <c r="G661" s="5"/>
    </row>
    <row r="662" spans="3:7" ht="13">
      <c r="C662" s="80"/>
      <c r="D662" s="5"/>
      <c r="E662" s="5"/>
      <c r="F662" s="5"/>
      <c r="G662" s="5"/>
    </row>
    <row r="663" spans="3:7" ht="13">
      <c r="C663" s="80"/>
      <c r="D663" s="5"/>
      <c r="E663" s="5"/>
      <c r="F663" s="5"/>
      <c r="G663" s="5"/>
    </row>
    <row r="664" spans="3:7" ht="13">
      <c r="C664" s="80"/>
      <c r="D664" s="5"/>
      <c r="E664" s="5"/>
      <c r="F664" s="5"/>
      <c r="G664" s="5"/>
    </row>
    <row r="665" spans="3:7" ht="13">
      <c r="C665" s="80"/>
      <c r="D665" s="5"/>
      <c r="E665" s="5"/>
      <c r="F665" s="5"/>
      <c r="G665" s="5"/>
    </row>
    <row r="666" spans="3:7" ht="13">
      <c r="C666" s="80"/>
      <c r="D666" s="5"/>
      <c r="E666" s="5"/>
      <c r="F666" s="5"/>
      <c r="G666" s="5"/>
    </row>
    <row r="667" spans="3:7" ht="13">
      <c r="C667" s="80"/>
      <c r="D667" s="5"/>
      <c r="E667" s="5"/>
      <c r="F667" s="5"/>
      <c r="G667" s="5"/>
    </row>
    <row r="668" spans="3:7" ht="13">
      <c r="C668" s="80"/>
      <c r="D668" s="5"/>
      <c r="E668" s="5"/>
      <c r="F668" s="5"/>
      <c r="G668" s="5"/>
    </row>
    <row r="669" spans="3:7" ht="13">
      <c r="C669" s="80"/>
      <c r="D669" s="5"/>
      <c r="E669" s="5"/>
      <c r="F669" s="5"/>
      <c r="G669" s="5"/>
    </row>
    <row r="670" spans="3:7" ht="13">
      <c r="C670" s="80"/>
      <c r="D670" s="5"/>
      <c r="E670" s="5"/>
      <c r="F670" s="5"/>
      <c r="G670" s="5"/>
    </row>
    <row r="671" spans="3:7" ht="13">
      <c r="C671" s="80"/>
      <c r="D671" s="5"/>
      <c r="E671" s="5"/>
      <c r="F671" s="5"/>
      <c r="G671" s="5"/>
    </row>
    <row r="672" spans="3:7" ht="13">
      <c r="C672" s="80"/>
      <c r="D672" s="5"/>
      <c r="E672" s="5"/>
      <c r="F672" s="5"/>
      <c r="G672" s="5"/>
    </row>
    <row r="673" spans="3:7" ht="13">
      <c r="C673" s="80"/>
      <c r="D673" s="5"/>
      <c r="E673" s="5"/>
      <c r="F673" s="5"/>
      <c r="G673" s="5"/>
    </row>
    <row r="674" spans="3:7" ht="13">
      <c r="C674" s="80"/>
      <c r="D674" s="5"/>
      <c r="E674" s="5"/>
      <c r="F674" s="5"/>
      <c r="G674" s="5"/>
    </row>
    <row r="675" spans="3:7" ht="13">
      <c r="C675" s="80"/>
      <c r="D675" s="5"/>
      <c r="E675" s="5"/>
      <c r="F675" s="5"/>
      <c r="G675" s="5"/>
    </row>
    <row r="676" spans="3:7" ht="13">
      <c r="C676" s="80"/>
      <c r="D676" s="5"/>
      <c r="E676" s="5"/>
      <c r="F676" s="5"/>
      <c r="G676" s="5"/>
    </row>
    <row r="677" spans="3:7" ht="13">
      <c r="C677" s="80"/>
      <c r="D677" s="5"/>
      <c r="E677" s="5"/>
      <c r="F677" s="5"/>
      <c r="G677" s="5"/>
    </row>
    <row r="678" spans="3:7" ht="13">
      <c r="C678" s="80"/>
      <c r="D678" s="5"/>
      <c r="E678" s="5"/>
      <c r="F678" s="5"/>
      <c r="G678" s="5"/>
    </row>
    <row r="679" spans="3:7" ht="13">
      <c r="C679" s="80"/>
      <c r="D679" s="5"/>
      <c r="E679" s="5"/>
      <c r="F679" s="5"/>
      <c r="G679" s="5"/>
    </row>
    <row r="680" spans="3:7" ht="13">
      <c r="C680" s="80"/>
      <c r="D680" s="5"/>
      <c r="E680" s="5"/>
      <c r="F680" s="5"/>
      <c r="G680" s="5"/>
    </row>
    <row r="681" spans="3:7" ht="13">
      <c r="C681" s="80"/>
      <c r="D681" s="5"/>
      <c r="E681" s="5"/>
      <c r="F681" s="5"/>
      <c r="G681" s="5"/>
    </row>
    <row r="682" spans="3:7" ht="13">
      <c r="C682" s="80"/>
      <c r="D682" s="5"/>
      <c r="E682" s="5"/>
      <c r="F682" s="5"/>
      <c r="G682" s="5"/>
    </row>
    <row r="683" spans="3:7" ht="13">
      <c r="C683" s="80"/>
      <c r="D683" s="5"/>
      <c r="E683" s="5"/>
      <c r="F683" s="5"/>
      <c r="G683" s="5"/>
    </row>
    <row r="684" spans="3:7" ht="13">
      <c r="C684" s="80"/>
      <c r="D684" s="5"/>
      <c r="E684" s="5"/>
      <c r="F684" s="5"/>
      <c r="G684" s="5"/>
    </row>
    <row r="685" spans="3:7" ht="13">
      <c r="C685" s="80"/>
      <c r="D685" s="5"/>
      <c r="E685" s="5"/>
      <c r="F685" s="5"/>
      <c r="G685" s="5"/>
    </row>
    <row r="686" spans="3:7" ht="13">
      <c r="C686" s="80"/>
      <c r="D686" s="5"/>
      <c r="E686" s="5"/>
      <c r="F686" s="5"/>
      <c r="G686" s="5"/>
    </row>
    <row r="687" spans="3:7" ht="13">
      <c r="C687" s="80"/>
      <c r="D687" s="5"/>
      <c r="E687" s="5"/>
      <c r="F687" s="5"/>
      <c r="G687" s="5"/>
    </row>
    <row r="688" spans="3:7" ht="13">
      <c r="C688" s="80"/>
      <c r="D688" s="5"/>
      <c r="E688" s="5"/>
      <c r="F688" s="5"/>
      <c r="G688" s="5"/>
    </row>
    <row r="689" spans="3:7" ht="13">
      <c r="C689" s="80"/>
      <c r="D689" s="5"/>
      <c r="E689" s="5"/>
      <c r="F689" s="5"/>
      <c r="G689" s="5"/>
    </row>
    <row r="690" spans="3:7" ht="13">
      <c r="C690" s="80"/>
      <c r="D690" s="5"/>
      <c r="E690" s="5"/>
      <c r="F690" s="5"/>
      <c r="G690" s="5"/>
    </row>
    <row r="691" spans="3:7" ht="13">
      <c r="C691" s="80"/>
      <c r="D691" s="5"/>
      <c r="E691" s="5"/>
      <c r="F691" s="5"/>
      <c r="G691" s="5"/>
    </row>
    <row r="692" spans="3:7" ht="13">
      <c r="C692" s="80"/>
      <c r="D692" s="5"/>
      <c r="E692" s="5"/>
      <c r="F692" s="5"/>
      <c r="G692" s="5"/>
    </row>
    <row r="693" spans="3:7" ht="13">
      <c r="C693" s="80"/>
      <c r="D693" s="5"/>
      <c r="E693" s="5"/>
      <c r="F693" s="5"/>
      <c r="G693" s="5"/>
    </row>
    <row r="694" spans="3:7" ht="13">
      <c r="C694" s="80"/>
      <c r="D694" s="5"/>
      <c r="E694" s="5"/>
      <c r="F694" s="5"/>
      <c r="G694" s="5"/>
    </row>
    <row r="695" spans="3:7" ht="13">
      <c r="C695" s="80"/>
      <c r="D695" s="5"/>
      <c r="E695" s="5"/>
      <c r="F695" s="5"/>
      <c r="G695" s="5"/>
    </row>
    <row r="696" spans="3:7" ht="13">
      <c r="C696" s="80"/>
      <c r="D696" s="5"/>
      <c r="E696" s="5"/>
      <c r="F696" s="5"/>
      <c r="G696" s="5"/>
    </row>
    <row r="697" spans="3:7" ht="13">
      <c r="C697" s="80"/>
      <c r="D697" s="5"/>
      <c r="E697" s="5"/>
      <c r="F697" s="5"/>
      <c r="G697" s="5"/>
    </row>
    <row r="698" spans="3:7" ht="13">
      <c r="C698" s="80"/>
      <c r="D698" s="5"/>
      <c r="E698" s="5"/>
      <c r="F698" s="5"/>
      <c r="G698" s="5"/>
    </row>
    <row r="699" spans="3:7" ht="13">
      <c r="C699" s="80"/>
      <c r="D699" s="5"/>
      <c r="E699" s="5"/>
      <c r="F699" s="5"/>
      <c r="G699" s="5"/>
    </row>
    <row r="700" spans="3:7" ht="13">
      <c r="C700" s="80"/>
      <c r="D700" s="5"/>
      <c r="E700" s="5"/>
      <c r="F700" s="5"/>
      <c r="G700" s="5"/>
    </row>
    <row r="701" spans="3:7" ht="13">
      <c r="C701" s="80"/>
      <c r="D701" s="5"/>
      <c r="E701" s="5"/>
      <c r="F701" s="5"/>
      <c r="G701" s="5"/>
    </row>
    <row r="702" spans="3:7" ht="13">
      <c r="C702" s="80"/>
      <c r="D702" s="5"/>
      <c r="E702" s="5"/>
      <c r="F702" s="5"/>
      <c r="G702" s="5"/>
    </row>
    <row r="703" spans="3:7" ht="13">
      <c r="C703" s="80"/>
      <c r="D703" s="5"/>
      <c r="E703" s="5"/>
      <c r="F703" s="5"/>
      <c r="G703" s="5"/>
    </row>
    <row r="704" spans="3:7" ht="13">
      <c r="C704" s="80"/>
      <c r="D704" s="5"/>
      <c r="E704" s="5"/>
      <c r="F704" s="5"/>
      <c r="G704" s="5"/>
    </row>
    <row r="705" spans="3:7" ht="13">
      <c r="C705" s="80"/>
      <c r="D705" s="5"/>
      <c r="E705" s="5"/>
      <c r="F705" s="5"/>
      <c r="G705" s="5"/>
    </row>
    <row r="706" spans="3:7" ht="13">
      <c r="C706" s="80"/>
      <c r="D706" s="5"/>
      <c r="E706" s="5"/>
      <c r="F706" s="5"/>
      <c r="G706" s="5"/>
    </row>
    <row r="707" spans="3:7" ht="13">
      <c r="C707" s="80"/>
      <c r="D707" s="5"/>
      <c r="E707" s="5"/>
      <c r="F707" s="5"/>
      <c r="G707" s="5"/>
    </row>
    <row r="708" spans="3:7" ht="13">
      <c r="C708" s="80"/>
      <c r="D708" s="5"/>
      <c r="E708" s="5"/>
      <c r="F708" s="5"/>
      <c r="G708" s="5"/>
    </row>
    <row r="709" spans="3:7" ht="13">
      <c r="C709" s="80"/>
      <c r="D709" s="5"/>
      <c r="E709" s="5"/>
      <c r="F709" s="5"/>
      <c r="G709" s="5"/>
    </row>
    <row r="710" spans="3:7" ht="13">
      <c r="C710" s="80"/>
      <c r="D710" s="5"/>
      <c r="E710" s="5"/>
      <c r="F710" s="5"/>
      <c r="G710" s="5"/>
    </row>
    <row r="711" spans="3:7" ht="13">
      <c r="C711" s="80"/>
      <c r="D711" s="5"/>
      <c r="E711" s="5"/>
      <c r="F711" s="5"/>
      <c r="G711" s="5"/>
    </row>
    <row r="712" spans="3:7" ht="13">
      <c r="C712" s="80"/>
      <c r="D712" s="5"/>
      <c r="E712" s="5"/>
      <c r="F712" s="5"/>
      <c r="G712" s="5"/>
    </row>
    <row r="713" spans="3:7" ht="13">
      <c r="C713" s="80"/>
      <c r="D713" s="5"/>
      <c r="E713" s="5"/>
      <c r="F713" s="5"/>
      <c r="G713" s="5"/>
    </row>
    <row r="714" spans="3:7" ht="13">
      <c r="C714" s="80"/>
      <c r="D714" s="5"/>
      <c r="E714" s="5"/>
      <c r="F714" s="5"/>
      <c r="G714" s="5"/>
    </row>
    <row r="715" spans="3:7" ht="13">
      <c r="C715" s="80"/>
      <c r="D715" s="5"/>
      <c r="E715" s="5"/>
      <c r="F715" s="5"/>
      <c r="G715" s="5"/>
    </row>
    <row r="716" spans="3:7" ht="13">
      <c r="C716" s="80"/>
      <c r="D716" s="5"/>
      <c r="E716" s="5"/>
      <c r="F716" s="5"/>
      <c r="G716" s="5"/>
    </row>
    <row r="717" spans="3:7" ht="13">
      <c r="C717" s="80"/>
      <c r="D717" s="5"/>
      <c r="E717" s="5"/>
      <c r="F717" s="5"/>
      <c r="G717" s="5"/>
    </row>
    <row r="718" spans="3:7" ht="13">
      <c r="C718" s="80"/>
      <c r="D718" s="5"/>
      <c r="E718" s="5"/>
      <c r="F718" s="5"/>
      <c r="G718" s="5"/>
    </row>
    <row r="719" spans="3:7" ht="13">
      <c r="C719" s="80"/>
      <c r="D719" s="5"/>
      <c r="E719" s="5"/>
      <c r="F719" s="5"/>
      <c r="G719" s="5"/>
    </row>
    <row r="720" spans="3:7" ht="13">
      <c r="C720" s="80"/>
      <c r="D720" s="5"/>
      <c r="E720" s="5"/>
      <c r="F720" s="5"/>
      <c r="G720" s="5"/>
    </row>
    <row r="721" spans="3:7" ht="13">
      <c r="C721" s="80"/>
      <c r="D721" s="5"/>
      <c r="E721" s="5"/>
      <c r="F721" s="5"/>
      <c r="G721" s="5"/>
    </row>
    <row r="722" spans="3:7" ht="13">
      <c r="C722" s="80"/>
      <c r="D722" s="5"/>
      <c r="E722" s="5"/>
      <c r="F722" s="5"/>
      <c r="G722" s="5"/>
    </row>
    <row r="723" spans="3:7" ht="13">
      <c r="C723" s="80"/>
      <c r="D723" s="5"/>
      <c r="E723" s="5"/>
      <c r="F723" s="5"/>
      <c r="G723" s="5"/>
    </row>
    <row r="724" spans="3:7" ht="13">
      <c r="C724" s="80"/>
      <c r="D724" s="5"/>
      <c r="E724" s="5"/>
      <c r="F724" s="5"/>
      <c r="G724" s="5"/>
    </row>
    <row r="725" spans="3:7" ht="13">
      <c r="C725" s="80"/>
      <c r="D725" s="5"/>
      <c r="E725" s="5"/>
      <c r="F725" s="5"/>
      <c r="G725" s="5"/>
    </row>
    <row r="726" spans="3:7" ht="13">
      <c r="C726" s="80"/>
      <c r="D726" s="5"/>
      <c r="E726" s="5"/>
      <c r="F726" s="5"/>
      <c r="G726" s="5"/>
    </row>
    <row r="727" spans="3:7" ht="13">
      <c r="C727" s="80"/>
      <c r="D727" s="5"/>
      <c r="E727" s="5"/>
      <c r="F727" s="5"/>
      <c r="G727" s="5"/>
    </row>
    <row r="728" spans="3:7" ht="13">
      <c r="C728" s="80"/>
      <c r="D728" s="5"/>
      <c r="E728" s="5"/>
      <c r="F728" s="5"/>
      <c r="G728" s="5"/>
    </row>
    <row r="729" spans="3:7" ht="13">
      <c r="C729" s="80"/>
      <c r="D729" s="5"/>
      <c r="E729" s="5"/>
      <c r="F729" s="5"/>
      <c r="G729" s="5"/>
    </row>
    <row r="730" spans="3:7" ht="13">
      <c r="C730" s="80"/>
      <c r="D730" s="5"/>
      <c r="E730" s="5"/>
      <c r="F730" s="5"/>
      <c r="G730" s="5"/>
    </row>
    <row r="731" spans="3:7" ht="13">
      <c r="C731" s="80"/>
      <c r="D731" s="5"/>
      <c r="E731" s="5"/>
      <c r="F731" s="5"/>
      <c r="G731" s="5"/>
    </row>
    <row r="732" spans="3:7" ht="13">
      <c r="C732" s="80"/>
      <c r="D732" s="5"/>
      <c r="E732" s="5"/>
      <c r="F732" s="5"/>
      <c r="G732" s="5"/>
    </row>
    <row r="733" spans="3:7" ht="13">
      <c r="C733" s="80"/>
      <c r="D733" s="5"/>
      <c r="E733" s="5"/>
      <c r="F733" s="5"/>
      <c r="G733" s="5"/>
    </row>
    <row r="734" spans="3:7" ht="13">
      <c r="C734" s="80"/>
      <c r="D734" s="5"/>
      <c r="E734" s="5"/>
      <c r="F734" s="5"/>
      <c r="G734" s="5"/>
    </row>
    <row r="735" spans="3:7" ht="13">
      <c r="C735" s="80"/>
      <c r="D735" s="5"/>
      <c r="E735" s="5"/>
      <c r="F735" s="5"/>
      <c r="G735" s="5"/>
    </row>
    <row r="736" spans="3:7" ht="13">
      <c r="C736" s="80"/>
      <c r="D736" s="5"/>
      <c r="E736" s="5"/>
      <c r="F736" s="5"/>
      <c r="G736" s="5"/>
    </row>
    <row r="737" spans="3:7" ht="13">
      <c r="C737" s="80"/>
      <c r="D737" s="5"/>
      <c r="E737" s="5"/>
      <c r="F737" s="5"/>
      <c r="G737" s="5"/>
    </row>
    <row r="738" spans="3:7" ht="13">
      <c r="C738" s="80"/>
      <c r="D738" s="5"/>
      <c r="E738" s="5"/>
      <c r="F738" s="5"/>
      <c r="G738" s="5"/>
    </row>
    <row r="739" spans="3:7" ht="13">
      <c r="C739" s="80"/>
      <c r="D739" s="5"/>
      <c r="E739" s="5"/>
      <c r="F739" s="5"/>
      <c r="G739" s="5"/>
    </row>
    <row r="740" spans="3:7" ht="13">
      <c r="C740" s="80"/>
      <c r="D740" s="5"/>
      <c r="E740" s="5"/>
      <c r="F740" s="5"/>
      <c r="G740" s="5"/>
    </row>
    <row r="741" spans="3:7" ht="13">
      <c r="C741" s="80"/>
      <c r="D741" s="5"/>
      <c r="E741" s="5"/>
      <c r="F741" s="5"/>
      <c r="G741" s="5"/>
    </row>
    <row r="742" spans="3:7" ht="13">
      <c r="C742" s="80"/>
      <c r="D742" s="5"/>
      <c r="E742" s="5"/>
      <c r="F742" s="5"/>
      <c r="G742" s="5"/>
    </row>
    <row r="743" spans="3:7" ht="13">
      <c r="C743" s="80"/>
      <c r="D743" s="5"/>
      <c r="E743" s="5"/>
      <c r="F743" s="5"/>
      <c r="G743" s="5"/>
    </row>
    <row r="744" spans="3:7" ht="13">
      <c r="C744" s="80"/>
      <c r="D744" s="5"/>
      <c r="E744" s="5"/>
      <c r="F744" s="5"/>
      <c r="G744" s="5"/>
    </row>
    <row r="745" spans="3:7" ht="13">
      <c r="C745" s="80"/>
      <c r="D745" s="5"/>
      <c r="E745" s="5"/>
      <c r="F745" s="5"/>
      <c r="G745" s="5"/>
    </row>
    <row r="746" spans="3:7" ht="13">
      <c r="C746" s="80"/>
      <c r="D746" s="5"/>
      <c r="E746" s="5"/>
      <c r="F746" s="5"/>
      <c r="G746" s="5"/>
    </row>
    <row r="747" spans="3:7" ht="13">
      <c r="C747" s="80"/>
      <c r="D747" s="5"/>
      <c r="E747" s="5"/>
      <c r="F747" s="5"/>
      <c r="G747" s="5"/>
    </row>
    <row r="748" spans="3:7" ht="13">
      <c r="C748" s="80"/>
      <c r="D748" s="5"/>
      <c r="E748" s="5"/>
      <c r="F748" s="5"/>
      <c r="G748" s="5"/>
    </row>
    <row r="749" spans="3:7" ht="13">
      <c r="C749" s="80"/>
      <c r="D749" s="5"/>
      <c r="E749" s="5"/>
      <c r="F749" s="5"/>
      <c r="G749" s="5"/>
    </row>
    <row r="750" spans="3:7" ht="13">
      <c r="C750" s="80"/>
      <c r="D750" s="5"/>
      <c r="E750" s="5"/>
      <c r="F750" s="5"/>
      <c r="G750" s="5"/>
    </row>
    <row r="751" spans="3:7" ht="13">
      <c r="C751" s="80"/>
      <c r="D751" s="5"/>
      <c r="E751" s="5"/>
      <c r="F751" s="5"/>
      <c r="G751" s="5"/>
    </row>
    <row r="752" spans="3:7" ht="13">
      <c r="C752" s="80"/>
      <c r="D752" s="5"/>
      <c r="E752" s="5"/>
      <c r="F752" s="5"/>
      <c r="G752" s="5"/>
    </row>
    <row r="753" spans="3:7" ht="13">
      <c r="C753" s="80"/>
      <c r="D753" s="5"/>
      <c r="E753" s="5"/>
      <c r="F753" s="5"/>
      <c r="G753" s="5"/>
    </row>
    <row r="754" spans="3:7" ht="13">
      <c r="C754" s="80"/>
      <c r="D754" s="5"/>
      <c r="E754" s="5"/>
      <c r="F754" s="5"/>
      <c r="G754" s="5"/>
    </row>
    <row r="755" spans="3:7" ht="13">
      <c r="C755" s="80"/>
      <c r="D755" s="5"/>
      <c r="E755" s="5"/>
      <c r="F755" s="5"/>
      <c r="G755" s="5"/>
    </row>
    <row r="756" spans="3:7" ht="13">
      <c r="C756" s="80"/>
      <c r="D756" s="5"/>
      <c r="E756" s="5"/>
      <c r="F756" s="5"/>
      <c r="G756" s="5"/>
    </row>
    <row r="757" spans="3:7" ht="13">
      <c r="C757" s="80"/>
      <c r="D757" s="5"/>
      <c r="E757" s="5"/>
      <c r="F757" s="5"/>
      <c r="G757" s="5"/>
    </row>
    <row r="758" spans="3:7" ht="13">
      <c r="C758" s="80"/>
      <c r="D758" s="5"/>
      <c r="E758" s="5"/>
      <c r="F758" s="5"/>
      <c r="G758" s="5"/>
    </row>
    <row r="759" spans="3:7" ht="13">
      <c r="C759" s="80"/>
      <c r="D759" s="5"/>
      <c r="E759" s="5"/>
      <c r="F759" s="5"/>
      <c r="G759" s="5"/>
    </row>
    <row r="760" spans="3:7" ht="13">
      <c r="C760" s="80"/>
      <c r="D760" s="5"/>
      <c r="E760" s="5"/>
      <c r="F760" s="5"/>
      <c r="G760" s="5"/>
    </row>
    <row r="761" spans="3:7" ht="13">
      <c r="C761" s="80"/>
      <c r="D761" s="5"/>
      <c r="E761" s="5"/>
      <c r="F761" s="5"/>
      <c r="G761" s="5"/>
    </row>
    <row r="762" spans="3:7" ht="13">
      <c r="C762" s="80"/>
      <c r="D762" s="5"/>
      <c r="E762" s="5"/>
      <c r="F762" s="5"/>
      <c r="G762" s="5"/>
    </row>
    <row r="763" spans="3:7" ht="13">
      <c r="C763" s="80"/>
      <c r="D763" s="5"/>
      <c r="E763" s="5"/>
      <c r="F763" s="5"/>
      <c r="G763" s="5"/>
    </row>
    <row r="764" spans="3:7" ht="13">
      <c r="C764" s="80"/>
      <c r="D764" s="5"/>
      <c r="E764" s="5"/>
      <c r="F764" s="5"/>
      <c r="G764" s="5"/>
    </row>
    <row r="765" spans="3:7" ht="13">
      <c r="C765" s="80"/>
      <c r="D765" s="5"/>
      <c r="E765" s="5"/>
      <c r="F765" s="5"/>
      <c r="G765" s="5"/>
    </row>
    <row r="766" spans="3:7" ht="13">
      <c r="C766" s="80"/>
      <c r="D766" s="5"/>
      <c r="E766" s="5"/>
      <c r="F766" s="5"/>
      <c r="G766" s="5"/>
    </row>
    <row r="767" spans="3:7" ht="13">
      <c r="C767" s="80"/>
      <c r="D767" s="5"/>
      <c r="E767" s="5"/>
      <c r="F767" s="5"/>
      <c r="G767" s="5"/>
    </row>
    <row r="768" spans="3:7" ht="13">
      <c r="C768" s="80"/>
      <c r="D768" s="5"/>
      <c r="E768" s="5"/>
      <c r="F768" s="5"/>
      <c r="G768" s="5"/>
    </row>
    <row r="769" spans="3:7" ht="13">
      <c r="C769" s="80"/>
      <c r="D769" s="5"/>
      <c r="E769" s="5"/>
      <c r="F769" s="5"/>
      <c r="G769" s="5"/>
    </row>
    <row r="770" spans="3:7" ht="13">
      <c r="C770" s="80"/>
      <c r="D770" s="5"/>
      <c r="E770" s="5"/>
      <c r="F770" s="5"/>
      <c r="G770" s="5"/>
    </row>
    <row r="771" spans="3:7" ht="13">
      <c r="C771" s="80"/>
      <c r="D771" s="5"/>
      <c r="E771" s="5"/>
      <c r="F771" s="5"/>
      <c r="G771" s="5"/>
    </row>
    <row r="772" spans="3:7" ht="13">
      <c r="C772" s="80"/>
      <c r="D772" s="5"/>
      <c r="E772" s="5"/>
      <c r="F772" s="5"/>
      <c r="G772" s="5"/>
    </row>
    <row r="773" spans="3:7" ht="13">
      <c r="C773" s="80"/>
      <c r="D773" s="5"/>
      <c r="E773" s="5"/>
      <c r="F773" s="5"/>
      <c r="G773" s="5"/>
    </row>
    <row r="774" spans="3:7" ht="13">
      <c r="C774" s="80"/>
      <c r="D774" s="5"/>
      <c r="E774" s="5"/>
      <c r="F774" s="5"/>
      <c r="G774" s="5"/>
    </row>
    <row r="775" spans="3:7" ht="13">
      <c r="C775" s="80"/>
      <c r="D775" s="5"/>
      <c r="E775" s="5"/>
      <c r="F775" s="5"/>
      <c r="G775" s="5"/>
    </row>
    <row r="776" spans="3:7" ht="13">
      <c r="C776" s="80"/>
      <c r="D776" s="5"/>
      <c r="E776" s="5"/>
      <c r="F776" s="5"/>
      <c r="G776" s="5"/>
    </row>
    <row r="777" spans="3:7" ht="13">
      <c r="C777" s="80"/>
      <c r="D777" s="5"/>
      <c r="E777" s="5"/>
      <c r="F777" s="5"/>
      <c r="G777" s="5"/>
    </row>
    <row r="778" spans="3:7" ht="13">
      <c r="C778" s="80"/>
      <c r="D778" s="5"/>
      <c r="E778" s="5"/>
      <c r="F778" s="5"/>
      <c r="G778" s="5"/>
    </row>
    <row r="779" spans="3:7" ht="13">
      <c r="C779" s="80"/>
      <c r="D779" s="5"/>
      <c r="E779" s="5"/>
      <c r="F779" s="5"/>
      <c r="G779" s="5"/>
    </row>
    <row r="780" spans="3:7" ht="13">
      <c r="C780" s="80"/>
      <c r="D780" s="5"/>
      <c r="E780" s="5"/>
      <c r="F780" s="5"/>
      <c r="G780" s="5"/>
    </row>
    <row r="781" spans="3:7" ht="13">
      <c r="C781" s="80"/>
      <c r="D781" s="5"/>
      <c r="E781" s="5"/>
      <c r="F781" s="5"/>
      <c r="G781" s="5"/>
    </row>
    <row r="782" spans="3:7" ht="13">
      <c r="C782" s="80"/>
      <c r="D782" s="5"/>
      <c r="E782" s="5"/>
      <c r="F782" s="5"/>
      <c r="G782" s="5"/>
    </row>
    <row r="783" spans="3:7" ht="13">
      <c r="C783" s="80"/>
      <c r="D783" s="5"/>
      <c r="E783" s="5"/>
      <c r="F783" s="5"/>
      <c r="G783" s="5"/>
    </row>
    <row r="784" spans="3:7" ht="13">
      <c r="C784" s="80"/>
      <c r="D784" s="5"/>
      <c r="E784" s="5"/>
      <c r="F784" s="5"/>
      <c r="G784" s="5"/>
    </row>
    <row r="785" spans="3:7" ht="13">
      <c r="C785" s="80"/>
      <c r="D785" s="5"/>
      <c r="E785" s="5"/>
      <c r="F785" s="5"/>
      <c r="G785" s="5"/>
    </row>
    <row r="786" spans="3:7" ht="13">
      <c r="C786" s="80"/>
      <c r="D786" s="5"/>
      <c r="E786" s="5"/>
      <c r="F786" s="5"/>
      <c r="G786" s="5"/>
    </row>
    <row r="787" spans="3:7" ht="13">
      <c r="C787" s="80"/>
      <c r="D787" s="5"/>
      <c r="E787" s="5"/>
      <c r="F787" s="5"/>
      <c r="G787" s="5"/>
    </row>
    <row r="788" spans="3:7" ht="13">
      <c r="C788" s="80"/>
      <c r="D788" s="5"/>
      <c r="E788" s="5"/>
      <c r="F788" s="5"/>
      <c r="G788" s="5"/>
    </row>
    <row r="789" spans="3:7" ht="13">
      <c r="C789" s="80"/>
      <c r="D789" s="5"/>
      <c r="E789" s="5"/>
      <c r="F789" s="5"/>
      <c r="G789" s="5"/>
    </row>
    <row r="790" spans="3:7" ht="13">
      <c r="C790" s="80"/>
      <c r="D790" s="5"/>
      <c r="E790" s="5"/>
      <c r="F790" s="5"/>
      <c r="G790" s="5"/>
    </row>
    <row r="791" spans="3:7" ht="13">
      <c r="C791" s="80"/>
      <c r="D791" s="5"/>
      <c r="E791" s="5"/>
      <c r="F791" s="5"/>
      <c r="G791" s="5"/>
    </row>
    <row r="792" spans="3:7" ht="13">
      <c r="C792" s="80"/>
      <c r="D792" s="5"/>
      <c r="E792" s="5"/>
      <c r="F792" s="5"/>
      <c r="G792" s="5"/>
    </row>
    <row r="793" spans="3:7" ht="13">
      <c r="C793" s="80"/>
      <c r="D793" s="5"/>
      <c r="E793" s="5"/>
      <c r="F793" s="5"/>
      <c r="G793" s="5"/>
    </row>
    <row r="794" spans="3:7" ht="13">
      <c r="C794" s="80"/>
      <c r="D794" s="5"/>
      <c r="E794" s="5"/>
      <c r="F794" s="5"/>
      <c r="G794" s="5"/>
    </row>
    <row r="795" spans="3:7" ht="13">
      <c r="C795" s="80"/>
      <c r="D795" s="5"/>
      <c r="E795" s="5"/>
      <c r="F795" s="5"/>
      <c r="G795" s="5"/>
    </row>
    <row r="796" spans="3:7" ht="13">
      <c r="C796" s="80"/>
      <c r="D796" s="5"/>
      <c r="E796" s="5"/>
      <c r="F796" s="5"/>
      <c r="G796" s="5"/>
    </row>
    <row r="797" spans="3:7" ht="13">
      <c r="C797" s="80"/>
      <c r="D797" s="5"/>
      <c r="E797" s="5"/>
      <c r="F797" s="5"/>
      <c r="G797" s="5"/>
    </row>
    <row r="798" spans="3:7" ht="13">
      <c r="C798" s="80"/>
      <c r="D798" s="5"/>
      <c r="E798" s="5"/>
      <c r="F798" s="5"/>
      <c r="G798" s="5"/>
    </row>
    <row r="799" spans="3:7" ht="13">
      <c r="C799" s="80"/>
      <c r="D799" s="5"/>
      <c r="E799" s="5"/>
      <c r="F799" s="5"/>
      <c r="G799" s="5"/>
    </row>
    <row r="800" spans="3:7" ht="13">
      <c r="C800" s="80"/>
      <c r="D800" s="5"/>
      <c r="E800" s="5"/>
      <c r="F800" s="5"/>
      <c r="G800" s="5"/>
    </row>
    <row r="801" spans="3:7" ht="13">
      <c r="C801" s="80"/>
      <c r="D801" s="5"/>
      <c r="E801" s="5"/>
      <c r="F801" s="5"/>
      <c r="G801" s="5"/>
    </row>
    <row r="802" spans="3:7" ht="13">
      <c r="C802" s="80"/>
      <c r="D802" s="5"/>
      <c r="E802" s="5"/>
      <c r="F802" s="5"/>
      <c r="G802" s="5"/>
    </row>
    <row r="803" spans="3:7" ht="13">
      <c r="C803" s="80"/>
      <c r="D803" s="5"/>
      <c r="E803" s="5"/>
      <c r="F803" s="5"/>
      <c r="G803" s="5"/>
    </row>
    <row r="804" spans="3:7" ht="13">
      <c r="C804" s="80"/>
      <c r="D804" s="5"/>
      <c r="E804" s="5"/>
      <c r="F804" s="5"/>
      <c r="G804" s="5"/>
    </row>
    <row r="805" spans="3:7" ht="13">
      <c r="C805" s="80"/>
      <c r="D805" s="5"/>
      <c r="E805" s="5"/>
      <c r="F805" s="5"/>
      <c r="G805" s="5"/>
    </row>
    <row r="806" spans="3:7" ht="13">
      <c r="C806" s="80"/>
      <c r="D806" s="5"/>
      <c r="E806" s="5"/>
      <c r="F806" s="5"/>
      <c r="G806" s="5"/>
    </row>
    <row r="807" spans="3:7" ht="13">
      <c r="C807" s="80"/>
      <c r="D807" s="5"/>
      <c r="E807" s="5"/>
      <c r="F807" s="5"/>
      <c r="G807" s="5"/>
    </row>
    <row r="808" spans="3:7" ht="13">
      <c r="C808" s="80"/>
      <c r="D808" s="5"/>
      <c r="E808" s="5"/>
      <c r="F808" s="5"/>
      <c r="G808" s="5"/>
    </row>
    <row r="809" spans="3:7" ht="13">
      <c r="C809" s="80"/>
      <c r="D809" s="5"/>
      <c r="E809" s="5"/>
      <c r="F809" s="5"/>
      <c r="G809" s="5"/>
    </row>
    <row r="810" spans="3:7" ht="13">
      <c r="C810" s="80"/>
      <c r="D810" s="5"/>
      <c r="E810" s="5"/>
      <c r="F810" s="5"/>
      <c r="G810" s="5"/>
    </row>
    <row r="811" spans="3:7" ht="13">
      <c r="C811" s="80"/>
      <c r="D811" s="5"/>
      <c r="E811" s="5"/>
      <c r="F811" s="5"/>
      <c r="G811" s="5"/>
    </row>
    <row r="812" spans="3:7" ht="13">
      <c r="C812" s="80"/>
      <c r="D812" s="5"/>
      <c r="E812" s="5"/>
      <c r="F812" s="5"/>
      <c r="G812" s="5"/>
    </row>
    <row r="813" spans="3:7" ht="13">
      <c r="C813" s="80"/>
      <c r="D813" s="5"/>
      <c r="E813" s="5"/>
      <c r="F813" s="5"/>
      <c r="G813" s="5"/>
    </row>
    <row r="814" spans="3:7" ht="13">
      <c r="C814" s="80"/>
      <c r="D814" s="5"/>
      <c r="E814" s="5"/>
      <c r="F814" s="5"/>
      <c r="G814" s="5"/>
    </row>
    <row r="815" spans="3:7" ht="13">
      <c r="C815" s="80"/>
      <c r="D815" s="5"/>
      <c r="E815" s="5"/>
      <c r="F815" s="5"/>
      <c r="G815" s="5"/>
    </row>
    <row r="816" spans="3:7" ht="13">
      <c r="C816" s="80"/>
      <c r="D816" s="5"/>
      <c r="E816" s="5"/>
      <c r="F816" s="5"/>
      <c r="G816" s="5"/>
    </row>
    <row r="817" spans="3:7" ht="13">
      <c r="C817" s="80"/>
      <c r="D817" s="5"/>
      <c r="E817" s="5"/>
      <c r="F817" s="5"/>
      <c r="G817" s="5"/>
    </row>
    <row r="818" spans="3:7" ht="13">
      <c r="C818" s="80"/>
      <c r="D818" s="5"/>
      <c r="E818" s="5"/>
      <c r="F818" s="5"/>
      <c r="G818" s="5"/>
    </row>
    <row r="819" spans="3:7" ht="13">
      <c r="C819" s="80"/>
      <c r="D819" s="5"/>
      <c r="E819" s="5"/>
      <c r="F819" s="5"/>
      <c r="G819" s="5"/>
    </row>
    <row r="820" spans="3:7" ht="13">
      <c r="C820" s="80"/>
      <c r="D820" s="5"/>
      <c r="E820" s="5"/>
      <c r="F820" s="5"/>
      <c r="G820" s="5"/>
    </row>
    <row r="821" spans="3:7" ht="13">
      <c r="C821" s="80"/>
      <c r="D821" s="5"/>
      <c r="E821" s="5"/>
      <c r="F821" s="5"/>
      <c r="G821" s="5"/>
    </row>
    <row r="822" spans="3:7" ht="13">
      <c r="C822" s="80"/>
      <c r="D822" s="5"/>
      <c r="E822" s="5"/>
      <c r="F822" s="5"/>
      <c r="G822" s="5"/>
    </row>
    <row r="823" spans="3:7" ht="13">
      <c r="C823" s="80"/>
      <c r="D823" s="5"/>
      <c r="E823" s="5"/>
      <c r="F823" s="5"/>
      <c r="G823" s="5"/>
    </row>
    <row r="824" spans="3:7" ht="13">
      <c r="C824" s="80"/>
      <c r="D824" s="5"/>
      <c r="E824" s="5"/>
      <c r="F824" s="5"/>
      <c r="G824" s="5"/>
    </row>
    <row r="825" spans="3:7" ht="13">
      <c r="C825" s="80"/>
      <c r="D825" s="5"/>
      <c r="E825" s="5"/>
      <c r="F825" s="5"/>
      <c r="G825" s="5"/>
    </row>
    <row r="826" spans="3:7" ht="13">
      <c r="C826" s="80"/>
      <c r="D826" s="5"/>
      <c r="E826" s="5"/>
      <c r="F826" s="5"/>
      <c r="G826" s="5"/>
    </row>
    <row r="827" spans="3:7" ht="13">
      <c r="C827" s="80"/>
      <c r="D827" s="5"/>
      <c r="E827" s="5"/>
      <c r="F827" s="5"/>
      <c r="G827" s="5"/>
    </row>
    <row r="828" spans="3:7" ht="13">
      <c r="C828" s="80"/>
      <c r="D828" s="5"/>
      <c r="E828" s="5"/>
      <c r="F828" s="5"/>
      <c r="G828" s="5"/>
    </row>
    <row r="829" spans="3:7" ht="13">
      <c r="C829" s="80"/>
      <c r="D829" s="5"/>
      <c r="E829" s="5"/>
      <c r="F829" s="5"/>
      <c r="G829" s="5"/>
    </row>
    <row r="830" spans="3:7" ht="13">
      <c r="C830" s="80"/>
      <c r="D830" s="5"/>
      <c r="E830" s="5"/>
      <c r="F830" s="5"/>
      <c r="G830" s="5"/>
    </row>
    <row r="831" spans="3:7" ht="13">
      <c r="C831" s="80"/>
      <c r="D831" s="5"/>
      <c r="E831" s="5"/>
      <c r="F831" s="5"/>
      <c r="G831" s="5"/>
    </row>
    <row r="832" spans="3:7" ht="13">
      <c r="C832" s="80"/>
      <c r="D832" s="5"/>
      <c r="E832" s="5"/>
      <c r="F832" s="5"/>
      <c r="G832" s="5"/>
    </row>
    <row r="833" spans="3:7" ht="13">
      <c r="C833" s="80"/>
      <c r="D833" s="5"/>
      <c r="E833" s="5"/>
      <c r="F833" s="5"/>
      <c r="G833" s="5"/>
    </row>
    <row r="834" spans="3:7" ht="13">
      <c r="C834" s="80"/>
      <c r="D834" s="5"/>
      <c r="E834" s="5"/>
      <c r="F834" s="5"/>
      <c r="G834" s="5"/>
    </row>
    <row r="835" spans="3:7" ht="13">
      <c r="C835" s="80"/>
      <c r="D835" s="5"/>
      <c r="E835" s="5"/>
      <c r="F835" s="5"/>
      <c r="G835" s="5"/>
    </row>
    <row r="836" spans="3:7" ht="13">
      <c r="C836" s="80"/>
      <c r="D836" s="5"/>
      <c r="E836" s="5"/>
      <c r="F836" s="5"/>
      <c r="G836" s="5"/>
    </row>
    <row r="837" spans="3:7" ht="13">
      <c r="C837" s="80"/>
      <c r="D837" s="5"/>
      <c r="E837" s="5"/>
      <c r="F837" s="5"/>
      <c r="G837" s="5"/>
    </row>
    <row r="838" spans="3:7" ht="13">
      <c r="C838" s="80"/>
      <c r="D838" s="5"/>
      <c r="E838" s="5"/>
      <c r="F838" s="5"/>
      <c r="G838" s="5"/>
    </row>
    <row r="839" spans="3:7" ht="13">
      <c r="C839" s="80"/>
      <c r="D839" s="5"/>
      <c r="E839" s="5"/>
      <c r="F839" s="5"/>
      <c r="G839" s="5"/>
    </row>
    <row r="840" spans="3:7" ht="13">
      <c r="C840" s="80"/>
      <c r="D840" s="5"/>
      <c r="E840" s="5"/>
      <c r="F840" s="5"/>
      <c r="G840" s="5"/>
    </row>
    <row r="841" spans="3:7" ht="13">
      <c r="C841" s="80"/>
      <c r="D841" s="5"/>
      <c r="E841" s="5"/>
      <c r="F841" s="5"/>
      <c r="G841" s="5"/>
    </row>
    <row r="842" spans="3:7" ht="13">
      <c r="C842" s="80"/>
      <c r="D842" s="5"/>
      <c r="E842" s="5"/>
      <c r="F842" s="5"/>
      <c r="G842" s="5"/>
    </row>
    <row r="843" spans="3:7" ht="13">
      <c r="C843" s="80"/>
      <c r="D843" s="5"/>
      <c r="E843" s="5"/>
      <c r="F843" s="5"/>
      <c r="G843" s="5"/>
    </row>
    <row r="844" spans="3:7" ht="13">
      <c r="C844" s="80"/>
      <c r="D844" s="5"/>
      <c r="E844" s="5"/>
      <c r="F844" s="5"/>
      <c r="G844" s="5"/>
    </row>
    <row r="845" spans="3:7" ht="13">
      <c r="C845" s="80"/>
      <c r="D845" s="5"/>
      <c r="E845" s="5"/>
      <c r="F845" s="5"/>
      <c r="G845" s="5"/>
    </row>
    <row r="846" spans="3:7" ht="13">
      <c r="C846" s="80"/>
      <c r="D846" s="5"/>
      <c r="E846" s="5"/>
      <c r="F846" s="5"/>
      <c r="G846" s="5"/>
    </row>
    <row r="847" spans="3:7" ht="13">
      <c r="C847" s="80"/>
      <c r="D847" s="5"/>
      <c r="E847" s="5"/>
      <c r="F847" s="5"/>
      <c r="G847" s="5"/>
    </row>
    <row r="848" spans="3:7" ht="13">
      <c r="C848" s="80"/>
      <c r="D848" s="5"/>
      <c r="E848" s="5"/>
      <c r="F848" s="5"/>
      <c r="G848" s="5"/>
    </row>
    <row r="849" spans="3:7" ht="13">
      <c r="C849" s="80"/>
      <c r="D849" s="5"/>
      <c r="E849" s="5"/>
      <c r="F849" s="5"/>
      <c r="G849" s="5"/>
    </row>
    <row r="850" spans="3:7" ht="13">
      <c r="C850" s="80"/>
      <c r="D850" s="5"/>
      <c r="E850" s="5"/>
      <c r="F850" s="5"/>
      <c r="G850" s="5"/>
    </row>
    <row r="851" spans="3:7" ht="13">
      <c r="C851" s="80"/>
      <c r="D851" s="5"/>
      <c r="E851" s="5"/>
      <c r="F851" s="5"/>
      <c r="G851" s="5"/>
    </row>
    <row r="852" spans="3:7" ht="13">
      <c r="C852" s="80"/>
      <c r="D852" s="5"/>
      <c r="E852" s="5"/>
      <c r="F852" s="5"/>
      <c r="G852" s="5"/>
    </row>
    <row r="853" spans="3:7" ht="13">
      <c r="C853" s="80"/>
      <c r="D853" s="5"/>
      <c r="E853" s="5"/>
      <c r="F853" s="5"/>
      <c r="G853" s="5"/>
    </row>
    <row r="854" spans="3:7" ht="13">
      <c r="C854" s="80"/>
      <c r="D854" s="5"/>
      <c r="E854" s="5"/>
      <c r="F854" s="5"/>
      <c r="G854" s="5"/>
    </row>
    <row r="855" spans="3:7" ht="13">
      <c r="C855" s="80"/>
      <c r="D855" s="5"/>
      <c r="E855" s="5"/>
      <c r="F855" s="5"/>
      <c r="G855" s="5"/>
    </row>
    <row r="856" spans="3:7" ht="13">
      <c r="C856" s="80"/>
      <c r="D856" s="5"/>
      <c r="E856" s="5"/>
      <c r="F856" s="5"/>
      <c r="G856" s="5"/>
    </row>
    <row r="857" spans="3:7" ht="13">
      <c r="C857" s="80"/>
      <c r="D857" s="5"/>
      <c r="E857" s="5"/>
      <c r="F857" s="5"/>
      <c r="G857" s="5"/>
    </row>
    <row r="858" spans="3:7" ht="13">
      <c r="C858" s="80"/>
      <c r="D858" s="5"/>
      <c r="E858" s="5"/>
      <c r="F858" s="5"/>
      <c r="G858" s="5"/>
    </row>
    <row r="859" spans="3:7" ht="13">
      <c r="C859" s="80"/>
      <c r="D859" s="5"/>
      <c r="E859" s="5"/>
      <c r="F859" s="5"/>
      <c r="G859" s="5"/>
    </row>
    <row r="860" spans="3:7" ht="13">
      <c r="C860" s="80"/>
      <c r="D860" s="5"/>
      <c r="E860" s="5"/>
      <c r="F860" s="5"/>
      <c r="G860" s="5"/>
    </row>
    <row r="861" spans="3:7" ht="13">
      <c r="C861" s="80"/>
      <c r="D861" s="5"/>
      <c r="E861" s="5"/>
      <c r="F861" s="5"/>
      <c r="G861" s="5"/>
    </row>
    <row r="862" spans="3:7" ht="13">
      <c r="C862" s="80"/>
      <c r="D862" s="5"/>
      <c r="E862" s="5"/>
      <c r="F862" s="5"/>
      <c r="G862" s="5"/>
    </row>
    <row r="863" spans="3:7" ht="13">
      <c r="C863" s="80"/>
      <c r="D863" s="5"/>
      <c r="E863" s="5"/>
      <c r="F863" s="5"/>
      <c r="G863" s="5"/>
    </row>
    <row r="864" spans="3:7" ht="13">
      <c r="C864" s="80"/>
      <c r="D864" s="5"/>
      <c r="E864" s="5"/>
      <c r="F864" s="5"/>
      <c r="G864" s="5"/>
    </row>
    <row r="865" spans="3:7" ht="13">
      <c r="C865" s="80"/>
      <c r="D865" s="5"/>
      <c r="E865" s="5"/>
      <c r="F865" s="5"/>
      <c r="G865" s="5"/>
    </row>
    <row r="866" spans="3:7" ht="13">
      <c r="C866" s="80"/>
      <c r="D866" s="5"/>
      <c r="E866" s="5"/>
      <c r="F866" s="5"/>
      <c r="G866" s="5"/>
    </row>
    <row r="867" spans="3:7" ht="13">
      <c r="C867" s="80"/>
      <c r="D867" s="5"/>
      <c r="E867" s="5"/>
      <c r="F867" s="5"/>
      <c r="G867" s="5"/>
    </row>
    <row r="868" spans="3:7" ht="13">
      <c r="C868" s="80"/>
      <c r="D868" s="5"/>
      <c r="E868" s="5"/>
      <c r="F868" s="5"/>
      <c r="G868" s="5"/>
    </row>
    <row r="869" spans="3:7" ht="13">
      <c r="C869" s="80"/>
      <c r="D869" s="5"/>
      <c r="E869" s="5"/>
      <c r="F869" s="5"/>
      <c r="G869" s="5"/>
    </row>
    <row r="870" spans="3:7" ht="13">
      <c r="C870" s="80"/>
      <c r="D870" s="5"/>
      <c r="E870" s="5"/>
      <c r="F870" s="5"/>
      <c r="G870" s="5"/>
    </row>
    <row r="871" spans="3:7" ht="13">
      <c r="C871" s="80"/>
      <c r="D871" s="5"/>
      <c r="E871" s="5"/>
      <c r="F871" s="5"/>
      <c r="G871" s="5"/>
    </row>
    <row r="872" spans="3:7" ht="13">
      <c r="C872" s="80"/>
      <c r="D872" s="5"/>
      <c r="E872" s="5"/>
      <c r="F872" s="5"/>
      <c r="G872" s="5"/>
    </row>
    <row r="873" spans="3:7" ht="13">
      <c r="C873" s="80"/>
      <c r="D873" s="5"/>
      <c r="E873" s="5"/>
      <c r="F873" s="5"/>
      <c r="G873" s="5"/>
    </row>
    <row r="874" spans="3:7" ht="13">
      <c r="C874" s="80"/>
      <c r="D874" s="5"/>
      <c r="E874" s="5"/>
      <c r="F874" s="5"/>
      <c r="G874" s="5"/>
    </row>
    <row r="875" spans="3:7" ht="13">
      <c r="C875" s="80"/>
      <c r="D875" s="5"/>
      <c r="E875" s="5"/>
      <c r="F875" s="5"/>
      <c r="G875" s="5"/>
    </row>
    <row r="876" spans="3:7" ht="13">
      <c r="C876" s="80"/>
      <c r="D876" s="5"/>
      <c r="E876" s="5"/>
      <c r="F876" s="5"/>
      <c r="G876" s="5"/>
    </row>
    <row r="877" spans="3:7" ht="13">
      <c r="C877" s="80"/>
      <c r="D877" s="5"/>
      <c r="E877" s="5"/>
      <c r="F877" s="5"/>
      <c r="G877" s="5"/>
    </row>
    <row r="878" spans="3:7" ht="13">
      <c r="C878" s="80"/>
      <c r="D878" s="5"/>
      <c r="E878" s="5"/>
      <c r="F878" s="5"/>
      <c r="G878" s="5"/>
    </row>
    <row r="879" spans="3:7" ht="13">
      <c r="C879" s="80"/>
      <c r="D879" s="5"/>
      <c r="E879" s="5"/>
      <c r="F879" s="5"/>
      <c r="G879" s="5"/>
    </row>
    <row r="880" spans="3:7" ht="13">
      <c r="C880" s="80"/>
      <c r="D880" s="5"/>
      <c r="E880" s="5"/>
      <c r="F880" s="5"/>
      <c r="G880" s="5"/>
    </row>
    <row r="881" spans="3:7" ht="13">
      <c r="C881" s="80"/>
      <c r="D881" s="5"/>
      <c r="E881" s="5"/>
      <c r="F881" s="5"/>
      <c r="G881" s="5"/>
    </row>
    <row r="882" spans="3:7" ht="13">
      <c r="C882" s="80"/>
      <c r="D882" s="5"/>
      <c r="E882" s="5"/>
      <c r="F882" s="5"/>
      <c r="G882" s="5"/>
    </row>
    <row r="883" spans="3:7" ht="13">
      <c r="C883" s="80"/>
      <c r="D883" s="5"/>
      <c r="E883" s="5"/>
      <c r="F883" s="5"/>
      <c r="G883" s="5"/>
    </row>
    <row r="884" spans="3:7" ht="13">
      <c r="C884" s="80"/>
      <c r="D884" s="5"/>
      <c r="E884" s="5"/>
      <c r="F884" s="5"/>
      <c r="G884" s="5"/>
    </row>
    <row r="885" spans="3:7" ht="13">
      <c r="C885" s="80"/>
      <c r="D885" s="5"/>
      <c r="E885" s="5"/>
      <c r="F885" s="5"/>
      <c r="G885" s="5"/>
    </row>
    <row r="886" spans="3:7" ht="13">
      <c r="C886" s="80"/>
      <c r="D886" s="5"/>
      <c r="E886" s="5"/>
      <c r="F886" s="5"/>
      <c r="G886" s="5"/>
    </row>
    <row r="887" spans="3:7" ht="13">
      <c r="C887" s="80"/>
      <c r="D887" s="5"/>
      <c r="E887" s="5"/>
      <c r="F887" s="5"/>
      <c r="G887" s="5"/>
    </row>
    <row r="888" spans="3:7" ht="13">
      <c r="C888" s="80"/>
      <c r="D888" s="5"/>
      <c r="E888" s="5"/>
      <c r="F888" s="5"/>
      <c r="G888" s="5"/>
    </row>
    <row r="889" spans="3:7" ht="13">
      <c r="C889" s="80"/>
      <c r="D889" s="5"/>
      <c r="E889" s="5"/>
      <c r="F889" s="5"/>
      <c r="G889" s="5"/>
    </row>
    <row r="890" spans="3:7" ht="13">
      <c r="C890" s="80"/>
      <c r="D890" s="5"/>
      <c r="E890" s="5"/>
      <c r="F890" s="5"/>
      <c r="G890" s="5"/>
    </row>
    <row r="891" spans="3:7" ht="13">
      <c r="C891" s="80"/>
      <c r="D891" s="5"/>
      <c r="E891" s="5"/>
      <c r="F891" s="5"/>
      <c r="G891" s="5"/>
    </row>
    <row r="892" spans="3:7" ht="13">
      <c r="C892" s="80"/>
      <c r="D892" s="5"/>
      <c r="E892" s="5"/>
      <c r="F892" s="5"/>
      <c r="G892" s="5"/>
    </row>
    <row r="893" spans="3:7" ht="13">
      <c r="C893" s="80"/>
      <c r="D893" s="5"/>
      <c r="E893" s="5"/>
      <c r="F893" s="5"/>
      <c r="G893" s="5"/>
    </row>
    <row r="894" spans="3:7" ht="13">
      <c r="C894" s="80"/>
      <c r="D894" s="5"/>
      <c r="E894" s="5"/>
      <c r="F894" s="5"/>
      <c r="G894" s="5"/>
    </row>
    <row r="895" spans="3:7" ht="13">
      <c r="C895" s="80"/>
      <c r="D895" s="5"/>
      <c r="E895" s="5"/>
      <c r="F895" s="5"/>
      <c r="G895" s="5"/>
    </row>
    <row r="896" spans="3:7" ht="13">
      <c r="C896" s="80"/>
      <c r="D896" s="5"/>
      <c r="E896" s="5"/>
      <c r="F896" s="5"/>
      <c r="G896" s="5"/>
    </row>
    <row r="897" spans="3:7" ht="13">
      <c r="C897" s="80"/>
      <c r="D897" s="5"/>
      <c r="E897" s="5"/>
      <c r="F897" s="5"/>
      <c r="G897" s="5"/>
    </row>
    <row r="898" spans="3:7" ht="13">
      <c r="C898" s="80"/>
      <c r="D898" s="5"/>
      <c r="E898" s="5"/>
      <c r="F898" s="5"/>
      <c r="G898" s="5"/>
    </row>
    <row r="899" spans="3:7" ht="13">
      <c r="C899" s="80"/>
      <c r="D899" s="5"/>
      <c r="E899" s="5"/>
      <c r="F899" s="5"/>
      <c r="G899" s="5"/>
    </row>
    <row r="900" spans="3:7" ht="13">
      <c r="C900" s="80"/>
      <c r="D900" s="5"/>
      <c r="E900" s="5"/>
      <c r="F900" s="5"/>
      <c r="G900" s="5"/>
    </row>
    <row r="901" spans="3:7" ht="13">
      <c r="C901" s="80"/>
      <c r="D901" s="5"/>
      <c r="E901" s="5"/>
      <c r="F901" s="5"/>
      <c r="G901" s="5"/>
    </row>
    <row r="902" spans="3:7" ht="13">
      <c r="C902" s="80"/>
      <c r="D902" s="5"/>
      <c r="E902" s="5"/>
      <c r="F902" s="5"/>
      <c r="G902" s="5"/>
    </row>
    <row r="903" spans="3:7" ht="13">
      <c r="C903" s="80"/>
      <c r="D903" s="5"/>
      <c r="E903" s="5"/>
      <c r="F903" s="5"/>
      <c r="G903" s="5"/>
    </row>
    <row r="904" spans="3:7" ht="13">
      <c r="C904" s="80"/>
      <c r="D904" s="5"/>
      <c r="E904" s="5"/>
      <c r="F904" s="5"/>
      <c r="G904" s="5"/>
    </row>
    <row r="905" spans="3:7" ht="13">
      <c r="C905" s="80"/>
      <c r="D905" s="5"/>
      <c r="E905" s="5"/>
      <c r="F905" s="5"/>
      <c r="G905" s="5"/>
    </row>
    <row r="906" spans="3:7" ht="13">
      <c r="C906" s="80"/>
      <c r="D906" s="5"/>
      <c r="E906" s="5"/>
      <c r="F906" s="5"/>
      <c r="G906" s="5"/>
    </row>
    <row r="907" spans="3:7" ht="13">
      <c r="C907" s="80"/>
      <c r="D907" s="5"/>
      <c r="E907" s="5"/>
      <c r="F907" s="5"/>
      <c r="G907" s="5"/>
    </row>
    <row r="908" spans="3:7" ht="13">
      <c r="C908" s="80"/>
      <c r="D908" s="5"/>
      <c r="E908" s="5"/>
      <c r="F908" s="5"/>
      <c r="G908" s="5"/>
    </row>
    <row r="909" spans="3:7" ht="13">
      <c r="C909" s="80"/>
      <c r="D909" s="5"/>
      <c r="E909" s="5"/>
      <c r="F909" s="5"/>
      <c r="G909" s="5"/>
    </row>
    <row r="910" spans="3:7" ht="13">
      <c r="C910" s="80"/>
      <c r="D910" s="5"/>
      <c r="E910" s="5"/>
      <c r="F910" s="5"/>
      <c r="G910" s="5"/>
    </row>
    <row r="911" spans="3:7" ht="13">
      <c r="C911" s="80"/>
      <c r="D911" s="5"/>
      <c r="E911" s="5"/>
      <c r="F911" s="5"/>
      <c r="G911" s="5"/>
    </row>
    <row r="912" spans="3:7" ht="13">
      <c r="F912" s="5"/>
      <c r="G912" s="5"/>
    </row>
    <row r="913" spans="6:7" ht="13">
      <c r="F913" s="5"/>
      <c r="G913" s="5"/>
    </row>
    <row r="914" spans="6:7" ht="13">
      <c r="F914" s="5"/>
      <c r="G914" s="5"/>
    </row>
    <row r="915" spans="6:7" ht="13">
      <c r="F915" s="5"/>
      <c r="G915" s="5"/>
    </row>
    <row r="916" spans="6:7" ht="13">
      <c r="F916" s="5"/>
      <c r="G916" s="5"/>
    </row>
    <row r="917" spans="6:7" ht="13">
      <c r="F917" s="5"/>
      <c r="G917" s="5"/>
    </row>
    <row r="918" spans="6:7" ht="13">
      <c r="F918" s="5"/>
      <c r="G918" s="5"/>
    </row>
    <row r="919" spans="6:7" ht="13">
      <c r="F919" s="5"/>
      <c r="G919" s="5"/>
    </row>
    <row r="920" spans="6:7" ht="13">
      <c r="F920" s="5"/>
      <c r="G920" s="5"/>
    </row>
    <row r="921" spans="6:7" ht="13">
      <c r="F921" s="5"/>
      <c r="G921" s="5"/>
    </row>
    <row r="922" spans="6:7" ht="13">
      <c r="F922" s="5"/>
      <c r="G922" s="5"/>
    </row>
    <row r="923" spans="6:7" ht="13">
      <c r="F923" s="5"/>
      <c r="G923" s="5"/>
    </row>
    <row r="924" spans="6:7" ht="13">
      <c r="F924" s="5"/>
      <c r="G924" s="5"/>
    </row>
    <row r="925" spans="6:7" ht="13">
      <c r="F925" s="5"/>
      <c r="G925" s="5"/>
    </row>
    <row r="926" spans="6:7" ht="13">
      <c r="F926" s="5"/>
      <c r="G926" s="5"/>
    </row>
    <row r="927" spans="6:7" ht="13">
      <c r="F927" s="5"/>
      <c r="G927" s="5"/>
    </row>
    <row r="928" spans="6:7" ht="13">
      <c r="F928" s="5"/>
      <c r="G928" s="5"/>
    </row>
    <row r="929" spans="6:7" ht="13">
      <c r="F929" s="5"/>
      <c r="G929" s="5"/>
    </row>
    <row r="930" spans="6:7" ht="13">
      <c r="F930" s="5"/>
      <c r="G930" s="5"/>
    </row>
    <row r="931" spans="6:7" ht="13">
      <c r="F931" s="5"/>
      <c r="G931" s="5"/>
    </row>
    <row r="932" spans="6:7" ht="13">
      <c r="F932" s="5"/>
      <c r="G932" s="5"/>
    </row>
    <row r="933" spans="6:7" ht="13">
      <c r="F933" s="5"/>
      <c r="G933" s="5"/>
    </row>
    <row r="934" spans="6:7" ht="13">
      <c r="F934" s="5"/>
      <c r="G934" s="5"/>
    </row>
    <row r="935" spans="6:7" ht="13">
      <c r="F935" s="5"/>
      <c r="G935" s="5"/>
    </row>
    <row r="936" spans="6:7" ht="13">
      <c r="F936" s="5"/>
      <c r="G936" s="5"/>
    </row>
    <row r="937" spans="6:7" ht="13">
      <c r="F937" s="5"/>
      <c r="G937" s="5"/>
    </row>
    <row r="938" spans="6:7" ht="13">
      <c r="F938" s="5"/>
      <c r="G938" s="5"/>
    </row>
    <row r="939" spans="6:7" ht="13">
      <c r="F939" s="5"/>
      <c r="G939" s="5"/>
    </row>
    <row r="940" spans="6:7" ht="13">
      <c r="F940" s="5"/>
      <c r="G940" s="5"/>
    </row>
    <row r="941" spans="6:7" ht="13">
      <c r="F941" s="5"/>
      <c r="G941" s="5"/>
    </row>
    <row r="942" spans="6:7" ht="13">
      <c r="F942" s="5"/>
      <c r="G942" s="5"/>
    </row>
    <row r="943" spans="6:7" ht="13">
      <c r="F943" s="5"/>
      <c r="G943" s="5"/>
    </row>
    <row r="944" spans="6:7" ht="13">
      <c r="F944" s="5"/>
      <c r="G944" s="5"/>
    </row>
    <row r="945" spans="6:7" ht="13">
      <c r="F945" s="5"/>
      <c r="G945" s="5"/>
    </row>
    <row r="946" spans="6:7" ht="13">
      <c r="F946" s="5"/>
      <c r="G946" s="5"/>
    </row>
    <row r="947" spans="6:7" ht="13">
      <c r="F947" s="5"/>
      <c r="G947" s="5"/>
    </row>
    <row r="948" spans="6:7" ht="13">
      <c r="F948" s="5"/>
      <c r="G948" s="5"/>
    </row>
    <row r="949" spans="6:7" ht="13">
      <c r="F949" s="5"/>
      <c r="G949" s="5"/>
    </row>
    <row r="950" spans="6:7" ht="13">
      <c r="F950" s="5"/>
      <c r="G950" s="5"/>
    </row>
    <row r="951" spans="6:7" ht="13">
      <c r="F951" s="5"/>
      <c r="G951" s="5"/>
    </row>
    <row r="952" spans="6:7" ht="13">
      <c r="F952" s="5"/>
      <c r="G952" s="5"/>
    </row>
    <row r="953" spans="6:7" ht="13">
      <c r="F953" s="5"/>
      <c r="G953" s="5"/>
    </row>
    <row r="954" spans="6:7" ht="13">
      <c r="F954" s="5"/>
      <c r="G954" s="5"/>
    </row>
    <row r="955" spans="6:7" ht="13">
      <c r="F955" s="5"/>
      <c r="G955" s="5"/>
    </row>
    <row r="956" spans="6:7" ht="13">
      <c r="F956" s="5"/>
      <c r="G956" s="5"/>
    </row>
    <row r="957" spans="6:7" ht="13">
      <c r="F957" s="5"/>
      <c r="G957" s="5"/>
    </row>
    <row r="958" spans="6:7" ht="13">
      <c r="F958" s="5"/>
      <c r="G958" s="5"/>
    </row>
    <row r="959" spans="6:7" ht="13">
      <c r="F959" s="5"/>
      <c r="G959" s="5"/>
    </row>
    <row r="960" spans="6:7" ht="13">
      <c r="F960" s="5"/>
      <c r="G960" s="5"/>
    </row>
    <row r="961" spans="6:7" ht="13">
      <c r="F961" s="5"/>
      <c r="G961" s="5"/>
    </row>
    <row r="962" spans="6:7" ht="13">
      <c r="F962" s="5"/>
      <c r="G962" s="5"/>
    </row>
    <row r="963" spans="6:7" ht="13">
      <c r="F963" s="5"/>
      <c r="G963" s="5"/>
    </row>
    <row r="964" spans="6:7" ht="13">
      <c r="F964" s="5"/>
      <c r="G964" s="5"/>
    </row>
    <row r="965" spans="6:7" ht="13">
      <c r="F965" s="5"/>
      <c r="G965" s="5"/>
    </row>
    <row r="966" spans="6:7" ht="13">
      <c r="F966" s="5"/>
      <c r="G966" s="5"/>
    </row>
    <row r="967" spans="6:7" ht="13">
      <c r="F967" s="5"/>
      <c r="G967" s="5"/>
    </row>
    <row r="968" spans="6:7" ht="13">
      <c r="F968" s="5"/>
      <c r="G968" s="5"/>
    </row>
    <row r="969" spans="6:7" ht="13">
      <c r="F969" s="5"/>
      <c r="G969" s="5"/>
    </row>
    <row r="970" spans="6:7" ht="13">
      <c r="F970" s="5"/>
      <c r="G970" s="5"/>
    </row>
    <row r="971" spans="6:7" ht="13">
      <c r="F971" s="5"/>
      <c r="G971" s="5"/>
    </row>
    <row r="972" spans="6:7" ht="13">
      <c r="F972" s="5"/>
      <c r="G972" s="5"/>
    </row>
    <row r="973" spans="6:7" ht="13">
      <c r="F973" s="5"/>
      <c r="G973" s="5"/>
    </row>
    <row r="974" spans="6:7" ht="13">
      <c r="F974" s="5"/>
      <c r="G974" s="5"/>
    </row>
    <row r="975" spans="6:7" ht="13">
      <c r="F975" s="5"/>
      <c r="G975" s="5"/>
    </row>
    <row r="976" spans="6:7" ht="13">
      <c r="F976" s="5"/>
      <c r="G976" s="5"/>
    </row>
    <row r="977" spans="6:7" ht="13">
      <c r="F977" s="5"/>
      <c r="G977" s="5"/>
    </row>
    <row r="978" spans="6:7" ht="13">
      <c r="F978" s="5"/>
      <c r="G978" s="5"/>
    </row>
    <row r="979" spans="6:7" ht="13">
      <c r="F979" s="5"/>
      <c r="G979" s="5"/>
    </row>
    <row r="980" spans="6:7" ht="13">
      <c r="F980" s="5"/>
      <c r="G980" s="5"/>
    </row>
    <row r="981" spans="6:7" ht="13">
      <c r="F981" s="5"/>
      <c r="G981" s="5"/>
    </row>
    <row r="982" spans="6:7" ht="13">
      <c r="F982" s="5"/>
      <c r="G982" s="5"/>
    </row>
    <row r="983" spans="6:7" ht="13">
      <c r="F983" s="5"/>
      <c r="G983" s="5"/>
    </row>
    <row r="984" spans="6:7" ht="13">
      <c r="F984" s="5"/>
      <c r="G984" s="5"/>
    </row>
    <row r="985" spans="6:7" ht="13">
      <c r="F985" s="5"/>
      <c r="G985" s="5"/>
    </row>
    <row r="986" spans="6:7" ht="13">
      <c r="F986" s="5"/>
      <c r="G986" s="5"/>
    </row>
    <row r="987" spans="6:7" ht="13">
      <c r="F987" s="5"/>
      <c r="G987" s="5"/>
    </row>
    <row r="988" spans="6:7" ht="13">
      <c r="F988" s="5"/>
      <c r="G988" s="5"/>
    </row>
    <row r="989" spans="6:7" ht="13">
      <c r="F989" s="5"/>
      <c r="G989" s="5"/>
    </row>
    <row r="990" spans="6:7" ht="13">
      <c r="F990" s="5"/>
      <c r="G990" s="5"/>
    </row>
    <row r="991" spans="6:7" ht="13">
      <c r="F991" s="5"/>
      <c r="G991" s="5"/>
    </row>
    <row r="992" spans="6:7" ht="13">
      <c r="F992" s="5"/>
      <c r="G992" s="5"/>
    </row>
    <row r="993" spans="6:7" ht="13">
      <c r="F993" s="5"/>
      <c r="G993" s="5"/>
    </row>
    <row r="994" spans="6:7" ht="13">
      <c r="F994" s="5"/>
      <c r="G994" s="5"/>
    </row>
    <row r="995" spans="6:7" ht="13">
      <c r="F995" s="5"/>
      <c r="G995" s="5"/>
    </row>
    <row r="996" spans="6:7" ht="13">
      <c r="F996" s="5"/>
      <c r="G996" s="5"/>
    </row>
    <row r="997" spans="6:7" ht="13">
      <c r="F997" s="5"/>
      <c r="G997" s="5"/>
    </row>
    <row r="998" spans="6:7" ht="13">
      <c r="F998" s="5"/>
      <c r="G998" s="5"/>
    </row>
    <row r="999" spans="6:7" ht="13">
      <c r="F999" s="5"/>
      <c r="G999" s="5"/>
    </row>
    <row r="1000" spans="6:7" ht="13">
      <c r="F1000" s="5"/>
      <c r="G1000" s="5"/>
    </row>
    <row r="1001" spans="6:7" ht="13">
      <c r="F1001" s="5"/>
      <c r="G1001" s="5"/>
    </row>
    <row r="1002" spans="6:7" ht="13">
      <c r="F1002" s="5"/>
      <c r="G1002" s="5"/>
    </row>
    <row r="1003" spans="6:7" ht="13">
      <c r="F1003" s="5"/>
      <c r="G1003" s="5"/>
    </row>
    <row r="1004" spans="6:7" ht="13">
      <c r="F1004" s="5"/>
      <c r="G1004" s="5"/>
    </row>
  </sheetData>
  <hyperlinks>
    <hyperlink ref="B5" r:id="rId1" xr:uid="{00000000-0004-0000-5C00-000000000000}"/>
    <hyperlink ref="B6" r:id="rId2" xr:uid="{00000000-0004-0000-5C00-000001000000}"/>
    <hyperlink ref="B7" r:id="rId3" xr:uid="{00000000-0004-0000-5C00-000002000000}"/>
    <hyperlink ref="B8" r:id="rId4" xr:uid="{00000000-0004-0000-5C00-000003000000}"/>
    <hyperlink ref="B9" r:id="rId5" xr:uid="{00000000-0004-0000-5C00-000004000000}"/>
    <hyperlink ref="B10" r:id="rId6" xr:uid="{00000000-0004-0000-5C00-000005000000}"/>
    <hyperlink ref="B12" r:id="rId7" xr:uid="{00000000-0004-0000-5C00-000006000000}"/>
    <hyperlink ref="B13" r:id="rId8" xr:uid="{00000000-0004-0000-5C00-000007000000}"/>
    <hyperlink ref="B14" r:id="rId9" xr:uid="{00000000-0004-0000-5C00-000008000000}"/>
    <hyperlink ref="B16" r:id="rId10" xr:uid="{00000000-0004-0000-5C00-000009000000}"/>
    <hyperlink ref="B17" r:id="rId11" xr:uid="{00000000-0004-0000-5C00-00000A000000}"/>
    <hyperlink ref="B18" r:id="rId12" xr:uid="{00000000-0004-0000-5C00-00000B000000}"/>
    <hyperlink ref="B19" r:id="rId13" xr:uid="{00000000-0004-0000-5C00-00000C000000}"/>
    <hyperlink ref="B20" r:id="rId14" xr:uid="{00000000-0004-0000-5C00-00000D000000}"/>
    <hyperlink ref="B21" r:id="rId15" xr:uid="{00000000-0004-0000-5C00-00000E000000}"/>
    <hyperlink ref="B23" r:id="rId16" xr:uid="{00000000-0004-0000-5C00-00000F000000}"/>
    <hyperlink ref="B24" r:id="rId17" xr:uid="{00000000-0004-0000-5C00-000010000000}"/>
    <hyperlink ref="B25" r:id="rId18" xr:uid="{00000000-0004-0000-5C00-000011000000}"/>
    <hyperlink ref="B26" r:id="rId19" xr:uid="{00000000-0004-0000-5C00-000012000000}"/>
    <hyperlink ref="B27" r:id="rId20" xr:uid="{00000000-0004-0000-5C00-000013000000}"/>
    <hyperlink ref="B28" r:id="rId21" xr:uid="{00000000-0004-0000-5C00-000014000000}"/>
    <hyperlink ref="B29" r:id="rId22" xr:uid="{00000000-0004-0000-5C00-000015000000}"/>
    <hyperlink ref="B30" r:id="rId23" xr:uid="{00000000-0004-0000-5C00-000016000000}"/>
    <hyperlink ref="B31" r:id="rId24" xr:uid="{00000000-0004-0000-5C00-000017000000}"/>
    <hyperlink ref="B32" r:id="rId25" xr:uid="{00000000-0004-0000-5C00-000018000000}"/>
    <hyperlink ref="B33" r:id="rId26" xr:uid="{00000000-0004-0000-5C00-000019000000}"/>
    <hyperlink ref="B34" r:id="rId27" xr:uid="{00000000-0004-0000-5C00-00001A000000}"/>
    <hyperlink ref="B35" r:id="rId28" xr:uid="{00000000-0004-0000-5C00-00001B000000}"/>
    <hyperlink ref="B36" r:id="rId29" xr:uid="{00000000-0004-0000-5C00-00001C000000}"/>
    <hyperlink ref="B37" r:id="rId30" xr:uid="{00000000-0004-0000-5C00-00001D000000}"/>
    <hyperlink ref="B38" r:id="rId31" xr:uid="{00000000-0004-0000-5C00-00001E000000}"/>
    <hyperlink ref="B39" r:id="rId32" xr:uid="{00000000-0004-0000-5C00-00001F000000}"/>
    <hyperlink ref="B40" r:id="rId33" xr:uid="{00000000-0004-0000-5C00-000020000000}"/>
    <hyperlink ref="B42" r:id="rId34" xr:uid="{00000000-0004-0000-5C00-000021000000}"/>
    <hyperlink ref="B43" r:id="rId35" xr:uid="{00000000-0004-0000-5C00-000022000000}"/>
    <hyperlink ref="B44" r:id="rId36" xr:uid="{00000000-0004-0000-5C00-000023000000}"/>
    <hyperlink ref="B45" r:id="rId37" xr:uid="{00000000-0004-0000-5C00-000024000000}"/>
    <hyperlink ref="B47" r:id="rId38" xr:uid="{00000000-0004-0000-5C00-000025000000}"/>
    <hyperlink ref="B48" r:id="rId39" xr:uid="{00000000-0004-0000-5C00-000026000000}"/>
    <hyperlink ref="B50" r:id="rId40" xr:uid="{00000000-0004-0000-5C00-000027000000}"/>
    <hyperlink ref="B51" r:id="rId41" xr:uid="{00000000-0004-0000-5C00-000028000000}"/>
    <hyperlink ref="B52" r:id="rId42" xr:uid="{00000000-0004-0000-5C00-000029000000}"/>
    <hyperlink ref="B54" r:id="rId43" xr:uid="{00000000-0004-0000-5C00-00002A000000}"/>
    <hyperlink ref="B55" r:id="rId44" xr:uid="{00000000-0004-0000-5C00-00002B000000}"/>
    <hyperlink ref="B56" r:id="rId45" xr:uid="{00000000-0004-0000-5C00-00002C000000}"/>
    <hyperlink ref="B57" r:id="rId46" xr:uid="{00000000-0004-0000-5C00-00002D000000}"/>
    <hyperlink ref="B58" r:id="rId47" xr:uid="{00000000-0004-0000-5C00-00002E000000}"/>
    <hyperlink ref="B59" r:id="rId48" xr:uid="{00000000-0004-0000-5C00-00002F000000}"/>
    <hyperlink ref="B60" r:id="rId49" xr:uid="{00000000-0004-0000-5C00-000030000000}"/>
    <hyperlink ref="B61" r:id="rId50" xr:uid="{00000000-0004-0000-5C00-000031000000}"/>
    <hyperlink ref="B62" r:id="rId51" xr:uid="{00000000-0004-0000-5C00-000032000000}"/>
    <hyperlink ref="B63" r:id="rId52" xr:uid="{00000000-0004-0000-5C00-000033000000}"/>
    <hyperlink ref="B64" r:id="rId53" xr:uid="{00000000-0004-0000-5C00-000034000000}"/>
    <hyperlink ref="B65" r:id="rId54" xr:uid="{00000000-0004-0000-5C00-000035000000}"/>
    <hyperlink ref="B66" r:id="rId55" xr:uid="{00000000-0004-0000-5C00-000036000000}"/>
    <hyperlink ref="B68" r:id="rId56" xr:uid="{00000000-0004-0000-5C00-000037000000}"/>
    <hyperlink ref="B69" r:id="rId57" xr:uid="{00000000-0004-0000-5C00-000038000000}"/>
    <hyperlink ref="B70" r:id="rId58" xr:uid="{00000000-0004-0000-5C00-000039000000}"/>
    <hyperlink ref="B75" r:id="rId59" xr:uid="{00000000-0004-0000-5C00-00003A000000}"/>
    <hyperlink ref="B76" r:id="rId60" xr:uid="{00000000-0004-0000-5C00-00003B000000}"/>
    <hyperlink ref="B81" r:id="rId61" xr:uid="{00000000-0004-0000-5C00-00003C000000}"/>
    <hyperlink ref="B82" r:id="rId62" xr:uid="{00000000-0004-0000-5C00-00003D000000}"/>
    <hyperlink ref="B83" r:id="rId63" xr:uid="{00000000-0004-0000-5C00-00003E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4">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2.5" customWidth="1"/>
    <col min="4" max="4" width="14" customWidth="1"/>
    <col min="5" max="5" width="15.1640625" customWidth="1"/>
  </cols>
  <sheetData>
    <row r="1" spans="1:10" ht="15.75" customHeight="1">
      <c r="A1" s="131" t="s">
        <v>116</v>
      </c>
      <c r="B1" s="88"/>
      <c r="C1" s="132"/>
      <c r="D1" s="95" t="s">
        <v>181</v>
      </c>
      <c r="E1" s="87"/>
      <c r="F1" s="87"/>
      <c r="G1" s="87"/>
      <c r="H1" s="88"/>
      <c r="I1" s="88"/>
    </row>
    <row r="2" spans="1:10" ht="15.75" customHeight="1">
      <c r="A2" s="88" t="s">
        <v>182</v>
      </c>
      <c r="B2" s="133">
        <v>43406</v>
      </c>
      <c r="C2" s="132"/>
      <c r="D2" s="134">
        <f>SUM(D5:G242)</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112" t="s">
        <v>7532</v>
      </c>
      <c r="B5" s="111" t="s">
        <v>297</v>
      </c>
      <c r="C5" s="136" t="s">
        <v>205</v>
      </c>
      <c r="D5" s="86"/>
      <c r="E5" s="86"/>
      <c r="F5" s="87"/>
      <c r="G5" s="87"/>
      <c r="H5" s="88"/>
      <c r="I5" s="88"/>
      <c r="J5" s="88"/>
    </row>
    <row r="6" spans="1:10" ht="15.75" customHeight="1">
      <c r="A6" s="112" t="s">
        <v>7533</v>
      </c>
      <c r="B6" s="111" t="s">
        <v>3339</v>
      </c>
      <c r="C6" s="136" t="s">
        <v>205</v>
      </c>
      <c r="D6" s="107"/>
      <c r="E6" s="112"/>
      <c r="F6" s="87"/>
      <c r="G6" s="87"/>
      <c r="H6" s="88"/>
      <c r="I6" s="88"/>
      <c r="J6" s="88"/>
    </row>
    <row r="7" spans="1:10" ht="15.75" customHeight="1">
      <c r="A7" s="112" t="s">
        <v>7534</v>
      </c>
      <c r="B7" s="111" t="s">
        <v>232</v>
      </c>
      <c r="C7" s="136" t="s">
        <v>205</v>
      </c>
      <c r="D7" s="107"/>
      <c r="E7" s="107"/>
      <c r="F7" s="87"/>
      <c r="G7" s="87"/>
      <c r="H7" s="88"/>
      <c r="I7" s="88"/>
    </row>
    <row r="8" spans="1:10" ht="15.75" customHeight="1">
      <c r="A8" s="112" t="s">
        <v>7535</v>
      </c>
      <c r="B8" s="111" t="s">
        <v>325</v>
      </c>
      <c r="C8" s="136" t="s">
        <v>205</v>
      </c>
      <c r="D8" s="107"/>
      <c r="E8" s="112"/>
      <c r="F8" s="87"/>
      <c r="G8" s="87"/>
      <c r="H8" s="88"/>
      <c r="I8" s="88"/>
    </row>
    <row r="9" spans="1:10" ht="15.75" customHeight="1">
      <c r="A9" s="112" t="s">
        <v>7536</v>
      </c>
      <c r="B9" s="111" t="s">
        <v>857</v>
      </c>
      <c r="C9" s="136" t="s">
        <v>205</v>
      </c>
      <c r="D9" s="107"/>
      <c r="E9" s="107"/>
      <c r="F9" s="87"/>
      <c r="G9" s="87"/>
      <c r="H9" s="88"/>
      <c r="I9" s="88"/>
    </row>
    <row r="10" spans="1:10" ht="15.75" customHeight="1">
      <c r="A10" s="112" t="s">
        <v>7537</v>
      </c>
      <c r="B10" s="111" t="s">
        <v>857</v>
      </c>
      <c r="C10" s="136" t="s">
        <v>205</v>
      </c>
      <c r="D10" s="107"/>
      <c r="E10" s="107"/>
      <c r="F10" s="87"/>
      <c r="G10" s="87"/>
      <c r="H10" s="88"/>
      <c r="I10" s="88"/>
    </row>
    <row r="11" spans="1:10" ht="15.75" customHeight="1">
      <c r="A11" s="112" t="s">
        <v>7538</v>
      </c>
      <c r="B11" s="111" t="s">
        <v>816</v>
      </c>
      <c r="C11" s="136" t="s">
        <v>205</v>
      </c>
      <c r="D11" s="107"/>
      <c r="E11" s="107"/>
      <c r="F11" s="87"/>
      <c r="G11" s="87"/>
      <c r="H11" s="88"/>
      <c r="I11" s="88"/>
    </row>
    <row r="12" spans="1:10" ht="15.75" customHeight="1">
      <c r="A12" s="112" t="s">
        <v>7539</v>
      </c>
      <c r="B12" s="111" t="s">
        <v>783</v>
      </c>
      <c r="C12" s="136" t="s">
        <v>205</v>
      </c>
      <c r="D12" s="107"/>
      <c r="E12" s="112"/>
      <c r="F12" s="86"/>
      <c r="G12" s="87"/>
      <c r="H12" s="88"/>
      <c r="I12" s="88"/>
    </row>
    <row r="13" spans="1:10" ht="15.75" customHeight="1">
      <c r="A13" s="112" t="s">
        <v>7540</v>
      </c>
      <c r="B13" s="111" t="s">
        <v>893</v>
      </c>
      <c r="C13" s="136" t="s">
        <v>205</v>
      </c>
      <c r="D13" s="107"/>
      <c r="E13" s="107"/>
      <c r="F13" s="87"/>
      <c r="G13" s="87"/>
      <c r="H13" s="88"/>
      <c r="I13" s="88"/>
    </row>
    <row r="14" spans="1:10" ht="15.75" customHeight="1">
      <c r="A14" s="112" t="s">
        <v>7541</v>
      </c>
      <c r="B14" s="111" t="s">
        <v>814</v>
      </c>
      <c r="C14" s="136" t="s">
        <v>205</v>
      </c>
      <c r="D14" s="107"/>
      <c r="E14" s="107"/>
      <c r="F14" s="87"/>
      <c r="G14" s="87"/>
      <c r="H14" s="88"/>
      <c r="I14" s="88"/>
    </row>
    <row r="15" spans="1:10" ht="15.75" customHeight="1">
      <c r="A15" s="112" t="s">
        <v>7542</v>
      </c>
      <c r="B15" s="111" t="s">
        <v>871</v>
      </c>
      <c r="C15" s="136" t="s">
        <v>205</v>
      </c>
      <c r="D15" s="107"/>
      <c r="E15" s="107"/>
      <c r="F15" s="87"/>
      <c r="G15" s="87"/>
      <c r="H15" s="88"/>
      <c r="I15" s="88"/>
    </row>
    <row r="16" spans="1:10" ht="15.75" customHeight="1">
      <c r="A16" s="112" t="s">
        <v>7543</v>
      </c>
      <c r="B16" s="111" t="s">
        <v>871</v>
      </c>
      <c r="C16" s="136" t="s">
        <v>205</v>
      </c>
      <c r="D16" s="107"/>
      <c r="E16" s="112"/>
      <c r="F16" s="87"/>
      <c r="G16" s="87"/>
      <c r="H16" s="88"/>
      <c r="I16" s="88"/>
    </row>
    <row r="17" spans="1:9" ht="15.75" customHeight="1">
      <c r="A17" s="112" t="s">
        <v>7544</v>
      </c>
      <c r="B17" s="111" t="s">
        <v>850</v>
      </c>
      <c r="C17" s="136" t="s">
        <v>205</v>
      </c>
      <c r="D17" s="107"/>
      <c r="E17" s="107"/>
      <c r="F17" s="87"/>
      <c r="G17" s="87"/>
      <c r="H17" s="88"/>
      <c r="I17" s="88"/>
    </row>
    <row r="18" spans="1:9" ht="15.75" customHeight="1">
      <c r="A18" s="112" t="s">
        <v>7545</v>
      </c>
      <c r="B18" s="111" t="s">
        <v>777</v>
      </c>
      <c r="C18" s="136" t="s">
        <v>205</v>
      </c>
      <c r="D18" s="107"/>
      <c r="E18" s="112"/>
      <c r="F18" s="86"/>
      <c r="G18" s="86"/>
      <c r="H18" s="88"/>
      <c r="I18" s="88"/>
    </row>
    <row r="19" spans="1:9" ht="15.75" customHeight="1">
      <c r="A19" s="112" t="s">
        <v>7546</v>
      </c>
      <c r="B19" s="111" t="s">
        <v>956</v>
      </c>
      <c r="C19" s="136" t="s">
        <v>205</v>
      </c>
      <c r="D19" s="107"/>
      <c r="E19" s="112"/>
      <c r="F19" s="87"/>
      <c r="G19" s="87"/>
      <c r="H19" s="88"/>
      <c r="I19" s="88"/>
    </row>
    <row r="20" spans="1:9" ht="15.75" customHeight="1">
      <c r="A20" s="112" t="s">
        <v>7547</v>
      </c>
      <c r="B20" s="111" t="s">
        <v>888</v>
      </c>
      <c r="C20" s="136" t="s">
        <v>205</v>
      </c>
      <c r="D20" s="107"/>
      <c r="E20" s="107"/>
      <c r="F20" s="87"/>
      <c r="G20" s="87"/>
      <c r="H20" s="88"/>
      <c r="I20" s="88"/>
    </row>
    <row r="21" spans="1:9" ht="15.75" customHeight="1">
      <c r="A21" s="112" t="s">
        <v>7548</v>
      </c>
      <c r="B21" s="111" t="str">
        <f>HYPERLINK("https://bulbapedia.bulbagarden.net/w/index.php?title=Shuckle-GX_(Lost_Thunder_17)&amp;action=edit&amp;redlink=1","ShuckleGX")</f>
        <v>ShuckleGX</v>
      </c>
      <c r="C21" s="136" t="s">
        <v>205</v>
      </c>
      <c r="D21" s="107"/>
      <c r="E21" s="112"/>
      <c r="F21" s="86"/>
      <c r="G21" s="87"/>
      <c r="H21" s="88"/>
      <c r="I21" s="88"/>
    </row>
    <row r="22" spans="1:9" ht="15.75" customHeight="1">
      <c r="A22" s="112" t="s">
        <v>7549</v>
      </c>
      <c r="B22" s="111" t="s">
        <v>775</v>
      </c>
      <c r="C22" s="136" t="s">
        <v>205</v>
      </c>
      <c r="D22" s="107"/>
      <c r="E22" s="107"/>
      <c r="F22" s="87"/>
      <c r="G22" s="87"/>
      <c r="H22" s="88"/>
      <c r="I22" s="88"/>
    </row>
    <row r="23" spans="1:9" ht="15.75" customHeight="1">
      <c r="A23" s="112" t="s">
        <v>7550</v>
      </c>
      <c r="B23" s="111" t="str">
        <f>HYPERLINK("https://bulbapedia.bulbagarden.net/w/index.php?title=Celebi_%E2%99%A2_(Lost_Thunder_19)&amp;action=edit&amp;redlink=1","Celebi♦")</f>
        <v>Celebi♦</v>
      </c>
      <c r="C23" s="136" t="s">
        <v>205</v>
      </c>
      <c r="D23" s="107"/>
      <c r="E23" s="112"/>
      <c r="F23" s="87"/>
      <c r="G23" s="87"/>
      <c r="H23" s="88"/>
      <c r="I23" s="88"/>
    </row>
    <row r="24" spans="1:9" ht="15.75" customHeight="1">
      <c r="A24" s="112" t="s">
        <v>7551</v>
      </c>
      <c r="B24" s="111" t="s">
        <v>1187</v>
      </c>
      <c r="C24" s="136" t="s">
        <v>205</v>
      </c>
      <c r="D24" s="107"/>
      <c r="E24" s="107"/>
      <c r="F24" s="86"/>
      <c r="G24" s="87"/>
      <c r="H24" s="88"/>
      <c r="I24" s="137"/>
    </row>
    <row r="25" spans="1:9" ht="15.75" customHeight="1">
      <c r="A25" s="112" t="s">
        <v>7552</v>
      </c>
      <c r="B25" s="111" t="s">
        <v>1188</v>
      </c>
      <c r="C25" s="136" t="s">
        <v>205</v>
      </c>
      <c r="D25" s="107"/>
      <c r="E25" s="112"/>
      <c r="F25" s="86"/>
      <c r="G25" s="87"/>
      <c r="H25" s="88"/>
      <c r="I25" s="137"/>
    </row>
    <row r="26" spans="1:9" ht="15.75" customHeight="1">
      <c r="A26" s="112" t="s">
        <v>7553</v>
      </c>
      <c r="B26" s="111" t="str">
        <f>HYPERLINK("https://bulbapedia.bulbagarden.net/w/index.php?title=Sceptile-GX_(Lost_Thunder_22)&amp;action=edit&amp;redlink=1","SceptileGX")</f>
        <v>SceptileGX</v>
      </c>
      <c r="C26" s="136" t="s">
        <v>205</v>
      </c>
      <c r="D26" s="107"/>
      <c r="E26" s="112"/>
      <c r="F26" s="86"/>
      <c r="G26" s="87"/>
      <c r="H26" s="88"/>
      <c r="I26" s="137"/>
    </row>
    <row r="27" spans="1:9" ht="15.75" customHeight="1">
      <c r="A27" s="112" t="s">
        <v>7554</v>
      </c>
      <c r="B27" s="111" t="s">
        <v>1323</v>
      </c>
      <c r="C27" s="136" t="s">
        <v>205</v>
      </c>
      <c r="D27" s="107"/>
      <c r="E27" s="107"/>
      <c r="F27" s="87"/>
      <c r="G27" s="87"/>
      <c r="H27" s="88"/>
      <c r="I27" s="88"/>
    </row>
    <row r="28" spans="1:9" ht="15.75" customHeight="1">
      <c r="A28" s="112" t="s">
        <v>7555</v>
      </c>
      <c r="B28" s="111" t="s">
        <v>1323</v>
      </c>
      <c r="C28" s="136" t="s">
        <v>205</v>
      </c>
      <c r="D28" s="107"/>
      <c r="E28" s="107"/>
      <c r="F28" s="87"/>
      <c r="G28" s="87"/>
      <c r="H28" s="88"/>
      <c r="I28" s="88"/>
    </row>
    <row r="29" spans="1:9" ht="15.75" customHeight="1">
      <c r="A29" s="112" t="s">
        <v>7556</v>
      </c>
      <c r="B29" s="111" t="s">
        <v>1274</v>
      </c>
      <c r="C29" s="136" t="s">
        <v>205</v>
      </c>
      <c r="D29" s="107"/>
      <c r="E29" s="112"/>
      <c r="F29" s="87"/>
      <c r="G29" s="87"/>
      <c r="H29" s="88"/>
      <c r="I29" s="88"/>
    </row>
    <row r="30" spans="1:9" ht="15.75" customHeight="1">
      <c r="A30" s="112" t="s">
        <v>7557</v>
      </c>
      <c r="B30" s="111" t="s">
        <v>1210</v>
      </c>
      <c r="C30" s="136" t="s">
        <v>205</v>
      </c>
      <c r="D30" s="107"/>
      <c r="E30" s="112"/>
      <c r="F30" s="87"/>
      <c r="G30" s="87"/>
      <c r="H30" s="88"/>
      <c r="I30" s="88"/>
    </row>
    <row r="31" spans="1:9" ht="15.75" customHeight="1">
      <c r="A31" s="112" t="s">
        <v>7558</v>
      </c>
      <c r="B31" s="111" t="s">
        <v>1252</v>
      </c>
      <c r="C31" s="136" t="s">
        <v>205</v>
      </c>
      <c r="D31" s="107"/>
      <c r="E31" s="112"/>
      <c r="F31" s="87"/>
      <c r="G31" s="87"/>
      <c r="H31" s="88"/>
      <c r="I31" s="88"/>
    </row>
    <row r="32" spans="1:9" ht="15.75" customHeight="1">
      <c r="A32" s="112" t="s">
        <v>7559</v>
      </c>
      <c r="B32" s="111" t="s">
        <v>1218</v>
      </c>
      <c r="C32" s="136" t="s">
        <v>205</v>
      </c>
      <c r="D32" s="107"/>
      <c r="E32" s="107"/>
      <c r="F32" s="87"/>
      <c r="G32" s="87"/>
      <c r="H32" s="88"/>
      <c r="I32" s="88"/>
    </row>
    <row r="33" spans="1:9" ht="15.75" customHeight="1">
      <c r="A33" s="112" t="s">
        <v>7560</v>
      </c>
      <c r="B33" s="111" t="s">
        <v>1576</v>
      </c>
      <c r="C33" s="136" t="s">
        <v>205</v>
      </c>
      <c r="D33" s="107"/>
      <c r="E33" s="107"/>
      <c r="F33" s="87"/>
      <c r="G33" s="87"/>
      <c r="H33" s="88"/>
      <c r="I33" s="88"/>
    </row>
    <row r="34" spans="1:9" ht="15.75" customHeight="1">
      <c r="A34" s="112" t="s">
        <v>7561</v>
      </c>
      <c r="B34" s="111" t="s">
        <v>1518</v>
      </c>
      <c r="C34" s="136" t="s">
        <v>205</v>
      </c>
      <c r="D34" s="107"/>
      <c r="E34" s="107"/>
      <c r="F34" s="87"/>
      <c r="G34" s="87"/>
      <c r="H34" s="88"/>
      <c r="I34" s="88"/>
    </row>
    <row r="35" spans="1:9" ht="15.75" customHeight="1">
      <c r="A35" s="112" t="s">
        <v>7562</v>
      </c>
      <c r="B35" s="111" t="s">
        <v>3146</v>
      </c>
      <c r="C35" s="136" t="s">
        <v>205</v>
      </c>
      <c r="D35" s="107"/>
      <c r="E35" s="112"/>
      <c r="F35" s="87"/>
      <c r="G35" s="87"/>
      <c r="H35" s="88"/>
      <c r="I35" s="88"/>
    </row>
    <row r="36" spans="1:9" ht="15.75" customHeight="1">
      <c r="A36" s="112" t="s">
        <v>7563</v>
      </c>
      <c r="B36" s="111" t="s">
        <v>3130</v>
      </c>
      <c r="C36" s="136" t="s">
        <v>205</v>
      </c>
      <c r="D36" s="107"/>
      <c r="E36" s="107"/>
      <c r="F36" s="87"/>
      <c r="G36" s="87"/>
      <c r="H36" s="88"/>
      <c r="I36" s="88"/>
    </row>
    <row r="37" spans="1:9" ht="15.75" customHeight="1">
      <c r="A37" s="112" t="s">
        <v>7564</v>
      </c>
      <c r="B37" s="111" t="s">
        <v>3575</v>
      </c>
      <c r="C37" s="136" t="s">
        <v>205</v>
      </c>
      <c r="D37" s="107"/>
      <c r="E37" s="107"/>
      <c r="F37" s="86"/>
      <c r="G37" s="87"/>
      <c r="H37" s="88"/>
      <c r="I37" s="88"/>
    </row>
    <row r="38" spans="1:9" ht="15.75" customHeight="1">
      <c r="A38" s="112" t="s">
        <v>7565</v>
      </c>
      <c r="B38" s="111" t="str">
        <f>HYPERLINK("https://bulbapedia.bulbagarden.net/w/index.php?title=Virizion-GX_(Lost_Thunder_34)&amp;action=edit&amp;redlink=1","VirizionGX")</f>
        <v>VirizionGX</v>
      </c>
      <c r="C38" s="136" t="s">
        <v>205</v>
      </c>
      <c r="D38" s="112"/>
      <c r="E38" s="112"/>
      <c r="F38" s="87"/>
      <c r="G38" s="87"/>
      <c r="H38" s="88"/>
      <c r="I38" s="88"/>
    </row>
    <row r="39" spans="1:9" ht="15.75" customHeight="1">
      <c r="A39" s="112" t="s">
        <v>7566</v>
      </c>
      <c r="B39" s="111" t="s">
        <v>4753</v>
      </c>
      <c r="C39" s="136" t="s">
        <v>205</v>
      </c>
      <c r="D39" s="107"/>
      <c r="E39" s="107"/>
      <c r="F39" s="87"/>
      <c r="G39" s="87"/>
      <c r="H39" s="88"/>
      <c r="I39" s="88"/>
    </row>
    <row r="40" spans="1:9" ht="15.75" customHeight="1">
      <c r="A40" s="112" t="s">
        <v>7567</v>
      </c>
      <c r="B40" s="111" t="s">
        <v>4762</v>
      </c>
      <c r="C40" s="136" t="s">
        <v>205</v>
      </c>
      <c r="D40" s="107"/>
      <c r="E40" s="107"/>
      <c r="F40" s="87"/>
      <c r="G40" s="87"/>
      <c r="H40" s="88"/>
      <c r="I40" s="88"/>
    </row>
    <row r="41" spans="1:9" ht="15.75" customHeight="1">
      <c r="A41" s="112" t="s">
        <v>7568</v>
      </c>
      <c r="B41" s="111" t="s">
        <v>7569</v>
      </c>
      <c r="C41" s="136" t="s">
        <v>205</v>
      </c>
      <c r="D41" s="112"/>
      <c r="E41" s="107"/>
      <c r="F41" s="87"/>
      <c r="G41" s="87"/>
      <c r="H41" s="88"/>
      <c r="I41" s="88"/>
    </row>
    <row r="42" spans="1:9" ht="15.75" customHeight="1">
      <c r="A42" s="112" t="s">
        <v>7570</v>
      </c>
      <c r="B42" s="111" t="s">
        <v>209</v>
      </c>
      <c r="C42" s="136" t="s">
        <v>199</v>
      </c>
      <c r="D42" s="107"/>
      <c r="E42" s="107"/>
      <c r="F42" s="87"/>
      <c r="G42" s="87"/>
      <c r="H42" s="88"/>
      <c r="I42" s="88"/>
    </row>
    <row r="43" spans="1:9" ht="15.75" customHeight="1">
      <c r="A43" s="112" t="s">
        <v>7571</v>
      </c>
      <c r="B43" s="111" t="s">
        <v>862</v>
      </c>
      <c r="C43" s="136" t="s">
        <v>199</v>
      </c>
      <c r="D43" s="107"/>
      <c r="E43" s="107"/>
      <c r="F43" s="87"/>
      <c r="G43" s="87"/>
      <c r="H43" s="88"/>
      <c r="I43" s="88"/>
    </row>
    <row r="44" spans="1:9" ht="15.75" customHeight="1">
      <c r="A44" s="112" t="s">
        <v>7572</v>
      </c>
      <c r="B44" s="111" t="s">
        <v>862</v>
      </c>
      <c r="C44" s="136" t="s">
        <v>199</v>
      </c>
      <c r="D44" s="107"/>
      <c r="E44" s="107"/>
      <c r="F44" s="87"/>
      <c r="G44" s="87"/>
      <c r="H44" s="88"/>
      <c r="I44" s="88"/>
    </row>
    <row r="45" spans="1:9" ht="15.75" customHeight="1">
      <c r="A45" s="112" t="s">
        <v>7573</v>
      </c>
      <c r="B45" s="111" t="s">
        <v>846</v>
      </c>
      <c r="C45" s="136" t="s">
        <v>199</v>
      </c>
      <c r="D45" s="107"/>
      <c r="E45" s="107"/>
      <c r="F45" s="87"/>
      <c r="G45" s="87"/>
      <c r="H45" s="88"/>
      <c r="I45" s="88"/>
    </row>
    <row r="46" spans="1:9" ht="15.75" customHeight="1">
      <c r="A46" s="112" t="s">
        <v>7574</v>
      </c>
      <c r="B46" s="111" t="s">
        <v>795</v>
      </c>
      <c r="C46" s="136" t="s">
        <v>199</v>
      </c>
      <c r="D46" s="107"/>
      <c r="E46" s="107"/>
      <c r="F46" s="86"/>
      <c r="G46" s="87"/>
      <c r="H46" s="88"/>
      <c r="I46" s="88"/>
    </row>
    <row r="47" spans="1:9" ht="15.75" customHeight="1">
      <c r="A47" s="112" t="s">
        <v>7575</v>
      </c>
      <c r="B47" s="111" t="s">
        <v>980</v>
      </c>
      <c r="C47" s="136" t="s">
        <v>199</v>
      </c>
      <c r="D47" s="107"/>
      <c r="E47" s="112"/>
      <c r="F47" s="87"/>
      <c r="G47" s="87"/>
      <c r="H47" s="88"/>
      <c r="I47" s="88"/>
    </row>
    <row r="48" spans="1:9" ht="15.75" customHeight="1">
      <c r="A48" s="112" t="s">
        <v>7576</v>
      </c>
      <c r="B48" s="111" t="str">
        <f>HYPERLINK("https://bulbapedia.bulbagarden.net/w/index.php?title=Magcargo-GX_(Lost_Thunder_44)&amp;action=edit&amp;redlink=1","MagcargoGX")</f>
        <v>MagcargoGX</v>
      </c>
      <c r="C48" s="136" t="s">
        <v>199</v>
      </c>
      <c r="D48" s="107"/>
      <c r="E48" s="112"/>
      <c r="F48" s="87"/>
      <c r="G48" s="87"/>
      <c r="H48" s="88"/>
      <c r="I48" s="88"/>
    </row>
    <row r="49" spans="1:9" ht="15.75" customHeight="1">
      <c r="A49" s="112" t="s">
        <v>7577</v>
      </c>
      <c r="B49" s="111" t="s">
        <v>939</v>
      </c>
      <c r="C49" s="136" t="s">
        <v>199</v>
      </c>
      <c r="D49" s="107"/>
      <c r="E49" s="112"/>
      <c r="F49" s="87"/>
      <c r="G49" s="87"/>
      <c r="H49" s="88"/>
      <c r="I49" s="88"/>
    </row>
    <row r="50" spans="1:9" ht="15.75" customHeight="1">
      <c r="A50" s="112" t="s">
        <v>7578</v>
      </c>
      <c r="B50" s="111" t="s">
        <v>938</v>
      </c>
      <c r="C50" s="136" t="s">
        <v>199</v>
      </c>
      <c r="D50" s="107"/>
      <c r="E50" s="107"/>
      <c r="F50" s="87"/>
      <c r="G50" s="87"/>
      <c r="H50" s="88"/>
      <c r="I50" s="88"/>
    </row>
    <row r="51" spans="1:9" ht="15.75" customHeight="1">
      <c r="A51" s="112" t="s">
        <v>7579</v>
      </c>
      <c r="B51" s="111" t="s">
        <v>221</v>
      </c>
      <c r="C51" s="136" t="s">
        <v>199</v>
      </c>
      <c r="D51" s="107"/>
      <c r="E51" s="107"/>
      <c r="F51" s="86"/>
      <c r="G51" s="87"/>
      <c r="H51" s="88"/>
      <c r="I51" s="88"/>
    </row>
    <row r="52" spans="1:9" ht="15.75" customHeight="1">
      <c r="A52" s="112" t="s">
        <v>7580</v>
      </c>
      <c r="B52" s="111" t="s">
        <v>3377</v>
      </c>
      <c r="C52" s="136" t="s">
        <v>199</v>
      </c>
      <c r="D52" s="112"/>
      <c r="E52" s="112"/>
      <c r="F52" s="87"/>
      <c r="G52" s="87"/>
      <c r="H52" s="88"/>
      <c r="I52" s="88"/>
    </row>
    <row r="53" spans="1:9" ht="13">
      <c r="A53" s="112" t="s">
        <v>7581</v>
      </c>
      <c r="B53" s="111" t="s">
        <v>4053</v>
      </c>
      <c r="C53" s="136" t="s">
        <v>199</v>
      </c>
      <c r="D53" s="107"/>
      <c r="E53" s="112"/>
      <c r="F53" s="87"/>
      <c r="G53" s="87"/>
      <c r="H53" s="88"/>
      <c r="I53" s="88"/>
    </row>
    <row r="54" spans="1:9" ht="13">
      <c r="A54" s="112" t="s">
        <v>7582</v>
      </c>
      <c r="B54" s="111" t="s">
        <v>5090</v>
      </c>
      <c r="C54" s="136" t="s">
        <v>199</v>
      </c>
      <c r="D54" s="107"/>
      <c r="E54" s="112"/>
      <c r="F54" s="87"/>
      <c r="G54" s="87"/>
      <c r="H54" s="88"/>
      <c r="I54" s="88"/>
    </row>
    <row r="55" spans="1:9" ht="13">
      <c r="A55" s="112" t="s">
        <v>7583</v>
      </c>
      <c r="B55" s="111" t="s">
        <v>4774</v>
      </c>
      <c r="C55" s="136" t="s">
        <v>199</v>
      </c>
      <c r="D55" s="107"/>
      <c r="E55" s="107"/>
      <c r="F55" s="87"/>
      <c r="G55" s="87"/>
      <c r="H55" s="88"/>
      <c r="I55" s="88"/>
    </row>
    <row r="56" spans="1:9" ht="13">
      <c r="A56" s="112" t="s">
        <v>7584</v>
      </c>
      <c r="B56" s="111" t="str">
        <f>HYPERLINK("https://bulbapedia.bulbagarden.net/wiki/Blacephalon-GX_(Lost_Thunder_52)","BlacephalonGX")</f>
        <v>BlacephalonGX</v>
      </c>
      <c r="C56" s="136" t="s">
        <v>199</v>
      </c>
      <c r="D56" s="107"/>
      <c r="E56" s="112"/>
      <c r="F56" s="86"/>
      <c r="G56" s="87"/>
      <c r="H56" s="88"/>
      <c r="I56" s="137"/>
    </row>
    <row r="57" spans="1:9" ht="13">
      <c r="A57" s="112" t="s">
        <v>7585</v>
      </c>
      <c r="B57" s="111" t="s">
        <v>6553</v>
      </c>
      <c r="C57" s="136" t="s">
        <v>208</v>
      </c>
      <c r="D57" s="107"/>
      <c r="E57" s="112"/>
      <c r="F57" s="87"/>
      <c r="G57" s="87"/>
      <c r="H57" s="88"/>
      <c r="I57" s="88"/>
    </row>
    <row r="58" spans="1:9" ht="13">
      <c r="A58" s="112" t="s">
        <v>7586</v>
      </c>
      <c r="B58" s="111" t="s">
        <v>387</v>
      </c>
      <c r="C58" s="136" t="s">
        <v>208</v>
      </c>
      <c r="D58" s="107"/>
      <c r="E58" s="107"/>
      <c r="F58" s="87"/>
      <c r="G58" s="87"/>
      <c r="H58" s="88"/>
      <c r="I58" s="88"/>
    </row>
    <row r="59" spans="1:9" ht="13">
      <c r="A59" s="112" t="s">
        <v>7587</v>
      </c>
      <c r="B59" s="111" t="s">
        <v>789</v>
      </c>
      <c r="C59" s="136" t="s">
        <v>208</v>
      </c>
      <c r="D59" s="107"/>
      <c r="E59" s="112"/>
      <c r="F59" s="87"/>
      <c r="G59" s="87"/>
      <c r="H59" s="88"/>
      <c r="I59" s="88"/>
    </row>
    <row r="60" spans="1:9" ht="13">
      <c r="A60" s="112" t="s">
        <v>7588</v>
      </c>
      <c r="B60" s="111" t="s">
        <v>364</v>
      </c>
      <c r="C60" s="136" t="s">
        <v>208</v>
      </c>
      <c r="D60" s="107"/>
      <c r="E60" s="112"/>
      <c r="F60" s="87"/>
      <c r="G60" s="87"/>
      <c r="H60" s="88"/>
      <c r="I60" s="88"/>
    </row>
    <row r="61" spans="1:9" ht="13">
      <c r="A61" s="112" t="s">
        <v>7589</v>
      </c>
      <c r="B61" s="111" t="s">
        <v>970</v>
      </c>
      <c r="C61" s="136" t="s">
        <v>208</v>
      </c>
      <c r="D61" s="107"/>
      <c r="E61" s="107"/>
      <c r="F61" s="87"/>
      <c r="G61" s="87"/>
      <c r="H61" s="88"/>
      <c r="I61" s="88"/>
    </row>
    <row r="62" spans="1:9" ht="13">
      <c r="A62" s="112" t="s">
        <v>7590</v>
      </c>
      <c r="B62" s="111" t="s">
        <v>876</v>
      </c>
      <c r="C62" s="136" t="s">
        <v>208</v>
      </c>
      <c r="D62" s="107"/>
      <c r="E62" s="107"/>
      <c r="F62" s="87"/>
      <c r="G62" s="87"/>
      <c r="H62" s="88"/>
      <c r="I62" s="88"/>
    </row>
    <row r="63" spans="1:9" ht="13">
      <c r="A63" s="112" t="s">
        <v>7591</v>
      </c>
      <c r="B63" s="111" t="s">
        <v>237</v>
      </c>
      <c r="C63" s="136" t="s">
        <v>208</v>
      </c>
      <c r="D63" s="51"/>
      <c r="E63" s="112"/>
      <c r="F63" s="87"/>
      <c r="G63" s="87"/>
      <c r="H63" s="88"/>
      <c r="I63" s="88"/>
    </row>
    <row r="64" spans="1:9" ht="13">
      <c r="A64" s="112" t="s">
        <v>7592</v>
      </c>
      <c r="B64" s="111" t="str">
        <f>HYPERLINK("https://bulbapedia.bulbagarden.net/wiki/Suicune-GX_(Lost_Thunder_60)","SuicuneGX")</f>
        <v>SuicuneGX</v>
      </c>
      <c r="C64" s="136" t="s">
        <v>208</v>
      </c>
      <c r="D64" s="107"/>
      <c r="F64" s="87"/>
      <c r="G64" s="87"/>
      <c r="H64" s="88"/>
      <c r="I64" s="88"/>
    </row>
    <row r="65" spans="1:9" ht="13">
      <c r="A65" s="112" t="s">
        <v>7593</v>
      </c>
      <c r="B65" s="111" t="s">
        <v>4127</v>
      </c>
      <c r="C65" s="136" t="s">
        <v>208</v>
      </c>
      <c r="D65" s="107"/>
      <c r="E65" s="107"/>
      <c r="F65" s="87"/>
      <c r="G65" s="87"/>
      <c r="H65" s="88"/>
      <c r="I65" s="88"/>
    </row>
    <row r="66" spans="1:9" ht="13">
      <c r="A66" s="112" t="s">
        <v>7594</v>
      </c>
      <c r="B66" s="111" t="s">
        <v>4128</v>
      </c>
      <c r="C66" s="136" t="s">
        <v>208</v>
      </c>
      <c r="D66" s="107"/>
      <c r="E66" s="112"/>
      <c r="F66" s="87"/>
      <c r="G66" s="87"/>
      <c r="H66" s="88"/>
      <c r="I66" s="88"/>
    </row>
    <row r="67" spans="1:9" ht="13">
      <c r="A67" s="112" t="s">
        <v>7595</v>
      </c>
      <c r="B67" s="111" t="s">
        <v>4460</v>
      </c>
      <c r="C67" s="136" t="s">
        <v>208</v>
      </c>
      <c r="D67" s="112"/>
      <c r="E67" s="112"/>
      <c r="F67" s="87"/>
      <c r="G67" s="87"/>
      <c r="H67" s="88"/>
      <c r="I67" s="88"/>
    </row>
    <row r="68" spans="1:9" ht="13">
      <c r="A68" s="112" t="s">
        <v>7596</v>
      </c>
      <c r="B68" s="111" t="s">
        <v>6208</v>
      </c>
      <c r="C68" s="136" t="s">
        <v>208</v>
      </c>
      <c r="D68" s="107"/>
      <c r="E68" s="107"/>
      <c r="F68" s="87"/>
      <c r="G68" s="87"/>
      <c r="H68" s="88"/>
      <c r="I68" s="88"/>
    </row>
    <row r="69" spans="1:9" ht="13">
      <c r="A69" s="112" t="s">
        <v>7597</v>
      </c>
      <c r="B69" s="111" t="s">
        <v>6208</v>
      </c>
      <c r="C69" s="136" t="s">
        <v>208</v>
      </c>
      <c r="D69" s="107"/>
      <c r="E69" s="112"/>
      <c r="F69" s="87"/>
      <c r="G69" s="87"/>
      <c r="H69" s="88"/>
      <c r="I69" s="88"/>
    </row>
    <row r="70" spans="1:9" ht="13">
      <c r="A70" s="112" t="s">
        <v>7598</v>
      </c>
      <c r="B70" s="111" t="s">
        <v>6474</v>
      </c>
      <c r="C70" s="136" t="s">
        <v>208</v>
      </c>
      <c r="D70" s="107"/>
      <c r="E70" s="112"/>
      <c r="F70" s="87"/>
      <c r="G70" s="87"/>
      <c r="H70" s="88"/>
      <c r="I70" s="88"/>
    </row>
    <row r="71" spans="1:9" ht="13">
      <c r="A71" s="112" t="s">
        <v>7599</v>
      </c>
      <c r="B71" s="111" t="s">
        <v>6475</v>
      </c>
      <c r="C71" s="136" t="s">
        <v>208</v>
      </c>
      <c r="D71" s="107"/>
      <c r="E71" s="112"/>
      <c r="F71" s="87"/>
      <c r="G71" s="87"/>
      <c r="H71" s="88"/>
      <c r="I71" s="88"/>
    </row>
    <row r="72" spans="1:9" ht="13">
      <c r="A72" s="112" t="s">
        <v>7600</v>
      </c>
      <c r="B72" s="111" t="s">
        <v>6485</v>
      </c>
      <c r="C72" s="136" t="s">
        <v>208</v>
      </c>
      <c r="D72" s="107"/>
      <c r="E72" s="107"/>
      <c r="F72" s="87"/>
      <c r="G72" s="87"/>
      <c r="H72" s="88"/>
      <c r="I72" s="88"/>
    </row>
    <row r="73" spans="1:9" ht="13">
      <c r="A73" s="112" t="s">
        <v>7601</v>
      </c>
      <c r="B73" s="111" t="s">
        <v>6486</v>
      </c>
      <c r="C73" s="136" t="s">
        <v>208</v>
      </c>
      <c r="D73" s="107"/>
      <c r="E73" s="107"/>
      <c r="F73" s="87"/>
      <c r="G73" s="87"/>
      <c r="H73" s="88"/>
      <c r="I73" s="88"/>
    </row>
    <row r="74" spans="1:9" ht="13">
      <c r="A74" s="112" t="s">
        <v>7602</v>
      </c>
      <c r="B74" s="111" t="s">
        <v>6481</v>
      </c>
      <c r="C74" s="136" t="s">
        <v>208</v>
      </c>
      <c r="D74" s="107"/>
      <c r="E74" s="112"/>
      <c r="F74" s="87"/>
      <c r="G74" s="87"/>
      <c r="H74" s="88"/>
      <c r="I74" s="88"/>
    </row>
    <row r="75" spans="1:9" ht="13">
      <c r="A75" s="112" t="s">
        <v>7603</v>
      </c>
      <c r="B75" s="111" t="s">
        <v>193</v>
      </c>
      <c r="C75" s="136" t="s">
        <v>192</v>
      </c>
      <c r="D75" s="107"/>
      <c r="E75" s="112"/>
      <c r="F75" s="87"/>
      <c r="G75" s="87"/>
      <c r="H75" s="88"/>
      <c r="I75" s="88"/>
    </row>
    <row r="76" spans="1:9" ht="13">
      <c r="A76" s="112" t="s">
        <v>7604</v>
      </c>
      <c r="B76" s="111" t="s">
        <v>3110</v>
      </c>
      <c r="C76" s="136" t="s">
        <v>192</v>
      </c>
      <c r="D76" s="107"/>
      <c r="E76" s="107"/>
      <c r="F76" s="87"/>
      <c r="G76" s="87"/>
      <c r="H76" s="88"/>
      <c r="I76" s="88"/>
    </row>
    <row r="77" spans="1:9" ht="13">
      <c r="A77" s="112" t="s">
        <v>7605</v>
      </c>
      <c r="B77" s="111" t="s">
        <v>860</v>
      </c>
      <c r="C77" s="136" t="s">
        <v>192</v>
      </c>
      <c r="D77" s="107"/>
      <c r="E77" s="112"/>
      <c r="F77" s="87"/>
      <c r="G77" s="87"/>
      <c r="H77" s="88"/>
      <c r="I77" s="88"/>
    </row>
    <row r="78" spans="1:9" ht="13">
      <c r="A78" s="112" t="s">
        <v>7606</v>
      </c>
      <c r="B78" s="111" t="s">
        <v>831</v>
      </c>
      <c r="C78" s="136" t="s">
        <v>192</v>
      </c>
      <c r="D78" s="107"/>
      <c r="E78" s="112"/>
      <c r="F78" s="87"/>
      <c r="G78" s="87"/>
      <c r="H78" s="88"/>
      <c r="I78" s="88"/>
    </row>
    <row r="79" spans="1:9" ht="13">
      <c r="A79" s="112" t="s">
        <v>7607</v>
      </c>
      <c r="B79" s="111" t="s">
        <v>878</v>
      </c>
      <c r="C79" s="136" t="s">
        <v>192</v>
      </c>
      <c r="D79" s="107"/>
      <c r="E79" s="107"/>
      <c r="F79" s="86"/>
      <c r="G79" s="87"/>
      <c r="H79" s="88"/>
      <c r="I79" s="137"/>
    </row>
    <row r="80" spans="1:9" ht="13">
      <c r="A80" s="112" t="s">
        <v>7608</v>
      </c>
      <c r="B80" s="111" t="s">
        <v>878</v>
      </c>
      <c r="C80" s="136" t="s">
        <v>192</v>
      </c>
      <c r="D80" s="107"/>
      <c r="E80" s="107"/>
      <c r="F80" s="86"/>
      <c r="G80" s="87"/>
      <c r="H80" s="88"/>
      <c r="I80" s="88"/>
    </row>
    <row r="81" spans="1:9" ht="13">
      <c r="A81" s="112" t="s">
        <v>7609</v>
      </c>
      <c r="B81" s="111" t="s">
        <v>824</v>
      </c>
      <c r="C81" s="136" t="s">
        <v>192</v>
      </c>
      <c r="D81" s="107"/>
      <c r="E81" s="112"/>
      <c r="F81" s="86"/>
      <c r="G81" s="87"/>
      <c r="H81" s="88"/>
      <c r="I81" s="88"/>
    </row>
    <row r="82" spans="1:9" ht="13">
      <c r="A82" s="112" t="s">
        <v>7610</v>
      </c>
      <c r="B82" s="111" t="s">
        <v>766</v>
      </c>
      <c r="C82" s="136" t="s">
        <v>192</v>
      </c>
      <c r="D82" s="107"/>
      <c r="E82" s="107"/>
      <c r="F82" s="86"/>
      <c r="G82" s="87"/>
      <c r="H82" s="88"/>
      <c r="I82" s="88"/>
    </row>
    <row r="83" spans="1:9" ht="13">
      <c r="A83" s="112" t="s">
        <v>7611</v>
      </c>
      <c r="B83" s="111" t="s">
        <v>972</v>
      </c>
      <c r="C83" s="136" t="s">
        <v>192</v>
      </c>
      <c r="D83" s="107"/>
      <c r="E83" s="112"/>
      <c r="F83" s="87"/>
      <c r="G83" s="87"/>
      <c r="H83" s="88"/>
      <c r="I83" s="88"/>
    </row>
    <row r="84" spans="1:9" ht="13">
      <c r="A84" s="112" t="s">
        <v>7612</v>
      </c>
      <c r="B84" s="111" t="s">
        <v>3022</v>
      </c>
      <c r="C84" s="136" t="s">
        <v>192</v>
      </c>
      <c r="D84" s="107"/>
      <c r="E84" s="112"/>
      <c r="F84" s="87"/>
      <c r="G84" s="87"/>
      <c r="H84" s="88"/>
      <c r="I84" s="88"/>
    </row>
    <row r="85" spans="1:9" ht="13">
      <c r="A85" s="112" t="s">
        <v>7613</v>
      </c>
      <c r="B85" s="111" t="s">
        <v>4033</v>
      </c>
      <c r="C85" s="136" t="s">
        <v>192</v>
      </c>
      <c r="D85" s="107"/>
      <c r="E85" s="107"/>
      <c r="F85" s="87"/>
      <c r="G85" s="87"/>
      <c r="H85" s="88"/>
      <c r="I85" s="88"/>
    </row>
    <row r="86" spans="1:9" ht="13">
      <c r="A86" s="112" t="s">
        <v>7614</v>
      </c>
      <c r="B86" s="111" t="s">
        <v>4071</v>
      </c>
      <c r="C86" s="136" t="s">
        <v>192</v>
      </c>
      <c r="D86" s="107"/>
      <c r="E86" s="112"/>
      <c r="F86" s="86"/>
      <c r="G86" s="87"/>
      <c r="H86" s="88"/>
      <c r="I86" s="88"/>
    </row>
    <row r="87" spans="1:9" ht="13">
      <c r="A87" s="112" t="s">
        <v>7615</v>
      </c>
      <c r="B87" s="111" t="s">
        <v>4076</v>
      </c>
      <c r="C87" s="136" t="s">
        <v>192</v>
      </c>
      <c r="D87" s="107"/>
      <c r="E87" s="107"/>
      <c r="F87" s="87"/>
      <c r="G87" s="87"/>
      <c r="H87" s="88"/>
      <c r="I87" s="88"/>
    </row>
    <row r="88" spans="1:9" ht="13">
      <c r="A88" s="112" t="s">
        <v>7616</v>
      </c>
      <c r="B88" s="111" t="s">
        <v>5120</v>
      </c>
      <c r="C88" s="136" t="s">
        <v>192</v>
      </c>
      <c r="D88" s="107"/>
      <c r="E88" s="112"/>
      <c r="F88" s="87"/>
      <c r="G88" s="87"/>
      <c r="H88" s="88"/>
      <c r="I88" s="88"/>
    </row>
    <row r="89" spans="1:9" ht="13">
      <c r="A89" s="112" t="s">
        <v>7617</v>
      </c>
      <c r="B89" s="111" t="s">
        <v>6220</v>
      </c>
      <c r="C89" s="136" t="s">
        <v>192</v>
      </c>
      <c r="D89" s="107"/>
      <c r="E89" s="112"/>
      <c r="F89" s="86"/>
      <c r="G89" s="87"/>
      <c r="H89" s="88"/>
      <c r="I89" s="88"/>
    </row>
    <row r="90" spans="1:9" ht="13">
      <c r="A90" s="112" t="s">
        <v>7618</v>
      </c>
      <c r="B90" s="111" t="str">
        <f>HYPERLINK("https://bulbapedia.bulbagarden.net/wiki/Zeraora-GX_(Lost_Thunder_86)","ZeraoraGX")</f>
        <v>ZeraoraGX</v>
      </c>
      <c r="C90" s="136" t="s">
        <v>192</v>
      </c>
      <c r="D90" s="107"/>
      <c r="E90" s="112"/>
      <c r="F90" s="86"/>
      <c r="G90" s="87"/>
      <c r="H90" s="88"/>
      <c r="I90" s="88"/>
    </row>
    <row r="91" spans="1:9" ht="13">
      <c r="A91" s="112" t="s">
        <v>7619</v>
      </c>
      <c r="B91" s="111" t="s">
        <v>881</v>
      </c>
      <c r="C91" s="136" t="s">
        <v>195</v>
      </c>
      <c r="D91" s="107"/>
      <c r="E91" s="107"/>
      <c r="F91" s="87"/>
      <c r="G91" s="87"/>
      <c r="H91" s="88"/>
      <c r="I91" s="88"/>
    </row>
    <row r="92" spans="1:9" ht="13">
      <c r="A92" s="112" t="s">
        <v>7620</v>
      </c>
      <c r="B92" s="111" t="s">
        <v>855</v>
      </c>
      <c r="C92" s="136" t="s">
        <v>195</v>
      </c>
      <c r="D92" s="107"/>
      <c r="E92" s="107"/>
      <c r="F92" s="87"/>
      <c r="G92" s="87"/>
      <c r="H92" s="88"/>
      <c r="I92" s="88"/>
    </row>
    <row r="93" spans="1:9" ht="13">
      <c r="A93" s="112" t="s">
        <v>7621</v>
      </c>
      <c r="B93" s="111" t="s">
        <v>936</v>
      </c>
      <c r="C93" s="136" t="s">
        <v>195</v>
      </c>
      <c r="D93" s="107"/>
      <c r="E93" s="112"/>
      <c r="F93" s="87"/>
      <c r="G93" s="87"/>
      <c r="H93" s="88"/>
      <c r="I93" s="88"/>
    </row>
    <row r="94" spans="1:9" ht="13">
      <c r="A94" s="112" t="s">
        <v>7622</v>
      </c>
      <c r="B94" s="111" t="s">
        <v>3964</v>
      </c>
      <c r="C94" s="136" t="s">
        <v>195</v>
      </c>
      <c r="D94" s="107"/>
      <c r="E94" s="112"/>
      <c r="F94" s="87"/>
      <c r="G94" s="87"/>
      <c r="H94" s="88"/>
      <c r="I94" s="88"/>
    </row>
    <row r="95" spans="1:9" ht="13">
      <c r="A95" s="112" t="s">
        <v>7623</v>
      </c>
      <c r="B95" s="111" t="s">
        <v>3964</v>
      </c>
      <c r="C95" s="136" t="s">
        <v>195</v>
      </c>
      <c r="D95" s="107"/>
      <c r="E95" s="112"/>
      <c r="F95" s="87"/>
      <c r="G95" s="87"/>
      <c r="H95" s="88"/>
      <c r="I95" s="88"/>
    </row>
    <row r="96" spans="1:9" ht="13">
      <c r="A96" s="112" t="s">
        <v>7624</v>
      </c>
      <c r="B96" s="111" t="s">
        <v>3964</v>
      </c>
      <c r="C96" s="136" t="s">
        <v>195</v>
      </c>
      <c r="D96" s="107"/>
      <c r="E96" s="107"/>
      <c r="F96" s="87"/>
      <c r="G96" s="87"/>
      <c r="H96" s="88"/>
      <c r="I96" s="88"/>
    </row>
    <row r="97" spans="1:9" ht="13">
      <c r="A97" s="112" t="s">
        <v>7625</v>
      </c>
      <c r="B97" s="111" t="s">
        <v>945</v>
      </c>
      <c r="C97" s="136" t="s">
        <v>195</v>
      </c>
      <c r="D97" s="107"/>
      <c r="E97" s="107"/>
      <c r="F97" s="87"/>
      <c r="G97" s="87"/>
      <c r="H97" s="88"/>
      <c r="I97" s="88"/>
    </row>
    <row r="98" spans="1:9" ht="13">
      <c r="A98" s="112" t="s">
        <v>7626</v>
      </c>
      <c r="B98" s="111" t="s">
        <v>865</v>
      </c>
      <c r="C98" s="136" t="s">
        <v>195</v>
      </c>
      <c r="D98" s="107"/>
      <c r="E98" s="107"/>
      <c r="F98" s="87"/>
      <c r="G98" s="87"/>
      <c r="H98" s="88"/>
      <c r="I98" s="88"/>
    </row>
    <row r="99" spans="1:9" ht="13">
      <c r="A99" s="112" t="s">
        <v>7627</v>
      </c>
      <c r="B99" s="111" t="s">
        <v>1509</v>
      </c>
      <c r="C99" s="136" t="s">
        <v>195</v>
      </c>
      <c r="D99" s="107"/>
      <c r="E99" s="107"/>
      <c r="F99" s="87"/>
      <c r="G99" s="87"/>
      <c r="H99" s="88"/>
      <c r="I99" s="88"/>
    </row>
    <row r="100" spans="1:9" ht="13">
      <c r="A100" s="112" t="s">
        <v>7628</v>
      </c>
      <c r="B100" s="111" t="s">
        <v>1370</v>
      </c>
      <c r="C100" s="136" t="s">
        <v>195</v>
      </c>
      <c r="D100" s="107"/>
      <c r="E100" s="112"/>
      <c r="F100" s="87"/>
      <c r="G100" s="87"/>
      <c r="H100" s="88"/>
      <c r="I100" s="88"/>
    </row>
    <row r="101" spans="1:9" ht="13">
      <c r="A101" s="112" t="s">
        <v>7629</v>
      </c>
      <c r="B101" s="111" t="s">
        <v>3374</v>
      </c>
      <c r="C101" s="136" t="s">
        <v>195</v>
      </c>
      <c r="D101" s="107"/>
      <c r="E101" s="112"/>
      <c r="F101" s="86"/>
      <c r="G101" s="87"/>
      <c r="H101" s="88"/>
      <c r="I101" s="88"/>
    </row>
    <row r="102" spans="1:9" ht="13">
      <c r="A102" s="112" t="s">
        <v>7630</v>
      </c>
      <c r="B102" s="111" t="str">
        <f>HYPERLINK("https://bulbapedia.bulbagarden.net/w/index.php?title=Sigilyph-GX_(Lost_Thunder_98)&amp;action=edit&amp;redlink=1","SigilyphGX")</f>
        <v>SigilyphGX</v>
      </c>
      <c r="C102" s="136" t="s">
        <v>195</v>
      </c>
      <c r="D102" s="107"/>
      <c r="E102" s="112"/>
      <c r="F102" s="87"/>
      <c r="G102" s="87"/>
      <c r="H102" s="88"/>
      <c r="I102" s="88"/>
    </row>
    <row r="103" spans="1:9" ht="13">
      <c r="A103" s="112" t="s">
        <v>7631</v>
      </c>
      <c r="B103" s="111" t="s">
        <v>4077</v>
      </c>
      <c r="C103" s="136" t="s">
        <v>195</v>
      </c>
      <c r="D103" s="107"/>
      <c r="E103" s="107"/>
      <c r="F103" s="87"/>
      <c r="G103" s="87"/>
      <c r="H103" s="88"/>
      <c r="I103" s="88"/>
    </row>
    <row r="104" spans="1:9" ht="13">
      <c r="A104" s="112" t="s">
        <v>7632</v>
      </c>
      <c r="B104" s="111" t="s">
        <v>4078</v>
      </c>
      <c r="C104" s="136" t="s">
        <v>195</v>
      </c>
      <c r="D104" s="107"/>
      <c r="E104" s="112"/>
      <c r="F104" s="87"/>
      <c r="G104" s="87"/>
      <c r="H104" s="88"/>
      <c r="I104" s="88"/>
    </row>
    <row r="105" spans="1:9" ht="13">
      <c r="A105" s="112" t="s">
        <v>7633</v>
      </c>
      <c r="B105" s="111" t="s">
        <v>4086</v>
      </c>
      <c r="C105" s="136" t="s">
        <v>195</v>
      </c>
      <c r="D105" s="107"/>
      <c r="E105" s="107"/>
      <c r="F105" s="87"/>
      <c r="G105" s="87"/>
      <c r="H105" s="88"/>
      <c r="I105" s="88"/>
    </row>
    <row r="106" spans="1:9" ht="13">
      <c r="A106" s="112" t="s">
        <v>7634</v>
      </c>
      <c r="B106" s="111" t="s">
        <v>4087</v>
      </c>
      <c r="C106" s="136" t="s">
        <v>195</v>
      </c>
      <c r="D106" s="107"/>
      <c r="E106" s="112"/>
      <c r="F106" s="87"/>
      <c r="G106" s="87"/>
      <c r="H106" s="88"/>
      <c r="I106" s="88"/>
    </row>
    <row r="107" spans="1:9" ht="13">
      <c r="A107" s="112" t="s">
        <v>7635</v>
      </c>
      <c r="B107" s="111" t="s">
        <v>4088</v>
      </c>
      <c r="C107" s="136" t="s">
        <v>195</v>
      </c>
      <c r="D107" s="107"/>
      <c r="E107" s="112"/>
      <c r="F107" s="86"/>
      <c r="G107" s="87"/>
      <c r="H107" s="88"/>
      <c r="I107" s="88"/>
    </row>
    <row r="108" spans="1:9" ht="13">
      <c r="A108" s="112" t="s">
        <v>7636</v>
      </c>
      <c r="B108" s="111" t="s">
        <v>4429</v>
      </c>
      <c r="C108" s="136" t="s">
        <v>195</v>
      </c>
      <c r="D108" s="107"/>
      <c r="E108" s="107"/>
      <c r="F108" s="87"/>
      <c r="G108" s="87"/>
      <c r="H108" s="88"/>
      <c r="I108" s="88"/>
    </row>
    <row r="109" spans="1:9" ht="13">
      <c r="A109" s="112" t="s">
        <v>7637</v>
      </c>
      <c r="B109" s="111" t="s">
        <v>6485</v>
      </c>
      <c r="C109" s="136" t="s">
        <v>195</v>
      </c>
      <c r="D109" s="107"/>
      <c r="E109" s="107"/>
      <c r="F109" s="87"/>
      <c r="G109" s="87"/>
      <c r="H109" s="88"/>
      <c r="I109" s="88"/>
    </row>
    <row r="110" spans="1:9" ht="13">
      <c r="A110" s="112" t="s">
        <v>7638</v>
      </c>
      <c r="B110" s="111" t="s">
        <v>7639</v>
      </c>
      <c r="C110" s="136" t="s">
        <v>195</v>
      </c>
      <c r="D110" s="107"/>
      <c r="E110" s="107"/>
      <c r="F110" s="86"/>
      <c r="G110" s="87"/>
      <c r="H110" s="88"/>
      <c r="I110" s="88"/>
    </row>
    <row r="111" spans="1:9" ht="13">
      <c r="A111" s="112" t="s">
        <v>7640</v>
      </c>
      <c r="B111" s="111" t="s">
        <v>7138</v>
      </c>
      <c r="C111" s="136" t="s">
        <v>195</v>
      </c>
      <c r="D111" s="107"/>
      <c r="E111" s="107"/>
      <c r="F111" s="86"/>
      <c r="G111" s="87"/>
      <c r="H111" s="88"/>
      <c r="I111" s="137"/>
    </row>
    <row r="112" spans="1:9" ht="13">
      <c r="A112" s="112" t="s">
        <v>7641</v>
      </c>
      <c r="B112" s="111" t="s">
        <v>7642</v>
      </c>
      <c r="C112" s="136" t="s">
        <v>195</v>
      </c>
      <c r="D112" s="107"/>
      <c r="E112" s="107"/>
      <c r="F112" s="86"/>
      <c r="G112" s="86"/>
      <c r="H112" s="137"/>
      <c r="I112" s="137"/>
    </row>
    <row r="113" spans="1:9" ht="13">
      <c r="A113" s="112" t="s">
        <v>7643</v>
      </c>
      <c r="B113" s="111" t="s">
        <v>288</v>
      </c>
      <c r="C113" s="136" t="s">
        <v>225</v>
      </c>
      <c r="D113" s="107"/>
      <c r="E113" s="107"/>
      <c r="F113" s="87"/>
      <c r="G113" s="87"/>
      <c r="H113" s="88"/>
      <c r="I113" s="88"/>
    </row>
    <row r="114" spans="1:9" ht="13">
      <c r="A114" s="112" t="s">
        <v>7644</v>
      </c>
      <c r="B114" s="111" t="s">
        <v>897</v>
      </c>
      <c r="C114" s="136" t="s">
        <v>225</v>
      </c>
      <c r="D114" s="107"/>
      <c r="E114" s="107"/>
      <c r="F114" s="87"/>
      <c r="G114" s="87"/>
      <c r="H114" s="88"/>
      <c r="I114" s="88"/>
    </row>
    <row r="115" spans="1:9" ht="13">
      <c r="A115" s="112" t="s">
        <v>7645</v>
      </c>
      <c r="B115" s="111" t="s">
        <v>840</v>
      </c>
      <c r="C115" s="136" t="s">
        <v>225</v>
      </c>
      <c r="D115" s="107"/>
      <c r="E115" s="112"/>
      <c r="F115" s="87"/>
      <c r="G115" s="87"/>
      <c r="H115" s="88"/>
      <c r="I115" s="88"/>
    </row>
    <row r="116" spans="1:9" ht="13">
      <c r="A116" s="112" t="s">
        <v>7646</v>
      </c>
      <c r="B116" s="111" t="s">
        <v>801</v>
      </c>
      <c r="C116" s="136" t="s">
        <v>225</v>
      </c>
      <c r="D116" s="107"/>
      <c r="E116" s="112"/>
      <c r="F116" s="87"/>
      <c r="G116" s="87"/>
      <c r="H116" s="88"/>
      <c r="I116" s="88"/>
    </row>
    <row r="117" spans="1:9" ht="13">
      <c r="A117" s="112" t="s">
        <v>7647</v>
      </c>
      <c r="B117" s="111" t="s">
        <v>224</v>
      </c>
      <c r="C117" s="136" t="s">
        <v>225</v>
      </c>
      <c r="D117" s="107"/>
      <c r="E117" s="112"/>
      <c r="F117" s="87"/>
      <c r="G117" s="87"/>
      <c r="H117" s="88"/>
      <c r="I117" s="88"/>
    </row>
    <row r="118" spans="1:9" ht="13">
      <c r="A118" s="112" t="s">
        <v>7648</v>
      </c>
      <c r="B118" s="111" t="s">
        <v>955</v>
      </c>
      <c r="C118" s="136" t="s">
        <v>225</v>
      </c>
      <c r="D118" s="107"/>
      <c r="E118" s="107"/>
      <c r="F118" s="87"/>
      <c r="G118" s="87"/>
      <c r="H118" s="88"/>
      <c r="I118" s="88"/>
    </row>
    <row r="119" spans="1:9" ht="13">
      <c r="A119" s="112" t="s">
        <v>7649</v>
      </c>
      <c r="B119" s="111" t="s">
        <v>955</v>
      </c>
      <c r="C119" s="136" t="s">
        <v>225</v>
      </c>
      <c r="D119" s="107"/>
      <c r="E119" s="107"/>
      <c r="F119" s="87"/>
      <c r="G119" s="87"/>
      <c r="H119" s="88"/>
      <c r="I119" s="88"/>
    </row>
    <row r="120" spans="1:9" ht="13">
      <c r="A120" s="112" t="s">
        <v>7650</v>
      </c>
      <c r="B120" s="111" t="s">
        <v>948</v>
      </c>
      <c r="C120" s="136" t="s">
        <v>225</v>
      </c>
      <c r="D120" s="107"/>
      <c r="E120" s="107"/>
      <c r="F120" s="87"/>
      <c r="G120" s="87"/>
      <c r="H120" s="88"/>
      <c r="I120" s="88"/>
    </row>
    <row r="121" spans="1:9" ht="13">
      <c r="A121" s="112" t="s">
        <v>7651</v>
      </c>
      <c r="B121" s="111" t="s">
        <v>5100</v>
      </c>
      <c r="C121" s="136" t="s">
        <v>225</v>
      </c>
      <c r="D121" s="107"/>
      <c r="E121" s="107"/>
      <c r="F121" s="87"/>
      <c r="G121" s="87"/>
      <c r="H121" s="88"/>
      <c r="I121" s="88"/>
    </row>
    <row r="122" spans="1:9" ht="13">
      <c r="A122" s="112" t="s">
        <v>7652</v>
      </c>
      <c r="B122" s="111" t="s">
        <v>6236</v>
      </c>
      <c r="C122" s="136" t="s">
        <v>808</v>
      </c>
      <c r="D122" s="107"/>
      <c r="E122" s="107"/>
      <c r="F122" s="87"/>
      <c r="G122" s="87"/>
      <c r="H122" s="88"/>
      <c r="I122" s="88"/>
    </row>
    <row r="123" spans="1:9" ht="13">
      <c r="A123" s="112" t="s">
        <v>7653</v>
      </c>
      <c r="B123" s="111" t="s">
        <v>6495</v>
      </c>
      <c r="C123" s="136" t="s">
        <v>808</v>
      </c>
      <c r="D123" s="107"/>
      <c r="E123" s="112"/>
      <c r="F123" s="87"/>
      <c r="G123" s="87"/>
      <c r="H123" s="88"/>
      <c r="I123" s="88"/>
    </row>
    <row r="124" spans="1:9" ht="13">
      <c r="A124" s="112" t="s">
        <v>7654</v>
      </c>
      <c r="B124" s="111" t="s">
        <v>942</v>
      </c>
      <c r="C124" s="136" t="s">
        <v>808</v>
      </c>
      <c r="D124" s="107"/>
      <c r="E124" s="112"/>
      <c r="F124" s="87"/>
      <c r="G124" s="87"/>
      <c r="H124" s="88"/>
      <c r="I124" s="88"/>
    </row>
    <row r="125" spans="1:9" ht="13">
      <c r="A125" s="112" t="s">
        <v>7655</v>
      </c>
      <c r="B125" s="111" t="str">
        <f>HYPERLINK("https://bulbapedia.bulbagarden.net/w/index.php?title=Tyranitar-GX_(Lost_Thunder_121)&amp;action=edit&amp;redlink=1","TyranitarGX")</f>
        <v>TyranitarGX</v>
      </c>
      <c r="C125" s="136" t="s">
        <v>808</v>
      </c>
      <c r="D125" s="107"/>
      <c r="E125" s="112"/>
      <c r="F125" s="87"/>
      <c r="G125" s="87"/>
      <c r="H125" s="88"/>
      <c r="I125" s="88"/>
    </row>
    <row r="126" spans="1:9" ht="13">
      <c r="A126" s="112" t="s">
        <v>7656</v>
      </c>
      <c r="B126" s="111" t="s">
        <v>6496</v>
      </c>
      <c r="C126" s="136" t="s">
        <v>220</v>
      </c>
      <c r="D126" s="107"/>
      <c r="E126" s="107"/>
      <c r="F126" s="87"/>
      <c r="G126" s="87"/>
      <c r="H126" s="88"/>
      <c r="I126" s="88"/>
    </row>
    <row r="127" spans="1:9" ht="13">
      <c r="A127" s="112" t="s">
        <v>7657</v>
      </c>
      <c r="B127" s="111" t="s">
        <v>6497</v>
      </c>
      <c r="C127" s="136" t="s">
        <v>220</v>
      </c>
      <c r="D127" s="107"/>
      <c r="E127" s="107"/>
      <c r="F127" s="87"/>
      <c r="G127" s="87"/>
      <c r="H127" s="88"/>
      <c r="I127" s="88"/>
    </row>
    <row r="128" spans="1:9" ht="13">
      <c r="A128" s="112" t="s">
        <v>7658</v>
      </c>
      <c r="B128" s="111" t="s">
        <v>937</v>
      </c>
      <c r="C128" s="136" t="s">
        <v>220</v>
      </c>
      <c r="D128" s="107"/>
      <c r="E128" s="107"/>
      <c r="F128" s="87"/>
      <c r="G128" s="87"/>
      <c r="H128" s="88"/>
      <c r="I128" s="88"/>
    </row>
    <row r="129" spans="1:9" ht="13">
      <c r="A129" s="112" t="s">
        <v>7659</v>
      </c>
      <c r="B129" s="111" t="s">
        <v>791</v>
      </c>
      <c r="C129" s="136" t="s">
        <v>220</v>
      </c>
      <c r="D129" s="107"/>
      <c r="E129" s="112"/>
      <c r="F129" s="87"/>
      <c r="G129" s="87"/>
      <c r="H129" s="88"/>
      <c r="I129" s="88"/>
    </row>
    <row r="130" spans="1:9" ht="13">
      <c r="A130" s="112" t="s">
        <v>7660</v>
      </c>
      <c r="B130" s="111" t="s">
        <v>219</v>
      </c>
      <c r="C130" s="136" t="s">
        <v>220</v>
      </c>
      <c r="D130" s="107"/>
      <c r="E130" s="107"/>
      <c r="F130" s="86"/>
      <c r="G130" s="87"/>
      <c r="H130" s="88"/>
      <c r="I130" s="88"/>
    </row>
    <row r="131" spans="1:9" ht="13">
      <c r="A131" s="112" t="s">
        <v>7661</v>
      </c>
      <c r="B131" s="111" t="s">
        <v>3062</v>
      </c>
      <c r="C131" s="136" t="s">
        <v>220</v>
      </c>
      <c r="D131" s="112"/>
      <c r="E131" s="107"/>
      <c r="F131" s="87"/>
      <c r="G131" s="87"/>
      <c r="H131" s="88"/>
      <c r="I131" s="88"/>
    </row>
    <row r="132" spans="1:9" ht="13">
      <c r="A132" s="112" t="s">
        <v>7662</v>
      </c>
      <c r="B132" s="111" t="s">
        <v>4107</v>
      </c>
      <c r="C132" s="136" t="s">
        <v>220</v>
      </c>
      <c r="D132" s="107"/>
      <c r="E132" s="107"/>
      <c r="F132" s="87"/>
      <c r="G132" s="87"/>
      <c r="H132" s="88"/>
      <c r="I132" s="88"/>
    </row>
    <row r="133" spans="1:9" ht="13">
      <c r="A133" s="112" t="s">
        <v>7663</v>
      </c>
      <c r="B133" s="111" t="s">
        <v>4108</v>
      </c>
      <c r="C133" s="136" t="s">
        <v>220</v>
      </c>
      <c r="D133" s="107"/>
      <c r="E133" s="112"/>
      <c r="F133" s="86"/>
      <c r="G133" s="87"/>
      <c r="H133" s="88"/>
      <c r="I133" s="88"/>
    </row>
    <row r="134" spans="1:9" ht="13">
      <c r="A134" s="112" t="s">
        <v>7664</v>
      </c>
      <c r="B134" s="111" t="str">
        <f>HYPERLINK("https://bulbapedia.bulbagarden.net/w/index.php?title=Genesect-GX_(Lost_Thunder_130)&amp;action=edit&amp;redlink=1","GenesectGX")</f>
        <v>GenesectGX</v>
      </c>
      <c r="C134" s="136" t="s">
        <v>220</v>
      </c>
      <c r="D134" s="112"/>
      <c r="E134" s="112"/>
      <c r="F134" s="87"/>
      <c r="G134" s="87"/>
      <c r="H134" s="88"/>
      <c r="I134" s="88"/>
    </row>
    <row r="135" spans="1:9" ht="13">
      <c r="A135" s="112" t="s">
        <v>7665</v>
      </c>
      <c r="B135" s="111" t="s">
        <v>4930</v>
      </c>
      <c r="C135" s="136" t="s">
        <v>220</v>
      </c>
      <c r="D135" s="107"/>
      <c r="E135" s="107"/>
      <c r="F135" s="87"/>
      <c r="G135" s="87"/>
      <c r="H135" s="88"/>
      <c r="I135" s="88"/>
    </row>
    <row r="136" spans="1:9" ht="13">
      <c r="A136" s="112" t="s">
        <v>7666</v>
      </c>
      <c r="B136" s="111" t="str">
        <f>HYPERLINK("https://bulbapedia.bulbagarden.net/w/index.php?title=Alolan_Ninetales-GX_(Lost_Thunder_132)&amp;action=edit&amp;redlink=1","Alolan NinetalesGX")</f>
        <v>Alolan NinetalesGX</v>
      </c>
      <c r="C136" s="136" t="s">
        <v>4743</v>
      </c>
      <c r="D136" s="107"/>
      <c r="E136" s="112"/>
      <c r="F136" s="86"/>
      <c r="G136" s="87"/>
      <c r="H136" s="88"/>
      <c r="I136" s="137"/>
    </row>
    <row r="137" spans="1:9" ht="13">
      <c r="A137" s="112" t="s">
        <v>7667</v>
      </c>
      <c r="B137" s="111" t="s">
        <v>200</v>
      </c>
      <c r="C137" s="136" t="s">
        <v>4743</v>
      </c>
      <c r="D137" s="107"/>
      <c r="E137" s="112"/>
      <c r="F137" s="87"/>
      <c r="G137" s="87"/>
      <c r="H137" s="88"/>
      <c r="I137" s="88"/>
    </row>
    <row r="138" spans="1:9" ht="13">
      <c r="A138" s="112" t="s">
        <v>7668</v>
      </c>
      <c r="B138" s="111" t="s">
        <v>330</v>
      </c>
      <c r="C138" s="136" t="s">
        <v>4743</v>
      </c>
      <c r="D138" s="107"/>
      <c r="E138" s="112"/>
      <c r="F138" s="87"/>
      <c r="G138" s="87"/>
      <c r="H138" s="88"/>
      <c r="I138" s="88"/>
    </row>
    <row r="139" spans="1:9" ht="13">
      <c r="A139" s="112" t="s">
        <v>7669</v>
      </c>
      <c r="B139" s="111" t="s">
        <v>215</v>
      </c>
      <c r="C139" s="136" t="s">
        <v>4743</v>
      </c>
      <c r="D139" s="107"/>
      <c r="E139" s="107"/>
      <c r="F139" s="87"/>
      <c r="G139" s="87"/>
      <c r="H139" s="88"/>
      <c r="I139" s="88"/>
    </row>
    <row r="140" spans="1:9" ht="13">
      <c r="A140" s="112" t="s">
        <v>7670</v>
      </c>
      <c r="B140" s="111" t="s">
        <v>768</v>
      </c>
      <c r="C140" s="136" t="s">
        <v>4743</v>
      </c>
      <c r="D140" s="107"/>
      <c r="E140" s="112"/>
      <c r="F140" s="87"/>
      <c r="G140" s="87"/>
      <c r="H140" s="88"/>
      <c r="I140" s="88"/>
    </row>
    <row r="141" spans="1:9" ht="13">
      <c r="A141" s="112" t="s">
        <v>7671</v>
      </c>
      <c r="B141" s="111" t="s">
        <v>891</v>
      </c>
      <c r="C141" s="136" t="s">
        <v>4743</v>
      </c>
      <c r="D141" s="107"/>
      <c r="E141" s="107"/>
      <c r="F141" s="86"/>
      <c r="G141" s="87"/>
      <c r="H141" s="88"/>
      <c r="I141" s="137"/>
    </row>
    <row r="142" spans="1:9" ht="13">
      <c r="A142" s="112" t="s">
        <v>7672</v>
      </c>
      <c r="B142" s="111" t="s">
        <v>829</v>
      </c>
      <c r="C142" s="136" t="s">
        <v>4743</v>
      </c>
      <c r="D142" s="107"/>
      <c r="E142" s="107"/>
      <c r="F142" s="86"/>
      <c r="G142" s="87"/>
      <c r="H142" s="88"/>
      <c r="I142" s="137"/>
    </row>
    <row r="143" spans="1:9" ht="13">
      <c r="A143" s="112" t="s">
        <v>7673</v>
      </c>
      <c r="B143" s="111" t="s">
        <v>1307</v>
      </c>
      <c r="C143" s="136" t="s">
        <v>4743</v>
      </c>
      <c r="D143" s="107"/>
      <c r="E143" s="107"/>
      <c r="F143" s="87"/>
      <c r="G143" s="87"/>
      <c r="H143" s="88"/>
      <c r="I143" s="88"/>
    </row>
    <row r="144" spans="1:9" ht="13">
      <c r="A144" s="112" t="s">
        <v>7674</v>
      </c>
      <c r="B144" s="111" t="s">
        <v>1262</v>
      </c>
      <c r="C144" s="136" t="s">
        <v>4743</v>
      </c>
      <c r="D144" s="107"/>
      <c r="E144" s="107"/>
      <c r="F144" s="87"/>
      <c r="G144" s="87"/>
      <c r="H144" s="88"/>
      <c r="I144" s="88"/>
    </row>
    <row r="145" spans="1:9" ht="13">
      <c r="A145" s="112" t="s">
        <v>7675</v>
      </c>
      <c r="B145" s="111" t="s">
        <v>1220</v>
      </c>
      <c r="C145" s="136" t="s">
        <v>4743</v>
      </c>
      <c r="D145" s="107"/>
      <c r="E145" s="107"/>
      <c r="F145" s="86"/>
      <c r="G145" s="87"/>
      <c r="H145" s="88"/>
      <c r="I145" s="88"/>
    </row>
    <row r="146" spans="1:9" ht="13">
      <c r="A146" s="112" t="s">
        <v>7676</v>
      </c>
      <c r="B146" s="111" t="s">
        <v>5120</v>
      </c>
      <c r="C146" s="136" t="s">
        <v>4743</v>
      </c>
      <c r="D146" s="107"/>
      <c r="E146" s="107"/>
      <c r="F146" s="87"/>
      <c r="G146" s="87"/>
      <c r="H146" s="88"/>
      <c r="I146" s="88"/>
    </row>
    <row r="147" spans="1:9" ht="13">
      <c r="A147" s="112" t="s">
        <v>7677</v>
      </c>
      <c r="B147" s="111" t="s">
        <v>5100</v>
      </c>
      <c r="C147" s="136" t="s">
        <v>4743</v>
      </c>
      <c r="D147" s="107"/>
      <c r="E147" s="112"/>
      <c r="F147" s="87"/>
      <c r="G147" s="87"/>
      <c r="H147" s="88"/>
      <c r="I147" s="88"/>
    </row>
    <row r="148" spans="1:9" ht="13">
      <c r="A148" s="112" t="s">
        <v>7678</v>
      </c>
      <c r="B148" s="111" t="str">
        <f>HYPERLINK("https://bulbapedia.bulbagarden.net/w/index.php?title=Xerneas_%E2%99%A2_(Lost_Thunder_144)&amp;action=edit&amp;redlink=1","Xerneas♦")</f>
        <v>Xerneas♦</v>
      </c>
      <c r="C148" s="136" t="s">
        <v>4743</v>
      </c>
      <c r="D148" s="107"/>
      <c r="E148" s="112"/>
      <c r="F148" s="87"/>
      <c r="G148" s="87"/>
      <c r="H148" s="88"/>
      <c r="I148" s="88"/>
    </row>
    <row r="149" spans="1:9" ht="13">
      <c r="A149" s="112" t="s">
        <v>7679</v>
      </c>
      <c r="B149" s="111" t="s">
        <v>6498</v>
      </c>
      <c r="C149" s="136" t="s">
        <v>4743</v>
      </c>
      <c r="D149" s="107"/>
      <c r="E149" s="107"/>
      <c r="F149" s="87"/>
      <c r="G149" s="87"/>
      <c r="H149" s="88"/>
      <c r="I149" s="88"/>
    </row>
    <row r="150" spans="1:9" ht="13">
      <c r="A150" s="112" t="s">
        <v>7680</v>
      </c>
      <c r="B150" s="111" t="s">
        <v>6499</v>
      </c>
      <c r="C150" s="136" t="s">
        <v>4743</v>
      </c>
      <c r="D150" s="107"/>
      <c r="E150" s="112"/>
      <c r="F150" s="87"/>
      <c r="G150" s="87"/>
      <c r="H150" s="88"/>
      <c r="I150" s="88"/>
    </row>
    <row r="151" spans="1:9" ht="13">
      <c r="A151" s="112" t="s">
        <v>7681</v>
      </c>
      <c r="B151" s="111" t="s">
        <v>6468</v>
      </c>
      <c r="C151" s="136" t="s">
        <v>4743</v>
      </c>
      <c r="D151" s="107"/>
      <c r="E151" s="107"/>
      <c r="F151" s="87"/>
      <c r="G151" s="87"/>
      <c r="H151" s="88"/>
      <c r="I151" s="88"/>
    </row>
    <row r="152" spans="1:9" ht="13">
      <c r="A152" s="112" t="s">
        <v>7682</v>
      </c>
      <c r="B152" s="111" t="s">
        <v>6469</v>
      </c>
      <c r="C152" s="136" t="s">
        <v>4743</v>
      </c>
      <c r="D152" s="107"/>
      <c r="E152" s="107"/>
      <c r="F152" s="87"/>
      <c r="G152" s="87"/>
      <c r="H152" s="88"/>
      <c r="I152" s="88"/>
    </row>
    <row r="153" spans="1:9" ht="13">
      <c r="A153" s="112" t="s">
        <v>7683</v>
      </c>
      <c r="B153" s="111" t="str">
        <f>HYPERLINK("https://bulbapedia.bulbagarden.net/w/index.php?title=Mimikyu-GX_(Lost_Thunder_149)&amp;action=edit&amp;redlink=1","MimikyuGX")</f>
        <v>MimikyuGX</v>
      </c>
      <c r="C153" s="136" t="s">
        <v>4743</v>
      </c>
      <c r="D153" s="107"/>
      <c r="E153" s="112"/>
      <c r="F153" s="87"/>
      <c r="G153" s="87"/>
      <c r="H153" s="88"/>
      <c r="I153" s="88"/>
    </row>
    <row r="154" spans="1:9" ht="13">
      <c r="A154" s="112" t="s">
        <v>7684</v>
      </c>
      <c r="B154" s="111" t="s">
        <v>6239</v>
      </c>
      <c r="C154" s="136" t="s">
        <v>4743</v>
      </c>
      <c r="D154" s="107"/>
      <c r="E154" s="107"/>
      <c r="F154" s="86"/>
      <c r="G154" s="87"/>
      <c r="H154" s="88"/>
      <c r="I154" s="88"/>
    </row>
    <row r="155" spans="1:9" ht="13">
      <c r="A155" s="112" t="s">
        <v>7685</v>
      </c>
      <c r="B155" s="111" t="s">
        <v>7686</v>
      </c>
      <c r="C155" s="136" t="s">
        <v>4743</v>
      </c>
      <c r="D155" s="107"/>
      <c r="E155" s="107"/>
      <c r="F155" s="86"/>
      <c r="G155" s="87"/>
      <c r="H155" s="88"/>
      <c r="I155" s="88"/>
    </row>
    <row r="156" spans="1:9" ht="13">
      <c r="A156" s="112" t="s">
        <v>7687</v>
      </c>
      <c r="B156" s="111" t="s">
        <v>241</v>
      </c>
      <c r="C156" s="136" t="s">
        <v>197</v>
      </c>
      <c r="D156" s="107"/>
      <c r="E156" s="107"/>
      <c r="F156" s="87"/>
      <c r="G156" s="87"/>
      <c r="H156" s="88"/>
      <c r="I156" s="88"/>
    </row>
    <row r="157" spans="1:9" ht="13">
      <c r="A157" s="112" t="s">
        <v>7688</v>
      </c>
      <c r="B157" s="111" t="s">
        <v>968</v>
      </c>
      <c r="C157" s="136" t="s">
        <v>197</v>
      </c>
      <c r="D157" s="107"/>
      <c r="E157" s="107"/>
      <c r="F157" s="86"/>
      <c r="G157" s="87"/>
      <c r="H157" s="88"/>
      <c r="I157" s="88"/>
    </row>
    <row r="158" spans="1:9" ht="13">
      <c r="A158" s="112" t="s">
        <v>7689</v>
      </c>
      <c r="B158" s="111" t="str">
        <f>HYPERLINK("https://bulbapedia.bulbagarden.net/w/index.php?title=Ditto_%E2%99%A2_(Lost_Thunder_154)&amp;action=edit&amp;redlink=1","Ditto♦")</f>
        <v>Ditto♦</v>
      </c>
      <c r="C158" s="136" t="s">
        <v>197</v>
      </c>
      <c r="D158" s="107"/>
      <c r="E158" s="112"/>
      <c r="F158" s="86"/>
      <c r="G158" s="87"/>
      <c r="H158" s="137"/>
      <c r="I158" s="137"/>
    </row>
    <row r="159" spans="1:9" ht="13">
      <c r="A159" s="112" t="s">
        <v>7690</v>
      </c>
      <c r="B159" s="111" t="s">
        <v>203</v>
      </c>
      <c r="C159" s="136" t="s">
        <v>197</v>
      </c>
      <c r="D159" s="107"/>
      <c r="E159" s="112"/>
      <c r="F159" s="87"/>
      <c r="G159" s="87"/>
      <c r="H159" s="88"/>
      <c r="I159" s="88"/>
    </row>
    <row r="160" spans="1:9" ht="13">
      <c r="A160" s="112" t="s">
        <v>7691</v>
      </c>
      <c r="B160" s="111" t="s">
        <v>895</v>
      </c>
      <c r="C160" s="136" t="s">
        <v>197</v>
      </c>
      <c r="D160" s="107"/>
      <c r="E160" s="112"/>
      <c r="F160" s="87"/>
      <c r="G160" s="87"/>
      <c r="H160" s="88"/>
      <c r="I160" s="137"/>
    </row>
    <row r="161" spans="1:9" ht="13">
      <c r="A161" s="112" t="s">
        <v>7692</v>
      </c>
      <c r="B161" s="111" t="s">
        <v>218</v>
      </c>
      <c r="C161" s="136" t="s">
        <v>197</v>
      </c>
      <c r="D161" s="107"/>
      <c r="E161" s="107"/>
      <c r="F161" s="87"/>
      <c r="G161" s="87"/>
      <c r="H161" s="88"/>
      <c r="I161" s="88"/>
    </row>
    <row r="162" spans="1:9" ht="13">
      <c r="A162" s="112" t="s">
        <v>7693</v>
      </c>
      <c r="B162" s="111" t="s">
        <v>836</v>
      </c>
      <c r="C162" s="136" t="s">
        <v>197</v>
      </c>
      <c r="D162" s="107"/>
      <c r="E162" s="107"/>
      <c r="F162" s="87"/>
      <c r="G162" s="87"/>
      <c r="H162" s="88"/>
      <c r="I162" s="88"/>
    </row>
    <row r="163" spans="1:9" ht="13">
      <c r="A163" s="112" t="s">
        <v>7694</v>
      </c>
      <c r="B163" s="111" t="str">
        <f>HYPERLINK("https://bulbapedia.bulbagarden.net/w/index.php?title=Lugia-GX_(Lost_Thunder_159)&amp;action=edit&amp;redlink=1","LugiaGX")</f>
        <v>LugiaGX</v>
      </c>
      <c r="C163" s="136" t="s">
        <v>197</v>
      </c>
      <c r="D163" s="107"/>
      <c r="E163" s="112"/>
      <c r="F163" s="87"/>
      <c r="G163" s="87"/>
      <c r="H163" s="88"/>
      <c r="I163" s="88"/>
    </row>
    <row r="164" spans="1:9" ht="13">
      <c r="A164" s="112" t="s">
        <v>7695</v>
      </c>
      <c r="B164" s="111" t="s">
        <v>236</v>
      </c>
      <c r="C164" s="136" t="s">
        <v>197</v>
      </c>
      <c r="D164" s="107"/>
      <c r="E164" s="112"/>
      <c r="F164" s="87"/>
      <c r="G164" s="87"/>
      <c r="H164" s="88"/>
      <c r="I164" s="88"/>
    </row>
    <row r="165" spans="1:9" ht="13">
      <c r="A165" s="112" t="s">
        <v>7696</v>
      </c>
      <c r="B165" s="111" t="s">
        <v>1383</v>
      </c>
      <c r="C165" s="136" t="s">
        <v>197</v>
      </c>
      <c r="D165" s="107"/>
      <c r="E165" s="107"/>
      <c r="F165" s="87"/>
      <c r="G165" s="87"/>
      <c r="H165" s="88"/>
      <c r="I165" s="88"/>
    </row>
    <row r="166" spans="1:9" ht="13">
      <c r="A166" s="112" t="s">
        <v>7697</v>
      </c>
      <c r="B166" s="111" t="s">
        <v>1383</v>
      </c>
      <c r="C166" s="136" t="s">
        <v>197</v>
      </c>
      <c r="D166" s="107"/>
      <c r="E166" s="107"/>
      <c r="F166" s="87"/>
      <c r="G166" s="87"/>
      <c r="H166" s="88"/>
      <c r="I166" s="88"/>
    </row>
    <row r="167" spans="1:9" ht="13">
      <c r="A167" s="112" t="s">
        <v>7698</v>
      </c>
      <c r="B167" s="111" t="s">
        <v>6187</v>
      </c>
      <c r="C167" s="136" t="s">
        <v>197</v>
      </c>
      <c r="D167" s="107"/>
      <c r="E167" s="107"/>
      <c r="F167" s="87"/>
      <c r="G167" s="87"/>
      <c r="H167" s="88"/>
      <c r="I167" s="88"/>
    </row>
    <row r="168" spans="1:9" ht="13">
      <c r="A168" s="112" t="s">
        <v>7699</v>
      </c>
      <c r="B168" s="111" t="s">
        <v>6187</v>
      </c>
      <c r="C168" s="136" t="s">
        <v>197</v>
      </c>
      <c r="D168" s="107"/>
      <c r="E168" s="107"/>
      <c r="F168" s="87"/>
      <c r="G168" s="87"/>
      <c r="H168" s="88"/>
      <c r="I168" s="88"/>
    </row>
    <row r="169" spans="1:9" ht="13">
      <c r="A169" s="112" t="s">
        <v>7700</v>
      </c>
      <c r="B169" s="111" t="s">
        <v>6500</v>
      </c>
      <c r="C169" s="136" t="s">
        <v>197</v>
      </c>
      <c r="D169" s="107"/>
      <c r="E169" s="107"/>
      <c r="F169" s="87"/>
      <c r="G169" s="87"/>
      <c r="H169" s="88"/>
      <c r="I169" s="88"/>
    </row>
    <row r="170" spans="1:9" ht="13">
      <c r="A170" s="112" t="s">
        <v>7701</v>
      </c>
      <c r="B170" s="111" t="s">
        <v>6501</v>
      </c>
      <c r="C170" s="136" t="s">
        <v>197</v>
      </c>
      <c r="D170" s="107"/>
      <c r="E170" s="107"/>
      <c r="F170" s="87"/>
      <c r="G170" s="87"/>
      <c r="H170" s="88"/>
      <c r="I170" s="88"/>
    </row>
    <row r="171" spans="1:9" ht="13">
      <c r="A171" s="112" t="s">
        <v>7702</v>
      </c>
      <c r="B171" s="111" t="s">
        <v>7703</v>
      </c>
      <c r="C171" s="136" t="s">
        <v>4114</v>
      </c>
      <c r="D171" s="107"/>
      <c r="E171" s="107"/>
      <c r="F171" s="87"/>
      <c r="G171" s="87"/>
      <c r="H171" s="88"/>
      <c r="I171" s="88"/>
    </row>
    <row r="172" spans="1:9" ht="13">
      <c r="A172" s="112" t="s">
        <v>7704</v>
      </c>
      <c r="B172" s="111" t="s">
        <v>7705</v>
      </c>
      <c r="C172" s="136" t="s">
        <v>1013</v>
      </c>
      <c r="D172" s="107"/>
      <c r="E172" s="112"/>
      <c r="F172" s="87"/>
      <c r="G172" s="87"/>
      <c r="H172" s="88"/>
      <c r="I172" s="88"/>
    </row>
    <row r="173" spans="1:9" ht="13">
      <c r="A173" s="112" t="s">
        <v>7706</v>
      </c>
      <c r="B173" s="111" t="s">
        <v>7707</v>
      </c>
      <c r="C173" s="136" t="s">
        <v>4114</v>
      </c>
      <c r="D173" s="107"/>
      <c r="E173" s="112"/>
      <c r="F173" s="87"/>
      <c r="G173" s="87"/>
      <c r="H173" s="88"/>
      <c r="I173" s="88"/>
    </row>
    <row r="174" spans="1:9" ht="13">
      <c r="A174" s="112" t="s">
        <v>7708</v>
      </c>
      <c r="B174" s="111" t="s">
        <v>7709</v>
      </c>
      <c r="C174" s="136" t="s">
        <v>4114</v>
      </c>
      <c r="D174" s="107"/>
      <c r="E174" s="107"/>
      <c r="F174" s="87"/>
      <c r="G174" s="87"/>
      <c r="H174" s="88"/>
      <c r="I174" s="88"/>
    </row>
    <row r="175" spans="1:9" ht="13">
      <c r="A175" s="112" t="s">
        <v>7710</v>
      </c>
      <c r="B175" s="111" t="s">
        <v>7711</v>
      </c>
      <c r="C175" s="136" t="s">
        <v>4114</v>
      </c>
      <c r="D175" s="107"/>
      <c r="E175" s="112"/>
      <c r="F175" s="87"/>
      <c r="G175" s="87"/>
      <c r="H175" s="88"/>
      <c r="I175" s="88"/>
    </row>
    <row r="176" spans="1:9" ht="13">
      <c r="A176" s="112" t="s">
        <v>7712</v>
      </c>
      <c r="B176" s="111" t="s">
        <v>7713</v>
      </c>
      <c r="C176" s="136" t="s">
        <v>4114</v>
      </c>
      <c r="D176" s="107"/>
      <c r="E176" s="107"/>
      <c r="F176" s="86"/>
      <c r="G176" s="86"/>
      <c r="H176" s="137"/>
      <c r="I176" s="137"/>
    </row>
    <row r="177" spans="1:9" ht="13">
      <c r="A177" s="107" t="s">
        <v>7714</v>
      </c>
      <c r="B177" s="111" t="s">
        <v>7713</v>
      </c>
      <c r="C177" s="136" t="s">
        <v>4114</v>
      </c>
      <c r="D177" s="107"/>
      <c r="E177" s="107"/>
      <c r="F177" s="86"/>
      <c r="G177" s="86"/>
      <c r="H177" s="137"/>
      <c r="I177" s="137"/>
    </row>
    <row r="178" spans="1:9" ht="13">
      <c r="A178" s="112" t="s">
        <v>7715</v>
      </c>
      <c r="B178" s="111" t="s">
        <v>7716</v>
      </c>
      <c r="C178" s="136" t="s">
        <v>1013</v>
      </c>
      <c r="D178" s="107"/>
      <c r="E178" s="107"/>
      <c r="F178" s="87"/>
      <c r="G178" s="87"/>
      <c r="H178" s="88"/>
      <c r="I178" s="88"/>
    </row>
    <row r="179" spans="1:9" ht="13">
      <c r="A179" s="112" t="s">
        <v>7717</v>
      </c>
      <c r="B179" s="111" t="s">
        <v>7718</v>
      </c>
      <c r="C179" s="136" t="s">
        <v>4114</v>
      </c>
      <c r="D179" s="107"/>
      <c r="E179" s="112"/>
      <c r="F179" s="87"/>
      <c r="G179" s="87"/>
      <c r="H179" s="88"/>
      <c r="I179" s="88"/>
    </row>
    <row r="180" spans="1:9" ht="13">
      <c r="A180" s="112" t="s">
        <v>7719</v>
      </c>
      <c r="B180" s="111" t="s">
        <v>7720</v>
      </c>
      <c r="C180" s="136" t="s">
        <v>4114</v>
      </c>
      <c r="D180" s="107"/>
      <c r="E180" s="107"/>
      <c r="F180" s="87"/>
      <c r="G180" s="87"/>
      <c r="H180" s="88"/>
      <c r="I180" s="88"/>
    </row>
    <row r="181" spans="1:9" ht="13">
      <c r="A181" s="112" t="s">
        <v>7721</v>
      </c>
      <c r="B181" s="111" t="s">
        <v>7722</v>
      </c>
      <c r="C181" s="136" t="s">
        <v>4114</v>
      </c>
      <c r="D181" s="107"/>
      <c r="E181" s="112"/>
      <c r="F181" s="87"/>
      <c r="G181" s="87"/>
      <c r="H181" s="88"/>
      <c r="I181" s="88"/>
    </row>
    <row r="182" spans="1:9" ht="13">
      <c r="A182" s="112" t="s">
        <v>7723</v>
      </c>
      <c r="B182" s="111" t="s">
        <v>7724</v>
      </c>
      <c r="C182" s="136" t="s">
        <v>4114</v>
      </c>
      <c r="D182" s="107"/>
      <c r="E182" s="107"/>
      <c r="F182" s="87"/>
      <c r="G182" s="87"/>
      <c r="H182" s="88"/>
      <c r="I182" s="88"/>
    </row>
    <row r="183" spans="1:9" ht="13">
      <c r="A183" s="112" t="s">
        <v>7725</v>
      </c>
      <c r="B183" s="111" t="str">
        <f>HYPERLINK("https://bulbapedia.bulbagarden.net/w/index.php?title=Heat_Factory_%E2%99%A2_(Lost_Thunder_178)&amp;action=edit&amp;redlink=1","Heat Factory♦")</f>
        <v>Heat Factory♦</v>
      </c>
      <c r="C183" s="136" t="s">
        <v>229</v>
      </c>
      <c r="D183" s="107"/>
      <c r="E183" s="107"/>
      <c r="F183" s="86"/>
      <c r="G183" s="87"/>
      <c r="H183" s="88"/>
      <c r="I183" s="137"/>
    </row>
    <row r="184" spans="1:9" ht="13">
      <c r="A184" s="112" t="s">
        <v>7726</v>
      </c>
      <c r="B184" s="111" t="s">
        <v>7727</v>
      </c>
      <c r="C184" s="136" t="s">
        <v>1013</v>
      </c>
      <c r="D184" s="107"/>
      <c r="E184" s="107"/>
      <c r="F184" s="87"/>
      <c r="G184" s="87"/>
      <c r="H184" s="88"/>
      <c r="I184" s="88"/>
    </row>
    <row r="185" spans="1:9" ht="13">
      <c r="A185" s="112" t="s">
        <v>7728</v>
      </c>
      <c r="B185" s="111" t="str">
        <f>HYPERLINK("https://bulbapedia.bulbagarden.net/w/index.php?title=Life_Forest_%E2%99%A2_(Lost_Thunder_180)&amp;action=edit&amp;redlink=1","Life Forest♦")</f>
        <v>Life Forest♦</v>
      </c>
      <c r="C185" s="136" t="s">
        <v>229</v>
      </c>
      <c r="D185" s="107"/>
      <c r="E185" s="112"/>
      <c r="F185" s="86"/>
      <c r="G185" s="87"/>
      <c r="H185" s="88"/>
      <c r="I185" s="137"/>
    </row>
    <row r="186" spans="1:9" ht="13">
      <c r="A186" s="112" t="s">
        <v>7729</v>
      </c>
      <c r="B186" s="111" t="s">
        <v>7730</v>
      </c>
      <c r="C186" s="136" t="s">
        <v>4114</v>
      </c>
      <c r="D186" s="107"/>
      <c r="E186" s="107"/>
      <c r="F186" s="86"/>
      <c r="G186" s="86"/>
      <c r="H186" s="137"/>
      <c r="I186" s="137"/>
    </row>
    <row r="187" spans="1:9" ht="13">
      <c r="A187" s="112" t="s">
        <v>7731</v>
      </c>
      <c r="B187" s="111" t="str">
        <f>HYPERLINK("https://bulbapedia.bulbagarden.net/w/index.php?title=Lusamine_%E2%99%A2_(Lost_Thunder_182)&amp;action=edit&amp;redlink=1","Lusamine♦")</f>
        <v>Lusamine♦</v>
      </c>
      <c r="C187" s="136" t="s">
        <v>1013</v>
      </c>
      <c r="D187" s="107"/>
      <c r="E187" s="112"/>
      <c r="F187" s="87"/>
      <c r="G187" s="87"/>
      <c r="H187" s="88"/>
      <c r="I187" s="88"/>
    </row>
    <row r="188" spans="1:9" ht="13">
      <c r="A188" s="112" t="s">
        <v>7732</v>
      </c>
      <c r="B188" s="111" t="s">
        <v>7733</v>
      </c>
      <c r="C188" s="136" t="s">
        <v>1013</v>
      </c>
      <c r="D188" s="107"/>
      <c r="E188" s="107"/>
      <c r="F188" s="87"/>
      <c r="G188" s="87"/>
      <c r="H188" s="88"/>
      <c r="I188" s="88"/>
    </row>
    <row r="189" spans="1:9" ht="13">
      <c r="A189" s="112" t="s">
        <v>7734</v>
      </c>
      <c r="B189" s="111" t="s">
        <v>7735</v>
      </c>
      <c r="C189" s="136" t="s">
        <v>4114</v>
      </c>
      <c r="D189" s="107"/>
      <c r="E189" s="107"/>
      <c r="F189" s="87"/>
      <c r="G189" s="87"/>
      <c r="H189" s="88"/>
      <c r="I189" s="88"/>
    </row>
    <row r="190" spans="1:9" ht="13">
      <c r="A190" s="112" t="s">
        <v>7736</v>
      </c>
      <c r="B190" s="111" t="s">
        <v>7737</v>
      </c>
      <c r="C190" s="136" t="s">
        <v>4114</v>
      </c>
      <c r="D190" s="107"/>
      <c r="E190" s="112"/>
      <c r="F190" s="87"/>
      <c r="G190" s="87"/>
      <c r="H190" s="88"/>
      <c r="I190" s="88"/>
    </row>
    <row r="191" spans="1:9" ht="13">
      <c r="A191" s="112" t="s">
        <v>7738</v>
      </c>
      <c r="B191" s="111" t="s">
        <v>7739</v>
      </c>
      <c r="C191" s="136" t="s">
        <v>1013</v>
      </c>
      <c r="D191" s="107"/>
      <c r="E191" s="107"/>
      <c r="F191" s="87"/>
      <c r="G191" s="87"/>
      <c r="H191" s="88"/>
      <c r="I191" s="88"/>
    </row>
    <row r="192" spans="1:9" ht="13">
      <c r="A192" s="112" t="s">
        <v>7740</v>
      </c>
      <c r="B192" s="111" t="s">
        <v>7741</v>
      </c>
      <c r="C192" s="136" t="s">
        <v>4114</v>
      </c>
      <c r="D192" s="107"/>
      <c r="E192" s="107"/>
      <c r="F192" s="86"/>
      <c r="G192" s="87"/>
      <c r="H192" s="88"/>
      <c r="I192" s="137"/>
    </row>
    <row r="193" spans="1:9" ht="13">
      <c r="A193" s="107" t="s">
        <v>7742</v>
      </c>
      <c r="B193" s="111" t="s">
        <v>7741</v>
      </c>
      <c r="C193" s="136" t="s">
        <v>4114</v>
      </c>
      <c r="D193" s="107"/>
      <c r="E193" s="107"/>
      <c r="F193" s="86"/>
      <c r="G193" s="87"/>
      <c r="H193" s="88"/>
      <c r="I193" s="137"/>
    </row>
    <row r="194" spans="1:9" ht="13">
      <c r="A194" s="112" t="s">
        <v>7743</v>
      </c>
      <c r="B194" s="111" t="s">
        <v>7744</v>
      </c>
      <c r="C194" s="136" t="s">
        <v>1013</v>
      </c>
      <c r="D194" s="107"/>
      <c r="E194" s="107"/>
      <c r="F194" s="86"/>
      <c r="G194" s="87"/>
      <c r="H194" s="88"/>
      <c r="I194" s="137"/>
    </row>
    <row r="195" spans="1:9" ht="13">
      <c r="A195" s="112" t="s">
        <v>7745</v>
      </c>
      <c r="B195" s="111" t="s">
        <v>7746</v>
      </c>
      <c r="C195" s="136" t="s">
        <v>1013</v>
      </c>
      <c r="D195" s="107"/>
      <c r="E195" s="112"/>
      <c r="F195" s="86"/>
      <c r="G195" s="87"/>
      <c r="H195" s="88"/>
      <c r="I195" s="137"/>
    </row>
    <row r="196" spans="1:9" ht="13">
      <c r="A196" s="112" t="s">
        <v>7747</v>
      </c>
      <c r="B196" s="111" t="s">
        <v>7748</v>
      </c>
      <c r="C196" s="136" t="s">
        <v>4114</v>
      </c>
      <c r="D196" s="107"/>
      <c r="E196" s="107"/>
      <c r="F196" s="86"/>
      <c r="G196" s="87"/>
      <c r="H196" s="88"/>
      <c r="I196" s="137"/>
    </row>
    <row r="197" spans="1:9" ht="13">
      <c r="A197" s="112" t="s">
        <v>7749</v>
      </c>
      <c r="B197" s="111" t="str">
        <f>HYPERLINK("https://bulbapedia.bulbagarden.net/wiki/Thunder_Mountain_%E2%99%A2_(Lost_Thunder_191)","Thunder Mountain♦")</f>
        <v>Thunder Mountain♦</v>
      </c>
      <c r="C197" s="136" t="s">
        <v>229</v>
      </c>
      <c r="D197" s="107"/>
      <c r="E197" s="112"/>
      <c r="F197" s="86"/>
      <c r="G197" s="87"/>
      <c r="H197" s="88"/>
      <c r="I197" s="137"/>
    </row>
    <row r="198" spans="1:9" ht="13">
      <c r="A198" s="112" t="s">
        <v>7750</v>
      </c>
      <c r="B198" s="111" t="s">
        <v>7751</v>
      </c>
      <c r="C198" s="136" t="s">
        <v>4114</v>
      </c>
      <c r="D198" s="107"/>
      <c r="E198" s="107"/>
      <c r="F198" s="87"/>
      <c r="G198" s="87"/>
      <c r="H198" s="88"/>
      <c r="I198" s="88"/>
    </row>
    <row r="199" spans="1:9" ht="13">
      <c r="A199" s="112" t="s">
        <v>7752</v>
      </c>
      <c r="B199" s="111" t="s">
        <v>7753</v>
      </c>
      <c r="C199" s="136" t="s">
        <v>1013</v>
      </c>
      <c r="D199" s="107"/>
      <c r="E199" s="112"/>
      <c r="F199" s="87"/>
      <c r="G199" s="87"/>
      <c r="H199" s="88"/>
      <c r="I199" s="88"/>
    </row>
    <row r="200" spans="1:9" ht="13">
      <c r="A200" s="112" t="s">
        <v>7754</v>
      </c>
      <c r="B200" s="111" t="s">
        <v>7755</v>
      </c>
      <c r="C200" s="136" t="s">
        <v>317</v>
      </c>
      <c r="D200" s="107"/>
      <c r="E200" s="107"/>
      <c r="F200" s="87"/>
      <c r="G200" s="87"/>
      <c r="H200" s="88"/>
      <c r="I200" s="88"/>
    </row>
    <row r="201" spans="1:9" ht="13">
      <c r="A201" s="112" t="s">
        <v>7756</v>
      </c>
      <c r="B201" s="111" t="str">
        <f>HYPERLINK("https://bulbapedia.bulbagarden.net/w/index.php?title=Shuckle-GX_(Lost_Thunder_195)&amp;action=edit&amp;redlink=1","ShuckleGX")</f>
        <v>ShuckleGX</v>
      </c>
      <c r="C201" s="136" t="s">
        <v>205</v>
      </c>
      <c r="D201" s="112"/>
      <c r="E201" s="112"/>
      <c r="F201" s="87"/>
      <c r="G201" s="87"/>
      <c r="H201" s="88"/>
      <c r="I201" s="88"/>
    </row>
    <row r="202" spans="1:9" ht="13">
      <c r="A202" s="112" t="s">
        <v>7757</v>
      </c>
      <c r="B202" s="111" t="str">
        <f>HYPERLINK("https://bulbapedia.bulbagarden.net/w/index.php?title=Sceptile-GX_(Lost_Thunder_196)&amp;action=edit&amp;redlink=1","SceptileGX")</f>
        <v>SceptileGX</v>
      </c>
      <c r="C202" s="136" t="s">
        <v>205</v>
      </c>
      <c r="D202" s="107"/>
      <c r="E202" s="112"/>
      <c r="F202" s="86"/>
      <c r="G202" s="87"/>
      <c r="H202" s="88"/>
      <c r="I202" s="137"/>
    </row>
    <row r="203" spans="1:9" ht="13">
      <c r="A203" s="112" t="s">
        <v>7758</v>
      </c>
      <c r="B203" s="111" t="str">
        <f>HYPERLINK("https://bulbapedia.bulbagarden.net/w/index.php?title=Virizion-GX_(Lost_Thunder_197)&amp;action=edit&amp;redlink=1","VirizionGX")</f>
        <v>VirizionGX</v>
      </c>
      <c r="C203" s="136" t="s">
        <v>205</v>
      </c>
      <c r="D203" s="112"/>
      <c r="E203" s="112"/>
      <c r="F203" s="87"/>
      <c r="G203" s="87"/>
      <c r="H203" s="88"/>
      <c r="I203" s="88"/>
    </row>
    <row r="204" spans="1:9" ht="13">
      <c r="A204" s="112" t="s">
        <v>7759</v>
      </c>
      <c r="B204" s="111" t="str">
        <f>HYPERLINK("https://bulbapedia.bulbagarden.net/w/index.php?title=Magcargo-GX_(Lost_Thunder_198)&amp;action=edit&amp;redlink=1","MagcargoGX")</f>
        <v>MagcargoGX</v>
      </c>
      <c r="C204" s="136" t="s">
        <v>199</v>
      </c>
      <c r="D204" s="107"/>
      <c r="E204" s="112"/>
      <c r="F204" s="87"/>
      <c r="G204" s="87"/>
      <c r="H204" s="88"/>
      <c r="I204" s="88"/>
    </row>
    <row r="205" spans="1:9" ht="13">
      <c r="A205" s="112" t="s">
        <v>7760</v>
      </c>
      <c r="B205" s="111" t="str">
        <f>HYPERLINK("https://bulbapedia.bulbagarden.net/w/index.php?title=Blacephalon-GX_(Lost_Thunder_199)&amp;action=edit&amp;redlink=1","BlacephalonGX")</f>
        <v>BlacephalonGX</v>
      </c>
      <c r="C205" s="136" t="s">
        <v>199</v>
      </c>
      <c r="D205" s="107"/>
      <c r="E205" s="112"/>
      <c r="F205" s="86"/>
      <c r="G205" s="87"/>
      <c r="H205" s="88"/>
      <c r="I205" s="137"/>
    </row>
    <row r="206" spans="1:9" ht="13">
      <c r="A206" s="112" t="s">
        <v>7761</v>
      </c>
      <c r="B206" s="111" t="str">
        <f>HYPERLINK("https://bulbapedia.bulbagarden.net/w/index.php?title=Suicune-GX_Lost_Thunder_200)&amp;action=edit&amp;redlink=1","SuicuneGX")</f>
        <v>SuicuneGX</v>
      </c>
      <c r="C206" s="136" t="s">
        <v>208</v>
      </c>
      <c r="D206" s="107"/>
      <c r="E206" s="112"/>
      <c r="F206" s="87"/>
      <c r="G206" s="87"/>
      <c r="H206" s="88"/>
      <c r="I206" s="88"/>
    </row>
    <row r="207" spans="1:9" ht="13">
      <c r="A207" s="112" t="s">
        <v>7762</v>
      </c>
      <c r="B207" s="111" t="str">
        <f>HYPERLINK("https://bulbapedia.bulbagarden.net/w/index.php?title=Zeraora-GX_(Lost_Thunder_201)&amp;action=edit&amp;redlink=1","ZeraoraGX")</f>
        <v>ZeraoraGX</v>
      </c>
      <c r="C207" s="136" t="s">
        <v>192</v>
      </c>
      <c r="D207" s="112"/>
      <c r="E207" s="112"/>
      <c r="F207" s="87"/>
      <c r="G207" s="87"/>
      <c r="H207" s="88"/>
      <c r="I207" s="88"/>
    </row>
    <row r="208" spans="1:9" ht="13">
      <c r="A208" s="112" t="s">
        <v>7763</v>
      </c>
      <c r="B208" s="111" t="str">
        <f>HYPERLINK("https://bulbapedia.bulbagarden.net/w/index.php?title=Sigilyph-GX_(Lost_Thunder_202)&amp;action=edit&amp;redlink=1","SigilyphGX")</f>
        <v>SigilyphGX</v>
      </c>
      <c r="C208" s="136" t="s">
        <v>195</v>
      </c>
      <c r="D208" s="112"/>
      <c r="E208" s="112"/>
      <c r="F208" s="87"/>
      <c r="G208" s="87"/>
      <c r="H208" s="88"/>
      <c r="I208" s="88"/>
    </row>
    <row r="209" spans="1:9" ht="13">
      <c r="A209" s="112" t="s">
        <v>7764</v>
      </c>
      <c r="B209" s="111" t="str">
        <f>HYPERLINK("https://bulbapedia.bulbagarden.net/w/index.php?title=Tyranitar-GX_(Lost_Thunder_203)&amp;action=edit&amp;redlink=1","TyranitarGX")</f>
        <v>TyranitarGX</v>
      </c>
      <c r="C209" s="136" t="s">
        <v>808</v>
      </c>
      <c r="D209" s="112"/>
      <c r="E209" s="112"/>
      <c r="F209" s="87"/>
      <c r="G209" s="87"/>
      <c r="H209" s="88"/>
      <c r="I209" s="88"/>
    </row>
    <row r="210" spans="1:9" ht="13">
      <c r="A210" s="112" t="s">
        <v>7765</v>
      </c>
      <c r="B210" s="111" t="str">
        <f>HYPERLINK("https://bulbapedia.bulbagarden.net/w/index.php?title=Genesect-GX_(Lost_Thunder_204)&amp;action=edit&amp;redlink=1","GenesectGX")</f>
        <v>GenesectGX</v>
      </c>
      <c r="C210" s="136" t="s">
        <v>220</v>
      </c>
      <c r="D210" s="107"/>
      <c r="E210" s="112"/>
      <c r="F210" s="87"/>
      <c r="G210" s="87"/>
      <c r="H210" s="88"/>
      <c r="I210" s="88"/>
    </row>
    <row r="211" spans="1:9" ht="13">
      <c r="A211" s="112" t="s">
        <v>7766</v>
      </c>
      <c r="B211" s="111" t="str">
        <f>HYPERLINK("https://bulbapedia.bulbagarden.net/w/index.php?title=Alolan_Ninetales-GX_(Lost_Thunder_205)&amp;action=edit&amp;redlink=1","Alolan NinetalesGX")</f>
        <v>Alolan NinetalesGX</v>
      </c>
      <c r="C211" s="136" t="s">
        <v>4743</v>
      </c>
      <c r="D211" s="112"/>
      <c r="E211" s="112"/>
      <c r="F211" s="87"/>
      <c r="G211" s="87"/>
      <c r="H211" s="88"/>
      <c r="I211" s="88"/>
    </row>
    <row r="212" spans="1:9" ht="13">
      <c r="A212" s="112" t="s">
        <v>7767</v>
      </c>
      <c r="B212" s="111" t="str">
        <f>HYPERLINK("https://bulbapedia.bulbagarden.net/w/index.php?title=Mimikyu-GX_(Lost_Thunder_206)&amp;action=edit&amp;redlink=1","MimikyuGX")</f>
        <v>MimikyuGX</v>
      </c>
      <c r="C212" s="136" t="s">
        <v>4743</v>
      </c>
      <c r="D212" s="112"/>
      <c r="E212" s="112"/>
      <c r="F212" s="87"/>
      <c r="G212" s="87"/>
      <c r="H212" s="88"/>
      <c r="I212" s="88"/>
    </row>
    <row r="213" spans="1:9" ht="13">
      <c r="A213" s="112" t="s">
        <v>7768</v>
      </c>
      <c r="B213" s="111" t="str">
        <f>HYPERLINK("https://bulbapedia.bulbagarden.net/w/index.php?title=Lugia-GX_(Lost_Thunder_207)&amp;action=edit&amp;redlink=1","LugiaGX")</f>
        <v>LugiaGX</v>
      </c>
      <c r="C213" s="136" t="s">
        <v>197</v>
      </c>
      <c r="D213" s="107"/>
      <c r="E213" s="112"/>
      <c r="F213" s="87"/>
      <c r="G213" s="87"/>
      <c r="H213" s="88"/>
      <c r="I213" s="88"/>
    </row>
    <row r="214" spans="1:9" ht="13">
      <c r="A214" s="112" t="s">
        <v>7769</v>
      </c>
      <c r="B214" s="111" t="s">
        <v>7716</v>
      </c>
      <c r="C214" s="136" t="s">
        <v>1013</v>
      </c>
      <c r="D214" s="107"/>
      <c r="E214" s="112"/>
      <c r="F214" s="87"/>
      <c r="G214" s="87"/>
      <c r="H214" s="88"/>
      <c r="I214" s="88"/>
    </row>
    <row r="215" spans="1:9" ht="13">
      <c r="A215" s="112" t="s">
        <v>7770</v>
      </c>
      <c r="B215" s="111" t="s">
        <v>3914</v>
      </c>
      <c r="C215" s="136" t="s">
        <v>1013</v>
      </c>
      <c r="D215" s="112"/>
      <c r="E215" s="112"/>
      <c r="F215" s="87"/>
      <c r="G215" s="87"/>
      <c r="H215" s="88"/>
      <c r="I215" s="88"/>
    </row>
    <row r="216" spans="1:9" ht="13">
      <c r="A216" s="112" t="s">
        <v>7771</v>
      </c>
      <c r="B216" s="111" t="s">
        <v>7727</v>
      </c>
      <c r="C216" s="136" t="s">
        <v>1013</v>
      </c>
      <c r="D216" s="107"/>
      <c r="E216" s="112"/>
      <c r="F216" s="87"/>
      <c r="G216" s="87"/>
      <c r="H216" s="88"/>
      <c r="I216" s="88"/>
    </row>
    <row r="217" spans="1:9" ht="13">
      <c r="A217" s="112" t="s">
        <v>7772</v>
      </c>
      <c r="B217" s="111" t="s">
        <v>7733</v>
      </c>
      <c r="C217" s="136" t="s">
        <v>1013</v>
      </c>
      <c r="D217" s="107"/>
      <c r="E217" s="112"/>
      <c r="F217" s="87"/>
      <c r="G217" s="87"/>
      <c r="H217" s="88"/>
      <c r="I217" s="88"/>
    </row>
    <row r="218" spans="1:9" ht="13">
      <c r="A218" s="112" t="s">
        <v>7773</v>
      </c>
      <c r="B218" s="111" t="s">
        <v>7739</v>
      </c>
      <c r="C218" s="136" t="s">
        <v>195</v>
      </c>
      <c r="D218" s="112"/>
      <c r="E218" s="112"/>
      <c r="F218" s="87"/>
      <c r="G218" s="87"/>
      <c r="H218" s="88"/>
      <c r="I218" s="88"/>
    </row>
    <row r="219" spans="1:9" ht="13">
      <c r="A219" s="112" t="s">
        <v>7774</v>
      </c>
      <c r="B219" s="111" t="s">
        <v>7744</v>
      </c>
      <c r="C219" s="136" t="s">
        <v>1013</v>
      </c>
      <c r="D219" s="107"/>
      <c r="E219" s="112"/>
      <c r="F219" s="86"/>
      <c r="G219" s="87"/>
      <c r="H219" s="137"/>
      <c r="I219" s="137"/>
    </row>
    <row r="220" spans="1:9" ht="13">
      <c r="A220" s="112" t="s">
        <v>7775</v>
      </c>
      <c r="B220" s="111" t="s">
        <v>7753</v>
      </c>
      <c r="C220" s="136" t="s">
        <v>1013</v>
      </c>
      <c r="D220" s="107"/>
      <c r="E220" s="112"/>
      <c r="F220" s="87"/>
      <c r="G220" s="87"/>
      <c r="H220" s="88"/>
      <c r="I220" s="88"/>
    </row>
    <row r="221" spans="1:9" ht="13">
      <c r="A221" s="112" t="s">
        <v>7776</v>
      </c>
      <c r="B221" s="111" t="str">
        <f>HYPERLINK("https://bulbapedia.bulbagarden.net/w/index.php?title=Shuckle-GX_(Lost_Thunder_215)&amp;action=edit&amp;redlink=1","ShuckleGX")</f>
        <v>ShuckleGX</v>
      </c>
      <c r="C221" s="136" t="s">
        <v>205</v>
      </c>
      <c r="D221" s="112"/>
      <c r="E221" s="112"/>
      <c r="F221" s="87"/>
      <c r="G221" s="87"/>
      <c r="H221" s="88"/>
      <c r="I221" s="88"/>
    </row>
    <row r="222" spans="1:9" ht="13">
      <c r="A222" s="112" t="s">
        <v>7777</v>
      </c>
      <c r="B222" s="111" t="str">
        <f>HYPERLINK("https://bulbapedia.bulbagarden.net/w/index.php?title=Sceptile-GX_(Lost_Thunder_216)&amp;action=edit&amp;redlink=1","SceptileGX")</f>
        <v>SceptileGX</v>
      </c>
      <c r="C222" s="136" t="s">
        <v>205</v>
      </c>
      <c r="D222" s="112"/>
      <c r="E222" s="112"/>
      <c r="F222" s="87"/>
      <c r="G222" s="87"/>
      <c r="H222" s="88"/>
      <c r="I222" s="88"/>
    </row>
    <row r="223" spans="1:9" ht="13">
      <c r="A223" s="112" t="s">
        <v>7778</v>
      </c>
      <c r="B223" s="111" t="str">
        <f>HYPERLINK("https://bulbapedia.bulbagarden.net/w/index.php?title=Virizion-GX_(Lost_Thunder_217)&amp;action=edit&amp;redlink=1","VirizionGX")</f>
        <v>VirizionGX</v>
      </c>
      <c r="C223" s="136" t="s">
        <v>205</v>
      </c>
      <c r="D223" s="112"/>
      <c r="E223" s="112"/>
      <c r="F223" s="87"/>
      <c r="G223" s="87"/>
      <c r="H223" s="88"/>
      <c r="I223" s="88"/>
    </row>
    <row r="224" spans="1:9" ht="13">
      <c r="A224" s="112" t="s">
        <v>7779</v>
      </c>
      <c r="B224" s="111" t="str">
        <f>HYPERLINK("https://bulbapedia.bulbagarden.net/w/index.php?title=Magcargo-GX_(Lost_Thunder_218)&amp;action=edit&amp;redlink=1","MagcargoGX")</f>
        <v>MagcargoGX</v>
      </c>
      <c r="C224" s="136" t="s">
        <v>199</v>
      </c>
      <c r="D224" s="112"/>
      <c r="E224" s="112"/>
      <c r="F224" s="87"/>
      <c r="G224" s="87"/>
      <c r="H224" s="88"/>
      <c r="I224" s="88"/>
    </row>
    <row r="225" spans="1:9" ht="13">
      <c r="A225" s="112" t="s">
        <v>7780</v>
      </c>
      <c r="B225" s="111" t="str">
        <f>HYPERLINK("https://bulbapedia.bulbagarden.net/w/index.php?title=Blacephalon-GX_(Lost_Thunder_219)&amp;action=edit&amp;redlink=1","BlacephalonGX")</f>
        <v>BlacephalonGX</v>
      </c>
      <c r="C225" s="136" t="s">
        <v>199</v>
      </c>
      <c r="D225" s="112"/>
      <c r="E225" s="112"/>
      <c r="F225" s="87"/>
      <c r="G225" s="87"/>
      <c r="H225" s="88"/>
      <c r="I225" s="88"/>
    </row>
    <row r="226" spans="1:9" ht="13">
      <c r="A226" s="112" t="s">
        <v>7781</v>
      </c>
      <c r="B226" s="111" t="str">
        <f>HYPERLINK("https://bulbapedia.bulbagarden.net/w/index.php?title=Suicune-GX_(Lost_Thunder_220)&amp;action=edit&amp;redlink=1","SuicuneGX")</f>
        <v>SuicuneGX</v>
      </c>
      <c r="C226" s="136" t="s">
        <v>208</v>
      </c>
      <c r="D226" s="107"/>
      <c r="E226" s="112"/>
      <c r="F226" s="87"/>
      <c r="G226" s="87"/>
      <c r="H226" s="88"/>
      <c r="I226" s="88"/>
    </row>
    <row r="227" spans="1:9" ht="13">
      <c r="A227" s="112" t="s">
        <v>7782</v>
      </c>
      <c r="B227" s="111" t="str">
        <f>HYPERLINK("https://bulbapedia.bulbagarden.net/w/index.php?title=Zeraora-GX_(Lost_Thunder_221)&amp;action=edit&amp;redlink=1","ZeraoraGX")</f>
        <v>ZeraoraGX</v>
      </c>
      <c r="C227" s="136" t="s">
        <v>192</v>
      </c>
      <c r="D227" s="112"/>
      <c r="E227" s="112"/>
      <c r="F227" s="87"/>
      <c r="G227" s="87"/>
      <c r="H227" s="88"/>
      <c r="I227" s="88"/>
    </row>
    <row r="228" spans="1:9" ht="13">
      <c r="A228" s="112" t="s">
        <v>7783</v>
      </c>
      <c r="B228" s="111" t="str">
        <f>HYPERLINK("https://bulbapedia.bulbagarden.net/w/index.php?title=Sigilyph-GX_(Lost_Thunder_222)&amp;action=edit&amp;redlink=1","SigilyphGX")</f>
        <v>SigilyphGX</v>
      </c>
      <c r="C228" s="136" t="s">
        <v>195</v>
      </c>
      <c r="D228" s="112"/>
      <c r="E228" s="112"/>
      <c r="F228" s="87"/>
      <c r="G228" s="87"/>
      <c r="H228" s="88"/>
      <c r="I228" s="88"/>
    </row>
    <row r="229" spans="1:9" ht="13">
      <c r="A229" s="112" t="s">
        <v>7784</v>
      </c>
      <c r="B229" s="111" t="str">
        <f>HYPERLINK("https://bulbapedia.bulbagarden.net/w/index.php?title=Tyranitar-GX_(Lost_Thunder_223)&amp;action=edit&amp;redlink=1","TyranitarGX")</f>
        <v>TyranitarGX</v>
      </c>
      <c r="C229" s="136" t="s">
        <v>808</v>
      </c>
      <c r="D229" s="112"/>
      <c r="E229" s="112"/>
      <c r="F229" s="87"/>
      <c r="G229" s="87"/>
      <c r="H229" s="88"/>
      <c r="I229" s="88"/>
    </row>
    <row r="230" spans="1:9" ht="13">
      <c r="A230" s="112" t="s">
        <v>7785</v>
      </c>
      <c r="B230" s="111" t="str">
        <f>HYPERLINK("https://bulbapedia.bulbagarden.net/w/index.php?title=Genesect-GX_(Lost_Thunder_224)&amp;action=edit&amp;redlink=1","GenesectGX")</f>
        <v>GenesectGX</v>
      </c>
      <c r="C230" s="136" t="s">
        <v>220</v>
      </c>
      <c r="D230" s="112"/>
      <c r="E230" s="112"/>
      <c r="F230" s="87"/>
      <c r="G230" s="87"/>
      <c r="H230" s="88"/>
      <c r="I230" s="88"/>
    </row>
    <row r="231" spans="1:9" ht="13">
      <c r="A231" s="112" t="s">
        <v>7786</v>
      </c>
      <c r="B231" s="111" t="str">
        <f>HYPERLINK("https://bulbapedia.bulbagarden.net/w/index.php?title=Alolan_Ninetales-GX_(Lost_Thunder_225)&amp;action=edit&amp;redlink=1","Alolan NinetalesGX")</f>
        <v>Alolan NinetalesGX</v>
      </c>
      <c r="C231" s="136" t="s">
        <v>4743</v>
      </c>
      <c r="D231" s="107"/>
      <c r="E231" s="112"/>
      <c r="F231" s="86"/>
      <c r="G231" s="87"/>
      <c r="H231" s="88"/>
      <c r="I231" s="137"/>
    </row>
    <row r="232" spans="1:9" ht="13">
      <c r="A232" s="112" t="s">
        <v>7787</v>
      </c>
      <c r="B232" s="111" t="str">
        <f>HYPERLINK("https://bulbapedia.bulbagarden.net/w/index.php?title=Mimikyu-GX_(Lost_Thunder_226)&amp;action=edit&amp;redlink=1","MimikyuGX")</f>
        <v>MimikyuGX</v>
      </c>
      <c r="C232" s="136" t="s">
        <v>4743</v>
      </c>
      <c r="D232" s="112"/>
      <c r="E232" s="112"/>
      <c r="F232" s="87"/>
      <c r="G232" s="87"/>
      <c r="H232" s="88"/>
      <c r="I232" s="88"/>
    </row>
    <row r="233" spans="1:9" ht="13">
      <c r="A233" s="112" t="s">
        <v>7788</v>
      </c>
      <c r="B233" s="111" t="str">
        <f>HYPERLINK("https://bulbapedia.bulbagarden.net/w/index.php?title=Lugia-GX_(Lost_Thunder_227)&amp;action=edit&amp;redlink=1","LugiaGX")</f>
        <v>LugiaGX</v>
      </c>
      <c r="C233" s="136" t="s">
        <v>197</v>
      </c>
      <c r="D233" s="112"/>
      <c r="E233" s="112"/>
      <c r="F233" s="87"/>
      <c r="G233" s="87"/>
      <c r="H233" s="88"/>
      <c r="I233" s="88"/>
    </row>
    <row r="234" spans="1:9" ht="13">
      <c r="A234" s="112" t="s">
        <v>7789</v>
      </c>
      <c r="B234" s="111" t="s">
        <v>7703</v>
      </c>
      <c r="C234" s="136" t="s">
        <v>4114</v>
      </c>
      <c r="D234" s="112"/>
      <c r="E234" s="112"/>
      <c r="F234" s="87"/>
      <c r="G234" s="87"/>
      <c r="H234" s="88"/>
      <c r="I234" s="88"/>
    </row>
    <row r="235" spans="1:9" ht="13">
      <c r="A235" s="112" t="s">
        <v>7790</v>
      </c>
      <c r="B235" s="111" t="s">
        <v>7707</v>
      </c>
      <c r="C235" s="136" t="s">
        <v>4114</v>
      </c>
      <c r="D235" s="107"/>
      <c r="E235" s="112"/>
      <c r="F235" s="87"/>
      <c r="G235" s="87"/>
      <c r="H235" s="88"/>
      <c r="I235" s="88"/>
    </row>
    <row r="236" spans="1:9" ht="13">
      <c r="A236" s="112" t="s">
        <v>7791</v>
      </c>
      <c r="B236" s="111" t="s">
        <v>7709</v>
      </c>
      <c r="C236" s="136" t="s">
        <v>4114</v>
      </c>
      <c r="D236" s="112"/>
      <c r="E236" s="112"/>
      <c r="F236" s="87"/>
      <c r="G236" s="87"/>
      <c r="H236" s="88"/>
      <c r="I236" s="88"/>
    </row>
    <row r="237" spans="1:9" ht="13">
      <c r="A237" s="112" t="s">
        <v>7792</v>
      </c>
      <c r="B237" s="111" t="s">
        <v>7711</v>
      </c>
      <c r="C237" s="136" t="s">
        <v>4114</v>
      </c>
      <c r="D237" s="112"/>
      <c r="E237" s="112"/>
      <c r="F237" s="87"/>
      <c r="G237" s="87"/>
      <c r="H237" s="88"/>
      <c r="I237" s="88"/>
    </row>
    <row r="238" spans="1:9" ht="13">
      <c r="A238" s="112" t="s">
        <v>7793</v>
      </c>
      <c r="B238" s="111" t="s">
        <v>7713</v>
      </c>
      <c r="C238" s="136" t="s">
        <v>4114</v>
      </c>
      <c r="D238" s="112"/>
      <c r="E238" s="112"/>
      <c r="F238" s="87"/>
      <c r="G238" s="87"/>
      <c r="H238" s="88"/>
      <c r="I238" s="88"/>
    </row>
    <row r="239" spans="1:9" ht="13">
      <c r="A239" s="112" t="s">
        <v>7794</v>
      </c>
      <c r="B239" s="111" t="s">
        <v>7730</v>
      </c>
      <c r="C239" s="136" t="s">
        <v>4114</v>
      </c>
      <c r="D239" s="112"/>
      <c r="E239" s="112"/>
      <c r="F239" s="87"/>
      <c r="G239" s="87"/>
      <c r="H239" s="88"/>
      <c r="I239" s="88"/>
    </row>
    <row r="240" spans="1:9" ht="13">
      <c r="A240" s="112" t="s">
        <v>7795</v>
      </c>
      <c r="B240" s="111" t="s">
        <v>7741</v>
      </c>
      <c r="C240" s="136" t="s">
        <v>4114</v>
      </c>
      <c r="D240" s="112"/>
      <c r="E240" s="112"/>
      <c r="F240" s="87"/>
      <c r="G240" s="87"/>
      <c r="H240" s="88"/>
      <c r="I240" s="88"/>
    </row>
    <row r="241" spans="1:9" ht="13">
      <c r="A241" s="112" t="s">
        <v>7796</v>
      </c>
      <c r="B241" s="111" t="s">
        <v>7748</v>
      </c>
      <c r="C241" s="136" t="s">
        <v>4114</v>
      </c>
      <c r="D241" s="107"/>
      <c r="E241" s="112"/>
      <c r="F241" s="86"/>
      <c r="G241" s="87"/>
      <c r="H241" s="88"/>
      <c r="I241" s="88"/>
    </row>
    <row r="242" spans="1:9" ht="13">
      <c r="A242" s="112" t="s">
        <v>7797</v>
      </c>
      <c r="B242" s="111" t="s">
        <v>7751</v>
      </c>
      <c r="C242" s="136" t="s">
        <v>4114</v>
      </c>
      <c r="D242" s="112"/>
      <c r="E242" s="112"/>
      <c r="F242" s="87"/>
      <c r="G242" s="87"/>
      <c r="H242" s="88"/>
      <c r="I242" s="88"/>
    </row>
    <row r="243" spans="1:9" ht="13">
      <c r="D243" s="5"/>
      <c r="F243" s="5"/>
      <c r="G243" s="5"/>
    </row>
    <row r="244" spans="1:9" ht="13">
      <c r="D244" s="5"/>
      <c r="E244" s="5"/>
      <c r="F244" s="5"/>
      <c r="G244" s="5"/>
    </row>
    <row r="245" spans="1:9" ht="13">
      <c r="D245" s="5"/>
      <c r="E245" s="5"/>
      <c r="F245" s="5"/>
      <c r="G245" s="5"/>
    </row>
    <row r="246" spans="1:9" ht="13">
      <c r="D246" s="5"/>
      <c r="E246" s="5"/>
      <c r="F246" s="5"/>
      <c r="G246" s="5"/>
    </row>
    <row r="247" spans="1:9" ht="13">
      <c r="D247" s="5"/>
      <c r="E247" s="5"/>
      <c r="F247" s="5"/>
      <c r="G247" s="5"/>
    </row>
    <row r="248" spans="1:9" ht="13">
      <c r="D248" s="5"/>
      <c r="E248" s="5"/>
      <c r="F248" s="5"/>
      <c r="G248" s="5"/>
    </row>
    <row r="249" spans="1:9" ht="13">
      <c r="D249" s="5"/>
      <c r="E249" s="5"/>
      <c r="F249" s="5"/>
      <c r="G249" s="5"/>
    </row>
    <row r="250" spans="1:9" ht="13">
      <c r="D250" s="5"/>
      <c r="E250" s="5"/>
      <c r="F250" s="5"/>
      <c r="G250" s="5"/>
    </row>
    <row r="251" spans="1:9" ht="13">
      <c r="D251" s="5"/>
      <c r="E251" s="5"/>
      <c r="F251" s="5"/>
      <c r="G251" s="5"/>
    </row>
    <row r="252" spans="1:9" ht="13">
      <c r="D252" s="5"/>
      <c r="E252" s="5"/>
      <c r="F252" s="5"/>
      <c r="G252" s="5"/>
    </row>
    <row r="253" spans="1:9" ht="13">
      <c r="D253" s="5"/>
      <c r="E253" s="5"/>
      <c r="F253" s="5"/>
      <c r="G253" s="5"/>
    </row>
    <row r="254" spans="1:9" ht="13">
      <c r="D254" s="5"/>
      <c r="E254" s="5"/>
      <c r="F254" s="5"/>
      <c r="G254" s="5"/>
    </row>
    <row r="255" spans="1:9" ht="13">
      <c r="D255" s="5"/>
      <c r="E255" s="5"/>
      <c r="F255" s="5"/>
      <c r="G255" s="5"/>
    </row>
    <row r="256" spans="1:9" ht="13">
      <c r="D256" s="5"/>
      <c r="E256" s="5"/>
      <c r="F256" s="5"/>
      <c r="G256" s="5"/>
    </row>
    <row r="257" spans="4:7" ht="13">
      <c r="D257" s="5"/>
      <c r="E257" s="5"/>
      <c r="F257" s="5"/>
      <c r="G257" s="5"/>
    </row>
    <row r="258" spans="4:7" ht="13">
      <c r="D258" s="5"/>
      <c r="E258" s="5"/>
      <c r="F258" s="5"/>
      <c r="G258" s="5"/>
    </row>
    <row r="259" spans="4:7" ht="13">
      <c r="D259" s="5"/>
      <c r="E259" s="5"/>
      <c r="F259" s="5"/>
      <c r="G259" s="5"/>
    </row>
    <row r="260" spans="4:7" ht="13">
      <c r="D260" s="5"/>
      <c r="E260" s="5"/>
      <c r="F260" s="5"/>
      <c r="G260" s="5"/>
    </row>
    <row r="261" spans="4:7" ht="13">
      <c r="D261" s="5"/>
      <c r="E261" s="5"/>
      <c r="F261" s="5"/>
      <c r="G261" s="5"/>
    </row>
    <row r="262" spans="4:7" ht="13">
      <c r="D262" s="5"/>
      <c r="E262" s="5"/>
      <c r="F262" s="5"/>
      <c r="G262" s="5"/>
    </row>
    <row r="263" spans="4:7" ht="13">
      <c r="D263" s="5"/>
      <c r="E263" s="5"/>
      <c r="F263" s="5"/>
      <c r="G263" s="5"/>
    </row>
    <row r="264" spans="4:7" ht="13">
      <c r="D264" s="5"/>
      <c r="E264" s="5"/>
      <c r="F264" s="5"/>
      <c r="G264" s="5"/>
    </row>
    <row r="265" spans="4:7" ht="13">
      <c r="D265" s="5"/>
      <c r="E265" s="5"/>
      <c r="F265" s="5"/>
      <c r="G265" s="5"/>
    </row>
    <row r="266" spans="4:7" ht="13">
      <c r="D266" s="5"/>
      <c r="E266" s="5"/>
      <c r="F266" s="5"/>
      <c r="G266" s="5"/>
    </row>
    <row r="267" spans="4:7" ht="13">
      <c r="D267" s="5"/>
      <c r="E267" s="5"/>
      <c r="F267" s="5"/>
      <c r="G267" s="5"/>
    </row>
    <row r="268" spans="4:7" ht="13">
      <c r="D268" s="5"/>
      <c r="E268" s="5"/>
      <c r="F268" s="5"/>
      <c r="G268" s="5"/>
    </row>
    <row r="269" spans="4:7" ht="13">
      <c r="D269" s="5"/>
      <c r="E269" s="5"/>
      <c r="F269" s="5"/>
      <c r="G269" s="5"/>
    </row>
    <row r="270" spans="4:7" ht="13">
      <c r="D270" s="5"/>
      <c r="E270" s="5"/>
      <c r="F270" s="5"/>
      <c r="G270" s="5"/>
    </row>
    <row r="271" spans="4:7" ht="13">
      <c r="D271" s="5"/>
      <c r="E271" s="5"/>
      <c r="F271" s="5"/>
      <c r="G271" s="5"/>
    </row>
    <row r="272" spans="4:7" ht="13">
      <c r="D272" s="5"/>
      <c r="E272" s="5"/>
      <c r="F272" s="5"/>
      <c r="G272" s="5"/>
    </row>
    <row r="273" spans="4:7" ht="13">
      <c r="D273" s="5"/>
      <c r="E273" s="5"/>
      <c r="F273" s="5"/>
      <c r="G273" s="5"/>
    </row>
    <row r="274" spans="4:7" ht="13">
      <c r="D274" s="5"/>
      <c r="E274" s="5"/>
      <c r="F274" s="5"/>
      <c r="G274" s="5"/>
    </row>
    <row r="275" spans="4:7" ht="13">
      <c r="D275" s="5"/>
      <c r="E275" s="5"/>
      <c r="F275" s="5"/>
      <c r="G275" s="5"/>
    </row>
    <row r="276" spans="4:7" ht="13">
      <c r="D276" s="5"/>
      <c r="E276" s="5"/>
      <c r="F276" s="5"/>
      <c r="G276" s="5"/>
    </row>
    <row r="277" spans="4:7" ht="13">
      <c r="D277" s="5"/>
      <c r="E277" s="5"/>
      <c r="F277" s="5"/>
      <c r="G277" s="5"/>
    </row>
    <row r="278" spans="4:7" ht="13">
      <c r="D278" s="5"/>
      <c r="E278" s="5"/>
      <c r="F278" s="5"/>
      <c r="G278" s="5"/>
    </row>
    <row r="279" spans="4:7" ht="13">
      <c r="D279" s="5"/>
      <c r="E279" s="5"/>
      <c r="F279" s="5"/>
      <c r="G279" s="5"/>
    </row>
    <row r="280" spans="4:7" ht="13">
      <c r="D280" s="5"/>
      <c r="E280" s="5"/>
      <c r="F280" s="5"/>
      <c r="G280" s="5"/>
    </row>
    <row r="281" spans="4:7" ht="13">
      <c r="D281" s="5"/>
      <c r="E281" s="5"/>
      <c r="F281" s="5"/>
      <c r="G281" s="5"/>
    </row>
    <row r="282" spans="4:7" ht="13">
      <c r="D282" s="5"/>
      <c r="E282" s="5"/>
      <c r="F282" s="5"/>
      <c r="G282" s="5"/>
    </row>
    <row r="283" spans="4:7" ht="13">
      <c r="D283" s="5"/>
      <c r="E283" s="5"/>
      <c r="F283" s="5"/>
      <c r="G283" s="5"/>
    </row>
    <row r="284" spans="4:7" ht="13">
      <c r="D284" s="5"/>
      <c r="E284" s="5"/>
      <c r="F284" s="5"/>
      <c r="G284" s="5"/>
    </row>
    <row r="285" spans="4:7" ht="13">
      <c r="D285" s="5"/>
      <c r="E285" s="5"/>
      <c r="F285" s="5"/>
      <c r="G285" s="5"/>
    </row>
    <row r="286" spans="4:7" ht="13">
      <c r="D286" s="5"/>
      <c r="E286" s="5"/>
      <c r="F286" s="5"/>
      <c r="G286" s="5"/>
    </row>
    <row r="287" spans="4:7" ht="13">
      <c r="D287" s="5"/>
      <c r="E287" s="5"/>
      <c r="F287" s="5"/>
      <c r="G287" s="5"/>
    </row>
    <row r="288" spans="4: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row r="1001" spans="4:7" ht="13">
      <c r="D1001" s="5"/>
      <c r="E1001" s="5"/>
      <c r="F1001" s="5"/>
      <c r="G1001" s="5"/>
    </row>
    <row r="1002" spans="4:7" ht="13">
      <c r="D1002" s="5"/>
      <c r="E1002" s="5"/>
      <c r="F1002" s="5"/>
      <c r="G1002" s="5"/>
    </row>
  </sheetData>
  <hyperlinks>
    <hyperlink ref="B5" r:id="rId1" xr:uid="{00000000-0004-0000-5D00-000000000000}"/>
    <hyperlink ref="B6" r:id="rId2" xr:uid="{00000000-0004-0000-5D00-000001000000}"/>
    <hyperlink ref="B7" r:id="rId3" xr:uid="{00000000-0004-0000-5D00-000002000000}"/>
    <hyperlink ref="B8" r:id="rId4" xr:uid="{00000000-0004-0000-5D00-000003000000}"/>
    <hyperlink ref="B9" r:id="rId5" xr:uid="{00000000-0004-0000-5D00-000004000000}"/>
    <hyperlink ref="B10" r:id="rId6" xr:uid="{00000000-0004-0000-5D00-000005000000}"/>
    <hyperlink ref="B11" r:id="rId7" xr:uid="{00000000-0004-0000-5D00-000006000000}"/>
    <hyperlink ref="B12" r:id="rId8" xr:uid="{00000000-0004-0000-5D00-000007000000}"/>
    <hyperlink ref="B13" r:id="rId9" xr:uid="{00000000-0004-0000-5D00-000008000000}"/>
    <hyperlink ref="B14" r:id="rId10" xr:uid="{00000000-0004-0000-5D00-000009000000}"/>
    <hyperlink ref="B15" r:id="rId11" xr:uid="{00000000-0004-0000-5D00-00000A000000}"/>
    <hyperlink ref="B16" r:id="rId12" xr:uid="{00000000-0004-0000-5D00-00000B000000}"/>
    <hyperlink ref="B17" r:id="rId13" xr:uid="{00000000-0004-0000-5D00-00000C000000}"/>
    <hyperlink ref="B18" r:id="rId14" xr:uid="{00000000-0004-0000-5D00-00000D000000}"/>
    <hyperlink ref="B19" r:id="rId15" xr:uid="{00000000-0004-0000-5D00-00000E000000}"/>
    <hyperlink ref="B20" r:id="rId16" xr:uid="{00000000-0004-0000-5D00-00000F000000}"/>
    <hyperlink ref="B22" r:id="rId17" xr:uid="{00000000-0004-0000-5D00-000010000000}"/>
    <hyperlink ref="B24" r:id="rId18" xr:uid="{00000000-0004-0000-5D00-000011000000}"/>
    <hyperlink ref="B25" r:id="rId19" xr:uid="{00000000-0004-0000-5D00-000012000000}"/>
    <hyperlink ref="B27" r:id="rId20" xr:uid="{00000000-0004-0000-5D00-000013000000}"/>
    <hyperlink ref="B28" r:id="rId21" xr:uid="{00000000-0004-0000-5D00-000014000000}"/>
    <hyperlink ref="B29" r:id="rId22" xr:uid="{00000000-0004-0000-5D00-000015000000}"/>
    <hyperlink ref="B30" r:id="rId23" xr:uid="{00000000-0004-0000-5D00-000016000000}"/>
    <hyperlink ref="B31" r:id="rId24" xr:uid="{00000000-0004-0000-5D00-000017000000}"/>
    <hyperlink ref="B32" r:id="rId25" xr:uid="{00000000-0004-0000-5D00-000018000000}"/>
    <hyperlink ref="B33" r:id="rId26" xr:uid="{00000000-0004-0000-5D00-000019000000}"/>
    <hyperlink ref="B34" r:id="rId27" xr:uid="{00000000-0004-0000-5D00-00001A000000}"/>
    <hyperlink ref="B35" r:id="rId28" xr:uid="{00000000-0004-0000-5D00-00001B000000}"/>
    <hyperlink ref="B36" r:id="rId29" xr:uid="{00000000-0004-0000-5D00-00001C000000}"/>
    <hyperlink ref="B37" r:id="rId30" xr:uid="{00000000-0004-0000-5D00-00001D000000}"/>
    <hyperlink ref="B39" r:id="rId31" xr:uid="{00000000-0004-0000-5D00-00001E000000}"/>
    <hyperlink ref="B40" r:id="rId32" xr:uid="{00000000-0004-0000-5D00-00001F000000}"/>
    <hyperlink ref="B41" r:id="rId33" xr:uid="{00000000-0004-0000-5D00-000020000000}"/>
    <hyperlink ref="B42" r:id="rId34" xr:uid="{00000000-0004-0000-5D00-000021000000}"/>
    <hyperlink ref="B43" r:id="rId35" xr:uid="{00000000-0004-0000-5D00-000022000000}"/>
    <hyperlink ref="B44" r:id="rId36" xr:uid="{00000000-0004-0000-5D00-000023000000}"/>
    <hyperlink ref="B45" r:id="rId37" xr:uid="{00000000-0004-0000-5D00-000024000000}"/>
    <hyperlink ref="B46" r:id="rId38" xr:uid="{00000000-0004-0000-5D00-000025000000}"/>
    <hyperlink ref="B47" r:id="rId39" xr:uid="{00000000-0004-0000-5D00-000026000000}"/>
    <hyperlink ref="B49" r:id="rId40" xr:uid="{00000000-0004-0000-5D00-000027000000}"/>
    <hyperlink ref="B50" r:id="rId41" xr:uid="{00000000-0004-0000-5D00-000028000000}"/>
    <hyperlink ref="B51" r:id="rId42" xr:uid="{00000000-0004-0000-5D00-000029000000}"/>
    <hyperlink ref="B52" r:id="rId43" xr:uid="{00000000-0004-0000-5D00-00002A000000}"/>
    <hyperlink ref="B53" r:id="rId44" xr:uid="{00000000-0004-0000-5D00-00002B000000}"/>
    <hyperlink ref="B54" r:id="rId45" xr:uid="{00000000-0004-0000-5D00-00002C000000}"/>
    <hyperlink ref="B55" r:id="rId46" xr:uid="{00000000-0004-0000-5D00-00002D000000}"/>
    <hyperlink ref="B57" r:id="rId47" xr:uid="{00000000-0004-0000-5D00-00002E000000}"/>
    <hyperlink ref="B58" r:id="rId48" xr:uid="{00000000-0004-0000-5D00-00002F000000}"/>
    <hyperlink ref="B59" r:id="rId49" xr:uid="{00000000-0004-0000-5D00-000030000000}"/>
    <hyperlink ref="B60" r:id="rId50" xr:uid="{00000000-0004-0000-5D00-000031000000}"/>
    <hyperlink ref="B61" r:id="rId51" xr:uid="{00000000-0004-0000-5D00-000032000000}"/>
    <hyperlink ref="B62" r:id="rId52" xr:uid="{00000000-0004-0000-5D00-000033000000}"/>
    <hyperlink ref="B63" r:id="rId53" xr:uid="{00000000-0004-0000-5D00-000034000000}"/>
    <hyperlink ref="B65" r:id="rId54" xr:uid="{00000000-0004-0000-5D00-000035000000}"/>
    <hyperlink ref="B66" r:id="rId55" xr:uid="{00000000-0004-0000-5D00-000036000000}"/>
    <hyperlink ref="B67" r:id="rId56" xr:uid="{00000000-0004-0000-5D00-000037000000}"/>
    <hyperlink ref="B68" r:id="rId57" xr:uid="{00000000-0004-0000-5D00-000038000000}"/>
    <hyperlink ref="B69" r:id="rId58" xr:uid="{00000000-0004-0000-5D00-000039000000}"/>
    <hyperlink ref="B70" r:id="rId59" xr:uid="{00000000-0004-0000-5D00-00003A000000}"/>
    <hyperlink ref="B71" r:id="rId60" xr:uid="{00000000-0004-0000-5D00-00003B000000}"/>
    <hyperlink ref="B72" r:id="rId61" xr:uid="{00000000-0004-0000-5D00-00003C000000}"/>
    <hyperlink ref="B73" r:id="rId62" xr:uid="{00000000-0004-0000-5D00-00003D000000}"/>
    <hyperlink ref="B74" r:id="rId63" xr:uid="{00000000-0004-0000-5D00-00003E000000}"/>
    <hyperlink ref="B75" r:id="rId64" xr:uid="{00000000-0004-0000-5D00-00003F000000}"/>
    <hyperlink ref="B76" r:id="rId65" xr:uid="{00000000-0004-0000-5D00-000040000000}"/>
    <hyperlink ref="B77" r:id="rId66" xr:uid="{00000000-0004-0000-5D00-000041000000}"/>
    <hyperlink ref="B78" r:id="rId67" xr:uid="{00000000-0004-0000-5D00-000042000000}"/>
    <hyperlink ref="B79" r:id="rId68" xr:uid="{00000000-0004-0000-5D00-000043000000}"/>
    <hyperlink ref="B80" r:id="rId69" xr:uid="{00000000-0004-0000-5D00-000044000000}"/>
    <hyperlink ref="B81" r:id="rId70" xr:uid="{00000000-0004-0000-5D00-000045000000}"/>
    <hyperlink ref="B82" r:id="rId71" xr:uid="{00000000-0004-0000-5D00-000046000000}"/>
    <hyperlink ref="B83" r:id="rId72" xr:uid="{00000000-0004-0000-5D00-000047000000}"/>
    <hyperlink ref="B84" r:id="rId73" xr:uid="{00000000-0004-0000-5D00-000048000000}"/>
    <hyperlink ref="B85" r:id="rId74" xr:uid="{00000000-0004-0000-5D00-000049000000}"/>
    <hyperlink ref="B86" r:id="rId75" xr:uid="{00000000-0004-0000-5D00-00004A000000}"/>
    <hyperlink ref="B87" r:id="rId76" xr:uid="{00000000-0004-0000-5D00-00004B000000}"/>
    <hyperlink ref="B88" r:id="rId77" xr:uid="{00000000-0004-0000-5D00-00004C000000}"/>
    <hyperlink ref="B89" r:id="rId78" xr:uid="{00000000-0004-0000-5D00-00004D000000}"/>
    <hyperlink ref="B91" r:id="rId79" xr:uid="{00000000-0004-0000-5D00-00004E000000}"/>
    <hyperlink ref="B92" r:id="rId80" xr:uid="{00000000-0004-0000-5D00-00004F000000}"/>
    <hyperlink ref="B93" r:id="rId81" xr:uid="{00000000-0004-0000-5D00-000050000000}"/>
    <hyperlink ref="B94" r:id="rId82" xr:uid="{00000000-0004-0000-5D00-000051000000}"/>
    <hyperlink ref="B95" r:id="rId83" xr:uid="{00000000-0004-0000-5D00-000052000000}"/>
    <hyperlink ref="B96" r:id="rId84" xr:uid="{00000000-0004-0000-5D00-000053000000}"/>
    <hyperlink ref="B97" r:id="rId85" xr:uid="{00000000-0004-0000-5D00-000054000000}"/>
    <hyperlink ref="B98" r:id="rId86" xr:uid="{00000000-0004-0000-5D00-000055000000}"/>
    <hyperlink ref="B99" r:id="rId87" xr:uid="{00000000-0004-0000-5D00-000056000000}"/>
    <hyperlink ref="B100" r:id="rId88" xr:uid="{00000000-0004-0000-5D00-000057000000}"/>
    <hyperlink ref="B101" r:id="rId89" xr:uid="{00000000-0004-0000-5D00-000058000000}"/>
    <hyperlink ref="B103" r:id="rId90" xr:uid="{00000000-0004-0000-5D00-000059000000}"/>
    <hyperlink ref="B104" r:id="rId91" xr:uid="{00000000-0004-0000-5D00-00005A000000}"/>
    <hyperlink ref="B105" r:id="rId92" xr:uid="{00000000-0004-0000-5D00-00005B000000}"/>
    <hyperlink ref="B106" r:id="rId93" xr:uid="{00000000-0004-0000-5D00-00005C000000}"/>
    <hyperlink ref="B107" r:id="rId94" xr:uid="{00000000-0004-0000-5D00-00005D000000}"/>
    <hyperlink ref="B108" r:id="rId95" xr:uid="{00000000-0004-0000-5D00-00005E000000}"/>
    <hyperlink ref="B109" r:id="rId96" xr:uid="{00000000-0004-0000-5D00-00005F000000}"/>
    <hyperlink ref="B110" r:id="rId97" xr:uid="{00000000-0004-0000-5D00-000060000000}"/>
    <hyperlink ref="B111" r:id="rId98" xr:uid="{00000000-0004-0000-5D00-000061000000}"/>
    <hyperlink ref="B112" r:id="rId99" xr:uid="{00000000-0004-0000-5D00-000062000000}"/>
    <hyperlink ref="B113" r:id="rId100" xr:uid="{00000000-0004-0000-5D00-000063000000}"/>
    <hyperlink ref="B114" r:id="rId101" xr:uid="{00000000-0004-0000-5D00-000064000000}"/>
    <hyperlink ref="B115" r:id="rId102" xr:uid="{00000000-0004-0000-5D00-000065000000}"/>
    <hyperlink ref="B116" r:id="rId103" xr:uid="{00000000-0004-0000-5D00-000066000000}"/>
    <hyperlink ref="B117" r:id="rId104" xr:uid="{00000000-0004-0000-5D00-000067000000}"/>
    <hyperlink ref="B118" r:id="rId105" xr:uid="{00000000-0004-0000-5D00-000068000000}"/>
    <hyperlink ref="B119" r:id="rId106" xr:uid="{00000000-0004-0000-5D00-000069000000}"/>
    <hyperlink ref="B120" r:id="rId107" xr:uid="{00000000-0004-0000-5D00-00006A000000}"/>
    <hyperlink ref="B121" r:id="rId108" xr:uid="{00000000-0004-0000-5D00-00006B000000}"/>
    <hyperlink ref="B122" r:id="rId109" xr:uid="{00000000-0004-0000-5D00-00006C000000}"/>
    <hyperlink ref="B123" r:id="rId110" xr:uid="{00000000-0004-0000-5D00-00006D000000}"/>
    <hyperlink ref="B124" r:id="rId111" xr:uid="{00000000-0004-0000-5D00-00006E000000}"/>
    <hyperlink ref="B126" r:id="rId112" xr:uid="{00000000-0004-0000-5D00-00006F000000}"/>
    <hyperlink ref="B127" r:id="rId113" xr:uid="{00000000-0004-0000-5D00-000070000000}"/>
    <hyperlink ref="B128" r:id="rId114" xr:uid="{00000000-0004-0000-5D00-000071000000}"/>
    <hyperlink ref="B129" r:id="rId115" xr:uid="{00000000-0004-0000-5D00-000072000000}"/>
    <hyperlink ref="B130" r:id="rId116" xr:uid="{00000000-0004-0000-5D00-000073000000}"/>
    <hyperlink ref="B131" r:id="rId117" xr:uid="{00000000-0004-0000-5D00-000074000000}"/>
    <hyperlink ref="B132" r:id="rId118" xr:uid="{00000000-0004-0000-5D00-000075000000}"/>
    <hyperlink ref="B133" r:id="rId119" xr:uid="{00000000-0004-0000-5D00-000076000000}"/>
    <hyperlink ref="B135" r:id="rId120" xr:uid="{00000000-0004-0000-5D00-000077000000}"/>
    <hyperlink ref="B137" r:id="rId121" xr:uid="{00000000-0004-0000-5D00-000078000000}"/>
    <hyperlink ref="B138" r:id="rId122" xr:uid="{00000000-0004-0000-5D00-000079000000}"/>
    <hyperlink ref="B139" r:id="rId123" xr:uid="{00000000-0004-0000-5D00-00007A000000}"/>
    <hyperlink ref="B140" r:id="rId124" xr:uid="{00000000-0004-0000-5D00-00007B000000}"/>
    <hyperlink ref="B141" r:id="rId125" xr:uid="{00000000-0004-0000-5D00-00007C000000}"/>
    <hyperlink ref="B142" r:id="rId126" xr:uid="{00000000-0004-0000-5D00-00007D000000}"/>
    <hyperlink ref="B143" r:id="rId127" xr:uid="{00000000-0004-0000-5D00-00007E000000}"/>
    <hyperlink ref="B144" r:id="rId128" xr:uid="{00000000-0004-0000-5D00-00007F000000}"/>
    <hyperlink ref="B145" r:id="rId129" xr:uid="{00000000-0004-0000-5D00-000080000000}"/>
    <hyperlink ref="B146" r:id="rId130" xr:uid="{00000000-0004-0000-5D00-000081000000}"/>
    <hyperlink ref="B147" r:id="rId131" xr:uid="{00000000-0004-0000-5D00-000082000000}"/>
    <hyperlink ref="B149" r:id="rId132" xr:uid="{00000000-0004-0000-5D00-000083000000}"/>
    <hyperlink ref="B150" r:id="rId133" xr:uid="{00000000-0004-0000-5D00-000084000000}"/>
    <hyperlink ref="B151" r:id="rId134" xr:uid="{00000000-0004-0000-5D00-000085000000}"/>
    <hyperlink ref="B152" r:id="rId135" xr:uid="{00000000-0004-0000-5D00-000086000000}"/>
    <hyperlink ref="B154" r:id="rId136" xr:uid="{00000000-0004-0000-5D00-000087000000}"/>
    <hyperlink ref="B155" r:id="rId137" xr:uid="{00000000-0004-0000-5D00-000088000000}"/>
    <hyperlink ref="B156" r:id="rId138" xr:uid="{00000000-0004-0000-5D00-000089000000}"/>
    <hyperlink ref="B157" r:id="rId139" xr:uid="{00000000-0004-0000-5D00-00008A000000}"/>
    <hyperlink ref="B159" r:id="rId140" xr:uid="{00000000-0004-0000-5D00-00008B000000}"/>
    <hyperlink ref="B160" r:id="rId141" xr:uid="{00000000-0004-0000-5D00-00008C000000}"/>
    <hyperlink ref="B161" r:id="rId142" xr:uid="{00000000-0004-0000-5D00-00008D000000}"/>
    <hyperlink ref="B162" r:id="rId143" xr:uid="{00000000-0004-0000-5D00-00008E000000}"/>
    <hyperlink ref="B164" r:id="rId144" xr:uid="{00000000-0004-0000-5D00-00008F000000}"/>
    <hyperlink ref="B165" r:id="rId145" xr:uid="{00000000-0004-0000-5D00-000090000000}"/>
    <hyperlink ref="B166" r:id="rId146" xr:uid="{00000000-0004-0000-5D00-000091000000}"/>
    <hyperlink ref="B167" r:id="rId147" xr:uid="{00000000-0004-0000-5D00-000092000000}"/>
    <hyperlink ref="B168" r:id="rId148" xr:uid="{00000000-0004-0000-5D00-000093000000}"/>
    <hyperlink ref="B169" r:id="rId149" xr:uid="{00000000-0004-0000-5D00-000094000000}"/>
    <hyperlink ref="B170" r:id="rId150" xr:uid="{00000000-0004-0000-5D00-000095000000}"/>
    <hyperlink ref="B171" r:id="rId151" xr:uid="{00000000-0004-0000-5D00-000096000000}"/>
    <hyperlink ref="B172" r:id="rId152" xr:uid="{00000000-0004-0000-5D00-000097000000}"/>
    <hyperlink ref="B173" r:id="rId153" xr:uid="{00000000-0004-0000-5D00-000098000000}"/>
    <hyperlink ref="B174" r:id="rId154" xr:uid="{00000000-0004-0000-5D00-000099000000}"/>
    <hyperlink ref="B175" r:id="rId155" xr:uid="{00000000-0004-0000-5D00-00009A000000}"/>
    <hyperlink ref="B176" r:id="rId156" xr:uid="{00000000-0004-0000-5D00-00009B000000}"/>
    <hyperlink ref="B177" r:id="rId157" xr:uid="{00000000-0004-0000-5D00-00009C000000}"/>
    <hyperlink ref="B178" r:id="rId158" xr:uid="{00000000-0004-0000-5D00-00009D000000}"/>
    <hyperlink ref="B179" r:id="rId159" xr:uid="{00000000-0004-0000-5D00-00009E000000}"/>
    <hyperlink ref="B180" r:id="rId160" xr:uid="{00000000-0004-0000-5D00-00009F000000}"/>
    <hyperlink ref="B181" r:id="rId161" xr:uid="{00000000-0004-0000-5D00-0000A0000000}"/>
    <hyperlink ref="B182" r:id="rId162" xr:uid="{00000000-0004-0000-5D00-0000A1000000}"/>
    <hyperlink ref="B184" r:id="rId163" xr:uid="{00000000-0004-0000-5D00-0000A2000000}"/>
    <hyperlink ref="B186" r:id="rId164" xr:uid="{00000000-0004-0000-5D00-0000A3000000}"/>
    <hyperlink ref="B188" r:id="rId165" xr:uid="{00000000-0004-0000-5D00-0000A4000000}"/>
    <hyperlink ref="B189" r:id="rId166" xr:uid="{00000000-0004-0000-5D00-0000A5000000}"/>
    <hyperlink ref="B190" r:id="rId167" xr:uid="{00000000-0004-0000-5D00-0000A6000000}"/>
    <hyperlink ref="B191" r:id="rId168" xr:uid="{00000000-0004-0000-5D00-0000A7000000}"/>
    <hyperlink ref="B192" r:id="rId169" xr:uid="{00000000-0004-0000-5D00-0000A8000000}"/>
    <hyperlink ref="B193" r:id="rId170" xr:uid="{00000000-0004-0000-5D00-0000A9000000}"/>
    <hyperlink ref="B194" r:id="rId171" xr:uid="{00000000-0004-0000-5D00-0000AA000000}"/>
    <hyperlink ref="B195" r:id="rId172" xr:uid="{00000000-0004-0000-5D00-0000AB000000}"/>
    <hyperlink ref="B196" r:id="rId173" xr:uid="{00000000-0004-0000-5D00-0000AC000000}"/>
    <hyperlink ref="B198" r:id="rId174" xr:uid="{00000000-0004-0000-5D00-0000AD000000}"/>
    <hyperlink ref="B199" r:id="rId175" xr:uid="{00000000-0004-0000-5D00-0000AE000000}"/>
    <hyperlink ref="B200" r:id="rId176" xr:uid="{00000000-0004-0000-5D00-0000AF000000}"/>
    <hyperlink ref="B214" r:id="rId177" xr:uid="{00000000-0004-0000-5D00-0000B0000000}"/>
    <hyperlink ref="B215" r:id="rId178" xr:uid="{00000000-0004-0000-5D00-0000B1000000}"/>
    <hyperlink ref="B216" r:id="rId179" xr:uid="{00000000-0004-0000-5D00-0000B2000000}"/>
    <hyperlink ref="B217" r:id="rId180" xr:uid="{00000000-0004-0000-5D00-0000B3000000}"/>
    <hyperlink ref="B218" r:id="rId181" xr:uid="{00000000-0004-0000-5D00-0000B4000000}"/>
    <hyperlink ref="B219" r:id="rId182" xr:uid="{00000000-0004-0000-5D00-0000B5000000}"/>
    <hyperlink ref="B220" r:id="rId183" xr:uid="{00000000-0004-0000-5D00-0000B6000000}"/>
    <hyperlink ref="B234" r:id="rId184" xr:uid="{00000000-0004-0000-5D00-0000B7000000}"/>
    <hyperlink ref="B235" r:id="rId185" xr:uid="{00000000-0004-0000-5D00-0000B8000000}"/>
    <hyperlink ref="B236" r:id="rId186" xr:uid="{00000000-0004-0000-5D00-0000B9000000}"/>
    <hyperlink ref="B237" r:id="rId187" xr:uid="{00000000-0004-0000-5D00-0000BA000000}"/>
    <hyperlink ref="B238" r:id="rId188" xr:uid="{00000000-0004-0000-5D00-0000BB000000}"/>
    <hyperlink ref="B239" r:id="rId189" xr:uid="{00000000-0004-0000-5D00-0000BC000000}"/>
    <hyperlink ref="B240" r:id="rId190" xr:uid="{00000000-0004-0000-5D00-0000BD000000}"/>
    <hyperlink ref="B241" r:id="rId191" xr:uid="{00000000-0004-0000-5D00-0000BE000000}"/>
    <hyperlink ref="B242" r:id="rId192" xr:uid="{00000000-0004-0000-5D00-0000BF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5">
    <outlinePr summaryBelow="0" summaryRight="0"/>
  </sheetPr>
  <dimension ref="A1:J1001"/>
  <sheetViews>
    <sheetView workbookViewId="0">
      <pane ySplit="4" topLeftCell="A5" activePane="bottomLeft" state="frozen"/>
      <selection pane="bottomLeft" activeCell="B6" sqref="B6"/>
    </sheetView>
  </sheetViews>
  <sheetFormatPr baseColWidth="10" defaultColWidth="12.6640625" defaultRowHeight="15.75" customHeight="1"/>
  <cols>
    <col min="2" max="2" width="19.83203125" customWidth="1"/>
    <col min="4" max="4" width="14" customWidth="1"/>
    <col min="5" max="5" width="15.1640625" customWidth="1"/>
  </cols>
  <sheetData>
    <row r="1" spans="1:10" ht="15.75" customHeight="1">
      <c r="A1" s="138" t="s">
        <v>119</v>
      </c>
      <c r="B1" s="88"/>
      <c r="C1" s="132"/>
      <c r="D1" s="81" t="s">
        <v>181</v>
      </c>
      <c r="E1" s="87"/>
      <c r="F1" s="87"/>
      <c r="G1" s="87"/>
      <c r="H1" s="88"/>
      <c r="I1" s="88"/>
    </row>
    <row r="2" spans="1:10" ht="15.75" customHeight="1">
      <c r="A2" s="88" t="s">
        <v>182</v>
      </c>
      <c r="B2" s="133">
        <v>43497</v>
      </c>
      <c r="C2" s="132"/>
      <c r="D2" s="82">
        <f>SUM(D5:G201)</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112" t="s">
        <v>7798</v>
      </c>
      <c r="B5" s="111" t="str">
        <f>HYPERLINK("https://bulbapedia.bulbagarden.net/wiki/Celebi_%26_Venusaur-GX_(Team_Up_1)","Celebi &amp; VenusaurGX")</f>
        <v>Celebi &amp; VenusaurGX</v>
      </c>
      <c r="C5" s="87" t="s">
        <v>205</v>
      </c>
      <c r="D5" s="86"/>
      <c r="E5" s="87"/>
      <c r="F5" s="87"/>
      <c r="G5" s="87"/>
      <c r="H5" s="88"/>
      <c r="I5" s="137"/>
      <c r="J5" s="88"/>
    </row>
    <row r="6" spans="1:10" ht="15.75" customHeight="1">
      <c r="A6" s="112" t="s">
        <v>7799</v>
      </c>
      <c r="B6" s="111" t="s">
        <v>300</v>
      </c>
      <c r="C6" s="87" t="s">
        <v>205</v>
      </c>
      <c r="D6" s="86"/>
      <c r="E6" s="107"/>
      <c r="F6" s="87"/>
      <c r="G6" s="87"/>
      <c r="H6" s="88"/>
      <c r="I6" s="88"/>
      <c r="J6" s="88"/>
    </row>
    <row r="7" spans="1:10" ht="15.75" customHeight="1">
      <c r="A7" s="112" t="s">
        <v>7800</v>
      </c>
      <c r="B7" s="111" t="s">
        <v>300</v>
      </c>
      <c r="C7" s="87" t="s">
        <v>205</v>
      </c>
      <c r="D7" s="86"/>
      <c r="E7" s="97"/>
      <c r="F7" s="87"/>
      <c r="G7" s="87"/>
      <c r="H7" s="88"/>
      <c r="I7" s="88"/>
    </row>
    <row r="8" spans="1:10" ht="15.75" customHeight="1">
      <c r="A8" s="112" t="s">
        <v>7801</v>
      </c>
      <c r="B8" s="111" t="s">
        <v>266</v>
      </c>
      <c r="C8" s="87" t="s">
        <v>205</v>
      </c>
      <c r="D8" s="86"/>
      <c r="E8" s="107"/>
      <c r="F8" s="87"/>
      <c r="G8" s="87"/>
      <c r="H8" s="88"/>
      <c r="I8" s="88"/>
    </row>
    <row r="9" spans="1:10" ht="15.75" customHeight="1">
      <c r="A9" s="112" t="s">
        <v>7802</v>
      </c>
      <c r="B9" s="111" t="s">
        <v>253</v>
      </c>
      <c r="C9" s="87" t="s">
        <v>205</v>
      </c>
      <c r="D9" s="89"/>
      <c r="E9" s="97"/>
      <c r="F9" s="87"/>
      <c r="G9" s="87"/>
      <c r="H9" s="88"/>
      <c r="I9" s="88"/>
    </row>
    <row r="10" spans="1:10" ht="15.75" customHeight="1">
      <c r="A10" s="112" t="s">
        <v>7803</v>
      </c>
      <c r="B10" s="111" t="s">
        <v>353</v>
      </c>
      <c r="C10" s="87" t="s">
        <v>205</v>
      </c>
      <c r="D10" s="86"/>
      <c r="E10" s="107"/>
      <c r="F10" s="87"/>
      <c r="G10" s="87"/>
      <c r="H10" s="88"/>
      <c r="I10" s="88"/>
    </row>
    <row r="11" spans="1:10" ht="15.75" customHeight="1">
      <c r="A11" s="112" t="s">
        <v>7804</v>
      </c>
      <c r="B11" s="111" t="s">
        <v>339</v>
      </c>
      <c r="C11" s="87" t="s">
        <v>205</v>
      </c>
      <c r="D11" s="86"/>
      <c r="E11" s="97"/>
      <c r="F11" s="87"/>
      <c r="G11" s="87"/>
      <c r="H11" s="88"/>
      <c r="I11" s="88"/>
    </row>
    <row r="12" spans="1:10" ht="15.75" customHeight="1">
      <c r="A12" s="112" t="s">
        <v>7805</v>
      </c>
      <c r="B12" s="111" t="s">
        <v>348</v>
      </c>
      <c r="C12" s="87" t="s">
        <v>205</v>
      </c>
      <c r="D12" s="86"/>
      <c r="E12" s="112"/>
      <c r="F12" s="87"/>
      <c r="G12" s="87"/>
      <c r="H12" s="88"/>
      <c r="I12" s="88"/>
    </row>
    <row r="13" spans="1:10" ht="15.75" customHeight="1">
      <c r="A13" s="112" t="s">
        <v>7806</v>
      </c>
      <c r="B13" s="111" t="s">
        <v>325</v>
      </c>
      <c r="C13" s="87" t="s">
        <v>205</v>
      </c>
      <c r="D13" s="86"/>
      <c r="E13" s="97"/>
      <c r="F13" s="87"/>
      <c r="G13" s="87"/>
      <c r="H13" s="88"/>
      <c r="I13" s="88"/>
    </row>
    <row r="14" spans="1:10" ht="15.75" customHeight="1">
      <c r="A14" s="112" t="s">
        <v>7807</v>
      </c>
      <c r="B14" s="111" t="str">
        <f>HYPERLINK("https://bulbapedia.bulbagarden.net/wiki/Shaymin_%E2%99%A2_(Team_Up_10)","Shaymin♦")</f>
        <v>Shaymin♦</v>
      </c>
      <c r="C14" s="87" t="s">
        <v>205</v>
      </c>
      <c r="D14" s="86"/>
      <c r="E14" s="97"/>
      <c r="F14" s="87"/>
      <c r="G14" s="87"/>
      <c r="H14" s="88"/>
      <c r="I14" s="88"/>
    </row>
    <row r="15" spans="1:10" ht="15.75" customHeight="1">
      <c r="A15" s="112" t="s">
        <v>7808</v>
      </c>
      <c r="B15" s="111" t="s">
        <v>278</v>
      </c>
      <c r="C15" s="87" t="s">
        <v>199</v>
      </c>
      <c r="D15" s="86"/>
      <c r="E15" s="107"/>
      <c r="F15" s="87"/>
      <c r="G15" s="87"/>
      <c r="H15" s="88"/>
      <c r="I15" s="88"/>
    </row>
    <row r="16" spans="1:10" ht="15.75" customHeight="1">
      <c r="A16" s="112" t="s">
        <v>7809</v>
      </c>
      <c r="B16" s="111" t="s">
        <v>278</v>
      </c>
      <c r="C16" s="87" t="s">
        <v>199</v>
      </c>
      <c r="D16" s="86"/>
      <c r="E16" s="107"/>
      <c r="F16" s="87"/>
      <c r="G16" s="87"/>
      <c r="H16" s="88"/>
      <c r="I16" s="88"/>
    </row>
    <row r="17" spans="1:9" ht="15.75" customHeight="1">
      <c r="A17" s="112" t="s">
        <v>7810</v>
      </c>
      <c r="B17" s="111" t="s">
        <v>258</v>
      </c>
      <c r="C17" s="87" t="s">
        <v>199</v>
      </c>
      <c r="D17" s="86"/>
      <c r="E17" s="107"/>
      <c r="F17" s="87"/>
      <c r="G17" s="87"/>
      <c r="H17" s="88"/>
      <c r="I17" s="88"/>
    </row>
    <row r="18" spans="1:9" ht="15.75" customHeight="1">
      <c r="A18" s="112" t="s">
        <v>7811</v>
      </c>
      <c r="B18" s="111" t="s">
        <v>243</v>
      </c>
      <c r="C18" s="87" t="s">
        <v>199</v>
      </c>
      <c r="D18" s="86"/>
      <c r="E18" s="107"/>
      <c r="F18" s="87"/>
      <c r="G18" s="87"/>
      <c r="H18" s="88"/>
      <c r="I18" s="88"/>
    </row>
    <row r="19" spans="1:9" ht="15.75" customHeight="1">
      <c r="A19" s="112" t="s">
        <v>7812</v>
      </c>
      <c r="B19" s="111" t="s">
        <v>299</v>
      </c>
      <c r="C19" s="87" t="s">
        <v>199</v>
      </c>
      <c r="D19" s="86"/>
      <c r="E19" s="112"/>
      <c r="F19" s="87"/>
      <c r="G19" s="87"/>
      <c r="H19" s="88"/>
      <c r="I19" s="88"/>
    </row>
    <row r="20" spans="1:9" ht="15.75" customHeight="1">
      <c r="A20" s="112" t="s">
        <v>7813</v>
      </c>
      <c r="B20" s="111" t="s">
        <v>249</v>
      </c>
      <c r="C20" s="87" t="s">
        <v>199</v>
      </c>
      <c r="D20" s="86"/>
      <c r="E20" s="97"/>
      <c r="F20" s="87"/>
      <c r="G20" s="87"/>
      <c r="H20" s="88"/>
      <c r="I20" s="88"/>
    </row>
    <row r="21" spans="1:9" ht="15.75" customHeight="1">
      <c r="A21" s="112" t="s">
        <v>7814</v>
      </c>
      <c r="B21" s="111" t="s">
        <v>291</v>
      </c>
      <c r="C21" s="87" t="s">
        <v>199</v>
      </c>
      <c r="D21" s="86"/>
      <c r="E21" s="107"/>
      <c r="F21" s="89"/>
      <c r="G21" s="87"/>
      <c r="H21" s="88"/>
      <c r="I21" s="88"/>
    </row>
    <row r="22" spans="1:9" ht="15.75" customHeight="1">
      <c r="A22" s="112" t="s">
        <v>7815</v>
      </c>
      <c r="B22" s="111" t="s">
        <v>235</v>
      </c>
      <c r="C22" s="87" t="s">
        <v>199</v>
      </c>
      <c r="D22" s="86"/>
      <c r="E22" s="107"/>
      <c r="F22" s="87"/>
      <c r="G22" s="87"/>
      <c r="H22" s="88"/>
      <c r="I22" s="88"/>
    </row>
    <row r="23" spans="1:9" ht="15.75" customHeight="1">
      <c r="A23" s="112" t="s">
        <v>7816</v>
      </c>
      <c r="B23" s="111" t="s">
        <v>209</v>
      </c>
      <c r="C23" s="87" t="s">
        <v>199</v>
      </c>
      <c r="D23" s="89"/>
      <c r="E23" s="112"/>
      <c r="F23" s="87"/>
      <c r="G23" s="87"/>
      <c r="H23" s="88"/>
      <c r="I23" s="88"/>
    </row>
    <row r="24" spans="1:9" ht="15.75" customHeight="1">
      <c r="A24" s="112" t="s">
        <v>7817</v>
      </c>
      <c r="B24" s="111" t="s">
        <v>6189</v>
      </c>
      <c r="C24" s="87" t="s">
        <v>199</v>
      </c>
      <c r="D24" s="86"/>
      <c r="E24" s="97"/>
      <c r="F24" s="89"/>
      <c r="G24" s="87"/>
      <c r="H24" s="88"/>
      <c r="I24" s="88"/>
    </row>
    <row r="25" spans="1:9" ht="15.75" customHeight="1">
      <c r="A25" s="112" t="s">
        <v>7818</v>
      </c>
      <c r="B25" s="111" t="s">
        <v>6472</v>
      </c>
      <c r="C25" s="87" t="s">
        <v>199</v>
      </c>
      <c r="D25" s="86"/>
      <c r="E25" s="107"/>
      <c r="F25" s="86"/>
      <c r="G25" s="87"/>
      <c r="H25" s="88"/>
      <c r="I25" s="137"/>
    </row>
    <row r="26" spans="1:9" ht="15.75" customHeight="1">
      <c r="A26" s="112" t="s">
        <v>7819</v>
      </c>
      <c r="B26" s="111" t="s">
        <v>294</v>
      </c>
      <c r="C26" s="87" t="s">
        <v>208</v>
      </c>
      <c r="D26" s="86"/>
      <c r="E26" s="112"/>
      <c r="F26" s="89"/>
      <c r="G26" s="87"/>
      <c r="H26" s="88"/>
      <c r="I26" s="88"/>
    </row>
    <row r="27" spans="1:9" ht="15.75" customHeight="1">
      <c r="A27" s="112" t="s">
        <v>7820</v>
      </c>
      <c r="B27" s="111" t="s">
        <v>294</v>
      </c>
      <c r="C27" s="87" t="s">
        <v>208</v>
      </c>
      <c r="D27" s="86"/>
      <c r="E27" s="107"/>
      <c r="F27" s="87"/>
      <c r="G27" s="87"/>
      <c r="H27" s="88"/>
      <c r="I27" s="88"/>
    </row>
    <row r="28" spans="1:9" ht="15.75" customHeight="1">
      <c r="A28" s="112" t="s">
        <v>7821</v>
      </c>
      <c r="B28" s="111" t="s">
        <v>274</v>
      </c>
      <c r="C28" s="87" t="s">
        <v>208</v>
      </c>
      <c r="D28" s="86"/>
      <c r="E28" s="107"/>
      <c r="F28" s="87"/>
      <c r="G28" s="87"/>
      <c r="H28" s="88"/>
      <c r="I28" s="88"/>
    </row>
    <row r="29" spans="1:9" ht="15.75" customHeight="1">
      <c r="A29" s="112" t="s">
        <v>7822</v>
      </c>
      <c r="B29" s="111" t="s">
        <v>240</v>
      </c>
      <c r="C29" s="87" t="s">
        <v>208</v>
      </c>
      <c r="D29" s="86"/>
      <c r="E29" s="107"/>
      <c r="F29" s="87"/>
      <c r="G29" s="87"/>
      <c r="H29" s="88"/>
      <c r="I29" s="88"/>
    </row>
    <row r="30" spans="1:9" ht="15.75" customHeight="1">
      <c r="A30" s="112" t="s">
        <v>7823</v>
      </c>
      <c r="B30" s="111" t="s">
        <v>207</v>
      </c>
      <c r="C30" s="87" t="s">
        <v>208</v>
      </c>
      <c r="D30" s="86"/>
      <c r="E30" s="107"/>
      <c r="F30" s="87"/>
      <c r="G30" s="87"/>
      <c r="H30" s="88"/>
      <c r="I30" s="88"/>
    </row>
    <row r="31" spans="1:9" ht="15.75" customHeight="1">
      <c r="A31" s="112" t="s">
        <v>7824</v>
      </c>
      <c r="B31" s="111" t="s">
        <v>369</v>
      </c>
      <c r="C31" s="87" t="s">
        <v>208</v>
      </c>
      <c r="D31" s="86"/>
      <c r="E31" s="107"/>
      <c r="F31" s="87"/>
      <c r="G31" s="87"/>
      <c r="H31" s="88"/>
      <c r="I31" s="88"/>
    </row>
    <row r="32" spans="1:9" ht="15.75" customHeight="1">
      <c r="A32" s="112" t="s">
        <v>7825</v>
      </c>
      <c r="B32" s="111" t="s">
        <v>296</v>
      </c>
      <c r="C32" s="87" t="s">
        <v>208</v>
      </c>
      <c r="D32" s="86"/>
      <c r="E32" s="107"/>
      <c r="F32" s="87"/>
      <c r="G32" s="87"/>
      <c r="H32" s="88"/>
      <c r="I32" s="88"/>
    </row>
    <row r="33" spans="1:9" ht="15.75" customHeight="1">
      <c r="A33" s="112" t="s">
        <v>7826</v>
      </c>
      <c r="B33" s="111" t="s">
        <v>268</v>
      </c>
      <c r="C33" s="87" t="s">
        <v>208</v>
      </c>
      <c r="D33" s="86"/>
      <c r="E33" s="97"/>
      <c r="F33" s="87"/>
      <c r="G33" s="87"/>
      <c r="H33" s="88"/>
      <c r="I33" s="88"/>
    </row>
    <row r="34" spans="1:9" ht="15.75" customHeight="1">
      <c r="A34" s="112" t="s">
        <v>7827</v>
      </c>
      <c r="B34" s="111" t="s">
        <v>245</v>
      </c>
      <c r="C34" s="87" t="s">
        <v>208</v>
      </c>
      <c r="D34" s="86"/>
      <c r="E34" s="107"/>
      <c r="F34" s="86"/>
      <c r="G34" s="87"/>
      <c r="H34" s="88"/>
      <c r="I34" s="88"/>
    </row>
    <row r="35" spans="1:9" ht="15.75" customHeight="1">
      <c r="A35" s="112" t="s">
        <v>7828</v>
      </c>
      <c r="B35" s="111" t="s">
        <v>364</v>
      </c>
      <c r="C35" s="87" t="s">
        <v>208</v>
      </c>
      <c r="D35" s="86"/>
      <c r="E35" s="112"/>
      <c r="F35" s="87"/>
      <c r="G35" s="87"/>
      <c r="H35" s="88"/>
      <c r="I35" s="88"/>
    </row>
    <row r="36" spans="1:9" ht="15.75" customHeight="1">
      <c r="A36" s="112" t="s">
        <v>7829</v>
      </c>
      <c r="B36" s="111" t="s">
        <v>210</v>
      </c>
      <c r="C36" s="87" t="s">
        <v>208</v>
      </c>
      <c r="D36" s="86"/>
      <c r="E36" s="97"/>
      <c r="F36" s="86"/>
      <c r="G36" s="87"/>
      <c r="H36" s="88"/>
      <c r="I36" s="88"/>
    </row>
    <row r="37" spans="1:9" ht="15.75" customHeight="1">
      <c r="A37" s="112" t="s">
        <v>7830</v>
      </c>
      <c r="B37" s="111" t="str">
        <f>HYPERLINK("https://bulbapedia.bulbagarden.net/wiki/Pikachu_%26_Zekrom-GX_(Team_Up_33)","Pikachu &amp; ZekromGX")</f>
        <v>Pikachu &amp; ZekromGX</v>
      </c>
      <c r="C37" s="87" t="s">
        <v>192</v>
      </c>
      <c r="D37" s="86"/>
      <c r="E37" s="97"/>
      <c r="F37" s="87"/>
      <c r="G37" s="87"/>
      <c r="H37" s="88"/>
      <c r="I37" s="88"/>
    </row>
    <row r="38" spans="1:9" ht="15.75" customHeight="1">
      <c r="A38" s="112" t="s">
        <v>7831</v>
      </c>
      <c r="B38" s="111" t="s">
        <v>6574</v>
      </c>
      <c r="C38" s="87" t="s">
        <v>192</v>
      </c>
      <c r="D38" s="86"/>
      <c r="E38" s="107"/>
      <c r="F38" s="87"/>
      <c r="G38" s="87"/>
      <c r="H38" s="88"/>
      <c r="I38" s="88"/>
    </row>
    <row r="39" spans="1:9" ht="15.75" customHeight="1">
      <c r="A39" s="112" t="s">
        <v>7832</v>
      </c>
      <c r="B39" s="111" t="s">
        <v>6574</v>
      </c>
      <c r="C39" s="87" t="s">
        <v>192</v>
      </c>
      <c r="D39" s="86"/>
      <c r="E39" s="107"/>
      <c r="F39" s="87"/>
      <c r="G39" s="87"/>
      <c r="H39" s="88"/>
      <c r="I39" s="88"/>
    </row>
    <row r="40" spans="1:9" ht="15.75" customHeight="1">
      <c r="A40" s="112" t="s">
        <v>7833</v>
      </c>
      <c r="B40" s="111" t="s">
        <v>6576</v>
      </c>
      <c r="C40" s="87" t="s">
        <v>192</v>
      </c>
      <c r="D40" s="86"/>
      <c r="E40" s="107"/>
      <c r="F40" s="87"/>
      <c r="G40" s="87"/>
      <c r="H40" s="88"/>
      <c r="I40" s="88"/>
    </row>
    <row r="41" spans="1:9" ht="15.75" customHeight="1">
      <c r="A41" s="112" t="s">
        <v>7834</v>
      </c>
      <c r="B41" s="111" t="s">
        <v>6578</v>
      </c>
      <c r="C41" s="87" t="s">
        <v>192</v>
      </c>
      <c r="D41" s="86"/>
      <c r="E41" s="97"/>
      <c r="F41" s="87"/>
      <c r="G41" s="87"/>
      <c r="H41" s="88"/>
      <c r="I41" s="88"/>
    </row>
    <row r="42" spans="1:9" ht="15.75" customHeight="1">
      <c r="A42" s="112" t="s">
        <v>7835</v>
      </c>
      <c r="B42" s="111" t="s">
        <v>298</v>
      </c>
      <c r="C42" s="87" t="s">
        <v>192</v>
      </c>
      <c r="D42" s="86"/>
      <c r="E42" s="107"/>
      <c r="F42" s="87"/>
      <c r="G42" s="87"/>
      <c r="H42" s="88"/>
      <c r="I42" s="88"/>
    </row>
    <row r="43" spans="1:9" ht="15.75" customHeight="1">
      <c r="A43" s="112" t="s">
        <v>7836</v>
      </c>
      <c r="B43" s="111" t="s">
        <v>256</v>
      </c>
      <c r="C43" s="87" t="s">
        <v>192</v>
      </c>
      <c r="D43" s="86"/>
      <c r="E43" s="107"/>
      <c r="F43" s="86"/>
      <c r="G43" s="87"/>
      <c r="H43" s="88"/>
      <c r="I43" s="88"/>
    </row>
    <row r="44" spans="1:9" ht="15.75" customHeight="1">
      <c r="A44" s="112" t="s">
        <v>7837</v>
      </c>
      <c r="B44" s="111" t="s">
        <v>211</v>
      </c>
      <c r="C44" s="87" t="s">
        <v>192</v>
      </c>
      <c r="D44" s="86"/>
      <c r="E44" s="97"/>
      <c r="F44" s="86"/>
      <c r="G44" s="87"/>
      <c r="H44" s="88"/>
      <c r="I44" s="88"/>
    </row>
    <row r="45" spans="1:9" ht="15.75" customHeight="1">
      <c r="A45" s="112" t="s">
        <v>7838</v>
      </c>
      <c r="B45" s="111" t="s">
        <v>878</v>
      </c>
      <c r="C45" s="87" t="s">
        <v>192</v>
      </c>
      <c r="D45" s="86"/>
      <c r="E45" s="107"/>
      <c r="F45" s="86"/>
      <c r="G45" s="87"/>
      <c r="H45" s="88"/>
      <c r="I45" s="137"/>
    </row>
    <row r="46" spans="1:9" ht="15.75" customHeight="1">
      <c r="A46" s="112" t="s">
        <v>7839</v>
      </c>
      <c r="B46" s="111" t="s">
        <v>824</v>
      </c>
      <c r="C46" s="87" t="s">
        <v>192</v>
      </c>
      <c r="D46" s="86"/>
      <c r="E46" s="97"/>
      <c r="F46" s="87"/>
      <c r="G46" s="87"/>
      <c r="H46" s="88"/>
      <c r="I46" s="88"/>
    </row>
    <row r="47" spans="1:9" ht="15.75" customHeight="1">
      <c r="A47" s="112" t="s">
        <v>7840</v>
      </c>
      <c r="B47" s="111" t="str">
        <f>HYPERLINK("https://bulbapedia.bulbagarden.net/wiki/Ampharos-GX_(Team_Up_43)","AmpharosGX")</f>
        <v>AmpharosGX</v>
      </c>
      <c r="C47" s="87" t="s">
        <v>192</v>
      </c>
      <c r="D47" s="86"/>
      <c r="E47" s="112"/>
      <c r="F47" s="86"/>
      <c r="G47" s="87"/>
      <c r="H47" s="88"/>
      <c r="I47" s="137"/>
    </row>
    <row r="48" spans="1:9" ht="15.75" customHeight="1">
      <c r="A48" s="112" t="s">
        <v>7841</v>
      </c>
      <c r="B48" s="111" t="s">
        <v>4033</v>
      </c>
      <c r="C48" s="87" t="s">
        <v>192</v>
      </c>
      <c r="D48" s="86"/>
      <c r="E48" s="107"/>
      <c r="F48" s="87"/>
      <c r="G48" s="87"/>
      <c r="H48" s="88"/>
      <c r="I48" s="88"/>
    </row>
    <row r="49" spans="1:9" ht="15.75" customHeight="1">
      <c r="A49" s="112" t="s">
        <v>7842</v>
      </c>
      <c r="B49" s="111" t="s">
        <v>4071</v>
      </c>
      <c r="C49" s="87" t="s">
        <v>192</v>
      </c>
      <c r="D49" s="86"/>
      <c r="E49" s="107"/>
      <c r="F49" s="87"/>
      <c r="G49" s="87"/>
      <c r="H49" s="88"/>
      <c r="I49" s="88"/>
    </row>
    <row r="50" spans="1:9" ht="15.75" customHeight="1">
      <c r="A50" s="112" t="s">
        <v>7843</v>
      </c>
      <c r="B50" s="111" t="s">
        <v>4072</v>
      </c>
      <c r="C50" s="87" t="s">
        <v>192</v>
      </c>
      <c r="D50" s="86"/>
      <c r="E50" s="97"/>
      <c r="F50" s="87"/>
      <c r="G50" s="87"/>
      <c r="H50" s="88"/>
      <c r="I50" s="88"/>
    </row>
    <row r="51" spans="1:9" ht="15.75" customHeight="1">
      <c r="A51" s="112" t="s">
        <v>7844</v>
      </c>
      <c r="B51" s="111" t="s">
        <v>4151</v>
      </c>
      <c r="C51" s="87" t="s">
        <v>192</v>
      </c>
      <c r="D51" s="86"/>
      <c r="E51" s="97"/>
      <c r="F51" s="87"/>
      <c r="G51" s="87"/>
      <c r="H51" s="88"/>
      <c r="I51" s="88"/>
    </row>
    <row r="52" spans="1:9" ht="15.75" customHeight="1">
      <c r="A52" s="112" t="s">
        <v>7845</v>
      </c>
      <c r="B52" s="111" t="s">
        <v>4152</v>
      </c>
      <c r="C52" s="87" t="s">
        <v>192</v>
      </c>
      <c r="D52" s="86"/>
      <c r="E52" s="112"/>
      <c r="F52" s="87"/>
      <c r="G52" s="87"/>
      <c r="H52" s="88"/>
      <c r="I52" s="88"/>
    </row>
    <row r="53" spans="1:9" ht="13">
      <c r="A53" s="112" t="s">
        <v>7846</v>
      </c>
      <c r="B53" s="111" t="s">
        <v>5093</v>
      </c>
      <c r="C53" s="87" t="s">
        <v>192</v>
      </c>
      <c r="D53" s="86"/>
      <c r="E53" s="112"/>
      <c r="F53" s="87"/>
      <c r="G53" s="87"/>
      <c r="H53" s="88"/>
      <c r="I53" s="88"/>
    </row>
    <row r="54" spans="1:9" ht="13">
      <c r="A54" s="112" t="s">
        <v>7847</v>
      </c>
      <c r="B54" s="111" t="s">
        <v>4797</v>
      </c>
      <c r="C54" s="87" t="s">
        <v>192</v>
      </c>
      <c r="D54" s="86"/>
      <c r="E54" s="112"/>
      <c r="F54" s="87"/>
      <c r="G54" s="87"/>
      <c r="H54" s="88"/>
      <c r="I54" s="88"/>
    </row>
    <row r="55" spans="1:9" ht="13">
      <c r="A55" s="112" t="s">
        <v>7848</v>
      </c>
      <c r="B55" s="111" t="str">
        <f>HYPERLINK("https://bulbapedia.bulbagarden.net/wiki/Tapu_Koko_%E2%99%A2_(Team_Up_51)","Tapu Koko♦")</f>
        <v>Tapu Koko♦</v>
      </c>
      <c r="C55" s="87" t="s">
        <v>192</v>
      </c>
      <c r="D55" s="86"/>
      <c r="E55" s="97"/>
      <c r="F55" s="86"/>
      <c r="G55" s="87"/>
      <c r="H55" s="88"/>
      <c r="I55" s="137"/>
    </row>
    <row r="56" spans="1:9" ht="13">
      <c r="A56" s="112" t="s">
        <v>7849</v>
      </c>
      <c r="B56" s="111" t="s">
        <v>7850</v>
      </c>
      <c r="C56" s="87" t="s">
        <v>192</v>
      </c>
      <c r="D56" s="86"/>
      <c r="E56" s="107"/>
      <c r="F56" s="86"/>
      <c r="G56" s="87"/>
      <c r="H56" s="88"/>
      <c r="I56" s="88"/>
    </row>
    <row r="57" spans="1:9" ht="13">
      <c r="A57" s="112" t="s">
        <v>7851</v>
      </c>
      <c r="B57" s="111" t="str">
        <f>HYPERLINK("https://bulbapedia.bulbagarden.net/wiki/Gengar_%26_Mimikyu-GX_(Team_Up_53)","Gengar &amp; MimikyuGX")</f>
        <v>Gengar &amp; MimikyuGX</v>
      </c>
      <c r="C57" s="87" t="s">
        <v>195</v>
      </c>
      <c r="D57" s="89"/>
      <c r="E57" s="112"/>
      <c r="F57" s="87"/>
      <c r="G57" s="87"/>
      <c r="H57" s="88"/>
      <c r="I57" s="88"/>
    </row>
    <row r="58" spans="1:9" ht="13">
      <c r="A58" s="112" t="s">
        <v>7852</v>
      </c>
      <c r="B58" s="111" t="s">
        <v>351</v>
      </c>
      <c r="C58" s="87" t="s">
        <v>195</v>
      </c>
      <c r="D58" s="86"/>
      <c r="E58" s="97"/>
      <c r="F58" s="87"/>
      <c r="G58" s="87"/>
      <c r="H58" s="88"/>
      <c r="I58" s="88"/>
    </row>
    <row r="59" spans="1:9" ht="13">
      <c r="A59" s="112" t="s">
        <v>7853</v>
      </c>
      <c r="B59" s="111" t="s">
        <v>338</v>
      </c>
      <c r="C59" s="87" t="s">
        <v>195</v>
      </c>
      <c r="D59" s="86"/>
      <c r="E59" s="112"/>
      <c r="F59" s="87"/>
      <c r="G59" s="87"/>
      <c r="H59" s="88"/>
      <c r="I59" s="88"/>
    </row>
    <row r="60" spans="1:9" ht="13">
      <c r="A60" s="112" t="s">
        <v>7854</v>
      </c>
      <c r="B60" s="111" t="s">
        <v>323</v>
      </c>
      <c r="C60" s="87" t="s">
        <v>195</v>
      </c>
      <c r="D60" s="86"/>
      <c r="E60" s="107"/>
      <c r="F60" s="87"/>
      <c r="G60" s="87"/>
      <c r="H60" s="88"/>
      <c r="I60" s="88"/>
    </row>
    <row r="61" spans="1:9" ht="13">
      <c r="A61" s="112" t="s">
        <v>7855</v>
      </c>
      <c r="B61" s="111" t="s">
        <v>287</v>
      </c>
      <c r="C61" s="87" t="s">
        <v>195</v>
      </c>
      <c r="D61" s="86"/>
      <c r="E61" s="97"/>
      <c r="F61" s="87"/>
      <c r="G61" s="87"/>
      <c r="H61" s="88"/>
      <c r="I61" s="88"/>
    </row>
    <row r="62" spans="1:9" ht="13">
      <c r="A62" s="112" t="s">
        <v>7856</v>
      </c>
      <c r="B62" s="111" t="s">
        <v>269</v>
      </c>
      <c r="C62" s="87" t="s">
        <v>195</v>
      </c>
      <c r="D62" s="86"/>
      <c r="E62" s="97"/>
      <c r="F62" s="87"/>
      <c r="G62" s="87"/>
      <c r="H62" s="88"/>
      <c r="I62" s="88"/>
    </row>
    <row r="63" spans="1:9" ht="13">
      <c r="A63" s="112" t="s">
        <v>7857</v>
      </c>
      <c r="B63" s="111" t="s">
        <v>248</v>
      </c>
      <c r="C63" s="87" t="s">
        <v>195</v>
      </c>
      <c r="D63" s="86"/>
      <c r="E63" s="112"/>
      <c r="F63" s="87"/>
      <c r="G63" s="87"/>
      <c r="H63" s="88"/>
      <c r="I63" s="88"/>
    </row>
    <row r="64" spans="1:9" ht="13">
      <c r="A64" s="112" t="s">
        <v>7858</v>
      </c>
      <c r="B64" s="111" t="s">
        <v>388</v>
      </c>
      <c r="C64" s="87" t="s">
        <v>195</v>
      </c>
      <c r="D64" s="86"/>
      <c r="E64" s="107"/>
      <c r="F64" s="87"/>
      <c r="G64" s="87"/>
      <c r="H64" s="88"/>
      <c r="I64" s="88"/>
    </row>
    <row r="65" spans="1:9" ht="13">
      <c r="A65" s="112" t="s">
        <v>7859</v>
      </c>
      <c r="B65" s="111" t="s">
        <v>377</v>
      </c>
      <c r="C65" s="87" t="s">
        <v>195</v>
      </c>
      <c r="D65" s="86"/>
      <c r="E65" s="107"/>
      <c r="F65" s="87"/>
      <c r="G65" s="87"/>
      <c r="H65" s="88"/>
      <c r="I65" s="88"/>
    </row>
    <row r="66" spans="1:9" ht="13">
      <c r="A66" s="112" t="s">
        <v>7860</v>
      </c>
      <c r="B66" s="111" t="s">
        <v>381</v>
      </c>
      <c r="C66" s="87" t="s">
        <v>195</v>
      </c>
      <c r="D66" s="86"/>
      <c r="E66" s="107"/>
      <c r="F66" s="87"/>
      <c r="G66" s="87"/>
      <c r="H66" s="88"/>
      <c r="I66" s="88"/>
    </row>
    <row r="67" spans="1:9" ht="13">
      <c r="A67" s="112" t="s">
        <v>7861</v>
      </c>
      <c r="B67" s="111" t="s">
        <v>365</v>
      </c>
      <c r="C67" s="87" t="s">
        <v>195</v>
      </c>
      <c r="D67" s="86"/>
      <c r="E67" s="107"/>
      <c r="F67" s="87"/>
      <c r="G67" s="87"/>
      <c r="H67" s="88"/>
      <c r="I67" s="88"/>
    </row>
    <row r="68" spans="1:9" ht="13">
      <c r="A68" s="112" t="s">
        <v>7862</v>
      </c>
      <c r="B68" s="111" t="s">
        <v>6865</v>
      </c>
      <c r="C68" s="87" t="s">
        <v>195</v>
      </c>
      <c r="D68" s="86"/>
      <c r="E68" s="107"/>
      <c r="F68" s="87"/>
      <c r="G68" s="87"/>
      <c r="H68" s="88"/>
      <c r="I68" s="88"/>
    </row>
    <row r="69" spans="1:9" ht="13">
      <c r="A69" s="112" t="s">
        <v>7863</v>
      </c>
      <c r="B69" s="111" t="s">
        <v>295</v>
      </c>
      <c r="C69" s="87" t="s">
        <v>195</v>
      </c>
      <c r="D69" s="86"/>
      <c r="E69" s="107"/>
      <c r="F69" s="87"/>
      <c r="G69" s="87"/>
      <c r="H69" s="88"/>
      <c r="I69" s="88"/>
    </row>
    <row r="70" spans="1:9" ht="13">
      <c r="A70" s="112" t="s">
        <v>7864</v>
      </c>
      <c r="B70" s="111" t="s">
        <v>322</v>
      </c>
      <c r="C70" s="87" t="s">
        <v>195</v>
      </c>
      <c r="D70" s="86"/>
      <c r="E70" s="112"/>
      <c r="F70" s="86"/>
      <c r="G70" s="87"/>
      <c r="H70" s="88"/>
      <c r="I70" s="137"/>
    </row>
    <row r="71" spans="1:9" ht="13">
      <c r="A71" s="112" t="s">
        <v>7865</v>
      </c>
      <c r="B71" s="111" t="str">
        <f>HYPERLINK("https://bulbapedia.bulbagarden.net/wiki/Mr._Mime-GX_(Team_Up_67)","Mr. MimeGX")</f>
        <v>Mr. MimeGX</v>
      </c>
      <c r="C71" s="87" t="s">
        <v>195</v>
      </c>
      <c r="D71" s="86"/>
      <c r="E71" s="112"/>
      <c r="F71" s="87"/>
      <c r="G71" s="87"/>
      <c r="H71" s="88"/>
      <c r="I71" s="88"/>
    </row>
    <row r="72" spans="1:9" ht="13">
      <c r="A72" s="112" t="s">
        <v>7866</v>
      </c>
      <c r="B72" s="111" t="s">
        <v>265</v>
      </c>
      <c r="C72" s="87" t="s">
        <v>195</v>
      </c>
      <c r="D72" s="86"/>
      <c r="E72" s="107"/>
      <c r="F72" s="87"/>
      <c r="G72" s="87"/>
      <c r="H72" s="88"/>
      <c r="I72" s="88"/>
    </row>
    <row r="73" spans="1:9" ht="13">
      <c r="A73" s="112" t="s">
        <v>7867</v>
      </c>
      <c r="B73" s="111" t="s">
        <v>6487</v>
      </c>
      <c r="C73" s="87" t="s">
        <v>195</v>
      </c>
      <c r="D73" s="86"/>
      <c r="E73" s="97"/>
      <c r="F73" s="87"/>
      <c r="G73" s="87"/>
      <c r="H73" s="88"/>
      <c r="I73" s="88"/>
    </row>
    <row r="74" spans="1:9" ht="13">
      <c r="A74" s="112" t="s">
        <v>7868</v>
      </c>
      <c r="B74" s="111" t="s">
        <v>6488</v>
      </c>
      <c r="C74" s="87" t="s">
        <v>195</v>
      </c>
      <c r="D74" s="86"/>
      <c r="E74" s="112"/>
      <c r="F74" s="87"/>
      <c r="G74" s="87"/>
      <c r="H74" s="88"/>
      <c r="I74" s="88"/>
    </row>
    <row r="75" spans="1:9" ht="13">
      <c r="A75" s="112" t="s">
        <v>7869</v>
      </c>
      <c r="B75" s="111" t="s">
        <v>350</v>
      </c>
      <c r="C75" s="87" t="s">
        <v>225</v>
      </c>
      <c r="D75" s="86"/>
      <c r="E75" s="107"/>
      <c r="F75" s="87"/>
      <c r="G75" s="87"/>
      <c r="H75" s="88"/>
      <c r="I75" s="88"/>
    </row>
    <row r="76" spans="1:9" ht="13">
      <c r="A76" s="112" t="s">
        <v>7870</v>
      </c>
      <c r="B76" s="111" t="s">
        <v>341</v>
      </c>
      <c r="C76" s="87" t="s">
        <v>225</v>
      </c>
      <c r="D76" s="86"/>
      <c r="E76" s="97"/>
      <c r="F76" s="87"/>
      <c r="G76" s="87"/>
      <c r="H76" s="88"/>
      <c r="I76" s="88"/>
    </row>
    <row r="77" spans="1:9" ht="13">
      <c r="A77" s="112" t="s">
        <v>7871</v>
      </c>
      <c r="B77" s="111" t="s">
        <v>361</v>
      </c>
      <c r="C77" s="87" t="s">
        <v>225</v>
      </c>
      <c r="D77" s="86"/>
      <c r="E77" s="107"/>
      <c r="F77" s="87"/>
      <c r="G77" s="87"/>
      <c r="H77" s="88"/>
      <c r="I77" s="88"/>
    </row>
    <row r="78" spans="1:9" ht="13">
      <c r="A78" s="112" t="s">
        <v>7872</v>
      </c>
      <c r="B78" s="111" t="s">
        <v>246</v>
      </c>
      <c r="C78" s="87" t="s">
        <v>225</v>
      </c>
      <c r="D78" s="86"/>
      <c r="E78" s="107"/>
      <c r="F78" s="87"/>
      <c r="G78" s="87"/>
      <c r="H78" s="88"/>
      <c r="I78" s="88"/>
    </row>
    <row r="79" spans="1:9" ht="13">
      <c r="A79" s="112" t="s">
        <v>7873</v>
      </c>
      <c r="B79" s="111" t="s">
        <v>385</v>
      </c>
      <c r="C79" s="87" t="s">
        <v>225</v>
      </c>
      <c r="D79" s="86"/>
      <c r="E79" s="107"/>
      <c r="F79" s="87"/>
      <c r="G79" s="87"/>
      <c r="H79" s="88"/>
      <c r="I79" s="88"/>
    </row>
    <row r="80" spans="1:9" ht="13">
      <c r="A80" s="112" t="s">
        <v>7874</v>
      </c>
      <c r="B80" s="111" t="s">
        <v>373</v>
      </c>
      <c r="C80" s="87" t="s">
        <v>225</v>
      </c>
      <c r="D80" s="86"/>
      <c r="E80" s="107"/>
      <c r="F80" s="86"/>
      <c r="G80" s="87"/>
      <c r="H80" s="88"/>
      <c r="I80" s="88"/>
    </row>
    <row r="81" spans="1:9" ht="13">
      <c r="A81" s="112" t="s">
        <v>7875</v>
      </c>
      <c r="B81" s="111" t="s">
        <v>383</v>
      </c>
      <c r="C81" s="87" t="s">
        <v>225</v>
      </c>
      <c r="D81" s="86"/>
      <c r="E81" s="112"/>
      <c r="F81" s="87"/>
      <c r="G81" s="87"/>
      <c r="H81" s="88"/>
      <c r="I81" s="88"/>
    </row>
    <row r="82" spans="1:9" ht="13">
      <c r="A82" s="112" t="s">
        <v>7876</v>
      </c>
      <c r="B82" s="111" t="s">
        <v>363</v>
      </c>
      <c r="C82" s="87" t="s">
        <v>225</v>
      </c>
      <c r="D82" s="86"/>
      <c r="E82" s="107"/>
      <c r="F82" s="89"/>
      <c r="G82" s="87"/>
      <c r="H82" s="88"/>
      <c r="I82" s="88"/>
    </row>
    <row r="83" spans="1:9" ht="13">
      <c r="A83" s="112" t="s">
        <v>7877</v>
      </c>
      <c r="B83" s="111" t="s">
        <v>955</v>
      </c>
      <c r="C83" s="87" t="s">
        <v>225</v>
      </c>
      <c r="D83" s="86"/>
      <c r="E83" s="107"/>
      <c r="F83" s="87"/>
      <c r="G83" s="87"/>
      <c r="H83" s="88"/>
      <c r="I83" s="88"/>
    </row>
    <row r="84" spans="1:9" ht="13">
      <c r="A84" s="112" t="s">
        <v>7878</v>
      </c>
      <c r="B84" s="111" t="s">
        <v>948</v>
      </c>
      <c r="C84" s="87" t="s">
        <v>225</v>
      </c>
      <c r="D84" s="86"/>
      <c r="E84" s="112"/>
      <c r="F84" s="87"/>
      <c r="G84" s="87"/>
      <c r="H84" s="88"/>
      <c r="I84" s="88"/>
    </row>
    <row r="85" spans="1:9" ht="13">
      <c r="A85" s="112" t="s">
        <v>7879</v>
      </c>
      <c r="B85" s="111" t="s">
        <v>5121</v>
      </c>
      <c r="C85" s="87" t="s">
        <v>225</v>
      </c>
      <c r="D85" s="86"/>
      <c r="E85" s="107"/>
      <c r="F85" s="87"/>
      <c r="G85" s="87"/>
      <c r="H85" s="88"/>
      <c r="I85" s="88"/>
    </row>
    <row r="86" spans="1:9" ht="13">
      <c r="A86" s="112" t="s">
        <v>7880</v>
      </c>
      <c r="B86" s="111" t="str">
        <f>HYPERLINK("https://bulbapedia.bulbagarden.net/wiki/Lycanroc-GX_(Team_Up_82)","LycanrocGX")</f>
        <v>LycanrocGX</v>
      </c>
      <c r="C86" s="87" t="s">
        <v>225</v>
      </c>
      <c r="D86" s="86"/>
      <c r="E86" s="112"/>
      <c r="F86" s="89"/>
      <c r="G86" s="87"/>
      <c r="H86" s="88"/>
      <c r="I86" s="88"/>
    </row>
    <row r="87" spans="1:9" ht="13">
      <c r="A87" s="112" t="s">
        <v>7881</v>
      </c>
      <c r="B87" s="111" t="s">
        <v>6483</v>
      </c>
      <c r="C87" s="87" t="s">
        <v>808</v>
      </c>
      <c r="D87" s="86"/>
      <c r="E87" s="107"/>
      <c r="F87" s="87"/>
      <c r="G87" s="87"/>
      <c r="H87" s="88"/>
      <c r="I87" s="88"/>
    </row>
    <row r="88" spans="1:9" ht="13">
      <c r="A88" s="112" t="s">
        <v>7882</v>
      </c>
      <c r="B88" s="111" t="s">
        <v>6484</v>
      </c>
      <c r="C88" s="87" t="s">
        <v>808</v>
      </c>
      <c r="D88" s="86"/>
      <c r="E88" s="112"/>
      <c r="F88" s="87"/>
      <c r="G88" s="87"/>
      <c r="H88" s="88"/>
      <c r="I88" s="88"/>
    </row>
    <row r="89" spans="1:9" ht="13">
      <c r="A89" s="112" t="s">
        <v>7883</v>
      </c>
      <c r="B89" s="111" t="s">
        <v>941</v>
      </c>
      <c r="C89" s="87" t="s">
        <v>808</v>
      </c>
      <c r="D89" s="89"/>
      <c r="E89" s="112"/>
      <c r="F89" s="87"/>
      <c r="G89" s="87"/>
      <c r="H89" s="88"/>
      <c r="I89" s="88"/>
    </row>
    <row r="90" spans="1:9" ht="13">
      <c r="A90" s="112" t="s">
        <v>7884</v>
      </c>
      <c r="B90" s="111" t="s">
        <v>1303</v>
      </c>
      <c r="C90" s="87" t="s">
        <v>808</v>
      </c>
      <c r="D90" s="86"/>
      <c r="E90" s="107"/>
      <c r="F90" s="87"/>
      <c r="G90" s="87"/>
      <c r="H90" s="88"/>
      <c r="I90" s="88"/>
    </row>
    <row r="91" spans="1:9" ht="13">
      <c r="A91" s="112" t="s">
        <v>7885</v>
      </c>
      <c r="B91" s="111" t="s">
        <v>1226</v>
      </c>
      <c r="C91" s="87" t="s">
        <v>808</v>
      </c>
      <c r="D91" s="86"/>
      <c r="E91" s="107"/>
      <c r="F91" s="87"/>
      <c r="G91" s="87"/>
      <c r="H91" s="88"/>
      <c r="I91" s="88"/>
    </row>
    <row r="92" spans="1:9" ht="13">
      <c r="A92" s="112" t="s">
        <v>7886</v>
      </c>
      <c r="B92" s="111" t="s">
        <v>1491</v>
      </c>
      <c r="C92" s="87" t="s">
        <v>808</v>
      </c>
      <c r="D92" s="86"/>
      <c r="E92" s="107"/>
      <c r="F92" s="87"/>
      <c r="G92" s="87"/>
      <c r="H92" s="88"/>
      <c r="I92" s="88"/>
    </row>
    <row r="93" spans="1:9" ht="13">
      <c r="A93" s="112" t="s">
        <v>7887</v>
      </c>
      <c r="B93" s="111" t="s">
        <v>3390</v>
      </c>
      <c r="C93" s="87" t="s">
        <v>808</v>
      </c>
      <c r="D93" s="86"/>
      <c r="E93" s="107"/>
      <c r="F93" s="87"/>
      <c r="G93" s="87"/>
      <c r="H93" s="88"/>
      <c r="I93" s="88"/>
    </row>
    <row r="94" spans="1:9" ht="13">
      <c r="A94" s="112" t="s">
        <v>7888</v>
      </c>
      <c r="B94" s="111" t="s">
        <v>4036</v>
      </c>
      <c r="C94" s="87" t="s">
        <v>808</v>
      </c>
      <c r="D94" s="86"/>
      <c r="E94" s="107"/>
      <c r="F94" s="87"/>
      <c r="G94" s="87"/>
      <c r="H94" s="88"/>
      <c r="I94" s="88"/>
    </row>
    <row r="95" spans="1:9" ht="13">
      <c r="A95" s="112" t="s">
        <v>7889</v>
      </c>
      <c r="B95" s="111" t="s">
        <v>4147</v>
      </c>
      <c r="C95" s="87" t="s">
        <v>808</v>
      </c>
      <c r="D95" s="86"/>
      <c r="E95" s="107"/>
      <c r="F95" s="87"/>
      <c r="G95" s="87"/>
      <c r="H95" s="88"/>
      <c r="I95" s="88"/>
    </row>
    <row r="96" spans="1:9" ht="13">
      <c r="A96" s="112" t="s">
        <v>7890</v>
      </c>
      <c r="B96" s="111" t="s">
        <v>4158</v>
      </c>
      <c r="C96" s="87" t="s">
        <v>808</v>
      </c>
      <c r="D96" s="86"/>
      <c r="E96" s="107"/>
      <c r="F96" s="87"/>
      <c r="G96" s="87"/>
      <c r="H96" s="88"/>
      <c r="I96" s="88"/>
    </row>
    <row r="97" spans="1:9" ht="13">
      <c r="A97" s="112" t="s">
        <v>7891</v>
      </c>
      <c r="B97" s="111" t="s">
        <v>4448</v>
      </c>
      <c r="C97" s="87" t="s">
        <v>808</v>
      </c>
      <c r="D97" s="86"/>
      <c r="E97" s="97"/>
      <c r="F97" s="87"/>
      <c r="G97" s="87"/>
      <c r="H97" s="88"/>
      <c r="I97" s="88"/>
    </row>
    <row r="98" spans="1:9" ht="13">
      <c r="A98" s="112" t="s">
        <v>7892</v>
      </c>
      <c r="B98" s="111" t="s">
        <v>4802</v>
      </c>
      <c r="C98" s="87" t="s">
        <v>808</v>
      </c>
      <c r="D98" s="86"/>
      <c r="E98" s="107"/>
      <c r="F98" s="87"/>
      <c r="G98" s="87"/>
      <c r="H98" s="88"/>
      <c r="I98" s="88"/>
    </row>
    <row r="99" spans="1:9" ht="13">
      <c r="A99" s="112" t="s">
        <v>7893</v>
      </c>
      <c r="B99" s="111" t="s">
        <v>4747</v>
      </c>
      <c r="C99" s="87" t="s">
        <v>808</v>
      </c>
      <c r="D99" s="86"/>
      <c r="E99" s="97"/>
      <c r="F99" s="86"/>
      <c r="G99" s="87"/>
      <c r="H99" s="88"/>
      <c r="I99" s="88"/>
    </row>
    <row r="100" spans="1:9" ht="13">
      <c r="A100" s="112" t="s">
        <v>7894</v>
      </c>
      <c r="B100" s="111" t="str">
        <f>HYPERLINK("https://bulbapedia.bulbagarden.net/wiki/Hoopa-GX_(Team_Up_96)","HoopaGX")</f>
        <v>HoopaGX</v>
      </c>
      <c r="C100" s="87" t="s">
        <v>808</v>
      </c>
      <c r="D100" s="86"/>
      <c r="E100" s="112"/>
      <c r="F100" s="87"/>
      <c r="G100" s="87"/>
      <c r="H100" s="88"/>
      <c r="I100" s="88"/>
    </row>
    <row r="101" spans="1:9" ht="13">
      <c r="A101" s="112" t="s">
        <v>7895</v>
      </c>
      <c r="B101" s="111" t="str">
        <f>HYPERLINK("https://bulbapedia.bulbagarden.net/wiki/Incineroar-GX_(Team_Up_97)","IncineroarGX")</f>
        <v>IncineroarGX</v>
      </c>
      <c r="C101" s="87" t="s">
        <v>808</v>
      </c>
      <c r="D101" s="86"/>
      <c r="E101" s="112"/>
      <c r="F101" s="86"/>
      <c r="G101" s="87"/>
      <c r="H101" s="88"/>
      <c r="I101" s="137"/>
    </row>
    <row r="102" spans="1:9" ht="13">
      <c r="A102" s="112" t="s">
        <v>7896</v>
      </c>
      <c r="B102" s="111" t="s">
        <v>787</v>
      </c>
      <c r="C102" s="87" t="s">
        <v>220</v>
      </c>
      <c r="D102" s="86"/>
      <c r="E102" s="107"/>
      <c r="F102" s="87"/>
      <c r="G102" s="87"/>
      <c r="H102" s="88"/>
      <c r="I102" s="88"/>
    </row>
    <row r="103" spans="1:9" ht="13">
      <c r="A103" s="112" t="s">
        <v>7897</v>
      </c>
      <c r="B103" s="111" t="s">
        <v>1196</v>
      </c>
      <c r="C103" s="87" t="s">
        <v>220</v>
      </c>
      <c r="D103" s="86"/>
      <c r="E103" s="107"/>
      <c r="F103" s="86"/>
      <c r="G103" s="87"/>
      <c r="H103" s="88"/>
      <c r="I103" s="88"/>
    </row>
    <row r="104" spans="1:9" ht="13">
      <c r="A104" s="112" t="s">
        <v>7898</v>
      </c>
      <c r="B104" s="111" t="s">
        <v>3245</v>
      </c>
      <c r="C104" s="87" t="s">
        <v>220</v>
      </c>
      <c r="D104" s="86"/>
      <c r="E104" s="107"/>
      <c r="F104" s="87"/>
      <c r="G104" s="87"/>
      <c r="H104" s="88"/>
      <c r="I104" s="88"/>
    </row>
    <row r="105" spans="1:9" ht="13">
      <c r="A105" s="112" t="s">
        <v>7899</v>
      </c>
      <c r="B105" s="111" t="s">
        <v>3163</v>
      </c>
      <c r="C105" s="87" t="s">
        <v>220</v>
      </c>
      <c r="D105" s="86"/>
      <c r="E105" s="107"/>
      <c r="F105" s="87"/>
      <c r="G105" s="87"/>
      <c r="H105" s="88"/>
      <c r="I105" s="88"/>
    </row>
    <row r="106" spans="1:9" ht="13">
      <c r="A106" s="112" t="s">
        <v>7900</v>
      </c>
      <c r="B106" s="111" t="s">
        <v>4134</v>
      </c>
      <c r="C106" s="87" t="s">
        <v>220</v>
      </c>
      <c r="D106" s="86"/>
      <c r="E106" s="107"/>
      <c r="F106" s="87"/>
      <c r="G106" s="87"/>
      <c r="H106" s="88"/>
      <c r="I106" s="88"/>
    </row>
    <row r="107" spans="1:9" ht="13">
      <c r="A107" s="112" t="s">
        <v>7901</v>
      </c>
      <c r="B107" s="111" t="s">
        <v>5842</v>
      </c>
      <c r="C107" s="87" t="s">
        <v>220</v>
      </c>
      <c r="D107" s="86"/>
      <c r="E107" s="107"/>
      <c r="F107" s="87"/>
      <c r="G107" s="87"/>
      <c r="H107" s="88"/>
      <c r="I107" s="88"/>
    </row>
    <row r="108" spans="1:9" ht="13">
      <c r="A108" s="112" t="s">
        <v>7902</v>
      </c>
      <c r="B108" s="111" t="s">
        <v>4101</v>
      </c>
      <c r="C108" s="87" t="s">
        <v>220</v>
      </c>
      <c r="D108" s="86"/>
      <c r="E108" s="107"/>
      <c r="F108" s="87"/>
      <c r="G108" s="87"/>
      <c r="H108" s="88"/>
      <c r="I108" s="88"/>
    </row>
    <row r="109" spans="1:9" ht="13">
      <c r="A109" s="112" t="s">
        <v>7903</v>
      </c>
      <c r="B109" s="111" t="s">
        <v>4102</v>
      </c>
      <c r="C109" s="87" t="s">
        <v>220</v>
      </c>
      <c r="D109" s="86"/>
      <c r="E109" s="107"/>
      <c r="F109" s="87"/>
      <c r="G109" s="87"/>
      <c r="H109" s="88"/>
      <c r="I109" s="88"/>
    </row>
    <row r="110" spans="1:9" ht="13">
      <c r="A110" s="112" t="s">
        <v>7904</v>
      </c>
      <c r="B110" s="111" t="str">
        <f>HYPERLINK("https://bulbapedia.bulbagarden.net/wiki/Cobalion-GX_(Team_Up_106)","CobalionGX")</f>
        <v>CobalionGX</v>
      </c>
      <c r="C110" s="87" t="s">
        <v>220</v>
      </c>
      <c r="D110" s="86"/>
      <c r="E110" s="97"/>
      <c r="F110" s="87"/>
      <c r="G110" s="87"/>
      <c r="H110" s="88"/>
      <c r="I110" s="88"/>
    </row>
    <row r="111" spans="1:9" ht="13">
      <c r="A111" s="112" t="s">
        <v>7905</v>
      </c>
      <c r="B111" s="111" t="s">
        <v>4755</v>
      </c>
      <c r="C111" s="87" t="s">
        <v>220</v>
      </c>
      <c r="D111" s="86"/>
      <c r="E111" s="107"/>
      <c r="F111" s="89"/>
      <c r="G111" s="87"/>
      <c r="H111" s="88"/>
      <c r="I111" s="88"/>
    </row>
    <row r="112" spans="1:9" ht="13">
      <c r="A112" s="112" t="s">
        <v>7906</v>
      </c>
      <c r="B112" s="111" t="s">
        <v>5045</v>
      </c>
      <c r="C112" s="87" t="s">
        <v>220</v>
      </c>
      <c r="D112" s="86"/>
      <c r="E112" s="112"/>
      <c r="F112" s="89"/>
      <c r="G112" s="87"/>
      <c r="H112" s="88"/>
      <c r="I112" s="88"/>
    </row>
    <row r="113" spans="1:9" ht="13">
      <c r="A113" s="112" t="s">
        <v>7907</v>
      </c>
      <c r="B113" s="111" t="s">
        <v>5046</v>
      </c>
      <c r="C113" s="87" t="s">
        <v>220</v>
      </c>
      <c r="D113" s="86"/>
      <c r="E113" s="107"/>
      <c r="F113" s="86"/>
      <c r="G113" s="87"/>
      <c r="H113" s="88"/>
      <c r="I113" s="88"/>
    </row>
    <row r="114" spans="1:9" ht="13">
      <c r="A114" s="112" t="s">
        <v>7908</v>
      </c>
      <c r="B114" s="111" t="s">
        <v>5125</v>
      </c>
      <c r="C114" s="87" t="s">
        <v>220</v>
      </c>
      <c r="D114" s="86"/>
      <c r="E114" s="112"/>
      <c r="F114" s="87"/>
      <c r="G114" s="87"/>
      <c r="H114" s="88"/>
      <c r="I114" s="88"/>
    </row>
    <row r="115" spans="1:9" ht="13">
      <c r="A115" s="112" t="s">
        <v>7909</v>
      </c>
      <c r="B115" s="111" t="s">
        <v>6339</v>
      </c>
      <c r="C115" s="87" t="s">
        <v>4743</v>
      </c>
      <c r="D115" s="86"/>
      <c r="E115" s="112"/>
      <c r="F115" s="86"/>
      <c r="G115" s="87"/>
      <c r="H115" s="88"/>
      <c r="I115" s="88"/>
    </row>
    <row r="116" spans="1:9" ht="13">
      <c r="A116" s="112" t="s">
        <v>7910</v>
      </c>
      <c r="B116" s="111" t="s">
        <v>6218</v>
      </c>
      <c r="C116" s="87" t="s">
        <v>4743</v>
      </c>
      <c r="D116" s="86"/>
      <c r="E116" s="107"/>
      <c r="F116" s="87"/>
      <c r="G116" s="87"/>
      <c r="H116" s="88"/>
      <c r="I116" s="88"/>
    </row>
    <row r="117" spans="1:9" ht="13">
      <c r="A117" s="112" t="s">
        <v>7911</v>
      </c>
      <c r="B117" s="111" t="str">
        <f>HYPERLINK("https://bulbapedia.bulbagarden.net/wiki/Latias_%26_Latios-GX_(Team_Up_113)","Latias &amp; LatiosGX")</f>
        <v>Latias &amp; LatiosGX</v>
      </c>
      <c r="C117" s="86" t="s">
        <v>4285</v>
      </c>
      <c r="D117" s="86"/>
      <c r="E117" s="112"/>
      <c r="F117" s="87"/>
      <c r="G117" s="87"/>
      <c r="H117" s="88"/>
      <c r="I117" s="88"/>
    </row>
    <row r="118" spans="1:9" ht="13">
      <c r="A118" s="112" t="s">
        <v>7912</v>
      </c>
      <c r="B118" s="111" t="s">
        <v>6984</v>
      </c>
      <c r="C118" s="87" t="s">
        <v>4285</v>
      </c>
      <c r="D118" s="86"/>
      <c r="E118" s="107"/>
      <c r="F118" s="87"/>
      <c r="G118" s="87"/>
      <c r="H118" s="88"/>
      <c r="I118" s="88"/>
    </row>
    <row r="119" spans="1:9" ht="13">
      <c r="A119" s="112" t="s">
        <v>7913</v>
      </c>
      <c r="B119" s="111" t="s">
        <v>6984</v>
      </c>
      <c r="C119" s="87" t="s">
        <v>4285</v>
      </c>
      <c r="D119" s="89"/>
      <c r="E119" s="107"/>
      <c r="F119" s="87"/>
      <c r="G119" s="87"/>
      <c r="H119" s="88"/>
      <c r="I119" s="88"/>
    </row>
    <row r="120" spans="1:9" ht="13">
      <c r="A120" s="112" t="s">
        <v>7914</v>
      </c>
      <c r="B120" s="111" t="s">
        <v>260</v>
      </c>
      <c r="C120" s="87" t="s">
        <v>4285</v>
      </c>
      <c r="D120" s="86"/>
      <c r="E120" s="107"/>
      <c r="F120" s="87"/>
      <c r="G120" s="87"/>
      <c r="H120" s="88"/>
      <c r="I120" s="88"/>
    </row>
    <row r="121" spans="1:9" ht="13">
      <c r="A121" s="112" t="s">
        <v>7915</v>
      </c>
      <c r="B121" s="111" t="s">
        <v>260</v>
      </c>
      <c r="C121" s="87" t="s">
        <v>4285</v>
      </c>
      <c r="D121" s="86"/>
      <c r="E121" s="107"/>
      <c r="F121" s="87"/>
      <c r="G121" s="87"/>
      <c r="H121" s="88"/>
      <c r="I121" s="88"/>
    </row>
    <row r="122" spans="1:9" ht="13">
      <c r="A122" s="112" t="s">
        <v>7916</v>
      </c>
      <c r="B122" s="111" t="s">
        <v>254</v>
      </c>
      <c r="C122" s="87" t="s">
        <v>4285</v>
      </c>
      <c r="D122" s="86"/>
      <c r="E122" s="97"/>
      <c r="F122" s="87"/>
      <c r="G122" s="87"/>
      <c r="H122" s="88"/>
      <c r="I122" s="88"/>
    </row>
    <row r="123" spans="1:9" ht="13">
      <c r="A123" s="112" t="s">
        <v>7917</v>
      </c>
      <c r="B123" s="111" t="s">
        <v>196</v>
      </c>
      <c r="C123" s="87" t="s">
        <v>4285</v>
      </c>
      <c r="D123" s="86"/>
      <c r="E123" s="112"/>
      <c r="F123" s="86"/>
      <c r="G123" s="87"/>
      <c r="H123" s="88"/>
      <c r="I123" s="88"/>
    </row>
    <row r="124" spans="1:9" ht="13">
      <c r="A124" s="112" t="s">
        <v>7918</v>
      </c>
      <c r="B124" s="111" t="str">
        <f>HYPERLINK("https://bulbapedia.bulbagarden.net/wiki/Eevee_%26_Snorlax-GX_(Team_Up_120)","Eevee &amp; SnorlaxGX")</f>
        <v>Eevee &amp; SnorlaxGX</v>
      </c>
      <c r="C124" s="87" t="s">
        <v>7919</v>
      </c>
      <c r="D124" s="86"/>
      <c r="E124" s="112"/>
      <c r="F124" s="87"/>
      <c r="G124" s="87"/>
      <c r="H124" s="88"/>
      <c r="I124" s="88"/>
    </row>
    <row r="125" spans="1:9" ht="13">
      <c r="A125" s="112" t="s">
        <v>7920</v>
      </c>
      <c r="B125" s="111" t="s">
        <v>289</v>
      </c>
      <c r="C125" s="87" t="s">
        <v>7919</v>
      </c>
      <c r="D125" s="86"/>
      <c r="E125" s="107"/>
      <c r="F125" s="87"/>
      <c r="G125" s="87"/>
      <c r="H125" s="88"/>
      <c r="I125" s="88"/>
    </row>
    <row r="126" spans="1:9" ht="13">
      <c r="A126" s="112" t="s">
        <v>7921</v>
      </c>
      <c r="B126" s="111" t="s">
        <v>289</v>
      </c>
      <c r="C126" s="87" t="s">
        <v>7919</v>
      </c>
      <c r="D126" s="86"/>
      <c r="E126" s="107"/>
      <c r="F126" s="87"/>
      <c r="G126" s="87"/>
      <c r="H126" s="88"/>
      <c r="I126" s="88"/>
    </row>
    <row r="127" spans="1:9" ht="13">
      <c r="A127" s="112" t="s">
        <v>7922</v>
      </c>
      <c r="B127" s="111" t="s">
        <v>257</v>
      </c>
      <c r="C127" s="87" t="s">
        <v>7919</v>
      </c>
      <c r="D127" s="86"/>
      <c r="E127" s="107"/>
      <c r="F127" s="87"/>
      <c r="G127" s="87"/>
      <c r="H127" s="88"/>
      <c r="I127" s="88"/>
    </row>
    <row r="128" spans="1:9" ht="13">
      <c r="A128" s="112" t="s">
        <v>7923</v>
      </c>
      <c r="B128" s="111" t="s">
        <v>324</v>
      </c>
      <c r="C128" s="87" t="s">
        <v>7919</v>
      </c>
      <c r="D128" s="86"/>
      <c r="E128" s="107"/>
      <c r="F128" s="87"/>
      <c r="G128" s="87"/>
      <c r="H128" s="88"/>
      <c r="I128" s="88"/>
    </row>
    <row r="129" spans="1:9" ht="13">
      <c r="A129" s="112" t="s">
        <v>7924</v>
      </c>
      <c r="B129" s="111" t="s">
        <v>202</v>
      </c>
      <c r="C129" s="87" t="s">
        <v>7919</v>
      </c>
      <c r="D129" s="86"/>
      <c r="E129" s="107"/>
      <c r="F129" s="87"/>
      <c r="G129" s="87"/>
      <c r="H129" s="88"/>
      <c r="I129" s="88"/>
    </row>
    <row r="130" spans="1:9" ht="13">
      <c r="A130" s="112" t="s">
        <v>7925</v>
      </c>
      <c r="B130" s="111" t="s">
        <v>340</v>
      </c>
      <c r="C130" s="87" t="s">
        <v>7919</v>
      </c>
      <c r="D130" s="86"/>
      <c r="E130" s="97"/>
      <c r="F130" s="87"/>
      <c r="G130" s="87"/>
      <c r="H130" s="88"/>
      <c r="I130" s="88"/>
    </row>
    <row r="131" spans="1:9" ht="13">
      <c r="A131" s="112" t="s">
        <v>7926</v>
      </c>
      <c r="B131" s="111" t="s">
        <v>261</v>
      </c>
      <c r="C131" s="87" t="s">
        <v>7919</v>
      </c>
      <c r="D131" s="86"/>
      <c r="E131" s="107"/>
      <c r="F131" s="87"/>
      <c r="G131" s="87"/>
      <c r="H131" s="88"/>
      <c r="I131" s="88"/>
    </row>
    <row r="132" spans="1:9" ht="13">
      <c r="A132" s="112" t="s">
        <v>7927</v>
      </c>
      <c r="B132" s="111" t="s">
        <v>321</v>
      </c>
      <c r="C132" s="87" t="s">
        <v>7919</v>
      </c>
      <c r="D132" s="86"/>
      <c r="E132" s="97"/>
      <c r="F132" s="87"/>
      <c r="G132" s="87"/>
      <c r="H132" s="88"/>
      <c r="I132" s="88"/>
    </row>
    <row r="133" spans="1:9" ht="13">
      <c r="A133" s="112" t="s">
        <v>7928</v>
      </c>
      <c r="B133" s="111" t="s">
        <v>344</v>
      </c>
      <c r="C133" s="87" t="s">
        <v>7919</v>
      </c>
      <c r="D133" s="86"/>
      <c r="E133" s="112"/>
      <c r="F133" s="87"/>
      <c r="G133" s="87"/>
      <c r="H133" s="88"/>
      <c r="I133" s="88"/>
    </row>
    <row r="134" spans="1:9" ht="13">
      <c r="A134" s="112" t="s">
        <v>7929</v>
      </c>
      <c r="B134" s="111" t="s">
        <v>358</v>
      </c>
      <c r="C134" s="87" t="s">
        <v>7919</v>
      </c>
      <c r="D134" s="86"/>
      <c r="E134" s="112"/>
      <c r="F134" s="87"/>
      <c r="G134" s="87"/>
      <c r="H134" s="88"/>
      <c r="I134" s="88"/>
    </row>
    <row r="135" spans="1:9" ht="13">
      <c r="A135" s="112" t="s">
        <v>7930</v>
      </c>
      <c r="B135" s="111" t="s">
        <v>781</v>
      </c>
      <c r="C135" s="87" t="s">
        <v>7919</v>
      </c>
      <c r="D135" s="86"/>
      <c r="E135" s="112"/>
      <c r="F135" s="86"/>
      <c r="G135" s="87"/>
      <c r="H135" s="88"/>
      <c r="I135" s="88"/>
    </row>
    <row r="136" spans="1:9" ht="13">
      <c r="A136" s="112" t="s">
        <v>7931</v>
      </c>
      <c r="B136" s="111" t="s">
        <v>1378</v>
      </c>
      <c r="C136" s="87" t="s">
        <v>7919</v>
      </c>
      <c r="D136" s="86"/>
      <c r="E136" s="107"/>
      <c r="F136" s="86"/>
      <c r="G136" s="87"/>
      <c r="H136" s="88"/>
      <c r="I136" s="88"/>
    </row>
    <row r="137" spans="1:9" ht="13">
      <c r="A137" s="112" t="s">
        <v>7932</v>
      </c>
      <c r="B137" s="111" t="s">
        <v>7933</v>
      </c>
      <c r="C137" s="87" t="s">
        <v>1013</v>
      </c>
      <c r="D137" s="89"/>
      <c r="E137" s="112"/>
      <c r="F137" s="87"/>
      <c r="G137" s="87"/>
      <c r="H137" s="88"/>
      <c r="I137" s="88"/>
    </row>
    <row r="138" spans="1:9" ht="13">
      <c r="A138" s="112" t="s">
        <v>7934</v>
      </c>
      <c r="B138" s="111" t="str">
        <f>HYPERLINK("https://bulbapedia.bulbagarden.net/wiki/Black_Market_%E2%99%A2_(Team_Up_134)","Black Market♦")</f>
        <v>Black Market♦</v>
      </c>
      <c r="C138" s="87" t="s">
        <v>229</v>
      </c>
      <c r="D138" s="86"/>
      <c r="E138" s="112"/>
      <c r="F138" s="86"/>
      <c r="G138" s="87"/>
      <c r="H138" s="88"/>
      <c r="I138" s="137"/>
    </row>
    <row r="139" spans="1:9" ht="13">
      <c r="A139" s="112" t="s">
        <v>7935</v>
      </c>
      <c r="B139" s="111" t="s">
        <v>6169</v>
      </c>
      <c r="C139" s="87" t="s">
        <v>1013</v>
      </c>
      <c r="D139" s="86"/>
      <c r="E139" s="107"/>
      <c r="F139" s="87"/>
      <c r="G139" s="87"/>
      <c r="H139" s="88"/>
      <c r="I139" s="88"/>
    </row>
    <row r="140" spans="1:9" ht="13">
      <c r="A140" s="112" t="s">
        <v>7936</v>
      </c>
      <c r="B140" s="111" t="s">
        <v>7937</v>
      </c>
      <c r="C140" s="87" t="s">
        <v>4114</v>
      </c>
      <c r="D140" s="86"/>
      <c r="E140" s="107"/>
      <c r="F140" s="87"/>
      <c r="G140" s="87"/>
      <c r="H140" s="88"/>
      <c r="I140" s="88"/>
    </row>
    <row r="141" spans="1:9" ht="13">
      <c r="A141" s="112" t="s">
        <v>7938</v>
      </c>
      <c r="B141" s="111" t="s">
        <v>7939</v>
      </c>
      <c r="C141" s="87" t="s">
        <v>1013</v>
      </c>
      <c r="D141" s="86"/>
      <c r="E141" s="107"/>
      <c r="F141" s="89"/>
      <c r="G141" s="87"/>
      <c r="H141" s="88"/>
      <c r="I141" s="88"/>
    </row>
    <row r="142" spans="1:9" ht="13">
      <c r="A142" s="112" t="s">
        <v>7940</v>
      </c>
      <c r="B142" s="111" t="s">
        <v>7941</v>
      </c>
      <c r="C142" s="87" t="s">
        <v>4114</v>
      </c>
      <c r="D142" s="86"/>
      <c r="E142" s="107"/>
      <c r="F142" s="89"/>
      <c r="G142" s="87"/>
      <c r="H142" s="88"/>
      <c r="I142" s="88"/>
    </row>
    <row r="143" spans="1:9" ht="13">
      <c r="A143" s="112" t="s">
        <v>7942</v>
      </c>
      <c r="B143" s="111" t="s">
        <v>7943</v>
      </c>
      <c r="C143" s="87" t="s">
        <v>4114</v>
      </c>
      <c r="D143" s="86"/>
      <c r="E143" s="97"/>
      <c r="F143" s="87"/>
      <c r="G143" s="87"/>
      <c r="H143" s="88"/>
      <c r="I143" s="88"/>
    </row>
    <row r="144" spans="1:9" ht="13">
      <c r="A144" s="112" t="s">
        <v>7944</v>
      </c>
      <c r="B144" s="111" t="s">
        <v>7945</v>
      </c>
      <c r="C144" s="87" t="s">
        <v>1013</v>
      </c>
      <c r="D144" s="86"/>
      <c r="E144" s="107"/>
      <c r="F144" s="86"/>
      <c r="G144" s="87"/>
      <c r="H144" s="88"/>
      <c r="I144" s="137"/>
    </row>
    <row r="145" spans="1:9" ht="13">
      <c r="A145" s="112" t="s">
        <v>7946</v>
      </c>
      <c r="B145" s="111" t="s">
        <v>7947</v>
      </c>
      <c r="C145" s="87" t="s">
        <v>1013</v>
      </c>
      <c r="D145" s="86"/>
      <c r="E145" s="107"/>
      <c r="F145" s="87"/>
      <c r="G145" s="87"/>
      <c r="H145" s="88"/>
      <c r="I145" s="88"/>
    </row>
    <row r="146" spans="1:9" ht="13">
      <c r="A146" s="112" t="s">
        <v>7948</v>
      </c>
      <c r="B146" s="111" t="s">
        <v>7949</v>
      </c>
      <c r="C146" s="87" t="s">
        <v>4114</v>
      </c>
      <c r="D146" s="86"/>
      <c r="E146" s="97"/>
      <c r="F146" s="87"/>
      <c r="G146" s="87"/>
      <c r="H146" s="88"/>
      <c r="I146" s="88"/>
    </row>
    <row r="147" spans="1:9" ht="13">
      <c r="A147" s="112" t="s">
        <v>7950</v>
      </c>
      <c r="B147" s="111" t="s">
        <v>7951</v>
      </c>
      <c r="C147" s="87" t="s">
        <v>4114</v>
      </c>
      <c r="D147" s="86"/>
      <c r="E147" s="112"/>
      <c r="F147" s="87"/>
      <c r="G147" s="87"/>
      <c r="H147" s="88"/>
      <c r="I147" s="88"/>
    </row>
    <row r="148" spans="1:9" ht="13">
      <c r="A148" s="112" t="s">
        <v>7952</v>
      </c>
      <c r="B148" s="111" t="s">
        <v>7953</v>
      </c>
      <c r="C148" s="87" t="s">
        <v>1013</v>
      </c>
      <c r="D148" s="86"/>
      <c r="E148" s="112"/>
      <c r="F148" s="86"/>
      <c r="G148" s="87"/>
      <c r="H148" s="88"/>
      <c r="I148" s="137"/>
    </row>
    <row r="149" spans="1:9" ht="13">
      <c r="A149" s="112" t="s">
        <v>7954</v>
      </c>
      <c r="B149" s="111" t="s">
        <v>7955</v>
      </c>
      <c r="C149" s="87" t="s">
        <v>1013</v>
      </c>
      <c r="D149" s="86"/>
      <c r="E149" s="97"/>
      <c r="F149" s="87"/>
      <c r="G149" s="87"/>
      <c r="H149" s="88"/>
      <c r="I149" s="88"/>
    </row>
    <row r="150" spans="1:9" ht="13">
      <c r="A150" s="112" t="s">
        <v>7956</v>
      </c>
      <c r="B150" s="111" t="s">
        <v>7957</v>
      </c>
      <c r="C150" s="87" t="s">
        <v>4114</v>
      </c>
      <c r="D150" s="86"/>
      <c r="E150" s="107"/>
      <c r="F150" s="87"/>
      <c r="G150" s="87"/>
      <c r="H150" s="88"/>
      <c r="I150" s="88"/>
    </row>
    <row r="151" spans="1:9" ht="13">
      <c r="A151" s="112" t="s">
        <v>7958</v>
      </c>
      <c r="B151" s="111" t="s">
        <v>7959</v>
      </c>
      <c r="C151" s="87" t="s">
        <v>229</v>
      </c>
      <c r="D151" s="86"/>
      <c r="E151" s="107"/>
      <c r="F151" s="87"/>
      <c r="G151" s="87"/>
      <c r="H151" s="88"/>
      <c r="I151" s="88"/>
    </row>
    <row r="152" spans="1:9" ht="13">
      <c r="A152" s="112" t="s">
        <v>7960</v>
      </c>
      <c r="B152" s="111" t="s">
        <v>7961</v>
      </c>
      <c r="C152" s="87" t="s">
        <v>4114</v>
      </c>
      <c r="D152" s="86"/>
      <c r="E152" s="107"/>
      <c r="F152" s="87"/>
      <c r="G152" s="87"/>
      <c r="H152" s="88"/>
      <c r="I152" s="88"/>
    </row>
    <row r="153" spans="1:9" ht="13">
      <c r="A153" s="112" t="s">
        <v>7962</v>
      </c>
      <c r="B153" s="111" t="s">
        <v>7963</v>
      </c>
      <c r="C153" s="87" t="s">
        <v>1013</v>
      </c>
      <c r="D153" s="86"/>
      <c r="E153" s="107"/>
      <c r="F153" s="87"/>
      <c r="G153" s="87"/>
      <c r="H153" s="88"/>
      <c r="I153" s="88"/>
    </row>
    <row r="154" spans="1:9" ht="13">
      <c r="A154" s="112" t="s">
        <v>7964</v>
      </c>
      <c r="B154" s="111" t="s">
        <v>7965</v>
      </c>
      <c r="C154" s="87" t="s">
        <v>1013</v>
      </c>
      <c r="D154" s="86"/>
      <c r="E154" s="107"/>
      <c r="F154" s="86"/>
      <c r="G154" s="87"/>
      <c r="H154" s="88"/>
      <c r="I154" s="137"/>
    </row>
    <row r="155" spans="1:9" ht="13">
      <c r="A155" s="112" t="s">
        <v>7966</v>
      </c>
      <c r="B155" s="111" t="s">
        <v>7967</v>
      </c>
      <c r="C155" s="87" t="s">
        <v>1013</v>
      </c>
      <c r="D155" s="86"/>
      <c r="E155" s="107"/>
      <c r="F155" s="87"/>
      <c r="G155" s="87"/>
      <c r="H155" s="88"/>
      <c r="I155" s="88"/>
    </row>
    <row r="156" spans="1:9" ht="13">
      <c r="A156" s="112" t="s">
        <v>7968</v>
      </c>
      <c r="B156" s="111" t="s">
        <v>7969</v>
      </c>
      <c r="C156" s="87" t="s">
        <v>4114</v>
      </c>
      <c r="D156" s="86"/>
      <c r="E156" s="112"/>
      <c r="F156" s="86"/>
      <c r="G156" s="87"/>
      <c r="H156" s="137"/>
      <c r="I156" s="137"/>
    </row>
    <row r="157" spans="1:9" ht="13">
      <c r="A157" s="107" t="s">
        <v>7970</v>
      </c>
      <c r="B157" s="111" t="s">
        <v>7969</v>
      </c>
      <c r="C157" s="87" t="s">
        <v>4114</v>
      </c>
      <c r="D157" s="86"/>
      <c r="E157" s="112"/>
      <c r="F157" s="86"/>
      <c r="G157" s="87"/>
      <c r="H157" s="137"/>
      <c r="I157" s="137"/>
    </row>
    <row r="158" spans="1:9" ht="13">
      <c r="A158" s="112" t="s">
        <v>7971</v>
      </c>
      <c r="B158" s="111" t="s">
        <v>7972</v>
      </c>
      <c r="C158" s="87" t="s">
        <v>4114</v>
      </c>
      <c r="D158" s="86"/>
      <c r="E158" s="107"/>
      <c r="F158" s="87"/>
      <c r="G158" s="87"/>
      <c r="H158" s="88"/>
      <c r="I158" s="88"/>
    </row>
    <row r="159" spans="1:9" ht="13">
      <c r="A159" s="112" t="s">
        <v>7973</v>
      </c>
      <c r="B159" s="111" t="s">
        <v>7974</v>
      </c>
      <c r="C159" s="87" t="s">
        <v>1013</v>
      </c>
      <c r="D159" s="86"/>
      <c r="E159" s="107"/>
      <c r="F159" s="89"/>
      <c r="G159" s="87"/>
      <c r="H159" s="88"/>
      <c r="I159" s="88"/>
    </row>
    <row r="160" spans="1:9" ht="13">
      <c r="A160" s="112" t="s">
        <v>7975</v>
      </c>
      <c r="B160" s="111" t="s">
        <v>7037</v>
      </c>
      <c r="C160" s="87" t="s">
        <v>4114</v>
      </c>
      <c r="D160" s="86"/>
      <c r="E160" s="112"/>
      <c r="F160" s="87"/>
      <c r="G160" s="87"/>
      <c r="H160" s="88"/>
      <c r="I160" s="88"/>
    </row>
    <row r="161" spans="1:9" ht="13">
      <c r="A161" s="112" t="s">
        <v>7976</v>
      </c>
      <c r="B161" s="111" t="s">
        <v>7977</v>
      </c>
      <c r="C161" s="87" t="s">
        <v>229</v>
      </c>
      <c r="D161" s="86"/>
      <c r="E161" s="107"/>
      <c r="F161" s="86"/>
      <c r="G161" s="87"/>
      <c r="H161" s="88"/>
      <c r="I161" s="137"/>
    </row>
    <row r="162" spans="1:9" ht="13">
      <c r="A162" s="112" t="s">
        <v>7978</v>
      </c>
      <c r="B162" s="111" t="s">
        <v>7979</v>
      </c>
      <c r="C162" s="87" t="s">
        <v>4114</v>
      </c>
      <c r="D162" s="86"/>
      <c r="E162" s="97"/>
      <c r="F162" s="87"/>
      <c r="G162" s="87"/>
      <c r="H162" s="88"/>
      <c r="I162" s="88"/>
    </row>
    <row r="163" spans="1:9" ht="13">
      <c r="A163" s="112" t="s">
        <v>7980</v>
      </c>
      <c r="B163" s="111" t="str">
        <f>HYPERLINK("https://bulbapedia.bulbagarden.net/w/index.php?title=Wondrous_Labyrinth_%E2%99%A2_(Team_Up_134)&amp;action=edit&amp;redlink=1","Wondrous Labyrinth♦")</f>
        <v>Wondrous Labyrinth♦</v>
      </c>
      <c r="C163" s="87" t="s">
        <v>229</v>
      </c>
      <c r="D163" s="86"/>
      <c r="E163" s="97"/>
      <c r="F163" s="86"/>
      <c r="G163" s="87"/>
      <c r="H163" s="88"/>
      <c r="I163" s="137"/>
    </row>
    <row r="164" spans="1:9" ht="13">
      <c r="A164" s="112" t="s">
        <v>7981</v>
      </c>
      <c r="B164" s="111" t="str">
        <f>HYPERLINK("https://bulbapedia.bulbagarden.net/w/index.php?title=Celebi_%26_Venusaur-GX_(Team_Up_159)&amp;action=edit&amp;redlink=1","Celebi &amp; VenusaurGX")</f>
        <v>Celebi &amp; VenusaurGX</v>
      </c>
      <c r="C164" s="87" t="s">
        <v>205</v>
      </c>
      <c r="D164" s="89"/>
      <c r="E164" s="112"/>
      <c r="F164" s="87"/>
      <c r="G164" s="87"/>
      <c r="H164" s="88"/>
      <c r="I164" s="88"/>
    </row>
    <row r="165" spans="1:9" ht="13">
      <c r="A165" s="112" t="s">
        <v>7982</v>
      </c>
      <c r="B165" s="111" t="str">
        <f>HYPERLINK("https://bulbapedia.bulbagarden.net/w/index.php?title=Magikarp_%26_Wailord-GX_(Team_Up_160)&amp;action=edit&amp;redlink=1","Magikarp &amp; WailordGX")</f>
        <v>Magikarp &amp; WailordGX</v>
      </c>
      <c r="C165" s="87" t="s">
        <v>208</v>
      </c>
      <c r="D165" s="89"/>
      <c r="E165" s="112"/>
      <c r="F165" s="87"/>
      <c r="G165" s="87"/>
      <c r="H165" s="88"/>
      <c r="I165" s="88"/>
    </row>
    <row r="166" spans="1:9" ht="13">
      <c r="A166" s="112" t="s">
        <v>7983</v>
      </c>
      <c r="B166" s="111" t="str">
        <f>HYPERLINK("https://bulbapedia.bulbagarden.net/w/index.php?title=Magikarp_%26_Wailord-GX_(Team_Up_161)&amp;action=edit&amp;redlink=1","Magikarp &amp; WailordGX")</f>
        <v>Magikarp &amp; WailordGX</v>
      </c>
      <c r="C166" s="87" t="s">
        <v>208</v>
      </c>
      <c r="D166" s="86"/>
      <c r="E166" s="97"/>
      <c r="F166" s="87"/>
      <c r="G166" s="87"/>
      <c r="H166" s="88"/>
      <c r="I166" s="88"/>
    </row>
    <row r="167" spans="1:9" ht="13">
      <c r="A167" s="112" t="s">
        <v>7984</v>
      </c>
      <c r="B167" s="111" t="str">
        <f>HYPERLINK("https://bulbapedia.bulbagarden.net/w/index.php?title=Pikachu_%26_Zekrom-GX_(Team_Up_162)&amp;action=edit&amp;redlink=1","Pikachu &amp; ZekromGX")</f>
        <v>Pikachu &amp; ZekromGX</v>
      </c>
      <c r="C167" s="87" t="s">
        <v>192</v>
      </c>
      <c r="D167" s="89"/>
      <c r="E167" s="97"/>
      <c r="F167" s="87"/>
      <c r="G167" s="87"/>
      <c r="H167" s="88"/>
      <c r="I167" s="88"/>
    </row>
    <row r="168" spans="1:9" ht="13">
      <c r="A168" s="112" t="s">
        <v>7985</v>
      </c>
      <c r="B168" s="111" t="str">
        <f>HYPERLINK("https://bulbapedia.bulbagarden.net/w/index.php?title=Ampharos-GX_(Team_Up_163)&amp;action=edit&amp;redlink=1","AmpharosGX")</f>
        <v>AmpharosGX</v>
      </c>
      <c r="C168" s="87" t="s">
        <v>192</v>
      </c>
      <c r="D168" s="89"/>
      <c r="E168" s="97"/>
      <c r="F168" s="87"/>
      <c r="G168" s="87"/>
      <c r="H168" s="88"/>
      <c r="I168" s="88"/>
    </row>
    <row r="169" spans="1:9" ht="13">
      <c r="A169" s="112" t="s">
        <v>7986</v>
      </c>
      <c r="B169" s="111" t="str">
        <f>HYPERLINK("https://bulbapedia.bulbagarden.net/w/index.php?title=Gengar_%26_Mimikyu-GX_(Team_Up_164)&amp;action=edit&amp;redlink=1","Gengar &amp; MimikyuGX")</f>
        <v>Gengar &amp; MimikyuGX</v>
      </c>
      <c r="C169" s="87" t="s">
        <v>195</v>
      </c>
      <c r="D169" s="89"/>
      <c r="E169" s="97"/>
      <c r="F169" s="87"/>
      <c r="G169" s="87"/>
      <c r="H169" s="88"/>
      <c r="I169" s="88"/>
    </row>
    <row r="170" spans="1:9" ht="13">
      <c r="A170" s="112" t="s">
        <v>7987</v>
      </c>
      <c r="B170" s="111" t="str">
        <f>HYPERLINK("https://bulbapedia.bulbagarden.net/w/index.php?title=Gengar_%26_Mimikyu-GX_(Team_Up_165)&amp;action=edit&amp;redlink=1","Gengar &amp; MimikyuGX")</f>
        <v>Gengar &amp; MimikyuGX</v>
      </c>
      <c r="C170" s="87" t="s">
        <v>195</v>
      </c>
      <c r="D170" s="89"/>
      <c r="E170" s="97"/>
      <c r="F170" s="87"/>
      <c r="G170" s="87"/>
      <c r="H170" s="88"/>
      <c r="I170" s="88"/>
    </row>
    <row r="171" spans="1:9" ht="13">
      <c r="A171" s="112" t="s">
        <v>7988</v>
      </c>
      <c r="B171" s="111" t="str">
        <f>HYPERLINK("https://bulbapedia.bulbagarden.net/w/index.php?title=Hoopa-GX_(Team_Up_166)&amp;action=edit&amp;redlink=1","HoopaGX")</f>
        <v>HoopaGX</v>
      </c>
      <c r="C171" s="87" t="s">
        <v>808</v>
      </c>
      <c r="D171" s="86"/>
      <c r="E171" s="97"/>
      <c r="F171" s="87"/>
      <c r="G171" s="87"/>
      <c r="H171" s="88"/>
      <c r="I171" s="88"/>
    </row>
    <row r="172" spans="1:9" ht="13">
      <c r="A172" s="112" t="s">
        <v>7989</v>
      </c>
      <c r="B172" s="111" t="str">
        <f>HYPERLINK("https://bulbapedia.bulbagarden.net/w/index.php?title=Incineroar-GX_(Team_Up_167)&amp;action=edit&amp;redlink=1","IncineroarGX")</f>
        <v>IncineroarGX</v>
      </c>
      <c r="C172" s="87" t="s">
        <v>808</v>
      </c>
      <c r="D172" s="86"/>
      <c r="E172" s="97"/>
      <c r="F172" s="86"/>
      <c r="G172" s="87"/>
      <c r="H172" s="88"/>
      <c r="I172" s="137"/>
    </row>
    <row r="173" spans="1:9" ht="13">
      <c r="A173" s="112" t="s">
        <v>7990</v>
      </c>
      <c r="B173" s="111" t="str">
        <f>HYPERLINK("https://bulbapedia.bulbagarden.net/w/index.php?title=Cobalion-GX_(Team_Up_168)&amp;action=edit&amp;redlink=1","CobalionGX")</f>
        <v>CobalionGX</v>
      </c>
      <c r="C173" s="87" t="s">
        <v>220</v>
      </c>
      <c r="D173" s="89"/>
      <c r="E173" s="112"/>
      <c r="F173" s="87"/>
      <c r="G173" s="87"/>
      <c r="H173" s="88"/>
      <c r="I173" s="88"/>
    </row>
    <row r="174" spans="1:9" ht="13">
      <c r="A174" s="112" t="s">
        <v>7991</v>
      </c>
      <c r="B174" s="111" t="str">
        <f>HYPERLINK("https://bulbapedia.bulbagarden.net/w/index.php?title=Latias_%26_Latios-GX_(Team_Up_169)&amp;action=edit&amp;redlink=1","Latias &amp; LatiosGX")</f>
        <v>Latias &amp; LatiosGX</v>
      </c>
      <c r="C174" s="87" t="s">
        <v>4285</v>
      </c>
      <c r="D174" s="89"/>
      <c r="E174" s="112"/>
      <c r="F174" s="87"/>
      <c r="G174" s="87"/>
      <c r="H174" s="88"/>
      <c r="I174" s="88"/>
    </row>
    <row r="175" spans="1:9" ht="13">
      <c r="A175" s="112" t="s">
        <v>7992</v>
      </c>
      <c r="B175" s="111" t="str">
        <f>HYPERLINK("https://bulbapedia.bulbagarden.net/w/index.php?title=Latias_%26_Latios-GX_(Team_Up_170)&amp;action=edit&amp;redlink=1","Latias &amp; LatiosGX")</f>
        <v>Latias &amp; LatiosGX</v>
      </c>
      <c r="C175" s="87" t="s">
        <v>4285</v>
      </c>
      <c r="D175" s="89"/>
      <c r="E175" s="97"/>
      <c r="F175" s="87"/>
      <c r="G175" s="87"/>
      <c r="H175" s="88"/>
      <c r="I175" s="88"/>
    </row>
    <row r="176" spans="1:9" ht="13">
      <c r="A176" s="112" t="s">
        <v>7993</v>
      </c>
      <c r="B176" s="111" t="str">
        <f>HYPERLINK("https://bulbapedia.bulbagarden.net/w/index.php?title=Eevee_%26_Snorlax-GX_(Team_Up_171)&amp;action=edit&amp;redlink=1","Eevee &amp; SnorlaxGX")</f>
        <v>Eevee &amp; SnorlaxGX</v>
      </c>
      <c r="C176" s="87" t="s">
        <v>7919</v>
      </c>
      <c r="D176" s="89"/>
      <c r="E176" s="112"/>
      <c r="F176" s="87"/>
      <c r="G176" s="87"/>
      <c r="H176" s="88"/>
      <c r="I176" s="88"/>
    </row>
    <row r="177" spans="1:9" ht="13">
      <c r="A177" s="112" t="s">
        <v>7994</v>
      </c>
      <c r="B177" s="111" t="s">
        <v>6169</v>
      </c>
      <c r="C177" s="87" t="s">
        <v>1013</v>
      </c>
      <c r="D177" s="89"/>
      <c r="E177" s="97"/>
      <c r="F177" s="89"/>
      <c r="G177" s="87"/>
      <c r="H177" s="88"/>
      <c r="I177" s="88"/>
    </row>
    <row r="178" spans="1:9" ht="13">
      <c r="A178" s="112" t="s">
        <v>7995</v>
      </c>
      <c r="B178" s="111" t="s">
        <v>7939</v>
      </c>
      <c r="C178" s="87" t="s">
        <v>1013</v>
      </c>
      <c r="D178" s="89"/>
      <c r="E178" s="97"/>
      <c r="F178" s="87"/>
      <c r="G178" s="87"/>
      <c r="H178" s="88"/>
      <c r="I178" s="88"/>
    </row>
    <row r="179" spans="1:9" ht="13">
      <c r="A179" s="112" t="s">
        <v>7996</v>
      </c>
      <c r="B179" s="111" t="s">
        <v>7945</v>
      </c>
      <c r="C179" s="87" t="s">
        <v>1013</v>
      </c>
      <c r="D179" s="89"/>
      <c r="E179" s="112"/>
      <c r="F179" s="87"/>
      <c r="G179" s="87"/>
      <c r="H179" s="88"/>
      <c r="I179" s="88"/>
    </row>
    <row r="180" spans="1:9" ht="13">
      <c r="A180" s="112" t="s">
        <v>7997</v>
      </c>
      <c r="B180" s="111" t="s">
        <v>7947</v>
      </c>
      <c r="C180" s="87" t="s">
        <v>1013</v>
      </c>
      <c r="D180" s="89"/>
      <c r="E180" s="97"/>
      <c r="F180" s="87"/>
      <c r="G180" s="87"/>
      <c r="H180" s="88"/>
      <c r="I180" s="88"/>
    </row>
    <row r="181" spans="1:9" ht="13">
      <c r="A181" s="112" t="s">
        <v>7998</v>
      </c>
      <c r="B181" s="111" t="s">
        <v>7953</v>
      </c>
      <c r="C181" s="87" t="s">
        <v>1013</v>
      </c>
      <c r="D181" s="89"/>
      <c r="E181" s="112"/>
      <c r="F181" s="87"/>
      <c r="G181" s="87"/>
      <c r="H181" s="88"/>
      <c r="I181" s="88"/>
    </row>
    <row r="182" spans="1:9" ht="13">
      <c r="A182" s="112" t="s">
        <v>7999</v>
      </c>
      <c r="B182" s="111" t="s">
        <v>7955</v>
      </c>
      <c r="C182" s="87" t="s">
        <v>1013</v>
      </c>
      <c r="D182" s="86"/>
      <c r="E182" s="97"/>
      <c r="F182" s="87"/>
      <c r="G182" s="87"/>
      <c r="H182" s="88"/>
      <c r="I182" s="88"/>
    </row>
    <row r="183" spans="1:9" ht="13">
      <c r="A183" s="112" t="s">
        <v>8000</v>
      </c>
      <c r="B183" s="111" t="s">
        <v>7963</v>
      </c>
      <c r="C183" s="87" t="s">
        <v>1013</v>
      </c>
      <c r="D183" s="89"/>
      <c r="E183" s="112"/>
      <c r="F183" s="89"/>
      <c r="G183" s="87"/>
      <c r="H183" s="88"/>
      <c r="I183" s="88"/>
    </row>
    <row r="184" spans="1:9" ht="13">
      <c r="A184" s="112" t="s">
        <v>8001</v>
      </c>
      <c r="B184" s="111" t="s">
        <v>7965</v>
      </c>
      <c r="C184" s="87" t="s">
        <v>1013</v>
      </c>
      <c r="D184" s="89"/>
      <c r="E184" s="97"/>
      <c r="F184" s="87"/>
      <c r="G184" s="87"/>
      <c r="H184" s="88"/>
      <c r="I184" s="88"/>
    </row>
    <row r="185" spans="1:9" ht="13">
      <c r="A185" s="112" t="s">
        <v>8002</v>
      </c>
      <c r="B185" s="111" t="s">
        <v>7967</v>
      </c>
      <c r="C185" s="87" t="s">
        <v>1013</v>
      </c>
      <c r="D185" s="89"/>
      <c r="E185" s="112"/>
      <c r="F185" s="89"/>
      <c r="G185" s="87"/>
      <c r="H185" s="88"/>
      <c r="I185" s="88"/>
    </row>
    <row r="186" spans="1:9" ht="13">
      <c r="A186" s="112" t="s">
        <v>8003</v>
      </c>
      <c r="B186" s="111" t="s">
        <v>7974</v>
      </c>
      <c r="C186" s="87" t="s">
        <v>1013</v>
      </c>
      <c r="D186" s="89"/>
      <c r="E186" s="97"/>
      <c r="F186" s="89"/>
      <c r="G186" s="87"/>
      <c r="H186" s="88"/>
      <c r="I186" s="88"/>
    </row>
    <row r="187" spans="1:9" ht="13">
      <c r="A187" s="112" t="s">
        <v>8004</v>
      </c>
      <c r="B187" s="111" t="str">
        <f>HYPERLINK("https://bulbapedia.bulbagarden.net/w/index.php?title=Celebi_%26_Venusaur-GX_(Team_Up_182)&amp;action=edit&amp;redlink=1","Celebi &amp; VenusaurGX")</f>
        <v>Celebi &amp; VenusaurGX</v>
      </c>
      <c r="C187" s="87" t="s">
        <v>205</v>
      </c>
      <c r="D187" s="86"/>
      <c r="E187" s="112"/>
      <c r="F187" s="86"/>
      <c r="G187" s="87"/>
      <c r="H187" s="88"/>
      <c r="I187" s="137"/>
    </row>
    <row r="188" spans="1:9" ht="13">
      <c r="A188" s="112" t="s">
        <v>8005</v>
      </c>
      <c r="B188" s="111" t="str">
        <f>HYPERLINK("https://bulbapedia.bulbagarden.net/w/index.php?title=Magikarp_%26_Wailord-GX_(Team_Up_183)&amp;action=edit&amp;redlink=1","Magikarp &amp; WailordGX")</f>
        <v>Magikarp &amp; WailordGX</v>
      </c>
      <c r="C188" s="87" t="s">
        <v>208</v>
      </c>
      <c r="D188" s="89"/>
      <c r="E188" s="97"/>
      <c r="F188" s="87"/>
      <c r="G188" s="87"/>
      <c r="H188" s="88"/>
      <c r="I188" s="88"/>
    </row>
    <row r="189" spans="1:9" ht="13">
      <c r="A189" s="112" t="s">
        <v>8006</v>
      </c>
      <c r="B189" s="111" t="str">
        <f>HYPERLINK("https://bulbapedia.bulbagarden.net/w/index.php?title=Pikachu_%26_Zekrom-GX_(Team_Up_184)&amp;action=edit&amp;redlink=1","Pikachu &amp; ZekromGX")</f>
        <v>Pikachu &amp; ZekromGX</v>
      </c>
      <c r="C189" s="87" t="s">
        <v>192</v>
      </c>
      <c r="D189" s="86"/>
      <c r="E189" s="97"/>
      <c r="F189" s="87"/>
      <c r="G189" s="87"/>
      <c r="H189" s="88"/>
      <c r="I189" s="88"/>
    </row>
    <row r="190" spans="1:9" ht="13">
      <c r="A190" s="112" t="s">
        <v>8007</v>
      </c>
      <c r="B190" s="111" t="str">
        <f>HYPERLINK("https://bulbapedia.bulbagarden.net/w/index.php?title=Ampharos-GX_(Team_Up_185)&amp;action=edit&amp;redlink=1","AmpharosGX")</f>
        <v>AmpharosGX</v>
      </c>
      <c r="C190" s="87" t="s">
        <v>192</v>
      </c>
      <c r="D190" s="86"/>
      <c r="E190" s="112"/>
      <c r="F190" s="86"/>
      <c r="G190" s="87"/>
      <c r="H190" s="88"/>
      <c r="I190" s="137"/>
    </row>
    <row r="191" spans="1:9" ht="13">
      <c r="A191" s="112" t="s">
        <v>8008</v>
      </c>
      <c r="B191" s="111" t="str">
        <f>HYPERLINK("https://bulbapedia.bulbagarden.net/w/index.php?title=Gengar_%26_Mimikyu-GX_(Team_Up_186)&amp;action=edit&amp;redlink=1","Gengar &amp; MimikyuGX")</f>
        <v>Gengar &amp; MimikyuGX</v>
      </c>
      <c r="C191" s="87" t="s">
        <v>195</v>
      </c>
      <c r="D191" s="89"/>
      <c r="E191" s="97"/>
      <c r="F191" s="87"/>
      <c r="G191" s="87"/>
      <c r="H191" s="88"/>
      <c r="I191" s="88"/>
    </row>
    <row r="192" spans="1:9" ht="13">
      <c r="A192" s="112" t="s">
        <v>8009</v>
      </c>
      <c r="B192" s="111" t="str">
        <f>HYPERLINK("https://bulbapedia.bulbagarden.net/w/index.php?title=Hoopa-GX_(Team_Up_187)&amp;action=edit&amp;redlink=1","HoopaGX")</f>
        <v>HoopaGX</v>
      </c>
      <c r="C192" s="87" t="s">
        <v>808</v>
      </c>
      <c r="D192" s="89"/>
      <c r="E192" s="97"/>
      <c r="F192" s="89"/>
      <c r="G192" s="87"/>
      <c r="H192" s="88"/>
      <c r="I192" s="88"/>
    </row>
    <row r="193" spans="1:9" ht="13">
      <c r="A193" s="112" t="s">
        <v>8010</v>
      </c>
      <c r="B193" s="111" t="str">
        <f>HYPERLINK("https://bulbapedia.bulbagarden.net/w/index.php?title=Incineroar-GX_(Team_Up_188)&amp;action=edit&amp;redlink=1","IncineroarGX")</f>
        <v>IncineroarGX</v>
      </c>
      <c r="C193" s="87" t="s">
        <v>808</v>
      </c>
      <c r="D193" s="86"/>
      <c r="E193" s="112"/>
      <c r="F193" s="86"/>
      <c r="G193" s="87"/>
      <c r="H193" s="88"/>
      <c r="I193" s="137"/>
    </row>
    <row r="194" spans="1:9" ht="13">
      <c r="A194" s="112" t="s">
        <v>8011</v>
      </c>
      <c r="B194" s="111" t="str">
        <f>HYPERLINK("https://bulbapedia.bulbagarden.net/w/index.php?title=Cobalion-GX_(Team_Up_189)&amp;action=edit&amp;redlink=1","CobalionGX")</f>
        <v>CobalionGX</v>
      </c>
      <c r="C194" s="87" t="s">
        <v>220</v>
      </c>
      <c r="D194" s="89"/>
      <c r="E194" s="112"/>
      <c r="F194" s="89"/>
      <c r="G194" s="87"/>
      <c r="H194" s="88"/>
      <c r="I194" s="88"/>
    </row>
    <row r="195" spans="1:9" ht="13">
      <c r="A195" s="112" t="s">
        <v>8012</v>
      </c>
      <c r="B195" s="111" t="str">
        <f>HYPERLINK("https://bulbapedia.bulbagarden.net/w/index.php?title=Latias_%26_Latios-GX_(Team_Up_190)&amp;action=edit&amp;redlink=1","Latias &amp; LatiosGX")</f>
        <v>Latias &amp; LatiosGX</v>
      </c>
      <c r="C195" s="87" t="s">
        <v>4285</v>
      </c>
      <c r="D195" s="89"/>
      <c r="E195" s="97"/>
      <c r="F195" s="89"/>
      <c r="G195" s="87"/>
      <c r="H195" s="88"/>
      <c r="I195" s="88"/>
    </row>
    <row r="196" spans="1:9" ht="13">
      <c r="A196" s="112" t="s">
        <v>8013</v>
      </c>
      <c r="B196" s="111" t="str">
        <f>HYPERLINK("https://bulbapedia.bulbagarden.net/w/index.php?title=Eevee_%26_Snorlax-GX_(Team_Up_191)&amp;action=edit&amp;redlink=1","Eevee &amp; SnorlaxGX")</f>
        <v>Eevee &amp; SnorlaxGX</v>
      </c>
      <c r="C196" s="86" t="s">
        <v>8014</v>
      </c>
      <c r="D196" s="89"/>
      <c r="E196" s="112"/>
      <c r="F196" s="87"/>
      <c r="G196" s="87"/>
      <c r="H196" s="88"/>
      <c r="I196" s="88"/>
    </row>
    <row r="197" spans="1:9" ht="13">
      <c r="A197" s="112" t="s">
        <v>8015</v>
      </c>
      <c r="B197" s="111" t="s">
        <v>7941</v>
      </c>
      <c r="C197" s="87" t="s">
        <v>4114</v>
      </c>
      <c r="D197" s="89"/>
      <c r="E197" s="97"/>
      <c r="F197" s="87"/>
      <c r="G197" s="87"/>
      <c r="H197" s="88"/>
      <c r="I197" s="88"/>
    </row>
    <row r="198" spans="1:9" ht="13">
      <c r="A198" s="112" t="s">
        <v>8016</v>
      </c>
      <c r="B198" s="111" t="s">
        <v>7943</v>
      </c>
      <c r="C198" s="87" t="s">
        <v>4114</v>
      </c>
      <c r="D198" s="89"/>
      <c r="E198" s="112"/>
      <c r="F198" s="87"/>
      <c r="G198" s="87"/>
      <c r="H198" s="88"/>
      <c r="I198" s="88"/>
    </row>
    <row r="199" spans="1:9" ht="13">
      <c r="A199" s="112" t="s">
        <v>8017</v>
      </c>
      <c r="B199" s="111" t="s">
        <v>7957</v>
      </c>
      <c r="C199" s="87" t="s">
        <v>4114</v>
      </c>
      <c r="D199" s="86"/>
      <c r="E199" s="97"/>
      <c r="F199" s="87"/>
      <c r="G199" s="87"/>
      <c r="H199" s="88"/>
      <c r="I199" s="88"/>
    </row>
    <row r="200" spans="1:9" ht="13">
      <c r="A200" s="112" t="s">
        <v>8018</v>
      </c>
      <c r="B200" s="111" t="s">
        <v>7961</v>
      </c>
      <c r="C200" s="87" t="s">
        <v>4114</v>
      </c>
      <c r="D200" s="86"/>
      <c r="E200" s="112"/>
      <c r="F200" s="87"/>
      <c r="G200" s="87"/>
      <c r="H200" s="88"/>
      <c r="I200" s="88"/>
    </row>
    <row r="201" spans="1:9" ht="13">
      <c r="A201" s="112" t="s">
        <v>8019</v>
      </c>
      <c r="B201" s="111" t="s">
        <v>7969</v>
      </c>
      <c r="C201" s="87" t="s">
        <v>4114</v>
      </c>
      <c r="D201" s="89"/>
      <c r="E201" s="112"/>
      <c r="F201" s="89"/>
      <c r="G201" s="87"/>
      <c r="H201" s="88"/>
      <c r="I201" s="88"/>
    </row>
    <row r="203" spans="1:9" ht="13">
      <c r="A203" s="112"/>
      <c r="B203" s="111"/>
      <c r="C203" s="136"/>
      <c r="D203" s="112"/>
      <c r="E203" s="112"/>
      <c r="F203" s="87"/>
      <c r="G203" s="87"/>
      <c r="H203" s="88"/>
      <c r="I203" s="88"/>
    </row>
    <row r="204" spans="1:9" ht="13">
      <c r="A204" s="112"/>
      <c r="B204" s="111"/>
      <c r="C204" s="136"/>
      <c r="D204" s="107"/>
      <c r="E204" s="112"/>
      <c r="F204" s="87"/>
      <c r="G204" s="87"/>
      <c r="H204" s="88"/>
      <c r="I204" s="88"/>
    </row>
    <row r="205" spans="1:9" ht="13">
      <c r="A205" s="112"/>
      <c r="B205" s="111"/>
      <c r="C205" s="136"/>
      <c r="D205" s="107"/>
      <c r="E205" s="112"/>
      <c r="F205" s="86"/>
      <c r="G205" s="87"/>
      <c r="H205" s="88"/>
      <c r="I205" s="88"/>
    </row>
    <row r="206" spans="1:9" ht="13">
      <c r="A206" s="112"/>
      <c r="B206" s="111"/>
      <c r="C206" s="136"/>
      <c r="D206" s="107"/>
      <c r="E206" s="112"/>
      <c r="F206" s="87"/>
      <c r="G206" s="87"/>
      <c r="H206" s="88"/>
      <c r="I206" s="88"/>
    </row>
    <row r="207" spans="1:9" ht="13">
      <c r="A207" s="112"/>
      <c r="B207" s="111"/>
      <c r="C207" s="136"/>
      <c r="D207" s="112"/>
      <c r="E207" s="112"/>
      <c r="F207" s="87"/>
      <c r="G207" s="87"/>
      <c r="H207" s="88"/>
      <c r="I207" s="88"/>
    </row>
    <row r="208" spans="1:9" ht="13">
      <c r="A208" s="112"/>
      <c r="B208" s="111"/>
      <c r="C208" s="136"/>
      <c r="D208" s="112"/>
      <c r="E208" s="112"/>
      <c r="F208" s="87"/>
      <c r="G208" s="87"/>
      <c r="H208" s="88"/>
      <c r="I208" s="88"/>
    </row>
    <row r="209" spans="1:9" ht="13">
      <c r="A209" s="112"/>
      <c r="B209" s="111"/>
      <c r="C209" s="136"/>
      <c r="D209" s="112"/>
      <c r="E209" s="112"/>
      <c r="F209" s="87"/>
      <c r="G209" s="87"/>
      <c r="H209" s="88"/>
      <c r="I209" s="88"/>
    </row>
    <row r="210" spans="1:9" ht="13">
      <c r="A210" s="112"/>
      <c r="B210" s="111"/>
      <c r="C210" s="136"/>
      <c r="D210" s="107"/>
      <c r="E210" s="112"/>
      <c r="F210" s="87"/>
      <c r="G210" s="87"/>
      <c r="H210" s="88"/>
      <c r="I210" s="88"/>
    </row>
    <row r="211" spans="1:9" ht="13">
      <c r="A211" s="112"/>
      <c r="B211" s="111"/>
      <c r="C211" s="136"/>
      <c r="D211" s="112"/>
      <c r="E211" s="112"/>
      <c r="F211" s="87"/>
      <c r="G211" s="87"/>
      <c r="H211" s="88"/>
      <c r="I211" s="88"/>
    </row>
    <row r="212" spans="1:9" ht="13">
      <c r="A212" s="112"/>
      <c r="B212" s="111"/>
      <c r="C212" s="136"/>
      <c r="D212" s="112"/>
      <c r="E212" s="112"/>
      <c r="F212" s="87"/>
      <c r="G212" s="87"/>
      <c r="H212" s="88"/>
      <c r="I212" s="88"/>
    </row>
    <row r="213" spans="1:9" ht="13">
      <c r="A213" s="112"/>
      <c r="B213" s="111"/>
      <c r="C213" s="136"/>
      <c r="D213" s="107"/>
      <c r="E213" s="112"/>
      <c r="F213" s="87"/>
      <c r="G213" s="87"/>
      <c r="H213" s="88"/>
      <c r="I213" s="88"/>
    </row>
    <row r="214" spans="1:9" ht="13">
      <c r="A214" s="112"/>
      <c r="B214" s="111"/>
      <c r="C214" s="136"/>
      <c r="D214" s="107"/>
      <c r="E214" s="112"/>
      <c r="F214" s="87"/>
      <c r="G214" s="87"/>
      <c r="H214" s="88"/>
      <c r="I214" s="88"/>
    </row>
    <row r="215" spans="1:9" ht="13">
      <c r="A215" s="112"/>
      <c r="B215" s="111"/>
      <c r="C215" s="136"/>
      <c r="D215" s="112"/>
      <c r="E215" s="112"/>
      <c r="F215" s="87"/>
      <c r="G215" s="87"/>
      <c r="H215" s="88"/>
      <c r="I215" s="88"/>
    </row>
    <row r="216" spans="1:9" ht="13">
      <c r="A216" s="112"/>
      <c r="B216" s="111"/>
      <c r="C216" s="136"/>
      <c r="D216" s="107"/>
      <c r="E216" s="112"/>
      <c r="F216" s="87"/>
      <c r="G216" s="87"/>
      <c r="H216" s="88"/>
      <c r="I216" s="88"/>
    </row>
    <row r="217" spans="1:9" ht="13">
      <c r="A217" s="112"/>
      <c r="B217" s="111"/>
      <c r="C217" s="136"/>
      <c r="D217" s="112"/>
      <c r="E217" s="112"/>
      <c r="F217" s="87"/>
      <c r="G217" s="87"/>
      <c r="H217" s="88"/>
      <c r="I217" s="88"/>
    </row>
    <row r="218" spans="1:9" ht="13">
      <c r="A218" s="112"/>
      <c r="B218" s="111"/>
      <c r="C218" s="136"/>
      <c r="D218" s="112"/>
      <c r="E218" s="112"/>
      <c r="F218" s="87"/>
      <c r="G218" s="87"/>
      <c r="H218" s="88"/>
      <c r="I218" s="88"/>
    </row>
    <row r="219" spans="1:9" ht="13">
      <c r="A219" s="112"/>
      <c r="B219" s="111"/>
      <c r="C219" s="136"/>
      <c r="D219" s="107"/>
      <c r="E219" s="112"/>
      <c r="F219" s="86"/>
      <c r="G219" s="87"/>
      <c r="H219" s="88"/>
      <c r="I219" s="88"/>
    </row>
    <row r="220" spans="1:9" ht="13">
      <c r="A220" s="112"/>
      <c r="B220" s="111"/>
      <c r="C220" s="136"/>
      <c r="D220" s="107"/>
      <c r="E220" s="112"/>
      <c r="F220" s="87"/>
      <c r="G220" s="87"/>
      <c r="H220" s="88"/>
      <c r="I220" s="88"/>
    </row>
    <row r="221" spans="1:9" ht="13">
      <c r="A221" s="112"/>
      <c r="B221" s="111"/>
      <c r="C221" s="136"/>
      <c r="D221" s="112"/>
      <c r="E221" s="112"/>
      <c r="F221" s="87"/>
      <c r="G221" s="87"/>
      <c r="H221" s="88"/>
      <c r="I221" s="88"/>
    </row>
    <row r="222" spans="1:9" ht="13">
      <c r="A222" s="112"/>
      <c r="B222" s="111"/>
      <c r="C222" s="136"/>
      <c r="D222" s="112"/>
      <c r="E222" s="112"/>
      <c r="F222" s="87"/>
      <c r="G222" s="87"/>
      <c r="H222" s="88"/>
      <c r="I222" s="88"/>
    </row>
    <row r="223" spans="1:9" ht="13">
      <c r="A223" s="112"/>
      <c r="B223" s="111"/>
      <c r="C223" s="136"/>
      <c r="D223" s="112"/>
      <c r="E223" s="112"/>
      <c r="F223" s="87"/>
      <c r="G223" s="87"/>
      <c r="H223" s="88"/>
      <c r="I223" s="88"/>
    </row>
    <row r="224" spans="1:9" ht="13">
      <c r="A224" s="112"/>
      <c r="B224" s="111"/>
      <c r="C224" s="136"/>
      <c r="D224" s="112"/>
      <c r="E224" s="112"/>
      <c r="F224" s="87"/>
      <c r="G224" s="87"/>
      <c r="H224" s="88"/>
      <c r="I224" s="88"/>
    </row>
    <row r="225" spans="1:9" ht="13">
      <c r="A225" s="112"/>
      <c r="B225" s="111"/>
      <c r="C225" s="136"/>
      <c r="D225" s="112"/>
      <c r="E225" s="112"/>
      <c r="F225" s="87"/>
      <c r="G225" s="87"/>
      <c r="H225" s="88"/>
      <c r="I225" s="88"/>
    </row>
    <row r="226" spans="1:9" ht="13">
      <c r="A226" s="112"/>
      <c r="B226" s="111"/>
      <c r="C226" s="136"/>
      <c r="D226" s="107"/>
      <c r="E226" s="112"/>
      <c r="F226" s="87"/>
      <c r="G226" s="87"/>
      <c r="H226" s="88"/>
      <c r="I226" s="88"/>
    </row>
    <row r="227" spans="1:9" ht="13">
      <c r="A227" s="112"/>
      <c r="B227" s="111"/>
      <c r="C227" s="136"/>
      <c r="D227" s="112"/>
      <c r="E227" s="112"/>
      <c r="F227" s="87"/>
      <c r="G227" s="87"/>
      <c r="H227" s="88"/>
      <c r="I227" s="88"/>
    </row>
    <row r="228" spans="1:9" ht="13">
      <c r="A228" s="112"/>
      <c r="B228" s="111"/>
      <c r="C228" s="136"/>
      <c r="D228" s="112"/>
      <c r="E228" s="112"/>
      <c r="F228" s="87"/>
      <c r="G228" s="87"/>
      <c r="H228" s="88"/>
      <c r="I228" s="88"/>
    </row>
    <row r="229" spans="1:9" ht="13">
      <c r="A229" s="112"/>
      <c r="B229" s="111"/>
      <c r="C229" s="136"/>
      <c r="D229" s="112"/>
      <c r="E229" s="112"/>
      <c r="F229" s="87"/>
      <c r="G229" s="87"/>
      <c r="H229" s="88"/>
      <c r="I229" s="88"/>
    </row>
    <row r="230" spans="1:9" ht="13">
      <c r="A230" s="112"/>
      <c r="B230" s="111"/>
      <c r="C230" s="136"/>
      <c r="D230" s="112"/>
      <c r="E230" s="112"/>
      <c r="F230" s="87"/>
      <c r="G230" s="87"/>
      <c r="H230" s="88"/>
      <c r="I230" s="88"/>
    </row>
    <row r="231" spans="1:9" ht="13">
      <c r="A231" s="112"/>
      <c r="B231" s="111"/>
      <c r="C231" s="136"/>
      <c r="D231" s="112"/>
      <c r="E231" s="112"/>
      <c r="F231" s="87"/>
      <c r="G231" s="87"/>
      <c r="H231" s="88"/>
      <c r="I231" s="88"/>
    </row>
    <row r="232" spans="1:9" ht="13">
      <c r="A232" s="112"/>
      <c r="B232" s="111"/>
      <c r="C232" s="136"/>
      <c r="D232" s="112"/>
      <c r="E232" s="112"/>
      <c r="F232" s="87"/>
      <c r="G232" s="87"/>
      <c r="H232" s="88"/>
      <c r="I232" s="88"/>
    </row>
    <row r="233" spans="1:9" ht="13">
      <c r="A233" s="112"/>
      <c r="B233" s="111"/>
      <c r="C233" s="136"/>
      <c r="D233" s="112"/>
      <c r="E233" s="112"/>
      <c r="F233" s="87"/>
      <c r="G233" s="87"/>
      <c r="H233" s="88"/>
      <c r="I233" s="88"/>
    </row>
    <row r="234" spans="1:9" ht="13">
      <c r="A234" s="112"/>
      <c r="B234" s="111"/>
      <c r="C234" s="136"/>
      <c r="D234" s="112"/>
      <c r="E234" s="112"/>
      <c r="F234" s="87"/>
      <c r="G234" s="87"/>
      <c r="H234" s="88"/>
      <c r="I234" s="88"/>
    </row>
    <row r="235" spans="1:9" ht="13">
      <c r="A235" s="112"/>
      <c r="B235" s="111"/>
      <c r="C235" s="136"/>
      <c r="D235" s="107"/>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12"/>
      <c r="E240" s="112"/>
      <c r="F240" s="87"/>
      <c r="G240" s="87"/>
      <c r="H240" s="88"/>
      <c r="I240" s="88"/>
    </row>
    <row r="241" spans="1:9" ht="13">
      <c r="A241" s="112"/>
      <c r="B241" s="111"/>
      <c r="C241" s="136"/>
      <c r="D241" s="107"/>
      <c r="E241" s="112"/>
      <c r="F241" s="86"/>
      <c r="G241" s="87"/>
      <c r="H241" s="88"/>
      <c r="I241" s="88"/>
    </row>
    <row r="242" spans="1:9" ht="13">
      <c r="A242" s="112"/>
      <c r="B242" s="111"/>
      <c r="C242" s="136"/>
      <c r="D242" s="112"/>
      <c r="E242" s="112"/>
      <c r="F242" s="87"/>
      <c r="G242" s="87"/>
      <c r="H242" s="88"/>
      <c r="I242" s="88"/>
    </row>
    <row r="243" spans="1:9" ht="13">
      <c r="D243" s="5"/>
      <c r="E243" s="5"/>
      <c r="F243" s="5"/>
      <c r="G243" s="5"/>
    </row>
    <row r="244" spans="1:9" ht="13">
      <c r="D244" s="5"/>
      <c r="E244" s="5"/>
      <c r="F244" s="5"/>
      <c r="G244" s="5"/>
    </row>
    <row r="245" spans="1:9" ht="13">
      <c r="D245" s="5"/>
      <c r="E245" s="5"/>
      <c r="F245" s="5"/>
      <c r="G245" s="5"/>
    </row>
    <row r="246" spans="1:9" ht="13">
      <c r="D246" s="5"/>
      <c r="E246" s="5"/>
      <c r="F246" s="5"/>
      <c r="G246" s="5"/>
    </row>
    <row r="247" spans="1:9" ht="13">
      <c r="D247" s="5"/>
      <c r="E247" s="5"/>
      <c r="F247" s="5"/>
      <c r="G247" s="5"/>
    </row>
    <row r="248" spans="1:9" ht="13">
      <c r="D248" s="5"/>
      <c r="E248" s="5"/>
      <c r="F248" s="5"/>
      <c r="G248" s="5"/>
    </row>
    <row r="249" spans="1:9" ht="13">
      <c r="D249" s="5"/>
      <c r="E249" s="5"/>
      <c r="F249" s="5"/>
      <c r="G249" s="5"/>
    </row>
    <row r="250" spans="1:9" ht="13">
      <c r="D250" s="5"/>
      <c r="E250" s="5"/>
      <c r="F250" s="5"/>
      <c r="G250" s="5"/>
    </row>
    <row r="251" spans="1:9" ht="13">
      <c r="D251" s="5"/>
      <c r="E251" s="5"/>
      <c r="F251" s="5"/>
      <c r="G251" s="5"/>
    </row>
    <row r="252" spans="1:9" ht="13">
      <c r="D252" s="5"/>
      <c r="E252" s="5"/>
      <c r="F252" s="5"/>
      <c r="G252" s="5"/>
    </row>
    <row r="253" spans="1:9" ht="13">
      <c r="D253" s="5"/>
      <c r="E253" s="5"/>
      <c r="F253" s="5"/>
      <c r="G253" s="5"/>
    </row>
    <row r="254" spans="1:9" ht="13">
      <c r="D254" s="5"/>
      <c r="E254" s="5"/>
      <c r="F254" s="5"/>
      <c r="G254" s="5"/>
    </row>
    <row r="255" spans="1:9" ht="13">
      <c r="D255" s="5"/>
      <c r="E255" s="5"/>
      <c r="F255" s="5"/>
      <c r="G255" s="5"/>
    </row>
    <row r="256" spans="1:9" ht="13">
      <c r="D256" s="5"/>
      <c r="E256" s="5"/>
      <c r="F256" s="5"/>
      <c r="G256" s="5"/>
    </row>
    <row r="257" spans="4:7" ht="13">
      <c r="D257" s="5"/>
      <c r="E257" s="5"/>
      <c r="F257" s="5"/>
      <c r="G257" s="5"/>
    </row>
    <row r="258" spans="4:7" ht="13">
      <c r="D258" s="5"/>
      <c r="E258" s="5"/>
      <c r="F258" s="5"/>
      <c r="G258" s="5"/>
    </row>
    <row r="259" spans="4:7" ht="13">
      <c r="D259" s="5"/>
      <c r="E259" s="5"/>
      <c r="F259" s="5"/>
      <c r="G259" s="5"/>
    </row>
    <row r="260" spans="4:7" ht="13">
      <c r="D260" s="5"/>
      <c r="E260" s="5"/>
      <c r="F260" s="5"/>
      <c r="G260" s="5"/>
    </row>
    <row r="261" spans="4:7" ht="13">
      <c r="D261" s="5"/>
      <c r="E261" s="5"/>
      <c r="F261" s="5"/>
      <c r="G261" s="5"/>
    </row>
    <row r="262" spans="4:7" ht="13">
      <c r="D262" s="5"/>
      <c r="E262" s="5"/>
      <c r="F262" s="5"/>
      <c r="G262" s="5"/>
    </row>
    <row r="263" spans="4:7" ht="13">
      <c r="D263" s="5"/>
      <c r="E263" s="5"/>
      <c r="F263" s="5"/>
      <c r="G263" s="5"/>
    </row>
    <row r="264" spans="4:7" ht="13">
      <c r="D264" s="5"/>
      <c r="E264" s="5"/>
      <c r="F264" s="5"/>
      <c r="G264" s="5"/>
    </row>
    <row r="265" spans="4:7" ht="13">
      <c r="D265" s="5"/>
      <c r="E265" s="5"/>
      <c r="F265" s="5"/>
      <c r="G265" s="5"/>
    </row>
    <row r="266" spans="4:7" ht="13">
      <c r="D266" s="5"/>
      <c r="E266" s="5"/>
      <c r="F266" s="5"/>
      <c r="G266" s="5"/>
    </row>
    <row r="267" spans="4:7" ht="13">
      <c r="D267" s="5"/>
      <c r="E267" s="5"/>
      <c r="F267" s="5"/>
      <c r="G267" s="5"/>
    </row>
    <row r="268" spans="4:7" ht="13">
      <c r="D268" s="5"/>
      <c r="E268" s="5"/>
      <c r="F268" s="5"/>
      <c r="G268" s="5"/>
    </row>
    <row r="269" spans="4:7" ht="13">
      <c r="D269" s="5"/>
      <c r="E269" s="5"/>
      <c r="F269" s="5"/>
      <c r="G269" s="5"/>
    </row>
    <row r="270" spans="4:7" ht="13">
      <c r="D270" s="5"/>
      <c r="E270" s="5"/>
      <c r="F270" s="5"/>
      <c r="G270" s="5"/>
    </row>
    <row r="271" spans="4:7" ht="13">
      <c r="D271" s="5"/>
      <c r="E271" s="5"/>
      <c r="F271" s="5"/>
      <c r="G271" s="5"/>
    </row>
    <row r="272" spans="4:7" ht="13">
      <c r="D272" s="5"/>
      <c r="E272" s="5"/>
      <c r="F272" s="5"/>
      <c r="G272" s="5"/>
    </row>
    <row r="273" spans="4:7" ht="13">
      <c r="D273" s="5"/>
      <c r="E273" s="5"/>
      <c r="F273" s="5"/>
      <c r="G273" s="5"/>
    </row>
    <row r="274" spans="4:7" ht="13">
      <c r="D274" s="5"/>
      <c r="E274" s="5"/>
      <c r="F274" s="5"/>
      <c r="G274" s="5"/>
    </row>
    <row r="275" spans="4:7" ht="13">
      <c r="D275" s="5"/>
      <c r="E275" s="5"/>
      <c r="F275" s="5"/>
      <c r="G275" s="5"/>
    </row>
    <row r="276" spans="4:7" ht="13">
      <c r="D276" s="5"/>
      <c r="E276" s="5"/>
      <c r="F276" s="5"/>
      <c r="G276" s="5"/>
    </row>
    <row r="277" spans="4:7" ht="13">
      <c r="D277" s="5"/>
      <c r="E277" s="5"/>
      <c r="F277" s="5"/>
      <c r="G277" s="5"/>
    </row>
    <row r="278" spans="4:7" ht="13">
      <c r="D278" s="5"/>
      <c r="E278" s="5"/>
      <c r="F278" s="5"/>
      <c r="G278" s="5"/>
    </row>
    <row r="279" spans="4:7" ht="13">
      <c r="D279" s="5"/>
      <c r="E279" s="5"/>
      <c r="F279" s="5"/>
      <c r="G279" s="5"/>
    </row>
    <row r="280" spans="4:7" ht="13">
      <c r="D280" s="5"/>
      <c r="E280" s="5"/>
      <c r="F280" s="5"/>
      <c r="G280" s="5"/>
    </row>
    <row r="281" spans="4:7" ht="13">
      <c r="D281" s="5"/>
      <c r="E281" s="5"/>
      <c r="F281" s="5"/>
      <c r="G281" s="5"/>
    </row>
    <row r="282" spans="4:7" ht="13">
      <c r="D282" s="5"/>
      <c r="E282" s="5"/>
      <c r="F282" s="5"/>
      <c r="G282" s="5"/>
    </row>
    <row r="283" spans="4:7" ht="13">
      <c r="D283" s="5"/>
      <c r="E283" s="5"/>
      <c r="F283" s="5"/>
      <c r="G283" s="5"/>
    </row>
    <row r="284" spans="4:7" ht="13">
      <c r="D284" s="5"/>
      <c r="E284" s="5"/>
      <c r="F284" s="5"/>
      <c r="G284" s="5"/>
    </row>
    <row r="285" spans="4:7" ht="13">
      <c r="D285" s="5"/>
      <c r="E285" s="5"/>
      <c r="F285" s="5"/>
      <c r="G285" s="5"/>
    </row>
    <row r="286" spans="4:7" ht="13">
      <c r="D286" s="5"/>
      <c r="E286" s="5"/>
      <c r="F286" s="5"/>
      <c r="G286" s="5"/>
    </row>
    <row r="287" spans="4:7" ht="13">
      <c r="D287" s="5"/>
      <c r="E287" s="5"/>
      <c r="F287" s="5"/>
      <c r="G287" s="5"/>
    </row>
    <row r="288" spans="4: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row r="1001" spans="4:7" ht="13">
      <c r="D1001" s="5"/>
      <c r="E1001" s="5"/>
      <c r="F1001" s="5"/>
      <c r="G1001" s="5"/>
    </row>
  </sheetData>
  <hyperlinks>
    <hyperlink ref="B6" r:id="rId1" xr:uid="{00000000-0004-0000-5E00-000000000000}"/>
    <hyperlink ref="B7" r:id="rId2" xr:uid="{00000000-0004-0000-5E00-000001000000}"/>
    <hyperlink ref="B8" r:id="rId3" xr:uid="{00000000-0004-0000-5E00-000002000000}"/>
    <hyperlink ref="B9" r:id="rId4" xr:uid="{00000000-0004-0000-5E00-000003000000}"/>
    <hyperlink ref="B10" r:id="rId5" xr:uid="{00000000-0004-0000-5E00-000004000000}"/>
    <hyperlink ref="B11" r:id="rId6" xr:uid="{00000000-0004-0000-5E00-000005000000}"/>
    <hyperlink ref="B12" r:id="rId7" xr:uid="{00000000-0004-0000-5E00-000006000000}"/>
    <hyperlink ref="B13" r:id="rId8" xr:uid="{00000000-0004-0000-5E00-000007000000}"/>
    <hyperlink ref="B15" r:id="rId9" xr:uid="{00000000-0004-0000-5E00-000008000000}"/>
    <hyperlink ref="B16" r:id="rId10" xr:uid="{00000000-0004-0000-5E00-000009000000}"/>
    <hyperlink ref="B17" r:id="rId11" xr:uid="{00000000-0004-0000-5E00-00000A000000}"/>
    <hyperlink ref="B18" r:id="rId12" xr:uid="{00000000-0004-0000-5E00-00000B000000}"/>
    <hyperlink ref="B19" r:id="rId13" xr:uid="{00000000-0004-0000-5E00-00000C000000}"/>
    <hyperlink ref="B20" r:id="rId14" xr:uid="{00000000-0004-0000-5E00-00000D000000}"/>
    <hyperlink ref="B21" r:id="rId15" xr:uid="{00000000-0004-0000-5E00-00000E000000}"/>
    <hyperlink ref="B22" r:id="rId16" xr:uid="{00000000-0004-0000-5E00-00000F000000}"/>
    <hyperlink ref="B23" r:id="rId17" xr:uid="{00000000-0004-0000-5E00-000010000000}"/>
    <hyperlink ref="B24" r:id="rId18" xr:uid="{00000000-0004-0000-5E00-000011000000}"/>
    <hyperlink ref="B25" r:id="rId19" xr:uid="{00000000-0004-0000-5E00-000012000000}"/>
    <hyperlink ref="B26" r:id="rId20" xr:uid="{00000000-0004-0000-5E00-000013000000}"/>
    <hyperlink ref="B27" r:id="rId21" xr:uid="{00000000-0004-0000-5E00-000014000000}"/>
    <hyperlink ref="B28" r:id="rId22" xr:uid="{00000000-0004-0000-5E00-000015000000}"/>
    <hyperlink ref="B29" r:id="rId23" xr:uid="{00000000-0004-0000-5E00-000016000000}"/>
    <hyperlink ref="B30" r:id="rId24" xr:uid="{00000000-0004-0000-5E00-000017000000}"/>
    <hyperlink ref="B31" r:id="rId25" xr:uid="{00000000-0004-0000-5E00-000018000000}"/>
    <hyperlink ref="B32" r:id="rId26" xr:uid="{00000000-0004-0000-5E00-000019000000}"/>
    <hyperlink ref="B33" r:id="rId27" xr:uid="{00000000-0004-0000-5E00-00001A000000}"/>
    <hyperlink ref="B34" r:id="rId28" xr:uid="{00000000-0004-0000-5E00-00001B000000}"/>
    <hyperlink ref="B35" r:id="rId29" xr:uid="{00000000-0004-0000-5E00-00001C000000}"/>
    <hyperlink ref="B36" r:id="rId30" xr:uid="{00000000-0004-0000-5E00-00001D000000}"/>
    <hyperlink ref="B38" r:id="rId31" xr:uid="{00000000-0004-0000-5E00-00001E000000}"/>
    <hyperlink ref="B39" r:id="rId32" xr:uid="{00000000-0004-0000-5E00-00001F000000}"/>
    <hyperlink ref="B40" r:id="rId33" xr:uid="{00000000-0004-0000-5E00-000020000000}"/>
    <hyperlink ref="B41" r:id="rId34" xr:uid="{00000000-0004-0000-5E00-000021000000}"/>
    <hyperlink ref="B42" r:id="rId35" xr:uid="{00000000-0004-0000-5E00-000022000000}"/>
    <hyperlink ref="B43" r:id="rId36" xr:uid="{00000000-0004-0000-5E00-000023000000}"/>
    <hyperlink ref="B44" r:id="rId37" xr:uid="{00000000-0004-0000-5E00-000024000000}"/>
    <hyperlink ref="B45" r:id="rId38" xr:uid="{00000000-0004-0000-5E00-000025000000}"/>
    <hyperlink ref="B46" r:id="rId39" xr:uid="{00000000-0004-0000-5E00-000026000000}"/>
    <hyperlink ref="B48" r:id="rId40" xr:uid="{00000000-0004-0000-5E00-000027000000}"/>
    <hyperlink ref="B49" r:id="rId41" xr:uid="{00000000-0004-0000-5E00-000028000000}"/>
    <hyperlink ref="B50" r:id="rId42" xr:uid="{00000000-0004-0000-5E00-000029000000}"/>
    <hyperlink ref="B51" r:id="rId43" xr:uid="{00000000-0004-0000-5E00-00002A000000}"/>
    <hyperlink ref="B52" r:id="rId44" xr:uid="{00000000-0004-0000-5E00-00002B000000}"/>
    <hyperlink ref="B53" r:id="rId45" xr:uid="{00000000-0004-0000-5E00-00002C000000}"/>
    <hyperlink ref="B54" r:id="rId46" xr:uid="{00000000-0004-0000-5E00-00002D000000}"/>
    <hyperlink ref="B56" r:id="rId47" xr:uid="{00000000-0004-0000-5E00-00002E000000}"/>
    <hyperlink ref="B58" r:id="rId48" xr:uid="{00000000-0004-0000-5E00-00002F000000}"/>
    <hyperlink ref="B59" r:id="rId49" xr:uid="{00000000-0004-0000-5E00-000030000000}"/>
    <hyperlink ref="B60" r:id="rId50" xr:uid="{00000000-0004-0000-5E00-000031000000}"/>
    <hyperlink ref="B61" r:id="rId51" xr:uid="{00000000-0004-0000-5E00-000032000000}"/>
    <hyperlink ref="B62" r:id="rId52" xr:uid="{00000000-0004-0000-5E00-000033000000}"/>
    <hyperlink ref="B63" r:id="rId53" xr:uid="{00000000-0004-0000-5E00-000034000000}"/>
    <hyperlink ref="B64" r:id="rId54" xr:uid="{00000000-0004-0000-5E00-000035000000}"/>
    <hyperlink ref="B65" r:id="rId55" xr:uid="{00000000-0004-0000-5E00-000036000000}"/>
    <hyperlink ref="B66" r:id="rId56" xr:uid="{00000000-0004-0000-5E00-000037000000}"/>
    <hyperlink ref="B67" r:id="rId57" xr:uid="{00000000-0004-0000-5E00-000038000000}"/>
    <hyperlink ref="B68" r:id="rId58" xr:uid="{00000000-0004-0000-5E00-000039000000}"/>
    <hyperlink ref="B69" r:id="rId59" xr:uid="{00000000-0004-0000-5E00-00003A000000}"/>
    <hyperlink ref="B70" r:id="rId60" xr:uid="{00000000-0004-0000-5E00-00003B000000}"/>
    <hyperlink ref="B72" r:id="rId61" xr:uid="{00000000-0004-0000-5E00-00003C000000}"/>
    <hyperlink ref="B73" r:id="rId62" xr:uid="{00000000-0004-0000-5E00-00003D000000}"/>
    <hyperlink ref="B74" r:id="rId63" xr:uid="{00000000-0004-0000-5E00-00003E000000}"/>
    <hyperlink ref="B75" r:id="rId64" xr:uid="{00000000-0004-0000-5E00-00003F000000}"/>
    <hyperlink ref="B76" r:id="rId65" xr:uid="{00000000-0004-0000-5E00-000040000000}"/>
    <hyperlink ref="B77" r:id="rId66" xr:uid="{00000000-0004-0000-5E00-000041000000}"/>
    <hyperlink ref="B78" r:id="rId67" xr:uid="{00000000-0004-0000-5E00-000042000000}"/>
    <hyperlink ref="B79" r:id="rId68" xr:uid="{00000000-0004-0000-5E00-000043000000}"/>
    <hyperlink ref="B80" r:id="rId69" xr:uid="{00000000-0004-0000-5E00-000044000000}"/>
    <hyperlink ref="B81" r:id="rId70" xr:uid="{00000000-0004-0000-5E00-000045000000}"/>
    <hyperlink ref="B82" r:id="rId71" xr:uid="{00000000-0004-0000-5E00-000046000000}"/>
    <hyperlink ref="B83" r:id="rId72" xr:uid="{00000000-0004-0000-5E00-000047000000}"/>
    <hyperlink ref="B84" r:id="rId73" xr:uid="{00000000-0004-0000-5E00-000048000000}"/>
    <hyperlink ref="B85" r:id="rId74" xr:uid="{00000000-0004-0000-5E00-000049000000}"/>
    <hyperlink ref="B87" r:id="rId75" xr:uid="{00000000-0004-0000-5E00-00004A000000}"/>
    <hyperlink ref="B88" r:id="rId76" xr:uid="{00000000-0004-0000-5E00-00004B000000}"/>
    <hyperlink ref="B89" r:id="rId77" xr:uid="{00000000-0004-0000-5E00-00004C000000}"/>
    <hyperlink ref="B90" r:id="rId78" xr:uid="{00000000-0004-0000-5E00-00004D000000}"/>
    <hyperlink ref="B91" r:id="rId79" xr:uid="{00000000-0004-0000-5E00-00004E000000}"/>
    <hyperlink ref="B92" r:id="rId80" xr:uid="{00000000-0004-0000-5E00-00004F000000}"/>
    <hyperlink ref="B93" r:id="rId81" xr:uid="{00000000-0004-0000-5E00-000050000000}"/>
    <hyperlink ref="B94" r:id="rId82" xr:uid="{00000000-0004-0000-5E00-000051000000}"/>
    <hyperlink ref="B95" r:id="rId83" xr:uid="{00000000-0004-0000-5E00-000052000000}"/>
    <hyperlink ref="B96" r:id="rId84" xr:uid="{00000000-0004-0000-5E00-000053000000}"/>
    <hyperlink ref="B97" r:id="rId85" xr:uid="{00000000-0004-0000-5E00-000054000000}"/>
    <hyperlink ref="B98" r:id="rId86" xr:uid="{00000000-0004-0000-5E00-000055000000}"/>
    <hyperlink ref="B99" r:id="rId87" xr:uid="{00000000-0004-0000-5E00-000056000000}"/>
    <hyperlink ref="B102" r:id="rId88" xr:uid="{00000000-0004-0000-5E00-000057000000}"/>
    <hyperlink ref="B103" r:id="rId89" xr:uid="{00000000-0004-0000-5E00-000058000000}"/>
    <hyperlink ref="B104" r:id="rId90" xr:uid="{00000000-0004-0000-5E00-000059000000}"/>
    <hyperlink ref="B105" r:id="rId91" xr:uid="{00000000-0004-0000-5E00-00005A000000}"/>
    <hyperlink ref="B106" r:id="rId92" xr:uid="{00000000-0004-0000-5E00-00005B000000}"/>
    <hyperlink ref="B107" r:id="rId93" xr:uid="{00000000-0004-0000-5E00-00005C000000}"/>
    <hyperlink ref="B108" r:id="rId94" xr:uid="{00000000-0004-0000-5E00-00005D000000}"/>
    <hyperlink ref="B109" r:id="rId95" xr:uid="{00000000-0004-0000-5E00-00005E000000}"/>
    <hyperlink ref="B111" r:id="rId96" xr:uid="{00000000-0004-0000-5E00-00005F000000}"/>
    <hyperlink ref="B112" r:id="rId97" xr:uid="{00000000-0004-0000-5E00-000060000000}"/>
    <hyperlink ref="B113" r:id="rId98" xr:uid="{00000000-0004-0000-5E00-000061000000}"/>
    <hyperlink ref="B114" r:id="rId99" xr:uid="{00000000-0004-0000-5E00-000062000000}"/>
    <hyperlink ref="B115" r:id="rId100" xr:uid="{00000000-0004-0000-5E00-000063000000}"/>
    <hyperlink ref="B116" r:id="rId101" xr:uid="{00000000-0004-0000-5E00-000064000000}"/>
    <hyperlink ref="B118" r:id="rId102" xr:uid="{00000000-0004-0000-5E00-000065000000}"/>
    <hyperlink ref="B119" r:id="rId103" xr:uid="{00000000-0004-0000-5E00-000066000000}"/>
    <hyperlink ref="B120" r:id="rId104" xr:uid="{00000000-0004-0000-5E00-000067000000}"/>
    <hyperlink ref="B121" r:id="rId105" xr:uid="{00000000-0004-0000-5E00-000068000000}"/>
    <hyperlink ref="B122" r:id="rId106" xr:uid="{00000000-0004-0000-5E00-000069000000}"/>
    <hyperlink ref="B123" r:id="rId107" xr:uid="{00000000-0004-0000-5E00-00006A000000}"/>
    <hyperlink ref="B125" r:id="rId108" xr:uid="{00000000-0004-0000-5E00-00006B000000}"/>
    <hyperlink ref="B126" r:id="rId109" xr:uid="{00000000-0004-0000-5E00-00006C000000}"/>
    <hyperlink ref="B127" r:id="rId110" xr:uid="{00000000-0004-0000-5E00-00006D000000}"/>
    <hyperlink ref="B128" r:id="rId111" xr:uid="{00000000-0004-0000-5E00-00006E000000}"/>
    <hyperlink ref="B129" r:id="rId112" xr:uid="{00000000-0004-0000-5E00-00006F000000}"/>
    <hyperlink ref="B130" r:id="rId113" xr:uid="{00000000-0004-0000-5E00-000070000000}"/>
    <hyperlink ref="B131" r:id="rId114" xr:uid="{00000000-0004-0000-5E00-000071000000}"/>
    <hyperlink ref="B132" r:id="rId115" xr:uid="{00000000-0004-0000-5E00-000072000000}"/>
    <hyperlink ref="B133" r:id="rId116" xr:uid="{00000000-0004-0000-5E00-000073000000}"/>
    <hyperlink ref="B134" r:id="rId117" xr:uid="{00000000-0004-0000-5E00-000074000000}"/>
    <hyperlink ref="B135" r:id="rId118" xr:uid="{00000000-0004-0000-5E00-000075000000}"/>
    <hyperlink ref="B136" r:id="rId119" xr:uid="{00000000-0004-0000-5E00-000076000000}"/>
    <hyperlink ref="B137" r:id="rId120" xr:uid="{00000000-0004-0000-5E00-000077000000}"/>
    <hyperlink ref="B139" r:id="rId121" xr:uid="{00000000-0004-0000-5E00-000078000000}"/>
    <hyperlink ref="B140" r:id="rId122" xr:uid="{00000000-0004-0000-5E00-000079000000}"/>
    <hyperlink ref="B141" r:id="rId123" xr:uid="{00000000-0004-0000-5E00-00007A000000}"/>
    <hyperlink ref="B142" r:id="rId124" xr:uid="{00000000-0004-0000-5E00-00007B000000}"/>
    <hyperlink ref="B143" r:id="rId125" xr:uid="{00000000-0004-0000-5E00-00007C000000}"/>
    <hyperlink ref="B144" r:id="rId126" xr:uid="{00000000-0004-0000-5E00-00007D000000}"/>
    <hyperlink ref="B145" r:id="rId127" xr:uid="{00000000-0004-0000-5E00-00007E000000}"/>
    <hyperlink ref="B146" r:id="rId128" xr:uid="{00000000-0004-0000-5E00-00007F000000}"/>
    <hyperlink ref="B147" r:id="rId129" xr:uid="{00000000-0004-0000-5E00-000080000000}"/>
    <hyperlink ref="B148" r:id="rId130" xr:uid="{00000000-0004-0000-5E00-000081000000}"/>
    <hyperlink ref="B149" r:id="rId131" xr:uid="{00000000-0004-0000-5E00-000082000000}"/>
    <hyperlink ref="B150" r:id="rId132" xr:uid="{00000000-0004-0000-5E00-000083000000}"/>
    <hyperlink ref="B151" r:id="rId133" xr:uid="{00000000-0004-0000-5E00-000084000000}"/>
    <hyperlink ref="B152" r:id="rId134" xr:uid="{00000000-0004-0000-5E00-000085000000}"/>
    <hyperlink ref="B153" r:id="rId135" xr:uid="{00000000-0004-0000-5E00-000086000000}"/>
    <hyperlink ref="B154" r:id="rId136" xr:uid="{00000000-0004-0000-5E00-000087000000}"/>
    <hyperlink ref="B155" r:id="rId137" xr:uid="{00000000-0004-0000-5E00-000088000000}"/>
    <hyperlink ref="B156" r:id="rId138" xr:uid="{00000000-0004-0000-5E00-000089000000}"/>
    <hyperlink ref="B157" r:id="rId139" xr:uid="{00000000-0004-0000-5E00-00008A000000}"/>
    <hyperlink ref="B158" r:id="rId140" xr:uid="{00000000-0004-0000-5E00-00008B000000}"/>
    <hyperlink ref="B159" r:id="rId141" xr:uid="{00000000-0004-0000-5E00-00008C000000}"/>
    <hyperlink ref="B160" r:id="rId142" xr:uid="{00000000-0004-0000-5E00-00008D000000}"/>
    <hyperlink ref="B161" r:id="rId143" xr:uid="{00000000-0004-0000-5E00-00008E000000}"/>
    <hyperlink ref="B162" r:id="rId144" xr:uid="{00000000-0004-0000-5E00-00008F000000}"/>
    <hyperlink ref="B177" r:id="rId145" xr:uid="{00000000-0004-0000-5E00-000090000000}"/>
    <hyperlink ref="B178" r:id="rId146" xr:uid="{00000000-0004-0000-5E00-000091000000}"/>
    <hyperlink ref="B179" r:id="rId147" xr:uid="{00000000-0004-0000-5E00-000092000000}"/>
    <hyperlink ref="B180" r:id="rId148" xr:uid="{00000000-0004-0000-5E00-000093000000}"/>
    <hyperlink ref="B181" r:id="rId149" xr:uid="{00000000-0004-0000-5E00-000094000000}"/>
    <hyperlink ref="B182" r:id="rId150" xr:uid="{00000000-0004-0000-5E00-000095000000}"/>
    <hyperlink ref="B183" r:id="rId151" xr:uid="{00000000-0004-0000-5E00-000096000000}"/>
    <hyperlink ref="B184" r:id="rId152" xr:uid="{00000000-0004-0000-5E00-000097000000}"/>
    <hyperlink ref="B185" r:id="rId153" xr:uid="{00000000-0004-0000-5E00-000098000000}"/>
    <hyperlink ref="B186" r:id="rId154" xr:uid="{00000000-0004-0000-5E00-000099000000}"/>
    <hyperlink ref="B197" r:id="rId155" xr:uid="{00000000-0004-0000-5E00-00009A000000}"/>
    <hyperlink ref="B198" r:id="rId156" xr:uid="{00000000-0004-0000-5E00-00009B000000}"/>
    <hyperlink ref="B199" r:id="rId157" xr:uid="{00000000-0004-0000-5E00-00009C000000}"/>
    <hyperlink ref="B200" r:id="rId158" xr:uid="{00000000-0004-0000-5E00-00009D000000}"/>
    <hyperlink ref="B201" r:id="rId159" xr:uid="{00000000-0004-0000-5E00-00009E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6">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15" customWidth="1"/>
    <col min="4" max="4" width="14" customWidth="1"/>
    <col min="5" max="5" width="15.1640625" customWidth="1"/>
  </cols>
  <sheetData>
    <row r="1" spans="1:10" ht="15.75" customHeight="1">
      <c r="A1" s="131" t="s">
        <v>122</v>
      </c>
      <c r="B1" s="88"/>
      <c r="C1" s="132"/>
      <c r="D1" s="81" t="s">
        <v>181</v>
      </c>
      <c r="E1" s="87"/>
      <c r="F1" s="87"/>
      <c r="G1" s="87"/>
      <c r="H1" s="88"/>
      <c r="I1" s="88"/>
    </row>
    <row r="2" spans="1:10" ht="15.75" customHeight="1">
      <c r="A2" s="88" t="s">
        <v>182</v>
      </c>
      <c r="B2" s="139">
        <v>43553</v>
      </c>
      <c r="C2" s="132"/>
      <c r="D2" s="82">
        <f>SUM(D5:G22)</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52">
        <v>43483</v>
      </c>
      <c r="B5" s="49" t="s">
        <v>276</v>
      </c>
      <c r="C5" s="48" t="s">
        <v>205</v>
      </c>
      <c r="D5" s="89"/>
      <c r="E5" s="87"/>
      <c r="F5" s="86"/>
      <c r="G5" s="87"/>
      <c r="H5" s="88"/>
      <c r="I5" s="137"/>
      <c r="J5" s="88"/>
    </row>
    <row r="6" spans="1:10" ht="15.75" customHeight="1">
      <c r="A6" s="52">
        <v>43514</v>
      </c>
      <c r="B6" s="49" t="s">
        <v>1195</v>
      </c>
      <c r="C6" s="48" t="s">
        <v>205</v>
      </c>
      <c r="D6" s="48"/>
      <c r="E6" s="107"/>
      <c r="F6" s="86"/>
      <c r="G6" s="87"/>
      <c r="H6" s="88"/>
      <c r="I6" s="88"/>
      <c r="J6" s="88"/>
    </row>
    <row r="7" spans="1:10" ht="15.75" customHeight="1">
      <c r="A7" s="52">
        <v>43542</v>
      </c>
      <c r="B7" s="49" t="s">
        <v>6468</v>
      </c>
      <c r="C7" s="48" t="s">
        <v>205</v>
      </c>
      <c r="D7" s="48"/>
      <c r="E7" s="97"/>
      <c r="F7" s="86"/>
      <c r="G7" s="87"/>
      <c r="H7" s="88"/>
      <c r="I7" s="88"/>
    </row>
    <row r="8" spans="1:10" ht="15.75" customHeight="1">
      <c r="A8" s="52">
        <v>43573</v>
      </c>
      <c r="B8" s="49" t="s">
        <v>278</v>
      </c>
      <c r="C8" s="48" t="s">
        <v>199</v>
      </c>
      <c r="D8" s="48"/>
      <c r="E8" s="107"/>
      <c r="F8" s="86"/>
      <c r="G8" s="87"/>
      <c r="H8" s="88"/>
      <c r="I8" s="88"/>
    </row>
    <row r="9" spans="1:10" ht="15.75" customHeight="1">
      <c r="A9" s="52">
        <v>43603</v>
      </c>
      <c r="B9" s="49" t="s">
        <v>243</v>
      </c>
      <c r="C9" s="48" t="s">
        <v>199</v>
      </c>
      <c r="D9" s="48"/>
      <c r="E9" s="97"/>
      <c r="F9" s="86"/>
      <c r="G9" s="87"/>
      <c r="H9" s="88"/>
      <c r="I9" s="88"/>
    </row>
    <row r="10" spans="1:10" ht="15.75" customHeight="1">
      <c r="A10" s="52">
        <v>43634</v>
      </c>
      <c r="B10" s="49" t="s">
        <v>198</v>
      </c>
      <c r="C10" s="48" t="s">
        <v>199</v>
      </c>
      <c r="D10" s="48"/>
      <c r="E10" s="107"/>
      <c r="F10" s="86"/>
      <c r="G10" s="87"/>
      <c r="H10" s="88"/>
      <c r="I10" s="88"/>
    </row>
    <row r="11" spans="1:10" ht="15.75" customHeight="1">
      <c r="A11" s="52">
        <v>43664</v>
      </c>
      <c r="B11" s="49" t="s">
        <v>207</v>
      </c>
      <c r="C11" s="48" t="s">
        <v>208</v>
      </c>
      <c r="D11" s="48"/>
      <c r="E11" s="97"/>
      <c r="F11" s="86"/>
      <c r="G11" s="87"/>
      <c r="H11" s="88"/>
      <c r="I11" s="88"/>
    </row>
    <row r="12" spans="1:10" ht="15.75" customHeight="1">
      <c r="A12" s="52">
        <v>43695</v>
      </c>
      <c r="B12" s="49" t="s">
        <v>268</v>
      </c>
      <c r="C12" s="48" t="s">
        <v>208</v>
      </c>
      <c r="D12" s="48"/>
      <c r="E12" s="112"/>
      <c r="F12" s="86"/>
      <c r="G12" s="87"/>
      <c r="H12" s="88"/>
      <c r="I12" s="88"/>
    </row>
    <row r="13" spans="1:10" ht="15.75" customHeight="1">
      <c r="A13" s="52">
        <v>43726</v>
      </c>
      <c r="B13" s="49" t="s">
        <v>4771</v>
      </c>
      <c r="C13" s="48" t="s">
        <v>208</v>
      </c>
      <c r="D13" s="73"/>
      <c r="E13" s="97"/>
      <c r="F13" s="87"/>
      <c r="G13" s="87"/>
      <c r="H13" s="88"/>
      <c r="I13" s="88"/>
    </row>
    <row r="14" spans="1:10" ht="15.75" customHeight="1">
      <c r="A14" s="52">
        <v>43756</v>
      </c>
      <c r="B14" s="49" t="s">
        <v>122</v>
      </c>
      <c r="C14" s="48" t="s">
        <v>192</v>
      </c>
      <c r="D14" s="73"/>
      <c r="E14" s="97"/>
      <c r="F14" s="87"/>
      <c r="G14" s="87"/>
      <c r="H14" s="88"/>
      <c r="I14" s="88"/>
    </row>
    <row r="15" spans="1:10" ht="15.75" customHeight="1">
      <c r="A15" s="52">
        <v>43787</v>
      </c>
      <c r="B15" s="49" t="s">
        <v>322</v>
      </c>
      <c r="C15" s="48" t="s">
        <v>195</v>
      </c>
      <c r="D15" s="48"/>
      <c r="E15" s="107"/>
      <c r="F15" s="86"/>
      <c r="G15" s="87"/>
      <c r="H15" s="88"/>
      <c r="I15" s="88"/>
    </row>
    <row r="16" spans="1:10" ht="15.75" customHeight="1">
      <c r="A16" s="52">
        <v>43817</v>
      </c>
      <c r="B16" s="49" t="s">
        <v>194</v>
      </c>
      <c r="C16" s="48" t="s">
        <v>195</v>
      </c>
      <c r="D16" s="48"/>
      <c r="E16" s="107"/>
      <c r="F16" s="86"/>
      <c r="G16" s="87"/>
      <c r="H16" s="88"/>
      <c r="I16" s="88"/>
    </row>
    <row r="17" spans="1:9" ht="15.75" customHeight="1">
      <c r="A17" s="48" t="s">
        <v>962</v>
      </c>
      <c r="B17" s="49" t="s">
        <v>230</v>
      </c>
      <c r="C17" s="48" t="s">
        <v>225</v>
      </c>
      <c r="D17" s="48"/>
      <c r="E17" s="107"/>
      <c r="F17" s="86"/>
      <c r="G17" s="87"/>
      <c r="H17" s="88"/>
      <c r="I17" s="88"/>
    </row>
    <row r="18" spans="1:9" ht="15.75" customHeight="1">
      <c r="A18" s="48" t="s">
        <v>963</v>
      </c>
      <c r="B18" s="49" t="s">
        <v>200</v>
      </c>
      <c r="C18" s="48" t="s">
        <v>4743</v>
      </c>
      <c r="D18" s="48"/>
      <c r="E18" s="107"/>
      <c r="F18" s="86"/>
      <c r="G18" s="87"/>
      <c r="H18" s="88"/>
      <c r="I18" s="88"/>
    </row>
    <row r="19" spans="1:9" ht="15.75" customHeight="1">
      <c r="A19" s="48" t="s">
        <v>964</v>
      </c>
      <c r="B19" s="49" t="s">
        <v>891</v>
      </c>
      <c r="C19" s="48" t="s">
        <v>4743</v>
      </c>
      <c r="D19" s="48"/>
      <c r="E19" s="112"/>
      <c r="F19" s="86"/>
      <c r="G19" s="87"/>
      <c r="H19" s="88"/>
      <c r="I19" s="88"/>
    </row>
    <row r="20" spans="1:9" ht="15.75" customHeight="1">
      <c r="A20" s="48" t="s">
        <v>965</v>
      </c>
      <c r="B20" s="49" t="s">
        <v>336</v>
      </c>
      <c r="C20" s="48" t="s">
        <v>197</v>
      </c>
      <c r="D20" s="48"/>
      <c r="E20" s="97"/>
      <c r="F20" s="86"/>
      <c r="G20" s="87"/>
      <c r="H20" s="88"/>
      <c r="I20" s="88"/>
    </row>
    <row r="21" spans="1:9" ht="15.75" customHeight="1">
      <c r="A21" s="48" t="s">
        <v>966</v>
      </c>
      <c r="B21" s="49" t="s">
        <v>359</v>
      </c>
      <c r="C21" s="48" t="s">
        <v>197</v>
      </c>
      <c r="D21" s="48"/>
      <c r="E21" s="107"/>
      <c r="F21" s="89"/>
      <c r="G21" s="87"/>
      <c r="H21" s="88"/>
      <c r="I21" s="88"/>
    </row>
    <row r="22" spans="1:9" ht="15.75" customHeight="1">
      <c r="A22" s="48" t="s">
        <v>967</v>
      </c>
      <c r="B22" s="49" t="s">
        <v>1230</v>
      </c>
      <c r="C22" s="48" t="s">
        <v>197</v>
      </c>
      <c r="D22" s="73"/>
      <c r="E22" s="107"/>
      <c r="F22" s="87"/>
      <c r="G22" s="87"/>
      <c r="H22" s="88"/>
      <c r="I22" s="88"/>
    </row>
    <row r="24" spans="1:9" ht="15.75" customHeight="1">
      <c r="A24" s="112"/>
      <c r="B24" s="111"/>
      <c r="C24" s="87"/>
      <c r="D24" s="89"/>
      <c r="E24" s="112"/>
      <c r="F24" s="87"/>
      <c r="G24" s="87"/>
      <c r="H24" s="88"/>
      <c r="I24" s="88"/>
    </row>
    <row r="25" spans="1:9" ht="15.75" customHeight="1">
      <c r="A25" s="112"/>
      <c r="B25" s="111"/>
      <c r="C25" s="87"/>
      <c r="D25" s="86"/>
      <c r="E25" s="97"/>
      <c r="F25" s="89"/>
      <c r="G25" s="87"/>
      <c r="H25" s="88"/>
      <c r="I25" s="88"/>
    </row>
    <row r="26" spans="1:9" ht="15.75" customHeight="1">
      <c r="A26" s="112"/>
      <c r="B26" s="111"/>
      <c r="C26" s="87"/>
      <c r="D26" s="86"/>
      <c r="E26" s="107"/>
      <c r="F26" s="86"/>
      <c r="G26" s="87"/>
      <c r="H26" s="88"/>
      <c r="I26" s="88"/>
    </row>
    <row r="27" spans="1:9" ht="15.75" customHeight="1">
      <c r="A27" s="112"/>
      <c r="B27" s="111"/>
      <c r="C27" s="87"/>
      <c r="D27" s="86"/>
      <c r="E27" s="112"/>
      <c r="F27" s="89"/>
      <c r="G27" s="87"/>
      <c r="H27" s="88"/>
      <c r="I27" s="88"/>
    </row>
    <row r="28" spans="1:9" ht="15.75" customHeight="1">
      <c r="A28" s="112"/>
      <c r="B28" s="111"/>
      <c r="C28" s="87"/>
      <c r="D28" s="86"/>
      <c r="E28" s="107"/>
      <c r="F28" s="87"/>
      <c r="G28" s="87"/>
      <c r="H28" s="88"/>
      <c r="I28" s="88"/>
    </row>
    <row r="29" spans="1:9" ht="15.75" customHeight="1">
      <c r="A29" s="112"/>
      <c r="B29" s="111"/>
      <c r="C29" s="87"/>
      <c r="D29" s="86"/>
      <c r="E29" s="107"/>
      <c r="F29" s="87"/>
      <c r="G29" s="87"/>
      <c r="H29" s="88"/>
      <c r="I29" s="88"/>
    </row>
    <row r="30" spans="1:9" ht="15.75" customHeight="1">
      <c r="A30" s="112"/>
      <c r="B30" s="111"/>
      <c r="C30" s="87"/>
      <c r="D30" s="86"/>
      <c r="E30" s="107"/>
      <c r="F30" s="87"/>
      <c r="G30" s="87"/>
      <c r="H30" s="88"/>
      <c r="I30" s="88"/>
    </row>
    <row r="31" spans="1:9" ht="15.75" customHeight="1">
      <c r="A31" s="112"/>
      <c r="B31" s="111"/>
      <c r="C31" s="87"/>
      <c r="D31" s="86"/>
      <c r="E31" s="107"/>
      <c r="F31" s="87"/>
      <c r="G31" s="87"/>
      <c r="H31" s="88"/>
      <c r="I31" s="88"/>
    </row>
    <row r="32" spans="1:9" ht="15.75" customHeight="1">
      <c r="A32" s="112"/>
      <c r="B32" s="111"/>
      <c r="C32" s="87"/>
      <c r="D32" s="86"/>
      <c r="E32" s="107"/>
      <c r="F32" s="87"/>
      <c r="G32" s="87"/>
      <c r="H32" s="88"/>
      <c r="I32" s="88"/>
    </row>
    <row r="33" spans="1:9" ht="15.75" customHeight="1">
      <c r="A33" s="112"/>
      <c r="B33" s="111"/>
      <c r="C33" s="87"/>
      <c r="D33" s="86"/>
      <c r="E33" s="107"/>
      <c r="F33" s="87"/>
      <c r="G33" s="87"/>
      <c r="H33" s="88"/>
      <c r="I33" s="88"/>
    </row>
    <row r="34" spans="1:9" ht="15.75" customHeight="1">
      <c r="A34" s="112"/>
      <c r="B34" s="111"/>
      <c r="C34" s="87"/>
      <c r="D34" s="86"/>
      <c r="E34" s="97"/>
      <c r="F34" s="87"/>
      <c r="G34" s="87"/>
      <c r="H34" s="88"/>
      <c r="I34" s="88"/>
    </row>
    <row r="35" spans="1:9" ht="15.75" customHeight="1">
      <c r="A35" s="112"/>
      <c r="B35" s="111"/>
      <c r="C35" s="87"/>
      <c r="D35" s="86"/>
      <c r="E35" s="107"/>
      <c r="F35" s="87"/>
      <c r="G35" s="87"/>
      <c r="H35" s="88"/>
      <c r="I35" s="88"/>
    </row>
    <row r="36" spans="1:9" ht="15.75" customHeight="1">
      <c r="A36" s="112"/>
      <c r="B36" s="111"/>
      <c r="C36" s="87"/>
      <c r="D36" s="86"/>
      <c r="E36" s="112"/>
      <c r="F36" s="87"/>
      <c r="G36" s="87"/>
      <c r="H36" s="88"/>
      <c r="I36" s="88"/>
    </row>
    <row r="37" spans="1:9" ht="15.75" customHeight="1">
      <c r="A37" s="112"/>
      <c r="B37" s="111"/>
      <c r="C37" s="87"/>
      <c r="D37" s="86"/>
      <c r="E37" s="97"/>
      <c r="F37" s="87"/>
      <c r="G37" s="87"/>
      <c r="H37" s="88"/>
      <c r="I37" s="88"/>
    </row>
    <row r="38" spans="1:9" ht="15.75" customHeight="1">
      <c r="A38" s="112"/>
      <c r="B38" s="111"/>
      <c r="C38" s="87"/>
      <c r="D38" s="89"/>
      <c r="E38" s="97"/>
      <c r="F38" s="87"/>
      <c r="G38" s="87"/>
      <c r="H38" s="88"/>
      <c r="I38" s="88"/>
    </row>
    <row r="39" spans="1:9" ht="15.75" customHeight="1">
      <c r="A39" s="112"/>
      <c r="B39" s="111"/>
      <c r="C39" s="87"/>
      <c r="D39" s="86"/>
      <c r="E39" s="107"/>
      <c r="F39" s="87"/>
      <c r="G39" s="87"/>
      <c r="H39" s="88"/>
      <c r="I39" s="88"/>
    </row>
    <row r="40" spans="1:9" ht="15.75" customHeight="1">
      <c r="A40" s="112"/>
      <c r="B40" s="111"/>
      <c r="C40" s="87"/>
      <c r="D40" s="86"/>
      <c r="E40" s="107"/>
      <c r="F40" s="87"/>
      <c r="G40" s="87"/>
      <c r="H40" s="88"/>
      <c r="I40" s="88"/>
    </row>
    <row r="41" spans="1:9" ht="15.75" customHeight="1">
      <c r="A41" s="112"/>
      <c r="B41" s="111"/>
      <c r="C41" s="87"/>
      <c r="D41" s="86"/>
      <c r="E41" s="107"/>
      <c r="F41" s="87"/>
      <c r="G41" s="87"/>
      <c r="H41" s="88"/>
      <c r="I41" s="88"/>
    </row>
    <row r="42" spans="1:9" ht="15.75" customHeight="1">
      <c r="A42" s="112"/>
      <c r="B42" s="111"/>
      <c r="C42" s="87"/>
      <c r="D42" s="86"/>
      <c r="E42" s="97"/>
      <c r="F42" s="87"/>
      <c r="G42" s="87"/>
      <c r="H42" s="88"/>
      <c r="I42" s="88"/>
    </row>
    <row r="43" spans="1:9" ht="15.75" customHeight="1">
      <c r="A43" s="112"/>
      <c r="B43" s="111"/>
      <c r="C43" s="87"/>
      <c r="D43" s="86"/>
      <c r="E43" s="107"/>
      <c r="F43" s="87"/>
      <c r="G43" s="87"/>
      <c r="H43" s="88"/>
      <c r="I43" s="88"/>
    </row>
    <row r="44" spans="1:9" ht="15.75" customHeight="1">
      <c r="A44" s="112"/>
      <c r="B44" s="111"/>
      <c r="C44" s="87"/>
      <c r="D44" s="86"/>
      <c r="E44" s="107"/>
      <c r="F44" s="87"/>
      <c r="G44" s="87"/>
      <c r="H44" s="88"/>
      <c r="I44" s="88"/>
    </row>
    <row r="45" spans="1:9" ht="15.75" customHeight="1">
      <c r="A45" s="112"/>
      <c r="B45" s="111"/>
      <c r="C45" s="87"/>
      <c r="D45" s="86"/>
      <c r="E45" s="97"/>
      <c r="F45" s="87"/>
      <c r="G45" s="87"/>
      <c r="H45" s="88"/>
      <c r="I45" s="88"/>
    </row>
    <row r="46" spans="1:9" ht="15.75" customHeight="1">
      <c r="A46" s="112"/>
      <c r="B46" s="111"/>
      <c r="C46" s="87"/>
      <c r="D46" s="86"/>
      <c r="E46" s="107"/>
      <c r="F46" s="86"/>
      <c r="G46" s="87"/>
      <c r="H46" s="88"/>
      <c r="I46" s="88"/>
    </row>
    <row r="47" spans="1:9" ht="15.75" customHeight="1">
      <c r="A47" s="112"/>
      <c r="B47" s="111"/>
      <c r="C47" s="87"/>
      <c r="D47" s="86"/>
      <c r="E47" s="97"/>
      <c r="F47" s="87"/>
      <c r="G47" s="87"/>
      <c r="H47" s="88"/>
      <c r="I47" s="88"/>
    </row>
    <row r="48" spans="1:9" ht="15.75" customHeight="1">
      <c r="A48" s="112"/>
      <c r="B48" s="111"/>
      <c r="C48" s="87"/>
      <c r="D48" s="86"/>
      <c r="E48" s="112"/>
      <c r="F48" s="86"/>
      <c r="G48" s="87"/>
      <c r="H48" s="88"/>
      <c r="I48" s="88"/>
    </row>
    <row r="49" spans="1:9" ht="15.75" customHeight="1">
      <c r="A49" s="112"/>
      <c r="B49" s="111"/>
      <c r="C49" s="87"/>
      <c r="D49" s="86"/>
      <c r="E49" s="112"/>
      <c r="F49" s="87"/>
      <c r="G49" s="87"/>
      <c r="H49" s="88"/>
      <c r="I49" s="88"/>
    </row>
    <row r="50" spans="1:9" ht="15.75" customHeight="1">
      <c r="A50" s="112"/>
      <c r="B50" s="111"/>
      <c r="C50" s="87"/>
      <c r="D50" s="86"/>
      <c r="E50" s="107"/>
      <c r="F50" s="87"/>
      <c r="G50" s="87"/>
      <c r="H50" s="88"/>
      <c r="I50" s="88"/>
    </row>
    <row r="51" spans="1:9" ht="15.75" customHeight="1">
      <c r="A51" s="112"/>
      <c r="B51" s="111"/>
      <c r="C51" s="87"/>
      <c r="D51" s="86"/>
      <c r="E51" s="97"/>
      <c r="F51" s="87"/>
      <c r="G51" s="87"/>
      <c r="H51" s="88"/>
      <c r="I51" s="88"/>
    </row>
    <row r="52" spans="1:9" ht="15.75" customHeight="1">
      <c r="A52" s="112"/>
      <c r="B52" s="111"/>
      <c r="C52" s="87"/>
      <c r="D52" s="86"/>
      <c r="E52" s="97"/>
      <c r="F52" s="87"/>
      <c r="G52" s="87"/>
      <c r="H52" s="88"/>
      <c r="I52" s="88"/>
    </row>
    <row r="53" spans="1:9" ht="13">
      <c r="A53" s="112"/>
      <c r="B53" s="111"/>
      <c r="C53" s="87"/>
      <c r="D53" s="86"/>
      <c r="E53" s="112"/>
      <c r="F53" s="87"/>
      <c r="G53" s="87"/>
      <c r="H53" s="88"/>
      <c r="I53" s="88"/>
    </row>
    <row r="54" spans="1:9" ht="13">
      <c r="A54" s="112"/>
      <c r="B54" s="111"/>
      <c r="C54" s="87"/>
      <c r="D54" s="86"/>
      <c r="E54" s="112"/>
      <c r="F54" s="87"/>
      <c r="G54" s="87"/>
      <c r="H54" s="88"/>
      <c r="I54" s="88"/>
    </row>
    <row r="55" spans="1:9" ht="13">
      <c r="A55" s="112"/>
      <c r="B55" s="111"/>
      <c r="C55" s="87"/>
      <c r="D55" s="86"/>
      <c r="E55" s="112"/>
      <c r="F55" s="87"/>
      <c r="G55" s="87"/>
      <c r="H55" s="88"/>
      <c r="I55" s="88"/>
    </row>
    <row r="56" spans="1:9" ht="13">
      <c r="A56" s="112"/>
      <c r="B56" s="111"/>
      <c r="C56" s="87"/>
      <c r="D56" s="86"/>
      <c r="E56" s="97"/>
      <c r="F56" s="86"/>
      <c r="G56" s="87"/>
      <c r="H56" s="88"/>
      <c r="I56" s="88"/>
    </row>
    <row r="57" spans="1:9" ht="13">
      <c r="A57" s="112"/>
      <c r="B57" s="111"/>
      <c r="C57" s="87"/>
      <c r="D57" s="86"/>
      <c r="E57" s="107"/>
      <c r="F57" s="89"/>
      <c r="G57" s="87"/>
      <c r="H57" s="88"/>
      <c r="I57" s="88"/>
    </row>
    <row r="58" spans="1:9" ht="13">
      <c r="A58" s="112"/>
      <c r="B58" s="111"/>
      <c r="C58" s="87"/>
      <c r="D58" s="89"/>
      <c r="E58" s="112"/>
      <c r="F58" s="87"/>
      <c r="G58" s="87"/>
      <c r="H58" s="88"/>
      <c r="I58" s="88"/>
    </row>
    <row r="59" spans="1:9" ht="13">
      <c r="A59" s="112"/>
      <c r="B59" s="111"/>
      <c r="C59" s="87"/>
      <c r="D59" s="86"/>
      <c r="E59" s="97"/>
      <c r="F59" s="87"/>
      <c r="G59" s="87"/>
      <c r="H59" s="88"/>
      <c r="I59" s="88"/>
    </row>
    <row r="60" spans="1:9" ht="13">
      <c r="A60" s="112"/>
      <c r="B60" s="111"/>
      <c r="C60" s="87"/>
      <c r="D60" s="86"/>
      <c r="E60" s="112"/>
      <c r="F60" s="87"/>
      <c r="G60" s="87"/>
      <c r="H60" s="88"/>
      <c r="I60" s="88"/>
    </row>
    <row r="61" spans="1:9" ht="13">
      <c r="A61" s="112"/>
      <c r="B61" s="111"/>
      <c r="C61" s="87"/>
      <c r="D61" s="86"/>
      <c r="E61" s="107"/>
      <c r="F61" s="87"/>
      <c r="G61" s="87"/>
      <c r="H61" s="88"/>
      <c r="I61" s="88"/>
    </row>
    <row r="62" spans="1:9" ht="13">
      <c r="A62" s="112"/>
      <c r="B62" s="111"/>
      <c r="C62" s="87"/>
      <c r="D62" s="86"/>
      <c r="E62" s="97"/>
      <c r="F62" s="87"/>
      <c r="G62" s="87"/>
      <c r="H62" s="88"/>
      <c r="I62" s="88"/>
    </row>
    <row r="63" spans="1:9" ht="13">
      <c r="A63" s="112"/>
      <c r="B63" s="111"/>
      <c r="C63" s="87"/>
      <c r="D63" s="86"/>
      <c r="E63" s="97"/>
      <c r="F63" s="87"/>
      <c r="G63" s="87"/>
      <c r="H63" s="88"/>
      <c r="I63" s="88"/>
    </row>
    <row r="64" spans="1:9" ht="13">
      <c r="A64" s="112"/>
      <c r="B64" s="111"/>
      <c r="C64" s="87"/>
      <c r="D64" s="86"/>
      <c r="E64" s="112"/>
      <c r="F64" s="87"/>
      <c r="G64" s="87"/>
      <c r="H64" s="88"/>
      <c r="I64" s="88"/>
    </row>
    <row r="65" spans="1:9" ht="13">
      <c r="A65" s="112"/>
      <c r="B65" s="111"/>
      <c r="C65" s="87"/>
      <c r="D65" s="86"/>
      <c r="E65" s="107"/>
      <c r="F65" s="87"/>
      <c r="G65" s="87"/>
      <c r="H65" s="88"/>
      <c r="I65" s="88"/>
    </row>
    <row r="66" spans="1:9" ht="13">
      <c r="A66" s="112"/>
      <c r="B66" s="111"/>
      <c r="C66" s="87"/>
      <c r="D66" s="86"/>
      <c r="E66" s="107"/>
      <c r="F66" s="87"/>
      <c r="G66" s="87"/>
      <c r="H66" s="88"/>
      <c r="I66" s="88"/>
    </row>
    <row r="67" spans="1:9" ht="13">
      <c r="A67" s="112"/>
      <c r="B67" s="111"/>
      <c r="C67" s="87"/>
      <c r="D67" s="86"/>
      <c r="E67" s="107"/>
      <c r="F67" s="87"/>
      <c r="G67" s="87"/>
      <c r="H67" s="88"/>
      <c r="I67" s="88"/>
    </row>
    <row r="68" spans="1:9" ht="13">
      <c r="A68" s="112"/>
      <c r="B68" s="111"/>
      <c r="C68" s="87"/>
      <c r="D68" s="86"/>
      <c r="E68" s="107"/>
      <c r="F68" s="87"/>
      <c r="G68" s="87"/>
      <c r="H68" s="88"/>
      <c r="I68" s="88"/>
    </row>
    <row r="69" spans="1:9" ht="13">
      <c r="A69" s="112"/>
      <c r="B69" s="111"/>
      <c r="C69" s="87"/>
      <c r="D69" s="86"/>
      <c r="E69" s="107"/>
      <c r="F69" s="87"/>
      <c r="G69" s="87"/>
      <c r="H69" s="88"/>
      <c r="I69" s="88"/>
    </row>
    <row r="70" spans="1:9" ht="13">
      <c r="A70" s="112"/>
      <c r="B70" s="111"/>
      <c r="C70" s="87"/>
      <c r="D70" s="86"/>
      <c r="E70" s="107"/>
      <c r="F70" s="87"/>
      <c r="G70" s="87"/>
      <c r="H70" s="88"/>
      <c r="I70" s="88"/>
    </row>
    <row r="71" spans="1:9" ht="13">
      <c r="A71" s="112"/>
      <c r="B71" s="111"/>
      <c r="C71" s="87"/>
      <c r="D71" s="86"/>
      <c r="E71" s="112"/>
      <c r="F71" s="86"/>
      <c r="G71" s="87"/>
      <c r="H71" s="88"/>
      <c r="I71" s="88"/>
    </row>
    <row r="72" spans="1:9" ht="13">
      <c r="A72" s="112"/>
      <c r="B72" s="111"/>
      <c r="C72" s="87"/>
      <c r="D72" s="86"/>
      <c r="E72" s="112"/>
      <c r="F72" s="87"/>
      <c r="G72" s="87"/>
      <c r="H72" s="88"/>
      <c r="I72" s="88"/>
    </row>
    <row r="73" spans="1:9" ht="13">
      <c r="A73" s="112"/>
      <c r="B73" s="111"/>
      <c r="C73" s="87"/>
      <c r="D73" s="86"/>
      <c r="E73" s="107"/>
      <c r="F73" s="87"/>
      <c r="G73" s="87"/>
      <c r="H73" s="88"/>
      <c r="I73" s="88"/>
    </row>
    <row r="74" spans="1:9" ht="13">
      <c r="A74" s="112"/>
      <c r="B74" s="111"/>
      <c r="C74" s="87"/>
      <c r="D74" s="86"/>
      <c r="E74" s="97"/>
      <c r="F74" s="87"/>
      <c r="G74" s="87"/>
      <c r="H74" s="88"/>
      <c r="I74" s="88"/>
    </row>
    <row r="75" spans="1:9" ht="13">
      <c r="A75" s="112"/>
      <c r="B75" s="111"/>
      <c r="C75" s="87"/>
      <c r="D75" s="86"/>
      <c r="E75" s="112"/>
      <c r="F75" s="87"/>
      <c r="G75" s="87"/>
      <c r="H75" s="88"/>
      <c r="I75" s="88"/>
    </row>
    <row r="76" spans="1:9" ht="13">
      <c r="A76" s="112"/>
      <c r="B76" s="111"/>
      <c r="C76" s="87"/>
      <c r="D76" s="86"/>
      <c r="E76" s="107"/>
      <c r="F76" s="87"/>
      <c r="G76" s="87"/>
      <c r="H76" s="88"/>
      <c r="I76" s="88"/>
    </row>
    <row r="77" spans="1:9" ht="13">
      <c r="A77" s="112"/>
      <c r="B77" s="111"/>
      <c r="C77" s="87"/>
      <c r="D77" s="86"/>
      <c r="E77" s="97"/>
      <c r="F77" s="87"/>
      <c r="G77" s="87"/>
      <c r="H77" s="88"/>
      <c r="I77" s="88"/>
    </row>
    <row r="78" spans="1:9" ht="13">
      <c r="A78" s="112"/>
      <c r="B78" s="111"/>
      <c r="C78" s="87"/>
      <c r="D78" s="86"/>
      <c r="E78" s="107"/>
      <c r="F78" s="87"/>
      <c r="G78" s="87"/>
      <c r="H78" s="88"/>
      <c r="I78" s="88"/>
    </row>
    <row r="79" spans="1:9" ht="13">
      <c r="A79" s="112"/>
      <c r="B79" s="111"/>
      <c r="C79" s="87"/>
      <c r="D79" s="86"/>
      <c r="E79" s="107"/>
      <c r="F79" s="87"/>
      <c r="G79" s="87"/>
      <c r="H79" s="88"/>
      <c r="I79" s="88"/>
    </row>
    <row r="80" spans="1:9" ht="13">
      <c r="A80" s="112"/>
      <c r="B80" s="111"/>
      <c r="C80" s="87"/>
      <c r="D80" s="86"/>
      <c r="E80" s="107"/>
      <c r="F80" s="87"/>
      <c r="G80" s="87"/>
      <c r="H80" s="88"/>
      <c r="I80" s="88"/>
    </row>
    <row r="81" spans="1:9" ht="13">
      <c r="A81" s="112"/>
      <c r="B81" s="111"/>
      <c r="C81" s="87"/>
      <c r="D81" s="86"/>
      <c r="E81" s="107"/>
      <c r="F81" s="87"/>
      <c r="G81" s="87"/>
      <c r="H81" s="88"/>
      <c r="I81" s="88"/>
    </row>
    <row r="82" spans="1:9" ht="13">
      <c r="A82" s="112"/>
      <c r="B82" s="111"/>
      <c r="C82" s="87"/>
      <c r="D82" s="86"/>
      <c r="E82" s="112"/>
      <c r="F82" s="87"/>
      <c r="G82" s="87"/>
      <c r="H82" s="88"/>
      <c r="I82" s="88"/>
    </row>
    <row r="83" spans="1:9" ht="13">
      <c r="A83" s="112"/>
      <c r="B83" s="111"/>
      <c r="C83" s="87"/>
      <c r="D83" s="86"/>
      <c r="E83" s="107"/>
      <c r="F83" s="89"/>
      <c r="G83" s="87"/>
      <c r="H83" s="88"/>
      <c r="I83" s="88"/>
    </row>
    <row r="84" spans="1:9" ht="13">
      <c r="A84" s="112"/>
      <c r="B84" s="111"/>
      <c r="C84" s="87"/>
      <c r="D84" s="86"/>
      <c r="E84" s="107"/>
      <c r="F84" s="87"/>
      <c r="G84" s="87"/>
      <c r="H84" s="88"/>
      <c r="I84" s="88"/>
    </row>
    <row r="85" spans="1:9" ht="13">
      <c r="A85" s="112"/>
      <c r="B85" s="111"/>
      <c r="C85" s="87"/>
      <c r="D85" s="86"/>
      <c r="E85" s="112"/>
      <c r="F85" s="87"/>
      <c r="G85" s="87"/>
      <c r="H85" s="88"/>
      <c r="I85" s="88"/>
    </row>
    <row r="86" spans="1:9" ht="13">
      <c r="A86" s="112"/>
      <c r="B86" s="111"/>
      <c r="C86" s="87"/>
      <c r="D86" s="86"/>
      <c r="E86" s="107"/>
      <c r="F86" s="87"/>
      <c r="G86" s="87"/>
      <c r="H86" s="88"/>
      <c r="I86" s="88"/>
    </row>
    <row r="87" spans="1:9" ht="13">
      <c r="A87" s="112"/>
      <c r="B87" s="111"/>
      <c r="C87" s="87"/>
      <c r="D87" s="86"/>
      <c r="E87" s="112"/>
      <c r="F87" s="89"/>
      <c r="G87" s="87"/>
      <c r="H87" s="88"/>
      <c r="I87" s="88"/>
    </row>
    <row r="88" spans="1:9" ht="13">
      <c r="A88" s="112"/>
      <c r="B88" s="111"/>
      <c r="C88" s="87"/>
      <c r="D88" s="86"/>
      <c r="E88" s="107"/>
      <c r="F88" s="87"/>
      <c r="G88" s="87"/>
      <c r="H88" s="88"/>
      <c r="I88" s="88"/>
    </row>
    <row r="89" spans="1:9" ht="13">
      <c r="A89" s="112"/>
      <c r="B89" s="111"/>
      <c r="C89" s="87"/>
      <c r="D89" s="86"/>
      <c r="E89" s="112"/>
      <c r="F89" s="87"/>
      <c r="G89" s="87"/>
      <c r="H89" s="88"/>
      <c r="I89" s="88"/>
    </row>
    <row r="90" spans="1:9" ht="13">
      <c r="A90" s="112"/>
      <c r="B90" s="111"/>
      <c r="C90" s="87"/>
      <c r="D90" s="89"/>
      <c r="E90" s="112"/>
      <c r="F90" s="87"/>
      <c r="G90" s="87"/>
      <c r="H90" s="88"/>
      <c r="I90" s="88"/>
    </row>
    <row r="91" spans="1:9" ht="13">
      <c r="A91" s="112"/>
      <c r="B91" s="111"/>
      <c r="C91" s="87"/>
      <c r="D91" s="86"/>
      <c r="E91" s="107"/>
      <c r="F91" s="87"/>
      <c r="G91" s="87"/>
      <c r="H91" s="88"/>
      <c r="I91" s="88"/>
    </row>
    <row r="92" spans="1:9" ht="13">
      <c r="A92" s="112"/>
      <c r="B92" s="111"/>
      <c r="C92" s="87"/>
      <c r="D92" s="86"/>
      <c r="E92" s="107"/>
      <c r="F92" s="87"/>
      <c r="G92" s="87"/>
      <c r="H92" s="88"/>
      <c r="I92" s="88"/>
    </row>
    <row r="93" spans="1:9" ht="13">
      <c r="A93" s="112"/>
      <c r="B93" s="111"/>
      <c r="C93" s="87"/>
      <c r="D93" s="86"/>
      <c r="E93" s="107"/>
      <c r="F93" s="87"/>
      <c r="G93" s="87"/>
      <c r="H93" s="88"/>
      <c r="I93" s="88"/>
    </row>
    <row r="94" spans="1:9" ht="13">
      <c r="A94" s="112"/>
      <c r="B94" s="111"/>
      <c r="C94" s="87"/>
      <c r="D94" s="86"/>
      <c r="E94" s="107"/>
      <c r="F94" s="87"/>
      <c r="G94" s="87"/>
      <c r="H94" s="88"/>
      <c r="I94" s="88"/>
    </row>
    <row r="95" spans="1:9" ht="13">
      <c r="A95" s="112"/>
      <c r="B95" s="111"/>
      <c r="C95" s="87"/>
      <c r="D95" s="86"/>
      <c r="E95" s="107"/>
      <c r="F95" s="87"/>
      <c r="G95" s="87"/>
      <c r="H95" s="88"/>
      <c r="I95" s="88"/>
    </row>
    <row r="96" spans="1:9" ht="13">
      <c r="A96" s="112"/>
      <c r="B96" s="111"/>
      <c r="C96" s="87"/>
      <c r="D96" s="86"/>
      <c r="E96" s="107"/>
      <c r="F96" s="87"/>
      <c r="G96" s="87"/>
      <c r="H96" s="88"/>
      <c r="I96" s="88"/>
    </row>
    <row r="97" spans="1:9" ht="13">
      <c r="A97" s="112"/>
      <c r="B97" s="111"/>
      <c r="C97" s="87"/>
      <c r="D97" s="86"/>
      <c r="E97" s="107"/>
      <c r="F97" s="87"/>
      <c r="G97" s="87"/>
      <c r="H97" s="88"/>
      <c r="I97" s="88"/>
    </row>
    <row r="98" spans="1:9" ht="13">
      <c r="A98" s="112"/>
      <c r="B98" s="111"/>
      <c r="C98" s="87"/>
      <c r="D98" s="86"/>
      <c r="E98" s="97"/>
      <c r="F98" s="87"/>
      <c r="G98" s="87"/>
      <c r="H98" s="88"/>
      <c r="I98" s="88"/>
    </row>
    <row r="99" spans="1:9" ht="13">
      <c r="A99" s="112"/>
      <c r="B99" s="111"/>
      <c r="C99" s="87"/>
      <c r="D99" s="86"/>
      <c r="E99" s="107"/>
      <c r="F99" s="87"/>
      <c r="G99" s="87"/>
      <c r="H99" s="88"/>
      <c r="I99" s="88"/>
    </row>
    <row r="100" spans="1:9" ht="13">
      <c r="A100" s="112"/>
      <c r="B100" s="111"/>
      <c r="C100" s="87"/>
      <c r="D100" s="86"/>
      <c r="E100" s="97"/>
      <c r="F100" s="87"/>
      <c r="G100" s="87"/>
      <c r="H100" s="88"/>
      <c r="I100" s="88"/>
    </row>
    <row r="101" spans="1:9" ht="13">
      <c r="A101" s="112"/>
      <c r="B101" s="111"/>
      <c r="C101" s="87"/>
      <c r="D101" s="86"/>
      <c r="E101" s="112"/>
      <c r="F101" s="87"/>
      <c r="G101" s="87"/>
      <c r="H101" s="88"/>
      <c r="I101" s="88"/>
    </row>
    <row r="102" spans="1:9" ht="13">
      <c r="A102" s="112"/>
      <c r="B102" s="111"/>
      <c r="C102" s="87"/>
      <c r="D102" s="86"/>
      <c r="E102" s="112"/>
      <c r="F102" s="86"/>
      <c r="G102" s="87"/>
      <c r="H102" s="88"/>
      <c r="I102" s="88"/>
    </row>
    <row r="103" spans="1:9" ht="13">
      <c r="A103" s="112"/>
      <c r="B103" s="111"/>
      <c r="C103" s="87"/>
      <c r="D103" s="86"/>
      <c r="E103" s="107"/>
      <c r="F103" s="87"/>
      <c r="G103" s="87"/>
      <c r="H103" s="88"/>
      <c r="I103" s="88"/>
    </row>
    <row r="104" spans="1:9" ht="13">
      <c r="A104" s="112"/>
      <c r="B104" s="111"/>
      <c r="C104" s="87"/>
      <c r="D104" s="86"/>
      <c r="E104" s="107"/>
      <c r="F104" s="87"/>
      <c r="G104" s="87"/>
      <c r="H104" s="88"/>
      <c r="I104" s="88"/>
    </row>
    <row r="105" spans="1:9" ht="13">
      <c r="A105" s="112"/>
      <c r="B105" s="111"/>
      <c r="C105" s="87"/>
      <c r="D105" s="86"/>
      <c r="E105" s="107"/>
      <c r="F105" s="87"/>
      <c r="G105" s="87"/>
      <c r="H105" s="88"/>
      <c r="I105" s="88"/>
    </row>
    <row r="106" spans="1:9" ht="13">
      <c r="A106" s="112"/>
      <c r="B106" s="111"/>
      <c r="C106" s="87"/>
      <c r="D106" s="86"/>
      <c r="E106" s="107"/>
      <c r="F106" s="87"/>
      <c r="G106" s="87"/>
      <c r="H106" s="88"/>
      <c r="I106" s="88"/>
    </row>
    <row r="107" spans="1:9" ht="13">
      <c r="A107" s="112"/>
      <c r="B107" s="111"/>
      <c r="C107" s="87"/>
      <c r="D107" s="86"/>
      <c r="E107" s="107"/>
      <c r="F107" s="87"/>
      <c r="G107" s="87"/>
      <c r="H107" s="88"/>
      <c r="I107" s="88"/>
    </row>
    <row r="108" spans="1:9" ht="13">
      <c r="A108" s="112"/>
      <c r="B108" s="111"/>
      <c r="C108" s="87"/>
      <c r="D108" s="86"/>
      <c r="E108" s="107"/>
      <c r="F108" s="87"/>
      <c r="G108" s="87"/>
      <c r="H108" s="88"/>
      <c r="I108" s="88"/>
    </row>
    <row r="109" spans="1:9" ht="13">
      <c r="A109" s="112"/>
      <c r="B109" s="111"/>
      <c r="C109" s="87"/>
      <c r="D109" s="86"/>
      <c r="E109" s="107"/>
      <c r="F109" s="87"/>
      <c r="G109" s="87"/>
      <c r="H109" s="88"/>
      <c r="I109" s="88"/>
    </row>
    <row r="110" spans="1:9" ht="13">
      <c r="A110" s="112"/>
      <c r="B110" s="111"/>
      <c r="C110" s="87"/>
      <c r="D110" s="86"/>
      <c r="E110" s="107"/>
      <c r="F110" s="87"/>
      <c r="G110" s="87"/>
      <c r="H110" s="88"/>
      <c r="I110" s="88"/>
    </row>
    <row r="111" spans="1:9" ht="13">
      <c r="A111" s="112"/>
      <c r="B111" s="111"/>
      <c r="C111" s="87"/>
      <c r="D111" s="86"/>
      <c r="E111" s="97"/>
      <c r="F111" s="87"/>
      <c r="G111" s="87"/>
      <c r="H111" s="88"/>
      <c r="I111" s="88"/>
    </row>
    <row r="112" spans="1:9" ht="13">
      <c r="A112" s="112"/>
      <c r="B112" s="111"/>
      <c r="C112" s="87"/>
      <c r="D112" s="86"/>
      <c r="E112" s="107"/>
      <c r="F112" s="89"/>
      <c r="G112" s="87"/>
      <c r="H112" s="88"/>
      <c r="I112" s="88"/>
    </row>
    <row r="113" spans="1:9" ht="13">
      <c r="A113" s="112"/>
      <c r="B113" s="111"/>
      <c r="C113" s="87"/>
      <c r="D113" s="86"/>
      <c r="E113" s="112"/>
      <c r="F113" s="89"/>
      <c r="G113" s="87"/>
      <c r="H113" s="88"/>
      <c r="I113" s="88"/>
    </row>
    <row r="114" spans="1:9" ht="13">
      <c r="A114" s="112"/>
      <c r="B114" s="111"/>
      <c r="C114" s="87"/>
      <c r="D114" s="86"/>
      <c r="E114" s="107"/>
      <c r="F114" s="87"/>
      <c r="G114" s="87"/>
      <c r="H114" s="88"/>
      <c r="I114" s="88"/>
    </row>
    <row r="115" spans="1:9" ht="13">
      <c r="A115" s="112"/>
      <c r="B115" s="111"/>
      <c r="C115" s="87"/>
      <c r="D115" s="86"/>
      <c r="E115" s="112"/>
      <c r="F115" s="87"/>
      <c r="G115" s="87"/>
      <c r="H115" s="88"/>
      <c r="I115" s="88"/>
    </row>
    <row r="116" spans="1:9" ht="13">
      <c r="A116" s="112"/>
      <c r="B116" s="111"/>
      <c r="C116" s="87"/>
      <c r="D116" s="86"/>
      <c r="E116" s="112"/>
      <c r="F116" s="87"/>
      <c r="G116" s="87"/>
      <c r="H116" s="88"/>
      <c r="I116" s="88"/>
    </row>
    <row r="117" spans="1:9" ht="13">
      <c r="A117" s="112"/>
      <c r="B117" s="111"/>
      <c r="C117" s="87"/>
      <c r="D117" s="86"/>
      <c r="E117" s="107"/>
      <c r="F117" s="87"/>
      <c r="G117" s="87"/>
      <c r="H117" s="88"/>
      <c r="I117" s="88"/>
    </row>
    <row r="118" spans="1:9" ht="13">
      <c r="A118" s="112"/>
      <c r="B118" s="111"/>
      <c r="C118" s="86"/>
      <c r="D118" s="86"/>
      <c r="E118" s="112"/>
      <c r="F118" s="87"/>
      <c r="G118" s="87"/>
      <c r="H118" s="88"/>
      <c r="I118" s="88"/>
    </row>
    <row r="119" spans="1:9" ht="13">
      <c r="A119" s="112"/>
      <c r="B119" s="111"/>
      <c r="C119" s="87"/>
      <c r="D119" s="86"/>
      <c r="E119" s="107"/>
      <c r="F119" s="87"/>
      <c r="G119" s="87"/>
      <c r="H119" s="88"/>
      <c r="I119" s="88"/>
    </row>
    <row r="120" spans="1:9" ht="13">
      <c r="A120" s="112"/>
      <c r="B120" s="111"/>
      <c r="C120" s="87"/>
      <c r="D120" s="89"/>
      <c r="E120" s="107"/>
      <c r="F120" s="87"/>
      <c r="G120" s="87"/>
      <c r="H120" s="88"/>
      <c r="I120" s="88"/>
    </row>
    <row r="121" spans="1:9" ht="13">
      <c r="A121" s="112"/>
      <c r="B121" s="111"/>
      <c r="C121" s="87"/>
      <c r="D121" s="86"/>
      <c r="E121" s="107"/>
      <c r="F121" s="87"/>
      <c r="G121" s="87"/>
      <c r="H121" s="88"/>
      <c r="I121" s="88"/>
    </row>
    <row r="122" spans="1:9" ht="13">
      <c r="A122" s="112"/>
      <c r="B122" s="111"/>
      <c r="C122" s="87"/>
      <c r="D122" s="86"/>
      <c r="E122" s="107"/>
      <c r="F122" s="87"/>
      <c r="G122" s="87"/>
      <c r="H122" s="88"/>
      <c r="I122" s="88"/>
    </row>
    <row r="123" spans="1:9" ht="13">
      <c r="A123" s="112"/>
      <c r="B123" s="111"/>
      <c r="C123" s="87"/>
      <c r="D123" s="86"/>
      <c r="E123" s="97"/>
      <c r="F123" s="87"/>
      <c r="G123" s="87"/>
      <c r="H123" s="88"/>
      <c r="I123" s="88"/>
    </row>
    <row r="124" spans="1:9" ht="13">
      <c r="A124" s="112"/>
      <c r="B124" s="111"/>
      <c r="C124" s="87"/>
      <c r="D124" s="86"/>
      <c r="E124" s="112"/>
      <c r="F124" s="87"/>
      <c r="G124" s="87"/>
      <c r="H124" s="88"/>
      <c r="I124" s="88"/>
    </row>
    <row r="125" spans="1:9" ht="13">
      <c r="A125" s="112"/>
      <c r="B125" s="111"/>
      <c r="C125" s="87"/>
      <c r="D125" s="86"/>
      <c r="E125" s="112"/>
      <c r="F125" s="87"/>
      <c r="G125" s="87"/>
      <c r="H125" s="88"/>
      <c r="I125" s="88"/>
    </row>
    <row r="126" spans="1:9" ht="13">
      <c r="A126" s="112"/>
      <c r="B126" s="111"/>
      <c r="C126" s="87"/>
      <c r="D126" s="86"/>
      <c r="E126" s="107"/>
      <c r="F126" s="87"/>
      <c r="G126" s="87"/>
      <c r="H126" s="88"/>
      <c r="I126" s="88"/>
    </row>
    <row r="127" spans="1:9" ht="13">
      <c r="A127" s="112"/>
      <c r="B127" s="111"/>
      <c r="C127" s="87"/>
      <c r="D127" s="86"/>
      <c r="E127" s="107"/>
      <c r="F127" s="87"/>
      <c r="G127" s="87"/>
      <c r="H127" s="88"/>
      <c r="I127" s="88"/>
    </row>
    <row r="128" spans="1:9" ht="13">
      <c r="A128" s="112"/>
      <c r="B128" s="111"/>
      <c r="C128" s="87"/>
      <c r="D128" s="86"/>
      <c r="E128" s="107"/>
      <c r="F128" s="87"/>
      <c r="G128" s="87"/>
      <c r="H128" s="88"/>
      <c r="I128" s="88"/>
    </row>
    <row r="129" spans="1:9" ht="13">
      <c r="A129" s="112"/>
      <c r="B129" s="111"/>
      <c r="C129" s="87"/>
      <c r="D129" s="86"/>
      <c r="E129" s="107"/>
      <c r="F129" s="87"/>
      <c r="G129" s="87"/>
      <c r="H129" s="88"/>
      <c r="I129" s="88"/>
    </row>
    <row r="130" spans="1:9" ht="13">
      <c r="A130" s="112"/>
      <c r="B130" s="111"/>
      <c r="C130" s="87"/>
      <c r="D130" s="86"/>
      <c r="E130" s="107"/>
      <c r="F130" s="87"/>
      <c r="G130" s="87"/>
      <c r="H130" s="88"/>
      <c r="I130" s="88"/>
    </row>
    <row r="131" spans="1:9" ht="13">
      <c r="A131" s="112"/>
      <c r="B131" s="111"/>
      <c r="C131" s="87"/>
      <c r="D131" s="86"/>
      <c r="E131" s="97"/>
      <c r="F131" s="87"/>
      <c r="G131" s="87"/>
      <c r="H131" s="88"/>
      <c r="I131" s="88"/>
    </row>
    <row r="132" spans="1:9" ht="13">
      <c r="A132" s="112"/>
      <c r="B132" s="111"/>
      <c r="C132" s="87"/>
      <c r="D132" s="86"/>
      <c r="E132" s="107"/>
      <c r="F132" s="87"/>
      <c r="G132" s="87"/>
      <c r="H132" s="88"/>
      <c r="I132" s="88"/>
    </row>
    <row r="133" spans="1:9" ht="13">
      <c r="A133" s="112"/>
      <c r="B133" s="111"/>
      <c r="C133" s="87"/>
      <c r="D133" s="86"/>
      <c r="E133" s="97"/>
      <c r="F133" s="87"/>
      <c r="G133" s="87"/>
      <c r="H133" s="88"/>
      <c r="I133" s="88"/>
    </row>
    <row r="134" spans="1:9" ht="13">
      <c r="A134" s="112"/>
      <c r="B134" s="111"/>
      <c r="C134" s="87"/>
      <c r="D134" s="86"/>
      <c r="E134" s="112"/>
      <c r="F134" s="87"/>
      <c r="G134" s="87"/>
      <c r="H134" s="88"/>
      <c r="I134" s="88"/>
    </row>
    <row r="135" spans="1:9" ht="13">
      <c r="A135" s="112"/>
      <c r="B135" s="111"/>
      <c r="C135" s="87"/>
      <c r="D135" s="86"/>
      <c r="E135" s="112"/>
      <c r="F135" s="87"/>
      <c r="G135" s="87"/>
      <c r="H135" s="88"/>
      <c r="I135" s="88"/>
    </row>
    <row r="136" spans="1:9" ht="13">
      <c r="A136" s="112"/>
      <c r="B136" s="111"/>
      <c r="C136" s="87"/>
      <c r="D136" s="86"/>
      <c r="E136" s="112"/>
      <c r="F136" s="87"/>
      <c r="G136" s="87"/>
      <c r="H136" s="88"/>
      <c r="I136" s="88"/>
    </row>
    <row r="137" spans="1:9" ht="13">
      <c r="A137" s="112"/>
      <c r="B137" s="111"/>
      <c r="C137" s="87"/>
      <c r="D137" s="86"/>
      <c r="E137" s="107"/>
      <c r="F137" s="87"/>
      <c r="G137" s="87"/>
      <c r="H137" s="88"/>
      <c r="I137" s="88"/>
    </row>
    <row r="138" spans="1:9" ht="13">
      <c r="A138" s="112"/>
      <c r="B138" s="111"/>
      <c r="C138" s="87"/>
      <c r="D138" s="89"/>
      <c r="E138" s="112"/>
      <c r="F138" s="87"/>
      <c r="G138" s="87"/>
      <c r="H138" s="88"/>
      <c r="I138" s="88"/>
    </row>
    <row r="139" spans="1:9" ht="13">
      <c r="A139" s="112"/>
      <c r="B139" s="111"/>
      <c r="C139" s="87"/>
      <c r="D139" s="86"/>
      <c r="E139" s="112"/>
      <c r="F139" s="86"/>
      <c r="G139" s="87"/>
      <c r="H139" s="88"/>
      <c r="I139" s="88"/>
    </row>
    <row r="140" spans="1:9" ht="13">
      <c r="A140" s="112"/>
      <c r="B140" s="111"/>
      <c r="C140" s="87"/>
      <c r="D140" s="86"/>
      <c r="E140" s="107"/>
      <c r="F140" s="87"/>
      <c r="G140" s="87"/>
      <c r="H140" s="88"/>
      <c r="I140" s="88"/>
    </row>
    <row r="141" spans="1:9" ht="13">
      <c r="A141" s="112"/>
      <c r="B141" s="111"/>
      <c r="C141" s="87"/>
      <c r="D141" s="86"/>
      <c r="E141" s="107"/>
      <c r="F141" s="87"/>
      <c r="G141" s="87"/>
      <c r="H141" s="88"/>
      <c r="I141" s="88"/>
    </row>
    <row r="142" spans="1:9" ht="13">
      <c r="A142" s="112"/>
      <c r="B142" s="111"/>
      <c r="C142" s="87"/>
      <c r="D142" s="86"/>
      <c r="E142" s="107"/>
      <c r="F142" s="89"/>
      <c r="G142" s="87"/>
      <c r="H142" s="88"/>
      <c r="I142" s="88"/>
    </row>
    <row r="143" spans="1:9" ht="13">
      <c r="A143" s="112"/>
      <c r="B143" s="111"/>
      <c r="C143" s="87"/>
      <c r="D143" s="86"/>
      <c r="E143" s="107"/>
      <c r="F143" s="89"/>
      <c r="G143" s="87"/>
      <c r="H143" s="88"/>
      <c r="I143" s="88"/>
    </row>
    <row r="144" spans="1:9" ht="13">
      <c r="A144" s="112"/>
      <c r="B144" s="111"/>
      <c r="C144" s="87"/>
      <c r="D144" s="86"/>
      <c r="E144" s="97"/>
      <c r="F144" s="87"/>
      <c r="G144" s="87"/>
      <c r="H144" s="88"/>
      <c r="I144" s="88"/>
    </row>
    <row r="145" spans="1:9" ht="13">
      <c r="A145" s="112"/>
      <c r="B145" s="111"/>
      <c r="C145" s="87"/>
      <c r="D145" s="86"/>
      <c r="E145" s="107"/>
      <c r="F145" s="86"/>
      <c r="G145" s="87"/>
      <c r="H145" s="88"/>
      <c r="I145" s="88"/>
    </row>
    <row r="146" spans="1:9" ht="13">
      <c r="A146" s="112"/>
      <c r="B146" s="111"/>
      <c r="C146" s="87"/>
      <c r="D146" s="86"/>
      <c r="E146" s="107"/>
      <c r="F146" s="87"/>
      <c r="G146" s="87"/>
      <c r="H146" s="88"/>
      <c r="I146" s="88"/>
    </row>
    <row r="147" spans="1:9" ht="13">
      <c r="A147" s="112"/>
      <c r="B147" s="111"/>
      <c r="C147" s="87"/>
      <c r="D147" s="86"/>
      <c r="E147" s="97"/>
      <c r="F147" s="87"/>
      <c r="G147" s="87"/>
      <c r="H147" s="88"/>
      <c r="I147" s="88"/>
    </row>
    <row r="148" spans="1:9" ht="13">
      <c r="A148" s="112"/>
      <c r="B148" s="111"/>
      <c r="C148" s="87"/>
      <c r="D148" s="86"/>
      <c r="E148" s="112"/>
      <c r="F148" s="87"/>
      <c r="G148" s="87"/>
      <c r="H148" s="88"/>
      <c r="I148" s="88"/>
    </row>
    <row r="149" spans="1:9" ht="13">
      <c r="A149" s="112"/>
      <c r="B149" s="111"/>
      <c r="C149" s="87"/>
      <c r="D149" s="86"/>
      <c r="E149" s="112"/>
      <c r="F149" s="86"/>
      <c r="G149" s="87"/>
      <c r="H149" s="88"/>
      <c r="I149" s="88"/>
    </row>
    <row r="150" spans="1:9" ht="13">
      <c r="A150" s="112"/>
      <c r="B150" s="111"/>
      <c r="C150" s="87"/>
      <c r="D150" s="86"/>
      <c r="E150" s="97"/>
      <c r="F150" s="87"/>
      <c r="G150" s="87"/>
      <c r="H150" s="88"/>
      <c r="I150" s="88"/>
    </row>
    <row r="151" spans="1:9" ht="13">
      <c r="A151" s="112"/>
      <c r="B151" s="111"/>
      <c r="C151" s="87"/>
      <c r="D151" s="86"/>
      <c r="E151" s="107"/>
      <c r="F151" s="87"/>
      <c r="G151" s="87"/>
      <c r="H151" s="88"/>
      <c r="I151" s="88"/>
    </row>
    <row r="152" spans="1:9" ht="13">
      <c r="A152" s="112"/>
      <c r="B152" s="111"/>
      <c r="C152" s="87"/>
      <c r="D152" s="86"/>
      <c r="E152" s="107"/>
      <c r="F152" s="87"/>
      <c r="G152" s="87"/>
      <c r="H152" s="88"/>
      <c r="I152" s="88"/>
    </row>
    <row r="153" spans="1:9" ht="13">
      <c r="A153" s="112"/>
      <c r="B153" s="111"/>
      <c r="C153" s="87"/>
      <c r="D153" s="86"/>
      <c r="E153" s="107"/>
      <c r="F153" s="87"/>
      <c r="G153" s="87"/>
      <c r="H153" s="88"/>
      <c r="I153" s="88"/>
    </row>
    <row r="154" spans="1:9" ht="13">
      <c r="A154" s="112"/>
      <c r="B154" s="111"/>
      <c r="C154" s="87"/>
      <c r="D154" s="86"/>
      <c r="E154" s="107"/>
      <c r="F154" s="87"/>
      <c r="G154" s="87"/>
      <c r="H154" s="88"/>
      <c r="I154" s="88"/>
    </row>
    <row r="155" spans="1:9" ht="13">
      <c r="A155" s="112"/>
      <c r="B155" s="111"/>
      <c r="C155" s="87"/>
      <c r="D155" s="86"/>
      <c r="E155" s="107"/>
      <c r="F155" s="86"/>
      <c r="G155" s="87"/>
      <c r="H155" s="88"/>
      <c r="I155" s="88"/>
    </row>
    <row r="156" spans="1:9" ht="13">
      <c r="A156" s="112"/>
      <c r="B156" s="111"/>
      <c r="C156" s="87"/>
      <c r="D156" s="86"/>
      <c r="E156" s="107"/>
      <c r="F156" s="87"/>
      <c r="G156" s="87"/>
      <c r="H156" s="88"/>
      <c r="I156" s="88"/>
    </row>
    <row r="157" spans="1:9" ht="13">
      <c r="A157" s="112"/>
      <c r="B157" s="111"/>
      <c r="C157" s="87"/>
      <c r="D157" s="86"/>
      <c r="E157" s="112"/>
      <c r="F157" s="86"/>
      <c r="G157" s="87"/>
      <c r="H157" s="88"/>
      <c r="I157" s="88"/>
    </row>
    <row r="158" spans="1:9" ht="13">
      <c r="A158" s="112"/>
      <c r="B158" s="111"/>
      <c r="C158" s="87"/>
      <c r="D158" s="86"/>
      <c r="E158" s="107"/>
      <c r="F158" s="87"/>
      <c r="G158" s="87"/>
      <c r="H158" s="88"/>
      <c r="I158" s="88"/>
    </row>
    <row r="159" spans="1:9" ht="13">
      <c r="A159" s="112"/>
      <c r="B159" s="111"/>
      <c r="C159" s="87"/>
      <c r="D159" s="86"/>
      <c r="E159" s="107"/>
      <c r="F159" s="89"/>
      <c r="G159" s="87"/>
      <c r="H159" s="88"/>
      <c r="I159" s="88"/>
    </row>
    <row r="160" spans="1:9" ht="13">
      <c r="A160" s="112"/>
      <c r="B160" s="111"/>
      <c r="C160" s="87"/>
      <c r="D160" s="86"/>
      <c r="E160" s="112"/>
      <c r="F160" s="87"/>
      <c r="G160" s="87"/>
      <c r="H160" s="88"/>
      <c r="I160" s="88"/>
    </row>
    <row r="161" spans="1:9" ht="13">
      <c r="A161" s="112"/>
      <c r="B161" s="111"/>
      <c r="C161" s="87"/>
      <c r="D161" s="86"/>
      <c r="E161" s="107"/>
      <c r="F161" s="86"/>
      <c r="G161" s="87"/>
      <c r="H161" s="88"/>
      <c r="I161" s="137"/>
    </row>
    <row r="162" spans="1:9" ht="13">
      <c r="A162" s="112"/>
      <c r="B162" s="111"/>
      <c r="C162" s="87"/>
      <c r="D162" s="86"/>
      <c r="E162" s="97"/>
      <c r="F162" s="87"/>
      <c r="G162" s="87"/>
      <c r="H162" s="88"/>
      <c r="I162" s="88"/>
    </row>
    <row r="163" spans="1:9" ht="13">
      <c r="A163" s="112"/>
      <c r="B163" s="111"/>
      <c r="C163" s="87"/>
      <c r="D163" s="86"/>
      <c r="E163" s="97"/>
      <c r="F163" s="86"/>
      <c r="G163" s="87"/>
      <c r="H163" s="88"/>
      <c r="I163" s="88"/>
    </row>
    <row r="164" spans="1:9" ht="13">
      <c r="A164" s="112"/>
      <c r="B164" s="111"/>
      <c r="C164" s="87"/>
      <c r="D164" s="89"/>
      <c r="E164" s="112"/>
      <c r="F164" s="87"/>
      <c r="G164" s="87"/>
      <c r="H164" s="88"/>
      <c r="I164" s="88"/>
    </row>
    <row r="165" spans="1:9" ht="13">
      <c r="A165" s="112"/>
      <c r="B165" s="111"/>
      <c r="C165" s="87"/>
      <c r="D165" s="89"/>
      <c r="E165" s="112"/>
      <c r="F165" s="87"/>
      <c r="G165" s="87"/>
      <c r="H165" s="88"/>
      <c r="I165" s="88"/>
    </row>
    <row r="166" spans="1:9" ht="13">
      <c r="A166" s="112"/>
      <c r="B166" s="111"/>
      <c r="C166" s="87"/>
      <c r="D166" s="86"/>
      <c r="E166" s="97"/>
      <c r="F166" s="87"/>
      <c r="G166" s="87"/>
      <c r="H166" s="88"/>
      <c r="I166" s="88"/>
    </row>
    <row r="167" spans="1:9" ht="13">
      <c r="A167" s="112"/>
      <c r="B167" s="111"/>
      <c r="C167" s="87"/>
      <c r="D167" s="89"/>
      <c r="E167" s="97"/>
      <c r="F167" s="87"/>
      <c r="G167" s="87"/>
      <c r="H167" s="88"/>
      <c r="I167" s="88"/>
    </row>
    <row r="168" spans="1:9" ht="13">
      <c r="A168" s="112"/>
      <c r="B168" s="111"/>
      <c r="C168" s="87"/>
      <c r="D168" s="89"/>
      <c r="E168" s="97"/>
      <c r="F168" s="87"/>
      <c r="G168" s="87"/>
      <c r="H168" s="88"/>
      <c r="I168" s="88"/>
    </row>
    <row r="169" spans="1:9" ht="13">
      <c r="A169" s="112"/>
      <c r="B169" s="111"/>
      <c r="C169" s="87"/>
      <c r="D169" s="89"/>
      <c r="E169" s="97"/>
      <c r="F169" s="87"/>
      <c r="G169" s="87"/>
      <c r="H169" s="88"/>
      <c r="I169" s="88"/>
    </row>
    <row r="170" spans="1:9" ht="13">
      <c r="A170" s="112"/>
      <c r="B170" s="111"/>
      <c r="C170" s="87"/>
      <c r="D170" s="89"/>
      <c r="E170" s="97"/>
      <c r="F170" s="87"/>
      <c r="G170" s="87"/>
      <c r="H170" s="88"/>
      <c r="I170" s="88"/>
    </row>
    <row r="171" spans="1:9" ht="13">
      <c r="A171" s="112"/>
      <c r="B171" s="111"/>
      <c r="C171" s="87"/>
      <c r="D171" s="86"/>
      <c r="E171" s="97"/>
      <c r="F171" s="87"/>
      <c r="G171" s="87"/>
      <c r="H171" s="88"/>
      <c r="I171" s="88"/>
    </row>
    <row r="172" spans="1:9" ht="13">
      <c r="A172" s="112"/>
      <c r="B172" s="111"/>
      <c r="C172" s="87"/>
      <c r="D172" s="86"/>
      <c r="E172" s="97"/>
      <c r="F172" s="86"/>
      <c r="G172" s="87"/>
      <c r="H172" s="88"/>
      <c r="I172" s="88"/>
    </row>
    <row r="173" spans="1:9" ht="13">
      <c r="A173" s="112"/>
      <c r="B173" s="111"/>
      <c r="C173" s="87"/>
      <c r="D173" s="89"/>
      <c r="E173" s="112"/>
      <c r="F173" s="87"/>
      <c r="G173" s="87"/>
      <c r="H173" s="88"/>
      <c r="I173" s="88"/>
    </row>
    <row r="174" spans="1:9" ht="13">
      <c r="A174" s="112"/>
      <c r="B174" s="111"/>
      <c r="C174" s="87"/>
      <c r="D174" s="89"/>
      <c r="E174" s="112"/>
      <c r="F174" s="87"/>
      <c r="G174" s="87"/>
      <c r="H174" s="88"/>
      <c r="I174" s="88"/>
    </row>
    <row r="175" spans="1:9" ht="13">
      <c r="A175" s="112"/>
      <c r="B175" s="111"/>
      <c r="C175" s="87"/>
      <c r="D175" s="89"/>
      <c r="E175" s="97"/>
      <c r="F175" s="87"/>
      <c r="G175" s="87"/>
      <c r="H175" s="88"/>
      <c r="I175" s="88"/>
    </row>
    <row r="176" spans="1:9" ht="13">
      <c r="A176" s="112"/>
      <c r="B176" s="111"/>
      <c r="C176" s="87"/>
      <c r="D176" s="89"/>
      <c r="E176" s="112"/>
      <c r="F176" s="87"/>
      <c r="G176" s="87"/>
      <c r="H176" s="88"/>
      <c r="I176" s="88"/>
    </row>
    <row r="177" spans="1:9" ht="13">
      <c r="A177" s="112"/>
      <c r="B177" s="111"/>
      <c r="C177" s="87"/>
      <c r="D177" s="89"/>
      <c r="E177" s="97"/>
      <c r="F177" s="89"/>
      <c r="G177" s="87"/>
      <c r="H177" s="88"/>
      <c r="I177" s="88"/>
    </row>
    <row r="178" spans="1:9" ht="13">
      <c r="A178" s="112"/>
      <c r="B178" s="111"/>
      <c r="C178" s="87"/>
      <c r="D178" s="89"/>
      <c r="E178" s="97"/>
      <c r="F178" s="87"/>
      <c r="G178" s="87"/>
      <c r="H178" s="88"/>
      <c r="I178" s="88"/>
    </row>
    <row r="179" spans="1:9" ht="13">
      <c r="A179" s="112"/>
      <c r="B179" s="111"/>
      <c r="C179" s="87"/>
      <c r="D179" s="89"/>
      <c r="E179" s="112"/>
      <c r="F179" s="87"/>
      <c r="G179" s="87"/>
      <c r="H179" s="88"/>
      <c r="I179" s="88"/>
    </row>
    <row r="180" spans="1:9" ht="13">
      <c r="A180" s="112"/>
      <c r="B180" s="111"/>
      <c r="C180" s="87"/>
      <c r="D180" s="89"/>
      <c r="E180" s="97"/>
      <c r="F180" s="87"/>
      <c r="G180" s="87"/>
      <c r="H180" s="88"/>
      <c r="I180" s="88"/>
    </row>
    <row r="181" spans="1:9" ht="13">
      <c r="A181" s="112"/>
      <c r="B181" s="111"/>
      <c r="C181" s="87"/>
      <c r="D181" s="89"/>
      <c r="E181" s="112"/>
      <c r="F181" s="87"/>
      <c r="G181" s="87"/>
      <c r="H181" s="88"/>
      <c r="I181" s="88"/>
    </row>
    <row r="182" spans="1:9" ht="13">
      <c r="A182" s="112"/>
      <c r="B182" s="111"/>
      <c r="C182" s="87"/>
      <c r="D182" s="86"/>
      <c r="E182" s="97"/>
      <c r="F182" s="87"/>
      <c r="G182" s="87"/>
      <c r="H182" s="88"/>
      <c r="I182" s="88"/>
    </row>
    <row r="183" spans="1:9" ht="13">
      <c r="A183" s="112"/>
      <c r="B183" s="111"/>
      <c r="C183" s="87"/>
      <c r="D183" s="89"/>
      <c r="E183" s="112"/>
      <c r="F183" s="89"/>
      <c r="G183" s="87"/>
      <c r="H183" s="88"/>
      <c r="I183" s="88"/>
    </row>
    <row r="184" spans="1:9" ht="13">
      <c r="A184" s="112"/>
      <c r="B184" s="111"/>
      <c r="C184" s="87"/>
      <c r="D184" s="89"/>
      <c r="E184" s="97"/>
      <c r="F184" s="87"/>
      <c r="G184" s="87"/>
      <c r="H184" s="88"/>
      <c r="I184" s="88"/>
    </row>
    <row r="185" spans="1:9" ht="13">
      <c r="A185" s="112"/>
      <c r="B185" s="111"/>
      <c r="C185" s="87"/>
      <c r="D185" s="89"/>
      <c r="E185" s="112"/>
      <c r="F185" s="89"/>
      <c r="G185" s="87"/>
      <c r="H185" s="88"/>
      <c r="I185" s="88"/>
    </row>
    <row r="186" spans="1:9" ht="13">
      <c r="A186" s="112"/>
      <c r="B186" s="111"/>
      <c r="C186" s="87"/>
      <c r="D186" s="89"/>
      <c r="E186" s="97"/>
      <c r="F186" s="89"/>
      <c r="G186" s="87"/>
      <c r="H186" s="88"/>
      <c r="I186" s="88"/>
    </row>
    <row r="187" spans="1:9" ht="13">
      <c r="A187" s="112"/>
      <c r="B187" s="111"/>
      <c r="C187" s="87"/>
      <c r="D187" s="86"/>
      <c r="E187" s="112"/>
      <c r="F187" s="86"/>
      <c r="G187" s="87"/>
      <c r="H187" s="88"/>
      <c r="I187" s="88"/>
    </row>
    <row r="188" spans="1:9" ht="13">
      <c r="A188" s="112"/>
      <c r="B188" s="111"/>
      <c r="C188" s="87"/>
      <c r="D188" s="89"/>
      <c r="E188" s="97"/>
      <c r="F188" s="87"/>
      <c r="G188" s="87"/>
      <c r="H188" s="88"/>
      <c r="I188" s="88"/>
    </row>
    <row r="189" spans="1:9" ht="13">
      <c r="A189" s="112"/>
      <c r="B189" s="111"/>
      <c r="C189" s="87"/>
      <c r="D189" s="86"/>
      <c r="E189" s="97"/>
      <c r="F189" s="87"/>
      <c r="G189" s="87"/>
      <c r="H189" s="88"/>
      <c r="I189" s="88"/>
    </row>
    <row r="190" spans="1:9" ht="13">
      <c r="A190" s="112"/>
      <c r="B190" s="111"/>
      <c r="C190" s="87"/>
      <c r="D190" s="86"/>
      <c r="E190" s="112"/>
      <c r="F190" s="86"/>
      <c r="G190" s="87"/>
      <c r="H190" s="88"/>
      <c r="I190" s="88"/>
    </row>
    <row r="191" spans="1:9" ht="13">
      <c r="A191" s="112"/>
      <c r="B191" s="111"/>
      <c r="C191" s="87"/>
      <c r="D191" s="89"/>
      <c r="E191" s="97"/>
      <c r="F191" s="87"/>
      <c r="G191" s="87"/>
      <c r="H191" s="88"/>
      <c r="I191" s="88"/>
    </row>
    <row r="192" spans="1:9" ht="13">
      <c r="A192" s="112"/>
      <c r="B192" s="111"/>
      <c r="C192" s="87"/>
      <c r="D192" s="89"/>
      <c r="E192" s="97"/>
      <c r="F192" s="89"/>
      <c r="G192" s="87"/>
      <c r="H192" s="88"/>
      <c r="I192" s="88"/>
    </row>
    <row r="193" spans="1:9" ht="13">
      <c r="A193" s="112"/>
      <c r="B193" s="111"/>
      <c r="C193" s="87"/>
      <c r="D193" s="86"/>
      <c r="E193" s="112"/>
      <c r="F193" s="86"/>
      <c r="G193" s="87"/>
      <c r="H193" s="88"/>
      <c r="I193" s="88"/>
    </row>
    <row r="194" spans="1:9" ht="13">
      <c r="A194" s="112"/>
      <c r="B194" s="111"/>
      <c r="C194" s="87"/>
      <c r="D194" s="89"/>
      <c r="E194" s="112"/>
      <c r="F194" s="89"/>
      <c r="G194" s="87"/>
      <c r="H194" s="88"/>
      <c r="I194" s="88"/>
    </row>
    <row r="195" spans="1:9" ht="13">
      <c r="A195" s="112"/>
      <c r="B195" s="111"/>
      <c r="C195" s="87"/>
      <c r="D195" s="89"/>
      <c r="E195" s="97"/>
      <c r="F195" s="89"/>
      <c r="G195" s="87"/>
      <c r="H195" s="88"/>
      <c r="I195" s="88"/>
    </row>
    <row r="196" spans="1:9" ht="13">
      <c r="A196" s="112"/>
      <c r="B196" s="111"/>
      <c r="C196" s="86"/>
      <c r="D196" s="89"/>
      <c r="E196" s="112"/>
      <c r="F196" s="87"/>
      <c r="G196" s="87"/>
      <c r="H196" s="88"/>
      <c r="I196" s="88"/>
    </row>
    <row r="197" spans="1:9" ht="13">
      <c r="A197" s="112"/>
      <c r="B197" s="111"/>
      <c r="C197" s="87"/>
      <c r="D197" s="89"/>
      <c r="E197" s="97"/>
      <c r="F197" s="87"/>
      <c r="G197" s="87"/>
      <c r="H197" s="88"/>
      <c r="I197" s="88"/>
    </row>
    <row r="198" spans="1:9" ht="13">
      <c r="A198" s="112"/>
      <c r="B198" s="111"/>
      <c r="C198" s="87"/>
      <c r="D198" s="89"/>
      <c r="E198" s="112"/>
      <c r="F198" s="87"/>
      <c r="G198" s="87"/>
      <c r="H198" s="88"/>
      <c r="I198" s="88"/>
    </row>
    <row r="199" spans="1:9" ht="13">
      <c r="A199" s="112"/>
      <c r="B199" s="111"/>
      <c r="C199" s="87"/>
      <c r="D199" s="86"/>
      <c r="E199" s="97"/>
      <c r="F199" s="87"/>
      <c r="G199" s="87"/>
      <c r="H199" s="88"/>
      <c r="I199" s="88"/>
    </row>
    <row r="200" spans="1:9" ht="13">
      <c r="A200" s="112"/>
      <c r="B200" s="111"/>
      <c r="C200" s="87"/>
      <c r="D200" s="86"/>
      <c r="E200" s="112"/>
      <c r="F200" s="87"/>
      <c r="G200" s="87"/>
      <c r="H200" s="88"/>
      <c r="I200" s="88"/>
    </row>
    <row r="201" spans="1:9" ht="13">
      <c r="A201" s="112"/>
      <c r="B201" s="111"/>
      <c r="C201" s="87"/>
      <c r="D201" s="89"/>
      <c r="E201" s="112"/>
      <c r="F201" s="89"/>
      <c r="G201" s="87"/>
      <c r="H201" s="88"/>
      <c r="I201" s="88"/>
    </row>
    <row r="202" spans="1:9" ht="13">
      <c r="A202" s="112"/>
      <c r="B202" s="111"/>
      <c r="C202" s="136"/>
      <c r="D202" s="112"/>
      <c r="E202" s="112"/>
      <c r="F202" s="87"/>
      <c r="G202" s="87"/>
      <c r="H202" s="88"/>
      <c r="I202" s="88"/>
    </row>
    <row r="203" spans="1:9" ht="13">
      <c r="A203" s="112"/>
      <c r="B203" s="111"/>
      <c r="C203" s="136"/>
      <c r="D203" s="107"/>
      <c r="E203" s="112"/>
      <c r="F203" s="87"/>
      <c r="G203" s="87"/>
      <c r="H203" s="88"/>
      <c r="I203" s="88"/>
    </row>
    <row r="204" spans="1:9" ht="13">
      <c r="A204" s="112"/>
      <c r="B204" s="111"/>
      <c r="C204" s="136"/>
      <c r="D204" s="107"/>
      <c r="E204" s="112"/>
      <c r="F204" s="86"/>
      <c r="G204" s="87"/>
      <c r="H204" s="88"/>
      <c r="I204" s="88"/>
    </row>
    <row r="205" spans="1:9" ht="13">
      <c r="A205" s="112"/>
      <c r="B205" s="111"/>
      <c r="C205" s="136"/>
      <c r="D205" s="107"/>
      <c r="E205" s="112"/>
      <c r="F205" s="87"/>
      <c r="G205" s="87"/>
      <c r="H205" s="88"/>
      <c r="I205" s="88"/>
    </row>
    <row r="206" spans="1:9" ht="13">
      <c r="A206" s="112"/>
      <c r="B206" s="111"/>
      <c r="C206" s="136"/>
      <c r="D206" s="112"/>
      <c r="E206" s="112"/>
      <c r="F206" s="87"/>
      <c r="G206" s="87"/>
      <c r="H206" s="88"/>
      <c r="I206" s="88"/>
    </row>
    <row r="207" spans="1:9" ht="13">
      <c r="A207" s="112"/>
      <c r="B207" s="111"/>
      <c r="C207" s="136"/>
      <c r="D207" s="112"/>
      <c r="E207" s="112"/>
      <c r="F207" s="87"/>
      <c r="G207" s="87"/>
      <c r="H207" s="88"/>
      <c r="I207" s="88"/>
    </row>
    <row r="208" spans="1:9" ht="13">
      <c r="A208" s="112"/>
      <c r="B208" s="111"/>
      <c r="C208" s="136"/>
      <c r="D208" s="112"/>
      <c r="E208" s="112"/>
      <c r="F208" s="87"/>
      <c r="G208" s="87"/>
      <c r="H208" s="88"/>
      <c r="I208" s="88"/>
    </row>
    <row r="209" spans="1:9" ht="13">
      <c r="A209" s="112"/>
      <c r="B209" s="111"/>
      <c r="C209" s="136"/>
      <c r="D209" s="107"/>
      <c r="E209" s="112"/>
      <c r="F209" s="87"/>
      <c r="G209" s="87"/>
      <c r="H209" s="88"/>
      <c r="I209" s="88"/>
    </row>
    <row r="210" spans="1:9" ht="13">
      <c r="A210" s="112"/>
      <c r="B210" s="111"/>
      <c r="C210" s="136"/>
      <c r="D210" s="112"/>
      <c r="E210" s="112"/>
      <c r="F210" s="87"/>
      <c r="G210" s="87"/>
      <c r="H210" s="88"/>
      <c r="I210" s="88"/>
    </row>
    <row r="211" spans="1:9" ht="13">
      <c r="A211" s="112"/>
      <c r="B211" s="111"/>
      <c r="C211" s="136"/>
      <c r="D211" s="112"/>
      <c r="E211" s="112"/>
      <c r="F211" s="87"/>
      <c r="G211" s="87"/>
      <c r="H211" s="88"/>
      <c r="I211" s="88"/>
    </row>
    <row r="212" spans="1:9" ht="13">
      <c r="A212" s="112"/>
      <c r="B212" s="111"/>
      <c r="C212" s="136"/>
      <c r="D212" s="107"/>
      <c r="E212" s="112"/>
      <c r="F212" s="87"/>
      <c r="G212" s="87"/>
      <c r="H212" s="88"/>
      <c r="I212" s="88"/>
    </row>
    <row r="213" spans="1:9" ht="13">
      <c r="A213" s="112"/>
      <c r="B213" s="111"/>
      <c r="C213" s="136"/>
      <c r="D213" s="107"/>
      <c r="E213" s="112"/>
      <c r="F213" s="87"/>
      <c r="G213" s="87"/>
      <c r="H213" s="88"/>
      <c r="I213" s="88"/>
    </row>
    <row r="214" spans="1:9" ht="13">
      <c r="A214" s="112"/>
      <c r="B214" s="111"/>
      <c r="C214" s="136"/>
      <c r="D214" s="112"/>
      <c r="E214" s="112"/>
      <c r="F214" s="87"/>
      <c r="G214" s="87"/>
      <c r="H214" s="88"/>
      <c r="I214" s="88"/>
    </row>
    <row r="215" spans="1:9" ht="13">
      <c r="A215" s="112"/>
      <c r="B215" s="111"/>
      <c r="C215" s="136"/>
      <c r="D215" s="107"/>
      <c r="E215" s="112"/>
      <c r="F215" s="87"/>
      <c r="G215" s="87"/>
      <c r="H215" s="88"/>
      <c r="I215" s="88"/>
    </row>
    <row r="216" spans="1:9" ht="13">
      <c r="A216" s="112"/>
      <c r="B216" s="111"/>
      <c r="C216" s="136"/>
      <c r="D216" s="112"/>
      <c r="E216" s="112"/>
      <c r="F216" s="87"/>
      <c r="G216" s="87"/>
      <c r="H216" s="88"/>
      <c r="I216" s="88"/>
    </row>
    <row r="217" spans="1:9" ht="13">
      <c r="A217" s="112"/>
      <c r="B217" s="111"/>
      <c r="C217" s="136"/>
      <c r="D217" s="112"/>
      <c r="E217" s="112"/>
      <c r="F217" s="87"/>
      <c r="G217" s="87"/>
      <c r="H217" s="88"/>
      <c r="I217" s="88"/>
    </row>
    <row r="218" spans="1:9" ht="13">
      <c r="A218" s="112"/>
      <c r="B218" s="111"/>
      <c r="C218" s="136"/>
      <c r="D218" s="107"/>
      <c r="E218" s="112"/>
      <c r="F218" s="86"/>
      <c r="G218" s="87"/>
      <c r="H218" s="88"/>
      <c r="I218" s="88"/>
    </row>
    <row r="219" spans="1:9" ht="13">
      <c r="A219" s="112"/>
      <c r="B219" s="111"/>
      <c r="C219" s="136"/>
      <c r="D219" s="107"/>
      <c r="E219" s="112"/>
      <c r="F219" s="87"/>
      <c r="G219" s="87"/>
      <c r="H219" s="88"/>
      <c r="I219" s="88"/>
    </row>
    <row r="220" spans="1:9" ht="13">
      <c r="A220" s="112"/>
      <c r="B220" s="111"/>
      <c r="C220" s="136"/>
      <c r="D220" s="112"/>
      <c r="E220" s="112"/>
      <c r="F220" s="87"/>
      <c r="G220" s="87"/>
      <c r="H220" s="88"/>
      <c r="I220" s="88"/>
    </row>
    <row r="221" spans="1:9" ht="13">
      <c r="A221" s="112"/>
      <c r="B221" s="111"/>
      <c r="C221" s="136"/>
      <c r="D221" s="112"/>
      <c r="E221" s="112"/>
      <c r="F221" s="87"/>
      <c r="G221" s="87"/>
      <c r="H221" s="88"/>
      <c r="I221" s="88"/>
    </row>
    <row r="222" spans="1:9" ht="13">
      <c r="A222" s="112"/>
      <c r="B222" s="111"/>
      <c r="C222" s="136"/>
      <c r="D222" s="112"/>
      <c r="E222" s="112"/>
      <c r="F222" s="87"/>
      <c r="G222" s="87"/>
      <c r="H222" s="88"/>
      <c r="I222" s="88"/>
    </row>
    <row r="223" spans="1:9" ht="13">
      <c r="A223" s="112"/>
      <c r="B223" s="111"/>
      <c r="C223" s="136"/>
      <c r="D223" s="112"/>
      <c r="E223" s="112"/>
      <c r="F223" s="87"/>
      <c r="G223" s="87"/>
      <c r="H223" s="88"/>
      <c r="I223" s="88"/>
    </row>
    <row r="224" spans="1:9" ht="13">
      <c r="A224" s="112"/>
      <c r="B224" s="111"/>
      <c r="C224" s="136"/>
      <c r="D224" s="112"/>
      <c r="E224" s="112"/>
      <c r="F224" s="87"/>
      <c r="G224" s="87"/>
      <c r="H224" s="88"/>
      <c r="I224" s="88"/>
    </row>
    <row r="225" spans="1:9" ht="13">
      <c r="A225" s="112"/>
      <c r="B225" s="111"/>
      <c r="C225" s="136"/>
      <c r="D225" s="107"/>
      <c r="E225" s="112"/>
      <c r="F225" s="87"/>
      <c r="G225" s="87"/>
      <c r="H225" s="88"/>
      <c r="I225" s="88"/>
    </row>
    <row r="226" spans="1:9" ht="13">
      <c r="A226" s="112"/>
      <c r="B226" s="111"/>
      <c r="C226" s="136"/>
      <c r="D226" s="112"/>
      <c r="E226" s="112"/>
      <c r="F226" s="87"/>
      <c r="G226" s="87"/>
      <c r="H226" s="88"/>
      <c r="I226" s="88"/>
    </row>
    <row r="227" spans="1:9" ht="13">
      <c r="A227" s="112"/>
      <c r="B227" s="111"/>
      <c r="C227" s="136"/>
      <c r="D227" s="112"/>
      <c r="E227" s="112"/>
      <c r="F227" s="87"/>
      <c r="G227" s="87"/>
      <c r="H227" s="88"/>
      <c r="I227" s="88"/>
    </row>
    <row r="228" spans="1:9" ht="13">
      <c r="A228" s="112"/>
      <c r="B228" s="111"/>
      <c r="C228" s="136"/>
      <c r="D228" s="112"/>
      <c r="E228" s="112"/>
      <c r="F228" s="87"/>
      <c r="G228" s="87"/>
      <c r="H228" s="88"/>
      <c r="I228" s="88"/>
    </row>
    <row r="229" spans="1:9" ht="13">
      <c r="A229" s="112"/>
      <c r="B229" s="111"/>
      <c r="C229" s="136"/>
      <c r="D229" s="112"/>
      <c r="E229" s="112"/>
      <c r="F229" s="87"/>
      <c r="G229" s="87"/>
      <c r="H229" s="88"/>
      <c r="I229" s="88"/>
    </row>
    <row r="230" spans="1:9" ht="13">
      <c r="A230" s="112"/>
      <c r="B230" s="111"/>
      <c r="C230" s="136"/>
      <c r="D230" s="112"/>
      <c r="E230" s="112"/>
      <c r="F230" s="87"/>
      <c r="G230" s="87"/>
      <c r="H230" s="88"/>
      <c r="I230" s="88"/>
    </row>
    <row r="231" spans="1:9" ht="13">
      <c r="A231" s="112"/>
      <c r="B231" s="111"/>
      <c r="C231" s="136"/>
      <c r="D231" s="112"/>
      <c r="E231" s="112"/>
      <c r="F231" s="87"/>
      <c r="G231" s="87"/>
      <c r="H231" s="88"/>
      <c r="I231" s="88"/>
    </row>
    <row r="232" spans="1:9" ht="13">
      <c r="A232" s="112"/>
      <c r="B232" s="111"/>
      <c r="C232" s="136"/>
      <c r="D232" s="112"/>
      <c r="E232" s="112"/>
      <c r="F232" s="87"/>
      <c r="G232" s="87"/>
      <c r="H232" s="88"/>
      <c r="I232" s="88"/>
    </row>
    <row r="233" spans="1:9" ht="13">
      <c r="A233" s="112"/>
      <c r="B233" s="111"/>
      <c r="C233" s="136"/>
      <c r="D233" s="112"/>
      <c r="E233" s="112"/>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D242" s="5"/>
      <c r="E242" s="5"/>
      <c r="F242" s="5"/>
      <c r="G242" s="5"/>
    </row>
    <row r="243" spans="1:9" ht="13">
      <c r="D243" s="5"/>
      <c r="E243" s="5"/>
      <c r="F243" s="5"/>
      <c r="G243" s="5"/>
    </row>
    <row r="244" spans="1:9" ht="13">
      <c r="D244" s="5"/>
      <c r="E244" s="5"/>
      <c r="F244" s="5"/>
      <c r="G244" s="5"/>
    </row>
    <row r="245" spans="1:9" ht="13">
      <c r="D245" s="5"/>
      <c r="E245" s="5"/>
      <c r="F245" s="5"/>
      <c r="G245" s="5"/>
    </row>
    <row r="246" spans="1:9" ht="13">
      <c r="D246" s="5"/>
      <c r="E246" s="5"/>
      <c r="F246" s="5"/>
      <c r="G246" s="5"/>
    </row>
    <row r="247" spans="1:9" ht="13">
      <c r="D247" s="5"/>
      <c r="E247" s="5"/>
      <c r="F247" s="5"/>
      <c r="G247" s="5"/>
    </row>
    <row r="248" spans="1:9" ht="13">
      <c r="D248" s="5"/>
      <c r="E248" s="5"/>
      <c r="F248" s="5"/>
      <c r="G248" s="5"/>
    </row>
    <row r="249" spans="1:9" ht="13">
      <c r="D249" s="5"/>
      <c r="E249" s="5"/>
      <c r="F249" s="5"/>
      <c r="G249" s="5"/>
    </row>
    <row r="250" spans="1:9" ht="13">
      <c r="D250" s="5"/>
      <c r="E250" s="5"/>
      <c r="F250" s="5"/>
      <c r="G250" s="5"/>
    </row>
    <row r="251" spans="1:9" ht="13">
      <c r="D251" s="5"/>
      <c r="E251" s="5"/>
      <c r="F251" s="5"/>
      <c r="G251" s="5"/>
    </row>
    <row r="252" spans="1:9" ht="13">
      <c r="D252" s="5"/>
      <c r="E252" s="5"/>
      <c r="F252" s="5"/>
      <c r="G252" s="5"/>
    </row>
    <row r="253" spans="1:9" ht="13">
      <c r="D253" s="5"/>
      <c r="E253" s="5"/>
      <c r="F253" s="5"/>
      <c r="G253" s="5"/>
    </row>
    <row r="254" spans="1:9" ht="13">
      <c r="D254" s="5"/>
      <c r="E254" s="5"/>
      <c r="F254" s="5"/>
      <c r="G254" s="5"/>
    </row>
    <row r="255" spans="1:9" ht="13">
      <c r="D255" s="5"/>
      <c r="E255" s="5"/>
      <c r="F255" s="5"/>
      <c r="G255" s="5"/>
    </row>
    <row r="256" spans="1:9" ht="13">
      <c r="D256" s="5"/>
      <c r="E256" s="5"/>
      <c r="F256" s="5"/>
      <c r="G256" s="5"/>
    </row>
    <row r="257" spans="4:7" ht="13">
      <c r="D257" s="5"/>
      <c r="E257" s="5"/>
      <c r="F257" s="5"/>
      <c r="G257" s="5"/>
    </row>
    <row r="258" spans="4:7" ht="13">
      <c r="D258" s="5"/>
      <c r="E258" s="5"/>
      <c r="F258" s="5"/>
      <c r="G258" s="5"/>
    </row>
    <row r="259" spans="4:7" ht="13">
      <c r="D259" s="5"/>
      <c r="E259" s="5"/>
      <c r="F259" s="5"/>
      <c r="G259" s="5"/>
    </row>
    <row r="260" spans="4:7" ht="13">
      <c r="D260" s="5"/>
      <c r="E260" s="5"/>
      <c r="F260" s="5"/>
      <c r="G260" s="5"/>
    </row>
    <row r="261" spans="4:7" ht="13">
      <c r="D261" s="5"/>
      <c r="E261" s="5"/>
      <c r="F261" s="5"/>
      <c r="G261" s="5"/>
    </row>
    <row r="262" spans="4:7" ht="13">
      <c r="D262" s="5"/>
      <c r="E262" s="5"/>
      <c r="F262" s="5"/>
      <c r="G262" s="5"/>
    </row>
    <row r="263" spans="4:7" ht="13">
      <c r="D263" s="5"/>
      <c r="E263" s="5"/>
      <c r="F263" s="5"/>
      <c r="G263" s="5"/>
    </row>
    <row r="264" spans="4:7" ht="13">
      <c r="D264" s="5"/>
      <c r="E264" s="5"/>
      <c r="F264" s="5"/>
      <c r="G264" s="5"/>
    </row>
    <row r="265" spans="4:7" ht="13">
      <c r="D265" s="5"/>
      <c r="E265" s="5"/>
      <c r="F265" s="5"/>
      <c r="G265" s="5"/>
    </row>
    <row r="266" spans="4:7" ht="13">
      <c r="D266" s="5"/>
      <c r="E266" s="5"/>
      <c r="F266" s="5"/>
      <c r="G266" s="5"/>
    </row>
    <row r="267" spans="4:7" ht="13">
      <c r="D267" s="5"/>
      <c r="E267" s="5"/>
      <c r="F267" s="5"/>
      <c r="G267" s="5"/>
    </row>
    <row r="268" spans="4:7" ht="13">
      <c r="D268" s="5"/>
      <c r="E268" s="5"/>
      <c r="F268" s="5"/>
      <c r="G268" s="5"/>
    </row>
    <row r="269" spans="4:7" ht="13">
      <c r="D269" s="5"/>
      <c r="E269" s="5"/>
      <c r="F269" s="5"/>
      <c r="G269" s="5"/>
    </row>
    <row r="270" spans="4:7" ht="13">
      <c r="D270" s="5"/>
      <c r="E270" s="5"/>
      <c r="F270" s="5"/>
      <c r="G270" s="5"/>
    </row>
    <row r="271" spans="4:7" ht="13">
      <c r="D271" s="5"/>
      <c r="E271" s="5"/>
      <c r="F271" s="5"/>
      <c r="G271" s="5"/>
    </row>
    <row r="272" spans="4:7" ht="13">
      <c r="D272" s="5"/>
      <c r="E272" s="5"/>
      <c r="F272" s="5"/>
      <c r="G272" s="5"/>
    </row>
    <row r="273" spans="4:7" ht="13">
      <c r="D273" s="5"/>
      <c r="E273" s="5"/>
      <c r="F273" s="5"/>
      <c r="G273" s="5"/>
    </row>
    <row r="274" spans="4:7" ht="13">
      <c r="D274" s="5"/>
      <c r="E274" s="5"/>
      <c r="F274" s="5"/>
      <c r="G274" s="5"/>
    </row>
    <row r="275" spans="4:7" ht="13">
      <c r="D275" s="5"/>
      <c r="E275" s="5"/>
      <c r="F275" s="5"/>
      <c r="G275" s="5"/>
    </row>
    <row r="276" spans="4:7" ht="13">
      <c r="D276" s="5"/>
      <c r="E276" s="5"/>
      <c r="F276" s="5"/>
      <c r="G276" s="5"/>
    </row>
    <row r="277" spans="4:7" ht="13">
      <c r="D277" s="5"/>
      <c r="E277" s="5"/>
      <c r="F277" s="5"/>
      <c r="G277" s="5"/>
    </row>
    <row r="278" spans="4:7" ht="13">
      <c r="D278" s="5"/>
      <c r="E278" s="5"/>
      <c r="F278" s="5"/>
      <c r="G278" s="5"/>
    </row>
    <row r="279" spans="4:7" ht="13">
      <c r="D279" s="5"/>
      <c r="E279" s="5"/>
      <c r="F279" s="5"/>
      <c r="G279" s="5"/>
    </row>
    <row r="280" spans="4:7" ht="13">
      <c r="D280" s="5"/>
      <c r="E280" s="5"/>
      <c r="F280" s="5"/>
      <c r="G280" s="5"/>
    </row>
    <row r="281" spans="4:7" ht="13">
      <c r="D281" s="5"/>
      <c r="E281" s="5"/>
      <c r="F281" s="5"/>
      <c r="G281" s="5"/>
    </row>
    <row r="282" spans="4:7" ht="13">
      <c r="D282" s="5"/>
      <c r="E282" s="5"/>
      <c r="F282" s="5"/>
      <c r="G282" s="5"/>
    </row>
    <row r="283" spans="4:7" ht="13">
      <c r="D283" s="5"/>
      <c r="E283" s="5"/>
      <c r="F283" s="5"/>
      <c r="G283" s="5"/>
    </row>
    <row r="284" spans="4:7" ht="13">
      <c r="D284" s="5"/>
      <c r="E284" s="5"/>
      <c r="F284" s="5"/>
      <c r="G284" s="5"/>
    </row>
    <row r="285" spans="4:7" ht="13">
      <c r="D285" s="5"/>
      <c r="E285" s="5"/>
      <c r="F285" s="5"/>
      <c r="G285" s="5"/>
    </row>
    <row r="286" spans="4:7" ht="13">
      <c r="D286" s="5"/>
      <c r="E286" s="5"/>
      <c r="F286" s="5"/>
      <c r="G286" s="5"/>
    </row>
    <row r="287" spans="4:7" ht="13">
      <c r="D287" s="5"/>
      <c r="E287" s="5"/>
      <c r="F287" s="5"/>
      <c r="G287" s="5"/>
    </row>
    <row r="288" spans="4: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sheetData>
  <hyperlinks>
    <hyperlink ref="B5" r:id="rId1" xr:uid="{00000000-0004-0000-5F00-000000000000}"/>
    <hyperlink ref="B6" r:id="rId2" xr:uid="{00000000-0004-0000-5F00-000001000000}"/>
    <hyperlink ref="B7" r:id="rId3" xr:uid="{00000000-0004-0000-5F00-000002000000}"/>
    <hyperlink ref="B8" r:id="rId4" xr:uid="{00000000-0004-0000-5F00-000003000000}"/>
    <hyperlink ref="B9" r:id="rId5" xr:uid="{00000000-0004-0000-5F00-000004000000}"/>
    <hyperlink ref="B10" r:id="rId6" xr:uid="{00000000-0004-0000-5F00-000005000000}"/>
    <hyperlink ref="B11" r:id="rId7" xr:uid="{00000000-0004-0000-5F00-000006000000}"/>
    <hyperlink ref="B12" r:id="rId8" xr:uid="{00000000-0004-0000-5F00-000007000000}"/>
    <hyperlink ref="B13" r:id="rId9" xr:uid="{00000000-0004-0000-5F00-000008000000}"/>
    <hyperlink ref="B14" r:id="rId10" xr:uid="{00000000-0004-0000-5F00-000009000000}"/>
    <hyperlink ref="B15" r:id="rId11" xr:uid="{00000000-0004-0000-5F00-00000A000000}"/>
    <hyperlink ref="B16" r:id="rId12" xr:uid="{00000000-0004-0000-5F00-00000B000000}"/>
    <hyperlink ref="B17" r:id="rId13" xr:uid="{00000000-0004-0000-5F00-00000C000000}"/>
    <hyperlink ref="B18" r:id="rId14" xr:uid="{00000000-0004-0000-5F00-00000D000000}"/>
    <hyperlink ref="B19" r:id="rId15" xr:uid="{00000000-0004-0000-5F00-00000E000000}"/>
    <hyperlink ref="B20" r:id="rId16" xr:uid="{00000000-0004-0000-5F00-00000F000000}"/>
    <hyperlink ref="B21" r:id="rId17" xr:uid="{00000000-0004-0000-5F00-000010000000}"/>
    <hyperlink ref="B22" r:id="rId18" xr:uid="{00000000-0004-0000-5F00-000011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97">
    <outlinePr summaryBelow="0" summaryRight="0"/>
  </sheetPr>
  <dimension ref="A1:J1002"/>
  <sheetViews>
    <sheetView workbookViewId="0">
      <pane ySplit="4" topLeftCell="A5" activePane="bottomLeft" state="frozen"/>
      <selection pane="bottomLeft" activeCell="B6" sqref="B6"/>
    </sheetView>
  </sheetViews>
  <sheetFormatPr baseColWidth="10" defaultColWidth="12.6640625" defaultRowHeight="15.75" customHeight="1"/>
  <cols>
    <col min="2" max="2" width="21.1640625" customWidth="1"/>
    <col min="4" max="4" width="14" customWidth="1"/>
    <col min="5" max="5" width="15.1640625" customWidth="1"/>
  </cols>
  <sheetData>
    <row r="1" spans="1:10" ht="15.75" customHeight="1">
      <c r="A1" s="131" t="s">
        <v>125</v>
      </c>
      <c r="B1" s="88"/>
      <c r="C1" s="132"/>
      <c r="D1" s="104" t="s">
        <v>181</v>
      </c>
      <c r="E1" s="87"/>
      <c r="F1" s="87"/>
      <c r="G1" s="87"/>
      <c r="H1" s="88"/>
      <c r="I1" s="88"/>
    </row>
    <row r="2" spans="1:10" ht="15.75" customHeight="1">
      <c r="A2" s="88" t="s">
        <v>182</v>
      </c>
      <c r="B2" s="139">
        <v>43588</v>
      </c>
      <c r="C2" s="132"/>
      <c r="D2" s="82">
        <f>SUM(D5:G240)</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64" t="s">
        <v>7532</v>
      </c>
      <c r="B5" s="78" t="str">
        <f>HYPERLINK("https://bulbapedia.bulbagarden.net/wiki/Pheromosa_%26_Buzzwole-GX_(Unbroken_Bonds_1)","Pheromosa &amp; BuzzwoleGX")</f>
        <v>Pheromosa &amp; BuzzwoleGX</v>
      </c>
      <c r="C5" s="140" t="s">
        <v>205</v>
      </c>
      <c r="D5" s="141"/>
      <c r="E5" s="87"/>
      <c r="F5" s="86"/>
      <c r="G5" s="87"/>
      <c r="H5" s="88"/>
      <c r="I5" s="88"/>
      <c r="J5" s="88"/>
    </row>
    <row r="6" spans="1:10" ht="15.75" customHeight="1">
      <c r="A6" s="64" t="s">
        <v>7533</v>
      </c>
      <c r="B6" s="77" t="s">
        <v>277</v>
      </c>
      <c r="C6" s="140" t="s">
        <v>205</v>
      </c>
      <c r="D6" s="140"/>
      <c r="E6" s="86"/>
      <c r="F6" s="86"/>
      <c r="G6" s="87"/>
      <c r="H6" s="88"/>
      <c r="I6" s="88"/>
      <c r="J6" s="88"/>
    </row>
    <row r="7" spans="1:10" ht="15.75" customHeight="1">
      <c r="A7" s="64" t="s">
        <v>7534</v>
      </c>
      <c r="B7" s="77" t="s">
        <v>286</v>
      </c>
      <c r="C7" s="140" t="s">
        <v>205</v>
      </c>
      <c r="D7" s="140"/>
      <c r="E7" s="89"/>
      <c r="F7" s="86"/>
      <c r="G7" s="87"/>
      <c r="H7" s="88"/>
      <c r="I7" s="88"/>
    </row>
    <row r="8" spans="1:10" ht="15.75" customHeight="1">
      <c r="A8" s="64" t="s">
        <v>7535</v>
      </c>
      <c r="B8" s="77" t="s">
        <v>331</v>
      </c>
      <c r="C8" s="140" t="s">
        <v>205</v>
      </c>
      <c r="D8" s="140"/>
      <c r="E8" s="86"/>
      <c r="F8" s="86"/>
      <c r="G8" s="87"/>
      <c r="H8" s="88"/>
      <c r="I8" s="88"/>
    </row>
    <row r="9" spans="1:10" ht="15.75" customHeight="1">
      <c r="A9" s="64" t="s">
        <v>7536</v>
      </c>
      <c r="B9" s="77" t="s">
        <v>352</v>
      </c>
      <c r="C9" s="140" t="s">
        <v>205</v>
      </c>
      <c r="D9" s="140"/>
      <c r="E9" s="89"/>
      <c r="F9" s="86"/>
      <c r="G9" s="87"/>
      <c r="H9" s="88"/>
      <c r="I9" s="88"/>
    </row>
    <row r="10" spans="1:10" ht="15.75" customHeight="1">
      <c r="A10" s="64" t="s">
        <v>7537</v>
      </c>
      <c r="B10" s="77" t="s">
        <v>352</v>
      </c>
      <c r="C10" s="140" t="s">
        <v>205</v>
      </c>
      <c r="D10" s="140"/>
      <c r="E10" s="86"/>
      <c r="F10" s="86"/>
      <c r="G10" s="87"/>
      <c r="H10" s="88"/>
      <c r="I10" s="88"/>
    </row>
    <row r="11" spans="1:10" ht="15.75" customHeight="1">
      <c r="A11" s="64" t="s">
        <v>7538</v>
      </c>
      <c r="B11" s="77" t="s">
        <v>335</v>
      </c>
      <c r="C11" s="140" t="s">
        <v>205</v>
      </c>
      <c r="D11" s="140"/>
      <c r="E11" s="89"/>
      <c r="F11" s="86"/>
      <c r="G11" s="87"/>
      <c r="H11" s="88"/>
      <c r="I11" s="88"/>
    </row>
    <row r="12" spans="1:10" ht="15.75" customHeight="1">
      <c r="A12" s="64" t="s">
        <v>7539</v>
      </c>
      <c r="B12" s="77" t="s">
        <v>329</v>
      </c>
      <c r="C12" s="140" t="s">
        <v>205</v>
      </c>
      <c r="D12" s="141"/>
      <c r="E12" s="86"/>
      <c r="F12" s="86"/>
      <c r="G12" s="87"/>
      <c r="H12" s="88"/>
      <c r="I12" s="88"/>
    </row>
    <row r="13" spans="1:10" ht="15.75" customHeight="1">
      <c r="A13" s="64" t="s">
        <v>7540</v>
      </c>
      <c r="B13" s="77" t="s">
        <v>356</v>
      </c>
      <c r="C13" s="140" t="s">
        <v>205</v>
      </c>
      <c r="D13" s="140"/>
      <c r="E13" s="86"/>
      <c r="F13" s="87"/>
      <c r="G13" s="87"/>
      <c r="H13" s="88"/>
      <c r="I13" s="88"/>
    </row>
    <row r="14" spans="1:10" ht="15.75" customHeight="1">
      <c r="A14" s="64" t="s">
        <v>7541</v>
      </c>
      <c r="B14" s="77" t="s">
        <v>356</v>
      </c>
      <c r="C14" s="140" t="s">
        <v>205</v>
      </c>
      <c r="D14" s="140"/>
      <c r="E14" s="89"/>
      <c r="F14" s="87"/>
      <c r="G14" s="87"/>
      <c r="H14" s="88"/>
      <c r="I14" s="88"/>
    </row>
    <row r="15" spans="1:10" ht="15.75" customHeight="1">
      <c r="A15" s="64" t="s">
        <v>7542</v>
      </c>
      <c r="B15" s="77" t="s">
        <v>327</v>
      </c>
      <c r="C15" s="140" t="s">
        <v>205</v>
      </c>
      <c r="D15" s="140"/>
      <c r="E15" s="86"/>
      <c r="F15" s="86"/>
      <c r="G15" s="87"/>
      <c r="H15" s="88"/>
      <c r="I15" s="88"/>
    </row>
    <row r="16" spans="1:10" ht="15.75" customHeight="1">
      <c r="A16" s="64" t="s">
        <v>7543</v>
      </c>
      <c r="B16" s="78" t="str">
        <f>HYPERLINK("https://bulbapedia.bulbagarden.net/wiki/Venomoth-GX_(Unbroken_Bonds_12)","VenomothGX")</f>
        <v>VenomothGX</v>
      </c>
      <c r="C16" s="140" t="s">
        <v>205</v>
      </c>
      <c r="D16" s="141"/>
      <c r="E16" s="86"/>
      <c r="F16" s="86"/>
      <c r="G16" s="87"/>
      <c r="H16" s="88"/>
      <c r="I16" s="88"/>
    </row>
    <row r="17" spans="1:9" ht="15.75" customHeight="1">
      <c r="A17" s="64" t="s">
        <v>7544</v>
      </c>
      <c r="B17" s="77" t="s">
        <v>346</v>
      </c>
      <c r="C17" s="140" t="s">
        <v>205</v>
      </c>
      <c r="D17" s="140"/>
      <c r="E17" s="86"/>
      <c r="F17" s="86"/>
      <c r="G17" s="87"/>
      <c r="H17" s="88"/>
      <c r="I17" s="88"/>
    </row>
    <row r="18" spans="1:9" ht="15.75" customHeight="1">
      <c r="A18" s="64" t="s">
        <v>7545</v>
      </c>
      <c r="B18" s="77" t="s">
        <v>345</v>
      </c>
      <c r="C18" s="140" t="s">
        <v>205</v>
      </c>
      <c r="D18" s="140"/>
      <c r="E18" s="86"/>
      <c r="F18" s="86"/>
      <c r="G18" s="87"/>
      <c r="H18" s="88"/>
      <c r="I18" s="88"/>
    </row>
    <row r="19" spans="1:9" ht="15.75" customHeight="1">
      <c r="A19" s="64" t="s">
        <v>7546</v>
      </c>
      <c r="B19" s="77" t="s">
        <v>328</v>
      </c>
      <c r="C19" s="140" t="s">
        <v>205</v>
      </c>
      <c r="D19" s="140"/>
      <c r="E19" s="86"/>
      <c r="F19" s="86"/>
      <c r="G19" s="87"/>
      <c r="H19" s="88"/>
      <c r="I19" s="88"/>
    </row>
    <row r="20" spans="1:9" ht="15.75" customHeight="1">
      <c r="A20" s="64" t="s">
        <v>7547</v>
      </c>
      <c r="B20" s="77" t="s">
        <v>297</v>
      </c>
      <c r="C20" s="140" t="s">
        <v>205</v>
      </c>
      <c r="D20" s="140"/>
      <c r="E20" s="86"/>
      <c r="F20" s="86"/>
      <c r="G20" s="87"/>
      <c r="H20" s="88"/>
      <c r="I20" s="88"/>
    </row>
    <row r="21" spans="1:9" ht="15.75" customHeight="1">
      <c r="A21" s="64" t="s">
        <v>7548</v>
      </c>
      <c r="B21" s="77" t="s">
        <v>3339</v>
      </c>
      <c r="C21" s="140" t="s">
        <v>205</v>
      </c>
      <c r="D21" s="140"/>
      <c r="E21" s="86"/>
      <c r="F21" s="89"/>
      <c r="G21" s="87"/>
      <c r="H21" s="88"/>
      <c r="I21" s="88"/>
    </row>
    <row r="22" spans="1:9" ht="15.75" customHeight="1">
      <c r="A22" s="64" t="s">
        <v>7549</v>
      </c>
      <c r="B22" s="77" t="s">
        <v>6466</v>
      </c>
      <c r="C22" s="140" t="s">
        <v>205</v>
      </c>
      <c r="D22" s="140"/>
      <c r="E22" s="86"/>
      <c r="F22" s="87"/>
      <c r="G22" s="87"/>
      <c r="H22" s="88"/>
      <c r="I22" s="88"/>
    </row>
    <row r="23" spans="1:9" ht="15.75" customHeight="1">
      <c r="A23" s="64" t="s">
        <v>7550</v>
      </c>
      <c r="B23" s="77" t="s">
        <v>7350</v>
      </c>
      <c r="C23" s="140" t="s">
        <v>205</v>
      </c>
      <c r="D23" s="142"/>
      <c r="E23" s="51"/>
      <c r="F23" s="51"/>
      <c r="G23" s="5"/>
    </row>
    <row r="24" spans="1:9" ht="15.75" customHeight="1">
      <c r="A24" s="64" t="s">
        <v>7551</v>
      </c>
      <c r="B24" s="78" t="str">
        <f>HYPERLINK("https://bulbapedia.bulbagarden.net/wiki/Reshiram_%26_Charizard-GX_(Unbroken_Bonds_20)","Reshiram &amp; CharizardGX")</f>
        <v>Reshiram &amp; CharizardGX</v>
      </c>
      <c r="C24" s="140" t="s">
        <v>199</v>
      </c>
      <c r="D24" s="140"/>
      <c r="E24" s="87"/>
      <c r="F24" s="87"/>
      <c r="G24" s="87"/>
      <c r="H24" s="88"/>
      <c r="I24" s="88"/>
    </row>
    <row r="25" spans="1:9" ht="15.75" customHeight="1">
      <c r="A25" s="64" t="s">
        <v>7552</v>
      </c>
      <c r="B25" s="77" t="s">
        <v>262</v>
      </c>
      <c r="C25" s="140" t="s">
        <v>199</v>
      </c>
      <c r="D25" s="140"/>
      <c r="E25" s="86"/>
      <c r="F25" s="89"/>
      <c r="G25" s="87"/>
      <c r="H25" s="88"/>
      <c r="I25" s="88"/>
    </row>
    <row r="26" spans="1:9" ht="15.75" customHeight="1">
      <c r="A26" s="64" t="s">
        <v>7553</v>
      </c>
      <c r="B26" s="77" t="s">
        <v>198</v>
      </c>
      <c r="C26" s="140" t="s">
        <v>199</v>
      </c>
      <c r="D26" s="141"/>
      <c r="E26" s="86"/>
      <c r="F26" s="86"/>
      <c r="G26" s="87"/>
      <c r="H26" s="88"/>
      <c r="I26" s="88"/>
    </row>
    <row r="27" spans="1:9" ht="15.75" customHeight="1">
      <c r="A27" s="64" t="s">
        <v>7554</v>
      </c>
      <c r="B27" s="77" t="s">
        <v>4122</v>
      </c>
      <c r="C27" s="140" t="s">
        <v>199</v>
      </c>
      <c r="D27" s="140"/>
      <c r="E27" s="86"/>
      <c r="F27" s="89"/>
      <c r="G27" s="87"/>
      <c r="H27" s="88"/>
      <c r="I27" s="88"/>
    </row>
    <row r="28" spans="1:9" ht="15.75" customHeight="1">
      <c r="A28" s="64" t="s">
        <v>7555</v>
      </c>
      <c r="B28" s="77" t="s">
        <v>4131</v>
      </c>
      <c r="C28" s="140" t="s">
        <v>199</v>
      </c>
      <c r="D28" s="140"/>
      <c r="E28" s="86"/>
      <c r="F28" s="87"/>
      <c r="G28" s="87"/>
      <c r="H28" s="88"/>
      <c r="I28" s="88"/>
    </row>
    <row r="29" spans="1:9" ht="15.75" customHeight="1">
      <c r="A29" s="64" t="s">
        <v>7556</v>
      </c>
      <c r="B29" s="77" t="s">
        <v>4928</v>
      </c>
      <c r="C29" s="140" t="s">
        <v>199</v>
      </c>
      <c r="D29" s="141"/>
      <c r="E29" s="86"/>
      <c r="F29" s="86"/>
      <c r="G29" s="87"/>
      <c r="H29" s="88"/>
      <c r="I29" s="88"/>
    </row>
    <row r="30" spans="1:9" ht="15.75" customHeight="1">
      <c r="A30" s="64" t="s">
        <v>7557</v>
      </c>
      <c r="B30" s="77" t="s">
        <v>6189</v>
      </c>
      <c r="C30" s="140" t="s">
        <v>199</v>
      </c>
      <c r="D30" s="140"/>
      <c r="E30" s="86"/>
      <c r="F30" s="87"/>
      <c r="G30" s="87"/>
      <c r="H30" s="88"/>
      <c r="I30" s="88"/>
    </row>
    <row r="31" spans="1:9" ht="15.75" customHeight="1">
      <c r="A31" s="64" t="s">
        <v>7558</v>
      </c>
      <c r="B31" s="77" t="s">
        <v>6189</v>
      </c>
      <c r="C31" s="140" t="s">
        <v>199</v>
      </c>
      <c r="D31" s="140"/>
      <c r="E31" s="86"/>
      <c r="F31" s="87"/>
      <c r="G31" s="87"/>
      <c r="H31" s="88"/>
      <c r="I31" s="88"/>
    </row>
    <row r="32" spans="1:9" ht="15.75" customHeight="1">
      <c r="A32" s="64" t="s">
        <v>7559</v>
      </c>
      <c r="B32" s="77" t="s">
        <v>6472</v>
      </c>
      <c r="C32" s="140" t="s">
        <v>199</v>
      </c>
      <c r="D32" s="140"/>
      <c r="E32" s="86"/>
      <c r="F32" s="87"/>
      <c r="G32" s="87"/>
      <c r="H32" s="88"/>
      <c r="I32" s="88"/>
    </row>
    <row r="33" spans="1:9" ht="15.75" customHeight="1">
      <c r="A33" s="64" t="s">
        <v>7560</v>
      </c>
      <c r="B33" s="77" t="s">
        <v>6473</v>
      </c>
      <c r="C33" s="140" t="s">
        <v>199</v>
      </c>
      <c r="D33" s="140"/>
      <c r="E33" s="86"/>
      <c r="F33" s="87"/>
      <c r="G33" s="87"/>
      <c r="H33" s="88"/>
      <c r="I33" s="88"/>
    </row>
    <row r="34" spans="1:9" ht="15.75" customHeight="1">
      <c r="A34" s="64" t="s">
        <v>7561</v>
      </c>
      <c r="B34" s="77" t="s">
        <v>6366</v>
      </c>
      <c r="C34" s="140" t="s">
        <v>199</v>
      </c>
      <c r="D34" s="140"/>
      <c r="E34" s="86"/>
      <c r="F34" s="87"/>
      <c r="G34" s="87"/>
      <c r="H34" s="88"/>
      <c r="I34" s="88"/>
    </row>
    <row r="35" spans="1:9" ht="15.75" customHeight="1">
      <c r="A35" s="64" t="s">
        <v>7562</v>
      </c>
      <c r="B35" s="77" t="s">
        <v>6545</v>
      </c>
      <c r="C35" s="140" t="s">
        <v>199</v>
      </c>
      <c r="D35" s="140"/>
      <c r="E35" s="86"/>
      <c r="F35" s="87"/>
      <c r="G35" s="87"/>
      <c r="H35" s="88"/>
      <c r="I35" s="88"/>
    </row>
    <row r="36" spans="1:9" ht="15.75" customHeight="1">
      <c r="A36" s="64" t="s">
        <v>7563</v>
      </c>
      <c r="B36" s="77" t="s">
        <v>8020</v>
      </c>
      <c r="C36" s="140" t="s">
        <v>199</v>
      </c>
      <c r="D36" s="140"/>
      <c r="E36" s="87"/>
      <c r="F36" s="87"/>
      <c r="G36" s="87"/>
      <c r="H36" s="88"/>
      <c r="I36" s="88"/>
    </row>
    <row r="37" spans="1:9" ht="15.75" customHeight="1">
      <c r="A37" s="64" t="s">
        <v>7564</v>
      </c>
      <c r="B37" s="77" t="s">
        <v>294</v>
      </c>
      <c r="C37" s="140" t="s">
        <v>208</v>
      </c>
      <c r="D37" s="140"/>
      <c r="E37" s="86"/>
      <c r="F37" s="87"/>
      <c r="G37" s="87"/>
      <c r="H37" s="88"/>
      <c r="I37" s="88"/>
    </row>
    <row r="38" spans="1:9" ht="15.75" customHeight="1">
      <c r="A38" s="64" t="s">
        <v>7565</v>
      </c>
      <c r="B38" s="77" t="s">
        <v>274</v>
      </c>
      <c r="C38" s="140" t="s">
        <v>208</v>
      </c>
      <c r="D38" s="140"/>
      <c r="E38" s="86"/>
      <c r="F38" s="87"/>
      <c r="G38" s="87"/>
      <c r="H38" s="88"/>
      <c r="I38" s="88"/>
    </row>
    <row r="39" spans="1:9" ht="15.75" customHeight="1">
      <c r="A39" s="64" t="s">
        <v>7566</v>
      </c>
      <c r="B39" s="78" t="str">
        <f>HYPERLINK("https://bulbapedia.bulbagarden.net/wiki/Blastoise-GX_(Unbroken_Bonds_35)","BlastoiseGX")</f>
        <v>BlastoiseGX</v>
      </c>
      <c r="C39" s="140" t="s">
        <v>208</v>
      </c>
      <c r="D39" s="140"/>
      <c r="E39" s="86"/>
      <c r="F39" s="87"/>
      <c r="G39" s="87"/>
      <c r="H39" s="88"/>
      <c r="I39" s="88"/>
    </row>
    <row r="40" spans="1:9" ht="15.75" customHeight="1">
      <c r="A40" s="64" t="s">
        <v>7567</v>
      </c>
      <c r="B40" s="77" t="s">
        <v>290</v>
      </c>
      <c r="C40" s="140" t="s">
        <v>208</v>
      </c>
      <c r="D40" s="140"/>
      <c r="E40" s="86"/>
      <c r="F40" s="87"/>
      <c r="G40" s="87"/>
      <c r="H40" s="88"/>
      <c r="I40" s="88"/>
    </row>
    <row r="41" spans="1:9" ht="15.75" customHeight="1">
      <c r="A41" s="64" t="s">
        <v>7568</v>
      </c>
      <c r="B41" s="77" t="s">
        <v>290</v>
      </c>
      <c r="C41" s="140" t="s">
        <v>208</v>
      </c>
      <c r="D41" s="140"/>
      <c r="E41" s="86"/>
      <c r="F41" s="87"/>
      <c r="G41" s="87"/>
      <c r="H41" s="88"/>
      <c r="I41" s="88"/>
    </row>
    <row r="42" spans="1:9" ht="15.75" customHeight="1">
      <c r="A42" s="64" t="s">
        <v>7570</v>
      </c>
      <c r="B42" s="77" t="s">
        <v>270</v>
      </c>
      <c r="C42" s="140" t="s">
        <v>208</v>
      </c>
      <c r="D42" s="140"/>
      <c r="E42" s="89"/>
      <c r="F42" s="87"/>
      <c r="G42" s="87"/>
      <c r="H42" s="88"/>
      <c r="I42" s="88"/>
    </row>
    <row r="43" spans="1:9" ht="15.75" customHeight="1">
      <c r="A43" s="64" t="s">
        <v>7571</v>
      </c>
      <c r="B43" s="77" t="s">
        <v>250</v>
      </c>
      <c r="C43" s="140" t="s">
        <v>208</v>
      </c>
      <c r="D43" s="140"/>
      <c r="E43" s="86"/>
      <c r="F43" s="87"/>
      <c r="G43" s="87"/>
      <c r="H43" s="88"/>
      <c r="I43" s="88"/>
    </row>
    <row r="44" spans="1:9" ht="15.75" customHeight="1">
      <c r="A44" s="64" t="s">
        <v>7572</v>
      </c>
      <c r="B44" s="77" t="s">
        <v>388</v>
      </c>
      <c r="C44" s="140" t="s">
        <v>208</v>
      </c>
      <c r="D44" s="140"/>
      <c r="E44" s="86"/>
      <c r="F44" s="87"/>
      <c r="G44" s="87"/>
      <c r="H44" s="88"/>
      <c r="I44" s="88"/>
    </row>
    <row r="45" spans="1:9" ht="15.75" customHeight="1">
      <c r="A45" s="64" t="s">
        <v>7573</v>
      </c>
      <c r="B45" s="77" t="s">
        <v>377</v>
      </c>
      <c r="C45" s="140" t="s">
        <v>208</v>
      </c>
      <c r="D45" s="140"/>
      <c r="E45" s="89"/>
      <c r="F45" s="87"/>
      <c r="G45" s="87"/>
      <c r="H45" s="88"/>
      <c r="I45" s="88"/>
    </row>
    <row r="46" spans="1:9" ht="15.75" customHeight="1">
      <c r="A46" s="64" t="s">
        <v>7574</v>
      </c>
      <c r="B46" s="77" t="s">
        <v>387</v>
      </c>
      <c r="C46" s="140" t="s">
        <v>208</v>
      </c>
      <c r="D46" s="140"/>
      <c r="E46" s="86"/>
      <c r="F46" s="86"/>
      <c r="G46" s="87"/>
      <c r="H46" s="88"/>
      <c r="I46" s="88"/>
    </row>
    <row r="47" spans="1:9" ht="15.75" customHeight="1">
      <c r="A47" s="64" t="s">
        <v>7575</v>
      </c>
      <c r="B47" s="77" t="s">
        <v>376</v>
      </c>
      <c r="C47" s="140" t="s">
        <v>208</v>
      </c>
      <c r="D47" s="141"/>
      <c r="E47" s="86"/>
      <c r="F47" s="86"/>
      <c r="G47" s="87"/>
      <c r="H47" s="88"/>
      <c r="I47" s="88"/>
    </row>
    <row r="48" spans="1:9" ht="15.75" customHeight="1">
      <c r="A48" s="64" t="s">
        <v>7576</v>
      </c>
      <c r="B48" s="77" t="s">
        <v>273</v>
      </c>
      <c r="C48" s="140" t="s">
        <v>208</v>
      </c>
      <c r="D48" s="140"/>
      <c r="E48" s="86"/>
      <c r="F48" s="86"/>
      <c r="G48" s="87"/>
      <c r="H48" s="88"/>
      <c r="I48" s="88"/>
    </row>
    <row r="49" spans="1:9" ht="15.75" customHeight="1">
      <c r="A49" s="64" t="s">
        <v>7577</v>
      </c>
      <c r="B49" s="77" t="s">
        <v>259</v>
      </c>
      <c r="C49" s="140" t="s">
        <v>208</v>
      </c>
      <c r="D49" s="140"/>
      <c r="E49" s="86"/>
      <c r="F49" s="87"/>
      <c r="G49" s="87"/>
      <c r="H49" s="88"/>
      <c r="I49" s="88"/>
    </row>
    <row r="50" spans="1:9" ht="15.75" customHeight="1">
      <c r="A50" s="64" t="s">
        <v>7578</v>
      </c>
      <c r="B50" s="77" t="s">
        <v>384</v>
      </c>
      <c r="C50" s="140" t="s">
        <v>208</v>
      </c>
      <c r="D50" s="140"/>
      <c r="E50" s="86"/>
      <c r="F50" s="87"/>
      <c r="G50" s="87"/>
      <c r="H50" s="88"/>
      <c r="I50" s="88"/>
    </row>
    <row r="51" spans="1:9" ht="15.75" customHeight="1">
      <c r="A51" s="64" t="s">
        <v>7579</v>
      </c>
      <c r="B51" s="77" t="s">
        <v>372</v>
      </c>
      <c r="C51" s="140" t="s">
        <v>208</v>
      </c>
      <c r="D51" s="140"/>
      <c r="E51" s="86"/>
      <c r="F51" s="87"/>
      <c r="G51" s="87"/>
      <c r="H51" s="88"/>
      <c r="I51" s="88"/>
    </row>
    <row r="52" spans="1:9" ht="15.75" customHeight="1">
      <c r="A52" s="64" t="s">
        <v>7580</v>
      </c>
      <c r="B52" s="77" t="s">
        <v>349</v>
      </c>
      <c r="C52" s="140" t="s">
        <v>208</v>
      </c>
      <c r="D52" s="140"/>
      <c r="E52" s="86"/>
      <c r="F52" s="87"/>
      <c r="G52" s="87"/>
      <c r="H52" s="88"/>
      <c r="I52" s="88"/>
    </row>
    <row r="53" spans="1:9" ht="13">
      <c r="A53" s="64" t="s">
        <v>7581</v>
      </c>
      <c r="B53" s="77" t="s">
        <v>343</v>
      </c>
      <c r="C53" s="140" t="s">
        <v>208</v>
      </c>
      <c r="D53" s="140"/>
      <c r="E53" s="87"/>
      <c r="F53" s="87"/>
      <c r="G53" s="87"/>
      <c r="H53" s="88"/>
      <c r="I53" s="88"/>
    </row>
    <row r="54" spans="1:9" ht="13">
      <c r="A54" s="64" t="s">
        <v>7582</v>
      </c>
      <c r="B54" s="77" t="s">
        <v>4070</v>
      </c>
      <c r="C54" s="140" t="s">
        <v>208</v>
      </c>
      <c r="D54" s="141"/>
      <c r="E54" s="86"/>
      <c r="F54" s="86"/>
      <c r="G54" s="87"/>
      <c r="H54" s="88"/>
      <c r="I54" s="88"/>
    </row>
    <row r="55" spans="1:9" ht="13">
      <c r="A55" s="64" t="s">
        <v>7583</v>
      </c>
      <c r="B55" s="77" t="s">
        <v>4740</v>
      </c>
      <c r="C55" s="140" t="s">
        <v>208</v>
      </c>
      <c r="D55" s="140"/>
      <c r="E55" s="86"/>
      <c r="F55" s="87"/>
      <c r="G55" s="87"/>
      <c r="H55" s="88"/>
      <c r="I55" s="88"/>
    </row>
    <row r="56" spans="1:9" ht="13">
      <c r="A56" s="64" t="s">
        <v>7584</v>
      </c>
      <c r="B56" s="77" t="s">
        <v>5004</v>
      </c>
      <c r="C56" s="140" t="s">
        <v>208</v>
      </c>
      <c r="D56" s="140"/>
      <c r="E56" s="86"/>
      <c r="F56" s="86"/>
      <c r="G56" s="87"/>
      <c r="H56" s="88"/>
      <c r="I56" s="88"/>
    </row>
    <row r="57" spans="1:9" ht="13">
      <c r="A57" s="64" t="s">
        <v>7585</v>
      </c>
      <c r="B57" s="77" t="s">
        <v>6480</v>
      </c>
      <c r="C57" s="140" t="s">
        <v>208</v>
      </c>
      <c r="D57" s="140"/>
      <c r="E57" s="86"/>
      <c r="F57" s="89"/>
      <c r="G57" s="87"/>
      <c r="H57" s="88"/>
      <c r="I57" s="88"/>
    </row>
    <row r="58" spans="1:9" ht="13">
      <c r="A58" s="64" t="s">
        <v>7586</v>
      </c>
      <c r="B58" s="77" t="s">
        <v>191</v>
      </c>
      <c r="C58" s="140" t="s">
        <v>192</v>
      </c>
      <c r="D58" s="140"/>
      <c r="E58" s="87"/>
      <c r="F58" s="87"/>
      <c r="G58" s="87"/>
      <c r="H58" s="88"/>
      <c r="I58" s="88"/>
    </row>
    <row r="59" spans="1:9" ht="13">
      <c r="A59" s="64" t="s">
        <v>7587</v>
      </c>
      <c r="B59" s="77" t="s">
        <v>251</v>
      </c>
      <c r="C59" s="140" t="s">
        <v>192</v>
      </c>
      <c r="D59" s="140"/>
      <c r="E59" s="86"/>
      <c r="F59" s="87"/>
      <c r="G59" s="87"/>
      <c r="H59" s="88"/>
      <c r="I59" s="88"/>
    </row>
    <row r="60" spans="1:9" ht="13">
      <c r="A60" s="64" t="s">
        <v>7588</v>
      </c>
      <c r="B60" s="77" t="s">
        <v>4076</v>
      </c>
      <c r="C60" s="140" t="s">
        <v>192</v>
      </c>
      <c r="D60" s="140"/>
      <c r="E60" s="86"/>
      <c r="F60" s="87"/>
      <c r="G60" s="87"/>
      <c r="H60" s="88"/>
      <c r="I60" s="88"/>
    </row>
    <row r="61" spans="1:9" ht="13">
      <c r="A61" s="64" t="s">
        <v>7589</v>
      </c>
      <c r="B61" s="78" t="str">
        <f>HYPERLINK("https://bulbapedia.bulbagarden.net/wiki/Dedenne-GX_(Unbroken_Bonds_57)","DedenneGX")</f>
        <v>DedenneGX</v>
      </c>
      <c r="C61" s="140" t="s">
        <v>192</v>
      </c>
      <c r="D61" s="140"/>
      <c r="E61" s="86"/>
      <c r="F61" s="87"/>
      <c r="G61" s="87"/>
      <c r="H61" s="88"/>
      <c r="I61" s="88"/>
    </row>
    <row r="62" spans="1:9" ht="13">
      <c r="A62" s="64" t="s">
        <v>7590</v>
      </c>
      <c r="B62" s="77" t="s">
        <v>6482</v>
      </c>
      <c r="C62" s="140" t="s">
        <v>192</v>
      </c>
      <c r="D62" s="140"/>
      <c r="E62" s="89"/>
      <c r="F62" s="87"/>
      <c r="G62" s="87"/>
      <c r="H62" s="88"/>
      <c r="I62" s="88"/>
    </row>
    <row r="63" spans="1:9" ht="13">
      <c r="A63" s="64" t="s">
        <v>7591</v>
      </c>
      <c r="B63" s="77" t="s">
        <v>6216</v>
      </c>
      <c r="C63" s="140" t="s">
        <v>192</v>
      </c>
      <c r="D63" s="141"/>
      <c r="E63" s="89"/>
      <c r="F63" s="86"/>
      <c r="G63" s="87"/>
      <c r="H63" s="88"/>
      <c r="I63" s="88"/>
    </row>
    <row r="64" spans="1:9" ht="13">
      <c r="A64" s="64" t="s">
        <v>7592</v>
      </c>
      <c r="B64" s="77" t="s">
        <v>7850</v>
      </c>
      <c r="C64" s="140" t="s">
        <v>192</v>
      </c>
      <c r="D64" s="141"/>
      <c r="E64" s="86"/>
      <c r="F64" s="87"/>
      <c r="G64" s="87"/>
      <c r="H64" s="88"/>
      <c r="I64" s="88"/>
    </row>
    <row r="65" spans="1:9" ht="13">
      <c r="A65" s="64" t="s">
        <v>7593</v>
      </c>
      <c r="B65" s="78" t="str">
        <f>HYPERLINK("https://bulbapedia.bulbagarden.net/wiki/Muk_%26_Alolan_Muk-GX_(Unbroken_Bonds_61)","Muk &amp; Alolan MukGX")</f>
        <v>Muk &amp; Alolan MukGX</v>
      </c>
      <c r="C65" s="140" t="s">
        <v>195</v>
      </c>
      <c r="D65" s="140"/>
      <c r="E65" s="86"/>
      <c r="F65" s="87"/>
      <c r="G65" s="87"/>
      <c r="H65" s="88"/>
      <c r="I65" s="88"/>
    </row>
    <row r="66" spans="1:9" ht="13">
      <c r="A66" s="64" t="s">
        <v>7594</v>
      </c>
      <c r="B66" s="77" t="s">
        <v>379</v>
      </c>
      <c r="C66" s="140" t="s">
        <v>195</v>
      </c>
      <c r="D66" s="140"/>
      <c r="E66" s="86"/>
      <c r="F66" s="87"/>
      <c r="G66" s="87"/>
      <c r="H66" s="88"/>
      <c r="I66" s="88"/>
    </row>
    <row r="67" spans="1:9" ht="13">
      <c r="A67" s="64" t="s">
        <v>7595</v>
      </c>
      <c r="B67" s="77" t="s">
        <v>366</v>
      </c>
      <c r="C67" s="140" t="s">
        <v>195</v>
      </c>
      <c r="D67" s="141"/>
      <c r="E67" s="86"/>
      <c r="F67" s="87"/>
      <c r="G67" s="87"/>
      <c r="H67" s="88"/>
      <c r="I67" s="88"/>
    </row>
    <row r="68" spans="1:9" ht="13">
      <c r="A68" s="64" t="s">
        <v>7596</v>
      </c>
      <c r="B68" s="77" t="s">
        <v>389</v>
      </c>
      <c r="C68" s="140" t="s">
        <v>195</v>
      </c>
      <c r="D68" s="140"/>
      <c r="E68" s="86"/>
      <c r="F68" s="87"/>
      <c r="G68" s="87"/>
      <c r="H68" s="88"/>
      <c r="I68" s="88"/>
    </row>
    <row r="69" spans="1:9" ht="13">
      <c r="A69" s="64" t="s">
        <v>7597</v>
      </c>
      <c r="B69" s="77" t="s">
        <v>368</v>
      </c>
      <c r="C69" s="140" t="s">
        <v>195</v>
      </c>
      <c r="D69" s="140"/>
      <c r="E69" s="86"/>
      <c r="F69" s="87"/>
      <c r="G69" s="87"/>
      <c r="H69" s="88"/>
      <c r="I69" s="88"/>
    </row>
    <row r="70" spans="1:9" ht="13">
      <c r="A70" s="64" t="s">
        <v>7598</v>
      </c>
      <c r="B70" s="77" t="s">
        <v>969</v>
      </c>
      <c r="C70" s="140" t="s">
        <v>195</v>
      </c>
      <c r="D70" s="141"/>
      <c r="E70" s="86"/>
      <c r="F70" s="87"/>
      <c r="G70" s="87"/>
      <c r="H70" s="88"/>
      <c r="I70" s="88"/>
    </row>
    <row r="71" spans="1:9" ht="13">
      <c r="A71" s="64" t="s">
        <v>7599</v>
      </c>
      <c r="B71" s="77" t="s">
        <v>282</v>
      </c>
      <c r="C71" s="140" t="s">
        <v>195</v>
      </c>
      <c r="D71" s="140"/>
      <c r="E71" s="86"/>
      <c r="F71" s="86"/>
      <c r="G71" s="87"/>
      <c r="H71" s="88"/>
      <c r="I71" s="88"/>
    </row>
    <row r="72" spans="1:9" ht="13">
      <c r="A72" s="64" t="s">
        <v>7600</v>
      </c>
      <c r="B72" s="77" t="s">
        <v>282</v>
      </c>
      <c r="C72" s="140" t="s">
        <v>195</v>
      </c>
      <c r="D72" s="140"/>
      <c r="E72" s="86"/>
      <c r="F72" s="87"/>
      <c r="G72" s="87"/>
      <c r="H72" s="88"/>
      <c r="I72" s="88"/>
    </row>
    <row r="73" spans="1:9" ht="13">
      <c r="A73" s="64" t="s">
        <v>7601</v>
      </c>
      <c r="B73" s="77" t="s">
        <v>263</v>
      </c>
      <c r="C73" s="140" t="s">
        <v>195</v>
      </c>
      <c r="D73" s="140"/>
      <c r="E73" s="86"/>
      <c r="F73" s="87"/>
      <c r="G73" s="87"/>
      <c r="H73" s="88"/>
      <c r="I73" s="88"/>
    </row>
    <row r="74" spans="1:9" ht="13">
      <c r="A74" s="64" t="s">
        <v>7602</v>
      </c>
      <c r="B74" s="77" t="s">
        <v>360</v>
      </c>
      <c r="C74" s="140" t="s">
        <v>195</v>
      </c>
      <c r="D74" s="140"/>
      <c r="E74" s="89"/>
      <c r="F74" s="87"/>
      <c r="G74" s="87"/>
      <c r="H74" s="88"/>
      <c r="I74" s="88"/>
    </row>
    <row r="75" spans="1:9" ht="13">
      <c r="A75" s="64" t="s">
        <v>7603</v>
      </c>
      <c r="B75" s="77" t="s">
        <v>281</v>
      </c>
      <c r="C75" s="140" t="s">
        <v>195</v>
      </c>
      <c r="D75" s="140"/>
      <c r="E75" s="86"/>
      <c r="F75" s="87"/>
      <c r="G75" s="87"/>
      <c r="H75" s="88"/>
      <c r="I75" s="88"/>
    </row>
    <row r="76" spans="1:9" ht="13">
      <c r="A76" s="64" t="s">
        <v>7604</v>
      </c>
      <c r="B76" s="77" t="s">
        <v>362</v>
      </c>
      <c r="C76" s="140" t="s">
        <v>195</v>
      </c>
      <c r="D76" s="140"/>
      <c r="E76" s="86"/>
      <c r="F76" s="87"/>
      <c r="G76" s="87"/>
      <c r="H76" s="88"/>
      <c r="I76" s="88"/>
    </row>
    <row r="77" spans="1:9" ht="13">
      <c r="A77" s="64" t="s">
        <v>7605</v>
      </c>
      <c r="B77" s="77" t="s">
        <v>283</v>
      </c>
      <c r="C77" s="140" t="s">
        <v>195</v>
      </c>
      <c r="D77" s="140"/>
      <c r="E77" s="86"/>
      <c r="F77" s="87"/>
      <c r="G77" s="87"/>
      <c r="H77" s="88"/>
      <c r="I77" s="88"/>
    </row>
    <row r="78" spans="1:9" ht="13">
      <c r="A78" s="64" t="s">
        <v>7606</v>
      </c>
      <c r="B78" s="77" t="s">
        <v>378</v>
      </c>
      <c r="C78" s="140" t="s">
        <v>195</v>
      </c>
      <c r="D78" s="141"/>
      <c r="E78" s="86"/>
      <c r="F78" s="87"/>
      <c r="G78" s="87"/>
      <c r="H78" s="88"/>
      <c r="I78" s="88"/>
    </row>
    <row r="79" spans="1:9" ht="13">
      <c r="A79" s="64" t="s">
        <v>7607</v>
      </c>
      <c r="B79" s="77" t="s">
        <v>194</v>
      </c>
      <c r="C79" s="140" t="s">
        <v>195</v>
      </c>
      <c r="D79" s="140"/>
      <c r="E79" s="86"/>
      <c r="F79" s="87"/>
      <c r="G79" s="87"/>
      <c r="H79" s="88"/>
      <c r="I79" s="88"/>
    </row>
    <row r="80" spans="1:9" ht="13">
      <c r="A80" s="64" t="s">
        <v>7608</v>
      </c>
      <c r="B80" s="77" t="s">
        <v>201</v>
      </c>
      <c r="C80" s="140" t="s">
        <v>195</v>
      </c>
      <c r="D80" s="141"/>
      <c r="E80" s="86"/>
      <c r="F80" s="86"/>
      <c r="G80" s="87"/>
      <c r="H80" s="137"/>
      <c r="I80" s="88"/>
    </row>
    <row r="81" spans="1:9" ht="13">
      <c r="A81" s="64" t="s">
        <v>7609</v>
      </c>
      <c r="B81" s="77" t="s">
        <v>227</v>
      </c>
      <c r="C81" s="140" t="s">
        <v>195</v>
      </c>
      <c r="D81" s="140"/>
      <c r="E81" s="86"/>
      <c r="F81" s="87"/>
      <c r="G81" s="87"/>
      <c r="H81" s="88"/>
      <c r="I81" s="88"/>
    </row>
    <row r="82" spans="1:9" ht="13">
      <c r="A82" s="64" t="s">
        <v>7610</v>
      </c>
      <c r="B82" s="77" t="s">
        <v>3116</v>
      </c>
      <c r="C82" s="140" t="s">
        <v>195</v>
      </c>
      <c r="D82" s="140"/>
      <c r="E82" s="86"/>
      <c r="F82" s="87"/>
      <c r="G82" s="87"/>
      <c r="H82" s="88"/>
      <c r="I82" s="88"/>
    </row>
    <row r="83" spans="1:9" ht="13">
      <c r="A83" s="64" t="s">
        <v>7611</v>
      </c>
      <c r="B83" s="77" t="s">
        <v>5094</v>
      </c>
      <c r="C83" s="140" t="s">
        <v>195</v>
      </c>
      <c r="D83" s="140"/>
      <c r="E83" s="86"/>
      <c r="F83" s="89"/>
      <c r="G83" s="87"/>
      <c r="H83" s="88"/>
      <c r="I83" s="88"/>
    </row>
    <row r="84" spans="1:9" ht="13">
      <c r="A84" s="64" t="s">
        <v>7612</v>
      </c>
      <c r="B84" s="77" t="s">
        <v>4799</v>
      </c>
      <c r="C84" s="140" t="s">
        <v>195</v>
      </c>
      <c r="D84" s="140"/>
      <c r="E84" s="86"/>
      <c r="F84" s="87"/>
      <c r="G84" s="87"/>
      <c r="H84" s="88"/>
      <c r="I84" s="88"/>
    </row>
    <row r="85" spans="1:9" ht="13">
      <c r="A85" s="64" t="s">
        <v>7613</v>
      </c>
      <c r="B85" s="77" t="s">
        <v>6287</v>
      </c>
      <c r="C85" s="140" t="s">
        <v>195</v>
      </c>
      <c r="D85" s="141"/>
      <c r="E85" s="86"/>
      <c r="F85" s="87"/>
      <c r="G85" s="87"/>
      <c r="H85" s="88"/>
      <c r="I85" s="88"/>
    </row>
    <row r="86" spans="1:9" ht="13">
      <c r="A86" s="64" t="s">
        <v>7614</v>
      </c>
      <c r="B86" s="78" t="str">
        <f>HYPERLINK("https://bulbapedia.bulbagarden.net/wiki/Marshadow_%26_Machamp-GX_(Unbroken_Bonds_82)","Marshadow &amp; MachampGX")</f>
        <v>Marshadow &amp; MachampGX</v>
      </c>
      <c r="C86" s="140" t="s">
        <v>225</v>
      </c>
      <c r="D86" s="141"/>
      <c r="E86" s="86"/>
      <c r="F86" s="87"/>
      <c r="G86" s="87"/>
      <c r="H86" s="88"/>
      <c r="I86" s="88"/>
    </row>
    <row r="87" spans="1:9" ht="13">
      <c r="A87" s="64" t="s">
        <v>7615</v>
      </c>
      <c r="B87" s="77" t="s">
        <v>293</v>
      </c>
      <c r="C87" s="140" t="s">
        <v>225</v>
      </c>
      <c r="D87" s="140"/>
      <c r="E87" s="86"/>
      <c r="F87" s="89"/>
      <c r="G87" s="87"/>
      <c r="H87" s="88"/>
      <c r="I87" s="88"/>
    </row>
    <row r="88" spans="1:9" ht="13">
      <c r="A88" s="64" t="s">
        <v>7616</v>
      </c>
      <c r="B88" s="77" t="s">
        <v>374</v>
      </c>
      <c r="C88" s="140" t="s">
        <v>225</v>
      </c>
      <c r="D88" s="140"/>
      <c r="E88" s="86"/>
      <c r="F88" s="87"/>
      <c r="G88" s="87"/>
      <c r="H88" s="88"/>
      <c r="I88" s="88"/>
    </row>
    <row r="89" spans="1:9" ht="13">
      <c r="A89" s="64" t="s">
        <v>7617</v>
      </c>
      <c r="B89" s="77" t="s">
        <v>279</v>
      </c>
      <c r="C89" s="140" t="s">
        <v>225</v>
      </c>
      <c r="D89" s="140"/>
      <c r="E89" s="86"/>
      <c r="F89" s="87"/>
      <c r="G89" s="87"/>
      <c r="H89" s="88"/>
      <c r="I89" s="88"/>
    </row>
    <row r="90" spans="1:9" ht="13">
      <c r="A90" s="64" t="s">
        <v>7618</v>
      </c>
      <c r="B90" s="77" t="s">
        <v>255</v>
      </c>
      <c r="C90" s="140" t="s">
        <v>225</v>
      </c>
      <c r="D90" s="140"/>
      <c r="E90" s="86"/>
      <c r="F90" s="87"/>
      <c r="G90" s="87"/>
      <c r="H90" s="88"/>
      <c r="I90" s="88"/>
    </row>
    <row r="91" spans="1:9" ht="13">
      <c r="A91" s="64" t="s">
        <v>7619</v>
      </c>
      <c r="B91" s="77" t="s">
        <v>380</v>
      </c>
      <c r="C91" s="140" t="s">
        <v>225</v>
      </c>
      <c r="D91" s="140"/>
      <c r="E91" s="86"/>
      <c r="F91" s="87"/>
      <c r="G91" s="87"/>
      <c r="H91" s="88"/>
      <c r="I91" s="88"/>
    </row>
    <row r="92" spans="1:9" ht="13">
      <c r="A92" s="64" t="s">
        <v>7620</v>
      </c>
      <c r="B92" s="77" t="s">
        <v>371</v>
      </c>
      <c r="C92" s="140" t="s">
        <v>225</v>
      </c>
      <c r="D92" s="140"/>
      <c r="E92" s="86"/>
      <c r="F92" s="87"/>
      <c r="G92" s="87"/>
      <c r="H92" s="88"/>
      <c r="I92" s="88"/>
    </row>
    <row r="93" spans="1:9" ht="13">
      <c r="A93" s="64" t="s">
        <v>7621</v>
      </c>
      <c r="B93" s="77" t="s">
        <v>370</v>
      </c>
      <c r="C93" s="140" t="s">
        <v>225</v>
      </c>
      <c r="D93" s="141"/>
      <c r="E93" s="86"/>
      <c r="F93" s="87"/>
      <c r="G93" s="87"/>
      <c r="H93" s="88"/>
      <c r="I93" s="88"/>
    </row>
    <row r="94" spans="1:9" ht="13">
      <c r="A94" s="64" t="s">
        <v>7622</v>
      </c>
      <c r="B94" s="77" t="s">
        <v>347</v>
      </c>
      <c r="C94" s="140" t="s">
        <v>225</v>
      </c>
      <c r="D94" s="140"/>
      <c r="E94" s="86"/>
      <c r="F94" s="87"/>
      <c r="G94" s="87"/>
      <c r="H94" s="88"/>
      <c r="I94" s="88"/>
    </row>
    <row r="95" spans="1:9" ht="13">
      <c r="A95" s="64" t="s">
        <v>7623</v>
      </c>
      <c r="B95" s="77" t="s">
        <v>337</v>
      </c>
      <c r="C95" s="140" t="s">
        <v>225</v>
      </c>
      <c r="D95" s="140"/>
      <c r="E95" s="86"/>
      <c r="F95" s="87"/>
      <c r="G95" s="87"/>
      <c r="H95" s="88"/>
      <c r="I95" s="88"/>
    </row>
    <row r="96" spans="1:9" ht="13">
      <c r="A96" s="64" t="s">
        <v>7624</v>
      </c>
      <c r="B96" s="77" t="s">
        <v>354</v>
      </c>
      <c r="C96" s="140" t="s">
        <v>225</v>
      </c>
      <c r="D96" s="140"/>
      <c r="E96" s="86"/>
      <c r="F96" s="87"/>
      <c r="G96" s="87"/>
      <c r="H96" s="88"/>
      <c r="I96" s="88"/>
    </row>
    <row r="97" spans="1:9" ht="13">
      <c r="A97" s="64" t="s">
        <v>7625</v>
      </c>
      <c r="B97" s="77" t="s">
        <v>354</v>
      </c>
      <c r="C97" s="140" t="s">
        <v>225</v>
      </c>
      <c r="D97" s="140"/>
      <c r="E97" s="86"/>
      <c r="F97" s="87"/>
      <c r="G97" s="87"/>
      <c r="H97" s="88"/>
      <c r="I97" s="88"/>
    </row>
    <row r="98" spans="1:9" ht="13">
      <c r="A98" s="64" t="s">
        <v>7626</v>
      </c>
      <c r="B98" s="77" t="s">
        <v>342</v>
      </c>
      <c r="C98" s="140" t="s">
        <v>225</v>
      </c>
      <c r="D98" s="140"/>
      <c r="E98" s="86"/>
      <c r="F98" s="87"/>
      <c r="G98" s="87"/>
      <c r="H98" s="88"/>
      <c r="I98" s="88"/>
    </row>
    <row r="99" spans="1:9" ht="13">
      <c r="A99" s="64" t="s">
        <v>7627</v>
      </c>
      <c r="B99" s="77" t="s">
        <v>3117</v>
      </c>
      <c r="C99" s="140" t="s">
        <v>225</v>
      </c>
      <c r="D99" s="140"/>
      <c r="E99" s="86"/>
      <c r="F99" s="87"/>
      <c r="G99" s="87"/>
      <c r="H99" s="88"/>
      <c r="I99" s="88"/>
    </row>
    <row r="100" spans="1:9" ht="13">
      <c r="A100" s="64" t="s">
        <v>7628</v>
      </c>
      <c r="B100" s="77" t="s">
        <v>906</v>
      </c>
      <c r="C100" s="140" t="s">
        <v>225</v>
      </c>
      <c r="D100" s="140"/>
      <c r="E100" s="89"/>
      <c r="F100" s="87"/>
      <c r="G100" s="87"/>
      <c r="H100" s="88"/>
      <c r="I100" s="88"/>
    </row>
    <row r="101" spans="1:9" ht="13">
      <c r="A101" s="64" t="s">
        <v>7629</v>
      </c>
      <c r="B101" s="77" t="s">
        <v>844</v>
      </c>
      <c r="C101" s="140" t="s">
        <v>225</v>
      </c>
      <c r="D101" s="140"/>
      <c r="E101" s="87"/>
      <c r="F101" s="87"/>
      <c r="G101" s="87"/>
      <c r="H101" s="88"/>
      <c r="I101" s="88"/>
    </row>
    <row r="102" spans="1:9" ht="13">
      <c r="A102" s="64" t="s">
        <v>7630</v>
      </c>
      <c r="B102" s="77" t="s">
        <v>867</v>
      </c>
      <c r="C102" s="140" t="s">
        <v>225</v>
      </c>
      <c r="D102" s="140"/>
      <c r="E102" s="86"/>
      <c r="F102" s="86"/>
      <c r="G102" s="87"/>
      <c r="H102" s="88"/>
      <c r="I102" s="88"/>
    </row>
    <row r="103" spans="1:9" ht="13">
      <c r="A103" s="64" t="s">
        <v>7631</v>
      </c>
      <c r="B103" s="77" t="s">
        <v>3082</v>
      </c>
      <c r="C103" s="140" t="s">
        <v>225</v>
      </c>
      <c r="D103" s="140"/>
      <c r="E103" s="86"/>
      <c r="F103" s="87"/>
      <c r="G103" s="87"/>
      <c r="H103" s="88"/>
      <c r="I103" s="88"/>
    </row>
    <row r="104" spans="1:9" ht="13">
      <c r="A104" s="64" t="s">
        <v>7632</v>
      </c>
      <c r="B104" s="77" t="s">
        <v>958</v>
      </c>
      <c r="C104" s="140" t="s">
        <v>225</v>
      </c>
      <c r="D104" s="140"/>
      <c r="E104" s="86"/>
      <c r="F104" s="87"/>
      <c r="G104" s="87"/>
      <c r="H104" s="88"/>
      <c r="I104" s="88"/>
    </row>
    <row r="105" spans="1:9" ht="13">
      <c r="A105" s="64" t="s">
        <v>7633</v>
      </c>
      <c r="B105" s="77" t="s">
        <v>224</v>
      </c>
      <c r="C105" s="140" t="s">
        <v>225</v>
      </c>
      <c r="D105" s="140"/>
      <c r="E105" s="86"/>
      <c r="F105" s="87"/>
      <c r="G105" s="87"/>
      <c r="H105" s="88"/>
      <c r="I105" s="88"/>
    </row>
    <row r="106" spans="1:9" ht="13">
      <c r="A106" s="64" t="s">
        <v>7634</v>
      </c>
      <c r="B106" s="77" t="s">
        <v>3141</v>
      </c>
      <c r="C106" s="140" t="s">
        <v>225</v>
      </c>
      <c r="D106" s="140"/>
      <c r="E106" s="86"/>
      <c r="F106" s="87"/>
      <c r="G106" s="87"/>
      <c r="H106" s="88"/>
      <c r="I106" s="88"/>
    </row>
    <row r="107" spans="1:9" ht="13">
      <c r="A107" s="64" t="s">
        <v>7635</v>
      </c>
      <c r="B107" s="77" t="s">
        <v>4100</v>
      </c>
      <c r="C107" s="140" t="s">
        <v>225</v>
      </c>
      <c r="D107" s="141"/>
      <c r="E107" s="86"/>
      <c r="F107" s="87"/>
      <c r="G107" s="87"/>
      <c r="H107" s="88"/>
      <c r="I107" s="88"/>
    </row>
    <row r="108" spans="1:9" ht="13">
      <c r="A108" s="64" t="s">
        <v>7636</v>
      </c>
      <c r="B108" s="77" t="s">
        <v>6489</v>
      </c>
      <c r="C108" s="140" t="s">
        <v>225</v>
      </c>
      <c r="D108" s="140"/>
      <c r="E108" s="86"/>
      <c r="F108" s="87"/>
      <c r="G108" s="87"/>
      <c r="H108" s="88"/>
      <c r="I108" s="88"/>
    </row>
    <row r="109" spans="1:9" ht="13">
      <c r="A109" s="64" t="s">
        <v>7637</v>
      </c>
      <c r="B109" s="77" t="s">
        <v>6476</v>
      </c>
      <c r="C109" s="140" t="s">
        <v>225</v>
      </c>
      <c r="D109" s="140"/>
      <c r="E109" s="86"/>
      <c r="F109" s="87"/>
      <c r="G109" s="87"/>
      <c r="H109" s="88"/>
      <c r="I109" s="88"/>
    </row>
    <row r="110" spans="1:9" ht="13">
      <c r="A110" s="64" t="s">
        <v>7638</v>
      </c>
      <c r="B110" s="77" t="s">
        <v>6424</v>
      </c>
      <c r="C110" s="140" t="s">
        <v>225</v>
      </c>
      <c r="D110" s="141"/>
      <c r="E110" s="86"/>
      <c r="F110" s="87"/>
      <c r="G110" s="87"/>
      <c r="H110" s="88"/>
      <c r="I110" s="88"/>
    </row>
    <row r="111" spans="1:9" ht="13">
      <c r="A111" s="64" t="s">
        <v>7640</v>
      </c>
      <c r="B111" s="78" t="str">
        <f>HYPERLINK("https://bulbapedia.bulbagarden.net/wiki/Greninja_%26_Zoroark-GX_(Unbroken_Bonds_107)","Greninja &amp; ZoroarkGX")</f>
        <v>Greninja &amp; ZoroarkGX</v>
      </c>
      <c r="C111" s="140" t="s">
        <v>808</v>
      </c>
      <c r="D111" s="140"/>
      <c r="E111" s="89"/>
      <c r="F111" s="87"/>
      <c r="G111" s="87"/>
      <c r="H111" s="88"/>
      <c r="I111" s="88"/>
    </row>
    <row r="112" spans="1:9" ht="13">
      <c r="A112" s="64" t="s">
        <v>7641</v>
      </c>
      <c r="B112" s="77" t="s">
        <v>807</v>
      </c>
      <c r="C112" s="140" t="s">
        <v>808</v>
      </c>
      <c r="D112" s="140"/>
      <c r="E112" s="86"/>
      <c r="F112" s="89"/>
      <c r="G112" s="87"/>
      <c r="H112" s="88"/>
      <c r="I112" s="88"/>
    </row>
    <row r="113" spans="1:9" ht="13">
      <c r="A113" s="64" t="s">
        <v>7643</v>
      </c>
      <c r="B113" s="78" t="str">
        <f>HYPERLINK("https://bulbapedia.bulbagarden.net/wiki/Honchkrow-GX_(Unbroken_Bonds_109)","HonchkrowGX")</f>
        <v>HonchkrowGX</v>
      </c>
      <c r="C113" s="140" t="s">
        <v>808</v>
      </c>
      <c r="D113" s="140"/>
      <c r="E113" s="87"/>
      <c r="F113" s="89"/>
      <c r="G113" s="87"/>
      <c r="H113" s="88"/>
      <c r="I113" s="88"/>
    </row>
    <row r="114" spans="1:9" ht="13">
      <c r="A114" s="64" t="s">
        <v>7644</v>
      </c>
      <c r="B114" s="77" t="s">
        <v>1288</v>
      </c>
      <c r="C114" s="140" t="s">
        <v>808</v>
      </c>
      <c r="D114" s="140"/>
      <c r="E114" s="86"/>
      <c r="F114" s="87"/>
      <c r="G114" s="87"/>
      <c r="H114" s="88"/>
      <c r="I114" s="88"/>
    </row>
    <row r="115" spans="1:9" ht="13">
      <c r="A115" s="64" t="s">
        <v>7645</v>
      </c>
      <c r="B115" s="77" t="s">
        <v>1246</v>
      </c>
      <c r="C115" s="140" t="s">
        <v>808</v>
      </c>
      <c r="D115" s="140"/>
      <c r="E115" s="87"/>
      <c r="F115" s="87"/>
      <c r="G115" s="87"/>
      <c r="H115" s="88"/>
      <c r="I115" s="88"/>
    </row>
    <row r="116" spans="1:9" ht="13">
      <c r="A116" s="64" t="s">
        <v>7646</v>
      </c>
      <c r="B116" s="77" t="s">
        <v>3390</v>
      </c>
      <c r="C116" s="140" t="s">
        <v>808</v>
      </c>
      <c r="D116" s="141"/>
      <c r="E116" s="87"/>
      <c r="F116" s="86"/>
      <c r="G116" s="87"/>
      <c r="H116" s="88"/>
      <c r="I116" s="88"/>
    </row>
    <row r="117" spans="1:9" ht="13">
      <c r="A117" s="64" t="s">
        <v>7647</v>
      </c>
      <c r="B117" s="77" t="s">
        <v>4035</v>
      </c>
      <c r="C117" s="140" t="s">
        <v>808</v>
      </c>
      <c r="D117" s="140"/>
      <c r="E117" s="86"/>
      <c r="F117" s="87"/>
      <c r="G117" s="87"/>
      <c r="H117" s="88"/>
      <c r="I117" s="88"/>
    </row>
    <row r="118" spans="1:9" ht="13">
      <c r="A118" s="64" t="s">
        <v>7648</v>
      </c>
      <c r="B118" s="77" t="s">
        <v>4035</v>
      </c>
      <c r="C118" s="140" t="s">
        <v>808</v>
      </c>
      <c r="D118" s="140"/>
      <c r="E118" s="86"/>
      <c r="F118" s="87"/>
      <c r="G118" s="87"/>
      <c r="H118" s="88"/>
      <c r="I118" s="88"/>
    </row>
    <row r="119" spans="1:9" ht="13">
      <c r="A119" s="64" t="s">
        <v>7649</v>
      </c>
      <c r="B119" s="77" t="s">
        <v>4156</v>
      </c>
      <c r="C119" s="140" t="s">
        <v>808</v>
      </c>
      <c r="D119" s="140"/>
      <c r="E119" s="86"/>
      <c r="F119" s="87"/>
      <c r="G119" s="87"/>
      <c r="H119" s="88"/>
      <c r="I119" s="88"/>
    </row>
    <row r="120" spans="1:9" ht="13">
      <c r="A120" s="64" t="s">
        <v>7650</v>
      </c>
      <c r="B120" s="77" t="s">
        <v>4157</v>
      </c>
      <c r="C120" s="140" t="s">
        <v>808</v>
      </c>
      <c r="D120" s="140"/>
      <c r="E120" s="86"/>
      <c r="F120" s="87"/>
      <c r="G120" s="87"/>
      <c r="H120" s="88"/>
      <c r="I120" s="88"/>
    </row>
    <row r="121" spans="1:9" ht="13">
      <c r="A121" s="64" t="s">
        <v>7651</v>
      </c>
      <c r="B121" s="77" t="s">
        <v>4771</v>
      </c>
      <c r="C121" s="140" t="s">
        <v>808</v>
      </c>
      <c r="D121" s="141"/>
      <c r="E121" s="86"/>
      <c r="F121" s="86"/>
      <c r="G121" s="87"/>
      <c r="H121" s="88"/>
      <c r="I121" s="88"/>
    </row>
    <row r="122" spans="1:9" ht="13">
      <c r="A122" s="64" t="s">
        <v>7652</v>
      </c>
      <c r="B122" s="77" t="s">
        <v>5011</v>
      </c>
      <c r="C122" s="140" t="s">
        <v>808</v>
      </c>
      <c r="D122" s="140"/>
      <c r="E122" s="86"/>
      <c r="F122" s="87"/>
      <c r="G122" s="87"/>
      <c r="H122" s="88"/>
      <c r="I122" s="88"/>
    </row>
    <row r="123" spans="1:9" ht="13">
      <c r="A123" s="64" t="s">
        <v>7653</v>
      </c>
      <c r="B123" s="77" t="s">
        <v>4811</v>
      </c>
      <c r="C123" s="140" t="s">
        <v>808</v>
      </c>
      <c r="D123" s="141"/>
      <c r="E123" s="89"/>
      <c r="F123" s="86"/>
      <c r="G123" s="87"/>
      <c r="H123" s="88"/>
      <c r="I123" s="88"/>
    </row>
    <row r="124" spans="1:9" ht="13">
      <c r="A124" s="64" t="s">
        <v>7654</v>
      </c>
      <c r="B124" s="78" t="str">
        <f>HYPERLINK("https://bulbapedia.bulbagarden.net/wiki/Lucario_%26_Melmetal-GX_(Unbroken_Bonds_120)","Lucario &amp; MelmetalGX")</f>
        <v>Lucario &amp; MelmetalGX</v>
      </c>
      <c r="C124" s="140" t="s">
        <v>220</v>
      </c>
      <c r="D124" s="140"/>
      <c r="E124" s="87"/>
      <c r="F124" s="87"/>
      <c r="G124" s="87"/>
      <c r="H124" s="88"/>
      <c r="I124" s="88"/>
    </row>
    <row r="125" spans="1:9" ht="13">
      <c r="A125" s="64" t="s">
        <v>7655</v>
      </c>
      <c r="B125" s="77" t="s">
        <v>6496</v>
      </c>
      <c r="C125" s="140" t="s">
        <v>220</v>
      </c>
      <c r="D125" s="140"/>
      <c r="E125" s="86"/>
      <c r="F125" s="87"/>
      <c r="G125" s="87"/>
      <c r="H125" s="88"/>
      <c r="I125" s="88"/>
    </row>
    <row r="126" spans="1:9" ht="13">
      <c r="A126" s="64" t="s">
        <v>7656</v>
      </c>
      <c r="B126" s="77" t="s">
        <v>6497</v>
      </c>
      <c r="C126" s="140" t="s">
        <v>220</v>
      </c>
      <c r="D126" s="140"/>
      <c r="E126" s="86"/>
      <c r="F126" s="87"/>
      <c r="G126" s="87"/>
      <c r="H126" s="88"/>
      <c r="I126" s="88"/>
    </row>
    <row r="127" spans="1:9" ht="13">
      <c r="A127" s="64" t="s">
        <v>7657</v>
      </c>
      <c r="B127" s="77" t="s">
        <v>1250</v>
      </c>
      <c r="C127" s="140" t="s">
        <v>220</v>
      </c>
      <c r="D127" s="140"/>
      <c r="E127" s="86"/>
      <c r="F127" s="87"/>
      <c r="G127" s="87"/>
      <c r="H127" s="88"/>
      <c r="I127" s="88"/>
    </row>
    <row r="128" spans="1:9" ht="13">
      <c r="A128" s="64" t="s">
        <v>7658</v>
      </c>
      <c r="B128" s="77" t="s">
        <v>1265</v>
      </c>
      <c r="C128" s="140" t="s">
        <v>220</v>
      </c>
      <c r="D128" s="140"/>
      <c r="E128" s="86"/>
      <c r="F128" s="87"/>
      <c r="G128" s="87"/>
      <c r="H128" s="88"/>
      <c r="I128" s="88"/>
    </row>
    <row r="129" spans="1:9" ht="13">
      <c r="A129" s="64" t="s">
        <v>7659</v>
      </c>
      <c r="B129" s="77" t="s">
        <v>1208</v>
      </c>
      <c r="C129" s="140" t="s">
        <v>220</v>
      </c>
      <c r="D129" s="140"/>
      <c r="E129" s="86"/>
      <c r="F129" s="87"/>
      <c r="G129" s="87"/>
      <c r="H129" s="88"/>
      <c r="I129" s="88"/>
    </row>
    <row r="130" spans="1:9" ht="13">
      <c r="A130" s="64" t="s">
        <v>7660</v>
      </c>
      <c r="B130" s="77" t="s">
        <v>3113</v>
      </c>
      <c r="C130" s="140" t="s">
        <v>220</v>
      </c>
      <c r="D130" s="140"/>
      <c r="E130" s="86"/>
      <c r="F130" s="86"/>
      <c r="G130" s="87"/>
      <c r="H130" s="88"/>
      <c r="I130" s="88"/>
    </row>
    <row r="131" spans="1:9" ht="13">
      <c r="A131" s="64" t="s">
        <v>7661</v>
      </c>
      <c r="B131" s="77" t="s">
        <v>4683</v>
      </c>
      <c r="C131" s="140" t="s">
        <v>220</v>
      </c>
      <c r="D131" s="140"/>
      <c r="E131" s="89"/>
      <c r="F131" s="87"/>
      <c r="G131" s="87"/>
      <c r="H131" s="88"/>
      <c r="I131" s="88"/>
    </row>
    <row r="132" spans="1:9" ht="13">
      <c r="A132" s="64" t="s">
        <v>7662</v>
      </c>
      <c r="B132" s="77" t="s">
        <v>6391</v>
      </c>
      <c r="C132" s="140" t="s">
        <v>220</v>
      </c>
      <c r="D132" s="140"/>
      <c r="E132" s="86"/>
      <c r="F132" s="87"/>
      <c r="G132" s="87"/>
      <c r="H132" s="88"/>
      <c r="I132" s="88"/>
    </row>
    <row r="133" spans="1:9" ht="13">
      <c r="A133" s="64" t="s">
        <v>7663</v>
      </c>
      <c r="B133" s="77" t="s">
        <v>8021</v>
      </c>
      <c r="C133" s="140" t="s">
        <v>220</v>
      </c>
      <c r="D133" s="141"/>
      <c r="E133" s="89"/>
      <c r="F133" s="87"/>
      <c r="G133" s="87"/>
      <c r="H133" s="88"/>
      <c r="I133" s="88"/>
    </row>
    <row r="134" spans="1:9" ht="13">
      <c r="A134" s="64" t="s">
        <v>7664</v>
      </c>
      <c r="B134" s="78" t="str">
        <f>HYPERLINK("https://bulbapedia.bulbagarden.net/wiki/Gardevoir_%26_Sylveon-GX_(Unbroken_Bonds_130)","Gardevoir &amp; SylveonGX")</f>
        <v>Gardevoir &amp; SylveonGX</v>
      </c>
      <c r="C134" s="140" t="s">
        <v>4743</v>
      </c>
      <c r="D134" s="140"/>
      <c r="E134" s="87"/>
      <c r="F134" s="87"/>
      <c r="G134" s="87"/>
      <c r="H134" s="88"/>
      <c r="I134" s="88"/>
    </row>
    <row r="135" spans="1:9" ht="13">
      <c r="A135" s="64" t="s">
        <v>7665</v>
      </c>
      <c r="B135" s="77" t="s">
        <v>217</v>
      </c>
      <c r="C135" s="140" t="s">
        <v>4743</v>
      </c>
      <c r="D135" s="140"/>
      <c r="E135" s="87"/>
      <c r="F135" s="87"/>
      <c r="G135" s="87"/>
      <c r="H135" s="88"/>
      <c r="I135" s="88"/>
    </row>
    <row r="136" spans="1:9" ht="13">
      <c r="A136" s="64" t="s">
        <v>7666</v>
      </c>
      <c r="B136" s="77" t="s">
        <v>244</v>
      </c>
      <c r="C136" s="140" t="s">
        <v>4743</v>
      </c>
      <c r="D136" s="140"/>
      <c r="E136" s="87"/>
      <c r="F136" s="87"/>
      <c r="G136" s="87"/>
      <c r="H136" s="88"/>
      <c r="I136" s="88"/>
    </row>
    <row r="137" spans="1:9" ht="13">
      <c r="A137" s="64" t="s">
        <v>7667</v>
      </c>
      <c r="B137" s="77" t="s">
        <v>318</v>
      </c>
      <c r="C137" s="140" t="s">
        <v>4743</v>
      </c>
      <c r="D137" s="140"/>
      <c r="E137" s="86"/>
      <c r="F137" s="87"/>
      <c r="G137" s="87"/>
      <c r="H137" s="88"/>
      <c r="I137" s="88"/>
    </row>
    <row r="138" spans="1:9" ht="13">
      <c r="A138" s="64" t="s">
        <v>7668</v>
      </c>
      <c r="B138" s="77" t="s">
        <v>200</v>
      </c>
      <c r="C138" s="140" t="s">
        <v>4743</v>
      </c>
      <c r="D138" s="140"/>
      <c r="E138" s="86"/>
      <c r="F138" s="87"/>
      <c r="G138" s="87"/>
      <c r="H138" s="88"/>
      <c r="I138" s="88"/>
    </row>
    <row r="139" spans="1:9" ht="13">
      <c r="A139" s="64" t="s">
        <v>7669</v>
      </c>
      <c r="B139" s="77" t="s">
        <v>330</v>
      </c>
      <c r="C139" s="140" t="s">
        <v>4743</v>
      </c>
      <c r="D139" s="140"/>
      <c r="E139" s="87"/>
      <c r="F139" s="86"/>
      <c r="G139" s="87"/>
      <c r="H139" s="88"/>
      <c r="I139" s="88"/>
    </row>
    <row r="140" spans="1:9" ht="13">
      <c r="A140" s="64" t="s">
        <v>7670</v>
      </c>
      <c r="B140" s="77" t="s">
        <v>216</v>
      </c>
      <c r="C140" s="140" t="s">
        <v>4743</v>
      </c>
      <c r="D140" s="140"/>
      <c r="E140" s="86"/>
      <c r="F140" s="87"/>
      <c r="G140" s="87"/>
      <c r="H140" s="88"/>
      <c r="I140" s="88"/>
    </row>
    <row r="141" spans="1:9" ht="13">
      <c r="A141" s="64" t="s">
        <v>7671</v>
      </c>
      <c r="B141" s="77" t="s">
        <v>793</v>
      </c>
      <c r="C141" s="140" t="s">
        <v>4743</v>
      </c>
      <c r="D141" s="140"/>
      <c r="E141" s="86"/>
      <c r="F141" s="87"/>
      <c r="G141" s="87"/>
      <c r="H141" s="88"/>
      <c r="I141" s="88"/>
    </row>
    <row r="142" spans="1:9" ht="13">
      <c r="A142" s="64" t="s">
        <v>7672</v>
      </c>
      <c r="B142" s="77" t="s">
        <v>3340</v>
      </c>
      <c r="C142" s="140" t="s">
        <v>4743</v>
      </c>
      <c r="D142" s="141"/>
      <c r="E142" s="86"/>
      <c r="F142" s="86"/>
      <c r="G142" s="87"/>
      <c r="H142" s="88"/>
      <c r="I142" s="88"/>
    </row>
    <row r="143" spans="1:9" ht="13">
      <c r="A143" s="64" t="s">
        <v>7673</v>
      </c>
      <c r="B143" s="77" t="s">
        <v>4356</v>
      </c>
      <c r="C143" s="140" t="s">
        <v>4743</v>
      </c>
      <c r="D143" s="140"/>
      <c r="E143" s="86"/>
      <c r="F143" s="89"/>
      <c r="G143" s="87"/>
      <c r="H143" s="88"/>
      <c r="I143" s="88"/>
    </row>
    <row r="144" spans="1:9" ht="13">
      <c r="A144" s="64" t="s">
        <v>7674</v>
      </c>
      <c r="B144" s="78" t="str">
        <f>HYPERLINK("https://bulbapedia.bulbagarden.net/wiki/Whimsicott-GX_(Unbroken_Bonds_140)","WhimsicottGX")</f>
        <v>WhimsicottGX</v>
      </c>
      <c r="C144" s="140" t="s">
        <v>4743</v>
      </c>
      <c r="D144" s="141"/>
      <c r="E144" s="89"/>
      <c r="F144" s="87"/>
      <c r="G144" s="87"/>
      <c r="H144" s="88"/>
      <c r="I144" s="88"/>
    </row>
    <row r="145" spans="1:9" ht="13">
      <c r="A145" s="64" t="s">
        <v>7675</v>
      </c>
      <c r="B145" s="77" t="s">
        <v>5047</v>
      </c>
      <c r="C145" s="140" t="s">
        <v>4743</v>
      </c>
      <c r="D145" s="140"/>
      <c r="E145" s="86"/>
      <c r="F145" s="86"/>
      <c r="G145" s="87"/>
      <c r="H145" s="88"/>
      <c r="I145" s="88"/>
    </row>
    <row r="146" spans="1:9" ht="13">
      <c r="A146" s="64" t="s">
        <v>7676</v>
      </c>
      <c r="B146" s="77" t="s">
        <v>5048</v>
      </c>
      <c r="C146" s="140" t="s">
        <v>4743</v>
      </c>
      <c r="D146" s="140"/>
      <c r="E146" s="86"/>
      <c r="F146" s="87"/>
      <c r="G146" s="87"/>
      <c r="H146" s="88"/>
      <c r="I146" s="88"/>
    </row>
    <row r="147" spans="1:9" ht="13">
      <c r="A147" s="64" t="s">
        <v>7677</v>
      </c>
      <c r="B147" s="77" t="s">
        <v>292</v>
      </c>
      <c r="C147" s="140" t="s">
        <v>197</v>
      </c>
      <c r="D147" s="140"/>
      <c r="E147" s="86"/>
      <c r="F147" s="87"/>
      <c r="G147" s="87"/>
      <c r="H147" s="88"/>
      <c r="I147" s="88"/>
    </row>
    <row r="148" spans="1:9" ht="13">
      <c r="A148" s="64" t="s">
        <v>7678</v>
      </c>
      <c r="B148" s="77" t="s">
        <v>272</v>
      </c>
      <c r="C148" s="140" t="s">
        <v>197</v>
      </c>
      <c r="D148" s="140"/>
      <c r="E148" s="86"/>
      <c r="F148" s="87"/>
      <c r="G148" s="87"/>
      <c r="H148" s="88"/>
      <c r="I148" s="88"/>
    </row>
    <row r="149" spans="1:9" ht="13">
      <c r="A149" s="64" t="s">
        <v>7679</v>
      </c>
      <c r="B149" s="77" t="s">
        <v>355</v>
      </c>
      <c r="C149" s="140" t="s">
        <v>197</v>
      </c>
      <c r="D149" s="140"/>
      <c r="E149" s="86"/>
      <c r="F149" s="86"/>
      <c r="G149" s="87"/>
      <c r="H149" s="88"/>
      <c r="I149" s="88"/>
    </row>
    <row r="150" spans="1:9" ht="13">
      <c r="A150" s="64" t="s">
        <v>7680</v>
      </c>
      <c r="B150" s="77" t="s">
        <v>334</v>
      </c>
      <c r="C150" s="140" t="s">
        <v>197</v>
      </c>
      <c r="D150" s="140"/>
      <c r="E150" s="89"/>
      <c r="F150" s="87"/>
      <c r="G150" s="87"/>
      <c r="H150" s="88"/>
      <c r="I150" s="88"/>
    </row>
    <row r="151" spans="1:9" ht="13">
      <c r="A151" s="64" t="s">
        <v>7681</v>
      </c>
      <c r="B151" s="77" t="s">
        <v>202</v>
      </c>
      <c r="C151" s="140" t="s">
        <v>197</v>
      </c>
      <c r="D151" s="140"/>
      <c r="E151" s="86"/>
      <c r="F151" s="87"/>
      <c r="G151" s="87"/>
      <c r="H151" s="88"/>
      <c r="I151" s="88"/>
    </row>
    <row r="152" spans="1:9" ht="13">
      <c r="A152" s="64" t="s">
        <v>7682</v>
      </c>
      <c r="B152" s="77" t="s">
        <v>340</v>
      </c>
      <c r="C152" s="140" t="s">
        <v>197</v>
      </c>
      <c r="D152" s="140"/>
      <c r="E152" s="86"/>
      <c r="F152" s="87"/>
      <c r="G152" s="87"/>
      <c r="H152" s="88"/>
      <c r="I152" s="88"/>
    </row>
    <row r="153" spans="1:9" ht="13">
      <c r="A153" s="64" t="s">
        <v>7683</v>
      </c>
      <c r="B153" s="78" t="str">
        <f>HYPERLINK("https://bulbapedia.bulbagarden.net/wiki/Persian-GX_(Unbroken_Bonds_149)","PersianGX")</f>
        <v>PersianGX</v>
      </c>
      <c r="C153" s="140" t="s">
        <v>197</v>
      </c>
      <c r="D153" s="140"/>
      <c r="E153" s="86"/>
      <c r="F153" s="87"/>
      <c r="G153" s="87"/>
      <c r="H153" s="88"/>
      <c r="I153" s="88"/>
    </row>
    <row r="154" spans="1:9" ht="13">
      <c r="A154" s="64" t="s">
        <v>7684</v>
      </c>
      <c r="B154" s="77" t="s">
        <v>280</v>
      </c>
      <c r="C154" s="140" t="s">
        <v>197</v>
      </c>
      <c r="D154" s="140"/>
      <c r="E154" s="86"/>
      <c r="F154" s="87"/>
      <c r="G154" s="87"/>
      <c r="H154" s="88"/>
      <c r="I154" s="88"/>
    </row>
    <row r="155" spans="1:9" ht="13">
      <c r="A155" s="64" t="s">
        <v>7685</v>
      </c>
      <c r="B155" s="77" t="s">
        <v>332</v>
      </c>
      <c r="C155" s="140" t="s">
        <v>197</v>
      </c>
      <c r="D155" s="140"/>
      <c r="E155" s="86"/>
      <c r="F155" s="86"/>
      <c r="G155" s="87"/>
      <c r="H155" s="88"/>
      <c r="I155" s="88"/>
    </row>
    <row r="156" spans="1:9" ht="13">
      <c r="A156" s="64" t="s">
        <v>7687</v>
      </c>
      <c r="B156" s="77" t="s">
        <v>336</v>
      </c>
      <c r="C156" s="140" t="s">
        <v>197</v>
      </c>
      <c r="D156" s="140"/>
      <c r="E156" s="86"/>
      <c r="F156" s="87"/>
      <c r="G156" s="87"/>
      <c r="H156" s="88"/>
      <c r="I156" s="88"/>
    </row>
    <row r="157" spans="1:9" ht="13">
      <c r="A157" s="64" t="s">
        <v>7688</v>
      </c>
      <c r="B157" s="77" t="s">
        <v>3317</v>
      </c>
      <c r="C157" s="140" t="s">
        <v>197</v>
      </c>
      <c r="D157" s="140"/>
      <c r="E157" s="86"/>
      <c r="F157" s="86"/>
      <c r="G157" s="87"/>
      <c r="H157" s="88"/>
      <c r="I157" s="88"/>
    </row>
    <row r="158" spans="1:9" ht="13">
      <c r="A158" s="64" t="s">
        <v>7689</v>
      </c>
      <c r="B158" s="77" t="s">
        <v>271</v>
      </c>
      <c r="C158" s="140" t="s">
        <v>197</v>
      </c>
      <c r="D158" s="140"/>
      <c r="E158" s="86"/>
      <c r="F158" s="87"/>
      <c r="G158" s="87"/>
      <c r="H158" s="88"/>
      <c r="I158" s="88"/>
    </row>
    <row r="159" spans="1:9" ht="13">
      <c r="A159" s="64" t="s">
        <v>7690</v>
      </c>
      <c r="B159" s="77" t="s">
        <v>271</v>
      </c>
      <c r="C159" s="140" t="s">
        <v>197</v>
      </c>
      <c r="D159" s="140"/>
      <c r="E159" s="86"/>
      <c r="F159" s="89"/>
      <c r="G159" s="87"/>
      <c r="H159" s="88"/>
      <c r="I159" s="88"/>
    </row>
    <row r="160" spans="1:9" ht="13">
      <c r="A160" s="64" t="s">
        <v>7691</v>
      </c>
      <c r="B160" s="77" t="s">
        <v>971</v>
      </c>
      <c r="C160" s="140" t="s">
        <v>197</v>
      </c>
      <c r="D160" s="51"/>
      <c r="F160" s="87"/>
      <c r="G160" s="87"/>
      <c r="H160" s="88"/>
      <c r="I160" s="88"/>
    </row>
    <row r="161" spans="1:9" ht="13">
      <c r="A161" s="64" t="s">
        <v>7692</v>
      </c>
      <c r="B161" s="77" t="s">
        <v>3080</v>
      </c>
      <c r="C161" s="140" t="s">
        <v>197</v>
      </c>
      <c r="D161" s="141"/>
      <c r="E161" s="86"/>
      <c r="F161" s="86"/>
      <c r="G161" s="87"/>
      <c r="H161" s="88"/>
      <c r="I161" s="137"/>
    </row>
    <row r="162" spans="1:9" ht="13">
      <c r="A162" s="64" t="s">
        <v>7693</v>
      </c>
      <c r="B162" s="77" t="s">
        <v>233</v>
      </c>
      <c r="C162" s="140" t="s">
        <v>197</v>
      </c>
      <c r="D162" s="141"/>
      <c r="E162" s="89"/>
      <c r="F162" s="87"/>
      <c r="G162" s="87"/>
      <c r="H162" s="88"/>
      <c r="I162" s="88"/>
    </row>
    <row r="163" spans="1:9" ht="13">
      <c r="A163" s="64" t="s">
        <v>7694</v>
      </c>
      <c r="B163" s="77" t="s">
        <v>3057</v>
      </c>
      <c r="C163" s="140" t="s">
        <v>197</v>
      </c>
      <c r="D163" s="140"/>
      <c r="E163" s="86"/>
      <c r="F163" s="86"/>
      <c r="G163" s="87"/>
      <c r="H163" s="88"/>
      <c r="I163" s="88"/>
    </row>
    <row r="164" spans="1:9" ht="13">
      <c r="A164" s="64" t="s">
        <v>7695</v>
      </c>
      <c r="B164" s="77" t="s">
        <v>3129</v>
      </c>
      <c r="C164" s="140" t="s">
        <v>197</v>
      </c>
      <c r="D164" s="140"/>
      <c r="E164" s="87"/>
      <c r="F164" s="87"/>
      <c r="G164" s="87"/>
      <c r="H164" s="88"/>
      <c r="I164" s="88"/>
    </row>
    <row r="165" spans="1:9" ht="13">
      <c r="A165" s="64" t="s">
        <v>7696</v>
      </c>
      <c r="B165" s="77" t="s">
        <v>3222</v>
      </c>
      <c r="C165" s="140" t="s">
        <v>197</v>
      </c>
      <c r="D165" s="140"/>
      <c r="E165" s="87"/>
      <c r="F165" s="87"/>
      <c r="G165" s="87"/>
      <c r="H165" s="88"/>
      <c r="I165" s="88"/>
    </row>
    <row r="166" spans="1:9" ht="13">
      <c r="A166" s="64" t="s">
        <v>7697</v>
      </c>
      <c r="B166" s="77" t="s">
        <v>3041</v>
      </c>
      <c r="C166" s="140" t="s">
        <v>197</v>
      </c>
      <c r="D166" s="140"/>
      <c r="E166" s="86"/>
      <c r="F166" s="87"/>
      <c r="G166" s="87"/>
      <c r="H166" s="88"/>
      <c r="I166" s="88"/>
    </row>
    <row r="167" spans="1:9" ht="13">
      <c r="A167" s="64" t="s">
        <v>7698</v>
      </c>
      <c r="B167" s="78" t="str">
        <f>HYPERLINK("https://bulbapedia.bulbagarden.net/wiki/Celesteela-GX_(Unbroken_Bonds_163)","CelesteelaGX")</f>
        <v>CelesteelaGX</v>
      </c>
      <c r="C167" s="140" t="s">
        <v>197</v>
      </c>
      <c r="D167" s="140"/>
      <c r="E167" s="89"/>
      <c r="F167" s="87"/>
      <c r="G167" s="87"/>
      <c r="H167" s="88"/>
      <c r="I167" s="88"/>
    </row>
    <row r="168" spans="1:9" ht="13">
      <c r="A168" s="64" t="s">
        <v>7699</v>
      </c>
      <c r="B168" s="77" t="s">
        <v>8022</v>
      </c>
      <c r="C168" s="140" t="s">
        <v>4114</v>
      </c>
      <c r="D168" s="140"/>
      <c r="E168" s="86"/>
      <c r="F168" s="87"/>
      <c r="G168" s="87"/>
      <c r="H168" s="88"/>
      <c r="I168" s="88"/>
    </row>
    <row r="169" spans="1:9" ht="13">
      <c r="A169" s="64" t="s">
        <v>7700</v>
      </c>
      <c r="B169" s="77" t="s">
        <v>8023</v>
      </c>
      <c r="C169" s="140" t="s">
        <v>4114</v>
      </c>
      <c r="D169" s="140"/>
      <c r="E169" s="89"/>
      <c r="F169" s="87"/>
      <c r="G169" s="87"/>
      <c r="H169" s="88"/>
      <c r="I169" s="88"/>
    </row>
    <row r="170" spans="1:9" ht="13">
      <c r="A170" s="64" t="s">
        <v>7701</v>
      </c>
      <c r="B170" s="77" t="s">
        <v>8024</v>
      </c>
      <c r="C170" s="140" t="s">
        <v>4114</v>
      </c>
      <c r="D170" s="140"/>
      <c r="E170" s="86"/>
      <c r="F170" s="87"/>
      <c r="G170" s="87"/>
      <c r="H170" s="88"/>
      <c r="I170" s="88"/>
    </row>
    <row r="171" spans="1:9" ht="13">
      <c r="A171" s="64" t="s">
        <v>7702</v>
      </c>
      <c r="B171" s="77" t="s">
        <v>8025</v>
      </c>
      <c r="C171" s="140" t="s">
        <v>4114</v>
      </c>
      <c r="D171" s="140"/>
      <c r="E171" s="86"/>
      <c r="F171" s="87"/>
      <c r="G171" s="87"/>
      <c r="H171" s="88"/>
      <c r="I171" s="88"/>
    </row>
    <row r="172" spans="1:9" ht="13">
      <c r="A172" s="64" t="s">
        <v>7704</v>
      </c>
      <c r="B172" s="77" t="s">
        <v>8026</v>
      </c>
      <c r="C172" s="140" t="s">
        <v>229</v>
      </c>
      <c r="D172" s="140"/>
      <c r="E172" s="86"/>
      <c r="F172" s="86"/>
      <c r="G172" s="87"/>
      <c r="H172" s="88"/>
      <c r="I172" s="88"/>
    </row>
    <row r="173" spans="1:9" ht="13">
      <c r="A173" s="64" t="s">
        <v>7706</v>
      </c>
      <c r="B173" s="77" t="s">
        <v>8027</v>
      </c>
      <c r="C173" s="140" t="s">
        <v>4114</v>
      </c>
      <c r="D173" s="140"/>
      <c r="E173" s="87"/>
      <c r="F173" s="87"/>
      <c r="G173" s="87"/>
      <c r="H173" s="88"/>
      <c r="I173" s="88"/>
    </row>
    <row r="174" spans="1:9" ht="13">
      <c r="A174" s="64" t="s">
        <v>7708</v>
      </c>
      <c r="B174" s="77" t="s">
        <v>8028</v>
      </c>
      <c r="C174" s="140" t="s">
        <v>4114</v>
      </c>
      <c r="D174" s="140"/>
      <c r="E174" s="87"/>
      <c r="F174" s="87"/>
      <c r="G174" s="87"/>
      <c r="H174" s="88"/>
      <c r="I174" s="88"/>
    </row>
    <row r="175" spans="1:9" ht="13">
      <c r="A175" s="64" t="s">
        <v>7710</v>
      </c>
      <c r="B175" s="77" t="s">
        <v>8029</v>
      </c>
      <c r="C175" s="140" t="s">
        <v>4114</v>
      </c>
      <c r="D175" s="140"/>
      <c r="E175" s="86"/>
      <c r="F175" s="87"/>
      <c r="G175" s="87"/>
      <c r="H175" s="88"/>
      <c r="I175" s="88"/>
    </row>
    <row r="176" spans="1:9" ht="13">
      <c r="A176" s="64" t="s">
        <v>7712</v>
      </c>
      <c r="B176" s="77" t="s">
        <v>8030</v>
      </c>
      <c r="C176" s="140" t="s">
        <v>4114</v>
      </c>
      <c r="D176" s="140"/>
      <c r="E176" s="87"/>
      <c r="F176" s="87"/>
      <c r="G176" s="87"/>
      <c r="H176" s="88"/>
      <c r="I176" s="88"/>
    </row>
    <row r="177" spans="1:9" ht="13">
      <c r="A177" s="64" t="s">
        <v>7715</v>
      </c>
      <c r="B177" s="77" t="s">
        <v>8031</v>
      </c>
      <c r="C177" s="140" t="s">
        <v>4114</v>
      </c>
      <c r="D177" s="140"/>
      <c r="E177" s="86"/>
      <c r="F177" s="89"/>
      <c r="G177" s="87"/>
      <c r="H177" s="88"/>
      <c r="I177" s="88"/>
    </row>
    <row r="178" spans="1:9" ht="13">
      <c r="A178" s="64" t="s">
        <v>7717</v>
      </c>
      <c r="B178" s="77" t="s">
        <v>8032</v>
      </c>
      <c r="C178" s="140" t="s">
        <v>1013</v>
      </c>
      <c r="D178" s="140"/>
      <c r="E178" s="86"/>
      <c r="F178" s="87"/>
      <c r="G178" s="87"/>
      <c r="H178" s="88"/>
      <c r="I178" s="88"/>
    </row>
    <row r="179" spans="1:9" ht="13">
      <c r="A179" s="64" t="s">
        <v>7719</v>
      </c>
      <c r="B179" s="77" t="s">
        <v>8033</v>
      </c>
      <c r="C179" s="140" t="s">
        <v>1013</v>
      </c>
      <c r="D179" s="140"/>
      <c r="E179" s="87"/>
      <c r="F179" s="87"/>
      <c r="G179" s="87"/>
      <c r="H179" s="88"/>
      <c r="I179" s="88"/>
    </row>
    <row r="180" spans="1:9" ht="13">
      <c r="A180" s="64" t="s">
        <v>7721</v>
      </c>
      <c r="B180" s="77" t="s">
        <v>8034</v>
      </c>
      <c r="C180" s="140" t="s">
        <v>1013</v>
      </c>
      <c r="D180" s="140"/>
      <c r="E180" s="89"/>
      <c r="F180" s="87"/>
      <c r="G180" s="87"/>
      <c r="H180" s="88"/>
      <c r="I180" s="88"/>
    </row>
    <row r="181" spans="1:9" ht="13">
      <c r="A181" s="64" t="s">
        <v>7723</v>
      </c>
      <c r="B181" s="77" t="s">
        <v>8035</v>
      </c>
      <c r="C181" s="140" t="s">
        <v>1013</v>
      </c>
      <c r="D181" s="140"/>
      <c r="E181" s="87"/>
      <c r="F181" s="87"/>
      <c r="G181" s="87"/>
      <c r="H181" s="88"/>
      <c r="I181" s="88"/>
    </row>
    <row r="182" spans="1:9" ht="13">
      <c r="A182" s="64" t="s">
        <v>7725</v>
      </c>
      <c r="B182" s="77" t="s">
        <v>8036</v>
      </c>
      <c r="C182" s="140" t="s">
        <v>1013</v>
      </c>
      <c r="D182" s="140"/>
      <c r="E182" s="86"/>
      <c r="F182" s="87"/>
      <c r="G182" s="87"/>
      <c r="H182" s="88"/>
      <c r="I182" s="88"/>
    </row>
    <row r="183" spans="1:9" ht="13">
      <c r="A183" s="64" t="s">
        <v>7726</v>
      </c>
      <c r="B183" s="77" t="s">
        <v>8037</v>
      </c>
      <c r="C183" s="140" t="s">
        <v>229</v>
      </c>
      <c r="D183" s="140"/>
      <c r="E183" s="86"/>
      <c r="F183" s="89"/>
      <c r="G183" s="87"/>
      <c r="H183" s="88"/>
      <c r="I183" s="88"/>
    </row>
    <row r="184" spans="1:9" ht="13">
      <c r="A184" s="64" t="s">
        <v>7728</v>
      </c>
      <c r="B184" s="77" t="s">
        <v>8038</v>
      </c>
      <c r="C184" s="140" t="s">
        <v>4114</v>
      </c>
      <c r="D184" s="140"/>
      <c r="E184" s="89"/>
      <c r="F184" s="87"/>
      <c r="G184" s="87"/>
      <c r="H184" s="88"/>
      <c r="I184" s="88"/>
    </row>
    <row r="185" spans="1:9" ht="13">
      <c r="A185" s="64" t="s">
        <v>7729</v>
      </c>
      <c r="B185" s="77" t="s">
        <v>8039</v>
      </c>
      <c r="C185" s="140" t="s">
        <v>1013</v>
      </c>
      <c r="D185" s="140"/>
      <c r="E185" s="86"/>
      <c r="F185" s="89"/>
      <c r="G185" s="87"/>
      <c r="H185" s="88"/>
      <c r="I185" s="88"/>
    </row>
    <row r="186" spans="1:9" ht="13">
      <c r="A186" s="64" t="s">
        <v>7731</v>
      </c>
      <c r="B186" s="77" t="s">
        <v>8040</v>
      </c>
      <c r="C186" s="140" t="s">
        <v>4114</v>
      </c>
      <c r="D186" s="140"/>
      <c r="E186" s="86"/>
      <c r="F186" s="89"/>
      <c r="G186" s="87"/>
      <c r="H186" s="137"/>
      <c r="I186" s="88"/>
    </row>
    <row r="187" spans="1:9" ht="13">
      <c r="A187" s="72" t="s">
        <v>8041</v>
      </c>
      <c r="B187" s="77" t="s">
        <v>8040</v>
      </c>
      <c r="C187" s="140" t="s">
        <v>4114</v>
      </c>
      <c r="D187" s="140"/>
      <c r="E187" s="86"/>
      <c r="F187" s="89"/>
      <c r="G187" s="87"/>
      <c r="H187" s="137"/>
      <c r="I187" s="88"/>
    </row>
    <row r="188" spans="1:9" ht="13">
      <c r="A188" s="64" t="s">
        <v>7732</v>
      </c>
      <c r="B188" s="77" t="s">
        <v>1163</v>
      </c>
      <c r="C188" s="140" t="s">
        <v>229</v>
      </c>
      <c r="D188" s="140"/>
      <c r="E188" s="87"/>
      <c r="F188" s="86"/>
      <c r="G188" s="87"/>
      <c r="H188" s="88"/>
      <c r="I188" s="88"/>
    </row>
    <row r="189" spans="1:9" ht="13">
      <c r="A189" s="64" t="s">
        <v>7734</v>
      </c>
      <c r="B189" s="77" t="s">
        <v>8042</v>
      </c>
      <c r="C189" s="140" t="s">
        <v>1013</v>
      </c>
      <c r="D189" s="140"/>
      <c r="E189" s="89"/>
      <c r="F189" s="86"/>
      <c r="G189" s="87"/>
      <c r="H189" s="88"/>
      <c r="I189" s="88"/>
    </row>
    <row r="190" spans="1:9" ht="13">
      <c r="A190" s="64" t="s">
        <v>7736</v>
      </c>
      <c r="B190" s="77" t="s">
        <v>8043</v>
      </c>
      <c r="C190" s="140" t="s">
        <v>1013</v>
      </c>
      <c r="D190" s="140"/>
      <c r="E190" s="89"/>
      <c r="F190" s="87"/>
      <c r="G190" s="87"/>
      <c r="H190" s="88"/>
      <c r="I190" s="88"/>
    </row>
    <row r="191" spans="1:9" ht="13">
      <c r="A191" s="64" t="s">
        <v>7738</v>
      </c>
      <c r="B191" s="77" t="s">
        <v>8044</v>
      </c>
      <c r="C191" s="140" t="s">
        <v>4114</v>
      </c>
      <c r="D191" s="140"/>
      <c r="E191" s="86"/>
      <c r="F191" s="86"/>
      <c r="G191" s="87"/>
      <c r="H191" s="88"/>
      <c r="I191" s="88"/>
    </row>
    <row r="192" spans="1:9" ht="13">
      <c r="A192" s="64" t="s">
        <v>7740</v>
      </c>
      <c r="B192" s="77" t="s">
        <v>8045</v>
      </c>
      <c r="C192" s="140" t="s">
        <v>4114</v>
      </c>
      <c r="D192" s="140"/>
      <c r="E192" s="86"/>
      <c r="F192" s="87"/>
      <c r="G192" s="87"/>
      <c r="H192" s="88"/>
      <c r="I192" s="88"/>
    </row>
    <row r="193" spans="1:9" ht="13">
      <c r="A193" s="64" t="s">
        <v>7743</v>
      </c>
      <c r="B193" s="77" t="s">
        <v>8046</v>
      </c>
      <c r="C193" s="140" t="s">
        <v>1013</v>
      </c>
      <c r="D193" s="140"/>
      <c r="E193" s="86"/>
      <c r="F193" s="89"/>
      <c r="G193" s="87"/>
      <c r="H193" s="88"/>
      <c r="I193" s="88"/>
    </row>
    <row r="194" spans="1:9" ht="13">
      <c r="A194" s="64" t="s">
        <v>7745</v>
      </c>
      <c r="B194" s="77" t="s">
        <v>8047</v>
      </c>
      <c r="C194" s="140" t="s">
        <v>1013</v>
      </c>
      <c r="D194" s="140"/>
      <c r="E194" s="86"/>
      <c r="F194" s="86"/>
      <c r="G194" s="87"/>
      <c r="H194" s="137"/>
      <c r="I194" s="88"/>
    </row>
    <row r="195" spans="1:9" ht="13">
      <c r="A195" s="64" t="s">
        <v>7747</v>
      </c>
      <c r="B195" s="77" t="s">
        <v>8048</v>
      </c>
      <c r="C195" s="140" t="s">
        <v>317</v>
      </c>
      <c r="D195" s="140"/>
      <c r="E195" s="87"/>
      <c r="F195" s="89"/>
      <c r="G195" s="87"/>
      <c r="H195" s="88"/>
      <c r="I195" s="88"/>
    </row>
    <row r="196" spans="1:9" ht="13">
      <c r="A196" s="64" t="s">
        <v>7749</v>
      </c>
      <c r="B196" s="78" t="str">
        <f>HYPERLINK("https://bulbapedia.bulbagarden.net/wiki/Pheromosa_%26_Buzzwole-GX_(Unbroken_Bonds_191)","Pheromosa &amp; BuzzwoleGX")</f>
        <v>Pheromosa &amp; BuzzwoleGX</v>
      </c>
      <c r="C196" s="140" t="s">
        <v>205</v>
      </c>
      <c r="D196" s="140"/>
      <c r="E196" s="89"/>
      <c r="F196" s="89"/>
      <c r="G196" s="87"/>
      <c r="H196" s="88"/>
      <c r="I196" s="88"/>
    </row>
    <row r="197" spans="1:9" ht="13">
      <c r="A197" s="64" t="s">
        <v>7750</v>
      </c>
      <c r="B197" s="78" t="str">
        <f>HYPERLINK("https://bulbapedia.bulbagarden.net/wiki/Pheromosa_%26_Buzzwole-GX_(Unbroken_Bonds_192)","Pheromosa &amp; BuzzwoleGX")</f>
        <v>Pheromosa &amp; BuzzwoleGX</v>
      </c>
      <c r="C197" s="140" t="s">
        <v>205</v>
      </c>
      <c r="D197" s="140"/>
      <c r="E197" s="87"/>
      <c r="F197" s="87"/>
      <c r="G197" s="87"/>
      <c r="H197" s="88"/>
      <c r="I197" s="88"/>
    </row>
    <row r="198" spans="1:9" ht="13">
      <c r="A198" s="64" t="s">
        <v>7752</v>
      </c>
      <c r="B198" s="78" t="str">
        <f>HYPERLINK("https://bulbapedia.bulbagarden.net/wiki/Venomoth-GX_(Unbroken_Bonds_193)","VenomothGX")</f>
        <v>VenomothGX</v>
      </c>
      <c r="C198" s="140" t="s">
        <v>205</v>
      </c>
      <c r="D198" s="140"/>
      <c r="E198" s="89"/>
      <c r="F198" s="87"/>
      <c r="G198" s="87"/>
      <c r="H198" s="88"/>
      <c r="I198" s="88"/>
    </row>
    <row r="199" spans="1:9" ht="13">
      <c r="A199" s="64" t="s">
        <v>7754</v>
      </c>
      <c r="B199" s="78" t="str">
        <f>HYPERLINK("https://bulbapedia.bulbagarden.net/wiki/Reshiram_%26_Charizard-GX_(Unbroken_Bonds_194)","Reshiram &amp; CharizardGX")</f>
        <v>Reshiram &amp; CharizardGX</v>
      </c>
      <c r="C199" s="140" t="s">
        <v>199</v>
      </c>
      <c r="D199" s="141"/>
      <c r="E199" s="87"/>
      <c r="F199" s="87"/>
      <c r="G199" s="87"/>
      <c r="H199" s="88"/>
      <c r="I199" s="88"/>
    </row>
    <row r="200" spans="1:9" ht="13">
      <c r="A200" s="64" t="s">
        <v>7756</v>
      </c>
      <c r="B200" s="78" t="str">
        <f t="shared" ref="B200:B201" si="0">HYPERLINK("https://bulbapedia.bulbagarden.net/wiki/Dedenne-GX_(Unbroken_Bonds_195)","DedenneGX")</f>
        <v>DedenneGX</v>
      </c>
      <c r="C200" s="140" t="s">
        <v>192</v>
      </c>
      <c r="D200" s="141"/>
      <c r="E200" s="89"/>
      <c r="F200" s="87"/>
      <c r="G200" s="87"/>
      <c r="H200" s="88"/>
      <c r="I200" s="88"/>
    </row>
    <row r="201" spans="1:9" ht="13">
      <c r="A201" s="72" t="s">
        <v>8049</v>
      </c>
      <c r="B201" s="78" t="str">
        <f t="shared" si="0"/>
        <v>DedenneGX</v>
      </c>
      <c r="C201" s="140" t="s">
        <v>192</v>
      </c>
      <c r="D201" s="140"/>
      <c r="E201" s="89"/>
      <c r="F201" s="87"/>
      <c r="G201" s="87"/>
      <c r="H201" s="88"/>
      <c r="I201" s="88"/>
    </row>
    <row r="202" spans="1:9" ht="13">
      <c r="A202" s="64" t="s">
        <v>7757</v>
      </c>
      <c r="B202" s="78" t="str">
        <f>HYPERLINK("https://bulbapedia.bulbagarden.net/wiki/Muk_%26_Alolan_Muk-GX_(Unbroken_Bonds_196)","Muk &amp; Alolan MukGX")</f>
        <v>Muk &amp; Alolan MukGX</v>
      </c>
      <c r="C202" s="140" t="s">
        <v>195</v>
      </c>
      <c r="D202" s="141"/>
      <c r="E202" s="87"/>
      <c r="F202" s="87"/>
      <c r="G202" s="87"/>
      <c r="H202" s="88"/>
      <c r="I202" s="88"/>
    </row>
    <row r="203" spans="1:9" ht="13">
      <c r="A203" s="64" t="s">
        <v>7758</v>
      </c>
      <c r="B203" s="78" t="str">
        <f>HYPERLINK("https://bulbapedia.bulbagarden.net/wiki/Muk_%26_Alolan_Muk-GX_(Unbroken_Bonds_197)","Muk &amp; Alolan MukGX")</f>
        <v>Muk &amp; Alolan MukGX</v>
      </c>
      <c r="C203" s="140" t="s">
        <v>195</v>
      </c>
      <c r="D203" s="141"/>
      <c r="E203" s="87"/>
      <c r="F203" s="89"/>
      <c r="G203" s="87"/>
      <c r="H203" s="88"/>
      <c r="I203" s="88"/>
    </row>
    <row r="204" spans="1:9" ht="13">
      <c r="A204" s="64" t="s">
        <v>7759</v>
      </c>
      <c r="B204" s="78" t="str">
        <f>HYPERLINK("https://bulbapedia.bulbagarden.net/wiki/Marshadow_%26_Machamp-GX_(Unbroken_Bonds_198)","Marshadow &amp; MachampGX")</f>
        <v>Marshadow &amp; MachampGX</v>
      </c>
      <c r="C204" s="140" t="s">
        <v>225</v>
      </c>
      <c r="D204" s="142"/>
      <c r="E204" s="87"/>
      <c r="F204" s="87"/>
      <c r="G204" s="87"/>
      <c r="H204" s="88"/>
      <c r="I204" s="88"/>
    </row>
    <row r="205" spans="1:9" ht="13">
      <c r="A205" s="64" t="s">
        <v>7760</v>
      </c>
      <c r="B205" s="78" t="str">
        <f>HYPERLINK("https://bulbapedia.bulbagarden.net/wiki/Marshadow_%26_Machamp-GX_(Unbroken_Bonds_199)","Marshadow &amp; MachampGX")</f>
        <v>Marshadow &amp; MachampGX</v>
      </c>
      <c r="C205" s="140" t="s">
        <v>225</v>
      </c>
      <c r="D205" s="141"/>
      <c r="E205" s="87"/>
      <c r="F205" s="87"/>
      <c r="G205" s="87"/>
      <c r="H205" s="88"/>
      <c r="I205" s="88"/>
    </row>
    <row r="206" spans="1:9" ht="13">
      <c r="A206" s="64" t="s">
        <v>7761</v>
      </c>
      <c r="B206" s="78" t="str">
        <f>HYPERLINK("https://bulbapedia.bulbagarden.net/wiki/Greninja_%26_Zoroark-GX_(Unbroken_Bonds_200)","Greninja &amp; ZoroarkGX")</f>
        <v>Greninja &amp; ZoroarkGX</v>
      </c>
      <c r="C206" s="140" t="s">
        <v>808</v>
      </c>
      <c r="D206" s="141"/>
      <c r="E206" s="87"/>
      <c r="F206" s="86"/>
      <c r="G206" s="87"/>
      <c r="H206" s="88"/>
      <c r="I206" s="88"/>
    </row>
    <row r="207" spans="1:9" ht="13">
      <c r="A207" s="64" t="s">
        <v>7762</v>
      </c>
      <c r="B207" s="78" t="str">
        <f>HYPERLINK("https://bulbapedia.bulbagarden.net/wiki/Greninja_%26_Zoroark-GX_(Unbroken_Bonds_201)","Greninja &amp; ZoroarkGX")</f>
        <v>Greninja &amp; ZoroarkGX</v>
      </c>
      <c r="C207" s="140" t="s">
        <v>808</v>
      </c>
      <c r="D207" s="141"/>
      <c r="E207" s="87"/>
      <c r="F207" s="87"/>
      <c r="G207" s="87"/>
      <c r="H207" s="88"/>
      <c r="I207" s="88"/>
    </row>
    <row r="208" spans="1:9" ht="13">
      <c r="A208" s="64" t="s">
        <v>7763</v>
      </c>
      <c r="B208" s="78" t="str">
        <f>HYPERLINK("https://bulbapedia.bulbagarden.net/wiki/Honchkrow-GX_(Unbroken_Bonds_202)","HonchkrowGX")</f>
        <v>HonchkrowGX</v>
      </c>
      <c r="C208" s="140" t="s">
        <v>808</v>
      </c>
      <c r="D208" s="142"/>
      <c r="E208" s="87"/>
      <c r="F208" s="87"/>
      <c r="G208" s="87"/>
      <c r="H208" s="88"/>
      <c r="I208" s="88"/>
    </row>
    <row r="209" spans="1:9" ht="13">
      <c r="A209" s="64" t="s">
        <v>7764</v>
      </c>
      <c r="B209" s="78" t="str">
        <f>HYPERLINK("https://bulbapedia.bulbagarden.net/wiki/Lucario_%26_Melmetal-GX_(Unbroken_Bonds_203)","Lucario &amp; MelmetalGX")</f>
        <v>Lucario &amp; MelmetalGX</v>
      </c>
      <c r="C209" s="140" t="s">
        <v>220</v>
      </c>
      <c r="D209" s="142"/>
      <c r="E209" s="87"/>
      <c r="F209" s="87"/>
      <c r="G209" s="87"/>
      <c r="H209" s="88"/>
      <c r="I209" s="88"/>
    </row>
    <row r="210" spans="1:9" ht="13">
      <c r="A210" s="64" t="s">
        <v>7765</v>
      </c>
      <c r="B210" s="78" t="str">
        <f>HYPERLINK("https://bulbapedia.bulbagarden.net/wiki/Gardevoir_%26_Sylveon-GX_(Unbroken_Bonds_204)","Gardevoir &amp; SylveonGX")</f>
        <v>Gardevoir &amp; SylveonGX</v>
      </c>
      <c r="C210" s="140" t="s">
        <v>4743</v>
      </c>
      <c r="D210" s="142"/>
      <c r="E210" s="87"/>
      <c r="F210" s="87"/>
      <c r="G210" s="87"/>
      <c r="H210" s="88"/>
      <c r="I210" s="88"/>
    </row>
    <row r="211" spans="1:9" ht="13">
      <c r="A211" s="64" t="s">
        <v>7766</v>
      </c>
      <c r="B211" s="78" t="str">
        <f>HYPERLINK("https://bulbapedia.bulbagarden.net/wiki/Gardevoir_%26_Sylveon-GX_(Unbroken_Bonds_205)","Gardevoir &amp; SylveonGX")</f>
        <v>Gardevoir &amp; SylveonGX</v>
      </c>
      <c r="C211" s="140" t="s">
        <v>4743</v>
      </c>
      <c r="D211" s="140"/>
      <c r="E211" s="87"/>
      <c r="F211" s="87"/>
      <c r="G211" s="87"/>
      <c r="H211" s="88"/>
      <c r="I211" s="88"/>
    </row>
    <row r="212" spans="1:9" ht="13">
      <c r="A212" s="64" t="s">
        <v>7767</v>
      </c>
      <c r="B212" s="78" t="str">
        <f>HYPERLINK("https://bulbapedia.bulbagarden.net/wiki/Whimsicott-GX_(Unbroken_Bonds_206)","WhimsicottGX")</f>
        <v>WhimsicottGX</v>
      </c>
      <c r="C212" s="140" t="s">
        <v>4743</v>
      </c>
      <c r="D212" s="142"/>
      <c r="E212" s="87"/>
      <c r="F212" s="87"/>
      <c r="G212" s="87"/>
      <c r="H212" s="88"/>
      <c r="I212" s="88"/>
    </row>
    <row r="213" spans="1:9" ht="13">
      <c r="A213" s="64" t="s">
        <v>7768</v>
      </c>
      <c r="B213" s="78" t="str">
        <f>HYPERLINK("https://bulbapedia.bulbagarden.net/wiki/Persian-GX_(Unbroken_Bonds_207)","PersianGX")</f>
        <v>PersianGX</v>
      </c>
      <c r="C213" s="140" t="s">
        <v>197</v>
      </c>
      <c r="D213" s="142"/>
      <c r="E213" s="87"/>
      <c r="F213" s="87"/>
      <c r="G213" s="87"/>
      <c r="H213" s="88"/>
      <c r="I213" s="88"/>
    </row>
    <row r="214" spans="1:9" ht="13">
      <c r="A214" s="64" t="s">
        <v>7769</v>
      </c>
      <c r="B214" s="78" t="str">
        <f>HYPERLINK("https://bulbapedia.bulbagarden.net/wiki/Celesteela-GX_(Unbroken_Bonds_208)","CelesteelaGX")</f>
        <v>CelesteelaGX</v>
      </c>
      <c r="C214" s="140" t="s">
        <v>197</v>
      </c>
      <c r="D214" s="141"/>
      <c r="E214" s="87"/>
      <c r="F214" s="87"/>
      <c r="G214" s="87"/>
      <c r="H214" s="88"/>
      <c r="I214" s="88"/>
    </row>
    <row r="215" spans="1:9" ht="13">
      <c r="A215" s="64" t="s">
        <v>7770</v>
      </c>
      <c r="B215" s="77" t="s">
        <v>8033</v>
      </c>
      <c r="C215" s="140" t="s">
        <v>1013</v>
      </c>
      <c r="D215" s="141"/>
      <c r="E215" s="87"/>
      <c r="F215" s="87"/>
      <c r="G215" s="87"/>
      <c r="H215" s="88"/>
      <c r="I215" s="88"/>
    </row>
    <row r="216" spans="1:9" ht="13">
      <c r="A216" s="64" t="s">
        <v>7771</v>
      </c>
      <c r="B216" s="77" t="s">
        <v>8034</v>
      </c>
      <c r="C216" s="140" t="s">
        <v>1013</v>
      </c>
      <c r="D216" s="140"/>
      <c r="E216" s="87"/>
      <c r="F216" s="87"/>
      <c r="G216" s="87"/>
      <c r="H216" s="88"/>
      <c r="I216" s="88"/>
    </row>
    <row r="217" spans="1:9" ht="13">
      <c r="A217" s="64" t="s">
        <v>7772</v>
      </c>
      <c r="B217" s="77" t="s">
        <v>8035</v>
      </c>
      <c r="C217" s="140" t="s">
        <v>1013</v>
      </c>
      <c r="D217" s="141"/>
      <c r="E217" s="87"/>
      <c r="F217" s="87"/>
      <c r="G217" s="87"/>
      <c r="H217" s="88"/>
      <c r="I217" s="88"/>
    </row>
    <row r="218" spans="1:9" ht="13">
      <c r="A218" s="64" t="s">
        <v>7773</v>
      </c>
      <c r="B218" s="77" t="s">
        <v>8039</v>
      </c>
      <c r="C218" s="140" t="s">
        <v>1013</v>
      </c>
      <c r="D218" s="142"/>
      <c r="E218" s="87"/>
      <c r="F218" s="87"/>
      <c r="G218" s="87"/>
      <c r="H218" s="88"/>
      <c r="I218" s="88"/>
    </row>
    <row r="219" spans="1:9" ht="13">
      <c r="A219" s="64" t="s">
        <v>7774</v>
      </c>
      <c r="B219" s="77" t="s">
        <v>8042</v>
      </c>
      <c r="C219" s="140" t="s">
        <v>1013</v>
      </c>
      <c r="D219" s="142"/>
      <c r="E219" s="87"/>
      <c r="F219" s="87"/>
      <c r="G219" s="87"/>
      <c r="H219" s="88"/>
      <c r="I219" s="88"/>
    </row>
    <row r="220" spans="1:9" ht="13">
      <c r="A220" s="64" t="s">
        <v>7775</v>
      </c>
      <c r="B220" s="77" t="s">
        <v>8047</v>
      </c>
      <c r="C220" s="140" t="s">
        <v>1013</v>
      </c>
      <c r="D220" s="140"/>
      <c r="E220" s="87"/>
      <c r="F220" s="86"/>
      <c r="G220" s="87"/>
      <c r="H220" s="88"/>
      <c r="I220" s="88"/>
    </row>
    <row r="221" spans="1:9" ht="13">
      <c r="A221" s="64" t="s">
        <v>7776</v>
      </c>
      <c r="B221" s="78" t="str">
        <f>HYPERLINK("https://bulbapedia.bulbagarden.net/wiki/Pheromosa_%26_Buzzwole-GX_(Unbroken_Bonds_215)","Pheromosa &amp; BuzzwoleGX")</f>
        <v>Pheromosa &amp; BuzzwoleGX</v>
      </c>
      <c r="C221" s="140" t="s">
        <v>205</v>
      </c>
      <c r="D221" s="141"/>
      <c r="E221" s="87"/>
      <c r="F221" s="87"/>
      <c r="G221" s="87"/>
      <c r="H221" s="88"/>
      <c r="I221" s="88"/>
    </row>
    <row r="222" spans="1:9" ht="13">
      <c r="A222" s="64" t="s">
        <v>7777</v>
      </c>
      <c r="B222" s="78" t="str">
        <f>HYPERLINK("https://bulbapedia.bulbagarden.net/wiki/Venomoth-GX_(Unbroken_Bonds_216)","VenomothGX")</f>
        <v>VenomothGX</v>
      </c>
      <c r="C222" s="140" t="s">
        <v>205</v>
      </c>
      <c r="D222" s="142"/>
      <c r="E222" s="87"/>
      <c r="F222" s="87"/>
      <c r="G222" s="87"/>
      <c r="H222" s="88"/>
      <c r="I222" s="88"/>
    </row>
    <row r="223" spans="1:9" ht="13">
      <c r="A223" s="64" t="s">
        <v>7778</v>
      </c>
      <c r="B223" s="78" t="str">
        <f>HYPERLINK("https://bulbapedia.bulbagarden.net/wiki/Reshiram_%26_Charizard-GX_(Unbroken_Bonds_217)","Reshiram &amp; CharizardGX")</f>
        <v>Reshiram &amp; CharizardGX</v>
      </c>
      <c r="C223" s="140" t="s">
        <v>199</v>
      </c>
      <c r="D223" s="142"/>
      <c r="E223" s="87"/>
      <c r="F223" s="87"/>
      <c r="G223" s="87"/>
      <c r="H223" s="88"/>
      <c r="I223" s="88"/>
    </row>
    <row r="224" spans="1:9" ht="13">
      <c r="A224" s="64" t="s">
        <v>7779</v>
      </c>
      <c r="B224" s="78" t="str">
        <f>HYPERLINK("https://bulbapedia.bulbagarden.net/wiki/Blastoise-GX_(Unbroken_Bonds_218)","BlastoiseGX")</f>
        <v>BlastoiseGX</v>
      </c>
      <c r="C224" s="140" t="s">
        <v>208</v>
      </c>
      <c r="D224" s="140"/>
      <c r="E224" s="87"/>
      <c r="F224" s="87"/>
      <c r="G224" s="87"/>
      <c r="H224" s="88"/>
      <c r="I224" s="88"/>
    </row>
    <row r="225" spans="1:9" ht="13">
      <c r="A225" s="64" t="s">
        <v>7780</v>
      </c>
      <c r="B225" s="78" t="str">
        <f>HYPERLINK("https://bulbapedia.bulbagarden.net/wiki/Dedenne-GX_(Unbroken_Bonds_219)","DedenneGX")</f>
        <v>DedenneGX</v>
      </c>
      <c r="C225" s="140" t="s">
        <v>192</v>
      </c>
      <c r="D225" s="142"/>
      <c r="E225" s="87"/>
      <c r="F225" s="87"/>
      <c r="G225" s="87"/>
      <c r="H225" s="88"/>
      <c r="I225" s="88"/>
    </row>
    <row r="226" spans="1:9" ht="13">
      <c r="A226" s="64" t="s">
        <v>7781</v>
      </c>
      <c r="B226" s="78" t="str">
        <f>HYPERLINK("https://bulbapedia.bulbagarden.net/wiki/Muk_%26_Alolan_Muk-GX_(Unbroken_Bonds_220)","Muk &amp; Alolan MukGX")</f>
        <v>Muk &amp; Alolan MukGX</v>
      </c>
      <c r="C226" s="140" t="s">
        <v>195</v>
      </c>
      <c r="D226" s="142"/>
      <c r="E226" s="87"/>
      <c r="F226" s="87"/>
      <c r="G226" s="87"/>
      <c r="H226" s="88"/>
      <c r="I226" s="88"/>
    </row>
    <row r="227" spans="1:9" ht="13">
      <c r="A227" s="64" t="s">
        <v>7782</v>
      </c>
      <c r="B227" s="78" t="str">
        <f>HYPERLINK("https://bulbapedia.bulbagarden.net/wiki/Marshadow_%26_Machamp-GX_(Unbroken_Bonds_221)","Marshadow &amp; MachampGX")</f>
        <v>Marshadow &amp; MachampGX</v>
      </c>
      <c r="C227" s="140" t="s">
        <v>225</v>
      </c>
      <c r="D227" s="141"/>
      <c r="E227" s="87"/>
      <c r="F227" s="87"/>
      <c r="G227" s="87"/>
      <c r="H227" s="88"/>
      <c r="I227" s="88"/>
    </row>
    <row r="228" spans="1:9" ht="13">
      <c r="A228" s="64" t="s">
        <v>7783</v>
      </c>
      <c r="B228" s="78" t="str">
        <f>HYPERLINK("https://bulbapedia.bulbagarden.net/wiki/Greninja_%26_Zoroark-GX_(Unbroken_Bonds_222)","Greninja &amp; ZoroarkGX")</f>
        <v>Greninja &amp; ZoroarkGX</v>
      </c>
      <c r="C228" s="140" t="s">
        <v>808</v>
      </c>
      <c r="D228" s="142"/>
      <c r="E228" s="87"/>
      <c r="F228" s="87"/>
      <c r="G228" s="87"/>
      <c r="H228" s="88"/>
      <c r="I228" s="88"/>
    </row>
    <row r="229" spans="1:9" ht="13">
      <c r="A229" s="64" t="s">
        <v>7784</v>
      </c>
      <c r="B229" s="78" t="str">
        <f>HYPERLINK("https://bulbapedia.bulbagarden.net/wiki/Honchkrow-GX_(Unbroken_Bonds_223)","HonchkrowGX")</f>
        <v>HonchkrowGX</v>
      </c>
      <c r="C229" s="140" t="s">
        <v>808</v>
      </c>
      <c r="D229" s="140"/>
      <c r="E229" s="87"/>
      <c r="F229" s="87"/>
      <c r="G229" s="87"/>
      <c r="H229" s="88"/>
      <c r="I229" s="88"/>
    </row>
    <row r="230" spans="1:9" ht="13">
      <c r="A230" s="64" t="s">
        <v>7785</v>
      </c>
      <c r="B230" s="78" t="str">
        <f>HYPERLINK("https://bulbapedia.bulbagarden.net/wiki/Lucario_%26_Melmetal-GX_(Unbroken_Bonds_224)","Lucario &amp; MelmetalGX")</f>
        <v>Lucario &amp; MelmetalGX</v>
      </c>
      <c r="C230" s="140" t="s">
        <v>220</v>
      </c>
      <c r="D230" s="142"/>
      <c r="E230" s="87"/>
      <c r="F230" s="87"/>
      <c r="G230" s="87"/>
      <c r="H230" s="88"/>
      <c r="I230" s="88"/>
    </row>
    <row r="231" spans="1:9" ht="13">
      <c r="A231" s="64" t="s">
        <v>7786</v>
      </c>
      <c r="B231" s="78" t="str">
        <f>HYPERLINK("https://bulbapedia.bulbagarden.net/wiki/Gardevoir_%26_Sylveon-GX_(Unbroken_Bonds_225)","Gardevoir &amp; SylveonGX")</f>
        <v>Gardevoir &amp; SylveonGX</v>
      </c>
      <c r="C231" s="140" t="s">
        <v>4743</v>
      </c>
      <c r="D231" s="142"/>
      <c r="E231" s="87"/>
      <c r="F231" s="87"/>
      <c r="G231" s="87"/>
      <c r="H231" s="88"/>
      <c r="I231" s="88"/>
    </row>
    <row r="232" spans="1:9" ht="13">
      <c r="A232" s="64" t="s">
        <v>7787</v>
      </c>
      <c r="B232" s="78" t="str">
        <f>HYPERLINK("https://bulbapedia.bulbagarden.net/wiki/Whimsicott-GX_(Unbroken_Bonds_226)","WhimsicottGX")</f>
        <v>WhimsicottGX</v>
      </c>
      <c r="C232" s="140" t="s">
        <v>4743</v>
      </c>
      <c r="D232" s="142"/>
      <c r="E232" s="87"/>
      <c r="F232" s="87"/>
      <c r="G232" s="87"/>
      <c r="H232" s="88"/>
      <c r="I232" s="88"/>
    </row>
    <row r="233" spans="1:9" ht="13">
      <c r="A233" s="64" t="s">
        <v>7788</v>
      </c>
      <c r="B233" s="78" t="str">
        <f>HYPERLINK("https://bulbapedia.bulbagarden.net/wiki/Persian-GX_(Unbroken_Bonds_227)","PersianGX")</f>
        <v>PersianGX</v>
      </c>
      <c r="C233" s="140" t="s">
        <v>197</v>
      </c>
      <c r="D233" s="142"/>
      <c r="E233" s="87"/>
      <c r="F233" s="87"/>
      <c r="G233" s="87"/>
      <c r="H233" s="88"/>
      <c r="I233" s="88"/>
    </row>
    <row r="234" spans="1:9" ht="13">
      <c r="A234" s="64" t="s">
        <v>7789</v>
      </c>
      <c r="B234" s="78" t="str">
        <f>HYPERLINK("https://bulbapedia.bulbagarden.net/wiki/Celesteela-GX_(Unbroken_Bonds_228)","CelesteelaGX")</f>
        <v>CelesteelaGX</v>
      </c>
      <c r="C234" s="140" t="s">
        <v>197</v>
      </c>
      <c r="D234" s="142"/>
      <c r="E234" s="87"/>
      <c r="F234" s="87"/>
      <c r="G234" s="87"/>
      <c r="H234" s="88"/>
      <c r="I234" s="88"/>
    </row>
    <row r="235" spans="1:9" ht="13">
      <c r="A235" s="64" t="s">
        <v>7790</v>
      </c>
      <c r="B235" s="77" t="s">
        <v>8022</v>
      </c>
      <c r="C235" s="140" t="s">
        <v>4114</v>
      </c>
      <c r="D235" s="142"/>
      <c r="E235" s="87"/>
      <c r="F235" s="87"/>
      <c r="G235" s="87"/>
      <c r="H235" s="88"/>
      <c r="I235" s="88"/>
    </row>
    <row r="236" spans="1:9" ht="13">
      <c r="A236" s="64" t="s">
        <v>7791</v>
      </c>
      <c r="B236" s="77" t="s">
        <v>8027</v>
      </c>
      <c r="C236" s="140" t="s">
        <v>4114</v>
      </c>
      <c r="D236" s="140"/>
      <c r="E236" s="87"/>
      <c r="F236" s="87"/>
      <c r="G236" s="87"/>
      <c r="H236" s="88"/>
      <c r="I236" s="88"/>
    </row>
    <row r="237" spans="1:9" ht="13">
      <c r="A237" s="64" t="s">
        <v>7792</v>
      </c>
      <c r="B237" s="77" t="s">
        <v>8031</v>
      </c>
      <c r="C237" s="140" t="s">
        <v>4114</v>
      </c>
      <c r="D237" s="140"/>
      <c r="E237" s="87"/>
      <c r="F237" s="87"/>
      <c r="G237" s="87"/>
      <c r="H237" s="137"/>
      <c r="I237" s="88"/>
    </row>
    <row r="238" spans="1:9" ht="13">
      <c r="A238" s="64" t="s">
        <v>7793</v>
      </c>
      <c r="B238" s="77" t="s">
        <v>8038</v>
      </c>
      <c r="C238" s="140" t="s">
        <v>4114</v>
      </c>
      <c r="D238" s="142"/>
      <c r="E238" s="87"/>
      <c r="F238" s="87"/>
      <c r="G238" s="87"/>
      <c r="H238" s="88"/>
      <c r="I238" s="88"/>
    </row>
    <row r="239" spans="1:9" ht="13">
      <c r="A239" s="64" t="s">
        <v>7794</v>
      </c>
      <c r="B239" s="77" t="s">
        <v>8040</v>
      </c>
      <c r="C239" s="140" t="s">
        <v>4114</v>
      </c>
      <c r="D239" s="142"/>
      <c r="E239" s="87"/>
      <c r="F239" s="87"/>
      <c r="G239" s="87"/>
      <c r="H239" s="88"/>
      <c r="I239" s="88"/>
    </row>
    <row r="240" spans="1:9" ht="13">
      <c r="A240" s="64" t="s">
        <v>7795</v>
      </c>
      <c r="B240" s="77" t="s">
        <v>8048</v>
      </c>
      <c r="C240" s="140" t="s">
        <v>317</v>
      </c>
      <c r="D240" s="142"/>
      <c r="E240" s="87"/>
      <c r="F240" s="87"/>
      <c r="G240" s="87"/>
      <c r="H240" s="88"/>
      <c r="I240" s="88"/>
    </row>
    <row r="241" spans="1:9" ht="13">
      <c r="A241" s="112"/>
      <c r="B241" s="111"/>
      <c r="C241" s="136"/>
      <c r="D241" s="112"/>
      <c r="E241" s="112"/>
      <c r="F241" s="87"/>
      <c r="G241" s="87"/>
      <c r="H241" s="88"/>
      <c r="I241" s="88"/>
    </row>
    <row r="242" spans="1:9" ht="13">
      <c r="A242" s="112"/>
      <c r="B242" s="111"/>
      <c r="C242" s="136"/>
      <c r="D242" s="107"/>
      <c r="E242" s="112"/>
      <c r="F242" s="86"/>
      <c r="G242" s="87"/>
      <c r="H242" s="88"/>
      <c r="I242" s="88"/>
    </row>
    <row r="243" spans="1:9" ht="13">
      <c r="A243" s="112"/>
      <c r="B243" s="111"/>
      <c r="C243" s="136"/>
      <c r="D243" s="112"/>
      <c r="E243" s="112"/>
      <c r="F243" s="87"/>
      <c r="G243" s="87"/>
      <c r="H243" s="88"/>
      <c r="I243" s="88"/>
    </row>
    <row r="244" spans="1:9" ht="13">
      <c r="D244" s="5"/>
      <c r="E244" s="5"/>
      <c r="F244" s="5"/>
      <c r="G244" s="5"/>
    </row>
    <row r="245" spans="1:9" ht="13">
      <c r="D245" s="5"/>
      <c r="E245" s="5"/>
      <c r="F245" s="5"/>
      <c r="G245" s="5"/>
    </row>
    <row r="246" spans="1:9" ht="13">
      <c r="D246" s="5"/>
      <c r="E246" s="5"/>
      <c r="F246" s="5"/>
      <c r="G246" s="5"/>
    </row>
    <row r="247" spans="1:9" ht="13">
      <c r="D247" s="5"/>
      <c r="E247" s="5"/>
      <c r="F247" s="5"/>
      <c r="G247" s="5"/>
    </row>
    <row r="248" spans="1:9" ht="13">
      <c r="D248" s="5"/>
      <c r="E248" s="5"/>
      <c r="F248" s="5"/>
      <c r="G248" s="5"/>
    </row>
    <row r="249" spans="1:9" ht="13">
      <c r="D249" s="5"/>
      <c r="E249" s="5"/>
      <c r="F249" s="5"/>
      <c r="G249" s="5"/>
    </row>
    <row r="250" spans="1:9" ht="13">
      <c r="D250" s="5"/>
      <c r="E250" s="5"/>
      <c r="F250" s="5"/>
      <c r="G250" s="5"/>
    </row>
    <row r="251" spans="1:9" ht="13">
      <c r="D251" s="5"/>
      <c r="E251" s="5"/>
      <c r="F251" s="5"/>
      <c r="G251" s="5"/>
    </row>
    <row r="252" spans="1:9" ht="13">
      <c r="D252" s="5"/>
      <c r="E252" s="5"/>
      <c r="F252" s="5"/>
      <c r="G252" s="5"/>
    </row>
    <row r="253" spans="1:9" ht="13">
      <c r="D253" s="5"/>
      <c r="E253" s="5"/>
      <c r="F253" s="5"/>
      <c r="G253" s="5"/>
    </row>
    <row r="254" spans="1:9" ht="13">
      <c r="D254" s="5"/>
      <c r="E254" s="5"/>
      <c r="F254" s="5"/>
      <c r="G254" s="5"/>
    </row>
    <row r="255" spans="1:9" ht="13">
      <c r="D255" s="5"/>
      <c r="E255" s="5"/>
      <c r="F255" s="5"/>
      <c r="G255" s="5"/>
    </row>
    <row r="256" spans="1:9" ht="13">
      <c r="D256" s="5"/>
      <c r="E256" s="5"/>
      <c r="F256" s="5"/>
      <c r="G256" s="5"/>
    </row>
    <row r="257" spans="4:7" ht="13">
      <c r="D257" s="5"/>
      <c r="E257" s="5"/>
      <c r="F257" s="5"/>
      <c r="G257" s="5"/>
    </row>
    <row r="258" spans="4:7" ht="13">
      <c r="D258" s="5"/>
      <c r="E258" s="5"/>
      <c r="F258" s="5"/>
      <c r="G258" s="5"/>
    </row>
    <row r="259" spans="4:7" ht="13">
      <c r="D259" s="5"/>
      <c r="E259" s="5"/>
      <c r="F259" s="5"/>
      <c r="G259" s="5"/>
    </row>
    <row r="260" spans="4:7" ht="13">
      <c r="D260" s="5"/>
      <c r="E260" s="5"/>
      <c r="F260" s="5"/>
      <c r="G260" s="5"/>
    </row>
    <row r="261" spans="4:7" ht="13">
      <c r="D261" s="5"/>
      <c r="E261" s="5"/>
      <c r="F261" s="5"/>
      <c r="G261" s="5"/>
    </row>
    <row r="262" spans="4:7" ht="13">
      <c r="D262" s="5"/>
      <c r="E262" s="5"/>
      <c r="F262" s="5"/>
      <c r="G262" s="5"/>
    </row>
    <row r="263" spans="4:7" ht="13">
      <c r="D263" s="5"/>
      <c r="E263" s="5"/>
      <c r="F263" s="5"/>
      <c r="G263" s="5"/>
    </row>
    <row r="264" spans="4:7" ht="13">
      <c r="D264" s="5"/>
      <c r="E264" s="5"/>
      <c r="F264" s="5"/>
      <c r="G264" s="5"/>
    </row>
    <row r="265" spans="4:7" ht="13">
      <c r="D265" s="5"/>
      <c r="E265" s="5"/>
      <c r="F265" s="5"/>
      <c r="G265" s="5"/>
    </row>
    <row r="266" spans="4:7" ht="13">
      <c r="D266" s="5"/>
      <c r="E266" s="5"/>
      <c r="F266" s="5"/>
      <c r="G266" s="5"/>
    </row>
    <row r="267" spans="4:7" ht="13">
      <c r="D267" s="5"/>
      <c r="E267" s="5"/>
      <c r="F267" s="5"/>
      <c r="G267" s="5"/>
    </row>
    <row r="268" spans="4:7" ht="13">
      <c r="D268" s="5"/>
      <c r="E268" s="5"/>
      <c r="F268" s="5"/>
      <c r="G268" s="5"/>
    </row>
    <row r="269" spans="4:7" ht="13">
      <c r="D269" s="5"/>
      <c r="E269" s="5"/>
      <c r="F269" s="5"/>
      <c r="G269" s="5"/>
    </row>
    <row r="270" spans="4:7" ht="13">
      <c r="D270" s="5"/>
      <c r="E270" s="5"/>
      <c r="F270" s="5"/>
      <c r="G270" s="5"/>
    </row>
    <row r="271" spans="4:7" ht="13">
      <c r="D271" s="5"/>
      <c r="E271" s="5"/>
      <c r="F271" s="5"/>
      <c r="G271" s="5"/>
    </row>
    <row r="272" spans="4:7" ht="13">
      <c r="D272" s="5"/>
      <c r="E272" s="5"/>
      <c r="F272" s="5"/>
      <c r="G272" s="5"/>
    </row>
    <row r="273" spans="4:7" ht="13">
      <c r="D273" s="5"/>
      <c r="E273" s="5"/>
      <c r="F273" s="5"/>
      <c r="G273" s="5"/>
    </row>
    <row r="274" spans="4:7" ht="13">
      <c r="D274" s="5"/>
      <c r="E274" s="5"/>
      <c r="F274" s="5"/>
      <c r="G274" s="5"/>
    </row>
    <row r="275" spans="4:7" ht="13">
      <c r="D275" s="5"/>
      <c r="E275" s="5"/>
      <c r="F275" s="5"/>
      <c r="G275" s="5"/>
    </row>
    <row r="276" spans="4:7" ht="13">
      <c r="D276" s="5"/>
      <c r="E276" s="5"/>
      <c r="F276" s="5"/>
      <c r="G276" s="5"/>
    </row>
    <row r="277" spans="4:7" ht="13">
      <c r="D277" s="5"/>
      <c r="E277" s="5"/>
      <c r="F277" s="5"/>
      <c r="G277" s="5"/>
    </row>
    <row r="278" spans="4:7" ht="13">
      <c r="D278" s="5"/>
      <c r="E278" s="5"/>
      <c r="F278" s="5"/>
      <c r="G278" s="5"/>
    </row>
    <row r="279" spans="4:7" ht="13">
      <c r="D279" s="5"/>
      <c r="E279" s="5"/>
      <c r="F279" s="5"/>
      <c r="G279" s="5"/>
    </row>
    <row r="280" spans="4:7" ht="13">
      <c r="D280" s="5"/>
      <c r="E280" s="5"/>
      <c r="F280" s="5"/>
      <c r="G280" s="5"/>
    </row>
    <row r="281" spans="4:7" ht="13">
      <c r="D281" s="5"/>
      <c r="E281" s="5"/>
      <c r="F281" s="5"/>
      <c r="G281" s="5"/>
    </row>
    <row r="282" spans="4:7" ht="13">
      <c r="D282" s="5"/>
      <c r="E282" s="5"/>
      <c r="F282" s="5"/>
      <c r="G282" s="5"/>
    </row>
    <row r="283" spans="4:7" ht="13">
      <c r="D283" s="5"/>
      <c r="E283" s="5"/>
      <c r="F283" s="5"/>
      <c r="G283" s="5"/>
    </row>
    <row r="284" spans="4:7" ht="13">
      <c r="D284" s="5"/>
      <c r="E284" s="5"/>
      <c r="F284" s="5"/>
      <c r="G284" s="5"/>
    </row>
    <row r="285" spans="4:7" ht="13">
      <c r="D285" s="5"/>
      <c r="E285" s="5"/>
      <c r="F285" s="5"/>
      <c r="G285" s="5"/>
    </row>
    <row r="286" spans="4:7" ht="13">
      <c r="D286" s="5"/>
      <c r="E286" s="5"/>
      <c r="F286" s="5"/>
      <c r="G286" s="5"/>
    </row>
    <row r="287" spans="4:7" ht="13">
      <c r="D287" s="5"/>
      <c r="E287" s="5"/>
      <c r="F287" s="5"/>
      <c r="G287" s="5"/>
    </row>
    <row r="288" spans="4: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row r="1001" spans="4:7" ht="13">
      <c r="D1001" s="5"/>
      <c r="E1001" s="5"/>
      <c r="F1001" s="5"/>
      <c r="G1001" s="5"/>
    </row>
    <row r="1002" spans="4:7" ht="13">
      <c r="D1002" s="5"/>
      <c r="E1002" s="5"/>
      <c r="F1002" s="5"/>
      <c r="G1002" s="5"/>
    </row>
  </sheetData>
  <hyperlinks>
    <hyperlink ref="B6" r:id="rId1" xr:uid="{00000000-0004-0000-6000-000000000000}"/>
    <hyperlink ref="B7" r:id="rId2" xr:uid="{00000000-0004-0000-6000-000001000000}"/>
    <hyperlink ref="B8" r:id="rId3" xr:uid="{00000000-0004-0000-6000-000002000000}"/>
    <hyperlink ref="B9" r:id="rId4" xr:uid="{00000000-0004-0000-6000-000003000000}"/>
    <hyperlink ref="B10" r:id="rId5" xr:uid="{00000000-0004-0000-6000-000004000000}"/>
    <hyperlink ref="B11" r:id="rId6" xr:uid="{00000000-0004-0000-6000-000005000000}"/>
    <hyperlink ref="B12" r:id="rId7" xr:uid="{00000000-0004-0000-6000-000006000000}"/>
    <hyperlink ref="B13" r:id="rId8" xr:uid="{00000000-0004-0000-6000-000007000000}"/>
    <hyperlink ref="B14" r:id="rId9" xr:uid="{00000000-0004-0000-6000-000008000000}"/>
    <hyperlink ref="B15" r:id="rId10" xr:uid="{00000000-0004-0000-6000-000009000000}"/>
    <hyperlink ref="B17" r:id="rId11" xr:uid="{00000000-0004-0000-6000-00000A000000}"/>
    <hyperlink ref="B18" r:id="rId12" xr:uid="{00000000-0004-0000-6000-00000B000000}"/>
    <hyperlink ref="B19" r:id="rId13" xr:uid="{00000000-0004-0000-6000-00000C000000}"/>
    <hyperlink ref="B20" r:id="rId14" xr:uid="{00000000-0004-0000-6000-00000D000000}"/>
    <hyperlink ref="B21" r:id="rId15" xr:uid="{00000000-0004-0000-6000-00000E000000}"/>
    <hyperlink ref="B22" r:id="rId16" xr:uid="{00000000-0004-0000-6000-00000F000000}"/>
    <hyperlink ref="B23" r:id="rId17" xr:uid="{00000000-0004-0000-6000-000010000000}"/>
    <hyperlink ref="B25" r:id="rId18" xr:uid="{00000000-0004-0000-6000-000011000000}"/>
    <hyperlink ref="B26" r:id="rId19" xr:uid="{00000000-0004-0000-6000-000012000000}"/>
    <hyperlink ref="B27" r:id="rId20" xr:uid="{00000000-0004-0000-6000-000013000000}"/>
    <hyperlink ref="B28" r:id="rId21" xr:uid="{00000000-0004-0000-6000-000014000000}"/>
    <hyperlink ref="B29" r:id="rId22" xr:uid="{00000000-0004-0000-6000-000015000000}"/>
    <hyperlink ref="B30" r:id="rId23" xr:uid="{00000000-0004-0000-6000-000016000000}"/>
    <hyperlink ref="B31" r:id="rId24" xr:uid="{00000000-0004-0000-6000-000017000000}"/>
    <hyperlink ref="B32" r:id="rId25" xr:uid="{00000000-0004-0000-6000-000018000000}"/>
    <hyperlink ref="B33" r:id="rId26" xr:uid="{00000000-0004-0000-6000-000019000000}"/>
    <hyperlink ref="B34" r:id="rId27" xr:uid="{00000000-0004-0000-6000-00001A000000}"/>
    <hyperlink ref="B35" r:id="rId28" xr:uid="{00000000-0004-0000-6000-00001B000000}"/>
    <hyperlink ref="B36" r:id="rId29" xr:uid="{00000000-0004-0000-6000-00001C000000}"/>
    <hyperlink ref="B37" r:id="rId30" xr:uid="{00000000-0004-0000-6000-00001D000000}"/>
    <hyperlink ref="B38" r:id="rId31" xr:uid="{00000000-0004-0000-6000-00001E000000}"/>
    <hyperlink ref="B40" r:id="rId32" xr:uid="{00000000-0004-0000-6000-00001F000000}"/>
    <hyperlink ref="B41" r:id="rId33" xr:uid="{00000000-0004-0000-6000-000020000000}"/>
    <hyperlink ref="B42" r:id="rId34" xr:uid="{00000000-0004-0000-6000-000021000000}"/>
    <hyperlink ref="B43" r:id="rId35" xr:uid="{00000000-0004-0000-6000-000022000000}"/>
    <hyperlink ref="B44" r:id="rId36" xr:uid="{00000000-0004-0000-6000-000023000000}"/>
    <hyperlink ref="B45" r:id="rId37" xr:uid="{00000000-0004-0000-6000-000024000000}"/>
    <hyperlink ref="B46" r:id="rId38" xr:uid="{00000000-0004-0000-6000-000025000000}"/>
    <hyperlink ref="B47" r:id="rId39" xr:uid="{00000000-0004-0000-6000-000026000000}"/>
    <hyperlink ref="B48" r:id="rId40" xr:uid="{00000000-0004-0000-6000-000027000000}"/>
    <hyperlink ref="B49" r:id="rId41" xr:uid="{00000000-0004-0000-6000-000028000000}"/>
    <hyperlink ref="B50" r:id="rId42" xr:uid="{00000000-0004-0000-6000-000029000000}"/>
    <hyperlink ref="B51" r:id="rId43" xr:uid="{00000000-0004-0000-6000-00002A000000}"/>
    <hyperlink ref="B52" r:id="rId44" xr:uid="{00000000-0004-0000-6000-00002B000000}"/>
    <hyperlink ref="B53" r:id="rId45" xr:uid="{00000000-0004-0000-6000-00002C000000}"/>
    <hyperlink ref="B54" r:id="rId46" xr:uid="{00000000-0004-0000-6000-00002D000000}"/>
    <hyperlink ref="B55" r:id="rId47" xr:uid="{00000000-0004-0000-6000-00002E000000}"/>
    <hyperlink ref="B56" r:id="rId48" xr:uid="{00000000-0004-0000-6000-00002F000000}"/>
    <hyperlink ref="B57" r:id="rId49" xr:uid="{00000000-0004-0000-6000-000030000000}"/>
    <hyperlink ref="B58" r:id="rId50" xr:uid="{00000000-0004-0000-6000-000031000000}"/>
    <hyperlink ref="B59" r:id="rId51" xr:uid="{00000000-0004-0000-6000-000032000000}"/>
    <hyperlink ref="B60" r:id="rId52" xr:uid="{00000000-0004-0000-6000-000033000000}"/>
    <hyperlink ref="B62" r:id="rId53" xr:uid="{00000000-0004-0000-6000-000034000000}"/>
    <hyperlink ref="B63" r:id="rId54" xr:uid="{00000000-0004-0000-6000-000035000000}"/>
    <hyperlink ref="B64" r:id="rId55" xr:uid="{00000000-0004-0000-6000-000036000000}"/>
    <hyperlink ref="B66" r:id="rId56" xr:uid="{00000000-0004-0000-6000-000037000000}"/>
    <hyperlink ref="B67" r:id="rId57" xr:uid="{00000000-0004-0000-6000-000038000000}"/>
    <hyperlink ref="B68" r:id="rId58" xr:uid="{00000000-0004-0000-6000-000039000000}"/>
    <hyperlink ref="B69" r:id="rId59" xr:uid="{00000000-0004-0000-6000-00003A000000}"/>
    <hyperlink ref="B70" r:id="rId60" xr:uid="{00000000-0004-0000-6000-00003B000000}"/>
    <hyperlink ref="B71" r:id="rId61" xr:uid="{00000000-0004-0000-6000-00003C000000}"/>
    <hyperlink ref="B72" r:id="rId62" xr:uid="{00000000-0004-0000-6000-00003D000000}"/>
    <hyperlink ref="B73" r:id="rId63" xr:uid="{00000000-0004-0000-6000-00003E000000}"/>
    <hyperlink ref="B74" r:id="rId64" xr:uid="{00000000-0004-0000-6000-00003F000000}"/>
    <hyperlink ref="B75" r:id="rId65" xr:uid="{00000000-0004-0000-6000-000040000000}"/>
    <hyperlink ref="B76" r:id="rId66" xr:uid="{00000000-0004-0000-6000-000041000000}"/>
    <hyperlink ref="B77" r:id="rId67" xr:uid="{00000000-0004-0000-6000-000042000000}"/>
    <hyperlink ref="B78" r:id="rId68" xr:uid="{00000000-0004-0000-6000-000043000000}"/>
    <hyperlink ref="B79" r:id="rId69" xr:uid="{00000000-0004-0000-6000-000044000000}"/>
    <hyperlink ref="B80" r:id="rId70" xr:uid="{00000000-0004-0000-6000-000045000000}"/>
    <hyperlink ref="B81" r:id="rId71" xr:uid="{00000000-0004-0000-6000-000046000000}"/>
    <hyperlink ref="B82" r:id="rId72" xr:uid="{00000000-0004-0000-6000-000047000000}"/>
    <hyperlink ref="B83" r:id="rId73" xr:uid="{00000000-0004-0000-6000-000048000000}"/>
    <hyperlink ref="B84" r:id="rId74" xr:uid="{00000000-0004-0000-6000-000049000000}"/>
    <hyperlink ref="B85" r:id="rId75" xr:uid="{00000000-0004-0000-6000-00004A000000}"/>
    <hyperlink ref="B87" r:id="rId76" xr:uid="{00000000-0004-0000-6000-00004B000000}"/>
    <hyperlink ref="B88" r:id="rId77" xr:uid="{00000000-0004-0000-6000-00004C000000}"/>
    <hyperlink ref="B89" r:id="rId78" xr:uid="{00000000-0004-0000-6000-00004D000000}"/>
    <hyperlink ref="B90" r:id="rId79" xr:uid="{00000000-0004-0000-6000-00004E000000}"/>
    <hyperlink ref="B91" r:id="rId80" xr:uid="{00000000-0004-0000-6000-00004F000000}"/>
    <hyperlink ref="B92" r:id="rId81" xr:uid="{00000000-0004-0000-6000-000050000000}"/>
    <hyperlink ref="B93" r:id="rId82" xr:uid="{00000000-0004-0000-6000-000051000000}"/>
    <hyperlink ref="B94" r:id="rId83" xr:uid="{00000000-0004-0000-6000-000052000000}"/>
    <hyperlink ref="B95" r:id="rId84" xr:uid="{00000000-0004-0000-6000-000053000000}"/>
    <hyperlink ref="B96" r:id="rId85" xr:uid="{00000000-0004-0000-6000-000054000000}"/>
    <hyperlink ref="B97" r:id="rId86" xr:uid="{00000000-0004-0000-6000-000055000000}"/>
    <hyperlink ref="B98" r:id="rId87" xr:uid="{00000000-0004-0000-6000-000056000000}"/>
    <hyperlink ref="B99" r:id="rId88" xr:uid="{00000000-0004-0000-6000-000057000000}"/>
    <hyperlink ref="B100" r:id="rId89" xr:uid="{00000000-0004-0000-6000-000058000000}"/>
    <hyperlink ref="B101" r:id="rId90" xr:uid="{00000000-0004-0000-6000-000059000000}"/>
    <hyperlink ref="B102" r:id="rId91" xr:uid="{00000000-0004-0000-6000-00005A000000}"/>
    <hyperlink ref="B103" r:id="rId92" xr:uid="{00000000-0004-0000-6000-00005B000000}"/>
    <hyperlink ref="B104" r:id="rId93" xr:uid="{00000000-0004-0000-6000-00005C000000}"/>
    <hyperlink ref="B105" r:id="rId94" xr:uid="{00000000-0004-0000-6000-00005D000000}"/>
    <hyperlink ref="B106" r:id="rId95" xr:uid="{00000000-0004-0000-6000-00005E000000}"/>
    <hyperlink ref="B107" r:id="rId96" xr:uid="{00000000-0004-0000-6000-00005F000000}"/>
    <hyperlink ref="B108" r:id="rId97" xr:uid="{00000000-0004-0000-6000-000060000000}"/>
    <hyperlink ref="B109" r:id="rId98" xr:uid="{00000000-0004-0000-6000-000061000000}"/>
    <hyperlink ref="B110" r:id="rId99" xr:uid="{00000000-0004-0000-6000-000062000000}"/>
    <hyperlink ref="B112" r:id="rId100" xr:uid="{00000000-0004-0000-6000-000063000000}"/>
    <hyperlink ref="B114" r:id="rId101" xr:uid="{00000000-0004-0000-6000-000064000000}"/>
    <hyperlink ref="B115" r:id="rId102" xr:uid="{00000000-0004-0000-6000-000065000000}"/>
    <hyperlink ref="B116" r:id="rId103" xr:uid="{00000000-0004-0000-6000-000066000000}"/>
    <hyperlink ref="B117" r:id="rId104" xr:uid="{00000000-0004-0000-6000-000067000000}"/>
    <hyperlink ref="B118" r:id="rId105" xr:uid="{00000000-0004-0000-6000-000068000000}"/>
    <hyperlink ref="B119" r:id="rId106" xr:uid="{00000000-0004-0000-6000-000069000000}"/>
    <hyperlink ref="B120" r:id="rId107" xr:uid="{00000000-0004-0000-6000-00006A000000}"/>
    <hyperlink ref="B121" r:id="rId108" xr:uid="{00000000-0004-0000-6000-00006B000000}"/>
    <hyperlink ref="B122" r:id="rId109" xr:uid="{00000000-0004-0000-6000-00006C000000}"/>
    <hyperlink ref="B123" r:id="rId110" xr:uid="{00000000-0004-0000-6000-00006D000000}"/>
    <hyperlink ref="B125" r:id="rId111" xr:uid="{00000000-0004-0000-6000-00006E000000}"/>
    <hyperlink ref="B126" r:id="rId112" xr:uid="{00000000-0004-0000-6000-00006F000000}"/>
    <hyperlink ref="B127" r:id="rId113" xr:uid="{00000000-0004-0000-6000-000070000000}"/>
    <hyperlink ref="B128" r:id="rId114" xr:uid="{00000000-0004-0000-6000-000071000000}"/>
    <hyperlink ref="B129" r:id="rId115" xr:uid="{00000000-0004-0000-6000-000072000000}"/>
    <hyperlink ref="B130" r:id="rId116" xr:uid="{00000000-0004-0000-6000-000073000000}"/>
    <hyperlink ref="B131" r:id="rId117" xr:uid="{00000000-0004-0000-6000-000074000000}"/>
    <hyperlink ref="B132" r:id="rId118" xr:uid="{00000000-0004-0000-6000-000075000000}"/>
    <hyperlink ref="B133" r:id="rId119" xr:uid="{00000000-0004-0000-6000-000076000000}"/>
    <hyperlink ref="B135" r:id="rId120" xr:uid="{00000000-0004-0000-6000-000077000000}"/>
    <hyperlink ref="B136" r:id="rId121" xr:uid="{00000000-0004-0000-6000-000078000000}"/>
    <hyperlink ref="B137" r:id="rId122" xr:uid="{00000000-0004-0000-6000-000079000000}"/>
    <hyperlink ref="B138" r:id="rId123" xr:uid="{00000000-0004-0000-6000-00007A000000}"/>
    <hyperlink ref="B139" r:id="rId124" xr:uid="{00000000-0004-0000-6000-00007B000000}"/>
    <hyperlink ref="B140" r:id="rId125" xr:uid="{00000000-0004-0000-6000-00007C000000}"/>
    <hyperlink ref="B141" r:id="rId126" xr:uid="{00000000-0004-0000-6000-00007D000000}"/>
    <hyperlink ref="B142" r:id="rId127" xr:uid="{00000000-0004-0000-6000-00007E000000}"/>
    <hyperlink ref="B143" r:id="rId128" xr:uid="{00000000-0004-0000-6000-00007F000000}"/>
    <hyperlink ref="B145" r:id="rId129" xr:uid="{00000000-0004-0000-6000-000080000000}"/>
    <hyperlink ref="B146" r:id="rId130" xr:uid="{00000000-0004-0000-6000-000081000000}"/>
    <hyperlink ref="B147" r:id="rId131" xr:uid="{00000000-0004-0000-6000-000082000000}"/>
    <hyperlink ref="B148" r:id="rId132" xr:uid="{00000000-0004-0000-6000-000083000000}"/>
    <hyperlink ref="B149" r:id="rId133" xr:uid="{00000000-0004-0000-6000-000084000000}"/>
    <hyperlink ref="B150" r:id="rId134" xr:uid="{00000000-0004-0000-6000-000085000000}"/>
    <hyperlink ref="B151" r:id="rId135" xr:uid="{00000000-0004-0000-6000-000086000000}"/>
    <hyperlink ref="B152" r:id="rId136" xr:uid="{00000000-0004-0000-6000-000087000000}"/>
    <hyperlink ref="B154" r:id="rId137" xr:uid="{00000000-0004-0000-6000-000088000000}"/>
    <hyperlink ref="B155" r:id="rId138" xr:uid="{00000000-0004-0000-6000-000089000000}"/>
    <hyperlink ref="B156" r:id="rId139" xr:uid="{00000000-0004-0000-6000-00008A000000}"/>
    <hyperlink ref="B157" r:id="rId140" xr:uid="{00000000-0004-0000-6000-00008B000000}"/>
    <hyperlink ref="B158" r:id="rId141" xr:uid="{00000000-0004-0000-6000-00008C000000}"/>
    <hyperlink ref="B159" r:id="rId142" xr:uid="{00000000-0004-0000-6000-00008D000000}"/>
    <hyperlink ref="B160" r:id="rId143" xr:uid="{00000000-0004-0000-6000-00008E000000}"/>
    <hyperlink ref="B161" r:id="rId144" xr:uid="{00000000-0004-0000-6000-00008F000000}"/>
    <hyperlink ref="B162" r:id="rId145" xr:uid="{00000000-0004-0000-6000-000090000000}"/>
    <hyperlink ref="B163" r:id="rId146" xr:uid="{00000000-0004-0000-6000-000091000000}"/>
    <hyperlink ref="B164" r:id="rId147" xr:uid="{00000000-0004-0000-6000-000092000000}"/>
    <hyperlink ref="B165" r:id="rId148" xr:uid="{00000000-0004-0000-6000-000093000000}"/>
    <hyperlink ref="B166" r:id="rId149" xr:uid="{00000000-0004-0000-6000-000094000000}"/>
    <hyperlink ref="B168" r:id="rId150" xr:uid="{00000000-0004-0000-6000-000095000000}"/>
    <hyperlink ref="B169" r:id="rId151" xr:uid="{00000000-0004-0000-6000-000096000000}"/>
    <hyperlink ref="B170" r:id="rId152" xr:uid="{00000000-0004-0000-6000-000097000000}"/>
    <hyperlink ref="B171" r:id="rId153" xr:uid="{00000000-0004-0000-6000-000098000000}"/>
    <hyperlink ref="B172" r:id="rId154" xr:uid="{00000000-0004-0000-6000-000099000000}"/>
    <hyperlink ref="B173" r:id="rId155" xr:uid="{00000000-0004-0000-6000-00009A000000}"/>
    <hyperlink ref="B174" r:id="rId156" xr:uid="{00000000-0004-0000-6000-00009B000000}"/>
    <hyperlink ref="B175" r:id="rId157" xr:uid="{00000000-0004-0000-6000-00009C000000}"/>
    <hyperlink ref="B176" r:id="rId158" xr:uid="{00000000-0004-0000-6000-00009D000000}"/>
    <hyperlink ref="B177" r:id="rId159" xr:uid="{00000000-0004-0000-6000-00009E000000}"/>
    <hyperlink ref="B178" r:id="rId160" xr:uid="{00000000-0004-0000-6000-00009F000000}"/>
    <hyperlink ref="B179" r:id="rId161" xr:uid="{00000000-0004-0000-6000-0000A0000000}"/>
    <hyperlink ref="B180" r:id="rId162" xr:uid="{00000000-0004-0000-6000-0000A1000000}"/>
    <hyperlink ref="B181" r:id="rId163" xr:uid="{00000000-0004-0000-6000-0000A2000000}"/>
    <hyperlink ref="B182" r:id="rId164" xr:uid="{00000000-0004-0000-6000-0000A3000000}"/>
    <hyperlink ref="B183" r:id="rId165" xr:uid="{00000000-0004-0000-6000-0000A4000000}"/>
    <hyperlink ref="B184" r:id="rId166" xr:uid="{00000000-0004-0000-6000-0000A5000000}"/>
    <hyperlink ref="B185" r:id="rId167" xr:uid="{00000000-0004-0000-6000-0000A6000000}"/>
    <hyperlink ref="B186" r:id="rId168" xr:uid="{00000000-0004-0000-6000-0000A7000000}"/>
    <hyperlink ref="B187" r:id="rId169" xr:uid="{00000000-0004-0000-6000-0000A8000000}"/>
    <hyperlink ref="B188" r:id="rId170" xr:uid="{00000000-0004-0000-6000-0000A9000000}"/>
    <hyperlink ref="B189" r:id="rId171" xr:uid="{00000000-0004-0000-6000-0000AA000000}"/>
    <hyperlink ref="B190" r:id="rId172" xr:uid="{00000000-0004-0000-6000-0000AB000000}"/>
    <hyperlink ref="B191" r:id="rId173" xr:uid="{00000000-0004-0000-6000-0000AC000000}"/>
    <hyperlink ref="B192" r:id="rId174" xr:uid="{00000000-0004-0000-6000-0000AD000000}"/>
    <hyperlink ref="B193" r:id="rId175" xr:uid="{00000000-0004-0000-6000-0000AE000000}"/>
    <hyperlink ref="B194" r:id="rId176" xr:uid="{00000000-0004-0000-6000-0000AF000000}"/>
    <hyperlink ref="B195" r:id="rId177" xr:uid="{00000000-0004-0000-6000-0000B0000000}"/>
    <hyperlink ref="B215" r:id="rId178" xr:uid="{00000000-0004-0000-6000-0000B1000000}"/>
    <hyperlink ref="B216" r:id="rId179" xr:uid="{00000000-0004-0000-6000-0000B2000000}"/>
    <hyperlink ref="B217" r:id="rId180" xr:uid="{00000000-0004-0000-6000-0000B3000000}"/>
    <hyperlink ref="B218" r:id="rId181" xr:uid="{00000000-0004-0000-6000-0000B4000000}"/>
    <hyperlink ref="B219" r:id="rId182" xr:uid="{00000000-0004-0000-6000-0000B5000000}"/>
    <hyperlink ref="B220" r:id="rId183" xr:uid="{00000000-0004-0000-6000-0000B6000000}"/>
    <hyperlink ref="B235" r:id="rId184" xr:uid="{00000000-0004-0000-6000-0000B7000000}"/>
    <hyperlink ref="B236" r:id="rId185" xr:uid="{00000000-0004-0000-6000-0000B8000000}"/>
    <hyperlink ref="B237" r:id="rId186" xr:uid="{00000000-0004-0000-6000-0000B9000000}"/>
    <hyperlink ref="B238" r:id="rId187" xr:uid="{00000000-0004-0000-6000-0000BA000000}"/>
    <hyperlink ref="B239" r:id="rId188" xr:uid="{00000000-0004-0000-6000-0000BB000000}"/>
    <hyperlink ref="B240" r:id="rId189" xr:uid="{00000000-0004-0000-6000-0000BC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8">
    <outlinePr summaryBelow="0" summaryRight="0"/>
  </sheetPr>
  <dimension ref="A1:J1001"/>
  <sheetViews>
    <sheetView workbookViewId="0">
      <pane ySplit="4" topLeftCell="A5" activePane="bottomLeft" state="frozen"/>
      <selection pane="bottomLeft" activeCell="B6" sqref="B6"/>
    </sheetView>
  </sheetViews>
  <sheetFormatPr baseColWidth="10" defaultColWidth="12.6640625" defaultRowHeight="15.75" customHeight="1"/>
  <cols>
    <col min="2" max="2" width="22.33203125" customWidth="1"/>
    <col min="4" max="4" width="14" customWidth="1"/>
    <col min="5" max="5" width="15.1640625" customWidth="1"/>
  </cols>
  <sheetData>
    <row r="1" spans="1:10" ht="15.75" customHeight="1">
      <c r="A1" s="131" t="s">
        <v>128</v>
      </c>
      <c r="B1" s="88"/>
      <c r="C1" s="132"/>
      <c r="D1" s="81" t="s">
        <v>181</v>
      </c>
      <c r="E1" s="87"/>
      <c r="F1" s="87"/>
      <c r="G1" s="87"/>
      <c r="H1" s="88"/>
      <c r="I1" s="88"/>
    </row>
    <row r="2" spans="1:10" ht="15.75" customHeight="1">
      <c r="A2" s="88" t="s">
        <v>182</v>
      </c>
      <c r="B2" s="139">
        <v>43679</v>
      </c>
      <c r="C2" s="132"/>
      <c r="D2" s="82">
        <f>SUM(D5:G263)</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64" t="s">
        <v>8050</v>
      </c>
      <c r="B5" s="78" t="str">
        <f>HYPERLINK("https://bulbapedia.bulbagarden.net/wiki/Rowlet_%26_Alolan_Exeggutor-GX_(Unified_Minds_1)","Rowlet &amp; Alolan ExeggutorGX")</f>
        <v>Rowlet &amp; Alolan ExeggutorGX</v>
      </c>
      <c r="C5" s="140" t="s">
        <v>205</v>
      </c>
      <c r="D5" s="140"/>
      <c r="E5" s="87"/>
      <c r="F5" s="86"/>
      <c r="G5" s="87"/>
      <c r="H5" s="88"/>
      <c r="I5" s="88"/>
      <c r="J5" s="88"/>
    </row>
    <row r="6" spans="1:10" ht="15.75" customHeight="1">
      <c r="A6" s="64" t="s">
        <v>8051</v>
      </c>
      <c r="B6" s="77" t="s">
        <v>946</v>
      </c>
      <c r="C6" s="140" t="s">
        <v>205</v>
      </c>
      <c r="D6" s="140"/>
      <c r="E6" s="86"/>
      <c r="F6" s="86"/>
      <c r="G6" s="87"/>
      <c r="H6" s="88"/>
      <c r="I6" s="88"/>
      <c r="J6" s="88"/>
    </row>
    <row r="7" spans="1:10" ht="15.75" customHeight="1">
      <c r="A7" s="64" t="s">
        <v>8052</v>
      </c>
      <c r="B7" s="77" t="s">
        <v>3392</v>
      </c>
      <c r="C7" s="140" t="s">
        <v>205</v>
      </c>
      <c r="D7" s="140"/>
      <c r="E7" s="89"/>
      <c r="F7" s="86"/>
      <c r="G7" s="87"/>
      <c r="H7" s="88"/>
      <c r="I7" s="88"/>
    </row>
    <row r="8" spans="1:10" ht="15.75" customHeight="1">
      <c r="A8" s="64" t="s">
        <v>8053</v>
      </c>
      <c r="B8" s="77" t="s">
        <v>234</v>
      </c>
      <c r="C8" s="140" t="s">
        <v>205</v>
      </c>
      <c r="D8" s="141"/>
      <c r="E8" s="86"/>
      <c r="F8" s="86"/>
      <c r="G8" s="87"/>
      <c r="H8" s="88"/>
      <c r="I8" s="88"/>
    </row>
    <row r="9" spans="1:10" ht="15.75" customHeight="1">
      <c r="A9" s="64" t="s">
        <v>8054</v>
      </c>
      <c r="B9" s="77" t="s">
        <v>1311</v>
      </c>
      <c r="C9" s="140" t="s">
        <v>205</v>
      </c>
      <c r="D9" s="140"/>
      <c r="E9" s="89"/>
      <c r="F9" s="86"/>
      <c r="G9" s="87"/>
      <c r="H9" s="88"/>
      <c r="I9" s="88"/>
    </row>
    <row r="10" spans="1:10" ht="15.75" customHeight="1">
      <c r="A10" s="64" t="s">
        <v>8055</v>
      </c>
      <c r="B10" s="77" t="s">
        <v>4040</v>
      </c>
      <c r="C10" s="140" t="s">
        <v>205</v>
      </c>
      <c r="D10" s="140"/>
      <c r="E10" s="86"/>
      <c r="F10" s="86"/>
      <c r="G10" s="87"/>
      <c r="H10" s="88"/>
      <c r="I10" s="88"/>
    </row>
    <row r="11" spans="1:10" ht="15.75" customHeight="1">
      <c r="A11" s="64" t="s">
        <v>8056</v>
      </c>
      <c r="B11" s="77" t="s">
        <v>4040</v>
      </c>
      <c r="C11" s="140" t="s">
        <v>205</v>
      </c>
      <c r="D11" s="140"/>
      <c r="E11" s="89"/>
      <c r="F11" s="86"/>
      <c r="G11" s="87"/>
      <c r="H11" s="88"/>
      <c r="I11" s="88"/>
    </row>
    <row r="12" spans="1:10" ht="15.75" customHeight="1">
      <c r="A12" s="64" t="s">
        <v>8057</v>
      </c>
      <c r="B12" s="77" t="s">
        <v>4041</v>
      </c>
      <c r="C12" s="140" t="s">
        <v>205</v>
      </c>
      <c r="D12" s="140"/>
      <c r="E12" s="86"/>
      <c r="F12" s="86"/>
      <c r="G12" s="87"/>
      <c r="H12" s="88"/>
      <c r="I12" s="88"/>
    </row>
    <row r="13" spans="1:10" ht="15.75" customHeight="1">
      <c r="A13" s="64" t="s">
        <v>8058</v>
      </c>
      <c r="B13" s="77" t="s">
        <v>4042</v>
      </c>
      <c r="C13" s="140" t="s">
        <v>205</v>
      </c>
      <c r="D13" s="140"/>
      <c r="E13" s="89"/>
      <c r="F13" s="87"/>
      <c r="G13" s="87"/>
      <c r="H13" s="88"/>
      <c r="I13" s="88"/>
    </row>
    <row r="14" spans="1:10" ht="15.75" customHeight="1">
      <c r="A14" s="64" t="s">
        <v>8059</v>
      </c>
      <c r="B14" s="77" t="s">
        <v>4045</v>
      </c>
      <c r="C14" s="140" t="s">
        <v>205</v>
      </c>
      <c r="D14" s="140"/>
      <c r="E14" s="86"/>
      <c r="F14" s="87"/>
      <c r="G14" s="87"/>
      <c r="H14" s="88"/>
      <c r="I14" s="88"/>
    </row>
    <row r="15" spans="1:10" ht="15.75" customHeight="1">
      <c r="A15" s="64" t="s">
        <v>8060</v>
      </c>
      <c r="B15" s="77" t="s">
        <v>4046</v>
      </c>
      <c r="C15" s="140" t="s">
        <v>205</v>
      </c>
      <c r="D15" s="140"/>
      <c r="E15" s="86"/>
      <c r="F15" s="86"/>
      <c r="G15" s="87"/>
      <c r="H15" s="88"/>
      <c r="I15" s="88"/>
    </row>
    <row r="16" spans="1:10" ht="15.75" customHeight="1">
      <c r="A16" s="64" t="s">
        <v>8061</v>
      </c>
      <c r="B16" s="77" t="s">
        <v>4047</v>
      </c>
      <c r="C16" s="140" t="s">
        <v>205</v>
      </c>
      <c r="D16" s="140"/>
      <c r="E16" s="86"/>
      <c r="F16" s="86"/>
      <c r="G16" s="87"/>
      <c r="H16" s="88"/>
      <c r="I16" s="88"/>
    </row>
    <row r="17" spans="1:9" ht="15.75" customHeight="1">
      <c r="A17" s="64" t="s">
        <v>8062</v>
      </c>
      <c r="B17" s="77" t="s">
        <v>4048</v>
      </c>
      <c r="C17" s="140" t="s">
        <v>205</v>
      </c>
      <c r="D17" s="140"/>
      <c r="E17" s="86"/>
      <c r="F17" s="86"/>
      <c r="G17" s="87"/>
      <c r="H17" s="88"/>
      <c r="I17" s="88"/>
    </row>
    <row r="18" spans="1:9" ht="15.75" customHeight="1">
      <c r="A18" s="64" t="s">
        <v>8063</v>
      </c>
      <c r="B18" s="77" t="s">
        <v>4049</v>
      </c>
      <c r="C18" s="140" t="s">
        <v>205</v>
      </c>
      <c r="D18" s="140"/>
      <c r="E18" s="86"/>
      <c r="F18" s="86"/>
      <c r="G18" s="87"/>
      <c r="H18" s="88"/>
      <c r="I18" s="88"/>
    </row>
    <row r="19" spans="1:9" ht="15.75" customHeight="1">
      <c r="A19" s="64" t="s">
        <v>8064</v>
      </c>
      <c r="B19" s="77" t="s">
        <v>6467</v>
      </c>
      <c r="C19" s="140" t="s">
        <v>205</v>
      </c>
      <c r="D19" s="140"/>
      <c r="E19" s="87"/>
      <c r="F19" s="86"/>
      <c r="G19" s="87"/>
      <c r="H19" s="88"/>
      <c r="I19" s="88"/>
    </row>
    <row r="20" spans="1:9" ht="15.75" customHeight="1">
      <c r="A20" s="64" t="s">
        <v>8065</v>
      </c>
      <c r="B20" s="77" t="s">
        <v>6210</v>
      </c>
      <c r="C20" s="140" t="s">
        <v>205</v>
      </c>
      <c r="D20" s="140"/>
      <c r="E20" s="89"/>
      <c r="F20" s="86"/>
      <c r="G20" s="87"/>
      <c r="H20" s="88"/>
      <c r="I20" s="88"/>
    </row>
    <row r="21" spans="1:9" ht="15.75" customHeight="1">
      <c r="A21" s="64" t="s">
        <v>8066</v>
      </c>
      <c r="B21" s="77" t="s">
        <v>6470</v>
      </c>
      <c r="C21" s="140" t="s">
        <v>205</v>
      </c>
      <c r="D21" s="140"/>
      <c r="E21" s="86"/>
      <c r="F21" s="89"/>
      <c r="G21" s="87"/>
      <c r="H21" s="88"/>
      <c r="I21" s="88"/>
    </row>
    <row r="22" spans="1:9" ht="15.75" customHeight="1">
      <c r="A22" s="64" t="s">
        <v>8067</v>
      </c>
      <c r="B22" s="77" t="s">
        <v>6471</v>
      </c>
      <c r="C22" s="140" t="s">
        <v>205</v>
      </c>
      <c r="D22" s="140"/>
      <c r="E22" s="86"/>
      <c r="F22" s="87"/>
      <c r="G22" s="87"/>
      <c r="H22" s="88"/>
      <c r="I22" s="88"/>
    </row>
    <row r="23" spans="1:9" ht="15.75" customHeight="1">
      <c r="A23" s="64" t="s">
        <v>8068</v>
      </c>
      <c r="B23" s="77" t="s">
        <v>6212</v>
      </c>
      <c r="C23" s="140" t="s">
        <v>205</v>
      </c>
      <c r="D23" s="142"/>
    </row>
    <row r="24" spans="1:9" ht="15.75" customHeight="1">
      <c r="A24" s="64" t="s">
        <v>8069</v>
      </c>
      <c r="B24" s="77" t="s">
        <v>6249</v>
      </c>
      <c r="C24" s="140" t="s">
        <v>205</v>
      </c>
      <c r="D24" s="140"/>
      <c r="E24" s="86"/>
      <c r="F24" s="87"/>
      <c r="G24" s="87"/>
      <c r="H24" s="88"/>
      <c r="I24" s="88"/>
    </row>
    <row r="25" spans="1:9" ht="15.75" customHeight="1">
      <c r="A25" s="64" t="s">
        <v>8070</v>
      </c>
      <c r="B25" s="77" t="s">
        <v>231</v>
      </c>
      <c r="C25" s="140" t="s">
        <v>199</v>
      </c>
      <c r="D25" s="140"/>
      <c r="E25" s="89"/>
      <c r="F25" s="89"/>
      <c r="G25" s="87"/>
      <c r="H25" s="88"/>
      <c r="I25" s="88"/>
    </row>
    <row r="26" spans="1:9" ht="15.75" customHeight="1">
      <c r="A26" s="64" t="s">
        <v>8071</v>
      </c>
      <c r="B26" s="77" t="s">
        <v>3052</v>
      </c>
      <c r="C26" s="140" t="s">
        <v>199</v>
      </c>
      <c r="D26" s="140"/>
      <c r="E26" s="86"/>
      <c r="F26" s="86"/>
      <c r="G26" s="87"/>
      <c r="H26" s="88"/>
      <c r="I26" s="88"/>
    </row>
    <row r="27" spans="1:9" ht="15.75" customHeight="1">
      <c r="A27" s="64" t="s">
        <v>8072</v>
      </c>
      <c r="B27" s="77" t="s">
        <v>1300</v>
      </c>
      <c r="C27" s="140" t="s">
        <v>199</v>
      </c>
      <c r="D27" s="140"/>
      <c r="E27" s="86"/>
      <c r="F27" s="89"/>
      <c r="G27" s="87"/>
      <c r="H27" s="88"/>
      <c r="I27" s="88"/>
    </row>
    <row r="28" spans="1:9" ht="15.75" customHeight="1">
      <c r="A28" s="64" t="s">
        <v>8073</v>
      </c>
      <c r="B28" s="77" t="s">
        <v>1214</v>
      </c>
      <c r="C28" s="140" t="s">
        <v>199</v>
      </c>
      <c r="D28" s="140"/>
      <c r="E28" s="86"/>
      <c r="F28" s="87"/>
      <c r="G28" s="87"/>
      <c r="H28" s="88"/>
      <c r="I28" s="88"/>
    </row>
    <row r="29" spans="1:9" ht="15.75" customHeight="1">
      <c r="A29" s="64" t="s">
        <v>8074</v>
      </c>
      <c r="B29" s="78" t="str">
        <f>HYPERLINK("https://bulbapedia.bulbagarden.net/wiki/Heatran-GX_(Unified_Minds_25)","HeatranGX")</f>
        <v>HeatranGX</v>
      </c>
      <c r="C29" s="140" t="s">
        <v>199</v>
      </c>
      <c r="D29" s="140"/>
      <c r="E29" s="86"/>
      <c r="F29" s="87"/>
      <c r="G29" s="87"/>
      <c r="H29" s="88"/>
      <c r="I29" s="88"/>
    </row>
    <row r="30" spans="1:9" ht="15.75" customHeight="1">
      <c r="A30" s="64" t="s">
        <v>8075</v>
      </c>
      <c r="B30" s="77" t="s">
        <v>4053</v>
      </c>
      <c r="C30" s="140" t="s">
        <v>199</v>
      </c>
      <c r="D30" s="141"/>
      <c r="E30" s="86"/>
      <c r="F30" s="87"/>
      <c r="G30" s="87"/>
      <c r="H30" s="88"/>
      <c r="I30" s="88"/>
    </row>
    <row r="31" spans="1:9" ht="15.75" customHeight="1">
      <c r="A31" s="64" t="s">
        <v>8076</v>
      </c>
      <c r="B31" s="77" t="s">
        <v>4086</v>
      </c>
      <c r="C31" s="140" t="s">
        <v>199</v>
      </c>
      <c r="D31" s="140"/>
      <c r="E31" s="86"/>
      <c r="F31" s="87"/>
      <c r="G31" s="87"/>
      <c r="H31" s="88"/>
      <c r="I31" s="88"/>
    </row>
    <row r="32" spans="1:9" ht="15.75" customHeight="1">
      <c r="A32" s="64" t="s">
        <v>8077</v>
      </c>
      <c r="B32" s="77" t="s">
        <v>4086</v>
      </c>
      <c r="C32" s="140" t="s">
        <v>199</v>
      </c>
      <c r="D32" s="140"/>
      <c r="E32" s="86"/>
      <c r="F32" s="87"/>
      <c r="G32" s="87"/>
      <c r="H32" s="88"/>
      <c r="I32" s="88"/>
    </row>
    <row r="33" spans="1:9" ht="15.75" customHeight="1">
      <c r="A33" s="64" t="s">
        <v>8078</v>
      </c>
      <c r="B33" s="77" t="s">
        <v>4087</v>
      </c>
      <c r="C33" s="140" t="s">
        <v>199</v>
      </c>
      <c r="D33" s="140"/>
      <c r="E33" s="86"/>
      <c r="F33" s="87"/>
      <c r="G33" s="87"/>
      <c r="H33" s="88"/>
      <c r="I33" s="88"/>
    </row>
    <row r="34" spans="1:9" ht="15.75" customHeight="1">
      <c r="A34" s="64" t="s">
        <v>8079</v>
      </c>
      <c r="B34" s="77" t="s">
        <v>4088</v>
      </c>
      <c r="C34" s="140" t="s">
        <v>199</v>
      </c>
      <c r="D34" s="143"/>
      <c r="E34" s="89"/>
      <c r="F34" s="86"/>
      <c r="G34" s="87"/>
      <c r="H34" s="88"/>
      <c r="I34" s="88"/>
    </row>
    <row r="35" spans="1:9" ht="15.75" customHeight="1">
      <c r="A35" s="64" t="s">
        <v>8080</v>
      </c>
      <c r="B35" s="77" t="s">
        <v>5040</v>
      </c>
      <c r="C35" s="140" t="s">
        <v>199</v>
      </c>
      <c r="D35" s="140"/>
      <c r="E35" s="86"/>
      <c r="F35" s="87"/>
      <c r="G35" s="87"/>
      <c r="H35" s="88"/>
      <c r="I35" s="88"/>
    </row>
    <row r="36" spans="1:9" ht="15.75" customHeight="1">
      <c r="A36" s="64" t="s">
        <v>8081</v>
      </c>
      <c r="B36" s="77" t="s">
        <v>5041</v>
      </c>
      <c r="C36" s="140" t="s">
        <v>199</v>
      </c>
      <c r="D36" s="141"/>
      <c r="E36" s="86"/>
      <c r="F36" s="87"/>
      <c r="G36" s="87"/>
      <c r="H36" s="88"/>
      <c r="I36" s="88"/>
    </row>
    <row r="37" spans="1:9" ht="15.75" customHeight="1">
      <c r="A37" s="64" t="s">
        <v>8082</v>
      </c>
      <c r="B37" s="77" t="s">
        <v>6366</v>
      </c>
      <c r="C37" s="140" t="s">
        <v>199</v>
      </c>
      <c r="D37" s="140"/>
      <c r="E37" s="89"/>
      <c r="F37" s="87"/>
      <c r="G37" s="87"/>
      <c r="H37" s="88"/>
      <c r="I37" s="88"/>
    </row>
    <row r="38" spans="1:9" ht="15.75" customHeight="1">
      <c r="A38" s="64" t="s">
        <v>8083</v>
      </c>
      <c r="B38" s="77" t="s">
        <v>6545</v>
      </c>
      <c r="C38" s="140" t="s">
        <v>199</v>
      </c>
      <c r="D38" s="140"/>
      <c r="E38" s="86"/>
      <c r="F38" s="87"/>
      <c r="G38" s="87"/>
      <c r="H38" s="88"/>
      <c r="I38" s="88"/>
    </row>
    <row r="39" spans="1:9" ht="15.75" customHeight="1">
      <c r="A39" s="64" t="s">
        <v>8084</v>
      </c>
      <c r="B39" s="78" t="str">
        <f>HYPERLINK("https://bulbapedia.bulbagarden.net/wiki/Slowpoke_%26_Psyduck-GX_(Unified_Minds_35)","Slowpoke &amp; PsyduckGX")</f>
        <v>Slowpoke &amp; PsyduckGX</v>
      </c>
      <c r="C39" s="140" t="s">
        <v>208</v>
      </c>
      <c r="D39" s="140"/>
      <c r="E39" s="86"/>
      <c r="F39" s="87"/>
      <c r="G39" s="87"/>
      <c r="H39" s="88"/>
      <c r="I39" s="88"/>
    </row>
    <row r="40" spans="1:9" ht="15.75" customHeight="1">
      <c r="A40" s="64" t="s">
        <v>8085</v>
      </c>
      <c r="B40" s="77" t="s">
        <v>364</v>
      </c>
      <c r="C40" s="140" t="s">
        <v>208</v>
      </c>
      <c r="D40" s="140"/>
      <c r="E40" s="86"/>
      <c r="F40" s="87"/>
      <c r="G40" s="87"/>
      <c r="H40" s="88"/>
      <c r="I40" s="88"/>
    </row>
    <row r="41" spans="1:9" ht="15.75" customHeight="1">
      <c r="A41" s="64" t="s">
        <v>8086</v>
      </c>
      <c r="B41" s="77" t="s">
        <v>1550</v>
      </c>
      <c r="C41" s="140" t="s">
        <v>208</v>
      </c>
      <c r="D41" s="140"/>
      <c r="E41" s="86"/>
      <c r="F41" s="87"/>
      <c r="G41" s="87"/>
      <c r="H41" s="88"/>
      <c r="I41" s="88"/>
    </row>
    <row r="42" spans="1:9" ht="15.75" customHeight="1">
      <c r="A42" s="64" t="s">
        <v>8087</v>
      </c>
      <c r="B42" s="77" t="s">
        <v>3372</v>
      </c>
      <c r="C42" s="140" t="s">
        <v>208</v>
      </c>
      <c r="D42" s="140"/>
      <c r="E42" s="89"/>
      <c r="F42" s="87"/>
      <c r="G42" s="87"/>
      <c r="H42" s="88"/>
      <c r="I42" s="88"/>
    </row>
    <row r="43" spans="1:9" ht="15.75" customHeight="1">
      <c r="A43" s="64" t="s">
        <v>8088</v>
      </c>
      <c r="B43" s="77" t="s">
        <v>3256</v>
      </c>
      <c r="C43" s="140" t="s">
        <v>208</v>
      </c>
      <c r="D43" s="140"/>
      <c r="E43" s="86"/>
      <c r="F43" s="87"/>
      <c r="G43" s="87"/>
      <c r="H43" s="88"/>
      <c r="I43" s="88"/>
    </row>
    <row r="44" spans="1:9" ht="15.75" customHeight="1">
      <c r="A44" s="64" t="s">
        <v>8089</v>
      </c>
      <c r="B44" s="77" t="s">
        <v>3171</v>
      </c>
      <c r="C44" s="140" t="s">
        <v>208</v>
      </c>
      <c r="D44" s="140"/>
      <c r="E44" s="86"/>
      <c r="F44" s="87"/>
      <c r="G44" s="87"/>
      <c r="H44" s="88"/>
      <c r="I44" s="88"/>
    </row>
    <row r="45" spans="1:9" ht="15.75" customHeight="1">
      <c r="A45" s="64" t="s">
        <v>8090</v>
      </c>
      <c r="B45" s="77" t="s">
        <v>3277</v>
      </c>
      <c r="C45" s="140" t="s">
        <v>208</v>
      </c>
      <c r="D45" s="140"/>
      <c r="E45" s="89"/>
      <c r="F45" s="87"/>
      <c r="G45" s="87"/>
      <c r="H45" s="88"/>
      <c r="I45" s="88"/>
    </row>
    <row r="46" spans="1:9" ht="15.75" customHeight="1">
      <c r="A46" s="64" t="s">
        <v>8091</v>
      </c>
      <c r="B46" s="77" t="s">
        <v>3182</v>
      </c>
      <c r="C46" s="140" t="s">
        <v>208</v>
      </c>
      <c r="D46" s="140"/>
      <c r="E46" s="86"/>
      <c r="F46" s="86"/>
      <c r="G46" s="87"/>
      <c r="H46" s="88"/>
      <c r="I46" s="88"/>
    </row>
    <row r="47" spans="1:9" ht="15.75" customHeight="1">
      <c r="A47" s="64" t="s">
        <v>8092</v>
      </c>
      <c r="B47" s="77" t="s">
        <v>4126</v>
      </c>
      <c r="C47" s="140" t="s">
        <v>208</v>
      </c>
      <c r="D47" s="140"/>
      <c r="E47" s="89"/>
      <c r="F47" s="87"/>
      <c r="G47" s="87"/>
      <c r="H47" s="88"/>
      <c r="I47" s="88"/>
    </row>
    <row r="48" spans="1:9" ht="15.75" customHeight="1">
      <c r="A48" s="64" t="s">
        <v>8093</v>
      </c>
      <c r="B48" s="77" t="s">
        <v>4062</v>
      </c>
      <c r="C48" s="140" t="s">
        <v>208</v>
      </c>
      <c r="D48" s="140"/>
      <c r="E48" s="86"/>
      <c r="F48" s="86"/>
      <c r="G48" s="87"/>
      <c r="H48" s="88"/>
      <c r="I48" s="88"/>
    </row>
    <row r="49" spans="1:9" ht="15.75" customHeight="1">
      <c r="A49" s="64" t="s">
        <v>8094</v>
      </c>
      <c r="B49" s="77" t="s">
        <v>4063</v>
      </c>
      <c r="C49" s="140" t="s">
        <v>208</v>
      </c>
      <c r="D49" s="140"/>
      <c r="E49" s="86"/>
      <c r="F49" s="87"/>
      <c r="G49" s="87"/>
      <c r="H49" s="88"/>
      <c r="I49" s="88"/>
    </row>
    <row r="50" spans="1:9" ht="15.75" customHeight="1">
      <c r="A50" s="64" t="s">
        <v>8095</v>
      </c>
      <c r="B50" s="77" t="s">
        <v>4069</v>
      </c>
      <c r="C50" s="140" t="s">
        <v>208</v>
      </c>
      <c r="D50" s="140"/>
      <c r="E50" s="86"/>
      <c r="F50" s="87"/>
      <c r="G50" s="87"/>
      <c r="H50" s="88"/>
      <c r="I50" s="88"/>
    </row>
    <row r="51" spans="1:9" ht="15.75" customHeight="1">
      <c r="A51" s="64" t="s">
        <v>8096</v>
      </c>
      <c r="B51" s="78" t="str">
        <f>HYPERLINK("https://bulbapedia.bulbagarden.net/wiki/Keldeo-GX_(Unified_Minds_47)","KeldeoGX")</f>
        <v>KeldeoGX</v>
      </c>
      <c r="C51" s="140" t="s">
        <v>208</v>
      </c>
      <c r="D51" s="140"/>
      <c r="E51" s="89"/>
      <c r="F51" s="87"/>
      <c r="G51" s="87"/>
      <c r="H51" s="88"/>
      <c r="I51" s="88"/>
    </row>
    <row r="52" spans="1:9" ht="15.75" customHeight="1">
      <c r="A52" s="64" t="s">
        <v>8097</v>
      </c>
      <c r="B52" s="77" t="s">
        <v>6478</v>
      </c>
      <c r="C52" s="140" t="s">
        <v>208</v>
      </c>
      <c r="D52" s="140"/>
      <c r="E52" s="86"/>
      <c r="F52" s="87"/>
      <c r="G52" s="87"/>
      <c r="H52" s="88"/>
      <c r="I52" s="88"/>
    </row>
    <row r="53" spans="1:9" ht="13">
      <c r="A53" s="64" t="s">
        <v>8098</v>
      </c>
      <c r="B53" s="77" t="s">
        <v>6479</v>
      </c>
      <c r="C53" s="140" t="s">
        <v>208</v>
      </c>
      <c r="D53" s="141"/>
      <c r="E53" s="86"/>
      <c r="F53" s="87"/>
      <c r="G53" s="87"/>
      <c r="H53" s="88"/>
      <c r="I53" s="88"/>
    </row>
    <row r="54" spans="1:9" ht="13">
      <c r="A54" s="64" t="s">
        <v>8099</v>
      </c>
      <c r="B54" s="77" t="s">
        <v>6535</v>
      </c>
      <c r="C54" s="140" t="s">
        <v>208</v>
      </c>
      <c r="D54" s="140"/>
      <c r="E54" s="86"/>
      <c r="F54" s="87"/>
      <c r="G54" s="87"/>
      <c r="H54" s="88"/>
      <c r="I54" s="88"/>
    </row>
    <row r="55" spans="1:9" ht="13">
      <c r="A55" s="64" t="s">
        <v>8100</v>
      </c>
      <c r="B55" s="77" t="s">
        <v>6247</v>
      </c>
      <c r="C55" s="140" t="s">
        <v>208</v>
      </c>
      <c r="D55" s="141"/>
      <c r="E55" s="86"/>
      <c r="F55" s="87"/>
      <c r="G55" s="87"/>
      <c r="H55" s="88"/>
      <c r="I55" s="88"/>
    </row>
    <row r="56" spans="1:9" ht="13">
      <c r="A56" s="64" t="s">
        <v>8101</v>
      </c>
      <c r="B56" s="77" t="s">
        <v>6480</v>
      </c>
      <c r="C56" s="140" t="s">
        <v>208</v>
      </c>
      <c r="D56" s="140"/>
      <c r="E56" s="89"/>
      <c r="F56" s="86"/>
      <c r="G56" s="87"/>
      <c r="H56" s="88"/>
      <c r="I56" s="88"/>
    </row>
    <row r="57" spans="1:9" ht="13">
      <c r="A57" s="64" t="s">
        <v>8102</v>
      </c>
      <c r="B57" s="77" t="s">
        <v>7686</v>
      </c>
      <c r="C57" s="140" t="s">
        <v>208</v>
      </c>
      <c r="D57" s="140"/>
      <c r="E57" s="86"/>
      <c r="F57" s="89"/>
      <c r="G57" s="87"/>
      <c r="H57" s="88"/>
      <c r="I57" s="88"/>
    </row>
    <row r="58" spans="1:9" ht="13">
      <c r="A58" s="64" t="s">
        <v>8103</v>
      </c>
      <c r="B58" s="78" t="str">
        <f>HYPERLINK("https://bulbapedia.bulbagarden.net/wiki/Raichu_%26_Alolan_Raichu-GX_(Unified_Minds_54)","Raichu &amp; Alolan RaichuGX")</f>
        <v>Raichu &amp; Alolan RaichuGX</v>
      </c>
      <c r="C58" s="140" t="s">
        <v>192</v>
      </c>
      <c r="D58" s="140"/>
      <c r="E58" s="87"/>
      <c r="F58" s="87"/>
      <c r="G58" s="87"/>
      <c r="H58" s="88"/>
      <c r="I58" s="88"/>
    </row>
    <row r="59" spans="1:9" ht="13">
      <c r="A59" s="64" t="s">
        <v>8104</v>
      </c>
      <c r="B59" s="77" t="s">
        <v>191</v>
      </c>
      <c r="C59" s="140" t="s">
        <v>192</v>
      </c>
      <c r="D59" s="140"/>
      <c r="E59" s="89"/>
      <c r="F59" s="87"/>
      <c r="G59" s="87"/>
      <c r="H59" s="88"/>
      <c r="I59" s="88"/>
    </row>
    <row r="60" spans="1:9" ht="13">
      <c r="A60" s="64" t="s">
        <v>8105</v>
      </c>
      <c r="B60" s="77" t="s">
        <v>191</v>
      </c>
      <c r="C60" s="140" t="s">
        <v>192</v>
      </c>
      <c r="D60" s="140"/>
      <c r="E60" s="87"/>
      <c r="F60" s="87"/>
      <c r="G60" s="87"/>
      <c r="H60" s="88"/>
      <c r="I60" s="88"/>
    </row>
    <row r="61" spans="1:9" ht="13">
      <c r="A61" s="64" t="s">
        <v>8106</v>
      </c>
      <c r="B61" s="77" t="s">
        <v>6264</v>
      </c>
      <c r="C61" s="140" t="s">
        <v>192</v>
      </c>
      <c r="D61" s="141"/>
      <c r="E61" s="86"/>
      <c r="F61" s="86"/>
      <c r="G61" s="87"/>
      <c r="H61" s="88"/>
      <c r="I61" s="88"/>
    </row>
    <row r="62" spans="1:9" ht="13">
      <c r="A62" s="64" t="s">
        <v>8107</v>
      </c>
      <c r="B62" s="77" t="s">
        <v>285</v>
      </c>
      <c r="C62" s="140" t="s">
        <v>192</v>
      </c>
      <c r="D62" s="140"/>
      <c r="E62" s="86"/>
      <c r="F62" s="87"/>
      <c r="G62" s="87"/>
      <c r="H62" s="88"/>
      <c r="I62" s="88"/>
    </row>
    <row r="63" spans="1:9" ht="13">
      <c r="A63" s="64" t="s">
        <v>8108</v>
      </c>
      <c r="B63" s="77" t="s">
        <v>247</v>
      </c>
      <c r="C63" s="140" t="s">
        <v>192</v>
      </c>
      <c r="D63" s="140"/>
      <c r="E63" s="86"/>
      <c r="F63" s="87"/>
      <c r="G63" s="87"/>
      <c r="H63" s="88"/>
      <c r="I63" s="88"/>
    </row>
    <row r="64" spans="1:9" ht="13">
      <c r="A64" s="64" t="s">
        <v>8109</v>
      </c>
      <c r="B64" s="77" t="s">
        <v>3074</v>
      </c>
      <c r="C64" s="140" t="s">
        <v>192</v>
      </c>
      <c r="D64" s="141"/>
      <c r="E64" s="86"/>
      <c r="F64" s="87"/>
      <c r="G64" s="87"/>
      <c r="H64" s="88"/>
      <c r="I64" s="88"/>
    </row>
    <row r="65" spans="1:9" ht="13">
      <c r="A65" s="64" t="s">
        <v>8110</v>
      </c>
      <c r="B65" s="77" t="s">
        <v>4151</v>
      </c>
      <c r="C65" s="140" t="s">
        <v>192</v>
      </c>
      <c r="D65" s="140"/>
      <c r="E65" s="86"/>
      <c r="F65" s="87"/>
      <c r="G65" s="87"/>
      <c r="H65" s="88"/>
      <c r="I65" s="88"/>
    </row>
    <row r="66" spans="1:9" ht="13">
      <c r="A66" s="64" t="s">
        <v>8111</v>
      </c>
      <c r="B66" s="77" t="s">
        <v>4152</v>
      </c>
      <c r="C66" s="140" t="s">
        <v>192</v>
      </c>
      <c r="D66" s="140"/>
      <c r="E66" s="86"/>
      <c r="F66" s="87"/>
      <c r="G66" s="87"/>
      <c r="H66" s="88"/>
      <c r="I66" s="88"/>
    </row>
    <row r="67" spans="1:9" ht="13">
      <c r="A67" s="64" t="s">
        <v>8112</v>
      </c>
      <c r="B67" s="77" t="s">
        <v>4073</v>
      </c>
      <c r="C67" s="140" t="s">
        <v>192</v>
      </c>
      <c r="D67" s="140"/>
      <c r="E67" s="86"/>
      <c r="F67" s="87"/>
      <c r="G67" s="87"/>
      <c r="H67" s="88"/>
      <c r="I67" s="88"/>
    </row>
    <row r="68" spans="1:9" ht="13">
      <c r="A68" s="64" t="s">
        <v>8113</v>
      </c>
      <c r="B68" s="77" t="s">
        <v>4073</v>
      </c>
      <c r="C68" s="140" t="s">
        <v>192</v>
      </c>
      <c r="D68" s="140"/>
      <c r="E68" s="86"/>
      <c r="F68" s="87"/>
      <c r="G68" s="87"/>
      <c r="H68" s="88"/>
      <c r="I68" s="88"/>
    </row>
    <row r="69" spans="1:9" ht="13">
      <c r="A69" s="64" t="s">
        <v>8114</v>
      </c>
      <c r="B69" s="77" t="s">
        <v>4074</v>
      </c>
      <c r="C69" s="140" t="s">
        <v>192</v>
      </c>
      <c r="D69" s="140"/>
      <c r="E69" s="86"/>
      <c r="F69" s="87"/>
      <c r="G69" s="87"/>
      <c r="H69" s="88"/>
      <c r="I69" s="88"/>
    </row>
    <row r="70" spans="1:9" ht="13">
      <c r="A70" s="64" t="s">
        <v>8115</v>
      </c>
      <c r="B70" s="77" t="s">
        <v>4075</v>
      </c>
      <c r="C70" s="140" t="s">
        <v>192</v>
      </c>
      <c r="D70" s="140"/>
      <c r="E70" s="86"/>
      <c r="F70" s="86"/>
      <c r="G70" s="87"/>
      <c r="H70" s="88"/>
      <c r="I70" s="88"/>
    </row>
    <row r="71" spans="1:9" ht="13">
      <c r="A71" s="64" t="s">
        <v>8116</v>
      </c>
      <c r="B71" s="77" t="s">
        <v>4076</v>
      </c>
      <c r="C71" s="140" t="s">
        <v>192</v>
      </c>
      <c r="D71" s="140"/>
      <c r="E71" s="86"/>
      <c r="F71" s="86"/>
      <c r="G71" s="87"/>
      <c r="H71" s="88"/>
      <c r="I71" s="88"/>
    </row>
    <row r="72" spans="1:9" ht="13">
      <c r="A72" s="64" t="s">
        <v>8117</v>
      </c>
      <c r="B72" s="77" t="s">
        <v>4701</v>
      </c>
      <c r="C72" s="140" t="s">
        <v>192</v>
      </c>
      <c r="D72" s="140"/>
      <c r="E72" s="87"/>
      <c r="F72" s="87"/>
      <c r="G72" s="87"/>
      <c r="H72" s="88"/>
      <c r="I72" s="88"/>
    </row>
    <row r="73" spans="1:9" ht="13">
      <c r="A73" s="64" t="s">
        <v>8118</v>
      </c>
      <c r="B73" s="77" t="s">
        <v>6220</v>
      </c>
      <c r="C73" s="140" t="s">
        <v>192</v>
      </c>
      <c r="D73" s="141"/>
      <c r="E73" s="86"/>
      <c r="F73" s="86"/>
      <c r="G73" s="87"/>
      <c r="H73" s="88"/>
      <c r="I73" s="88"/>
    </row>
    <row r="74" spans="1:9" ht="13">
      <c r="A74" s="64" t="s">
        <v>8119</v>
      </c>
      <c r="B74" s="77" t="s">
        <v>7121</v>
      </c>
      <c r="C74" s="140" t="s">
        <v>192</v>
      </c>
      <c r="D74" s="140"/>
      <c r="E74" s="86"/>
      <c r="F74" s="87"/>
      <c r="G74" s="87"/>
      <c r="H74" s="88"/>
      <c r="I74" s="88"/>
    </row>
    <row r="75" spans="1:9" ht="13">
      <c r="A75" s="64" t="s">
        <v>8120</v>
      </c>
      <c r="B75" s="78" t="str">
        <f>HYPERLINK("https://bulbapedia.bulbagarden.net/wiki/Mewtwo_%26_Mew-GX_(Unified_Minds_71)","Mewtwo &amp; MewGX")</f>
        <v>Mewtwo &amp; MewGX</v>
      </c>
      <c r="C75" s="140" t="s">
        <v>195</v>
      </c>
      <c r="D75" s="141"/>
      <c r="E75" s="87"/>
      <c r="F75" s="87"/>
      <c r="G75" s="87"/>
      <c r="H75" s="88"/>
      <c r="I75" s="88"/>
    </row>
    <row r="76" spans="1:9" ht="13">
      <c r="A76" s="64" t="s">
        <v>8121</v>
      </c>
      <c r="B76" s="78" t="str">
        <f>HYPERLINK("https://bulbapedia.bulbagarden.net/wiki/Espeon_%26_Deoxys-GX_(Unified_Minds_72)","Espeon &amp; DeoxysGX")</f>
        <v>Espeon &amp; DeoxysGX</v>
      </c>
      <c r="C76" s="140" t="s">
        <v>195</v>
      </c>
      <c r="D76" s="140"/>
      <c r="E76" s="86"/>
      <c r="F76" s="87"/>
      <c r="G76" s="87"/>
      <c r="H76" s="88"/>
      <c r="I76" s="88"/>
    </row>
    <row r="77" spans="1:9" ht="13">
      <c r="A77" s="64" t="s">
        <v>8122</v>
      </c>
      <c r="B77" s="77" t="s">
        <v>348</v>
      </c>
      <c r="C77" s="140" t="s">
        <v>195</v>
      </c>
      <c r="D77" s="140"/>
      <c r="E77" s="86"/>
      <c r="F77" s="87"/>
      <c r="G77" s="87"/>
      <c r="H77" s="88"/>
      <c r="I77" s="88"/>
    </row>
    <row r="78" spans="1:9" ht="13">
      <c r="A78" s="64" t="s">
        <v>8123</v>
      </c>
      <c r="B78" s="77" t="s">
        <v>333</v>
      </c>
      <c r="C78" s="140" t="s">
        <v>195</v>
      </c>
      <c r="D78" s="140"/>
      <c r="E78" s="86"/>
      <c r="F78" s="87"/>
      <c r="G78" s="87"/>
      <c r="H78" s="88"/>
      <c r="I78" s="88"/>
    </row>
    <row r="79" spans="1:9" ht="13">
      <c r="A79" s="64" t="s">
        <v>8124</v>
      </c>
      <c r="B79" s="77" t="s">
        <v>6865</v>
      </c>
      <c r="C79" s="140" t="s">
        <v>195</v>
      </c>
      <c r="D79" s="140"/>
      <c r="E79" s="86"/>
      <c r="F79" s="87"/>
      <c r="G79" s="87"/>
      <c r="H79" s="88"/>
      <c r="I79" s="88"/>
    </row>
    <row r="80" spans="1:9" ht="13">
      <c r="A80" s="64" t="s">
        <v>8125</v>
      </c>
      <c r="B80" s="77" t="s">
        <v>265</v>
      </c>
      <c r="C80" s="140" t="s">
        <v>195</v>
      </c>
      <c r="D80" s="140"/>
      <c r="E80" s="86"/>
      <c r="F80" s="87"/>
      <c r="G80" s="87"/>
      <c r="H80" s="88"/>
      <c r="I80" s="88"/>
    </row>
    <row r="81" spans="1:9" ht="13">
      <c r="A81" s="64" t="s">
        <v>8126</v>
      </c>
      <c r="B81" s="77" t="s">
        <v>1428</v>
      </c>
      <c r="C81" s="140" t="s">
        <v>195</v>
      </c>
      <c r="D81" s="140"/>
      <c r="E81" s="86"/>
      <c r="F81" s="87"/>
      <c r="G81" s="87"/>
      <c r="H81" s="88"/>
      <c r="I81" s="88"/>
    </row>
    <row r="82" spans="1:9" ht="13">
      <c r="A82" s="64" t="s">
        <v>8127</v>
      </c>
      <c r="B82" s="78" t="str">
        <f>HYPERLINK("https://bulbapedia.bulbagarden.net/wiki/Latios-GX_(Unified_Minds_78)","LatiosGX")</f>
        <v>LatiosGX</v>
      </c>
      <c r="C82" s="140" t="s">
        <v>195</v>
      </c>
      <c r="D82" s="140"/>
      <c r="E82" s="87"/>
      <c r="F82" s="87"/>
      <c r="G82" s="87"/>
      <c r="H82" s="88"/>
      <c r="I82" s="88"/>
    </row>
    <row r="83" spans="1:9" ht="13">
      <c r="A83" s="64" t="s">
        <v>8128</v>
      </c>
      <c r="B83" s="78" t="str">
        <f>HYPERLINK("https://bulbapedia.bulbagarden.net/wiki/Jirachi-GX_(Unified_Minds_79)","JirachiGX")</f>
        <v>JirachiGX</v>
      </c>
      <c r="C83" s="140" t="s">
        <v>195</v>
      </c>
      <c r="D83" s="141"/>
      <c r="E83" s="86"/>
      <c r="F83" s="89"/>
      <c r="G83" s="87"/>
      <c r="H83" s="88"/>
      <c r="I83" s="88"/>
    </row>
    <row r="84" spans="1:9" ht="13">
      <c r="A84" s="64" t="s">
        <v>8129</v>
      </c>
      <c r="B84" s="77" t="s">
        <v>3134</v>
      </c>
      <c r="C84" s="140" t="s">
        <v>195</v>
      </c>
      <c r="D84" s="140"/>
      <c r="E84" s="86"/>
      <c r="F84" s="87"/>
      <c r="G84" s="87"/>
      <c r="H84" s="88"/>
      <c r="I84" s="88"/>
    </row>
    <row r="85" spans="1:9" ht="13">
      <c r="A85" s="64" t="s">
        <v>8130</v>
      </c>
      <c r="B85" s="77" t="s">
        <v>3078</v>
      </c>
      <c r="C85" s="140" t="s">
        <v>195</v>
      </c>
      <c r="D85" s="140"/>
      <c r="E85" s="86"/>
      <c r="F85" s="87"/>
      <c r="G85" s="87"/>
      <c r="H85" s="88"/>
      <c r="I85" s="88"/>
    </row>
    <row r="86" spans="1:9" ht="13">
      <c r="A86" s="64" t="s">
        <v>8131</v>
      </c>
      <c r="B86" s="77" t="s">
        <v>3147</v>
      </c>
      <c r="C86" s="140" t="s">
        <v>195</v>
      </c>
      <c r="D86" s="140"/>
      <c r="E86" s="86"/>
      <c r="F86" s="87"/>
      <c r="G86" s="87"/>
      <c r="H86" s="88"/>
      <c r="I86" s="88"/>
    </row>
    <row r="87" spans="1:9" ht="13">
      <c r="A87" s="64" t="s">
        <v>8132</v>
      </c>
      <c r="B87" s="77" t="s">
        <v>3180</v>
      </c>
      <c r="C87" s="140" t="s">
        <v>195</v>
      </c>
      <c r="D87" s="143"/>
      <c r="E87" s="87"/>
      <c r="F87" s="86"/>
      <c r="G87" s="87"/>
      <c r="H87" s="88"/>
      <c r="I87" s="88"/>
    </row>
    <row r="88" spans="1:9" ht="13">
      <c r="A88" s="64" t="s">
        <v>8133</v>
      </c>
      <c r="B88" s="77" t="s">
        <v>3175</v>
      </c>
      <c r="C88" s="140" t="s">
        <v>195</v>
      </c>
      <c r="D88" s="140"/>
      <c r="E88" s="86"/>
      <c r="F88" s="87"/>
      <c r="G88" s="87"/>
      <c r="H88" s="88"/>
      <c r="I88" s="88"/>
    </row>
    <row r="89" spans="1:9" ht="13">
      <c r="A89" s="64" t="s">
        <v>8134</v>
      </c>
      <c r="B89" s="77" t="s">
        <v>3160</v>
      </c>
      <c r="C89" s="140" t="s">
        <v>195</v>
      </c>
      <c r="D89" s="140"/>
      <c r="E89" s="87"/>
      <c r="F89" s="87"/>
      <c r="G89" s="87"/>
      <c r="H89" s="88"/>
      <c r="I89" s="88"/>
    </row>
    <row r="90" spans="1:9" ht="13">
      <c r="A90" s="64" t="s">
        <v>8135</v>
      </c>
      <c r="B90" s="77" t="s">
        <v>3374</v>
      </c>
      <c r="C90" s="140" t="s">
        <v>195</v>
      </c>
      <c r="D90" s="141"/>
      <c r="E90" s="87"/>
      <c r="F90" s="87"/>
      <c r="G90" s="87"/>
      <c r="H90" s="88"/>
      <c r="I90" s="88"/>
    </row>
    <row r="91" spans="1:9" ht="13">
      <c r="A91" s="64" t="s">
        <v>8136</v>
      </c>
      <c r="B91" s="77" t="s">
        <v>3101</v>
      </c>
      <c r="C91" s="140" t="s">
        <v>195</v>
      </c>
      <c r="D91" s="140"/>
      <c r="E91" s="86"/>
      <c r="F91" s="87"/>
      <c r="G91" s="87"/>
      <c r="H91" s="88"/>
      <c r="I91" s="88"/>
    </row>
    <row r="92" spans="1:9" ht="13">
      <c r="A92" s="64" t="s">
        <v>8137</v>
      </c>
      <c r="B92" s="77" t="s">
        <v>4034</v>
      </c>
      <c r="C92" s="140" t="s">
        <v>195</v>
      </c>
      <c r="D92" s="140"/>
      <c r="E92" s="86"/>
      <c r="F92" s="87"/>
      <c r="G92" s="87"/>
      <c r="H92" s="88"/>
      <c r="I92" s="88"/>
    </row>
    <row r="93" spans="1:9" ht="13">
      <c r="A93" s="64" t="s">
        <v>8138</v>
      </c>
      <c r="B93" s="77" t="s">
        <v>4130</v>
      </c>
      <c r="C93" s="140" t="s">
        <v>195</v>
      </c>
      <c r="D93" s="140"/>
      <c r="E93" s="86"/>
      <c r="F93" s="87"/>
      <c r="G93" s="87"/>
      <c r="H93" s="88"/>
      <c r="I93" s="88"/>
    </row>
    <row r="94" spans="1:9" ht="13">
      <c r="A94" s="64" t="s">
        <v>8139</v>
      </c>
      <c r="B94" s="77" t="s">
        <v>4084</v>
      </c>
      <c r="C94" s="140" t="s">
        <v>195</v>
      </c>
      <c r="D94" s="140"/>
      <c r="E94" s="86"/>
      <c r="F94" s="87"/>
      <c r="G94" s="87"/>
      <c r="H94" s="88"/>
      <c r="I94" s="88"/>
    </row>
    <row r="95" spans="1:9" ht="13">
      <c r="A95" s="64" t="s">
        <v>8140</v>
      </c>
      <c r="B95" s="77" t="s">
        <v>4085</v>
      </c>
      <c r="C95" s="140" t="s">
        <v>195</v>
      </c>
      <c r="D95" s="140"/>
      <c r="E95" s="86"/>
      <c r="F95" s="87"/>
      <c r="G95" s="87"/>
      <c r="H95" s="88"/>
      <c r="I95" s="88"/>
    </row>
    <row r="96" spans="1:9" ht="13">
      <c r="A96" s="64" t="s">
        <v>8141</v>
      </c>
      <c r="B96" s="77" t="s">
        <v>4755</v>
      </c>
      <c r="C96" s="140" t="s">
        <v>195</v>
      </c>
      <c r="D96" s="140"/>
      <c r="E96" s="86"/>
      <c r="F96" s="87"/>
      <c r="G96" s="87"/>
      <c r="H96" s="88"/>
      <c r="I96" s="88"/>
    </row>
    <row r="97" spans="1:9" ht="13">
      <c r="A97" s="64" t="s">
        <v>8142</v>
      </c>
      <c r="B97" s="77" t="s">
        <v>4755</v>
      </c>
      <c r="C97" s="140" t="s">
        <v>195</v>
      </c>
      <c r="D97" s="140"/>
      <c r="E97" s="86"/>
      <c r="F97" s="87"/>
      <c r="G97" s="87"/>
      <c r="H97" s="88"/>
      <c r="I97" s="88"/>
    </row>
    <row r="98" spans="1:9" ht="13">
      <c r="A98" s="64" t="s">
        <v>8143</v>
      </c>
      <c r="B98" s="77" t="s">
        <v>5045</v>
      </c>
      <c r="C98" s="140" t="s">
        <v>195</v>
      </c>
      <c r="D98" s="140"/>
      <c r="E98" s="89"/>
      <c r="F98" s="87"/>
      <c r="G98" s="87"/>
      <c r="H98" s="88"/>
      <c r="I98" s="88"/>
    </row>
    <row r="99" spans="1:9" ht="13">
      <c r="A99" s="64" t="s">
        <v>8144</v>
      </c>
      <c r="B99" s="77" t="s">
        <v>5046</v>
      </c>
      <c r="C99" s="140" t="s">
        <v>195</v>
      </c>
      <c r="D99" s="141"/>
      <c r="E99" s="86"/>
      <c r="F99" s="87"/>
      <c r="G99" s="87"/>
      <c r="H99" s="88"/>
      <c r="I99" s="88"/>
    </row>
    <row r="100" spans="1:9" ht="13">
      <c r="A100" s="64" t="s">
        <v>8145</v>
      </c>
      <c r="B100" s="77" t="s">
        <v>6485</v>
      </c>
      <c r="C100" s="140" t="s">
        <v>195</v>
      </c>
      <c r="D100" s="140"/>
      <c r="E100" s="86"/>
      <c r="F100" s="87"/>
      <c r="G100" s="87"/>
      <c r="H100" s="88"/>
      <c r="I100" s="88"/>
    </row>
    <row r="101" spans="1:9" ht="13">
      <c r="A101" s="64" t="s">
        <v>8146</v>
      </c>
      <c r="B101" s="77" t="s">
        <v>6486</v>
      </c>
      <c r="C101" s="140" t="s">
        <v>195</v>
      </c>
      <c r="D101" s="140"/>
      <c r="E101" s="87"/>
      <c r="F101" s="87"/>
      <c r="G101" s="87"/>
      <c r="H101" s="88"/>
      <c r="I101" s="88"/>
    </row>
    <row r="102" spans="1:9" ht="13">
      <c r="A102" s="64" t="s">
        <v>8147</v>
      </c>
      <c r="B102" s="77" t="s">
        <v>6366</v>
      </c>
      <c r="C102" s="140" t="s">
        <v>195</v>
      </c>
      <c r="D102" s="140"/>
      <c r="E102" s="86"/>
      <c r="F102" s="86"/>
      <c r="G102" s="87"/>
      <c r="H102" s="88"/>
      <c r="I102" s="88"/>
    </row>
    <row r="103" spans="1:9" ht="13">
      <c r="A103" s="64" t="s">
        <v>8148</v>
      </c>
      <c r="B103" s="77" t="s">
        <v>6545</v>
      </c>
      <c r="C103" s="140" t="s">
        <v>195</v>
      </c>
      <c r="D103" s="141"/>
      <c r="E103" s="86"/>
      <c r="F103" s="87"/>
      <c r="G103" s="87"/>
      <c r="H103" s="88"/>
      <c r="I103" s="88"/>
    </row>
    <row r="104" spans="1:9" ht="13">
      <c r="A104" s="64" t="s">
        <v>8149</v>
      </c>
      <c r="B104" s="77" t="s">
        <v>6487</v>
      </c>
      <c r="C104" s="140" t="s">
        <v>195</v>
      </c>
      <c r="D104" s="140"/>
      <c r="E104" s="86"/>
      <c r="F104" s="87"/>
      <c r="G104" s="87"/>
      <c r="H104" s="88"/>
      <c r="I104" s="88"/>
    </row>
    <row r="105" spans="1:9" ht="13">
      <c r="A105" s="64" t="s">
        <v>8150</v>
      </c>
      <c r="B105" s="77" t="s">
        <v>8151</v>
      </c>
      <c r="C105" s="140" t="s">
        <v>195</v>
      </c>
      <c r="D105" s="140"/>
      <c r="E105" s="86"/>
      <c r="F105" s="87"/>
      <c r="G105" s="87"/>
      <c r="H105" s="88"/>
      <c r="I105" s="88"/>
    </row>
    <row r="106" spans="1:9" ht="13">
      <c r="A106" s="64" t="s">
        <v>8152</v>
      </c>
      <c r="B106" s="77" t="s">
        <v>7138</v>
      </c>
      <c r="C106" s="140" t="s">
        <v>195</v>
      </c>
      <c r="D106" s="140"/>
      <c r="E106" s="86"/>
      <c r="F106" s="87"/>
      <c r="G106" s="87"/>
      <c r="H106" s="88"/>
      <c r="I106" s="88"/>
    </row>
    <row r="107" spans="1:9" ht="13">
      <c r="A107" s="64" t="s">
        <v>8153</v>
      </c>
      <c r="B107" s="77" t="s">
        <v>288</v>
      </c>
      <c r="C107" s="140" t="s">
        <v>225</v>
      </c>
      <c r="D107" s="140"/>
      <c r="E107" s="86"/>
      <c r="F107" s="87"/>
      <c r="G107" s="87"/>
      <c r="H107" s="88"/>
      <c r="I107" s="88"/>
    </row>
    <row r="108" spans="1:9" ht="13">
      <c r="A108" s="64" t="s">
        <v>8154</v>
      </c>
      <c r="B108" s="77" t="s">
        <v>791</v>
      </c>
      <c r="C108" s="140" t="s">
        <v>225</v>
      </c>
      <c r="D108" s="140"/>
      <c r="E108" s="86"/>
      <c r="F108" s="87"/>
      <c r="G108" s="87"/>
      <c r="H108" s="88"/>
      <c r="I108" s="88"/>
    </row>
    <row r="109" spans="1:9" ht="13">
      <c r="A109" s="64" t="s">
        <v>8155</v>
      </c>
      <c r="B109" s="77" t="s">
        <v>347</v>
      </c>
      <c r="C109" s="140" t="s">
        <v>225</v>
      </c>
      <c r="D109" s="140"/>
      <c r="E109" s="86"/>
      <c r="F109" s="87"/>
      <c r="G109" s="87"/>
      <c r="H109" s="88"/>
      <c r="I109" s="88"/>
    </row>
    <row r="110" spans="1:9" ht="13">
      <c r="A110" s="64" t="s">
        <v>8156</v>
      </c>
      <c r="B110" s="78" t="str">
        <f>HYPERLINK("https://bulbapedia.bulbagarden.net/wiki/Aerodactyl-GX_(Unified_Minds_106)","AerodactylGX")</f>
        <v>AerodactylGX</v>
      </c>
      <c r="C110" s="140" t="s">
        <v>225</v>
      </c>
      <c r="D110" s="140"/>
      <c r="E110" s="86"/>
      <c r="F110" s="87"/>
      <c r="G110" s="87"/>
      <c r="H110" s="88"/>
      <c r="I110" s="88"/>
    </row>
    <row r="111" spans="1:9" ht="13">
      <c r="A111" s="64" t="s">
        <v>8157</v>
      </c>
      <c r="B111" s="77" t="s">
        <v>775</v>
      </c>
      <c r="C111" s="140" t="s">
        <v>225</v>
      </c>
      <c r="D111" s="140"/>
      <c r="E111" s="89"/>
      <c r="F111" s="87"/>
      <c r="G111" s="87"/>
      <c r="H111" s="88"/>
      <c r="I111" s="88"/>
    </row>
    <row r="112" spans="1:9" ht="13">
      <c r="A112" s="64" t="s">
        <v>8158</v>
      </c>
      <c r="B112" s="77" t="s">
        <v>1237</v>
      </c>
      <c r="C112" s="140" t="s">
        <v>225</v>
      </c>
      <c r="D112" s="140"/>
      <c r="E112" s="86"/>
      <c r="F112" s="89"/>
      <c r="G112" s="87"/>
      <c r="H112" s="88"/>
      <c r="I112" s="88"/>
    </row>
    <row r="113" spans="1:9" ht="13">
      <c r="A113" s="64" t="s">
        <v>8159</v>
      </c>
      <c r="B113" s="77" t="s">
        <v>1541</v>
      </c>
      <c r="C113" s="140" t="s">
        <v>225</v>
      </c>
      <c r="D113" s="140"/>
      <c r="E113" s="87"/>
      <c r="F113" s="89"/>
      <c r="G113" s="87"/>
      <c r="H113" s="88"/>
      <c r="I113" s="88"/>
    </row>
    <row r="114" spans="1:9" ht="13">
      <c r="A114" s="64" t="s">
        <v>8160</v>
      </c>
      <c r="B114" s="77" t="s">
        <v>1802</v>
      </c>
      <c r="C114" s="140" t="s">
        <v>225</v>
      </c>
      <c r="D114" s="140"/>
      <c r="E114" s="86"/>
      <c r="F114" s="87"/>
      <c r="G114" s="87"/>
      <c r="H114" s="88"/>
      <c r="I114" s="88"/>
    </row>
    <row r="115" spans="1:9" ht="13">
      <c r="A115" s="64" t="s">
        <v>8161</v>
      </c>
      <c r="B115" s="77" t="s">
        <v>1824</v>
      </c>
      <c r="C115" s="140" t="s">
        <v>225</v>
      </c>
      <c r="D115" s="140"/>
      <c r="E115" s="87"/>
      <c r="F115" s="87"/>
      <c r="G115" s="87"/>
      <c r="H115" s="88"/>
      <c r="I115" s="88"/>
    </row>
    <row r="116" spans="1:9" ht="13">
      <c r="A116" s="64" t="s">
        <v>8162</v>
      </c>
      <c r="B116" s="77" t="s">
        <v>3259</v>
      </c>
      <c r="C116" s="140" t="s">
        <v>225</v>
      </c>
      <c r="D116" s="140"/>
      <c r="E116" s="87"/>
      <c r="F116" s="87"/>
      <c r="G116" s="87"/>
      <c r="H116" s="88"/>
      <c r="I116" s="88"/>
    </row>
    <row r="117" spans="1:9" ht="13">
      <c r="A117" s="64" t="s">
        <v>8163</v>
      </c>
      <c r="B117" s="77" t="s">
        <v>3217</v>
      </c>
      <c r="C117" s="140" t="s">
        <v>225</v>
      </c>
      <c r="D117" s="140"/>
      <c r="E117" s="86"/>
      <c r="F117" s="87"/>
      <c r="G117" s="87"/>
      <c r="H117" s="88"/>
      <c r="I117" s="88"/>
    </row>
    <row r="118" spans="1:9" ht="13">
      <c r="A118" s="64" t="s">
        <v>8164</v>
      </c>
      <c r="B118" s="77" t="s">
        <v>3167</v>
      </c>
      <c r="C118" s="140" t="s">
        <v>225</v>
      </c>
      <c r="D118" s="143"/>
      <c r="E118" s="86"/>
      <c r="F118" s="86"/>
      <c r="G118" s="87"/>
      <c r="H118" s="88"/>
      <c r="I118" s="88"/>
    </row>
    <row r="119" spans="1:9" ht="13">
      <c r="A119" s="64" t="s">
        <v>8165</v>
      </c>
      <c r="B119" s="77" t="s">
        <v>3141</v>
      </c>
      <c r="C119" s="140" t="s">
        <v>225</v>
      </c>
      <c r="D119" s="140"/>
      <c r="E119" s="86"/>
      <c r="F119" s="87"/>
      <c r="G119" s="87"/>
      <c r="H119" s="88"/>
      <c r="I119" s="88"/>
    </row>
    <row r="120" spans="1:9" ht="13">
      <c r="A120" s="64" t="s">
        <v>8166</v>
      </c>
      <c r="B120" s="77" t="s">
        <v>3141</v>
      </c>
      <c r="C120" s="140" t="s">
        <v>225</v>
      </c>
      <c r="D120" s="140"/>
      <c r="E120" s="86"/>
      <c r="F120" s="87"/>
      <c r="G120" s="87"/>
      <c r="H120" s="88"/>
      <c r="I120" s="88"/>
    </row>
    <row r="121" spans="1:9" ht="13">
      <c r="A121" s="64" t="s">
        <v>8167</v>
      </c>
      <c r="B121" s="77" t="s">
        <v>3113</v>
      </c>
      <c r="C121" s="140" t="s">
        <v>225</v>
      </c>
      <c r="D121" s="140"/>
      <c r="E121" s="86"/>
      <c r="F121" s="87"/>
      <c r="G121" s="87"/>
      <c r="H121" s="88"/>
      <c r="I121" s="88"/>
    </row>
    <row r="122" spans="1:9" ht="13">
      <c r="A122" s="64" t="s">
        <v>8168</v>
      </c>
      <c r="B122" s="77" t="s">
        <v>4154</v>
      </c>
      <c r="C122" s="140" t="s">
        <v>225</v>
      </c>
      <c r="D122" s="140"/>
      <c r="E122" s="86"/>
      <c r="F122" s="87"/>
      <c r="G122" s="87"/>
      <c r="H122" s="88"/>
      <c r="I122" s="88"/>
    </row>
    <row r="123" spans="1:9" ht="13">
      <c r="A123" s="64" t="s">
        <v>8169</v>
      </c>
      <c r="B123" s="77" t="s">
        <v>4155</v>
      </c>
      <c r="C123" s="140" t="s">
        <v>225</v>
      </c>
      <c r="D123" s="140"/>
      <c r="E123" s="89"/>
      <c r="F123" s="87"/>
      <c r="G123" s="87"/>
      <c r="H123" s="88"/>
      <c r="I123" s="88"/>
    </row>
    <row r="124" spans="1:9" ht="13">
      <c r="A124" s="64" t="s">
        <v>8170</v>
      </c>
      <c r="B124" s="77" t="s">
        <v>4093</v>
      </c>
      <c r="C124" s="140" t="s">
        <v>225</v>
      </c>
      <c r="D124" s="140"/>
      <c r="E124" s="87"/>
      <c r="F124" s="87"/>
      <c r="G124" s="87"/>
      <c r="H124" s="88"/>
      <c r="I124" s="88"/>
    </row>
    <row r="125" spans="1:9" ht="13">
      <c r="A125" s="64" t="s">
        <v>8171</v>
      </c>
      <c r="B125" s="77" t="s">
        <v>4094</v>
      </c>
      <c r="C125" s="140" t="s">
        <v>225</v>
      </c>
      <c r="D125" s="140"/>
      <c r="E125" s="87"/>
      <c r="F125" s="87"/>
      <c r="G125" s="87"/>
      <c r="H125" s="88"/>
      <c r="I125" s="88"/>
    </row>
    <row r="126" spans="1:9" ht="13">
      <c r="A126" s="64" t="s">
        <v>8172</v>
      </c>
      <c r="B126" s="77" t="s">
        <v>4099</v>
      </c>
      <c r="C126" s="140" t="s">
        <v>225</v>
      </c>
      <c r="D126" s="141"/>
      <c r="E126" s="86"/>
      <c r="F126" s="86"/>
      <c r="G126" s="87"/>
      <c r="H126" s="88"/>
      <c r="I126" s="88"/>
    </row>
    <row r="127" spans="1:9" ht="13">
      <c r="A127" s="64" t="s">
        <v>8173</v>
      </c>
      <c r="B127" s="77" t="s">
        <v>4429</v>
      </c>
      <c r="C127" s="140" t="s">
        <v>225</v>
      </c>
      <c r="D127" s="140"/>
      <c r="E127" s="86"/>
      <c r="F127" s="87"/>
      <c r="G127" s="87"/>
      <c r="H127" s="88"/>
      <c r="I127" s="88"/>
    </row>
    <row r="128" spans="1:9" ht="13">
      <c r="A128" s="64" t="s">
        <v>8174</v>
      </c>
      <c r="B128" s="77" t="s">
        <v>4913</v>
      </c>
      <c r="C128" s="140" t="s">
        <v>225</v>
      </c>
      <c r="D128" s="140"/>
      <c r="E128" s="86"/>
      <c r="F128" s="87"/>
      <c r="G128" s="87"/>
      <c r="H128" s="88"/>
      <c r="I128" s="88"/>
    </row>
    <row r="129" spans="1:9" ht="13">
      <c r="A129" s="64" t="s">
        <v>8175</v>
      </c>
      <c r="B129" s="78" t="str">
        <f>HYPERLINK("https://bulbapedia.bulbagarden.net/wiki/Umbreon_%26_Darkrai-GX_(Unified_Minds_125)","Umbreon &amp; DarkraiGX")</f>
        <v>Umbreon &amp; DarkraiGX</v>
      </c>
      <c r="C129" s="140" t="s">
        <v>808</v>
      </c>
      <c r="D129" s="140"/>
      <c r="E129" s="86"/>
      <c r="F129" s="87"/>
      <c r="G129" s="87"/>
      <c r="H129" s="88"/>
      <c r="I129" s="88"/>
    </row>
    <row r="130" spans="1:9" ht="13">
      <c r="A130" s="64" t="s">
        <v>8176</v>
      </c>
      <c r="B130" s="78" t="str">
        <f>HYPERLINK("https://bulbapedia.bulbagarden.net/wiki/Mega_Sableye_%26_Tyranitar-GX_(Unified_Minds_126)","Mega Sableye &amp; TyranitarGX")</f>
        <v>Mega Sableye &amp; TyranitarGX</v>
      </c>
      <c r="C130" s="140" t="s">
        <v>808</v>
      </c>
      <c r="D130" s="140"/>
      <c r="E130" s="86"/>
      <c r="F130" s="87"/>
      <c r="G130" s="87"/>
      <c r="H130" s="88"/>
      <c r="I130" s="88"/>
    </row>
    <row r="131" spans="1:9" ht="13">
      <c r="A131" s="64" t="s">
        <v>8177</v>
      </c>
      <c r="B131" s="77" t="s">
        <v>6483</v>
      </c>
      <c r="C131" s="140" t="s">
        <v>808</v>
      </c>
      <c r="D131" s="140"/>
      <c r="E131" s="86"/>
      <c r="F131" s="87"/>
      <c r="G131" s="87"/>
      <c r="H131" s="88"/>
      <c r="I131" s="88"/>
    </row>
    <row r="132" spans="1:9" ht="13">
      <c r="A132" s="64" t="s">
        <v>8178</v>
      </c>
      <c r="B132" s="77" t="s">
        <v>807</v>
      </c>
      <c r="C132" s="140" t="s">
        <v>808</v>
      </c>
      <c r="D132" s="140"/>
      <c r="E132" s="86"/>
      <c r="F132" s="87"/>
      <c r="G132" s="87"/>
      <c r="H132" s="88"/>
      <c r="I132" s="88"/>
    </row>
    <row r="133" spans="1:9" ht="13">
      <c r="A133" s="64" t="s">
        <v>8179</v>
      </c>
      <c r="B133" s="77" t="s">
        <v>807</v>
      </c>
      <c r="C133" s="140" t="s">
        <v>808</v>
      </c>
      <c r="D133" s="140"/>
      <c r="E133" s="86"/>
      <c r="F133" s="87"/>
      <c r="G133" s="87"/>
      <c r="H133" s="88"/>
      <c r="I133" s="88"/>
    </row>
    <row r="134" spans="1:9" ht="13">
      <c r="A134" s="64" t="s">
        <v>8180</v>
      </c>
      <c r="B134" s="77" t="s">
        <v>3169</v>
      </c>
      <c r="C134" s="140" t="s">
        <v>808</v>
      </c>
      <c r="D134" s="140"/>
      <c r="E134" s="87"/>
      <c r="F134" s="87"/>
      <c r="G134" s="87"/>
      <c r="H134" s="88"/>
      <c r="I134" s="88"/>
    </row>
    <row r="135" spans="1:9" ht="13">
      <c r="A135" s="64" t="s">
        <v>8181</v>
      </c>
      <c r="B135" s="77" t="s">
        <v>810</v>
      </c>
      <c r="C135" s="140" t="s">
        <v>808</v>
      </c>
      <c r="D135" s="140"/>
      <c r="E135" s="86"/>
      <c r="F135" s="87"/>
      <c r="G135" s="87"/>
      <c r="H135" s="88"/>
      <c r="I135" s="88"/>
    </row>
    <row r="136" spans="1:9" ht="13">
      <c r="A136" s="64" t="s">
        <v>8182</v>
      </c>
      <c r="B136" s="78" t="str">
        <f>HYPERLINK("https://bulbapedia.bulbagarden.net/wiki/Weavile-GX_(Unified_Minds_132)","WeavileGX")</f>
        <v>WeavileGX</v>
      </c>
      <c r="C136" s="140" t="s">
        <v>808</v>
      </c>
      <c r="D136" s="140"/>
      <c r="E136" s="87"/>
      <c r="F136" s="87"/>
      <c r="G136" s="87"/>
      <c r="H136" s="88"/>
      <c r="I136" s="88"/>
    </row>
    <row r="137" spans="1:9" ht="13">
      <c r="A137" s="64" t="s">
        <v>8183</v>
      </c>
      <c r="B137" s="77" t="s">
        <v>1370</v>
      </c>
      <c r="C137" s="140" t="s">
        <v>808</v>
      </c>
      <c r="D137" s="140"/>
      <c r="E137" s="86"/>
      <c r="F137" s="87"/>
      <c r="G137" s="87"/>
      <c r="H137" s="88"/>
      <c r="I137" s="88"/>
    </row>
    <row r="138" spans="1:9" ht="13">
      <c r="A138" s="64" t="s">
        <v>8184</v>
      </c>
      <c r="B138" s="77" t="s">
        <v>3124</v>
      </c>
      <c r="C138" s="140" t="s">
        <v>808</v>
      </c>
      <c r="D138" s="140"/>
      <c r="E138" s="87"/>
      <c r="F138" s="87"/>
      <c r="G138" s="87"/>
      <c r="H138" s="88"/>
      <c r="I138" s="88"/>
    </row>
    <row r="139" spans="1:9" ht="13">
      <c r="A139" s="64" t="s">
        <v>8185</v>
      </c>
      <c r="B139" s="77" t="s">
        <v>4188</v>
      </c>
      <c r="C139" s="140" t="s">
        <v>808</v>
      </c>
      <c r="D139" s="140"/>
      <c r="E139" s="86"/>
      <c r="F139" s="86"/>
      <c r="G139" s="87"/>
      <c r="H139" s="88"/>
      <c r="I139" s="88"/>
    </row>
    <row r="140" spans="1:9" ht="13">
      <c r="A140" s="64" t="s">
        <v>8186</v>
      </c>
      <c r="B140" s="77" t="s">
        <v>4445</v>
      </c>
      <c r="C140" s="140" t="s">
        <v>808</v>
      </c>
      <c r="D140" s="140"/>
      <c r="E140" s="86"/>
      <c r="F140" s="87"/>
      <c r="G140" s="87"/>
      <c r="H140" s="88"/>
      <c r="I140" s="88"/>
    </row>
    <row r="141" spans="1:9" ht="13">
      <c r="A141" s="64" t="s">
        <v>8187</v>
      </c>
      <c r="B141" s="77" t="s">
        <v>4132</v>
      </c>
      <c r="C141" s="140" t="s">
        <v>808</v>
      </c>
      <c r="D141" s="140"/>
      <c r="E141" s="86"/>
      <c r="F141" s="87"/>
      <c r="G141" s="87"/>
      <c r="H141" s="88"/>
      <c r="I141" s="88"/>
    </row>
    <row r="142" spans="1:9" ht="13">
      <c r="A142" s="64" t="s">
        <v>8188</v>
      </c>
      <c r="B142" s="77" t="s">
        <v>4133</v>
      </c>
      <c r="C142" s="140" t="s">
        <v>808</v>
      </c>
      <c r="D142" s="140"/>
      <c r="E142" s="86"/>
      <c r="F142" s="89"/>
      <c r="G142" s="87"/>
      <c r="H142" s="88"/>
      <c r="I142" s="88"/>
    </row>
    <row r="143" spans="1:9" ht="13">
      <c r="A143" s="64" t="s">
        <v>8189</v>
      </c>
      <c r="B143" s="77" t="s">
        <v>4747</v>
      </c>
      <c r="C143" s="140" t="s">
        <v>808</v>
      </c>
      <c r="D143" s="141"/>
      <c r="E143" s="86"/>
      <c r="F143" s="89"/>
      <c r="G143" s="87"/>
      <c r="H143" s="88"/>
      <c r="I143" s="88"/>
    </row>
    <row r="144" spans="1:9" ht="13">
      <c r="A144" s="64" t="s">
        <v>8190</v>
      </c>
      <c r="B144" s="77" t="s">
        <v>4845</v>
      </c>
      <c r="C144" s="140" t="s">
        <v>808</v>
      </c>
      <c r="D144" s="140"/>
      <c r="E144" s="86"/>
      <c r="F144" s="86"/>
      <c r="G144" s="87"/>
      <c r="H144" s="88"/>
      <c r="I144" s="88"/>
    </row>
    <row r="145" spans="1:9" ht="13">
      <c r="A145" s="64" t="s">
        <v>8191</v>
      </c>
      <c r="B145" s="78" t="str">
        <f>HYPERLINK("https://bulbapedia.bulbagarden.net/wiki/Mawile-GX_(Unified_Minds_141)","MawileGX")</f>
        <v>MawileGX</v>
      </c>
      <c r="C145" s="140" t="s">
        <v>220</v>
      </c>
      <c r="D145" s="141"/>
      <c r="E145" s="86"/>
      <c r="F145" s="86"/>
      <c r="G145" s="87"/>
      <c r="H145" s="88"/>
      <c r="I145" s="88"/>
    </row>
    <row r="146" spans="1:9" ht="13">
      <c r="A146" s="64" t="s">
        <v>8192</v>
      </c>
      <c r="B146" s="77" t="s">
        <v>4106</v>
      </c>
      <c r="C146" s="140" t="s">
        <v>220</v>
      </c>
      <c r="D146" s="140"/>
      <c r="E146" s="86"/>
      <c r="F146" s="87"/>
      <c r="G146" s="87"/>
      <c r="H146" s="88"/>
      <c r="I146" s="88"/>
    </row>
    <row r="147" spans="1:9" ht="13">
      <c r="A147" s="64" t="s">
        <v>8193</v>
      </c>
      <c r="B147" s="77" t="s">
        <v>4356</v>
      </c>
      <c r="C147" s="140" t="s">
        <v>4743</v>
      </c>
      <c r="D147" s="140"/>
      <c r="E147" s="86"/>
      <c r="F147" s="87"/>
      <c r="G147" s="87"/>
      <c r="H147" s="88"/>
      <c r="I147" s="88"/>
    </row>
    <row r="148" spans="1:9" ht="13">
      <c r="A148" s="64" t="s">
        <v>8194</v>
      </c>
      <c r="B148" s="77" t="s">
        <v>4358</v>
      </c>
      <c r="C148" s="140" t="s">
        <v>4743</v>
      </c>
      <c r="D148" s="140"/>
      <c r="E148" s="87"/>
      <c r="F148" s="87"/>
      <c r="G148" s="87"/>
      <c r="H148" s="88"/>
      <c r="I148" s="88"/>
    </row>
    <row r="149" spans="1:9" ht="13">
      <c r="A149" s="64" t="s">
        <v>8195</v>
      </c>
      <c r="B149" s="77" t="s">
        <v>5120</v>
      </c>
      <c r="C149" s="140" t="s">
        <v>4743</v>
      </c>
      <c r="D149" s="140"/>
      <c r="E149" s="87"/>
      <c r="F149" s="86"/>
      <c r="G149" s="87"/>
      <c r="H149" s="88"/>
      <c r="I149" s="88"/>
    </row>
    <row r="150" spans="1:9" ht="13">
      <c r="A150" s="64" t="s">
        <v>8196</v>
      </c>
      <c r="B150" s="78" t="str">
        <f>HYPERLINK("https://bulbapedia.bulbagarden.net/wiki/Garchomp_%26_Giratina-GX_(Unified_Minds_146)","Garchomp &amp; GiratinaGX")</f>
        <v>Garchomp &amp; GiratinaGX</v>
      </c>
      <c r="C150" s="140" t="s">
        <v>4285</v>
      </c>
      <c r="D150" s="141"/>
      <c r="E150" s="89"/>
      <c r="F150" s="87"/>
      <c r="G150" s="87"/>
      <c r="H150" s="88"/>
      <c r="I150" s="88"/>
    </row>
    <row r="151" spans="1:9" ht="13">
      <c r="A151" s="64" t="s">
        <v>8197</v>
      </c>
      <c r="B151" s="77" t="s">
        <v>260</v>
      </c>
      <c r="C151" s="140" t="s">
        <v>4285</v>
      </c>
      <c r="D151" s="140"/>
      <c r="E151" s="86"/>
      <c r="F151" s="87"/>
      <c r="G151" s="87"/>
      <c r="H151" s="88"/>
      <c r="I151" s="88"/>
    </row>
    <row r="152" spans="1:9" ht="13">
      <c r="A152" s="64" t="s">
        <v>8198</v>
      </c>
      <c r="B152" s="77" t="s">
        <v>260</v>
      </c>
      <c r="C152" s="140" t="s">
        <v>4285</v>
      </c>
      <c r="D152" s="140"/>
      <c r="E152" s="86"/>
      <c r="F152" s="87"/>
      <c r="G152" s="87"/>
      <c r="H152" s="88"/>
      <c r="I152" s="88"/>
    </row>
    <row r="153" spans="1:9" ht="13">
      <c r="A153" s="64" t="s">
        <v>8199</v>
      </c>
      <c r="B153" s="77" t="s">
        <v>254</v>
      </c>
      <c r="C153" s="140" t="s">
        <v>4285</v>
      </c>
      <c r="D153" s="140"/>
      <c r="E153" s="86"/>
      <c r="F153" s="87"/>
      <c r="G153" s="87"/>
      <c r="H153" s="88"/>
      <c r="I153" s="88"/>
    </row>
    <row r="154" spans="1:9" ht="13">
      <c r="A154" s="64" t="s">
        <v>8200</v>
      </c>
      <c r="B154" s="77" t="s">
        <v>254</v>
      </c>
      <c r="C154" s="140" t="s">
        <v>4285</v>
      </c>
      <c r="D154" s="140"/>
      <c r="E154" s="86"/>
      <c r="F154" s="87"/>
      <c r="G154" s="87"/>
      <c r="H154" s="88"/>
      <c r="I154" s="88"/>
    </row>
    <row r="155" spans="1:9" ht="13">
      <c r="A155" s="64" t="s">
        <v>8201</v>
      </c>
      <c r="B155" s="77" t="s">
        <v>196</v>
      </c>
      <c r="C155" s="140" t="s">
        <v>4285</v>
      </c>
      <c r="D155" s="140"/>
      <c r="E155" s="86"/>
      <c r="F155" s="86"/>
      <c r="G155" s="87"/>
      <c r="H155" s="88"/>
      <c r="I155" s="88"/>
    </row>
    <row r="156" spans="1:9" ht="13">
      <c r="A156" s="64" t="s">
        <v>8202</v>
      </c>
      <c r="B156" s="78" t="str">
        <f>HYPERLINK("https://bulbapedia.bulbagarden.net/wiki/Dragonite-GX_(Unified_Minds_152)","DragoniteGX")</f>
        <v>DragoniteGX</v>
      </c>
      <c r="C156" s="140" t="s">
        <v>4285</v>
      </c>
      <c r="D156" s="140"/>
      <c r="E156" s="86"/>
      <c r="F156" s="87"/>
      <c r="G156" s="87"/>
      <c r="H156" s="88"/>
      <c r="I156" s="88"/>
    </row>
    <row r="157" spans="1:9" ht="13">
      <c r="A157" s="64" t="s">
        <v>8203</v>
      </c>
      <c r="B157" s="77" t="s">
        <v>1193</v>
      </c>
      <c r="C157" s="140" t="s">
        <v>4285</v>
      </c>
      <c r="D157" s="140"/>
      <c r="E157" s="87"/>
      <c r="F157" s="86"/>
      <c r="G157" s="87"/>
      <c r="H157" s="88"/>
      <c r="I157" s="88"/>
    </row>
    <row r="158" spans="1:9" ht="13">
      <c r="A158" s="64" t="s">
        <v>8204</v>
      </c>
      <c r="B158" s="77" t="s">
        <v>4109</v>
      </c>
      <c r="C158" s="140" t="s">
        <v>4285</v>
      </c>
      <c r="D158" s="140"/>
      <c r="E158" s="86"/>
      <c r="F158" s="87"/>
      <c r="G158" s="87"/>
      <c r="H158" s="88"/>
      <c r="I158" s="88"/>
    </row>
    <row r="159" spans="1:9" ht="13">
      <c r="A159" s="64" t="s">
        <v>8205</v>
      </c>
      <c r="B159" s="77" t="s">
        <v>4110</v>
      </c>
      <c r="C159" s="140" t="s">
        <v>4285</v>
      </c>
      <c r="D159" s="140"/>
      <c r="E159" s="86"/>
      <c r="F159" s="89"/>
      <c r="G159" s="87"/>
      <c r="H159" s="88"/>
      <c r="I159" s="88"/>
    </row>
    <row r="160" spans="1:9" ht="13">
      <c r="A160" s="64" t="s">
        <v>8206</v>
      </c>
      <c r="B160" s="77" t="s">
        <v>4111</v>
      </c>
      <c r="C160" s="140" t="s">
        <v>4285</v>
      </c>
      <c r="D160" s="141"/>
      <c r="E160" s="87"/>
      <c r="F160" s="87"/>
      <c r="G160" s="87"/>
      <c r="H160" s="88"/>
      <c r="I160" s="88"/>
    </row>
    <row r="161" spans="1:9" ht="13">
      <c r="A161" s="64" t="s">
        <v>8207</v>
      </c>
      <c r="B161" s="77" t="s">
        <v>4112</v>
      </c>
      <c r="C161" s="140" t="s">
        <v>4285</v>
      </c>
      <c r="D161" s="140"/>
      <c r="E161" s="86"/>
      <c r="F161" s="86"/>
      <c r="G161" s="87"/>
      <c r="H161" s="88"/>
      <c r="I161" s="137"/>
    </row>
    <row r="162" spans="1:9" ht="13">
      <c r="A162" s="64" t="s">
        <v>8208</v>
      </c>
      <c r="B162" s="77" t="s">
        <v>5088</v>
      </c>
      <c r="C162" s="140" t="s">
        <v>4285</v>
      </c>
      <c r="D162" s="140"/>
      <c r="E162" s="89"/>
      <c r="F162" s="87"/>
      <c r="G162" s="87"/>
      <c r="H162" s="88"/>
      <c r="I162" s="88"/>
    </row>
    <row r="163" spans="1:9" ht="13">
      <c r="A163" s="64" t="s">
        <v>8209</v>
      </c>
      <c r="B163" s="77" t="s">
        <v>5089</v>
      </c>
      <c r="C163" s="140" t="s">
        <v>4285</v>
      </c>
      <c r="D163" s="140"/>
      <c r="E163" s="89"/>
      <c r="F163" s="86"/>
      <c r="G163" s="87"/>
      <c r="H163" s="88"/>
      <c r="I163" s="88"/>
    </row>
    <row r="164" spans="1:9" ht="13">
      <c r="A164" s="64" t="s">
        <v>8210</v>
      </c>
      <c r="B164" s="78" t="str">
        <f>HYPERLINK("https://bulbapedia.bulbagarden.net/wiki/Naganadel-GX_(Unified_Minds_160)","NaganadelGX")</f>
        <v>NaganadelGX</v>
      </c>
      <c r="C164" s="140" t="s">
        <v>4285</v>
      </c>
      <c r="D164" s="140"/>
      <c r="E164" s="87"/>
      <c r="F164" s="87"/>
      <c r="G164" s="87"/>
      <c r="H164" s="88"/>
      <c r="I164" s="88"/>
    </row>
    <row r="165" spans="1:9" ht="13">
      <c r="A165" s="64" t="s">
        <v>8211</v>
      </c>
      <c r="B165" s="77" t="s">
        <v>336</v>
      </c>
      <c r="C165" s="140" t="s">
        <v>197</v>
      </c>
      <c r="D165" s="140"/>
      <c r="E165" s="87"/>
      <c r="F165" s="87"/>
      <c r="G165" s="87"/>
      <c r="H165" s="88"/>
      <c r="I165" s="88"/>
    </row>
    <row r="166" spans="1:9" ht="13">
      <c r="A166" s="64" t="s">
        <v>8212</v>
      </c>
      <c r="B166" s="77" t="s">
        <v>3317</v>
      </c>
      <c r="C166" s="140" t="s">
        <v>197</v>
      </c>
      <c r="D166" s="140"/>
      <c r="E166" s="86"/>
      <c r="F166" s="87"/>
      <c r="G166" s="87"/>
      <c r="H166" s="88"/>
      <c r="I166" s="88"/>
    </row>
    <row r="167" spans="1:9" ht="13">
      <c r="A167" s="64" t="s">
        <v>8213</v>
      </c>
      <c r="B167" s="77" t="s">
        <v>321</v>
      </c>
      <c r="C167" s="140" t="s">
        <v>197</v>
      </c>
      <c r="D167" s="141"/>
      <c r="E167" s="89"/>
      <c r="F167" s="87"/>
      <c r="G167" s="87"/>
      <c r="H167" s="88"/>
      <c r="I167" s="88"/>
    </row>
    <row r="168" spans="1:9" ht="13">
      <c r="A168" s="64" t="s">
        <v>8214</v>
      </c>
      <c r="B168" s="77" t="s">
        <v>344</v>
      </c>
      <c r="C168" s="140" t="s">
        <v>197</v>
      </c>
      <c r="D168" s="140"/>
      <c r="E168" s="89"/>
      <c r="F168" s="87"/>
      <c r="G168" s="87"/>
      <c r="H168" s="88"/>
      <c r="I168" s="88"/>
    </row>
    <row r="169" spans="1:9" ht="13">
      <c r="A169" s="64" t="s">
        <v>8215</v>
      </c>
      <c r="B169" s="77" t="s">
        <v>869</v>
      </c>
      <c r="C169" s="140" t="s">
        <v>197</v>
      </c>
      <c r="D169" s="140"/>
      <c r="E169" s="86"/>
      <c r="F169" s="87"/>
      <c r="G169" s="87"/>
      <c r="H169" s="88"/>
      <c r="I169" s="88"/>
    </row>
    <row r="170" spans="1:9" ht="13">
      <c r="A170" s="64" t="s">
        <v>8216</v>
      </c>
      <c r="B170" s="77" t="s">
        <v>838</v>
      </c>
      <c r="C170" s="140" t="s">
        <v>197</v>
      </c>
      <c r="D170" s="140"/>
      <c r="E170" s="86"/>
      <c r="F170" s="87"/>
      <c r="G170" s="87"/>
      <c r="H170" s="88"/>
      <c r="I170" s="88"/>
    </row>
    <row r="171" spans="1:9" ht="13">
      <c r="A171" s="64" t="s">
        <v>8217</v>
      </c>
      <c r="B171" s="77" t="s">
        <v>1278</v>
      </c>
      <c r="C171" s="140" t="s">
        <v>197</v>
      </c>
      <c r="D171" s="140"/>
      <c r="E171" s="86"/>
      <c r="F171" s="87"/>
      <c r="G171" s="87"/>
      <c r="H171" s="88"/>
      <c r="I171" s="88"/>
    </row>
    <row r="172" spans="1:9" ht="13">
      <c r="A172" s="64" t="s">
        <v>8218</v>
      </c>
      <c r="B172" s="77" t="s">
        <v>1278</v>
      </c>
      <c r="C172" s="140" t="s">
        <v>197</v>
      </c>
      <c r="D172" s="140"/>
      <c r="E172" s="89"/>
      <c r="F172" s="86"/>
      <c r="G172" s="87"/>
      <c r="H172" s="88"/>
      <c r="I172" s="88"/>
    </row>
    <row r="173" spans="1:9" ht="13">
      <c r="A173" s="64" t="s">
        <v>8219</v>
      </c>
      <c r="B173" s="77" t="s">
        <v>1282</v>
      </c>
      <c r="C173" s="140" t="s">
        <v>197</v>
      </c>
      <c r="D173" s="140"/>
      <c r="E173" s="87"/>
      <c r="F173" s="87"/>
      <c r="G173" s="87"/>
      <c r="H173" s="88"/>
      <c r="I173" s="88"/>
    </row>
    <row r="174" spans="1:9" ht="13">
      <c r="A174" s="64" t="s">
        <v>8220</v>
      </c>
      <c r="B174" s="77" t="s">
        <v>1230</v>
      </c>
      <c r="C174" s="140" t="s">
        <v>197</v>
      </c>
      <c r="D174" s="141"/>
      <c r="E174" s="87"/>
      <c r="F174" s="87"/>
      <c r="G174" s="87"/>
      <c r="H174" s="88"/>
      <c r="I174" s="88"/>
    </row>
    <row r="175" spans="1:9" ht="13">
      <c r="A175" s="64" t="s">
        <v>8221</v>
      </c>
      <c r="B175" s="77" t="s">
        <v>3143</v>
      </c>
      <c r="C175" s="140" t="s">
        <v>197</v>
      </c>
      <c r="D175" s="140"/>
      <c r="E175" s="86"/>
      <c r="F175" s="87"/>
      <c r="G175" s="87"/>
      <c r="H175" s="88"/>
      <c r="I175" s="88"/>
    </row>
    <row r="176" spans="1:9" ht="13">
      <c r="A176" s="64" t="s">
        <v>8222</v>
      </c>
      <c r="B176" s="77" t="s">
        <v>3122</v>
      </c>
      <c r="C176" s="140" t="s">
        <v>197</v>
      </c>
      <c r="D176" s="140"/>
      <c r="E176" s="87"/>
      <c r="F176" s="87"/>
      <c r="G176" s="87"/>
      <c r="H176" s="88"/>
      <c r="I176" s="88"/>
    </row>
    <row r="177" spans="1:9" ht="13">
      <c r="A177" s="64" t="s">
        <v>8223</v>
      </c>
      <c r="B177" s="77" t="s">
        <v>3128</v>
      </c>
      <c r="C177" s="140" t="s">
        <v>197</v>
      </c>
      <c r="D177" s="140"/>
      <c r="E177" s="86"/>
      <c r="F177" s="89"/>
      <c r="G177" s="87"/>
      <c r="H177" s="88"/>
      <c r="I177" s="88"/>
    </row>
    <row r="178" spans="1:9" ht="13">
      <c r="A178" s="64" t="s">
        <v>8224</v>
      </c>
      <c r="B178" s="77" t="s">
        <v>4038</v>
      </c>
      <c r="C178" s="140" t="s">
        <v>197</v>
      </c>
      <c r="D178" s="140"/>
      <c r="E178" s="86"/>
      <c r="F178" s="87"/>
      <c r="G178" s="87"/>
      <c r="H178" s="88"/>
      <c r="I178" s="88"/>
    </row>
    <row r="179" spans="1:9" ht="13">
      <c r="A179" s="64" t="s">
        <v>8225</v>
      </c>
      <c r="B179" s="77" t="s">
        <v>4486</v>
      </c>
      <c r="C179" s="140" t="s">
        <v>197</v>
      </c>
      <c r="D179" s="140"/>
      <c r="E179" s="86"/>
      <c r="F179" s="87"/>
      <c r="G179" s="87"/>
      <c r="H179" s="88"/>
      <c r="I179" s="88"/>
    </row>
    <row r="180" spans="1:9" ht="13">
      <c r="A180" s="64" t="s">
        <v>8226</v>
      </c>
      <c r="B180" s="77" t="s">
        <v>4488</v>
      </c>
      <c r="C180" s="140" t="s">
        <v>197</v>
      </c>
      <c r="D180" s="140"/>
      <c r="E180" s="89"/>
      <c r="F180" s="87"/>
      <c r="G180" s="87"/>
      <c r="H180" s="88"/>
      <c r="I180" s="88"/>
    </row>
    <row r="181" spans="1:9" ht="13">
      <c r="A181" s="64" t="s">
        <v>8227</v>
      </c>
      <c r="B181" s="77" t="s">
        <v>4039</v>
      </c>
      <c r="C181" s="140" t="s">
        <v>197</v>
      </c>
      <c r="D181" s="140"/>
      <c r="E181" s="87"/>
      <c r="F181" s="87"/>
      <c r="G181" s="87"/>
      <c r="H181" s="88"/>
      <c r="I181" s="88"/>
    </row>
    <row r="182" spans="1:9" ht="13">
      <c r="A182" s="64" t="s">
        <v>8228</v>
      </c>
      <c r="B182" s="77" t="s">
        <v>4702</v>
      </c>
      <c r="C182" s="140" t="s">
        <v>197</v>
      </c>
      <c r="D182" s="140"/>
      <c r="E182" s="89"/>
      <c r="F182" s="87"/>
      <c r="G182" s="87"/>
      <c r="H182" s="88"/>
      <c r="I182" s="88"/>
    </row>
    <row r="183" spans="1:9" ht="13">
      <c r="A183" s="64" t="s">
        <v>8229</v>
      </c>
      <c r="B183" s="77" t="s">
        <v>5027</v>
      </c>
      <c r="C183" s="140" t="s">
        <v>197</v>
      </c>
      <c r="D183" s="140"/>
      <c r="E183" s="86"/>
      <c r="F183" s="89"/>
      <c r="G183" s="87"/>
      <c r="H183" s="88"/>
      <c r="I183" s="88"/>
    </row>
    <row r="184" spans="1:9" ht="13">
      <c r="A184" s="64" t="s">
        <v>8230</v>
      </c>
      <c r="B184" s="77" t="s">
        <v>6502</v>
      </c>
      <c r="C184" s="140" t="s">
        <v>197</v>
      </c>
      <c r="D184" s="140"/>
      <c r="E184" s="86"/>
      <c r="F184" s="87"/>
      <c r="G184" s="87"/>
      <c r="H184" s="88"/>
      <c r="I184" s="88"/>
    </row>
    <row r="185" spans="1:9" ht="13">
      <c r="A185" s="64" t="s">
        <v>8231</v>
      </c>
      <c r="B185" s="77" t="s">
        <v>7003</v>
      </c>
      <c r="C185" s="140" t="s">
        <v>197</v>
      </c>
      <c r="D185" s="140"/>
      <c r="E185" s="86"/>
      <c r="F185" s="89"/>
      <c r="G185" s="87"/>
      <c r="H185" s="88"/>
      <c r="I185" s="88"/>
    </row>
    <row r="186" spans="1:9" ht="13">
      <c r="A186" s="64" t="s">
        <v>8232</v>
      </c>
      <c r="B186" s="77" t="s">
        <v>6505</v>
      </c>
      <c r="C186" s="140" t="s">
        <v>197</v>
      </c>
      <c r="D186" s="140"/>
      <c r="E186" s="86"/>
      <c r="F186" s="89"/>
      <c r="G186" s="87"/>
      <c r="H186" s="88"/>
      <c r="I186" s="88"/>
    </row>
    <row r="187" spans="1:9" ht="13">
      <c r="A187" s="64" t="s">
        <v>8233</v>
      </c>
      <c r="B187" s="77" t="s">
        <v>6868</v>
      </c>
      <c r="C187" s="140" t="s">
        <v>197</v>
      </c>
      <c r="D187" s="140"/>
      <c r="E187" s="87"/>
      <c r="F187" s="86"/>
      <c r="G187" s="87"/>
      <c r="H187" s="88"/>
      <c r="I187" s="88"/>
    </row>
    <row r="188" spans="1:9" ht="13">
      <c r="A188" s="64" t="s">
        <v>8234</v>
      </c>
      <c r="B188" s="77" t="s">
        <v>6262</v>
      </c>
      <c r="C188" s="140" t="s">
        <v>197</v>
      </c>
      <c r="D188" s="141"/>
      <c r="E188" s="86"/>
      <c r="F188" s="86"/>
      <c r="G188" s="87"/>
      <c r="H188" s="88"/>
      <c r="I188" s="88"/>
    </row>
    <row r="189" spans="1:9" ht="13">
      <c r="A189" s="64" t="s">
        <v>8235</v>
      </c>
      <c r="B189" s="77" t="s">
        <v>6233</v>
      </c>
      <c r="C189" s="140" t="s">
        <v>197</v>
      </c>
      <c r="D189" s="140"/>
      <c r="E189" s="89"/>
      <c r="F189" s="87"/>
      <c r="G189" s="87"/>
      <c r="H189" s="88"/>
      <c r="I189" s="88"/>
    </row>
    <row r="190" spans="1:9" ht="13">
      <c r="A190" s="64" t="s">
        <v>8236</v>
      </c>
      <c r="B190" s="77" t="s">
        <v>8237</v>
      </c>
      <c r="C190" s="140" t="s">
        <v>1013</v>
      </c>
      <c r="D190" s="140"/>
      <c r="E190" s="86"/>
      <c r="F190" s="86"/>
      <c r="G190" s="87"/>
      <c r="H190" s="88"/>
      <c r="I190" s="88"/>
    </row>
    <row r="191" spans="1:9" ht="13">
      <c r="A191" s="64" t="s">
        <v>8238</v>
      </c>
      <c r="B191" s="77" t="s">
        <v>8239</v>
      </c>
      <c r="C191" s="140" t="s">
        <v>229</v>
      </c>
      <c r="D191" s="140"/>
      <c r="E191" s="89"/>
      <c r="F191" s="87"/>
      <c r="G191" s="87"/>
      <c r="H191" s="88"/>
      <c r="I191" s="88"/>
    </row>
    <row r="192" spans="1:9" ht="13">
      <c r="A192" s="64" t="s">
        <v>8240</v>
      </c>
      <c r="B192" s="77" t="s">
        <v>8241</v>
      </c>
      <c r="C192" s="140" t="s">
        <v>1013</v>
      </c>
      <c r="D192" s="140"/>
      <c r="E192" s="89"/>
      <c r="F192" s="89"/>
      <c r="G192" s="87"/>
      <c r="H192" s="88"/>
      <c r="I192" s="88"/>
    </row>
    <row r="193" spans="1:9" ht="13">
      <c r="A193" s="64" t="s">
        <v>8242</v>
      </c>
      <c r="B193" s="77" t="s">
        <v>8243</v>
      </c>
      <c r="C193" s="140" t="s">
        <v>1013</v>
      </c>
      <c r="D193" s="140"/>
      <c r="E193" s="87"/>
      <c r="F193" s="86"/>
      <c r="G193" s="87"/>
      <c r="H193" s="88"/>
      <c r="I193" s="88"/>
    </row>
    <row r="194" spans="1:9" ht="13">
      <c r="A194" s="64" t="s">
        <v>8244</v>
      </c>
      <c r="B194" s="77" t="s">
        <v>8245</v>
      </c>
      <c r="C194" s="140" t="s">
        <v>1013</v>
      </c>
      <c r="D194" s="140"/>
      <c r="E194" s="87"/>
      <c r="F194" s="89"/>
      <c r="G194" s="87"/>
      <c r="H194" s="88"/>
      <c r="I194" s="88"/>
    </row>
    <row r="195" spans="1:9" ht="13">
      <c r="A195" s="64" t="s">
        <v>8246</v>
      </c>
      <c r="B195" s="77" t="s">
        <v>8247</v>
      </c>
      <c r="C195" s="140" t="s">
        <v>4114</v>
      </c>
      <c r="D195" s="140"/>
      <c r="E195" s="86"/>
      <c r="F195" s="89"/>
      <c r="G195" s="87"/>
      <c r="H195" s="137"/>
      <c r="I195" s="88"/>
    </row>
    <row r="196" spans="1:9" ht="13">
      <c r="A196" s="64" t="s">
        <v>8248</v>
      </c>
      <c r="B196" s="77" t="s">
        <v>8249</v>
      </c>
      <c r="C196" s="140" t="s">
        <v>1013</v>
      </c>
      <c r="D196" s="140"/>
      <c r="E196" s="86"/>
      <c r="F196" s="87"/>
      <c r="G196" s="87"/>
      <c r="H196" s="88"/>
      <c r="I196" s="88"/>
    </row>
    <row r="197" spans="1:9" ht="13">
      <c r="A197" s="64" t="s">
        <v>8250</v>
      </c>
      <c r="B197" s="77" t="s">
        <v>8251</v>
      </c>
      <c r="C197" s="140" t="s">
        <v>229</v>
      </c>
      <c r="D197" s="140"/>
      <c r="E197" s="89"/>
      <c r="F197" s="87"/>
      <c r="G197" s="87"/>
      <c r="H197" s="88"/>
      <c r="I197" s="88"/>
    </row>
    <row r="198" spans="1:9" ht="13">
      <c r="A198" s="64" t="s">
        <v>8252</v>
      </c>
      <c r="B198" s="77" t="s">
        <v>8253</v>
      </c>
      <c r="C198" s="140" t="s">
        <v>4114</v>
      </c>
      <c r="D198" s="140"/>
      <c r="E198" s="87"/>
      <c r="F198" s="87"/>
      <c r="G198" s="87"/>
      <c r="H198" s="88"/>
      <c r="I198" s="88"/>
    </row>
    <row r="199" spans="1:9" ht="13">
      <c r="A199" s="64" t="s">
        <v>8254</v>
      </c>
      <c r="B199" s="77" t="s">
        <v>8255</v>
      </c>
      <c r="C199" s="140" t="s">
        <v>4114</v>
      </c>
      <c r="D199" s="140"/>
      <c r="E199" s="89"/>
      <c r="F199" s="87"/>
      <c r="G199" s="87"/>
      <c r="H199" s="88"/>
      <c r="I199" s="88"/>
    </row>
    <row r="200" spans="1:9" ht="13">
      <c r="A200" s="64" t="s">
        <v>8256</v>
      </c>
      <c r="B200" s="77" t="s">
        <v>8257</v>
      </c>
      <c r="C200" s="140" t="s">
        <v>4114</v>
      </c>
      <c r="D200" s="140"/>
      <c r="E200" s="87"/>
      <c r="F200" s="87"/>
      <c r="G200" s="87"/>
      <c r="H200" s="88"/>
      <c r="I200" s="88"/>
    </row>
    <row r="201" spans="1:9" ht="13">
      <c r="A201" s="64" t="s">
        <v>8258</v>
      </c>
      <c r="B201" s="77" t="s">
        <v>8259</v>
      </c>
      <c r="C201" s="140" t="s">
        <v>229</v>
      </c>
      <c r="D201" s="140"/>
      <c r="E201" s="87"/>
      <c r="F201" s="89"/>
      <c r="G201" s="87"/>
      <c r="H201" s="137"/>
      <c r="I201" s="88"/>
    </row>
    <row r="202" spans="1:9" ht="13">
      <c r="A202" s="64" t="s">
        <v>8260</v>
      </c>
      <c r="B202" s="77" t="s">
        <v>8261</v>
      </c>
      <c r="C202" s="140" t="s">
        <v>4114</v>
      </c>
      <c r="D202" s="140"/>
      <c r="E202" s="87"/>
      <c r="F202" s="87"/>
      <c r="G202" s="87"/>
      <c r="H202" s="88"/>
      <c r="I202" s="88"/>
    </row>
    <row r="203" spans="1:9" ht="13">
      <c r="A203" s="64" t="s">
        <v>8262</v>
      </c>
      <c r="B203" s="77" t="s">
        <v>8263</v>
      </c>
      <c r="C203" s="140" t="s">
        <v>1013</v>
      </c>
      <c r="D203" s="141"/>
      <c r="E203" s="86"/>
      <c r="F203" s="87"/>
      <c r="G203" s="87"/>
      <c r="H203" s="88"/>
      <c r="I203" s="88"/>
    </row>
    <row r="204" spans="1:9" ht="13">
      <c r="A204" s="64" t="s">
        <v>8264</v>
      </c>
      <c r="B204" s="77" t="s">
        <v>8265</v>
      </c>
      <c r="C204" s="140" t="s">
        <v>1013</v>
      </c>
      <c r="D204" s="140"/>
      <c r="E204" s="86"/>
      <c r="F204" s="86"/>
      <c r="G204" s="87"/>
      <c r="H204" s="137"/>
      <c r="I204" s="88"/>
    </row>
    <row r="205" spans="1:9" ht="13">
      <c r="A205" s="64" t="s">
        <v>8266</v>
      </c>
      <c r="B205" s="77" t="s">
        <v>8267</v>
      </c>
      <c r="C205" s="140" t="s">
        <v>4114</v>
      </c>
      <c r="D205" s="140"/>
      <c r="E205" s="87"/>
      <c r="F205" s="87"/>
      <c r="G205" s="87"/>
      <c r="H205" s="88"/>
      <c r="I205" s="88"/>
    </row>
    <row r="206" spans="1:9" ht="13">
      <c r="A206" s="64" t="s">
        <v>8268</v>
      </c>
      <c r="B206" s="77" t="s">
        <v>8269</v>
      </c>
      <c r="C206" s="140" t="s">
        <v>1013</v>
      </c>
      <c r="D206" s="140"/>
      <c r="E206" s="86"/>
      <c r="F206" s="87"/>
      <c r="G206" s="87"/>
      <c r="H206" s="88"/>
      <c r="I206" s="88"/>
    </row>
    <row r="207" spans="1:9" ht="13">
      <c r="A207" s="64" t="s">
        <v>8270</v>
      </c>
      <c r="B207" s="77" t="s">
        <v>8271</v>
      </c>
      <c r="C207" s="140" t="s">
        <v>4114</v>
      </c>
      <c r="D207" s="140"/>
      <c r="E207" s="87"/>
      <c r="F207" s="87"/>
      <c r="G207" s="87"/>
      <c r="H207" s="88"/>
      <c r="I207" s="88"/>
    </row>
    <row r="208" spans="1:9" ht="13">
      <c r="A208" s="64" t="s">
        <v>8272</v>
      </c>
      <c r="B208" s="77" t="s">
        <v>8273</v>
      </c>
      <c r="C208" s="140" t="s">
        <v>1013</v>
      </c>
      <c r="D208" s="140"/>
      <c r="E208" s="86"/>
      <c r="F208" s="87"/>
      <c r="G208" s="87"/>
      <c r="H208" s="88"/>
      <c r="I208" s="88"/>
    </row>
    <row r="209" spans="1:9" ht="13">
      <c r="A209" s="64" t="s">
        <v>8274</v>
      </c>
      <c r="B209" s="77" t="s">
        <v>8275</v>
      </c>
      <c r="C209" s="140" t="s">
        <v>229</v>
      </c>
      <c r="D209" s="140"/>
      <c r="E209" s="86"/>
      <c r="F209" s="87"/>
      <c r="G209" s="87"/>
      <c r="H209" s="88"/>
      <c r="I209" s="88"/>
    </row>
    <row r="210" spans="1:9" ht="13">
      <c r="A210" s="64" t="s">
        <v>8276</v>
      </c>
      <c r="B210" s="77" t="s">
        <v>8277</v>
      </c>
      <c r="C210" s="140" t="s">
        <v>4114</v>
      </c>
      <c r="D210" s="140"/>
      <c r="E210" s="87"/>
      <c r="F210" s="87"/>
      <c r="G210" s="87"/>
      <c r="H210" s="137"/>
      <c r="I210" s="88"/>
    </row>
    <row r="211" spans="1:9" ht="13">
      <c r="A211" s="72" t="s">
        <v>8278</v>
      </c>
      <c r="B211" s="77" t="s">
        <v>8277</v>
      </c>
      <c r="C211" s="140" t="s">
        <v>4114</v>
      </c>
      <c r="D211" s="140"/>
      <c r="E211" s="87"/>
      <c r="F211" s="87"/>
      <c r="G211" s="87"/>
      <c r="H211" s="137"/>
      <c r="I211" s="88"/>
    </row>
    <row r="212" spans="1:9" ht="13">
      <c r="A212" s="64" t="s">
        <v>8279</v>
      </c>
      <c r="B212" s="77" t="s">
        <v>8280</v>
      </c>
      <c r="C212" s="140" t="s">
        <v>229</v>
      </c>
      <c r="D212" s="140"/>
      <c r="E212" s="86"/>
      <c r="F212" s="87"/>
      <c r="G212" s="87"/>
      <c r="H212" s="88"/>
      <c r="I212" s="88"/>
    </row>
    <row r="213" spans="1:9" ht="13">
      <c r="A213" s="64" t="s">
        <v>8281</v>
      </c>
      <c r="B213" s="77" t="s">
        <v>8282</v>
      </c>
      <c r="C213" s="140" t="s">
        <v>4114</v>
      </c>
      <c r="D213" s="140"/>
      <c r="E213" s="86"/>
      <c r="F213" s="87"/>
      <c r="G213" s="87"/>
      <c r="H213" s="88"/>
      <c r="I213" s="88"/>
    </row>
    <row r="214" spans="1:9" ht="13">
      <c r="A214" s="64" t="s">
        <v>8283</v>
      </c>
      <c r="B214" s="77" t="s">
        <v>8284</v>
      </c>
      <c r="C214" s="140" t="s">
        <v>4114</v>
      </c>
      <c r="D214" s="140"/>
      <c r="E214" s="87"/>
      <c r="F214" s="87"/>
      <c r="G214" s="87"/>
      <c r="H214" s="88"/>
      <c r="I214" s="88"/>
    </row>
    <row r="215" spans="1:9" ht="13">
      <c r="A215" s="64" t="s">
        <v>8285</v>
      </c>
      <c r="B215" s="77" t="s">
        <v>7037</v>
      </c>
      <c r="C215" s="140" t="s">
        <v>4114</v>
      </c>
      <c r="D215" s="140"/>
      <c r="E215" s="87"/>
      <c r="F215" s="87"/>
      <c r="G215" s="87"/>
      <c r="H215" s="88"/>
      <c r="I215" s="88"/>
    </row>
    <row r="216" spans="1:9" ht="13">
      <c r="A216" s="64" t="s">
        <v>8286</v>
      </c>
      <c r="B216" s="77" t="s">
        <v>8287</v>
      </c>
      <c r="C216" s="140" t="s">
        <v>4114</v>
      </c>
      <c r="D216" s="140"/>
      <c r="E216" s="87"/>
      <c r="F216" s="87"/>
      <c r="G216" s="87"/>
      <c r="H216" s="88"/>
      <c r="I216" s="88"/>
    </row>
    <row r="217" spans="1:9" ht="13">
      <c r="A217" s="64" t="s">
        <v>8288</v>
      </c>
      <c r="B217" s="77" t="s">
        <v>935</v>
      </c>
      <c r="C217" s="140" t="s">
        <v>317</v>
      </c>
      <c r="D217" s="140"/>
      <c r="E217" s="86"/>
      <c r="F217" s="87"/>
      <c r="G217" s="87"/>
      <c r="H217" s="88"/>
      <c r="I217" s="88"/>
    </row>
    <row r="218" spans="1:9" ht="13">
      <c r="A218" s="64" t="s">
        <v>8289</v>
      </c>
      <c r="B218" s="77" t="s">
        <v>8290</v>
      </c>
      <c r="C218" s="140" t="s">
        <v>317</v>
      </c>
      <c r="D218" s="140"/>
      <c r="E218" s="87"/>
      <c r="F218" s="87"/>
      <c r="G218" s="87"/>
      <c r="H218" s="88"/>
      <c r="I218" s="88"/>
    </row>
    <row r="219" spans="1:9" ht="13">
      <c r="A219" s="64" t="s">
        <v>8291</v>
      </c>
      <c r="B219" s="78" t="str">
        <f>HYPERLINK("https://bulbapedia.bulbagarden.net/wiki/Rowlet_%26_Alolan_Exeggutor-GX_(Unified_Minds_214)","Rowlet &amp; Alolan ExeggutorGX")</f>
        <v>Rowlet &amp; Alolan ExeggutorGX</v>
      </c>
      <c r="C219" s="140" t="s">
        <v>205</v>
      </c>
      <c r="D219" s="141"/>
      <c r="E219" s="87"/>
      <c r="F219" s="86"/>
      <c r="G219" s="87"/>
      <c r="H219" s="88"/>
      <c r="I219" s="88"/>
    </row>
    <row r="220" spans="1:9" ht="13">
      <c r="A220" s="64" t="s">
        <v>8292</v>
      </c>
      <c r="B220" s="78" t="str">
        <f>HYPERLINK("https://bulbapedia.bulbagarden.net/wiki/Rowlet_%26_Alolan_Exeggutor-GX_(Unified_Minds_215)","Rowlet &amp; Alolan ExeggutorGX")</f>
        <v>Rowlet &amp; Alolan ExeggutorGX</v>
      </c>
      <c r="C220" s="140" t="s">
        <v>205</v>
      </c>
      <c r="D220" s="141"/>
      <c r="E220" s="87"/>
      <c r="F220" s="87"/>
      <c r="G220" s="87"/>
      <c r="H220" s="88"/>
      <c r="I220" s="88"/>
    </row>
    <row r="221" spans="1:9" ht="13">
      <c r="A221" s="64" t="s">
        <v>8293</v>
      </c>
      <c r="B221" s="78" t="str">
        <f>HYPERLINK("https://bulbapedia.bulbagarden.net/wiki/Heatran-GX_(Unified_Minds_216)","HeatranGX")</f>
        <v>HeatranGX</v>
      </c>
      <c r="C221" s="140" t="s">
        <v>199</v>
      </c>
      <c r="D221" s="142"/>
      <c r="E221" s="87"/>
      <c r="F221" s="87"/>
      <c r="G221" s="87"/>
      <c r="H221" s="88"/>
      <c r="I221" s="88"/>
    </row>
    <row r="222" spans="1:9" ht="13">
      <c r="A222" s="64" t="s">
        <v>8294</v>
      </c>
      <c r="B222" s="78" t="str">
        <f>HYPERLINK("https://bulbapedia.bulbagarden.net/wiki/Slowpoke_%26_Psyduck-GX_(Unified_Minds_217)","Slowpoke &amp; PsyduckGX")</f>
        <v>Slowpoke &amp; PsyduckGX</v>
      </c>
      <c r="C222" s="140" t="s">
        <v>208</v>
      </c>
      <c r="D222" s="142"/>
      <c r="E222" s="87"/>
      <c r="F222" s="87"/>
      <c r="G222" s="87"/>
      <c r="H222" s="88"/>
      <c r="I222" s="88"/>
    </row>
    <row r="223" spans="1:9" ht="13">
      <c r="A223" s="64" t="s">
        <v>8295</v>
      </c>
      <c r="B223" s="78" t="str">
        <f>HYPERLINK("https://bulbapedia.bulbagarden.net/wiki/Slowpoke_%26_Psyduck-GX_(Unified_Minds_218)","Slowpoke &amp; PsyduckGX")</f>
        <v>Slowpoke &amp; PsyduckGX</v>
      </c>
      <c r="C223" s="140" t="s">
        <v>208</v>
      </c>
      <c r="D223" s="142"/>
      <c r="E223" s="87"/>
      <c r="F223" s="87"/>
      <c r="G223" s="87"/>
      <c r="H223" s="88"/>
      <c r="I223" s="88"/>
    </row>
    <row r="224" spans="1:9" ht="13">
      <c r="A224" s="64" t="s">
        <v>8296</v>
      </c>
      <c r="B224" s="78" t="str">
        <f>HYPERLINK("https://bulbapedia.bulbagarden.net/wiki/Keldeo-GX_(Unified_Minds_219)","KeldeoGX")</f>
        <v>KeldeoGX</v>
      </c>
      <c r="C224" s="140" t="s">
        <v>208</v>
      </c>
      <c r="D224" s="142"/>
      <c r="E224" s="87"/>
      <c r="F224" s="87"/>
      <c r="G224" s="87"/>
      <c r="H224" s="88"/>
      <c r="I224" s="88"/>
    </row>
    <row r="225" spans="1:9" ht="13">
      <c r="A225" s="64" t="s">
        <v>8297</v>
      </c>
      <c r="B225" s="78" t="str">
        <f>HYPERLINK("https://bulbapedia.bulbagarden.net/wiki/Raichu_%26_Alolan_Raichu-GX_(Unified_Minds_220)","Raichu &amp; Alolan RaichuGX")</f>
        <v>Raichu &amp; Alolan RaichuGX</v>
      </c>
      <c r="C225" s="140" t="s">
        <v>192</v>
      </c>
      <c r="D225" s="142"/>
      <c r="E225" s="87"/>
      <c r="F225" s="87"/>
      <c r="G225" s="87"/>
      <c r="H225" s="88"/>
      <c r="I225" s="88"/>
    </row>
    <row r="226" spans="1:9" ht="13">
      <c r="A226" s="64" t="s">
        <v>8298</v>
      </c>
      <c r="B226" s="78" t="str">
        <f>HYPERLINK("https://bulbapedia.bulbagarden.net/wiki/Raichu_%26_Alolan_Raichu-GX_(Unified_Minds_221)","Raichu &amp; Alolan RaichuGX")</f>
        <v>Raichu &amp; Alolan RaichuGX</v>
      </c>
      <c r="C226" s="140" t="s">
        <v>192</v>
      </c>
      <c r="D226" s="141"/>
      <c r="E226" s="87"/>
      <c r="F226" s="87"/>
      <c r="G226" s="87"/>
      <c r="H226" s="88"/>
      <c r="I226" s="88"/>
    </row>
    <row r="227" spans="1:9" ht="13">
      <c r="A227" s="64" t="s">
        <v>8299</v>
      </c>
      <c r="B227" s="78" t="str">
        <f>HYPERLINK("https://bulbapedia.bulbagarden.net/wiki/Mewtwo_%26_Mew-GX_(Unified_Minds_222)","Mewtwo &amp; MewGX")</f>
        <v>Mewtwo &amp; MewGX</v>
      </c>
      <c r="C227" s="140" t="s">
        <v>195</v>
      </c>
      <c r="D227" s="142"/>
      <c r="E227" s="87"/>
      <c r="F227" s="87"/>
      <c r="G227" s="87"/>
      <c r="H227" s="88"/>
      <c r="I227" s="88"/>
    </row>
    <row r="228" spans="1:9" ht="13">
      <c r="A228" s="64" t="s">
        <v>8300</v>
      </c>
      <c r="B228" s="78" t="str">
        <f>HYPERLINK("https://bulbapedia.bulbagarden.net/wiki/Latios-GX_(Unified_Minds_223)","LatiosGX")</f>
        <v>LatiosGX</v>
      </c>
      <c r="C228" s="140" t="s">
        <v>195</v>
      </c>
      <c r="D228" s="140"/>
      <c r="E228" s="87"/>
      <c r="F228" s="87"/>
      <c r="G228" s="87"/>
      <c r="H228" s="88"/>
      <c r="I228" s="88"/>
    </row>
    <row r="229" spans="1:9" ht="13">
      <c r="A229" s="64" t="s">
        <v>8301</v>
      </c>
      <c r="B229" s="78" t="str">
        <f>HYPERLINK("https://bulbapedia.bulbagarden.net/wiki/Aerodactyl-GX_(Unified_Minds_224)","AerodactylGX")</f>
        <v>AerodactylGX</v>
      </c>
      <c r="C229" s="140" t="s">
        <v>225</v>
      </c>
      <c r="D229" s="140"/>
      <c r="E229" s="87"/>
      <c r="F229" s="87"/>
      <c r="G229" s="87"/>
      <c r="H229" s="88"/>
      <c r="I229" s="88"/>
    </row>
    <row r="230" spans="1:9" ht="13">
      <c r="A230" s="64" t="s">
        <v>8302</v>
      </c>
      <c r="B230" s="78" t="str">
        <f>HYPERLINK("https://bulbapedia.bulbagarden.net/wiki/Mega_Sableye_%26_Tyranitar-GX_(Unified_Minds_225)","Mega Sableye &amp; TyranitarGX")</f>
        <v>Mega Sableye &amp; TyranitarGX</v>
      </c>
      <c r="C230" s="140" t="s">
        <v>808</v>
      </c>
      <c r="D230" s="142"/>
      <c r="E230" s="87"/>
      <c r="F230" s="87"/>
      <c r="G230" s="87"/>
      <c r="H230" s="88"/>
      <c r="I230" s="88"/>
    </row>
    <row r="231" spans="1:9" ht="13">
      <c r="A231" s="64" t="s">
        <v>8303</v>
      </c>
      <c r="B231" s="78" t="str">
        <f>HYPERLINK("https://bulbapedia.bulbagarden.net/wiki/Mega_Sableye_%26_Tyranitar-GX_(Unified_Minds_226)","Mega Sableye &amp; TyranitarGX")</f>
        <v>Mega Sableye &amp; TyranitarGX</v>
      </c>
      <c r="C231" s="140" t="s">
        <v>808</v>
      </c>
      <c r="D231" s="140"/>
      <c r="E231" s="87"/>
      <c r="F231" s="87"/>
      <c r="G231" s="87"/>
      <c r="H231" s="88"/>
      <c r="I231" s="88"/>
    </row>
    <row r="232" spans="1:9" ht="13">
      <c r="A232" s="64" t="s">
        <v>8304</v>
      </c>
      <c r="B232" s="78" t="str">
        <f>HYPERLINK("https://bulbapedia.bulbagarden.net/wiki/Mawile-GX_(Unified_Minds_227)","MawileGX")</f>
        <v>MawileGX</v>
      </c>
      <c r="C232" s="140" t="s">
        <v>220</v>
      </c>
      <c r="D232" s="142"/>
      <c r="E232" s="87"/>
      <c r="F232" s="87"/>
      <c r="G232" s="87"/>
      <c r="H232" s="88"/>
      <c r="I232" s="88"/>
    </row>
    <row r="233" spans="1:9" ht="13">
      <c r="A233" s="64" t="s">
        <v>8305</v>
      </c>
      <c r="B233" s="78" t="str">
        <f>HYPERLINK("https://bulbapedia.bulbagarden.net/wiki/Garchomp_%26_Giratina-GX_(Unified_Minds_228)","Garchomp &amp; GiratinaGX")</f>
        <v>Garchomp &amp; GiratinaGX</v>
      </c>
      <c r="C233" s="140" t="s">
        <v>4285</v>
      </c>
      <c r="D233" s="142"/>
      <c r="E233" s="87"/>
      <c r="F233" s="87"/>
      <c r="G233" s="87"/>
      <c r="H233" s="88"/>
      <c r="I233" s="88"/>
    </row>
    <row r="234" spans="1:9" ht="13">
      <c r="A234" s="64" t="s">
        <v>8306</v>
      </c>
      <c r="B234" s="78" t="str">
        <f>HYPERLINK("https://bulbapedia.bulbagarden.net/wiki/Dragonite-GX_(Unified_Minds_229)","DragoniteGX")</f>
        <v>DragoniteGX</v>
      </c>
      <c r="C234" s="140" t="s">
        <v>4285</v>
      </c>
      <c r="D234" s="140"/>
      <c r="E234" s="87"/>
      <c r="F234" s="87"/>
      <c r="G234" s="87"/>
      <c r="H234" s="88"/>
      <c r="I234" s="88"/>
    </row>
    <row r="235" spans="1:9" ht="13">
      <c r="A235" s="64" t="s">
        <v>8307</v>
      </c>
      <c r="B235" s="78" t="str">
        <f>HYPERLINK("https://bulbapedia.bulbagarden.net/wiki/Naganadel-GX_(Unified_Minds_230)","NaganadelGX")</f>
        <v>NaganadelGX</v>
      </c>
      <c r="C235" s="140" t="s">
        <v>4285</v>
      </c>
      <c r="D235" s="141"/>
      <c r="E235" s="87"/>
      <c r="F235" s="87"/>
      <c r="G235" s="87"/>
      <c r="H235" s="88"/>
      <c r="I235" s="88"/>
    </row>
    <row r="236" spans="1:9" ht="13">
      <c r="A236" s="64" t="s">
        <v>8308</v>
      </c>
      <c r="B236" s="77" t="s">
        <v>8241</v>
      </c>
      <c r="C236" s="140" t="s">
        <v>1013</v>
      </c>
      <c r="D236" s="140"/>
      <c r="E236" s="87"/>
      <c r="F236" s="87"/>
      <c r="G236" s="87"/>
      <c r="H236" s="88"/>
      <c r="I236" s="88"/>
    </row>
    <row r="237" spans="1:9" ht="13">
      <c r="A237" s="64" t="s">
        <v>8309</v>
      </c>
      <c r="B237" s="77" t="s">
        <v>8245</v>
      </c>
      <c r="C237" s="140" t="s">
        <v>1013</v>
      </c>
      <c r="D237" s="142"/>
      <c r="E237" s="87"/>
      <c r="F237" s="87"/>
      <c r="G237" s="87"/>
      <c r="H237" s="88"/>
      <c r="I237" s="88"/>
    </row>
    <row r="238" spans="1:9" ht="13">
      <c r="A238" s="64" t="s">
        <v>8310</v>
      </c>
      <c r="B238" s="77" t="s">
        <v>8249</v>
      </c>
      <c r="C238" s="140" t="s">
        <v>1013</v>
      </c>
      <c r="D238" s="142"/>
      <c r="E238" s="87"/>
      <c r="F238" s="87"/>
      <c r="G238" s="87"/>
      <c r="H238" s="88"/>
      <c r="I238" s="88"/>
    </row>
    <row r="239" spans="1:9" ht="13">
      <c r="A239" s="64" t="s">
        <v>8311</v>
      </c>
      <c r="B239" s="77" t="s">
        <v>8263</v>
      </c>
      <c r="C239" s="140" t="s">
        <v>1013</v>
      </c>
      <c r="D239" s="142"/>
      <c r="E239" s="87"/>
      <c r="F239" s="87"/>
      <c r="G239" s="87"/>
      <c r="H239" s="88"/>
      <c r="I239" s="88"/>
    </row>
    <row r="240" spans="1:9" ht="13">
      <c r="A240" s="64" t="s">
        <v>8312</v>
      </c>
      <c r="B240" s="77" t="s">
        <v>8269</v>
      </c>
      <c r="C240" s="140" t="s">
        <v>1013</v>
      </c>
      <c r="D240" s="142"/>
      <c r="E240" s="87"/>
      <c r="F240" s="87"/>
      <c r="G240" s="87"/>
      <c r="H240" s="88"/>
      <c r="I240" s="88"/>
    </row>
    <row r="241" spans="1:9" ht="13">
      <c r="A241" s="64" t="s">
        <v>8313</v>
      </c>
      <c r="B241" s="77" t="s">
        <v>8273</v>
      </c>
      <c r="C241" s="140" t="s">
        <v>1013</v>
      </c>
      <c r="D241" s="141"/>
      <c r="E241" s="87"/>
      <c r="F241" s="86"/>
      <c r="G241" s="87"/>
      <c r="H241" s="88"/>
      <c r="I241" s="88"/>
    </row>
    <row r="242" spans="1:9" ht="13">
      <c r="A242" s="48" t="s">
        <v>8314</v>
      </c>
      <c r="B242" s="58" t="str">
        <f>HYPERLINK("https://bulbapedia.bulbagarden.net/wiki/Rowlet_%26_Alolan_Exeggutor-GX_(Unified_Minds_237)","Rowlet &amp; Alolan ExeggutorGX")</f>
        <v>Rowlet &amp; Alolan ExeggutorGX</v>
      </c>
      <c r="C242" s="48" t="s">
        <v>205</v>
      </c>
      <c r="D242" s="47"/>
      <c r="E242" s="87"/>
      <c r="F242" s="87"/>
      <c r="G242" s="87"/>
      <c r="H242" s="88"/>
      <c r="I242" s="88"/>
    </row>
    <row r="243" spans="1:9" ht="13">
      <c r="A243" s="48" t="s">
        <v>8315</v>
      </c>
      <c r="B243" s="58" t="str">
        <f>HYPERLINK("https://bulbapedia.bulbagarden.net/wiki/Heatran-GX_(Unified_Minds_238)","HeatranGX")</f>
        <v>HeatranGX</v>
      </c>
      <c r="C243" s="48" t="s">
        <v>199</v>
      </c>
      <c r="D243" s="47"/>
      <c r="E243" s="5"/>
      <c r="F243" s="5"/>
      <c r="G243" s="5"/>
    </row>
    <row r="244" spans="1:9" ht="13">
      <c r="A244" s="48" t="s">
        <v>8316</v>
      </c>
      <c r="B244" s="58" t="str">
        <f>HYPERLINK("https://bulbapedia.bulbagarden.net/wiki/Slowpoke_%26_Psyduck-GX_(Unified_Minds_239)","Slowpoke &amp; PsyduckGX")</f>
        <v>Slowpoke &amp; PsyduckGX</v>
      </c>
      <c r="C244" s="48" t="s">
        <v>208</v>
      </c>
      <c r="D244" s="47"/>
      <c r="E244" s="5"/>
      <c r="F244" s="5"/>
      <c r="G244" s="5"/>
    </row>
    <row r="245" spans="1:9" ht="13">
      <c r="A245" s="48" t="s">
        <v>8317</v>
      </c>
      <c r="B245" s="58" t="str">
        <f>HYPERLINK("https://bulbapedia.bulbagarden.net/wiki/Keldeo-GX_(Unified_Minds_240)","KeldeoGX")</f>
        <v>KeldeoGX</v>
      </c>
      <c r="C245" s="48" t="s">
        <v>208</v>
      </c>
      <c r="D245" s="47"/>
      <c r="E245" s="5"/>
      <c r="F245" s="5"/>
      <c r="G245" s="5"/>
    </row>
    <row r="246" spans="1:9" ht="13">
      <c r="A246" s="48" t="s">
        <v>8318</v>
      </c>
      <c r="B246" s="58" t="str">
        <f>HYPERLINK("https://bulbapedia.bulbagarden.net/wiki/Raichu_%26_Alolan_Raichu-GX_(Unified_Minds_241)","Raichu &amp; Alolan RaichuGX")</f>
        <v>Raichu &amp; Alolan RaichuGX</v>
      </c>
      <c r="C246" s="48" t="s">
        <v>192</v>
      </c>
      <c r="D246" s="47"/>
      <c r="E246" s="5"/>
      <c r="F246" s="5"/>
      <c r="G246" s="5"/>
    </row>
    <row r="247" spans="1:9" ht="13">
      <c r="A247" s="48" t="s">
        <v>8319</v>
      </c>
      <c r="B247" s="58" t="str">
        <f>HYPERLINK("https://bulbapedia.bulbagarden.net/wiki/Mewtwo_%26_Mew-GX_(Unified_Minds_242)","Mewtwo &amp; MewGX")</f>
        <v>Mewtwo &amp; MewGX</v>
      </c>
      <c r="C247" s="48" t="s">
        <v>195</v>
      </c>
      <c r="D247" s="48"/>
      <c r="E247" s="5"/>
      <c r="F247" s="5"/>
      <c r="G247" s="5"/>
    </row>
    <row r="248" spans="1:9" ht="13">
      <c r="A248" s="48" t="s">
        <v>8320</v>
      </c>
      <c r="B248" s="58" t="str">
        <f>HYPERLINK("https://bulbapedia.bulbagarden.net/wiki/Latios-GX_(Unified_Minds_243)","LatiosGX")</f>
        <v>LatiosGX</v>
      </c>
      <c r="C248" s="48" t="s">
        <v>195</v>
      </c>
      <c r="D248" s="48"/>
      <c r="E248" s="5"/>
      <c r="F248" s="5"/>
      <c r="G248" s="5"/>
    </row>
    <row r="249" spans="1:9" ht="13">
      <c r="A249" s="48" t="s">
        <v>8321</v>
      </c>
      <c r="B249" s="58" t="str">
        <f>HYPERLINK("https://bulbapedia.bulbagarden.net/wiki/Aerodactyl-GX_(Unified_Minds_244)","AerodactylGX")</f>
        <v>AerodactylGX</v>
      </c>
      <c r="C249" s="48" t="s">
        <v>225</v>
      </c>
      <c r="D249" s="47"/>
      <c r="E249" s="5"/>
      <c r="F249" s="5"/>
      <c r="G249" s="5"/>
    </row>
    <row r="250" spans="1:9" ht="13">
      <c r="A250" s="48" t="s">
        <v>8322</v>
      </c>
      <c r="B250" s="58" t="str">
        <f>HYPERLINK("https://bulbapedia.bulbagarden.net/wiki/Mega_Sableye_%26_Tyranitar-GX_(Unified_Minds_245)","Mega Sableye &amp; TyranitarGX")</f>
        <v>Mega Sableye &amp; TyranitarGX</v>
      </c>
      <c r="C250" s="48" t="s">
        <v>808</v>
      </c>
      <c r="D250" s="47"/>
      <c r="E250" s="5"/>
      <c r="F250" s="5"/>
      <c r="G250" s="5"/>
    </row>
    <row r="251" spans="1:9" ht="13">
      <c r="A251" s="48" t="s">
        <v>8323</v>
      </c>
      <c r="B251" s="58" t="str">
        <f>HYPERLINK("https://bulbapedia.bulbagarden.net/wiki/Mawile-GX_(Unified_Minds_246)","MawileGX")</f>
        <v>MawileGX</v>
      </c>
      <c r="C251" s="48" t="s">
        <v>220</v>
      </c>
      <c r="D251" s="47"/>
      <c r="E251" s="5"/>
      <c r="F251" s="5"/>
      <c r="G251" s="5"/>
    </row>
    <row r="252" spans="1:9" ht="13">
      <c r="A252" s="48" t="s">
        <v>8324</v>
      </c>
      <c r="B252" s="58" t="str">
        <f>HYPERLINK("https://bulbapedia.bulbagarden.net/wiki/Garchomp_%26_Giratina-GX_(Unified_Minds_247)","Garchomp &amp; GiratinaGX")</f>
        <v>Garchomp &amp; GiratinaGX</v>
      </c>
      <c r="C252" s="48" t="s">
        <v>4285</v>
      </c>
      <c r="D252" s="47"/>
      <c r="E252" s="5"/>
      <c r="F252" s="5"/>
      <c r="G252" s="5"/>
    </row>
    <row r="253" spans="1:9" ht="13">
      <c r="A253" s="48" t="s">
        <v>8325</v>
      </c>
      <c r="B253" s="58" t="str">
        <f>HYPERLINK("https://bulbapedia.bulbagarden.net/wiki/Dragonite-GX_(Unified_Minds_248)","DragoniteGX")</f>
        <v>DragoniteGX</v>
      </c>
      <c r="C253" s="48" t="s">
        <v>4285</v>
      </c>
      <c r="D253" s="47"/>
      <c r="E253" s="5"/>
      <c r="F253" s="5"/>
      <c r="G253" s="5"/>
    </row>
    <row r="254" spans="1:9" ht="13">
      <c r="A254" s="48" t="s">
        <v>8326</v>
      </c>
      <c r="B254" s="58" t="str">
        <f>HYPERLINK("https://bulbapedia.bulbagarden.net/wiki/Naganadel-GX_(Unified_Minds_249)","NaganadelGX")</f>
        <v>NaganadelGX</v>
      </c>
      <c r="C254" s="48" t="s">
        <v>4285</v>
      </c>
      <c r="D254" s="48"/>
      <c r="E254" s="5"/>
      <c r="F254" s="5"/>
      <c r="G254" s="5"/>
    </row>
    <row r="255" spans="1:9" ht="13">
      <c r="A255" s="48" t="s">
        <v>8327</v>
      </c>
      <c r="B255" s="49" t="s">
        <v>8247</v>
      </c>
      <c r="C255" s="51" t="s">
        <v>4114</v>
      </c>
      <c r="D255" s="48"/>
      <c r="E255" s="5"/>
      <c r="F255" s="5"/>
      <c r="G255" s="5"/>
      <c r="H255" s="144"/>
    </row>
    <row r="256" spans="1:9" ht="13">
      <c r="A256" s="48" t="s">
        <v>8328</v>
      </c>
      <c r="B256" s="49" t="s">
        <v>8257</v>
      </c>
      <c r="C256" s="51" t="s">
        <v>4114</v>
      </c>
      <c r="D256" s="47"/>
      <c r="E256" s="5"/>
      <c r="F256" s="5"/>
      <c r="G256" s="5"/>
    </row>
    <row r="257" spans="1:7" ht="13">
      <c r="A257" s="48" t="s">
        <v>8329</v>
      </c>
      <c r="B257" s="49" t="s">
        <v>8267</v>
      </c>
      <c r="C257" s="51" t="s">
        <v>4114</v>
      </c>
      <c r="D257" s="47"/>
      <c r="E257" s="5"/>
      <c r="F257" s="5"/>
      <c r="G257" s="5"/>
    </row>
    <row r="258" spans="1:7" ht="13">
      <c r="A258" s="48" t="s">
        <v>8330</v>
      </c>
      <c r="B258" s="49" t="s">
        <v>8277</v>
      </c>
      <c r="C258" s="51" t="s">
        <v>4114</v>
      </c>
      <c r="D258" s="47"/>
      <c r="E258" s="5"/>
      <c r="F258" s="5"/>
      <c r="G258" s="5"/>
    </row>
    <row r="259" spans="1:7" ht="13">
      <c r="A259" s="48" t="s">
        <v>8331</v>
      </c>
      <c r="B259" s="49" t="s">
        <v>8284</v>
      </c>
      <c r="C259" s="51" t="s">
        <v>4114</v>
      </c>
      <c r="D259" s="47"/>
      <c r="E259" s="5"/>
      <c r="F259" s="5"/>
      <c r="G259" s="5"/>
    </row>
    <row r="260" spans="1:7" ht="13">
      <c r="A260" s="48" t="s">
        <v>8332</v>
      </c>
      <c r="B260" s="49" t="s">
        <v>8287</v>
      </c>
      <c r="C260" s="51" t="s">
        <v>4114</v>
      </c>
      <c r="D260" s="47"/>
      <c r="E260" s="5"/>
      <c r="F260" s="5"/>
      <c r="G260" s="5"/>
    </row>
    <row r="261" spans="1:7" ht="13">
      <c r="A261" s="48" t="s">
        <v>8333</v>
      </c>
      <c r="B261" s="49" t="s">
        <v>7977</v>
      </c>
      <c r="C261" s="51" t="s">
        <v>229</v>
      </c>
      <c r="D261" s="47"/>
      <c r="E261" s="5"/>
      <c r="F261" s="5"/>
      <c r="G261" s="5"/>
    </row>
    <row r="262" spans="1:7" ht="13">
      <c r="A262" s="48" t="s">
        <v>8334</v>
      </c>
      <c r="B262" s="49" t="s">
        <v>935</v>
      </c>
      <c r="C262" s="51" t="s">
        <v>317</v>
      </c>
      <c r="D262" s="47"/>
      <c r="E262" s="5"/>
      <c r="F262" s="5"/>
      <c r="G262" s="5"/>
    </row>
    <row r="263" spans="1:7" ht="13">
      <c r="A263" s="48" t="s">
        <v>8335</v>
      </c>
      <c r="B263" s="49" t="s">
        <v>8290</v>
      </c>
      <c r="C263" s="51" t="s">
        <v>317</v>
      </c>
      <c r="D263" s="48"/>
      <c r="E263" s="5"/>
      <c r="F263" s="5"/>
      <c r="G263" s="5"/>
    </row>
    <row r="264" spans="1:7" ht="13">
      <c r="D264" s="5"/>
      <c r="E264" s="5"/>
      <c r="F264" s="5"/>
      <c r="G264" s="5"/>
    </row>
    <row r="265" spans="1:7" ht="13">
      <c r="D265" s="5"/>
      <c r="E265" s="5"/>
      <c r="F265" s="5"/>
      <c r="G265" s="5"/>
    </row>
    <row r="266" spans="1:7" ht="13">
      <c r="D266" s="5"/>
      <c r="E266" s="5"/>
      <c r="F266" s="5"/>
      <c r="G266" s="5"/>
    </row>
    <row r="267" spans="1:7" ht="13">
      <c r="D267" s="5"/>
      <c r="E267" s="5"/>
      <c r="F267" s="5"/>
      <c r="G267" s="5"/>
    </row>
    <row r="268" spans="1:7" ht="13">
      <c r="D268" s="5"/>
      <c r="E268" s="5"/>
      <c r="F268" s="5"/>
      <c r="G268" s="5"/>
    </row>
    <row r="269" spans="1:7" ht="13">
      <c r="D269" s="5"/>
      <c r="E269" s="5"/>
      <c r="F269" s="5"/>
      <c r="G269" s="5"/>
    </row>
    <row r="270" spans="1:7" ht="13">
      <c r="D270" s="5"/>
      <c r="E270" s="5"/>
      <c r="F270" s="5"/>
      <c r="G270" s="5"/>
    </row>
    <row r="271" spans="1:7" ht="13">
      <c r="D271" s="5"/>
      <c r="E271" s="5"/>
      <c r="F271" s="5"/>
      <c r="G271" s="5"/>
    </row>
    <row r="272" spans="1:7" ht="13">
      <c r="D272" s="5"/>
      <c r="E272" s="5"/>
      <c r="F272" s="5"/>
      <c r="G272" s="5"/>
    </row>
    <row r="273" spans="4:7" ht="13">
      <c r="D273" s="5"/>
      <c r="E273" s="5"/>
      <c r="F273" s="5"/>
      <c r="G273" s="5"/>
    </row>
    <row r="274" spans="4:7" ht="13">
      <c r="D274" s="5"/>
      <c r="E274" s="5"/>
      <c r="F274" s="5"/>
      <c r="G274" s="5"/>
    </row>
    <row r="275" spans="4:7" ht="13">
      <c r="D275" s="5"/>
      <c r="E275" s="5"/>
      <c r="F275" s="5"/>
      <c r="G275" s="5"/>
    </row>
    <row r="276" spans="4:7" ht="13">
      <c r="D276" s="5"/>
      <c r="E276" s="5"/>
      <c r="F276" s="5"/>
      <c r="G276" s="5"/>
    </row>
    <row r="277" spans="4:7" ht="13">
      <c r="D277" s="5"/>
      <c r="E277" s="5"/>
      <c r="F277" s="5"/>
      <c r="G277" s="5"/>
    </row>
    <row r="278" spans="4:7" ht="13">
      <c r="D278" s="5"/>
      <c r="E278" s="5"/>
      <c r="F278" s="5"/>
      <c r="G278" s="5"/>
    </row>
    <row r="279" spans="4:7" ht="13">
      <c r="D279" s="5"/>
      <c r="E279" s="5"/>
      <c r="F279" s="5"/>
      <c r="G279" s="5"/>
    </row>
    <row r="280" spans="4:7" ht="13">
      <c r="D280" s="5"/>
      <c r="E280" s="5"/>
      <c r="F280" s="5"/>
      <c r="G280" s="5"/>
    </row>
    <row r="281" spans="4:7" ht="13">
      <c r="D281" s="5"/>
      <c r="E281" s="5"/>
      <c r="F281" s="5"/>
      <c r="G281" s="5"/>
    </row>
    <row r="282" spans="4:7" ht="13">
      <c r="D282" s="5"/>
      <c r="E282" s="5"/>
      <c r="F282" s="5"/>
      <c r="G282" s="5"/>
    </row>
    <row r="283" spans="4:7" ht="13">
      <c r="D283" s="5"/>
      <c r="E283" s="5"/>
      <c r="F283" s="5"/>
      <c r="G283" s="5"/>
    </row>
    <row r="284" spans="4:7" ht="13">
      <c r="D284" s="5"/>
      <c r="E284" s="5"/>
      <c r="F284" s="5"/>
      <c r="G284" s="5"/>
    </row>
    <row r="285" spans="4:7" ht="13">
      <c r="D285" s="5"/>
      <c r="E285" s="5"/>
      <c r="F285" s="5"/>
      <c r="G285" s="5"/>
    </row>
    <row r="286" spans="4:7" ht="13">
      <c r="D286" s="5"/>
      <c r="E286" s="5"/>
      <c r="F286" s="5"/>
      <c r="G286" s="5"/>
    </row>
    <row r="287" spans="4:7" ht="13">
      <c r="D287" s="5"/>
      <c r="E287" s="5"/>
      <c r="F287" s="5"/>
      <c r="G287" s="5"/>
    </row>
    <row r="288" spans="4: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row r="1001" spans="4:7" ht="13">
      <c r="D1001" s="5"/>
      <c r="E1001" s="5"/>
      <c r="F1001" s="5"/>
      <c r="G1001" s="5"/>
    </row>
  </sheetData>
  <hyperlinks>
    <hyperlink ref="B6" r:id="rId1" xr:uid="{00000000-0004-0000-6100-000000000000}"/>
    <hyperlink ref="B7" r:id="rId2" xr:uid="{00000000-0004-0000-6100-000001000000}"/>
    <hyperlink ref="B8" r:id="rId3" xr:uid="{00000000-0004-0000-6100-000002000000}"/>
    <hyperlink ref="B9" r:id="rId4" xr:uid="{00000000-0004-0000-6100-000003000000}"/>
    <hyperlink ref="B10" r:id="rId5" xr:uid="{00000000-0004-0000-6100-000004000000}"/>
    <hyperlink ref="B11" r:id="rId6" xr:uid="{00000000-0004-0000-6100-000005000000}"/>
    <hyperlink ref="B12" r:id="rId7" xr:uid="{00000000-0004-0000-6100-000006000000}"/>
    <hyperlink ref="B13" r:id="rId8" xr:uid="{00000000-0004-0000-6100-000007000000}"/>
    <hyperlink ref="B14" r:id="rId9" xr:uid="{00000000-0004-0000-6100-000008000000}"/>
    <hyperlink ref="B15" r:id="rId10" xr:uid="{00000000-0004-0000-6100-000009000000}"/>
    <hyperlink ref="B16" r:id="rId11" xr:uid="{00000000-0004-0000-6100-00000A000000}"/>
    <hyperlink ref="B17" r:id="rId12" xr:uid="{00000000-0004-0000-6100-00000B000000}"/>
    <hyperlink ref="B18" r:id="rId13" xr:uid="{00000000-0004-0000-6100-00000C000000}"/>
    <hyperlink ref="B19" r:id="rId14" xr:uid="{00000000-0004-0000-6100-00000D000000}"/>
    <hyperlink ref="B20" r:id="rId15" xr:uid="{00000000-0004-0000-6100-00000E000000}"/>
    <hyperlink ref="B21" r:id="rId16" xr:uid="{00000000-0004-0000-6100-00000F000000}"/>
    <hyperlink ref="B22" r:id="rId17" xr:uid="{00000000-0004-0000-6100-000010000000}"/>
    <hyperlink ref="B23" r:id="rId18" xr:uid="{00000000-0004-0000-6100-000011000000}"/>
    <hyperlink ref="B24" r:id="rId19" xr:uid="{00000000-0004-0000-6100-000012000000}"/>
    <hyperlink ref="B25" r:id="rId20" xr:uid="{00000000-0004-0000-6100-000013000000}"/>
    <hyperlink ref="B26" r:id="rId21" xr:uid="{00000000-0004-0000-6100-000014000000}"/>
    <hyperlink ref="B27" r:id="rId22" xr:uid="{00000000-0004-0000-6100-000015000000}"/>
    <hyperlink ref="B28" r:id="rId23" xr:uid="{00000000-0004-0000-6100-000016000000}"/>
    <hyperlink ref="B30" r:id="rId24" xr:uid="{00000000-0004-0000-6100-000017000000}"/>
    <hyperlink ref="B31" r:id="rId25" xr:uid="{00000000-0004-0000-6100-000018000000}"/>
    <hyperlink ref="B32" r:id="rId26" xr:uid="{00000000-0004-0000-6100-000019000000}"/>
    <hyperlink ref="B33" r:id="rId27" xr:uid="{00000000-0004-0000-6100-00001A000000}"/>
    <hyperlink ref="B34" r:id="rId28" xr:uid="{00000000-0004-0000-6100-00001B000000}"/>
    <hyperlink ref="B35" r:id="rId29" xr:uid="{00000000-0004-0000-6100-00001C000000}"/>
    <hyperlink ref="B36" r:id="rId30" xr:uid="{00000000-0004-0000-6100-00001D000000}"/>
    <hyperlink ref="B37" r:id="rId31" xr:uid="{00000000-0004-0000-6100-00001E000000}"/>
    <hyperlink ref="B38" r:id="rId32" xr:uid="{00000000-0004-0000-6100-00001F000000}"/>
    <hyperlink ref="B40" r:id="rId33" xr:uid="{00000000-0004-0000-6100-000020000000}"/>
    <hyperlink ref="B41" r:id="rId34" xr:uid="{00000000-0004-0000-6100-000021000000}"/>
    <hyperlink ref="B42" r:id="rId35" xr:uid="{00000000-0004-0000-6100-000022000000}"/>
    <hyperlink ref="B43" r:id="rId36" xr:uid="{00000000-0004-0000-6100-000023000000}"/>
    <hyperlink ref="B44" r:id="rId37" xr:uid="{00000000-0004-0000-6100-000024000000}"/>
    <hyperlink ref="B45" r:id="rId38" xr:uid="{00000000-0004-0000-6100-000025000000}"/>
    <hyperlink ref="B46" r:id="rId39" xr:uid="{00000000-0004-0000-6100-000026000000}"/>
    <hyperlink ref="B47" r:id="rId40" xr:uid="{00000000-0004-0000-6100-000027000000}"/>
    <hyperlink ref="B48" r:id="rId41" xr:uid="{00000000-0004-0000-6100-000028000000}"/>
    <hyperlink ref="B49" r:id="rId42" xr:uid="{00000000-0004-0000-6100-000029000000}"/>
    <hyperlink ref="B50" r:id="rId43" xr:uid="{00000000-0004-0000-6100-00002A000000}"/>
    <hyperlink ref="B52" r:id="rId44" xr:uid="{00000000-0004-0000-6100-00002B000000}"/>
    <hyperlink ref="B53" r:id="rId45" xr:uid="{00000000-0004-0000-6100-00002C000000}"/>
    <hyperlink ref="B54" r:id="rId46" xr:uid="{00000000-0004-0000-6100-00002D000000}"/>
    <hyperlink ref="B55" r:id="rId47" xr:uid="{00000000-0004-0000-6100-00002E000000}"/>
    <hyperlink ref="B56" r:id="rId48" xr:uid="{00000000-0004-0000-6100-00002F000000}"/>
    <hyperlink ref="B57" r:id="rId49" xr:uid="{00000000-0004-0000-6100-000030000000}"/>
    <hyperlink ref="B59" r:id="rId50" xr:uid="{00000000-0004-0000-6100-000031000000}"/>
    <hyperlink ref="B60" r:id="rId51" xr:uid="{00000000-0004-0000-6100-000032000000}"/>
    <hyperlink ref="B61" r:id="rId52" xr:uid="{00000000-0004-0000-6100-000033000000}"/>
    <hyperlink ref="B62" r:id="rId53" xr:uid="{00000000-0004-0000-6100-000034000000}"/>
    <hyperlink ref="B63" r:id="rId54" xr:uid="{00000000-0004-0000-6100-000035000000}"/>
    <hyperlink ref="B64" r:id="rId55" xr:uid="{00000000-0004-0000-6100-000036000000}"/>
    <hyperlink ref="B65" r:id="rId56" xr:uid="{00000000-0004-0000-6100-000037000000}"/>
    <hyperlink ref="B66" r:id="rId57" xr:uid="{00000000-0004-0000-6100-000038000000}"/>
    <hyperlink ref="B67" r:id="rId58" xr:uid="{00000000-0004-0000-6100-000039000000}"/>
    <hyperlink ref="B68" r:id="rId59" xr:uid="{00000000-0004-0000-6100-00003A000000}"/>
    <hyperlink ref="B69" r:id="rId60" xr:uid="{00000000-0004-0000-6100-00003B000000}"/>
    <hyperlink ref="B70" r:id="rId61" xr:uid="{00000000-0004-0000-6100-00003C000000}"/>
    <hyperlink ref="B71" r:id="rId62" xr:uid="{00000000-0004-0000-6100-00003D000000}"/>
    <hyperlink ref="B72" r:id="rId63" xr:uid="{00000000-0004-0000-6100-00003E000000}"/>
    <hyperlink ref="B73" r:id="rId64" xr:uid="{00000000-0004-0000-6100-00003F000000}"/>
    <hyperlink ref="B74" r:id="rId65" xr:uid="{00000000-0004-0000-6100-000040000000}"/>
    <hyperlink ref="B77" r:id="rId66" xr:uid="{00000000-0004-0000-6100-000041000000}"/>
    <hyperlink ref="B78" r:id="rId67" xr:uid="{00000000-0004-0000-6100-000042000000}"/>
    <hyperlink ref="B79" r:id="rId68" xr:uid="{00000000-0004-0000-6100-000043000000}"/>
    <hyperlink ref="B80" r:id="rId69" xr:uid="{00000000-0004-0000-6100-000044000000}"/>
    <hyperlink ref="B81" r:id="rId70" xr:uid="{00000000-0004-0000-6100-000045000000}"/>
    <hyperlink ref="B84" r:id="rId71" xr:uid="{00000000-0004-0000-6100-000046000000}"/>
    <hyperlink ref="B85" r:id="rId72" xr:uid="{00000000-0004-0000-6100-000047000000}"/>
    <hyperlink ref="B86" r:id="rId73" xr:uid="{00000000-0004-0000-6100-000048000000}"/>
    <hyperlink ref="B87" r:id="rId74" xr:uid="{00000000-0004-0000-6100-000049000000}"/>
    <hyperlink ref="B88" r:id="rId75" xr:uid="{00000000-0004-0000-6100-00004A000000}"/>
    <hyperlink ref="B89" r:id="rId76" xr:uid="{00000000-0004-0000-6100-00004B000000}"/>
    <hyperlink ref="B90" r:id="rId77" xr:uid="{00000000-0004-0000-6100-00004C000000}"/>
    <hyperlink ref="B91" r:id="rId78" xr:uid="{00000000-0004-0000-6100-00004D000000}"/>
    <hyperlink ref="B92" r:id="rId79" xr:uid="{00000000-0004-0000-6100-00004E000000}"/>
    <hyperlink ref="B93" r:id="rId80" xr:uid="{00000000-0004-0000-6100-00004F000000}"/>
    <hyperlink ref="B94" r:id="rId81" xr:uid="{00000000-0004-0000-6100-000050000000}"/>
    <hyperlink ref="B95" r:id="rId82" xr:uid="{00000000-0004-0000-6100-000051000000}"/>
    <hyperlink ref="B96" r:id="rId83" xr:uid="{00000000-0004-0000-6100-000052000000}"/>
    <hyperlink ref="B97" r:id="rId84" xr:uid="{00000000-0004-0000-6100-000053000000}"/>
    <hyperlink ref="B98" r:id="rId85" xr:uid="{00000000-0004-0000-6100-000054000000}"/>
    <hyperlink ref="B99" r:id="rId86" xr:uid="{00000000-0004-0000-6100-000055000000}"/>
    <hyperlink ref="B100" r:id="rId87" xr:uid="{00000000-0004-0000-6100-000056000000}"/>
    <hyperlink ref="B101" r:id="rId88" xr:uid="{00000000-0004-0000-6100-000057000000}"/>
    <hyperlink ref="B102" r:id="rId89" xr:uid="{00000000-0004-0000-6100-000058000000}"/>
    <hyperlink ref="B103" r:id="rId90" xr:uid="{00000000-0004-0000-6100-000059000000}"/>
    <hyperlink ref="B104" r:id="rId91" xr:uid="{00000000-0004-0000-6100-00005A000000}"/>
    <hyperlink ref="B105" r:id="rId92" xr:uid="{00000000-0004-0000-6100-00005B000000}"/>
    <hyperlink ref="B106" r:id="rId93" xr:uid="{00000000-0004-0000-6100-00005C000000}"/>
    <hyperlink ref="B107" r:id="rId94" xr:uid="{00000000-0004-0000-6100-00005D000000}"/>
    <hyperlink ref="B108" r:id="rId95" xr:uid="{00000000-0004-0000-6100-00005E000000}"/>
    <hyperlink ref="B109" r:id="rId96" xr:uid="{00000000-0004-0000-6100-00005F000000}"/>
    <hyperlink ref="B111" r:id="rId97" xr:uid="{00000000-0004-0000-6100-000060000000}"/>
    <hyperlink ref="B112" r:id="rId98" xr:uid="{00000000-0004-0000-6100-000061000000}"/>
    <hyperlink ref="B113" r:id="rId99" xr:uid="{00000000-0004-0000-6100-000062000000}"/>
    <hyperlink ref="B114" r:id="rId100" xr:uid="{00000000-0004-0000-6100-000063000000}"/>
    <hyperlink ref="B115" r:id="rId101" xr:uid="{00000000-0004-0000-6100-000064000000}"/>
    <hyperlink ref="B116" r:id="rId102" xr:uid="{00000000-0004-0000-6100-000065000000}"/>
    <hyperlink ref="B117" r:id="rId103" xr:uid="{00000000-0004-0000-6100-000066000000}"/>
    <hyperlink ref="B118" r:id="rId104" xr:uid="{00000000-0004-0000-6100-000067000000}"/>
    <hyperlink ref="B119" r:id="rId105" xr:uid="{00000000-0004-0000-6100-000068000000}"/>
    <hyperlink ref="B120" r:id="rId106" xr:uid="{00000000-0004-0000-6100-000069000000}"/>
    <hyperlink ref="B121" r:id="rId107" xr:uid="{00000000-0004-0000-6100-00006A000000}"/>
    <hyperlink ref="B122" r:id="rId108" xr:uid="{00000000-0004-0000-6100-00006B000000}"/>
    <hyperlink ref="B123" r:id="rId109" xr:uid="{00000000-0004-0000-6100-00006C000000}"/>
    <hyperlink ref="B124" r:id="rId110" xr:uid="{00000000-0004-0000-6100-00006D000000}"/>
    <hyperlink ref="B125" r:id="rId111" xr:uid="{00000000-0004-0000-6100-00006E000000}"/>
    <hyperlink ref="B126" r:id="rId112" xr:uid="{00000000-0004-0000-6100-00006F000000}"/>
    <hyperlink ref="B127" r:id="rId113" xr:uid="{00000000-0004-0000-6100-000070000000}"/>
    <hyperlink ref="B128" r:id="rId114" xr:uid="{00000000-0004-0000-6100-000071000000}"/>
    <hyperlink ref="B131" r:id="rId115" xr:uid="{00000000-0004-0000-6100-000072000000}"/>
    <hyperlink ref="B132" r:id="rId116" xr:uid="{00000000-0004-0000-6100-000073000000}"/>
    <hyperlink ref="B133" r:id="rId117" xr:uid="{00000000-0004-0000-6100-000074000000}"/>
    <hyperlink ref="B134" r:id="rId118" xr:uid="{00000000-0004-0000-6100-000075000000}"/>
    <hyperlink ref="B135" r:id="rId119" xr:uid="{00000000-0004-0000-6100-000076000000}"/>
    <hyperlink ref="B137" r:id="rId120" xr:uid="{00000000-0004-0000-6100-000077000000}"/>
    <hyperlink ref="B138" r:id="rId121" xr:uid="{00000000-0004-0000-6100-000078000000}"/>
    <hyperlink ref="B139" r:id="rId122" xr:uid="{00000000-0004-0000-6100-000079000000}"/>
    <hyperlink ref="B140" r:id="rId123" xr:uid="{00000000-0004-0000-6100-00007A000000}"/>
    <hyperlink ref="B141" r:id="rId124" xr:uid="{00000000-0004-0000-6100-00007B000000}"/>
    <hyperlink ref="B142" r:id="rId125" xr:uid="{00000000-0004-0000-6100-00007C000000}"/>
    <hyperlink ref="B143" r:id="rId126" xr:uid="{00000000-0004-0000-6100-00007D000000}"/>
    <hyperlink ref="B144" r:id="rId127" xr:uid="{00000000-0004-0000-6100-00007E000000}"/>
    <hyperlink ref="B146" r:id="rId128" xr:uid="{00000000-0004-0000-6100-00007F000000}"/>
    <hyperlink ref="B147" r:id="rId129" xr:uid="{00000000-0004-0000-6100-000080000000}"/>
    <hyperlink ref="B148" r:id="rId130" xr:uid="{00000000-0004-0000-6100-000081000000}"/>
    <hyperlink ref="B149" r:id="rId131" xr:uid="{00000000-0004-0000-6100-000082000000}"/>
    <hyperlink ref="B151" r:id="rId132" xr:uid="{00000000-0004-0000-6100-000083000000}"/>
    <hyperlink ref="B152" r:id="rId133" xr:uid="{00000000-0004-0000-6100-000084000000}"/>
    <hyperlink ref="B153" r:id="rId134" xr:uid="{00000000-0004-0000-6100-000085000000}"/>
    <hyperlink ref="B154" r:id="rId135" xr:uid="{00000000-0004-0000-6100-000086000000}"/>
    <hyperlink ref="B155" r:id="rId136" xr:uid="{00000000-0004-0000-6100-000087000000}"/>
    <hyperlink ref="B157" r:id="rId137" xr:uid="{00000000-0004-0000-6100-000088000000}"/>
    <hyperlink ref="B158" r:id="rId138" xr:uid="{00000000-0004-0000-6100-000089000000}"/>
    <hyperlink ref="B159" r:id="rId139" xr:uid="{00000000-0004-0000-6100-00008A000000}"/>
    <hyperlink ref="B160" r:id="rId140" xr:uid="{00000000-0004-0000-6100-00008B000000}"/>
    <hyperlink ref="B161" r:id="rId141" xr:uid="{00000000-0004-0000-6100-00008C000000}"/>
    <hyperlink ref="B162" r:id="rId142" xr:uid="{00000000-0004-0000-6100-00008D000000}"/>
    <hyperlink ref="B163" r:id="rId143" xr:uid="{00000000-0004-0000-6100-00008E000000}"/>
    <hyperlink ref="B165" r:id="rId144" xr:uid="{00000000-0004-0000-6100-00008F000000}"/>
    <hyperlink ref="B166" r:id="rId145" xr:uid="{00000000-0004-0000-6100-000090000000}"/>
    <hyperlink ref="B167" r:id="rId146" xr:uid="{00000000-0004-0000-6100-000091000000}"/>
    <hyperlink ref="B168" r:id="rId147" xr:uid="{00000000-0004-0000-6100-000092000000}"/>
    <hyperlink ref="B169" r:id="rId148" xr:uid="{00000000-0004-0000-6100-000093000000}"/>
    <hyperlink ref="B170" r:id="rId149" xr:uid="{00000000-0004-0000-6100-000094000000}"/>
    <hyperlink ref="B171" r:id="rId150" xr:uid="{00000000-0004-0000-6100-000095000000}"/>
    <hyperlink ref="B172" r:id="rId151" xr:uid="{00000000-0004-0000-6100-000096000000}"/>
    <hyperlink ref="B173" r:id="rId152" xr:uid="{00000000-0004-0000-6100-000097000000}"/>
    <hyperlink ref="B174" r:id="rId153" xr:uid="{00000000-0004-0000-6100-000098000000}"/>
    <hyperlink ref="B175" r:id="rId154" xr:uid="{00000000-0004-0000-6100-000099000000}"/>
    <hyperlink ref="B176" r:id="rId155" xr:uid="{00000000-0004-0000-6100-00009A000000}"/>
    <hyperlink ref="B177" r:id="rId156" xr:uid="{00000000-0004-0000-6100-00009B000000}"/>
    <hyperlink ref="B178" r:id="rId157" xr:uid="{00000000-0004-0000-6100-00009C000000}"/>
    <hyperlink ref="B179" r:id="rId158" xr:uid="{00000000-0004-0000-6100-00009D000000}"/>
    <hyperlink ref="B180" r:id="rId159" xr:uid="{00000000-0004-0000-6100-00009E000000}"/>
    <hyperlink ref="B181" r:id="rId160" xr:uid="{00000000-0004-0000-6100-00009F000000}"/>
    <hyperlink ref="B182" r:id="rId161" xr:uid="{00000000-0004-0000-6100-0000A0000000}"/>
    <hyperlink ref="B183" r:id="rId162" xr:uid="{00000000-0004-0000-6100-0000A1000000}"/>
    <hyperlink ref="B184" r:id="rId163" xr:uid="{00000000-0004-0000-6100-0000A2000000}"/>
    <hyperlink ref="B185" r:id="rId164" xr:uid="{00000000-0004-0000-6100-0000A3000000}"/>
    <hyperlink ref="B186" r:id="rId165" xr:uid="{00000000-0004-0000-6100-0000A4000000}"/>
    <hyperlink ref="B187" r:id="rId166" xr:uid="{00000000-0004-0000-6100-0000A5000000}"/>
    <hyperlink ref="B188" r:id="rId167" xr:uid="{00000000-0004-0000-6100-0000A6000000}"/>
    <hyperlink ref="B189" r:id="rId168" xr:uid="{00000000-0004-0000-6100-0000A7000000}"/>
    <hyperlink ref="B190" r:id="rId169" xr:uid="{00000000-0004-0000-6100-0000A8000000}"/>
    <hyperlink ref="B191" r:id="rId170" xr:uid="{00000000-0004-0000-6100-0000A9000000}"/>
    <hyperlink ref="B192" r:id="rId171" xr:uid="{00000000-0004-0000-6100-0000AA000000}"/>
    <hyperlink ref="B193" r:id="rId172" xr:uid="{00000000-0004-0000-6100-0000AB000000}"/>
    <hyperlink ref="B194" r:id="rId173" xr:uid="{00000000-0004-0000-6100-0000AC000000}"/>
    <hyperlink ref="B195" r:id="rId174" xr:uid="{00000000-0004-0000-6100-0000AD000000}"/>
    <hyperlink ref="B196" r:id="rId175" xr:uid="{00000000-0004-0000-6100-0000AE000000}"/>
    <hyperlink ref="B197" r:id="rId176" xr:uid="{00000000-0004-0000-6100-0000AF000000}"/>
    <hyperlink ref="B198" r:id="rId177" xr:uid="{00000000-0004-0000-6100-0000B0000000}"/>
    <hyperlink ref="B199" r:id="rId178" xr:uid="{00000000-0004-0000-6100-0000B1000000}"/>
    <hyperlink ref="B200" r:id="rId179" xr:uid="{00000000-0004-0000-6100-0000B2000000}"/>
    <hyperlink ref="B201" r:id="rId180" xr:uid="{00000000-0004-0000-6100-0000B3000000}"/>
    <hyperlink ref="B202" r:id="rId181" xr:uid="{00000000-0004-0000-6100-0000B4000000}"/>
    <hyperlink ref="B203" r:id="rId182" xr:uid="{00000000-0004-0000-6100-0000B5000000}"/>
    <hyperlink ref="B204" r:id="rId183" xr:uid="{00000000-0004-0000-6100-0000B6000000}"/>
    <hyperlink ref="B205" r:id="rId184" xr:uid="{00000000-0004-0000-6100-0000B7000000}"/>
    <hyperlink ref="B206" r:id="rId185" xr:uid="{00000000-0004-0000-6100-0000B8000000}"/>
    <hyperlink ref="B207" r:id="rId186" xr:uid="{00000000-0004-0000-6100-0000B9000000}"/>
    <hyperlink ref="B208" r:id="rId187" xr:uid="{00000000-0004-0000-6100-0000BA000000}"/>
    <hyperlink ref="B209" r:id="rId188" xr:uid="{00000000-0004-0000-6100-0000BB000000}"/>
    <hyperlink ref="B210" r:id="rId189" xr:uid="{00000000-0004-0000-6100-0000BC000000}"/>
    <hyperlink ref="B211" r:id="rId190" xr:uid="{00000000-0004-0000-6100-0000BD000000}"/>
    <hyperlink ref="B212" r:id="rId191" xr:uid="{00000000-0004-0000-6100-0000BE000000}"/>
    <hyperlink ref="B213" r:id="rId192" xr:uid="{00000000-0004-0000-6100-0000BF000000}"/>
    <hyperlink ref="B214" r:id="rId193" xr:uid="{00000000-0004-0000-6100-0000C0000000}"/>
    <hyperlink ref="B215" r:id="rId194" xr:uid="{00000000-0004-0000-6100-0000C1000000}"/>
    <hyperlink ref="B216" r:id="rId195" xr:uid="{00000000-0004-0000-6100-0000C2000000}"/>
    <hyperlink ref="B217" r:id="rId196" xr:uid="{00000000-0004-0000-6100-0000C3000000}"/>
    <hyperlink ref="B218" r:id="rId197" xr:uid="{00000000-0004-0000-6100-0000C4000000}"/>
    <hyperlink ref="B236" r:id="rId198" xr:uid="{00000000-0004-0000-6100-0000C5000000}"/>
    <hyperlink ref="B237" r:id="rId199" xr:uid="{00000000-0004-0000-6100-0000C6000000}"/>
    <hyperlink ref="B238" r:id="rId200" xr:uid="{00000000-0004-0000-6100-0000C7000000}"/>
    <hyperlink ref="B239" r:id="rId201" xr:uid="{00000000-0004-0000-6100-0000C8000000}"/>
    <hyperlink ref="B240" r:id="rId202" xr:uid="{00000000-0004-0000-6100-0000C9000000}"/>
    <hyperlink ref="B241" r:id="rId203" xr:uid="{00000000-0004-0000-6100-0000CA000000}"/>
    <hyperlink ref="B255" r:id="rId204" xr:uid="{00000000-0004-0000-6100-0000CB000000}"/>
    <hyperlink ref="B256" r:id="rId205" xr:uid="{00000000-0004-0000-6100-0000CC000000}"/>
    <hyperlink ref="B257" r:id="rId206" xr:uid="{00000000-0004-0000-6100-0000CD000000}"/>
    <hyperlink ref="B258" r:id="rId207" xr:uid="{00000000-0004-0000-6100-0000CE000000}"/>
    <hyperlink ref="B259" r:id="rId208" xr:uid="{00000000-0004-0000-6100-0000CF000000}"/>
    <hyperlink ref="B260" r:id="rId209" xr:uid="{00000000-0004-0000-6100-0000D0000000}"/>
    <hyperlink ref="B261" r:id="rId210" xr:uid="{00000000-0004-0000-6100-0000D1000000}"/>
    <hyperlink ref="B262" r:id="rId211" xr:uid="{00000000-0004-0000-6100-0000D2000000}"/>
    <hyperlink ref="B263" r:id="rId212" xr:uid="{00000000-0004-0000-6100-0000D3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9">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7.1640625" customWidth="1"/>
    <col min="4" max="4" width="14" customWidth="1"/>
    <col min="5" max="5" width="15.1640625" customWidth="1"/>
  </cols>
  <sheetData>
    <row r="1" spans="1:10" ht="15.75" customHeight="1">
      <c r="A1" s="131" t="s">
        <v>130</v>
      </c>
      <c r="B1" s="88"/>
      <c r="C1" s="132"/>
      <c r="D1" s="81" t="s">
        <v>181</v>
      </c>
      <c r="E1" s="87"/>
      <c r="F1" s="87"/>
      <c r="G1" s="87"/>
      <c r="H1" s="88"/>
      <c r="I1" s="88"/>
    </row>
    <row r="2" spans="1:10" ht="15.75" customHeight="1">
      <c r="A2" s="88" t="s">
        <v>182</v>
      </c>
      <c r="B2" s="139">
        <v>43700</v>
      </c>
      <c r="C2" s="132"/>
      <c r="D2" s="82">
        <f>SUM(D5:G169)</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64" t="s">
        <v>8336</v>
      </c>
      <c r="B5" s="77" t="s">
        <v>277</v>
      </c>
      <c r="C5" s="140" t="s">
        <v>205</v>
      </c>
      <c r="D5" s="140"/>
      <c r="E5" s="87"/>
      <c r="F5" s="86"/>
      <c r="G5" s="87"/>
      <c r="H5" s="88"/>
      <c r="I5" s="88"/>
      <c r="J5" s="88"/>
    </row>
    <row r="6" spans="1:10" ht="15.75" customHeight="1">
      <c r="A6" s="64" t="s">
        <v>8337</v>
      </c>
      <c r="B6" s="77" t="s">
        <v>286</v>
      </c>
      <c r="C6" s="140" t="s">
        <v>205</v>
      </c>
      <c r="D6" s="140"/>
      <c r="E6" s="86"/>
      <c r="F6" s="86"/>
      <c r="G6" s="87"/>
      <c r="H6" s="88"/>
      <c r="I6" s="88"/>
      <c r="J6" s="88"/>
    </row>
    <row r="7" spans="1:10" ht="15.75" customHeight="1">
      <c r="A7" s="64" t="s">
        <v>8338</v>
      </c>
      <c r="B7" s="77" t="s">
        <v>331</v>
      </c>
      <c r="C7" s="140" t="s">
        <v>205</v>
      </c>
      <c r="D7" s="140"/>
      <c r="E7" s="89"/>
      <c r="F7" s="86"/>
      <c r="G7" s="87"/>
      <c r="H7" s="88"/>
      <c r="I7" s="88"/>
    </row>
    <row r="8" spans="1:10" ht="15.75" customHeight="1">
      <c r="A8" s="64" t="s">
        <v>8339</v>
      </c>
      <c r="B8" s="77" t="s">
        <v>353</v>
      </c>
      <c r="C8" s="140" t="s">
        <v>205</v>
      </c>
      <c r="D8" s="140"/>
      <c r="E8" s="86"/>
      <c r="F8" s="86"/>
      <c r="G8" s="87"/>
      <c r="H8" s="88"/>
      <c r="I8" s="88"/>
    </row>
    <row r="9" spans="1:10" ht="15.75" customHeight="1">
      <c r="A9" s="64" t="s">
        <v>8340</v>
      </c>
      <c r="B9" s="77" t="s">
        <v>232</v>
      </c>
      <c r="C9" s="140" t="s">
        <v>205</v>
      </c>
      <c r="D9" s="140"/>
      <c r="E9" s="89"/>
      <c r="F9" s="86"/>
      <c r="G9" s="87"/>
      <c r="H9" s="88"/>
      <c r="I9" s="88"/>
    </row>
    <row r="10" spans="1:10" ht="15.75" customHeight="1">
      <c r="A10" s="64" t="s">
        <v>8341</v>
      </c>
      <c r="B10" s="78" t="str">
        <f>HYPERLINK("https://bulbapedia.bulbagarden.net/wiki/Pinsir-GX_(Hidden_Fates_6)","PinsirGX")</f>
        <v>PinsirGX</v>
      </c>
      <c r="C10" s="140" t="s">
        <v>205</v>
      </c>
      <c r="D10" s="140"/>
      <c r="E10" s="86"/>
      <c r="F10" s="86"/>
      <c r="G10" s="87"/>
      <c r="H10" s="88"/>
      <c r="I10" s="88"/>
    </row>
    <row r="11" spans="1:10" ht="15.75" customHeight="1">
      <c r="A11" s="64" t="s">
        <v>8342</v>
      </c>
      <c r="B11" s="77" t="s">
        <v>278</v>
      </c>
      <c r="C11" s="140" t="s">
        <v>199</v>
      </c>
      <c r="D11" s="140"/>
      <c r="E11" s="86"/>
      <c r="F11" s="86"/>
      <c r="G11" s="87"/>
      <c r="H11" s="88"/>
      <c r="I11" s="88"/>
    </row>
    <row r="12" spans="1:10" ht="15.75" customHeight="1">
      <c r="A12" s="64" t="s">
        <v>8343</v>
      </c>
      <c r="B12" s="77" t="s">
        <v>258</v>
      </c>
      <c r="C12" s="140" t="s">
        <v>199</v>
      </c>
      <c r="D12" s="140"/>
      <c r="E12" s="87"/>
      <c r="F12" s="86"/>
      <c r="G12" s="87"/>
      <c r="H12" s="88"/>
      <c r="I12" s="88"/>
    </row>
    <row r="13" spans="1:10" ht="15.75" customHeight="1">
      <c r="A13" s="64" t="s">
        <v>8344</v>
      </c>
      <c r="B13" s="78" t="str">
        <f>HYPERLINK("https://bulbapedia.bulbagarden.net/wiki/Charizard-GX_(Hidden_Fates_9)","CharizardGX")</f>
        <v>CharizardGX</v>
      </c>
      <c r="C13" s="140" t="s">
        <v>199</v>
      </c>
      <c r="D13" s="140"/>
      <c r="E13" s="89"/>
      <c r="F13" s="87"/>
      <c r="G13" s="87"/>
      <c r="H13" s="88"/>
      <c r="I13" s="88"/>
    </row>
    <row r="14" spans="1:10" ht="15.75" customHeight="1">
      <c r="A14" s="64" t="s">
        <v>8345</v>
      </c>
      <c r="B14" s="77" t="s">
        <v>231</v>
      </c>
      <c r="C14" s="140" t="s">
        <v>199</v>
      </c>
      <c r="D14" s="140"/>
      <c r="E14" s="86"/>
      <c r="F14" s="87"/>
      <c r="G14" s="87"/>
      <c r="H14" s="88"/>
      <c r="I14" s="88"/>
    </row>
    <row r="15" spans="1:10" ht="15.75" customHeight="1">
      <c r="A15" s="64" t="s">
        <v>8346</v>
      </c>
      <c r="B15" s="77" t="s">
        <v>207</v>
      </c>
      <c r="C15" s="140" t="s">
        <v>208</v>
      </c>
      <c r="D15" s="140"/>
      <c r="E15" s="86"/>
      <c r="F15" s="86"/>
      <c r="G15" s="87"/>
      <c r="H15" s="88"/>
      <c r="I15" s="88"/>
    </row>
    <row r="16" spans="1:10" ht="15.75" customHeight="1">
      <c r="A16" s="64" t="s">
        <v>8347</v>
      </c>
      <c r="B16" s="77" t="s">
        <v>387</v>
      </c>
      <c r="C16" s="140" t="s">
        <v>208</v>
      </c>
      <c r="D16" s="140"/>
      <c r="E16" s="86"/>
      <c r="F16" s="86"/>
      <c r="G16" s="87"/>
      <c r="H16" s="88"/>
      <c r="I16" s="88"/>
    </row>
    <row r="17" spans="1:9" ht="15.75" customHeight="1">
      <c r="A17" s="64" t="s">
        <v>8348</v>
      </c>
      <c r="B17" s="77" t="s">
        <v>296</v>
      </c>
      <c r="C17" s="140" t="s">
        <v>208</v>
      </c>
      <c r="D17" s="140"/>
      <c r="E17" s="86"/>
      <c r="F17" s="86"/>
      <c r="G17" s="87"/>
      <c r="H17" s="88"/>
      <c r="I17" s="88"/>
    </row>
    <row r="18" spans="1:9" ht="15.75" customHeight="1">
      <c r="A18" s="64" t="s">
        <v>8349</v>
      </c>
      <c r="B18" s="78" t="str">
        <f>HYPERLINK("https://bulbapedia.bulbagarden.net/wiki/Starmie-GX_(Hidden_Fates_14)","StarmieGX")</f>
        <v>StarmieGX</v>
      </c>
      <c r="C18" s="140" t="s">
        <v>208</v>
      </c>
      <c r="D18" s="141"/>
      <c r="E18" s="86"/>
      <c r="F18" s="86"/>
      <c r="G18" s="87"/>
      <c r="H18" s="88"/>
      <c r="I18" s="88"/>
    </row>
    <row r="19" spans="1:9" ht="15.75" customHeight="1">
      <c r="A19" s="64" t="s">
        <v>8350</v>
      </c>
      <c r="B19" s="77" t="s">
        <v>268</v>
      </c>
      <c r="C19" s="140" t="s">
        <v>208</v>
      </c>
      <c r="D19" s="140"/>
      <c r="E19" s="87"/>
      <c r="F19" s="86"/>
      <c r="G19" s="87"/>
      <c r="H19" s="88"/>
      <c r="I19" s="88"/>
    </row>
    <row r="20" spans="1:9" ht="15.75" customHeight="1">
      <c r="A20" s="64" t="s">
        <v>8351</v>
      </c>
      <c r="B20" s="78" t="str">
        <f>HYPERLINK("https://bulbapedia.bulbagarden.net/wiki/Gyarados-GX_(Hidden_Fates_16)","GyaradosGX")</f>
        <v>GyaradosGX</v>
      </c>
      <c r="C20" s="140" t="s">
        <v>208</v>
      </c>
      <c r="D20" s="140"/>
      <c r="E20" s="89"/>
      <c r="F20" s="86"/>
      <c r="G20" s="87"/>
      <c r="H20" s="88"/>
      <c r="I20" s="88"/>
    </row>
    <row r="21" spans="1:9" ht="15.75" customHeight="1">
      <c r="A21" s="64" t="s">
        <v>8352</v>
      </c>
      <c r="B21" s="77" t="s">
        <v>364</v>
      </c>
      <c r="C21" s="140" t="s">
        <v>208</v>
      </c>
      <c r="D21" s="140"/>
      <c r="E21" s="86"/>
      <c r="F21" s="89"/>
      <c r="G21" s="87"/>
      <c r="H21" s="88"/>
      <c r="I21" s="88"/>
    </row>
    <row r="22" spans="1:9" ht="15.75" customHeight="1">
      <c r="A22" s="64" t="s">
        <v>8353</v>
      </c>
      <c r="B22" s="77" t="s">
        <v>326</v>
      </c>
      <c r="C22" s="140" t="s">
        <v>208</v>
      </c>
      <c r="D22" s="141"/>
      <c r="E22" s="86"/>
      <c r="F22" s="86"/>
      <c r="G22" s="87"/>
      <c r="H22" s="88"/>
      <c r="I22" s="88"/>
    </row>
    <row r="23" spans="1:9" ht="15.75" customHeight="1">
      <c r="A23" s="64" t="s">
        <v>8354</v>
      </c>
      <c r="B23" s="77" t="s">
        <v>191</v>
      </c>
      <c r="C23" s="140" t="s">
        <v>192</v>
      </c>
      <c r="D23" s="140"/>
      <c r="E23" s="51"/>
    </row>
    <row r="24" spans="1:9" ht="15.75" customHeight="1">
      <c r="A24" s="64" t="s">
        <v>8355</v>
      </c>
      <c r="B24" s="78" t="str">
        <f>HYPERLINK("https://bulbapedia.bulbagarden.net/wiki/Raichu-GX_(Hidden_Fates_20)","RaichuGX")</f>
        <v>RaichuGX</v>
      </c>
      <c r="C24" s="140" t="s">
        <v>192</v>
      </c>
      <c r="D24" s="140"/>
      <c r="E24" s="87"/>
      <c r="F24" s="87"/>
      <c r="G24" s="87"/>
      <c r="H24" s="88"/>
      <c r="I24" s="88"/>
    </row>
    <row r="25" spans="1:9" ht="15.75" customHeight="1">
      <c r="A25" s="64" t="s">
        <v>8356</v>
      </c>
      <c r="B25" s="77" t="s">
        <v>298</v>
      </c>
      <c r="C25" s="140" t="s">
        <v>192</v>
      </c>
      <c r="D25" s="140"/>
      <c r="E25" s="89"/>
      <c r="F25" s="89"/>
      <c r="G25" s="87"/>
      <c r="H25" s="88"/>
      <c r="I25" s="88"/>
    </row>
    <row r="26" spans="1:9" ht="15.75" customHeight="1">
      <c r="A26" s="64" t="s">
        <v>8357</v>
      </c>
      <c r="B26" s="77" t="s">
        <v>256</v>
      </c>
      <c r="C26" s="140" t="s">
        <v>192</v>
      </c>
      <c r="D26" s="140"/>
      <c r="E26" s="86"/>
      <c r="F26" s="86"/>
      <c r="G26" s="87"/>
      <c r="H26" s="88"/>
      <c r="I26" s="88"/>
    </row>
    <row r="27" spans="1:9" ht="15.75" customHeight="1">
      <c r="A27" s="64" t="s">
        <v>8358</v>
      </c>
      <c r="B27" s="77" t="s">
        <v>320</v>
      </c>
      <c r="C27" s="140" t="s">
        <v>192</v>
      </c>
      <c r="D27" s="140"/>
      <c r="E27" s="87"/>
      <c r="F27" s="89"/>
      <c r="G27" s="87"/>
      <c r="H27" s="88"/>
      <c r="I27" s="88"/>
    </row>
    <row r="28" spans="1:9" ht="15.75" customHeight="1">
      <c r="A28" s="64" t="s">
        <v>8359</v>
      </c>
      <c r="B28" s="77" t="s">
        <v>211</v>
      </c>
      <c r="C28" s="140" t="s">
        <v>192</v>
      </c>
      <c r="D28" s="141"/>
      <c r="E28" s="86"/>
      <c r="F28" s="86"/>
      <c r="G28" s="87"/>
      <c r="H28" s="88"/>
      <c r="I28" s="88"/>
    </row>
    <row r="29" spans="1:9" ht="15.75" customHeight="1">
      <c r="A29" s="64" t="s">
        <v>8360</v>
      </c>
      <c r="B29" s="77" t="s">
        <v>379</v>
      </c>
      <c r="C29" s="140" t="s">
        <v>195</v>
      </c>
      <c r="D29" s="140"/>
      <c r="E29" s="86"/>
      <c r="F29" s="87"/>
      <c r="G29" s="87"/>
      <c r="H29" s="88"/>
      <c r="I29" s="88"/>
    </row>
    <row r="30" spans="1:9" ht="15.75" customHeight="1">
      <c r="A30" s="64" t="s">
        <v>8361</v>
      </c>
      <c r="B30" s="77" t="s">
        <v>379</v>
      </c>
      <c r="C30" s="140" t="s">
        <v>195</v>
      </c>
      <c r="D30" s="140"/>
      <c r="E30" s="86"/>
      <c r="F30" s="87"/>
      <c r="G30" s="87"/>
      <c r="H30" s="88"/>
      <c r="I30" s="88"/>
    </row>
    <row r="31" spans="1:9" ht="15.75" customHeight="1">
      <c r="A31" s="64" t="s">
        <v>8362</v>
      </c>
      <c r="B31" s="77" t="s">
        <v>366</v>
      </c>
      <c r="C31" s="140" t="s">
        <v>195</v>
      </c>
      <c r="D31" s="140"/>
      <c r="E31" s="86"/>
      <c r="F31" s="87"/>
      <c r="G31" s="87"/>
      <c r="H31" s="88"/>
      <c r="I31" s="88"/>
    </row>
    <row r="32" spans="1:9" ht="15.75" customHeight="1">
      <c r="A32" s="64" t="s">
        <v>8363</v>
      </c>
      <c r="B32" s="77" t="s">
        <v>283</v>
      </c>
      <c r="C32" s="140" t="s">
        <v>195</v>
      </c>
      <c r="D32" s="140"/>
      <c r="E32" s="86"/>
      <c r="F32" s="87"/>
      <c r="G32" s="87"/>
      <c r="H32" s="88"/>
      <c r="I32" s="88"/>
    </row>
    <row r="33" spans="1:9" ht="15.75" customHeight="1">
      <c r="A33" s="64" t="s">
        <v>8364</v>
      </c>
      <c r="B33" s="77" t="s">
        <v>378</v>
      </c>
      <c r="C33" s="140" t="s">
        <v>195</v>
      </c>
      <c r="D33" s="140"/>
      <c r="E33" s="86"/>
      <c r="F33" s="87"/>
      <c r="G33" s="87"/>
      <c r="H33" s="88"/>
      <c r="I33" s="88"/>
    </row>
    <row r="34" spans="1:9" ht="15.75" customHeight="1">
      <c r="A34" s="64" t="s">
        <v>8365</v>
      </c>
      <c r="B34" s="77" t="s">
        <v>265</v>
      </c>
      <c r="C34" s="140" t="s">
        <v>195</v>
      </c>
      <c r="D34" s="140"/>
      <c r="E34" s="86"/>
      <c r="F34" s="87"/>
      <c r="G34" s="87"/>
      <c r="H34" s="88"/>
      <c r="I34" s="88"/>
    </row>
    <row r="35" spans="1:9" ht="15.75" customHeight="1">
      <c r="A35" s="64" t="s">
        <v>8366</v>
      </c>
      <c r="B35" s="78" t="str">
        <f>HYPERLINK("https://bulbapedia.bulbagarden.net/wiki/Mewtwo-GX_(Hidden_Fates_31)","MewtwoGX")</f>
        <v>MewtwoGX</v>
      </c>
      <c r="C35" s="140" t="s">
        <v>195</v>
      </c>
      <c r="D35" s="140"/>
      <c r="E35" s="86"/>
      <c r="F35" s="87"/>
      <c r="G35" s="87"/>
      <c r="H35" s="88"/>
      <c r="I35" s="88"/>
    </row>
    <row r="36" spans="1:9" ht="15.75" customHeight="1">
      <c r="A36" s="64" t="s">
        <v>8367</v>
      </c>
      <c r="B36" s="77" t="s">
        <v>201</v>
      </c>
      <c r="C36" s="140" t="s">
        <v>195</v>
      </c>
      <c r="D36" s="140"/>
      <c r="E36" s="87"/>
      <c r="F36" s="87"/>
      <c r="G36" s="87"/>
      <c r="H36" s="88"/>
      <c r="I36" s="88"/>
    </row>
    <row r="37" spans="1:9" ht="15.75" customHeight="1">
      <c r="A37" s="64" t="s">
        <v>8368</v>
      </c>
      <c r="B37" s="77" t="s">
        <v>380</v>
      </c>
      <c r="C37" s="140" t="s">
        <v>225</v>
      </c>
      <c r="D37" s="140"/>
      <c r="E37" s="86"/>
      <c r="F37" s="87"/>
      <c r="G37" s="87"/>
      <c r="H37" s="88"/>
      <c r="I37" s="88"/>
    </row>
    <row r="38" spans="1:9" ht="15.75" customHeight="1">
      <c r="A38" s="64" t="s">
        <v>8369</v>
      </c>
      <c r="B38" s="77" t="s">
        <v>371</v>
      </c>
      <c r="C38" s="140" t="s">
        <v>225</v>
      </c>
      <c r="D38" s="140"/>
      <c r="E38" s="86"/>
      <c r="F38" s="87"/>
      <c r="G38" s="87"/>
      <c r="H38" s="88"/>
      <c r="I38" s="88"/>
    </row>
    <row r="39" spans="1:9" ht="15.75" customHeight="1">
      <c r="A39" s="64" t="s">
        <v>8370</v>
      </c>
      <c r="B39" s="77" t="s">
        <v>370</v>
      </c>
      <c r="C39" s="140" t="s">
        <v>225</v>
      </c>
      <c r="D39" s="140"/>
      <c r="E39" s="86"/>
      <c r="F39" s="87"/>
      <c r="G39" s="87"/>
      <c r="H39" s="88"/>
      <c r="I39" s="88"/>
    </row>
    <row r="40" spans="1:9" ht="15.75" customHeight="1">
      <c r="A40" s="64" t="s">
        <v>8371</v>
      </c>
      <c r="B40" s="78" t="str">
        <f>HYPERLINK("https://bulbapedia.bulbagarden.net/wiki/Onix-GX_(Hidden_Fates_36)","OnixGX")</f>
        <v>OnixGX</v>
      </c>
      <c r="C40" s="140" t="s">
        <v>225</v>
      </c>
      <c r="D40" s="140"/>
      <c r="E40" s="86"/>
      <c r="F40" s="87"/>
      <c r="G40" s="87"/>
      <c r="H40" s="88"/>
      <c r="I40" s="88"/>
    </row>
    <row r="41" spans="1:9" ht="15.75" customHeight="1">
      <c r="A41" s="64" t="s">
        <v>8372</v>
      </c>
      <c r="B41" s="77" t="s">
        <v>347</v>
      </c>
      <c r="C41" s="140" t="s">
        <v>225</v>
      </c>
      <c r="D41" s="140"/>
      <c r="E41" s="86"/>
      <c r="F41" s="87"/>
      <c r="G41" s="87"/>
      <c r="H41" s="88"/>
      <c r="I41" s="88"/>
    </row>
    <row r="42" spans="1:9" ht="15.75" customHeight="1">
      <c r="A42" s="64" t="s">
        <v>8373</v>
      </c>
      <c r="B42" s="77" t="s">
        <v>244</v>
      </c>
      <c r="C42" s="140" t="s">
        <v>4743</v>
      </c>
      <c r="D42" s="140"/>
      <c r="E42" s="86"/>
      <c r="F42" s="87"/>
      <c r="G42" s="87"/>
      <c r="H42" s="88"/>
      <c r="I42" s="88"/>
    </row>
    <row r="43" spans="1:9" ht="15.75" customHeight="1">
      <c r="A43" s="64" t="s">
        <v>8374</v>
      </c>
      <c r="B43" s="77" t="s">
        <v>244</v>
      </c>
      <c r="C43" s="140" t="s">
        <v>4743</v>
      </c>
      <c r="D43" s="140"/>
      <c r="E43" s="86"/>
      <c r="F43" s="87"/>
      <c r="G43" s="87"/>
      <c r="H43" s="88"/>
      <c r="I43" s="88"/>
    </row>
    <row r="44" spans="1:9" ht="15.75" customHeight="1">
      <c r="A44" s="64" t="s">
        <v>8375</v>
      </c>
      <c r="B44" s="77" t="s">
        <v>318</v>
      </c>
      <c r="C44" s="140" t="s">
        <v>4743</v>
      </c>
      <c r="D44" s="140"/>
      <c r="E44" s="86"/>
      <c r="F44" s="87"/>
      <c r="G44" s="87"/>
      <c r="H44" s="88"/>
      <c r="I44" s="88"/>
    </row>
    <row r="45" spans="1:9" ht="15.75" customHeight="1">
      <c r="A45" s="64" t="s">
        <v>8376</v>
      </c>
      <c r="B45" s="77" t="s">
        <v>200</v>
      </c>
      <c r="C45" s="140" t="s">
        <v>4743</v>
      </c>
      <c r="D45" s="140"/>
      <c r="E45" s="86"/>
      <c r="F45" s="87"/>
      <c r="G45" s="87"/>
      <c r="H45" s="88"/>
      <c r="I45" s="88"/>
    </row>
    <row r="46" spans="1:9" ht="15.75" customHeight="1">
      <c r="A46" s="64" t="s">
        <v>8377</v>
      </c>
      <c r="B46" s="78" t="str">
        <f>HYPERLINK("https://bulbapedia.bulbagarden.net/wiki/Wigglytuff-GX_(Hidden_Fates_42)","WigglytuffGX")</f>
        <v>WigglytuffGX</v>
      </c>
      <c r="C46" s="140" t="s">
        <v>4743</v>
      </c>
      <c r="D46" s="140"/>
      <c r="E46" s="86"/>
      <c r="F46" s="86"/>
      <c r="G46" s="87"/>
      <c r="H46" s="88"/>
      <c r="I46" s="88"/>
    </row>
    <row r="47" spans="1:9" ht="15.75" customHeight="1">
      <c r="A47" s="64" t="s">
        <v>8378</v>
      </c>
      <c r="B47" s="77" t="s">
        <v>322</v>
      </c>
      <c r="C47" s="140" t="s">
        <v>4743</v>
      </c>
      <c r="D47" s="140"/>
      <c r="E47" s="89"/>
      <c r="F47" s="87"/>
      <c r="G47" s="87"/>
      <c r="H47" s="88"/>
      <c r="I47" s="88"/>
    </row>
    <row r="48" spans="1:9" ht="15.75" customHeight="1">
      <c r="A48" s="64" t="s">
        <v>8379</v>
      </c>
      <c r="B48" s="78" t="str">
        <f>HYPERLINK("https://bulbapedia.bulbagarden.net/wiki/Moltres_%26_Zapdos_%26_Articuno-GX_(Hidden_Fates_44)","Moltres &amp; Zapdos &amp; ArticunoGX")</f>
        <v>Moltres &amp; Zapdos &amp; ArticunoGX</v>
      </c>
      <c r="C48" s="140" t="s">
        <v>197</v>
      </c>
      <c r="D48" s="141"/>
      <c r="E48" s="87"/>
      <c r="F48" s="86"/>
      <c r="G48" s="87"/>
      <c r="H48" s="88"/>
      <c r="I48" s="88"/>
    </row>
    <row r="49" spans="1:9" ht="15.75" customHeight="1">
      <c r="A49" s="64" t="s">
        <v>8380</v>
      </c>
      <c r="B49" s="77" t="s">
        <v>261</v>
      </c>
      <c r="C49" s="140" t="s">
        <v>197</v>
      </c>
      <c r="D49" s="140"/>
      <c r="E49" s="87"/>
      <c r="F49" s="87"/>
      <c r="G49" s="87"/>
      <c r="H49" s="88"/>
      <c r="I49" s="88"/>
    </row>
    <row r="50" spans="1:9" ht="15.75" customHeight="1">
      <c r="A50" s="64" t="s">
        <v>8381</v>
      </c>
      <c r="B50" s="77" t="s">
        <v>241</v>
      </c>
      <c r="C50" s="140" t="s">
        <v>197</v>
      </c>
      <c r="D50" s="140"/>
      <c r="E50" s="86"/>
      <c r="F50" s="87"/>
      <c r="G50" s="87"/>
      <c r="H50" s="88"/>
      <c r="I50" s="88"/>
    </row>
    <row r="51" spans="1:9" ht="15.75" customHeight="1">
      <c r="A51" s="64" t="s">
        <v>8382</v>
      </c>
      <c r="B51" s="77" t="s">
        <v>321</v>
      </c>
      <c r="C51" s="140" t="s">
        <v>197</v>
      </c>
      <c r="D51" s="140"/>
      <c r="E51" s="86"/>
      <c r="F51" s="87"/>
      <c r="G51" s="87"/>
      <c r="H51" s="88"/>
      <c r="I51" s="88"/>
    </row>
    <row r="52" spans="1:9" ht="15.75" customHeight="1">
      <c r="A52" s="64" t="s">
        <v>8383</v>
      </c>
      <c r="B52" s="77" t="s">
        <v>203</v>
      </c>
      <c r="C52" s="140" t="s">
        <v>197</v>
      </c>
      <c r="D52" s="141"/>
      <c r="E52" s="86"/>
      <c r="F52" s="86"/>
      <c r="G52" s="87"/>
      <c r="H52" s="88"/>
      <c r="I52" s="88"/>
    </row>
    <row r="53" spans="1:9" ht="13">
      <c r="A53" s="64" t="s">
        <v>8384</v>
      </c>
      <c r="B53" s="77" t="s">
        <v>203</v>
      </c>
      <c r="C53" s="140" t="s">
        <v>197</v>
      </c>
      <c r="D53" s="140"/>
      <c r="E53" s="87"/>
      <c r="F53" s="87"/>
      <c r="G53" s="87"/>
      <c r="H53" s="88"/>
      <c r="I53" s="88"/>
    </row>
    <row r="54" spans="1:9" ht="13">
      <c r="A54" s="64" t="s">
        <v>8385</v>
      </c>
      <c r="B54" s="77" t="s">
        <v>233</v>
      </c>
      <c r="C54" s="140" t="s">
        <v>197</v>
      </c>
      <c r="D54" s="140"/>
      <c r="E54" s="87"/>
      <c r="F54" s="87"/>
      <c r="G54" s="87"/>
      <c r="H54" s="88"/>
      <c r="I54" s="88"/>
    </row>
    <row r="55" spans="1:9" ht="13">
      <c r="A55" s="64" t="s">
        <v>8386</v>
      </c>
      <c r="B55" s="77" t="s">
        <v>7933</v>
      </c>
      <c r="C55" s="140" t="s">
        <v>1013</v>
      </c>
      <c r="D55" s="140"/>
      <c r="E55" s="87"/>
      <c r="F55" s="87"/>
      <c r="G55" s="87"/>
      <c r="H55" s="88"/>
      <c r="I55" s="88"/>
    </row>
    <row r="56" spans="1:9" ht="13">
      <c r="A56" s="64" t="s">
        <v>8387</v>
      </c>
      <c r="B56" s="77" t="s">
        <v>7505</v>
      </c>
      <c r="C56" s="140" t="s">
        <v>1013</v>
      </c>
      <c r="D56" s="140"/>
      <c r="E56" s="86"/>
      <c r="F56" s="86"/>
      <c r="G56" s="87"/>
      <c r="H56" s="88"/>
      <c r="I56" s="88"/>
    </row>
    <row r="57" spans="1:9" ht="13">
      <c r="A57" s="64" t="s">
        <v>8388</v>
      </c>
      <c r="B57" s="77" t="s">
        <v>6169</v>
      </c>
      <c r="C57" s="140" t="s">
        <v>1013</v>
      </c>
      <c r="D57" s="140"/>
      <c r="E57" s="86"/>
      <c r="F57" s="89"/>
      <c r="G57" s="87"/>
      <c r="H57" s="88"/>
      <c r="I57" s="88"/>
    </row>
    <row r="58" spans="1:9" ht="13">
      <c r="A58" s="64" t="s">
        <v>8389</v>
      </c>
      <c r="B58" s="77" t="s">
        <v>8390</v>
      </c>
      <c r="C58" s="140" t="s">
        <v>229</v>
      </c>
      <c r="D58" s="140"/>
      <c r="E58" s="86"/>
      <c r="F58" s="87"/>
      <c r="G58" s="87"/>
      <c r="H58" s="88"/>
      <c r="I58" s="88"/>
    </row>
    <row r="59" spans="1:9" ht="13">
      <c r="A59" s="64" t="s">
        <v>8391</v>
      </c>
      <c r="B59" s="77" t="s">
        <v>8392</v>
      </c>
      <c r="C59" s="140" t="s">
        <v>1013</v>
      </c>
      <c r="D59" s="141"/>
      <c r="E59" s="89"/>
      <c r="F59" s="86"/>
      <c r="G59" s="87"/>
      <c r="H59" s="88"/>
      <c r="I59" s="88"/>
    </row>
    <row r="60" spans="1:9" ht="13">
      <c r="A60" s="64" t="s">
        <v>8393</v>
      </c>
      <c r="B60" s="77" t="s">
        <v>7945</v>
      </c>
      <c r="C60" s="140" t="s">
        <v>1013</v>
      </c>
      <c r="D60" s="140"/>
      <c r="E60" s="86"/>
      <c r="F60" s="87"/>
      <c r="G60" s="87"/>
      <c r="H60" s="88"/>
      <c r="I60" s="88"/>
    </row>
    <row r="61" spans="1:9" ht="13">
      <c r="A61" s="64" t="s">
        <v>8394</v>
      </c>
      <c r="B61" s="77" t="s">
        <v>8032</v>
      </c>
      <c r="C61" s="140" t="s">
        <v>1013</v>
      </c>
      <c r="D61" s="140"/>
      <c r="E61" s="86"/>
      <c r="F61" s="87"/>
      <c r="G61" s="87"/>
      <c r="H61" s="88"/>
      <c r="I61" s="88"/>
    </row>
    <row r="62" spans="1:9" ht="13">
      <c r="A62" s="64" t="s">
        <v>8395</v>
      </c>
      <c r="B62" s="77" t="s">
        <v>8396</v>
      </c>
      <c r="C62" s="140" t="s">
        <v>1013</v>
      </c>
      <c r="D62" s="141"/>
      <c r="E62" s="86"/>
      <c r="F62" s="86"/>
      <c r="G62" s="87"/>
      <c r="H62" s="88"/>
      <c r="I62" s="88"/>
    </row>
    <row r="63" spans="1:9" ht="13">
      <c r="A63" s="64" t="s">
        <v>8397</v>
      </c>
      <c r="B63" s="77" t="s">
        <v>8035</v>
      </c>
      <c r="C63" s="140" t="s">
        <v>1013</v>
      </c>
      <c r="D63" s="140"/>
      <c r="E63" s="86"/>
      <c r="F63" s="87"/>
      <c r="G63" s="87"/>
      <c r="H63" s="88"/>
      <c r="I63" s="88"/>
    </row>
    <row r="64" spans="1:9" ht="13">
      <c r="A64" s="64" t="s">
        <v>8398</v>
      </c>
      <c r="B64" s="77" t="s">
        <v>8036</v>
      </c>
      <c r="C64" s="140" t="s">
        <v>1013</v>
      </c>
      <c r="D64" s="140"/>
      <c r="E64" s="87"/>
      <c r="F64" s="87"/>
      <c r="G64" s="87"/>
      <c r="H64" s="88"/>
      <c r="I64" s="88"/>
    </row>
    <row r="65" spans="1:9" ht="13">
      <c r="A65" s="64" t="s">
        <v>8399</v>
      </c>
      <c r="B65" s="77" t="s">
        <v>8400</v>
      </c>
      <c r="C65" s="140" t="s">
        <v>229</v>
      </c>
      <c r="D65" s="140"/>
      <c r="E65" s="86"/>
      <c r="F65" s="87"/>
      <c r="G65" s="87"/>
      <c r="H65" s="88"/>
      <c r="I65" s="88"/>
    </row>
    <row r="66" spans="1:9" ht="13">
      <c r="A66" s="64" t="s">
        <v>8401</v>
      </c>
      <c r="B66" s="77" t="s">
        <v>5874</v>
      </c>
      <c r="C66" s="140" t="s">
        <v>1013</v>
      </c>
      <c r="D66" s="140"/>
      <c r="E66" s="86"/>
      <c r="F66" s="87"/>
      <c r="G66" s="87"/>
      <c r="H66" s="88"/>
      <c r="I66" s="88"/>
    </row>
    <row r="67" spans="1:9" ht="13">
      <c r="A67" s="64" t="s">
        <v>8402</v>
      </c>
      <c r="B67" s="77" t="s">
        <v>8403</v>
      </c>
      <c r="C67" s="140" t="s">
        <v>1013</v>
      </c>
      <c r="D67" s="141"/>
      <c r="E67" s="86"/>
      <c r="F67" s="86"/>
      <c r="G67" s="87"/>
      <c r="H67" s="88"/>
      <c r="I67" s="88"/>
    </row>
    <row r="68" spans="1:9" ht="13">
      <c r="A68" s="64" t="s">
        <v>8404</v>
      </c>
      <c r="B68" s="77" t="s">
        <v>5109</v>
      </c>
      <c r="C68" s="140" t="s">
        <v>1013</v>
      </c>
      <c r="D68" s="140"/>
      <c r="E68" s="86"/>
      <c r="F68" s="87"/>
      <c r="G68" s="87"/>
      <c r="H68" s="88"/>
      <c r="I68" s="88"/>
    </row>
    <row r="69" spans="1:9" ht="13">
      <c r="A69" s="64" t="s">
        <v>8405</v>
      </c>
      <c r="B69" s="77" t="s">
        <v>7974</v>
      </c>
      <c r="C69" s="140" t="s">
        <v>1013</v>
      </c>
      <c r="D69" s="140"/>
      <c r="E69" s="86"/>
      <c r="F69" s="87"/>
      <c r="G69" s="87"/>
      <c r="H69" s="88"/>
      <c r="I69" s="88"/>
    </row>
    <row r="70" spans="1:9" ht="13">
      <c r="A70" s="64" t="s">
        <v>8406</v>
      </c>
      <c r="B70" s="78" t="str">
        <f>HYPERLINK("https://bulbapedia.bulbagarden.net/wiki/Moltres_%26_Zapdos_%26_Articuno-GX_(Hidden_Fates_66)","Moltres &amp; Zapdos &amp; ArticunoGX")</f>
        <v>Moltres &amp; Zapdos &amp; ArticunoGX</v>
      </c>
      <c r="C70" s="140" t="s">
        <v>197</v>
      </c>
      <c r="D70" s="140"/>
      <c r="E70" s="86"/>
      <c r="F70" s="87"/>
      <c r="G70" s="87"/>
      <c r="H70" s="88"/>
      <c r="I70" s="88"/>
    </row>
    <row r="71" spans="1:9" ht="13">
      <c r="A71" s="64" t="s">
        <v>8407</v>
      </c>
      <c r="B71" s="77" t="s">
        <v>8032</v>
      </c>
      <c r="C71" s="140" t="s">
        <v>1013</v>
      </c>
      <c r="D71" s="141"/>
      <c r="E71" s="87"/>
      <c r="F71" s="86"/>
      <c r="G71" s="87"/>
      <c r="H71" s="88"/>
      <c r="I71" s="88"/>
    </row>
    <row r="72" spans="1:9" ht="13">
      <c r="A72" s="64" t="s">
        <v>8408</v>
      </c>
      <c r="B72" s="77" t="s">
        <v>8396</v>
      </c>
      <c r="C72" s="140" t="s">
        <v>1013</v>
      </c>
      <c r="D72" s="141"/>
      <c r="E72" s="87"/>
      <c r="F72" s="87"/>
      <c r="G72" s="87"/>
      <c r="H72" s="88"/>
      <c r="I72" s="88"/>
    </row>
    <row r="73" spans="1:9" ht="13">
      <c r="A73" s="64" t="s">
        <v>8409</v>
      </c>
      <c r="B73" s="78" t="str">
        <f>HYPERLINK("https://bulbapedia.bulbagarden.net/wiki/Moltres_%26_Zapdos_%26_Articuno-GX_(Hidden_Fates_69)","Moltres &amp; Zapdos &amp; ArticunoGX")</f>
        <v>Moltres &amp; Zapdos &amp; ArticunoGX</v>
      </c>
      <c r="C73" s="140" t="s">
        <v>197</v>
      </c>
      <c r="D73" s="140"/>
      <c r="E73" s="86"/>
      <c r="F73" s="87"/>
      <c r="G73" s="87"/>
      <c r="H73" s="88"/>
      <c r="I73" s="88"/>
    </row>
    <row r="74" spans="1:9" ht="13">
      <c r="A74" s="112"/>
      <c r="B74" s="111"/>
      <c r="C74" s="87"/>
      <c r="D74" s="86"/>
      <c r="E74" s="97"/>
      <c r="F74" s="87"/>
      <c r="G74" s="87"/>
      <c r="H74" s="88"/>
      <c r="I74" s="88"/>
    </row>
    <row r="75" spans="1:9" ht="13">
      <c r="A75" s="145" t="s">
        <v>8410</v>
      </c>
      <c r="B75" s="111"/>
      <c r="C75" s="87"/>
      <c r="D75" s="86"/>
      <c r="E75" s="87"/>
      <c r="F75" s="87"/>
      <c r="G75" s="87"/>
      <c r="H75" s="88"/>
      <c r="I75" s="88"/>
    </row>
    <row r="76" spans="1:9" ht="13">
      <c r="A76" s="64" t="s">
        <v>8411</v>
      </c>
      <c r="B76" s="77" t="s">
        <v>232</v>
      </c>
      <c r="C76" s="140" t="s">
        <v>205</v>
      </c>
      <c r="D76" s="141"/>
      <c r="E76" s="86"/>
      <c r="F76" s="87"/>
      <c r="G76" s="87"/>
      <c r="H76" s="88"/>
      <c r="I76" s="88"/>
    </row>
    <row r="77" spans="1:9" ht="13">
      <c r="A77" s="64" t="s">
        <v>8412</v>
      </c>
      <c r="B77" s="77" t="s">
        <v>6205</v>
      </c>
      <c r="C77" s="140" t="s">
        <v>205</v>
      </c>
      <c r="D77" s="141"/>
      <c r="E77" s="89"/>
      <c r="F77" s="87"/>
      <c r="G77" s="87"/>
      <c r="H77" s="88"/>
      <c r="I77" s="88"/>
    </row>
    <row r="78" spans="1:9" ht="13">
      <c r="A78" s="64" t="s">
        <v>8413</v>
      </c>
      <c r="B78" s="77" t="s">
        <v>6465</v>
      </c>
      <c r="C78" s="140" t="s">
        <v>205</v>
      </c>
      <c r="D78" s="141"/>
      <c r="E78" s="86"/>
      <c r="F78" s="87"/>
      <c r="G78" s="87"/>
      <c r="H78" s="88"/>
      <c r="I78" s="88"/>
    </row>
    <row r="79" spans="1:9" ht="13">
      <c r="A79" s="64" t="s">
        <v>8414</v>
      </c>
      <c r="B79" s="77" t="s">
        <v>6535</v>
      </c>
      <c r="C79" s="140" t="s">
        <v>205</v>
      </c>
      <c r="D79" s="141"/>
      <c r="E79" s="86"/>
      <c r="F79" s="86"/>
      <c r="G79" s="87"/>
      <c r="H79" s="88"/>
      <c r="I79" s="88"/>
    </row>
    <row r="80" spans="1:9" ht="13">
      <c r="A80" s="64" t="s">
        <v>8415</v>
      </c>
      <c r="B80" s="77" t="s">
        <v>7092</v>
      </c>
      <c r="C80" s="140" t="s">
        <v>205</v>
      </c>
      <c r="D80" s="141"/>
      <c r="E80" s="86"/>
      <c r="F80" s="87"/>
      <c r="G80" s="87"/>
      <c r="H80" s="88"/>
      <c r="I80" s="88"/>
    </row>
    <row r="81" spans="1:9" ht="13">
      <c r="A81" s="64" t="s">
        <v>8416</v>
      </c>
      <c r="B81" s="77" t="s">
        <v>278</v>
      </c>
      <c r="C81" s="140" t="s">
        <v>199</v>
      </c>
      <c r="D81" s="141"/>
      <c r="E81" s="86"/>
      <c r="F81" s="87"/>
      <c r="G81" s="87"/>
      <c r="H81" s="88"/>
      <c r="I81" s="88"/>
    </row>
    <row r="82" spans="1:9" ht="13">
      <c r="A82" s="64" t="s">
        <v>8417</v>
      </c>
      <c r="B82" s="77" t="s">
        <v>258</v>
      </c>
      <c r="C82" s="140" t="s">
        <v>199</v>
      </c>
      <c r="D82" s="141"/>
      <c r="E82" s="87"/>
      <c r="F82" s="87"/>
      <c r="G82" s="87"/>
      <c r="H82" s="88"/>
      <c r="I82" s="88"/>
    </row>
    <row r="83" spans="1:9" ht="13">
      <c r="A83" s="64" t="s">
        <v>8418</v>
      </c>
      <c r="B83" s="77" t="s">
        <v>6553</v>
      </c>
      <c r="C83" s="140" t="s">
        <v>208</v>
      </c>
      <c r="D83" s="141"/>
      <c r="E83" s="86"/>
      <c r="F83" s="89"/>
      <c r="G83" s="87"/>
      <c r="H83" s="88"/>
      <c r="I83" s="88"/>
    </row>
    <row r="84" spans="1:9" ht="13">
      <c r="A84" s="64" t="s">
        <v>8419</v>
      </c>
      <c r="B84" s="77" t="s">
        <v>906</v>
      </c>
      <c r="C84" s="140" t="s">
        <v>208</v>
      </c>
      <c r="D84" s="141"/>
      <c r="E84" s="86"/>
      <c r="F84" s="86"/>
      <c r="G84" s="87"/>
      <c r="H84" s="88"/>
      <c r="I84" s="88"/>
    </row>
    <row r="85" spans="1:9" ht="13">
      <c r="A85" s="64" t="s">
        <v>8420</v>
      </c>
      <c r="B85" s="77" t="s">
        <v>844</v>
      </c>
      <c r="C85" s="140" t="s">
        <v>208</v>
      </c>
      <c r="D85" s="141"/>
      <c r="E85" s="87"/>
      <c r="F85" s="87"/>
      <c r="G85" s="87"/>
      <c r="H85" s="88"/>
      <c r="I85" s="88"/>
    </row>
    <row r="86" spans="1:9" ht="13">
      <c r="A86" s="64" t="s">
        <v>8421</v>
      </c>
      <c r="B86" s="77" t="s">
        <v>4740</v>
      </c>
      <c r="C86" s="140" t="s">
        <v>208</v>
      </c>
      <c r="D86" s="141"/>
      <c r="E86" s="86"/>
      <c r="F86" s="86"/>
      <c r="G86" s="87"/>
      <c r="H86" s="88"/>
      <c r="I86" s="88"/>
    </row>
    <row r="87" spans="1:9" ht="13">
      <c r="A87" s="64" t="s">
        <v>8422</v>
      </c>
      <c r="B87" s="77" t="s">
        <v>5004</v>
      </c>
      <c r="C87" s="140" t="s">
        <v>208</v>
      </c>
      <c r="D87" s="141"/>
      <c r="E87" s="87"/>
      <c r="F87" s="89"/>
      <c r="G87" s="87"/>
      <c r="H87" s="88"/>
      <c r="I87" s="88"/>
    </row>
    <row r="88" spans="1:9" ht="13">
      <c r="A88" s="64" t="s">
        <v>8423</v>
      </c>
      <c r="B88" s="77" t="s">
        <v>298</v>
      </c>
      <c r="C88" s="140" t="s">
        <v>192</v>
      </c>
      <c r="D88" s="141"/>
      <c r="E88" s="86"/>
      <c r="F88" s="87"/>
      <c r="G88" s="87"/>
      <c r="H88" s="88"/>
      <c r="I88" s="88"/>
    </row>
    <row r="89" spans="1:9" ht="13">
      <c r="A89" s="64" t="s">
        <v>8424</v>
      </c>
      <c r="B89" s="77" t="s">
        <v>7121</v>
      </c>
      <c r="C89" s="140" t="s">
        <v>192</v>
      </c>
      <c r="D89" s="141"/>
      <c r="E89" s="87"/>
      <c r="F89" s="86"/>
      <c r="G89" s="87"/>
      <c r="H89" s="88"/>
      <c r="I89" s="88"/>
    </row>
    <row r="90" spans="1:9" ht="13">
      <c r="A90" s="64" t="s">
        <v>8425</v>
      </c>
      <c r="B90" s="77" t="s">
        <v>1372</v>
      </c>
      <c r="C90" s="140" t="s">
        <v>195</v>
      </c>
      <c r="D90" s="141"/>
      <c r="E90" s="87"/>
      <c r="F90" s="87"/>
      <c r="G90" s="87"/>
      <c r="H90" s="88"/>
      <c r="I90" s="88"/>
    </row>
    <row r="91" spans="1:9" ht="13">
      <c r="A91" s="64" t="s">
        <v>8426</v>
      </c>
      <c r="B91" s="77" t="s">
        <v>1548</v>
      </c>
      <c r="C91" s="140" t="s">
        <v>195</v>
      </c>
      <c r="D91" s="141"/>
      <c r="E91" s="86"/>
      <c r="F91" s="87"/>
      <c r="G91" s="87"/>
      <c r="H91" s="88"/>
      <c r="I91" s="88"/>
    </row>
    <row r="92" spans="1:9" ht="13">
      <c r="A92" s="64" t="s">
        <v>8427</v>
      </c>
      <c r="B92" s="77" t="s">
        <v>5011</v>
      </c>
      <c r="C92" s="140" t="s">
        <v>195</v>
      </c>
      <c r="D92" s="141"/>
      <c r="E92" s="86"/>
      <c r="F92" s="87"/>
      <c r="G92" s="87"/>
      <c r="H92" s="88"/>
      <c r="I92" s="88"/>
    </row>
    <row r="93" spans="1:9" ht="13">
      <c r="A93" s="64" t="s">
        <v>8428</v>
      </c>
      <c r="B93" s="77" t="s">
        <v>4811</v>
      </c>
      <c r="C93" s="140" t="s">
        <v>195</v>
      </c>
      <c r="D93" s="141"/>
      <c r="E93" s="86"/>
      <c r="F93" s="87"/>
      <c r="G93" s="87"/>
      <c r="H93" s="88"/>
      <c r="I93" s="88"/>
    </row>
    <row r="94" spans="1:9" ht="13">
      <c r="A94" s="64" t="s">
        <v>8429</v>
      </c>
      <c r="B94" s="77" t="s">
        <v>7138</v>
      </c>
      <c r="C94" s="140" t="s">
        <v>195</v>
      </c>
      <c r="D94" s="141"/>
      <c r="E94" s="86"/>
      <c r="F94" s="87"/>
      <c r="G94" s="87"/>
      <c r="H94" s="88"/>
      <c r="I94" s="88"/>
    </row>
    <row r="95" spans="1:9" ht="13">
      <c r="A95" s="64" t="s">
        <v>8430</v>
      </c>
      <c r="B95" s="77" t="s">
        <v>897</v>
      </c>
      <c r="C95" s="140" t="s">
        <v>225</v>
      </c>
      <c r="D95" s="141"/>
      <c r="E95" s="86"/>
      <c r="F95" s="87"/>
      <c r="G95" s="87"/>
      <c r="H95" s="88"/>
      <c r="I95" s="88"/>
    </row>
    <row r="96" spans="1:9" ht="13">
      <c r="A96" s="64" t="s">
        <v>8431</v>
      </c>
      <c r="B96" s="77" t="s">
        <v>3141</v>
      </c>
      <c r="C96" s="140" t="s">
        <v>225</v>
      </c>
      <c r="D96" s="141"/>
      <c r="E96" s="86"/>
      <c r="F96" s="87"/>
      <c r="G96" s="87"/>
      <c r="H96" s="88"/>
      <c r="I96" s="88"/>
    </row>
    <row r="97" spans="1:9" ht="13">
      <c r="A97" s="64" t="s">
        <v>8432</v>
      </c>
      <c r="B97" s="77" t="s">
        <v>3113</v>
      </c>
      <c r="C97" s="140" t="s">
        <v>225</v>
      </c>
      <c r="D97" s="141"/>
      <c r="E97" s="86"/>
      <c r="F97" s="87"/>
      <c r="G97" s="87"/>
      <c r="H97" s="88"/>
      <c r="I97" s="88"/>
    </row>
    <row r="98" spans="1:9" ht="13">
      <c r="A98" s="64" t="s">
        <v>8433</v>
      </c>
      <c r="B98" s="77" t="s">
        <v>6329</v>
      </c>
      <c r="C98" s="140" t="s">
        <v>225</v>
      </c>
      <c r="D98" s="141"/>
      <c r="E98" s="89"/>
      <c r="F98" s="86"/>
      <c r="G98" s="87"/>
      <c r="H98" s="88"/>
      <c r="I98" s="88"/>
    </row>
    <row r="99" spans="1:9" ht="13">
      <c r="A99" s="64" t="s">
        <v>8434</v>
      </c>
      <c r="B99" s="77" t="s">
        <v>7161</v>
      </c>
      <c r="C99" s="140" t="s">
        <v>225</v>
      </c>
      <c r="D99" s="141"/>
      <c r="E99" s="86"/>
      <c r="F99" s="87"/>
      <c r="G99" s="87"/>
      <c r="H99" s="88"/>
      <c r="I99" s="88"/>
    </row>
    <row r="100" spans="1:9" ht="13">
      <c r="A100" s="64" t="s">
        <v>8435</v>
      </c>
      <c r="B100" s="77" t="s">
        <v>4036</v>
      </c>
      <c r="C100" s="140" t="s">
        <v>808</v>
      </c>
      <c r="D100" s="141"/>
      <c r="E100" s="89"/>
      <c r="F100" s="86"/>
      <c r="G100" s="87"/>
      <c r="H100" s="88"/>
      <c r="I100" s="88"/>
    </row>
    <row r="101" spans="1:9" ht="13">
      <c r="A101" s="64" t="s">
        <v>8436</v>
      </c>
      <c r="B101" s="77" t="s">
        <v>7165</v>
      </c>
      <c r="C101" s="140" t="s">
        <v>808</v>
      </c>
      <c r="D101" s="141"/>
      <c r="E101" s="87"/>
      <c r="F101" s="87"/>
      <c r="G101" s="87"/>
      <c r="H101" s="88"/>
      <c r="I101" s="88"/>
    </row>
    <row r="102" spans="1:9" ht="13">
      <c r="A102" s="64" t="s">
        <v>8437</v>
      </c>
      <c r="B102" s="77" t="s">
        <v>285</v>
      </c>
      <c r="C102" s="140" t="s">
        <v>220</v>
      </c>
      <c r="D102" s="141"/>
      <c r="E102" s="87"/>
      <c r="F102" s="86"/>
      <c r="G102" s="87"/>
      <c r="H102" s="88"/>
      <c r="I102" s="88"/>
    </row>
    <row r="103" spans="1:9" ht="13">
      <c r="A103" s="64" t="s">
        <v>8438</v>
      </c>
      <c r="B103" s="77" t="s">
        <v>247</v>
      </c>
      <c r="C103" s="140" t="s">
        <v>220</v>
      </c>
      <c r="D103" s="141"/>
      <c r="E103" s="86"/>
      <c r="F103" s="87"/>
      <c r="G103" s="87"/>
      <c r="H103" s="88"/>
      <c r="I103" s="88"/>
    </row>
    <row r="104" spans="1:9" ht="13">
      <c r="A104" s="64" t="s">
        <v>8439</v>
      </c>
      <c r="B104" s="77" t="s">
        <v>3074</v>
      </c>
      <c r="C104" s="140" t="s">
        <v>220</v>
      </c>
      <c r="D104" s="141"/>
      <c r="E104" s="86"/>
      <c r="F104" s="87"/>
      <c r="G104" s="87"/>
      <c r="H104" s="88"/>
      <c r="I104" s="88"/>
    </row>
    <row r="105" spans="1:9" ht="13">
      <c r="A105" s="64" t="s">
        <v>8440</v>
      </c>
      <c r="B105" s="77" t="s">
        <v>1197</v>
      </c>
      <c r="C105" s="140" t="s">
        <v>220</v>
      </c>
      <c r="D105" s="141"/>
      <c r="E105" s="86"/>
      <c r="F105" s="87"/>
      <c r="G105" s="87"/>
      <c r="H105" s="88"/>
      <c r="I105" s="88"/>
    </row>
    <row r="106" spans="1:9" ht="13">
      <c r="A106" s="64" t="s">
        <v>8441</v>
      </c>
      <c r="B106" s="77" t="s">
        <v>1198</v>
      </c>
      <c r="C106" s="140" t="s">
        <v>220</v>
      </c>
      <c r="D106" s="141"/>
      <c r="E106" s="86"/>
      <c r="F106" s="87"/>
      <c r="G106" s="87"/>
      <c r="H106" s="88"/>
      <c r="I106" s="88"/>
    </row>
    <row r="107" spans="1:9" ht="13">
      <c r="A107" s="64" t="s">
        <v>8442</v>
      </c>
      <c r="B107" s="77" t="s">
        <v>7348</v>
      </c>
      <c r="C107" s="140" t="s">
        <v>220</v>
      </c>
      <c r="D107" s="141"/>
      <c r="E107" s="86"/>
      <c r="F107" s="87"/>
      <c r="G107" s="87"/>
      <c r="H107" s="88"/>
      <c r="I107" s="88"/>
    </row>
    <row r="108" spans="1:9" ht="13">
      <c r="A108" s="64" t="s">
        <v>8443</v>
      </c>
      <c r="B108" s="77" t="s">
        <v>7350</v>
      </c>
      <c r="C108" s="140" t="s">
        <v>220</v>
      </c>
      <c r="D108" s="141"/>
      <c r="E108" s="86"/>
      <c r="F108" s="86"/>
      <c r="G108" s="87"/>
      <c r="H108" s="88"/>
      <c r="I108" s="88"/>
    </row>
    <row r="109" spans="1:9" ht="13">
      <c r="A109" s="64" t="s">
        <v>8444</v>
      </c>
      <c r="B109" s="77" t="s">
        <v>1307</v>
      </c>
      <c r="C109" s="140" t="s">
        <v>4743</v>
      </c>
      <c r="D109" s="141"/>
      <c r="E109" s="86"/>
      <c r="F109" s="86"/>
      <c r="G109" s="87"/>
      <c r="H109" s="88"/>
      <c r="I109" s="88"/>
    </row>
    <row r="110" spans="1:9" ht="13">
      <c r="A110" s="64" t="s">
        <v>8445</v>
      </c>
      <c r="B110" s="77" t="s">
        <v>1262</v>
      </c>
      <c r="C110" s="140" t="s">
        <v>4743</v>
      </c>
      <c r="D110" s="141"/>
      <c r="E110" s="86"/>
      <c r="F110" s="86"/>
      <c r="G110" s="87"/>
      <c r="H110" s="88"/>
      <c r="I110" s="88"/>
    </row>
    <row r="111" spans="1:9" ht="13">
      <c r="A111" s="64" t="s">
        <v>8446</v>
      </c>
      <c r="B111" s="77" t="s">
        <v>5210</v>
      </c>
      <c r="C111" s="140" t="s">
        <v>4743</v>
      </c>
      <c r="D111" s="141"/>
      <c r="E111" s="89"/>
      <c r="F111" s="87"/>
      <c r="G111" s="87"/>
      <c r="H111" s="88"/>
      <c r="I111" s="88"/>
    </row>
    <row r="112" spans="1:9" ht="13">
      <c r="A112" s="64" t="s">
        <v>8447</v>
      </c>
      <c r="B112" s="77" t="s">
        <v>1493</v>
      </c>
      <c r="C112" s="140" t="s">
        <v>4285</v>
      </c>
      <c r="D112" s="141"/>
      <c r="E112" s="86"/>
      <c r="F112" s="86"/>
      <c r="G112" s="87"/>
      <c r="H112" s="88"/>
      <c r="I112" s="88"/>
    </row>
    <row r="113" spans="1:9" ht="13">
      <c r="A113" s="64" t="s">
        <v>8448</v>
      </c>
      <c r="B113" s="77" t="s">
        <v>3259</v>
      </c>
      <c r="C113" s="140" t="s">
        <v>4285</v>
      </c>
      <c r="D113" s="141"/>
      <c r="E113" s="87"/>
      <c r="F113" s="89"/>
      <c r="G113" s="87"/>
      <c r="H113" s="88"/>
      <c r="I113" s="88"/>
    </row>
    <row r="114" spans="1:9" ht="13">
      <c r="A114" s="64" t="s">
        <v>8449</v>
      </c>
      <c r="B114" s="77" t="s">
        <v>3217</v>
      </c>
      <c r="C114" s="140" t="s">
        <v>4285</v>
      </c>
      <c r="D114" s="141"/>
      <c r="E114" s="86"/>
      <c r="F114" s="87"/>
      <c r="G114" s="87"/>
      <c r="H114" s="88"/>
      <c r="I114" s="88"/>
    </row>
    <row r="115" spans="1:9" ht="13">
      <c r="A115" s="64" t="s">
        <v>8450</v>
      </c>
      <c r="B115" s="77" t="s">
        <v>3167</v>
      </c>
      <c r="C115" s="140" t="s">
        <v>4285</v>
      </c>
      <c r="D115" s="141"/>
      <c r="E115" s="87"/>
      <c r="F115" s="86"/>
      <c r="G115" s="87"/>
      <c r="H115" s="88"/>
      <c r="I115" s="88"/>
    </row>
    <row r="116" spans="1:9" ht="13">
      <c r="A116" s="64" t="s">
        <v>8451</v>
      </c>
      <c r="B116" s="77" t="s">
        <v>203</v>
      </c>
      <c r="C116" s="140" t="s">
        <v>197</v>
      </c>
      <c r="D116" s="141"/>
      <c r="E116" s="87"/>
      <c r="F116" s="86"/>
      <c r="G116" s="87"/>
      <c r="H116" s="88"/>
      <c r="I116" s="88"/>
    </row>
    <row r="117" spans="1:9" ht="13">
      <c r="A117" s="64" t="s">
        <v>8452</v>
      </c>
      <c r="B117" s="77" t="s">
        <v>1587</v>
      </c>
      <c r="C117" s="140" t="s">
        <v>197</v>
      </c>
      <c r="D117" s="141"/>
      <c r="E117" s="86"/>
      <c r="F117" s="87"/>
      <c r="G117" s="87"/>
      <c r="H117" s="88"/>
      <c r="I117" s="88"/>
    </row>
    <row r="118" spans="1:9" ht="13">
      <c r="A118" s="64" t="s">
        <v>8453</v>
      </c>
      <c r="B118" s="77" t="s">
        <v>5088</v>
      </c>
      <c r="C118" s="140" t="s">
        <v>197</v>
      </c>
      <c r="D118" s="141"/>
      <c r="E118" s="87"/>
      <c r="F118" s="86"/>
      <c r="G118" s="87"/>
      <c r="H118" s="88"/>
      <c r="I118" s="88"/>
    </row>
    <row r="119" spans="1:9" ht="13">
      <c r="A119" s="64" t="s">
        <v>8454</v>
      </c>
      <c r="B119" s="77" t="s">
        <v>6505</v>
      </c>
      <c r="C119" s="140" t="s">
        <v>197</v>
      </c>
      <c r="D119" s="141"/>
      <c r="E119" s="86"/>
      <c r="F119" s="87"/>
      <c r="G119" s="87"/>
      <c r="H119" s="88"/>
      <c r="I119" s="88"/>
    </row>
    <row r="120" spans="1:9" ht="13">
      <c r="A120" s="64" t="s">
        <v>8455</v>
      </c>
      <c r="B120" s="77" t="s">
        <v>6868</v>
      </c>
      <c r="C120" s="140" t="s">
        <v>197</v>
      </c>
      <c r="D120" s="141"/>
      <c r="E120" s="86"/>
      <c r="F120" s="87"/>
      <c r="G120" s="87"/>
      <c r="H120" s="88"/>
      <c r="I120" s="88"/>
    </row>
    <row r="121" spans="1:9" ht="13">
      <c r="A121" s="64" t="s">
        <v>8456</v>
      </c>
      <c r="B121" s="78" t="str">
        <f>HYPERLINK("https://bulbapedia.bulbagarden.net/wiki/Leafeon-GX_(Hidden_Fates_SV46)","LeafeonGX")</f>
        <v>LeafeonGX</v>
      </c>
      <c r="C121" s="140" t="s">
        <v>205</v>
      </c>
      <c r="D121" s="141"/>
      <c r="E121" s="86"/>
      <c r="F121" s="87"/>
      <c r="G121" s="87"/>
      <c r="H121" s="88"/>
      <c r="I121" s="88"/>
    </row>
    <row r="122" spans="1:9" ht="13">
      <c r="A122" s="64" t="s">
        <v>8457</v>
      </c>
      <c r="B122" s="78" t="str">
        <f>HYPERLINK("https://bulbapedia.bulbagarden.net/wiki/Decidueye-GX_(Hidden_Fates_SV47)","DecidueyeGX")</f>
        <v>DecidueyeGX</v>
      </c>
      <c r="C122" s="140" t="s">
        <v>205</v>
      </c>
      <c r="D122" s="141"/>
      <c r="E122" s="86"/>
      <c r="F122" s="87"/>
      <c r="G122" s="87"/>
      <c r="H122" s="88"/>
      <c r="I122" s="88"/>
    </row>
    <row r="123" spans="1:9" ht="13">
      <c r="A123" s="64" t="s">
        <v>8458</v>
      </c>
      <c r="B123" s="78" t="str">
        <f>HYPERLINK("https://bulbapedia.bulbagarden.net/wiki/Golisopod-GX_(Hidden_Fates_SV48)","GolisopodGX")</f>
        <v>GolisopodGX</v>
      </c>
      <c r="C123" s="140" t="s">
        <v>205</v>
      </c>
      <c r="D123" s="141"/>
      <c r="E123" s="89"/>
      <c r="F123" s="87"/>
      <c r="G123" s="87"/>
      <c r="H123" s="88"/>
      <c r="I123" s="88"/>
    </row>
    <row r="124" spans="1:9" ht="13">
      <c r="A124" s="64" t="s">
        <v>8459</v>
      </c>
      <c r="B124" s="78" t="str">
        <f>HYPERLINK("https://bulbapedia.bulbagarden.net/wiki/Charizard-GX_(Hidden_Fates_SV49)","CharizardGX")</f>
        <v>CharizardGX</v>
      </c>
      <c r="C124" s="140" t="s">
        <v>199</v>
      </c>
      <c r="D124" s="141"/>
      <c r="E124" s="87"/>
      <c r="F124" s="87"/>
      <c r="G124" s="87"/>
      <c r="H124" s="88"/>
      <c r="I124" s="88"/>
    </row>
    <row r="125" spans="1:9" ht="13">
      <c r="A125" s="64" t="s">
        <v>8460</v>
      </c>
      <c r="B125" s="78" t="str">
        <f>HYPERLINK("https://bulbapedia.bulbagarden.net/wiki/Ho-Oh-GX_(Hidden_Fates_SV50)","Ho-OhGX")</f>
        <v>Ho-OhGX</v>
      </c>
      <c r="C125" s="140" t="s">
        <v>199</v>
      </c>
      <c r="D125" s="141"/>
      <c r="E125" s="87"/>
      <c r="F125" s="87"/>
      <c r="G125" s="87"/>
      <c r="H125" s="88"/>
      <c r="I125" s="88"/>
    </row>
    <row r="126" spans="1:9" ht="13">
      <c r="A126" s="64" t="s">
        <v>8461</v>
      </c>
      <c r="B126" s="78" t="str">
        <f>HYPERLINK("https://bulbapedia.bulbagarden.net/wiki/Reshiram-GX_(Hidden_Fates_SV51)","ReshiramGX")</f>
        <v>ReshiramGX</v>
      </c>
      <c r="C126" s="140" t="s">
        <v>199</v>
      </c>
      <c r="D126" s="141"/>
      <c r="E126" s="86"/>
      <c r="F126" s="87"/>
      <c r="G126" s="87"/>
      <c r="H126" s="88"/>
      <c r="I126" s="88"/>
    </row>
    <row r="127" spans="1:9" ht="13">
      <c r="A127" s="64" t="s">
        <v>8462</v>
      </c>
      <c r="B127" s="78" t="str">
        <f>HYPERLINK("https://bulbapedia.bulbagarden.net/wiki/Turtonator-GX_(Hidden_Fates_SV52)","TurtonatorGX")</f>
        <v>TurtonatorGX</v>
      </c>
      <c r="C127" s="140" t="s">
        <v>199</v>
      </c>
      <c r="D127" s="141"/>
      <c r="E127" s="86"/>
      <c r="F127" s="87"/>
      <c r="G127" s="87"/>
      <c r="H127" s="88"/>
      <c r="I127" s="88"/>
    </row>
    <row r="128" spans="1:9" ht="13">
      <c r="A128" s="64" t="s">
        <v>8463</v>
      </c>
      <c r="B128" s="78" t="str">
        <f>HYPERLINK("https://bulbapedia.bulbagarden.net/wiki/Alolan_Ninetales-GX_(Hidden_Fates_SV53)","Alolan NinetalesGX")</f>
        <v>Alolan NinetalesGX</v>
      </c>
      <c r="C128" s="140" t="s">
        <v>208</v>
      </c>
      <c r="D128" s="140"/>
      <c r="E128" s="86"/>
      <c r="F128" s="87"/>
      <c r="G128" s="87"/>
      <c r="H128" s="88"/>
      <c r="I128" s="88"/>
    </row>
    <row r="129" spans="1:9" ht="13">
      <c r="A129" s="64" t="s">
        <v>8464</v>
      </c>
      <c r="B129" s="78" t="str">
        <f>HYPERLINK("https://bulbapedia.bulbagarden.net/wiki/Articuno-GX_(Hidden_Fates_SV54)","ArticunoGX")</f>
        <v>ArticunoGX</v>
      </c>
      <c r="C129" s="140" t="s">
        <v>208</v>
      </c>
      <c r="D129" s="141"/>
      <c r="E129" s="86"/>
      <c r="F129" s="87"/>
      <c r="G129" s="87"/>
      <c r="H129" s="88"/>
      <c r="I129" s="88"/>
    </row>
    <row r="130" spans="1:9" ht="13">
      <c r="A130" s="64" t="s">
        <v>8465</v>
      </c>
      <c r="B130" s="78" t="str">
        <f>HYPERLINK("https://bulbapedia.bulbagarden.net/wiki/Glaceon-GX_(Hidden_Fates_SV55)","GlaceonGX")</f>
        <v>GlaceonGX</v>
      </c>
      <c r="C130" s="140" t="s">
        <v>208</v>
      </c>
      <c r="D130" s="141"/>
      <c r="E130" s="86"/>
      <c r="F130" s="87"/>
      <c r="G130" s="87"/>
      <c r="H130" s="88"/>
      <c r="I130" s="88"/>
    </row>
    <row r="131" spans="1:9" ht="13">
      <c r="A131" s="64" t="s">
        <v>8466</v>
      </c>
      <c r="B131" s="78" t="str">
        <f>HYPERLINK("https://bulbapedia.bulbagarden.net/wiki/Greninja-GX_(Hidden_Fates_SV56)","GreninjaGX")</f>
        <v>GreninjaGX</v>
      </c>
      <c r="C131" s="140" t="s">
        <v>208</v>
      </c>
      <c r="D131" s="141"/>
      <c r="E131" s="89"/>
      <c r="F131" s="87"/>
      <c r="G131" s="87"/>
      <c r="H131" s="88"/>
      <c r="I131" s="88"/>
    </row>
    <row r="132" spans="1:9" ht="13">
      <c r="A132" s="64" t="s">
        <v>8467</v>
      </c>
      <c r="B132" s="78" t="str">
        <f>HYPERLINK("https://bulbapedia.bulbagarden.net/wiki/Electrode-GX_(Hidden_Fates_SV57)","ElectrodeGX")</f>
        <v>ElectrodeGX</v>
      </c>
      <c r="C132" s="140" t="s">
        <v>192</v>
      </c>
      <c r="D132" s="141"/>
      <c r="E132" s="86"/>
      <c r="F132" s="87"/>
      <c r="G132" s="87"/>
      <c r="H132" s="88"/>
      <c r="I132" s="88"/>
    </row>
    <row r="133" spans="1:9" ht="13">
      <c r="A133" s="64" t="s">
        <v>8468</v>
      </c>
      <c r="B133" s="78" t="str">
        <f>HYPERLINK("https://bulbapedia.bulbagarden.net/wiki/Xurkitree-GX_(Hidden_Fates_SV58)","XurkitreeGX")</f>
        <v>XurkitreeGX</v>
      </c>
      <c r="C133" s="140" t="s">
        <v>192</v>
      </c>
      <c r="D133" s="140"/>
      <c r="E133" s="89"/>
      <c r="F133" s="87"/>
      <c r="G133" s="87"/>
      <c r="H133" s="88"/>
      <c r="I133" s="88"/>
    </row>
    <row r="134" spans="1:9" ht="13">
      <c r="A134" s="64" t="s">
        <v>8469</v>
      </c>
      <c r="B134" s="78" t="str">
        <f>HYPERLINK("https://bulbapedia.bulbagarden.net/wiki/Mewtwo-GX_(Hidden_Fates_SV59)","MewtwoGX")</f>
        <v>MewtwoGX</v>
      </c>
      <c r="C134" s="140" t="s">
        <v>195</v>
      </c>
      <c r="D134" s="141"/>
      <c r="E134" s="87"/>
      <c r="F134" s="87"/>
      <c r="G134" s="87"/>
      <c r="H134" s="88"/>
      <c r="I134" s="88"/>
    </row>
    <row r="135" spans="1:9" ht="13">
      <c r="A135" s="64" t="s">
        <v>8470</v>
      </c>
      <c r="B135" s="78" t="str">
        <f>HYPERLINK("https://bulbapedia.bulbagarden.net/wiki/Espeon-GX_(Hidden_Fates_SV60)","EspeonGX")</f>
        <v>EspeonGX</v>
      </c>
      <c r="C135" s="140" t="s">
        <v>195</v>
      </c>
      <c r="D135" s="141"/>
      <c r="E135" s="87"/>
      <c r="F135" s="87"/>
      <c r="G135" s="87"/>
      <c r="H135" s="88"/>
      <c r="I135" s="88"/>
    </row>
    <row r="136" spans="1:9" ht="13">
      <c r="A136" s="64" t="s">
        <v>8471</v>
      </c>
      <c r="B136" s="78" t="str">
        <f>HYPERLINK("https://bulbapedia.bulbagarden.net/wiki/Banette-GX_(Hidden_Fates_SV61)","BanetteGX")</f>
        <v>BanetteGX</v>
      </c>
      <c r="C136" s="140" t="s">
        <v>195</v>
      </c>
      <c r="D136" s="141"/>
      <c r="E136" s="87"/>
      <c r="F136" s="87"/>
      <c r="G136" s="87"/>
      <c r="H136" s="88"/>
      <c r="I136" s="88"/>
    </row>
    <row r="137" spans="1:9" ht="13">
      <c r="A137" s="64" t="s">
        <v>8472</v>
      </c>
      <c r="B137" s="78" t="str">
        <f>HYPERLINK("https://bulbapedia.bulbagarden.net/wiki/Nihilego-GX_(Hidden_Fates_SV62)","NihilegoGX")</f>
        <v>NihilegoGX</v>
      </c>
      <c r="C137" s="140" t="s">
        <v>195</v>
      </c>
      <c r="D137" s="141"/>
      <c r="E137" s="86"/>
      <c r="F137" s="87"/>
      <c r="G137" s="87"/>
      <c r="H137" s="88"/>
      <c r="I137" s="88"/>
    </row>
    <row r="138" spans="1:9" ht="13">
      <c r="A138" s="64" t="s">
        <v>8473</v>
      </c>
      <c r="B138" s="78" t="str">
        <f>HYPERLINK("https://bulbapedia.bulbagarden.net/wiki/Naganadel-GX_(Hidden_Fates_SV63)","NaganadelGX")</f>
        <v>NaganadelGX</v>
      </c>
      <c r="C138" s="140" t="s">
        <v>195</v>
      </c>
      <c r="D138" s="141"/>
      <c r="E138" s="87"/>
      <c r="F138" s="87"/>
      <c r="G138" s="87"/>
      <c r="H138" s="88"/>
      <c r="I138" s="88"/>
    </row>
    <row r="139" spans="1:9" ht="13">
      <c r="A139" s="64" t="s">
        <v>8474</v>
      </c>
      <c r="B139" s="78" t="str">
        <f>HYPERLINK("https://bulbapedia.bulbagarden.net/wiki/Lucario-GX_(Hidden_Fates_SV64)","LucarioGX")</f>
        <v>LucarioGX</v>
      </c>
      <c r="C139" s="140" t="s">
        <v>225</v>
      </c>
      <c r="D139" s="141"/>
      <c r="E139" s="87"/>
      <c r="F139" s="86"/>
      <c r="G139" s="87"/>
      <c r="H139" s="88"/>
      <c r="I139" s="88"/>
    </row>
    <row r="140" spans="1:9" ht="13">
      <c r="A140" s="64" t="s">
        <v>8475</v>
      </c>
      <c r="B140" s="78" t="str">
        <f>HYPERLINK("https://bulbapedia.bulbagarden.net/wiki/Zygarde-GX_(Hidden_Fates_SV65)","ZygardeGX")</f>
        <v>ZygardeGX</v>
      </c>
      <c r="C140" s="140" t="s">
        <v>225</v>
      </c>
      <c r="D140" s="140"/>
      <c r="E140" s="86"/>
      <c r="F140" s="87"/>
      <c r="G140" s="87"/>
      <c r="H140" s="88"/>
      <c r="I140" s="88"/>
    </row>
    <row r="141" spans="1:9" ht="13">
      <c r="A141" s="64" t="s">
        <v>8476</v>
      </c>
      <c r="B141" s="78" t="str">
        <f>HYPERLINK("https://bulbapedia.bulbagarden.net/wiki/Lycanroc-GX_(Hidden_Fates_SV66)","LycanrocGX")</f>
        <v>LycanrocGX</v>
      </c>
      <c r="C141" s="140" t="s">
        <v>225</v>
      </c>
      <c r="D141" s="141"/>
      <c r="E141" s="86"/>
      <c r="F141" s="87"/>
      <c r="G141" s="87"/>
      <c r="H141" s="88"/>
      <c r="I141" s="88"/>
    </row>
    <row r="142" spans="1:9" ht="13">
      <c r="A142" s="64" t="s">
        <v>8477</v>
      </c>
      <c r="B142" s="78" t="str">
        <f>HYPERLINK("https://bulbapedia.bulbagarden.net/wiki/Lycanroc-GX_(Hidden_Fates_SV67)","LycanrocGX")</f>
        <v>LycanrocGX</v>
      </c>
      <c r="C142" s="140" t="s">
        <v>225</v>
      </c>
      <c r="D142" s="141"/>
      <c r="E142" s="86"/>
      <c r="F142" s="89"/>
      <c r="G142" s="87"/>
      <c r="H142" s="88"/>
      <c r="I142" s="88"/>
    </row>
    <row r="143" spans="1:9" ht="13">
      <c r="A143" s="64" t="s">
        <v>8478</v>
      </c>
      <c r="B143" s="78" t="str">
        <f>HYPERLINK("https://bulbapedia.bulbagarden.net/wiki/Buzzwole-GX_(Hidden_Fates_SV68)","BuzzwoleGX")</f>
        <v>BuzzwoleGX</v>
      </c>
      <c r="C143" s="140" t="s">
        <v>225</v>
      </c>
      <c r="D143" s="141"/>
      <c r="E143" s="86"/>
      <c r="F143" s="89"/>
      <c r="G143" s="87"/>
      <c r="H143" s="88"/>
      <c r="I143" s="88"/>
    </row>
    <row r="144" spans="1:9" ht="13">
      <c r="A144" s="64" t="s">
        <v>8479</v>
      </c>
      <c r="B144" s="78" t="str">
        <f>HYPERLINK("https://bulbapedia.bulbagarden.net/wiki/Umbreon-GX_(Hidden_Fates_SV69)","UmbreonGX")</f>
        <v>UmbreonGX</v>
      </c>
      <c r="C144" s="140" t="s">
        <v>808</v>
      </c>
      <c r="D144" s="141"/>
      <c r="E144" s="89"/>
      <c r="F144" s="87"/>
      <c r="G144" s="87"/>
      <c r="H144" s="88"/>
      <c r="I144" s="88"/>
    </row>
    <row r="145" spans="1:9" ht="13">
      <c r="A145" s="64" t="s">
        <v>8480</v>
      </c>
      <c r="B145" s="78" t="str">
        <f>HYPERLINK("https://bulbapedia.bulbagarden.net/wiki/Darkrai-GX_(Hidden_Fates_SV70)","DarkraiGX")</f>
        <v>DarkraiGX</v>
      </c>
      <c r="C145" s="140" t="s">
        <v>808</v>
      </c>
      <c r="D145" s="141"/>
      <c r="E145" s="86"/>
      <c r="F145" s="86"/>
      <c r="G145" s="87"/>
      <c r="H145" s="88"/>
      <c r="I145" s="88"/>
    </row>
    <row r="146" spans="1:9" ht="13">
      <c r="A146" s="64" t="s">
        <v>8481</v>
      </c>
      <c r="B146" s="78" t="str">
        <f>HYPERLINK("https://bulbapedia.bulbagarden.net/wiki/Guzzlord-GX_(Hidden_Fates_SV71)","GuzzlordGX")</f>
        <v>GuzzlordGX</v>
      </c>
      <c r="C146" s="140" t="s">
        <v>808</v>
      </c>
      <c r="D146" s="141"/>
      <c r="E146" s="86"/>
      <c r="F146" s="87"/>
      <c r="G146" s="87"/>
      <c r="H146" s="88"/>
      <c r="I146" s="88"/>
    </row>
    <row r="147" spans="1:9" ht="13">
      <c r="A147" s="64" t="s">
        <v>8482</v>
      </c>
      <c r="B147" s="78" t="str">
        <f>HYPERLINK("https://bulbapedia.bulbagarden.net/wiki/Scizor-GX_(Hidden_Fates_SV72)","ScizorGX")</f>
        <v>ScizorGX</v>
      </c>
      <c r="C147" s="140" t="s">
        <v>220</v>
      </c>
      <c r="D147" s="141"/>
      <c r="E147" s="89"/>
      <c r="F147" s="87"/>
      <c r="G147" s="87"/>
      <c r="H147" s="88"/>
      <c r="I147" s="88"/>
    </row>
    <row r="148" spans="1:9" ht="13">
      <c r="A148" s="64" t="s">
        <v>8483</v>
      </c>
      <c r="B148" s="78" t="str">
        <f>HYPERLINK("https://bulbapedia.bulbagarden.net/wiki/Kartana-GX_(Hidden_Fates_SV73)","KartanaGX")</f>
        <v>KartanaGX</v>
      </c>
      <c r="C148" s="140" t="s">
        <v>220</v>
      </c>
      <c r="D148" s="140"/>
      <c r="E148" s="87"/>
      <c r="F148" s="87"/>
      <c r="G148" s="87"/>
      <c r="H148" s="88"/>
      <c r="I148" s="88"/>
    </row>
    <row r="149" spans="1:9" ht="13">
      <c r="A149" s="64" t="s">
        <v>8484</v>
      </c>
      <c r="B149" s="78" t="str">
        <f>HYPERLINK("https://bulbapedia.bulbagarden.net/wiki/Stakataka-GX_(Hidden_Fates_SV74)","StakatakaGX")</f>
        <v>StakatakaGX</v>
      </c>
      <c r="C149" s="140" t="s">
        <v>220</v>
      </c>
      <c r="D149" s="140"/>
      <c r="E149" s="87"/>
      <c r="F149" s="86"/>
      <c r="G149" s="87"/>
      <c r="H149" s="88"/>
      <c r="I149" s="88"/>
    </row>
    <row r="150" spans="1:9" ht="13">
      <c r="A150" s="64" t="s">
        <v>8485</v>
      </c>
      <c r="B150" s="78" t="str">
        <f>HYPERLINK("https://bulbapedia.bulbagarden.net/wiki/Gardevoir-GX_(Hidden_Fates_SV75)","GardevoirGX")</f>
        <v>GardevoirGX</v>
      </c>
      <c r="C150" s="140" t="s">
        <v>4743</v>
      </c>
      <c r="D150" s="140"/>
      <c r="E150" s="89"/>
      <c r="F150" s="87"/>
      <c r="G150" s="87"/>
      <c r="H150" s="88"/>
      <c r="I150" s="88"/>
    </row>
    <row r="151" spans="1:9" ht="13">
      <c r="A151" s="64" t="s">
        <v>8486</v>
      </c>
      <c r="B151" s="78" t="str">
        <f>HYPERLINK("https://bulbapedia.bulbagarden.net/wiki/Sylveon-GX_(Hidden_Fates_SV76)","SylveonGX")</f>
        <v>SylveonGX</v>
      </c>
      <c r="C151" s="140" t="s">
        <v>4743</v>
      </c>
      <c r="D151" s="141"/>
      <c r="E151" s="86"/>
      <c r="F151" s="87"/>
      <c r="G151" s="87"/>
      <c r="H151" s="88"/>
      <c r="I151" s="88"/>
    </row>
    <row r="152" spans="1:9" ht="13">
      <c r="A152" s="64" t="s">
        <v>8487</v>
      </c>
      <c r="B152" s="78" t="str">
        <f>HYPERLINK("https://bulbapedia.bulbagarden.net/wiki/Altaria-GX_(Hidden_Fates_SV77)","AltariaGX")</f>
        <v>AltariaGX</v>
      </c>
      <c r="C152" s="140" t="s">
        <v>4285</v>
      </c>
      <c r="D152" s="141"/>
      <c r="E152" s="86"/>
      <c r="F152" s="87"/>
      <c r="G152" s="87"/>
      <c r="H152" s="88"/>
      <c r="I152" s="88"/>
    </row>
    <row r="153" spans="1:9" ht="13">
      <c r="A153" s="64" t="s">
        <v>8488</v>
      </c>
      <c r="B153" s="78" t="str">
        <f>HYPERLINK("https://bulbapedia.bulbagarden.net/wiki/Noivern-GX_(Hidden_Fates_SV78)","NoivernGX")</f>
        <v>NoivernGX</v>
      </c>
      <c r="C153" s="140" t="s">
        <v>4285</v>
      </c>
      <c r="D153" s="141"/>
      <c r="E153" s="86"/>
      <c r="F153" s="87"/>
      <c r="G153" s="87"/>
      <c r="H153" s="88"/>
      <c r="I153" s="88"/>
    </row>
    <row r="154" spans="1:9" ht="13">
      <c r="A154" s="64" t="s">
        <v>8489</v>
      </c>
      <c r="B154" s="78" t="str">
        <f>HYPERLINK("https://bulbapedia.bulbagarden.net/wiki/Silvally-GX_(Hidden_Fates_SV79)","SilvallyGX")</f>
        <v>SilvallyGX</v>
      </c>
      <c r="C154" s="140" t="s">
        <v>197</v>
      </c>
      <c r="D154" s="141"/>
      <c r="E154" s="86"/>
      <c r="F154" s="87"/>
      <c r="G154" s="87"/>
      <c r="H154" s="88"/>
      <c r="I154" s="88"/>
    </row>
    <row r="155" spans="1:9" ht="13">
      <c r="A155" s="64" t="s">
        <v>8490</v>
      </c>
      <c r="B155" s="78" t="str">
        <f>HYPERLINK("https://bulbapedia.bulbagarden.net/wiki/Drampa-GX_(Hidden_Fates_SV80)","DrampaGX")</f>
        <v>DrampaGX</v>
      </c>
      <c r="C155" s="140" t="s">
        <v>197</v>
      </c>
      <c r="D155" s="141"/>
      <c r="E155" s="86"/>
      <c r="F155" s="86"/>
      <c r="G155" s="87"/>
      <c r="H155" s="88"/>
      <c r="I155" s="88"/>
    </row>
    <row r="156" spans="1:9" ht="13">
      <c r="A156" s="64" t="s">
        <v>8491</v>
      </c>
      <c r="B156" s="77" t="s">
        <v>7705</v>
      </c>
      <c r="C156" s="140" t="s">
        <v>1013</v>
      </c>
      <c r="D156" s="140"/>
      <c r="E156" s="86"/>
      <c r="F156" s="87"/>
      <c r="G156" s="87"/>
      <c r="H156" s="88"/>
      <c r="I156" s="88"/>
    </row>
    <row r="157" spans="1:9" ht="13">
      <c r="A157" s="64" t="s">
        <v>8492</v>
      </c>
      <c r="B157" s="77" t="s">
        <v>7011</v>
      </c>
      <c r="C157" s="140" t="s">
        <v>1013</v>
      </c>
      <c r="D157" s="140"/>
      <c r="E157" s="87"/>
      <c r="F157" s="86"/>
      <c r="G157" s="87"/>
      <c r="H157" s="88"/>
      <c r="I157" s="88"/>
    </row>
    <row r="158" spans="1:9" ht="13">
      <c r="A158" s="64" t="s">
        <v>8493</v>
      </c>
      <c r="B158" s="77" t="s">
        <v>1179</v>
      </c>
      <c r="C158" s="140" t="s">
        <v>1013</v>
      </c>
      <c r="D158" s="141"/>
      <c r="E158" s="86"/>
      <c r="F158" s="87"/>
      <c r="G158" s="87"/>
      <c r="H158" s="88"/>
      <c r="I158" s="88"/>
    </row>
    <row r="159" spans="1:9" ht="13">
      <c r="A159" s="64" t="s">
        <v>8494</v>
      </c>
      <c r="B159" s="77" t="s">
        <v>6745</v>
      </c>
      <c r="C159" s="140" t="s">
        <v>1013</v>
      </c>
      <c r="D159" s="141"/>
      <c r="E159" s="86"/>
      <c r="F159" s="89"/>
      <c r="G159" s="87"/>
      <c r="H159" s="88"/>
      <c r="I159" s="88"/>
    </row>
    <row r="160" spans="1:9" ht="13">
      <c r="A160" s="64" t="s">
        <v>8495</v>
      </c>
      <c r="B160" s="77" t="s">
        <v>7384</v>
      </c>
      <c r="C160" s="140" t="s">
        <v>1013</v>
      </c>
      <c r="D160" s="141"/>
      <c r="E160" s="87"/>
      <c r="F160" s="87"/>
      <c r="G160" s="87"/>
      <c r="H160" s="88"/>
      <c r="I160" s="88"/>
    </row>
    <row r="161" spans="1:9" ht="13">
      <c r="A161" s="64" t="s">
        <v>8496</v>
      </c>
      <c r="B161" s="77" t="s">
        <v>7201</v>
      </c>
      <c r="C161" s="140" t="s">
        <v>1013</v>
      </c>
      <c r="D161" s="141"/>
      <c r="E161" s="86"/>
      <c r="F161" s="86"/>
      <c r="G161" s="87"/>
      <c r="H161" s="88"/>
      <c r="I161" s="137"/>
    </row>
    <row r="162" spans="1:9" ht="13">
      <c r="A162" s="64" t="s">
        <v>8497</v>
      </c>
      <c r="B162" s="77" t="s">
        <v>6665</v>
      </c>
      <c r="C162" s="140" t="s">
        <v>229</v>
      </c>
      <c r="D162" s="141"/>
      <c r="E162" s="89"/>
      <c r="F162" s="87"/>
      <c r="G162" s="87"/>
      <c r="H162" s="88"/>
      <c r="I162" s="88"/>
    </row>
    <row r="163" spans="1:9" ht="13">
      <c r="A163" s="64" t="s">
        <v>8498</v>
      </c>
      <c r="B163" s="77" t="s">
        <v>6673</v>
      </c>
      <c r="C163" s="140" t="s">
        <v>229</v>
      </c>
      <c r="D163" s="141"/>
      <c r="E163" s="89"/>
      <c r="F163" s="86"/>
      <c r="G163" s="87"/>
      <c r="H163" s="88"/>
      <c r="I163" s="88"/>
    </row>
    <row r="164" spans="1:9" ht="13">
      <c r="A164" s="64" t="s">
        <v>8499</v>
      </c>
      <c r="B164" s="77" t="s">
        <v>7031</v>
      </c>
      <c r="C164" s="140" t="s">
        <v>229</v>
      </c>
      <c r="D164" s="141"/>
      <c r="E164" s="87"/>
      <c r="F164" s="87"/>
      <c r="G164" s="87"/>
      <c r="H164" s="88"/>
      <c r="I164" s="88"/>
    </row>
    <row r="165" spans="1:9" ht="13">
      <c r="A165" s="64" t="s">
        <v>8500</v>
      </c>
      <c r="B165" s="77" t="s">
        <v>8501</v>
      </c>
      <c r="C165" s="140" t="s">
        <v>229</v>
      </c>
      <c r="D165" s="141"/>
      <c r="E165" s="87"/>
      <c r="F165" s="87"/>
      <c r="G165" s="87"/>
      <c r="H165" s="88"/>
      <c r="I165" s="88"/>
    </row>
    <row r="166" spans="1:9" ht="13">
      <c r="A166" s="64" t="s">
        <v>8502</v>
      </c>
      <c r="B166" s="78" t="str">
        <f>HYPERLINK("https://bulbapedia.bulbagarden.net/wiki/Tapu_Bulu-GX_(Hidden_Fates_SV91)","Tapu BuluGX")</f>
        <v>Tapu BuluGX</v>
      </c>
      <c r="C166" s="140" t="s">
        <v>205</v>
      </c>
      <c r="D166" s="141"/>
      <c r="E166" s="89"/>
      <c r="F166" s="87"/>
      <c r="G166" s="87"/>
      <c r="H166" s="88"/>
      <c r="I166" s="88"/>
    </row>
    <row r="167" spans="1:9" ht="13">
      <c r="A167" s="64" t="s">
        <v>8503</v>
      </c>
      <c r="B167" s="78" t="str">
        <f>HYPERLINK("https://bulbapedia.bulbagarden.net/wiki/Tapu_Fini-GX_(Hidden_Fates_SV92)","Tapu FiniGX")</f>
        <v>Tapu FiniGX</v>
      </c>
      <c r="C167" s="140" t="s">
        <v>208</v>
      </c>
      <c r="D167" s="141"/>
      <c r="E167" s="89"/>
      <c r="F167" s="87"/>
      <c r="G167" s="87"/>
      <c r="H167" s="88"/>
      <c r="I167" s="88"/>
    </row>
    <row r="168" spans="1:9" ht="13">
      <c r="A168" s="64" t="s">
        <v>8504</v>
      </c>
      <c r="B168" s="78" t="str">
        <f>HYPERLINK("https://bulbapedia.bulbagarden.net/wiki/Tapu_Koko-GX_(Hidden_Fates_SV93)","Tapu KokoGX")</f>
        <v>Tapu KokoGX</v>
      </c>
      <c r="C168" s="140" t="s">
        <v>192</v>
      </c>
      <c r="D168" s="141"/>
      <c r="E168" s="89"/>
      <c r="F168" s="87"/>
      <c r="G168" s="87"/>
      <c r="H168" s="88"/>
      <c r="I168" s="88"/>
    </row>
    <row r="169" spans="1:9" ht="13">
      <c r="A169" s="64" t="s">
        <v>8505</v>
      </c>
      <c r="B169" s="78" t="str">
        <f>HYPERLINK("https://bulbapedia.bulbagarden.net/wiki/Tapu_Lele-GX_(Hidden_Fates_SV94)","Tapu LeleGX")</f>
        <v>Tapu LeleGX</v>
      </c>
      <c r="C169" s="140" t="s">
        <v>195</v>
      </c>
      <c r="D169" s="141"/>
      <c r="E169" s="89"/>
      <c r="F169" s="87"/>
      <c r="G169" s="87"/>
      <c r="H169" s="88"/>
      <c r="I169" s="88"/>
    </row>
    <row r="170" spans="1:9" ht="13">
      <c r="A170" s="112"/>
      <c r="B170" s="111"/>
      <c r="C170" s="87"/>
      <c r="D170" s="89"/>
      <c r="E170" s="97"/>
      <c r="F170" s="87"/>
      <c r="G170" s="87"/>
      <c r="H170" s="88"/>
      <c r="I170" s="88"/>
    </row>
    <row r="171" spans="1:9" ht="13">
      <c r="A171" s="112"/>
      <c r="B171" s="111"/>
      <c r="C171" s="87"/>
      <c r="D171" s="86"/>
      <c r="E171" s="97"/>
      <c r="F171" s="87"/>
      <c r="G171" s="87"/>
      <c r="H171" s="88"/>
      <c r="I171" s="88"/>
    </row>
    <row r="172" spans="1:9" ht="13">
      <c r="A172" s="112"/>
      <c r="B172" s="111"/>
      <c r="C172" s="87"/>
      <c r="D172" s="86"/>
      <c r="E172" s="97"/>
      <c r="F172" s="86"/>
      <c r="G172" s="87"/>
      <c r="H172" s="88"/>
      <c r="I172" s="88"/>
    </row>
    <row r="173" spans="1:9" ht="13">
      <c r="A173" s="112"/>
      <c r="B173" s="111"/>
      <c r="C173" s="87"/>
      <c r="D173" s="89"/>
      <c r="E173" s="112"/>
      <c r="F173" s="87"/>
      <c r="G173" s="87"/>
      <c r="H173" s="88"/>
      <c r="I173" s="88"/>
    </row>
    <row r="174" spans="1:9" ht="13">
      <c r="A174" s="112"/>
      <c r="B174" s="111"/>
      <c r="C174" s="87"/>
      <c r="D174" s="89"/>
      <c r="E174" s="112"/>
      <c r="F174" s="87"/>
      <c r="G174" s="87"/>
      <c r="H174" s="88"/>
      <c r="I174" s="88"/>
    </row>
    <row r="175" spans="1:9" ht="13">
      <c r="A175" s="112"/>
      <c r="B175" s="111"/>
      <c r="C175" s="87"/>
      <c r="D175" s="89"/>
      <c r="E175" s="97"/>
      <c r="F175" s="87"/>
      <c r="G175" s="87"/>
      <c r="H175" s="88"/>
      <c r="I175" s="88"/>
    </row>
    <row r="176" spans="1:9" ht="13">
      <c r="A176" s="112"/>
      <c r="B176" s="111"/>
      <c r="C176" s="87"/>
      <c r="D176" s="89"/>
      <c r="E176" s="112"/>
      <c r="F176" s="87"/>
      <c r="G176" s="87"/>
      <c r="H176" s="88"/>
      <c r="I176" s="88"/>
    </row>
    <row r="177" spans="1:9" ht="13">
      <c r="A177" s="112"/>
      <c r="B177" s="111"/>
      <c r="C177" s="87"/>
      <c r="D177" s="89"/>
      <c r="E177" s="97"/>
      <c r="F177" s="89"/>
      <c r="G177" s="87"/>
      <c r="H177" s="88"/>
      <c r="I177" s="88"/>
    </row>
    <row r="178" spans="1:9" ht="13">
      <c r="A178" s="112"/>
      <c r="B178" s="111"/>
      <c r="C178" s="87"/>
      <c r="D178" s="89"/>
      <c r="E178" s="97"/>
      <c r="F178" s="87"/>
      <c r="G178" s="87"/>
      <c r="H178" s="88"/>
      <c r="I178" s="88"/>
    </row>
    <row r="179" spans="1:9" ht="13">
      <c r="A179" s="112"/>
      <c r="B179" s="111"/>
      <c r="C179" s="87"/>
      <c r="D179" s="89"/>
      <c r="E179" s="112"/>
      <c r="F179" s="87"/>
      <c r="G179" s="87"/>
      <c r="H179" s="88"/>
      <c r="I179" s="88"/>
    </row>
    <row r="180" spans="1:9" ht="13">
      <c r="A180" s="112"/>
      <c r="B180" s="111"/>
      <c r="C180" s="87"/>
      <c r="D180" s="89"/>
      <c r="E180" s="97"/>
      <c r="F180" s="87"/>
      <c r="G180" s="87"/>
      <c r="H180" s="88"/>
      <c r="I180" s="88"/>
    </row>
    <row r="181" spans="1:9" ht="13">
      <c r="A181" s="112"/>
      <c r="B181" s="111"/>
      <c r="C181" s="87"/>
      <c r="D181" s="89"/>
      <c r="E181" s="112"/>
      <c r="F181" s="87"/>
      <c r="G181" s="87"/>
      <c r="H181" s="88"/>
      <c r="I181" s="88"/>
    </row>
    <row r="182" spans="1:9" ht="13">
      <c r="A182" s="112"/>
      <c r="B182" s="111"/>
      <c r="C182" s="87"/>
      <c r="D182" s="86"/>
      <c r="E182" s="97"/>
      <c r="F182" s="87"/>
      <c r="G182" s="87"/>
      <c r="H182" s="88"/>
      <c r="I182" s="88"/>
    </row>
    <row r="183" spans="1:9" ht="13">
      <c r="A183" s="112"/>
      <c r="B183" s="111"/>
      <c r="C183" s="87"/>
      <c r="D183" s="89"/>
      <c r="E183" s="112"/>
      <c r="F183" s="89"/>
      <c r="G183" s="87"/>
      <c r="H183" s="88"/>
      <c r="I183" s="88"/>
    </row>
    <row r="184" spans="1:9" ht="13">
      <c r="A184" s="112"/>
      <c r="B184" s="111"/>
      <c r="C184" s="87"/>
      <c r="D184" s="89"/>
      <c r="E184" s="97"/>
      <c r="F184" s="87"/>
      <c r="G184" s="87"/>
      <c r="H184" s="88"/>
      <c r="I184" s="88"/>
    </row>
    <row r="185" spans="1:9" ht="13">
      <c r="A185" s="112"/>
      <c r="B185" s="111"/>
      <c r="C185" s="87"/>
      <c r="D185" s="89"/>
      <c r="E185" s="112"/>
      <c r="F185" s="89"/>
      <c r="G185" s="87"/>
      <c r="H185" s="88"/>
      <c r="I185" s="88"/>
    </row>
    <row r="186" spans="1:9" ht="13">
      <c r="A186" s="112"/>
      <c r="B186" s="111"/>
      <c r="C186" s="87"/>
      <c r="D186" s="89"/>
      <c r="E186" s="97"/>
      <c r="F186" s="89"/>
      <c r="G186" s="87"/>
      <c r="H186" s="88"/>
      <c r="I186" s="88"/>
    </row>
    <row r="187" spans="1:9" ht="13">
      <c r="A187" s="112"/>
      <c r="B187" s="111"/>
      <c r="C187" s="87"/>
      <c r="D187" s="86"/>
      <c r="E187" s="112"/>
      <c r="F187" s="86"/>
      <c r="G187" s="87"/>
      <c r="H187" s="88"/>
      <c r="I187" s="88"/>
    </row>
    <row r="188" spans="1:9" ht="13">
      <c r="A188" s="112"/>
      <c r="B188" s="111"/>
      <c r="C188" s="87"/>
      <c r="D188" s="89"/>
      <c r="E188" s="97"/>
      <c r="F188" s="87"/>
      <c r="G188" s="87"/>
      <c r="H188" s="88"/>
      <c r="I188" s="88"/>
    </row>
    <row r="189" spans="1:9" ht="13">
      <c r="A189" s="112"/>
      <c r="B189" s="111"/>
      <c r="C189" s="87"/>
      <c r="D189" s="86"/>
      <c r="E189" s="97"/>
      <c r="F189" s="87"/>
      <c r="G189" s="87"/>
      <c r="H189" s="88"/>
      <c r="I189" s="88"/>
    </row>
    <row r="190" spans="1:9" ht="13">
      <c r="A190" s="112"/>
      <c r="B190" s="111"/>
      <c r="C190" s="87"/>
      <c r="D190" s="86"/>
      <c r="E190" s="112"/>
      <c r="F190" s="86"/>
      <c r="G190" s="87"/>
      <c r="H190" s="88"/>
      <c r="I190" s="88"/>
    </row>
    <row r="191" spans="1:9" ht="13">
      <c r="A191" s="112"/>
      <c r="B191" s="111"/>
      <c r="C191" s="87"/>
      <c r="D191" s="89"/>
      <c r="E191" s="97"/>
      <c r="F191" s="87"/>
      <c r="G191" s="87"/>
      <c r="H191" s="88"/>
      <c r="I191" s="88"/>
    </row>
    <row r="192" spans="1:9" ht="13">
      <c r="A192" s="112"/>
      <c r="B192" s="111"/>
      <c r="C192" s="87"/>
      <c r="D192" s="89"/>
      <c r="E192" s="97"/>
      <c r="F192" s="89"/>
      <c r="G192" s="87"/>
      <c r="H192" s="88"/>
      <c r="I192" s="88"/>
    </row>
    <row r="193" spans="1:9" ht="13">
      <c r="A193" s="112"/>
      <c r="B193" s="111"/>
      <c r="C193" s="87"/>
      <c r="D193" s="86"/>
      <c r="E193" s="112"/>
      <c r="F193" s="86"/>
      <c r="G193" s="87"/>
      <c r="H193" s="88"/>
      <c r="I193" s="88"/>
    </row>
    <row r="194" spans="1:9" ht="13">
      <c r="A194" s="112"/>
      <c r="B194" s="111"/>
      <c r="C194" s="87"/>
      <c r="D194" s="89"/>
      <c r="E194" s="112"/>
      <c r="F194" s="89"/>
      <c r="G194" s="87"/>
      <c r="H194" s="88"/>
      <c r="I194" s="88"/>
    </row>
    <row r="195" spans="1:9" ht="13">
      <c r="A195" s="112"/>
      <c r="B195" s="111"/>
      <c r="C195" s="87"/>
      <c r="D195" s="89"/>
      <c r="E195" s="97"/>
      <c r="F195" s="89"/>
      <c r="G195" s="87"/>
      <c r="H195" s="88"/>
      <c r="I195" s="88"/>
    </row>
    <row r="196" spans="1:9" ht="13">
      <c r="A196" s="112"/>
      <c r="B196" s="111"/>
      <c r="C196" s="86"/>
      <c r="D196" s="89"/>
      <c r="E196" s="112"/>
      <c r="F196" s="87"/>
      <c r="G196" s="87"/>
      <c r="H196" s="88"/>
      <c r="I196" s="88"/>
    </row>
    <row r="197" spans="1:9" ht="13">
      <c r="A197" s="112"/>
      <c r="B197" s="111"/>
      <c r="C197" s="87"/>
      <c r="D197" s="89"/>
      <c r="E197" s="97"/>
      <c r="F197" s="87"/>
      <c r="G197" s="87"/>
      <c r="H197" s="88"/>
      <c r="I197" s="88"/>
    </row>
    <row r="198" spans="1:9" ht="13">
      <c r="A198" s="112"/>
      <c r="B198" s="111"/>
      <c r="C198" s="87"/>
      <c r="D198" s="89"/>
      <c r="E198" s="112"/>
      <c r="F198" s="87"/>
      <c r="G198" s="87"/>
      <c r="H198" s="88"/>
      <c r="I198" s="88"/>
    </row>
    <row r="199" spans="1:9" ht="13">
      <c r="A199" s="112"/>
      <c r="B199" s="111"/>
      <c r="C199" s="87"/>
      <c r="D199" s="86"/>
      <c r="E199" s="97"/>
      <c r="F199" s="87"/>
      <c r="G199" s="87"/>
      <c r="H199" s="88"/>
      <c r="I199" s="88"/>
    </row>
    <row r="200" spans="1:9" ht="13">
      <c r="A200" s="112"/>
      <c r="B200" s="111"/>
      <c r="C200" s="87"/>
      <c r="D200" s="86"/>
      <c r="E200" s="112"/>
      <c r="F200" s="87"/>
      <c r="G200" s="87"/>
      <c r="H200" s="88"/>
      <c r="I200" s="88"/>
    </row>
    <row r="201" spans="1:9" ht="13">
      <c r="A201" s="112"/>
      <c r="B201" s="111"/>
      <c r="C201" s="87"/>
      <c r="D201" s="89"/>
      <c r="E201" s="112"/>
      <c r="F201" s="89"/>
      <c r="G201" s="87"/>
      <c r="H201" s="88"/>
      <c r="I201" s="88"/>
    </row>
    <row r="202" spans="1:9" ht="13">
      <c r="A202" s="112"/>
      <c r="B202" s="111"/>
      <c r="C202" s="136"/>
      <c r="D202" s="112"/>
      <c r="E202" s="112"/>
      <c r="F202" s="87"/>
      <c r="G202" s="87"/>
      <c r="H202" s="88"/>
      <c r="I202" s="88"/>
    </row>
    <row r="203" spans="1:9" ht="13">
      <c r="A203" s="112"/>
      <c r="B203" s="111"/>
      <c r="C203" s="136"/>
      <c r="D203" s="107"/>
      <c r="E203" s="112"/>
      <c r="F203" s="87"/>
      <c r="G203" s="87"/>
      <c r="H203" s="88"/>
      <c r="I203" s="88"/>
    </row>
    <row r="204" spans="1:9" ht="13">
      <c r="A204" s="112"/>
      <c r="B204" s="111"/>
      <c r="C204" s="136"/>
      <c r="D204" s="107"/>
      <c r="E204" s="112"/>
      <c r="F204" s="86"/>
      <c r="G204" s="87"/>
      <c r="H204" s="88"/>
      <c r="I204" s="88"/>
    </row>
    <row r="205" spans="1:9" ht="13">
      <c r="A205" s="112"/>
      <c r="B205" s="111"/>
      <c r="C205" s="136"/>
      <c r="D205" s="107"/>
      <c r="E205" s="112"/>
      <c r="F205" s="87"/>
      <c r="G205" s="87"/>
      <c r="H205" s="88"/>
      <c r="I205" s="88"/>
    </row>
    <row r="206" spans="1:9" ht="13">
      <c r="A206" s="112"/>
      <c r="B206" s="111"/>
      <c r="C206" s="136"/>
      <c r="D206" s="112"/>
      <c r="E206" s="112"/>
      <c r="F206" s="87"/>
      <c r="G206" s="87"/>
      <c r="H206" s="88"/>
      <c r="I206" s="88"/>
    </row>
    <row r="207" spans="1:9" ht="13">
      <c r="A207" s="112"/>
      <c r="B207" s="111"/>
      <c r="C207" s="136"/>
      <c r="D207" s="112"/>
      <c r="E207" s="112"/>
      <c r="F207" s="87"/>
      <c r="G207" s="87"/>
      <c r="H207" s="88"/>
      <c r="I207" s="88"/>
    </row>
    <row r="208" spans="1:9" ht="13">
      <c r="A208" s="112"/>
      <c r="B208" s="111"/>
      <c r="C208" s="136"/>
      <c r="D208" s="112"/>
      <c r="E208" s="112"/>
      <c r="F208" s="87"/>
      <c r="G208" s="87"/>
      <c r="H208" s="88"/>
      <c r="I208" s="88"/>
    </row>
    <row r="209" spans="1:9" ht="13">
      <c r="A209" s="112"/>
      <c r="B209" s="111"/>
      <c r="C209" s="136"/>
      <c r="D209" s="107"/>
      <c r="E209" s="112"/>
      <c r="F209" s="87"/>
      <c r="G209" s="87"/>
      <c r="H209" s="88"/>
      <c r="I209" s="88"/>
    </row>
    <row r="210" spans="1:9" ht="13">
      <c r="A210" s="112"/>
      <c r="B210" s="111"/>
      <c r="C210" s="136"/>
      <c r="D210" s="112"/>
      <c r="E210" s="112"/>
      <c r="F210" s="87"/>
      <c r="G210" s="87"/>
      <c r="H210" s="88"/>
      <c r="I210" s="88"/>
    </row>
    <row r="211" spans="1:9" ht="13">
      <c r="A211" s="112"/>
      <c r="B211" s="111"/>
      <c r="C211" s="136"/>
      <c r="D211" s="112"/>
      <c r="E211" s="112"/>
      <c r="F211" s="87"/>
      <c r="G211" s="87"/>
      <c r="H211" s="88"/>
      <c r="I211" s="88"/>
    </row>
    <row r="212" spans="1:9" ht="13">
      <c r="A212" s="112"/>
      <c r="B212" s="111"/>
      <c r="C212" s="136"/>
      <c r="D212" s="107"/>
      <c r="E212" s="112"/>
      <c r="F212" s="87"/>
      <c r="G212" s="87"/>
      <c r="H212" s="88"/>
      <c r="I212" s="88"/>
    </row>
    <row r="213" spans="1:9" ht="13">
      <c r="A213" s="112"/>
      <c r="B213" s="111"/>
      <c r="C213" s="136"/>
      <c r="D213" s="107"/>
      <c r="E213" s="112"/>
      <c r="F213" s="87"/>
      <c r="G213" s="87"/>
      <c r="H213" s="88"/>
      <c r="I213" s="88"/>
    </row>
    <row r="214" spans="1:9" ht="13">
      <c r="A214" s="112"/>
      <c r="B214" s="111"/>
      <c r="C214" s="136"/>
      <c r="D214" s="112"/>
      <c r="E214" s="112"/>
      <c r="F214" s="87"/>
      <c r="G214" s="87"/>
      <c r="H214" s="88"/>
      <c r="I214" s="88"/>
    </row>
    <row r="215" spans="1:9" ht="13">
      <c r="A215" s="112"/>
      <c r="B215" s="111"/>
      <c r="C215" s="136"/>
      <c r="D215" s="107"/>
      <c r="E215" s="112"/>
      <c r="F215" s="87"/>
      <c r="G215" s="87"/>
      <c r="H215" s="88"/>
      <c r="I215" s="88"/>
    </row>
    <row r="216" spans="1:9" ht="13">
      <c r="A216" s="112"/>
      <c r="B216" s="111"/>
      <c r="C216" s="136"/>
      <c r="D216" s="112"/>
      <c r="E216" s="112"/>
      <c r="F216" s="87"/>
      <c r="G216" s="87"/>
      <c r="H216" s="88"/>
      <c r="I216" s="88"/>
    </row>
    <row r="217" spans="1:9" ht="13">
      <c r="A217" s="112"/>
      <c r="B217" s="111"/>
      <c r="C217" s="136"/>
      <c r="D217" s="112"/>
      <c r="E217" s="112"/>
      <c r="F217" s="87"/>
      <c r="G217" s="87"/>
      <c r="H217" s="88"/>
      <c r="I217" s="88"/>
    </row>
    <row r="218" spans="1:9" ht="13">
      <c r="A218" s="112"/>
      <c r="B218" s="111"/>
      <c r="C218" s="136"/>
      <c r="D218" s="107"/>
      <c r="E218" s="112"/>
      <c r="F218" s="86"/>
      <c r="G218" s="87"/>
      <c r="H218" s="88"/>
      <c r="I218" s="88"/>
    </row>
    <row r="219" spans="1:9" ht="13">
      <c r="A219" s="112"/>
      <c r="B219" s="111"/>
      <c r="C219" s="136"/>
      <c r="D219" s="107"/>
      <c r="E219" s="112"/>
      <c r="F219" s="87"/>
      <c r="G219" s="87"/>
      <c r="H219" s="88"/>
      <c r="I219" s="88"/>
    </row>
    <row r="220" spans="1:9" ht="13">
      <c r="A220" s="112"/>
      <c r="B220" s="111"/>
      <c r="C220" s="136"/>
      <c r="D220" s="112"/>
      <c r="E220" s="112"/>
      <c r="F220" s="87"/>
      <c r="G220" s="87"/>
      <c r="H220" s="88"/>
      <c r="I220" s="88"/>
    </row>
    <row r="221" spans="1:9" ht="13">
      <c r="A221" s="112"/>
      <c r="B221" s="111"/>
      <c r="C221" s="136"/>
      <c r="D221" s="112"/>
      <c r="E221" s="112"/>
      <c r="F221" s="87"/>
      <c r="G221" s="87"/>
      <c r="H221" s="88"/>
      <c r="I221" s="88"/>
    </row>
    <row r="222" spans="1:9" ht="13">
      <c r="A222" s="112"/>
      <c r="B222" s="111"/>
      <c r="C222" s="136"/>
      <c r="D222" s="112"/>
      <c r="E222" s="112"/>
      <c r="F222" s="87"/>
      <c r="G222" s="87"/>
      <c r="H222" s="88"/>
      <c r="I222" s="88"/>
    </row>
    <row r="223" spans="1:9" ht="13">
      <c r="A223" s="112"/>
      <c r="B223" s="111"/>
      <c r="C223" s="136"/>
      <c r="D223" s="112"/>
      <c r="E223" s="112"/>
      <c r="F223" s="87"/>
      <c r="G223" s="87"/>
      <c r="H223" s="88"/>
      <c r="I223" s="88"/>
    </row>
    <row r="224" spans="1:9" ht="13">
      <c r="A224" s="112"/>
      <c r="B224" s="111"/>
      <c r="C224" s="136"/>
      <c r="D224" s="112"/>
      <c r="E224" s="112"/>
      <c r="F224" s="87"/>
      <c r="G224" s="87"/>
      <c r="H224" s="88"/>
      <c r="I224" s="88"/>
    </row>
    <row r="225" spans="1:9" ht="13">
      <c r="A225" s="112"/>
      <c r="B225" s="111"/>
      <c r="C225" s="136"/>
      <c r="D225" s="107"/>
      <c r="E225" s="112"/>
      <c r="F225" s="87"/>
      <c r="G225" s="87"/>
      <c r="H225" s="88"/>
      <c r="I225" s="88"/>
    </row>
    <row r="226" spans="1:9" ht="13">
      <c r="A226" s="112"/>
      <c r="B226" s="111"/>
      <c r="C226" s="136"/>
      <c r="D226" s="112"/>
      <c r="E226" s="112"/>
      <c r="F226" s="87"/>
      <c r="G226" s="87"/>
      <c r="H226" s="88"/>
      <c r="I226" s="88"/>
    </row>
    <row r="227" spans="1:9" ht="13">
      <c r="A227" s="112"/>
      <c r="B227" s="111"/>
      <c r="C227" s="136"/>
      <c r="D227" s="112"/>
      <c r="E227" s="112"/>
      <c r="F227" s="87"/>
      <c r="G227" s="87"/>
      <c r="H227" s="88"/>
      <c r="I227" s="88"/>
    </row>
    <row r="228" spans="1:9" ht="13">
      <c r="A228" s="112"/>
      <c r="B228" s="111"/>
      <c r="C228" s="136"/>
      <c r="D228" s="112"/>
      <c r="E228" s="112"/>
      <c r="F228" s="87"/>
      <c r="G228" s="87"/>
      <c r="H228" s="88"/>
      <c r="I228" s="88"/>
    </row>
    <row r="229" spans="1:9" ht="13">
      <c r="A229" s="112"/>
      <c r="B229" s="111"/>
      <c r="C229" s="136"/>
      <c r="D229" s="112"/>
      <c r="E229" s="112"/>
      <c r="F229" s="87"/>
      <c r="G229" s="87"/>
      <c r="H229" s="88"/>
      <c r="I229" s="88"/>
    </row>
    <row r="230" spans="1:9" ht="13">
      <c r="A230" s="112"/>
      <c r="B230" s="111"/>
      <c r="C230" s="136"/>
      <c r="D230" s="112"/>
      <c r="E230" s="112"/>
      <c r="F230" s="87"/>
      <c r="G230" s="87"/>
      <c r="H230" s="88"/>
      <c r="I230" s="88"/>
    </row>
    <row r="231" spans="1:9" ht="13">
      <c r="A231" s="112"/>
      <c r="B231" s="111"/>
      <c r="C231" s="136"/>
      <c r="D231" s="112"/>
      <c r="E231" s="112"/>
      <c r="F231" s="87"/>
      <c r="G231" s="87"/>
      <c r="H231" s="88"/>
      <c r="I231" s="88"/>
    </row>
    <row r="232" spans="1:9" ht="13">
      <c r="A232" s="112"/>
      <c r="B232" s="111"/>
      <c r="C232" s="136"/>
      <c r="D232" s="112"/>
      <c r="E232" s="112"/>
      <c r="F232" s="87"/>
      <c r="G232" s="87"/>
      <c r="H232" s="88"/>
      <c r="I232" s="88"/>
    </row>
    <row r="233" spans="1:9" ht="13">
      <c r="A233" s="112"/>
      <c r="B233" s="111"/>
      <c r="C233" s="136"/>
      <c r="D233" s="112"/>
      <c r="E233" s="112"/>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D242" s="5"/>
      <c r="E242" s="5"/>
      <c r="F242" s="5"/>
      <c r="G242" s="5"/>
    </row>
    <row r="243" spans="1:9" ht="13">
      <c r="D243" s="5"/>
      <c r="E243" s="5"/>
      <c r="F243" s="5"/>
      <c r="G243" s="5"/>
    </row>
    <row r="244" spans="1:9" ht="13">
      <c r="D244" s="5"/>
      <c r="E244" s="5"/>
      <c r="F244" s="5"/>
      <c r="G244" s="5"/>
    </row>
    <row r="245" spans="1:9" ht="13">
      <c r="D245" s="5"/>
      <c r="E245" s="5"/>
      <c r="F245" s="5"/>
      <c r="G245" s="5"/>
    </row>
    <row r="246" spans="1:9" ht="13">
      <c r="D246" s="5"/>
      <c r="E246" s="5"/>
      <c r="F246" s="5"/>
      <c r="G246" s="5"/>
    </row>
    <row r="247" spans="1:9" ht="13">
      <c r="D247" s="5"/>
      <c r="E247" s="5"/>
      <c r="F247" s="5"/>
      <c r="G247" s="5"/>
    </row>
    <row r="248" spans="1:9" ht="13">
      <c r="D248" s="5"/>
      <c r="E248" s="5"/>
      <c r="F248" s="5"/>
      <c r="G248" s="5"/>
    </row>
    <row r="249" spans="1:9" ht="13">
      <c r="D249" s="5"/>
      <c r="E249" s="5"/>
      <c r="F249" s="5"/>
      <c r="G249" s="5"/>
    </row>
    <row r="250" spans="1:9" ht="13">
      <c r="D250" s="5"/>
      <c r="E250" s="5"/>
      <c r="F250" s="5"/>
      <c r="G250" s="5"/>
    </row>
    <row r="251" spans="1:9" ht="13">
      <c r="D251" s="5"/>
      <c r="E251" s="5"/>
      <c r="F251" s="5"/>
      <c r="G251" s="5"/>
    </row>
    <row r="252" spans="1:9" ht="13">
      <c r="D252" s="5"/>
      <c r="E252" s="5"/>
      <c r="F252" s="5"/>
      <c r="G252" s="5"/>
    </row>
    <row r="253" spans="1:9" ht="13">
      <c r="D253" s="5"/>
      <c r="E253" s="5"/>
      <c r="F253" s="5"/>
      <c r="G253" s="5"/>
    </row>
    <row r="254" spans="1:9" ht="13">
      <c r="D254" s="5"/>
      <c r="E254" s="5"/>
      <c r="F254" s="5"/>
      <c r="G254" s="5"/>
    </row>
    <row r="255" spans="1:9" ht="13">
      <c r="D255" s="5"/>
      <c r="E255" s="5"/>
      <c r="F255" s="5"/>
      <c r="G255" s="5"/>
    </row>
    <row r="256" spans="1:9" ht="13">
      <c r="D256" s="5"/>
      <c r="E256" s="5"/>
      <c r="F256" s="5"/>
      <c r="G256" s="5"/>
    </row>
    <row r="257" spans="4:7" ht="13">
      <c r="D257" s="5"/>
      <c r="E257" s="5"/>
      <c r="F257" s="5"/>
      <c r="G257" s="5"/>
    </row>
    <row r="258" spans="4:7" ht="13">
      <c r="D258" s="5"/>
      <c r="E258" s="5"/>
      <c r="F258" s="5"/>
      <c r="G258" s="5"/>
    </row>
    <row r="259" spans="4:7" ht="13">
      <c r="D259" s="5"/>
      <c r="E259" s="5"/>
      <c r="F259" s="5"/>
      <c r="G259" s="5"/>
    </row>
    <row r="260" spans="4:7" ht="13">
      <c r="D260" s="5"/>
      <c r="E260" s="5"/>
      <c r="F260" s="5"/>
      <c r="G260" s="5"/>
    </row>
    <row r="261" spans="4:7" ht="13">
      <c r="D261" s="5"/>
      <c r="E261" s="5"/>
      <c r="F261" s="5"/>
      <c r="G261" s="5"/>
    </row>
    <row r="262" spans="4:7" ht="13">
      <c r="D262" s="5"/>
      <c r="E262" s="5"/>
      <c r="F262" s="5"/>
      <c r="G262" s="5"/>
    </row>
    <row r="263" spans="4:7" ht="13">
      <c r="D263" s="5"/>
      <c r="E263" s="5"/>
      <c r="F263" s="5"/>
      <c r="G263" s="5"/>
    </row>
    <row r="264" spans="4:7" ht="13">
      <c r="D264" s="5"/>
      <c r="E264" s="5"/>
      <c r="F264" s="5"/>
      <c r="G264" s="5"/>
    </row>
    <row r="265" spans="4:7" ht="13">
      <c r="D265" s="5"/>
      <c r="E265" s="5"/>
      <c r="F265" s="5"/>
      <c r="G265" s="5"/>
    </row>
    <row r="266" spans="4:7" ht="13">
      <c r="D266" s="5"/>
      <c r="E266" s="5"/>
      <c r="F266" s="5"/>
      <c r="G266" s="5"/>
    </row>
    <row r="267" spans="4:7" ht="13">
      <c r="D267" s="5"/>
      <c r="E267" s="5"/>
      <c r="F267" s="5"/>
      <c r="G267" s="5"/>
    </row>
    <row r="268" spans="4:7" ht="13">
      <c r="D268" s="5"/>
      <c r="E268" s="5"/>
      <c r="F268" s="5"/>
      <c r="G268" s="5"/>
    </row>
    <row r="269" spans="4:7" ht="13">
      <c r="D269" s="5"/>
      <c r="E269" s="5"/>
      <c r="F269" s="5"/>
      <c r="G269" s="5"/>
    </row>
    <row r="270" spans="4:7" ht="13">
      <c r="D270" s="5"/>
      <c r="E270" s="5"/>
      <c r="F270" s="5"/>
      <c r="G270" s="5"/>
    </row>
    <row r="271" spans="4:7" ht="13">
      <c r="D271" s="5"/>
      <c r="E271" s="5"/>
      <c r="F271" s="5"/>
      <c r="G271" s="5"/>
    </row>
    <row r="272" spans="4:7" ht="13">
      <c r="D272" s="5"/>
      <c r="E272" s="5"/>
      <c r="F272" s="5"/>
      <c r="G272" s="5"/>
    </row>
    <row r="273" spans="4:7" ht="13">
      <c r="D273" s="5"/>
      <c r="E273" s="5"/>
      <c r="F273" s="5"/>
      <c r="G273" s="5"/>
    </row>
    <row r="274" spans="4:7" ht="13">
      <c r="D274" s="5"/>
      <c r="E274" s="5"/>
      <c r="F274" s="5"/>
      <c r="G274" s="5"/>
    </row>
    <row r="275" spans="4:7" ht="13">
      <c r="D275" s="5"/>
      <c r="E275" s="5"/>
      <c r="F275" s="5"/>
      <c r="G275" s="5"/>
    </row>
    <row r="276" spans="4:7" ht="13">
      <c r="D276" s="5"/>
      <c r="E276" s="5"/>
      <c r="F276" s="5"/>
      <c r="G276" s="5"/>
    </row>
    <row r="277" spans="4:7" ht="13">
      <c r="D277" s="5"/>
      <c r="E277" s="5"/>
      <c r="F277" s="5"/>
      <c r="G277" s="5"/>
    </row>
    <row r="278" spans="4:7" ht="13">
      <c r="D278" s="5"/>
      <c r="E278" s="5"/>
      <c r="F278" s="5"/>
      <c r="G278" s="5"/>
    </row>
    <row r="279" spans="4:7" ht="13">
      <c r="D279" s="5"/>
      <c r="E279" s="5"/>
      <c r="F279" s="5"/>
      <c r="G279" s="5"/>
    </row>
    <row r="280" spans="4:7" ht="13">
      <c r="D280" s="5"/>
      <c r="E280" s="5"/>
      <c r="F280" s="5"/>
      <c r="G280" s="5"/>
    </row>
    <row r="281" spans="4:7" ht="13">
      <c r="D281" s="5"/>
      <c r="E281" s="5"/>
      <c r="F281" s="5"/>
      <c r="G281" s="5"/>
    </row>
    <row r="282" spans="4:7" ht="13">
      <c r="D282" s="5"/>
      <c r="E282" s="5"/>
      <c r="F282" s="5"/>
      <c r="G282" s="5"/>
    </row>
    <row r="283" spans="4:7" ht="13">
      <c r="D283" s="5"/>
      <c r="E283" s="5"/>
      <c r="F283" s="5"/>
      <c r="G283" s="5"/>
    </row>
    <row r="284" spans="4:7" ht="13">
      <c r="D284" s="5"/>
      <c r="E284" s="5"/>
      <c r="F284" s="5"/>
      <c r="G284" s="5"/>
    </row>
    <row r="285" spans="4:7" ht="13">
      <c r="D285" s="5"/>
      <c r="E285" s="5"/>
      <c r="F285" s="5"/>
      <c r="G285" s="5"/>
    </row>
    <row r="286" spans="4:7" ht="13">
      <c r="D286" s="5"/>
      <c r="E286" s="5"/>
      <c r="F286" s="5"/>
      <c r="G286" s="5"/>
    </row>
    <row r="287" spans="4:7" ht="13">
      <c r="D287" s="5"/>
      <c r="E287" s="5"/>
      <c r="F287" s="5"/>
      <c r="G287" s="5"/>
    </row>
    <row r="288" spans="4: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sheetData>
  <hyperlinks>
    <hyperlink ref="B5" r:id="rId1" xr:uid="{00000000-0004-0000-6200-000000000000}"/>
    <hyperlink ref="B6" r:id="rId2" xr:uid="{00000000-0004-0000-6200-000001000000}"/>
    <hyperlink ref="B7" r:id="rId3" xr:uid="{00000000-0004-0000-6200-000002000000}"/>
    <hyperlink ref="B8" r:id="rId4" xr:uid="{00000000-0004-0000-6200-000003000000}"/>
    <hyperlink ref="B9" r:id="rId5" xr:uid="{00000000-0004-0000-6200-000004000000}"/>
    <hyperlink ref="B11" r:id="rId6" xr:uid="{00000000-0004-0000-6200-000005000000}"/>
    <hyperlink ref="B12" r:id="rId7" xr:uid="{00000000-0004-0000-6200-000006000000}"/>
    <hyperlink ref="B14" r:id="rId8" xr:uid="{00000000-0004-0000-6200-000007000000}"/>
    <hyperlink ref="B15" r:id="rId9" xr:uid="{00000000-0004-0000-6200-000008000000}"/>
    <hyperlink ref="B16" r:id="rId10" xr:uid="{00000000-0004-0000-6200-000009000000}"/>
    <hyperlink ref="B17" r:id="rId11" xr:uid="{00000000-0004-0000-6200-00000A000000}"/>
    <hyperlink ref="B19" r:id="rId12" xr:uid="{00000000-0004-0000-6200-00000B000000}"/>
    <hyperlink ref="B21" r:id="rId13" xr:uid="{00000000-0004-0000-6200-00000C000000}"/>
    <hyperlink ref="B22" r:id="rId14" xr:uid="{00000000-0004-0000-6200-00000D000000}"/>
    <hyperlink ref="B23" r:id="rId15" xr:uid="{00000000-0004-0000-6200-00000E000000}"/>
    <hyperlink ref="B25" r:id="rId16" xr:uid="{00000000-0004-0000-6200-00000F000000}"/>
    <hyperlink ref="B26" r:id="rId17" xr:uid="{00000000-0004-0000-6200-000010000000}"/>
    <hyperlink ref="B27" r:id="rId18" xr:uid="{00000000-0004-0000-6200-000011000000}"/>
    <hyperlink ref="B28" r:id="rId19" xr:uid="{00000000-0004-0000-6200-000012000000}"/>
    <hyperlink ref="B29" r:id="rId20" xr:uid="{00000000-0004-0000-6200-000013000000}"/>
    <hyperlink ref="B30" r:id="rId21" xr:uid="{00000000-0004-0000-6200-000014000000}"/>
    <hyperlink ref="B31" r:id="rId22" xr:uid="{00000000-0004-0000-6200-000015000000}"/>
    <hyperlink ref="B32" r:id="rId23" xr:uid="{00000000-0004-0000-6200-000016000000}"/>
    <hyperlink ref="B33" r:id="rId24" xr:uid="{00000000-0004-0000-6200-000017000000}"/>
    <hyperlink ref="B34" r:id="rId25" xr:uid="{00000000-0004-0000-6200-000018000000}"/>
    <hyperlink ref="B36" r:id="rId26" xr:uid="{00000000-0004-0000-6200-000019000000}"/>
    <hyperlink ref="B37" r:id="rId27" xr:uid="{00000000-0004-0000-6200-00001A000000}"/>
    <hyperlink ref="B38" r:id="rId28" xr:uid="{00000000-0004-0000-6200-00001B000000}"/>
    <hyperlink ref="B39" r:id="rId29" xr:uid="{00000000-0004-0000-6200-00001C000000}"/>
    <hyperlink ref="B41" r:id="rId30" xr:uid="{00000000-0004-0000-6200-00001D000000}"/>
    <hyperlink ref="B42" r:id="rId31" xr:uid="{00000000-0004-0000-6200-00001E000000}"/>
    <hyperlink ref="B43" r:id="rId32" xr:uid="{00000000-0004-0000-6200-00001F000000}"/>
    <hyperlink ref="B44" r:id="rId33" xr:uid="{00000000-0004-0000-6200-000020000000}"/>
    <hyperlink ref="B45" r:id="rId34" xr:uid="{00000000-0004-0000-6200-000021000000}"/>
    <hyperlink ref="B47" r:id="rId35" xr:uid="{00000000-0004-0000-6200-000022000000}"/>
    <hyperlink ref="B49" r:id="rId36" xr:uid="{00000000-0004-0000-6200-000023000000}"/>
    <hyperlink ref="B50" r:id="rId37" xr:uid="{00000000-0004-0000-6200-000024000000}"/>
    <hyperlink ref="B51" r:id="rId38" xr:uid="{00000000-0004-0000-6200-000025000000}"/>
    <hyperlink ref="B52" r:id="rId39" xr:uid="{00000000-0004-0000-6200-000026000000}"/>
    <hyperlink ref="B53" r:id="rId40" xr:uid="{00000000-0004-0000-6200-000027000000}"/>
    <hyperlink ref="B54" r:id="rId41" xr:uid="{00000000-0004-0000-6200-000028000000}"/>
    <hyperlink ref="B55" r:id="rId42" xr:uid="{00000000-0004-0000-6200-000029000000}"/>
    <hyperlink ref="B56" r:id="rId43" xr:uid="{00000000-0004-0000-6200-00002A000000}"/>
    <hyperlink ref="B57" r:id="rId44" xr:uid="{00000000-0004-0000-6200-00002B000000}"/>
    <hyperlink ref="B58" r:id="rId45" xr:uid="{00000000-0004-0000-6200-00002C000000}"/>
    <hyperlink ref="B59" r:id="rId46" xr:uid="{00000000-0004-0000-6200-00002D000000}"/>
    <hyperlink ref="B60" r:id="rId47" xr:uid="{00000000-0004-0000-6200-00002E000000}"/>
    <hyperlink ref="B61" r:id="rId48" xr:uid="{00000000-0004-0000-6200-00002F000000}"/>
    <hyperlink ref="B62" r:id="rId49" xr:uid="{00000000-0004-0000-6200-000030000000}"/>
    <hyperlink ref="B63" r:id="rId50" xr:uid="{00000000-0004-0000-6200-000031000000}"/>
    <hyperlink ref="B64" r:id="rId51" xr:uid="{00000000-0004-0000-6200-000032000000}"/>
    <hyperlink ref="B65" r:id="rId52" xr:uid="{00000000-0004-0000-6200-000033000000}"/>
    <hyperlink ref="B66" r:id="rId53" xr:uid="{00000000-0004-0000-6200-000034000000}"/>
    <hyperlink ref="B67" r:id="rId54" xr:uid="{00000000-0004-0000-6200-000035000000}"/>
    <hyperlink ref="B68" r:id="rId55" xr:uid="{00000000-0004-0000-6200-000036000000}"/>
    <hyperlink ref="B69" r:id="rId56" xr:uid="{00000000-0004-0000-6200-000037000000}"/>
    <hyperlink ref="B71" r:id="rId57" xr:uid="{00000000-0004-0000-6200-000038000000}"/>
    <hyperlink ref="B72" r:id="rId58" xr:uid="{00000000-0004-0000-6200-000039000000}"/>
    <hyperlink ref="B76" r:id="rId59" xr:uid="{00000000-0004-0000-6200-00003A000000}"/>
    <hyperlink ref="B77" r:id="rId60" xr:uid="{00000000-0004-0000-6200-00003B000000}"/>
    <hyperlink ref="B78" r:id="rId61" xr:uid="{00000000-0004-0000-6200-00003C000000}"/>
    <hyperlink ref="B79" r:id="rId62" xr:uid="{00000000-0004-0000-6200-00003D000000}"/>
    <hyperlink ref="B80" r:id="rId63" xr:uid="{00000000-0004-0000-6200-00003E000000}"/>
    <hyperlink ref="B81" r:id="rId64" xr:uid="{00000000-0004-0000-6200-00003F000000}"/>
    <hyperlink ref="B82" r:id="rId65" xr:uid="{00000000-0004-0000-6200-000040000000}"/>
    <hyperlink ref="B83" r:id="rId66" xr:uid="{00000000-0004-0000-6200-000041000000}"/>
    <hyperlink ref="B84" r:id="rId67" xr:uid="{00000000-0004-0000-6200-000042000000}"/>
    <hyperlink ref="B85" r:id="rId68" xr:uid="{00000000-0004-0000-6200-000043000000}"/>
    <hyperlink ref="B86" r:id="rId69" xr:uid="{00000000-0004-0000-6200-000044000000}"/>
    <hyperlink ref="B87" r:id="rId70" xr:uid="{00000000-0004-0000-6200-000045000000}"/>
    <hyperlink ref="B88" r:id="rId71" xr:uid="{00000000-0004-0000-6200-000046000000}"/>
    <hyperlink ref="B89" r:id="rId72" xr:uid="{00000000-0004-0000-6200-000047000000}"/>
    <hyperlink ref="B90" r:id="rId73" xr:uid="{00000000-0004-0000-6200-000048000000}"/>
    <hyperlink ref="B91" r:id="rId74" xr:uid="{00000000-0004-0000-6200-000049000000}"/>
    <hyperlink ref="B92" r:id="rId75" xr:uid="{00000000-0004-0000-6200-00004A000000}"/>
    <hyperlink ref="B93" r:id="rId76" xr:uid="{00000000-0004-0000-6200-00004B000000}"/>
    <hyperlink ref="B94" r:id="rId77" xr:uid="{00000000-0004-0000-6200-00004C000000}"/>
    <hyperlink ref="B95" r:id="rId78" xr:uid="{00000000-0004-0000-6200-00004D000000}"/>
    <hyperlink ref="B96" r:id="rId79" xr:uid="{00000000-0004-0000-6200-00004E000000}"/>
    <hyperlink ref="B97" r:id="rId80" xr:uid="{00000000-0004-0000-6200-00004F000000}"/>
    <hyperlink ref="B98" r:id="rId81" xr:uid="{00000000-0004-0000-6200-000050000000}"/>
    <hyperlink ref="B99" r:id="rId82" xr:uid="{00000000-0004-0000-6200-000051000000}"/>
    <hyperlink ref="B100" r:id="rId83" xr:uid="{00000000-0004-0000-6200-000052000000}"/>
    <hyperlink ref="B101" r:id="rId84" xr:uid="{00000000-0004-0000-6200-000053000000}"/>
    <hyperlink ref="B102" r:id="rId85" xr:uid="{00000000-0004-0000-6200-000054000000}"/>
    <hyperlink ref="B103" r:id="rId86" xr:uid="{00000000-0004-0000-6200-000055000000}"/>
    <hyperlink ref="B104" r:id="rId87" xr:uid="{00000000-0004-0000-6200-000056000000}"/>
    <hyperlink ref="B105" r:id="rId88" xr:uid="{00000000-0004-0000-6200-000057000000}"/>
    <hyperlink ref="B106" r:id="rId89" xr:uid="{00000000-0004-0000-6200-000058000000}"/>
    <hyperlink ref="B107" r:id="rId90" xr:uid="{00000000-0004-0000-6200-000059000000}"/>
    <hyperlink ref="B108" r:id="rId91" xr:uid="{00000000-0004-0000-6200-00005A000000}"/>
    <hyperlink ref="B109" r:id="rId92" xr:uid="{00000000-0004-0000-6200-00005B000000}"/>
    <hyperlink ref="B110" r:id="rId93" xr:uid="{00000000-0004-0000-6200-00005C000000}"/>
    <hyperlink ref="B111" r:id="rId94" xr:uid="{00000000-0004-0000-6200-00005D000000}"/>
    <hyperlink ref="B112" r:id="rId95" xr:uid="{00000000-0004-0000-6200-00005E000000}"/>
    <hyperlink ref="B113" r:id="rId96" xr:uid="{00000000-0004-0000-6200-00005F000000}"/>
    <hyperlink ref="B114" r:id="rId97" xr:uid="{00000000-0004-0000-6200-000060000000}"/>
    <hyperlink ref="B115" r:id="rId98" xr:uid="{00000000-0004-0000-6200-000061000000}"/>
    <hyperlink ref="B116" r:id="rId99" xr:uid="{00000000-0004-0000-6200-000062000000}"/>
    <hyperlink ref="B117" r:id="rId100" xr:uid="{00000000-0004-0000-6200-000063000000}"/>
    <hyperlink ref="B118" r:id="rId101" xr:uid="{00000000-0004-0000-6200-000064000000}"/>
    <hyperlink ref="B119" r:id="rId102" xr:uid="{00000000-0004-0000-6200-000065000000}"/>
    <hyperlink ref="B120" r:id="rId103" xr:uid="{00000000-0004-0000-6200-000066000000}"/>
    <hyperlink ref="B156" r:id="rId104" xr:uid="{00000000-0004-0000-6200-000067000000}"/>
    <hyperlink ref="B157" r:id="rId105" xr:uid="{00000000-0004-0000-6200-000068000000}"/>
    <hyperlink ref="B158" r:id="rId106" xr:uid="{00000000-0004-0000-6200-000069000000}"/>
    <hyperlink ref="B159" r:id="rId107" xr:uid="{00000000-0004-0000-6200-00006A000000}"/>
    <hyperlink ref="B160" r:id="rId108" xr:uid="{00000000-0004-0000-6200-00006B000000}"/>
    <hyperlink ref="B161" r:id="rId109" xr:uid="{00000000-0004-0000-6200-00006C000000}"/>
    <hyperlink ref="B162" r:id="rId110" xr:uid="{00000000-0004-0000-6200-00006D000000}"/>
    <hyperlink ref="B163" r:id="rId111" xr:uid="{00000000-0004-0000-6200-00006E000000}"/>
    <hyperlink ref="B164" r:id="rId112" xr:uid="{00000000-0004-0000-6200-00006F000000}"/>
    <hyperlink ref="B165" r:id="rId113" xr:uid="{00000000-0004-0000-6200-00007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00">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3.1640625" customWidth="1"/>
    <col min="4" max="4" width="14" customWidth="1"/>
    <col min="5" max="5" width="15.1640625" customWidth="1"/>
  </cols>
  <sheetData>
    <row r="1" spans="1:10" ht="15.75" customHeight="1">
      <c r="A1" s="131" t="s">
        <v>132</v>
      </c>
      <c r="B1" s="88"/>
      <c r="C1" s="132"/>
      <c r="D1" s="81" t="s">
        <v>181</v>
      </c>
      <c r="E1" s="87"/>
      <c r="F1" s="87"/>
      <c r="G1" s="87"/>
      <c r="H1" s="88"/>
      <c r="I1" s="88"/>
    </row>
    <row r="2" spans="1:10" ht="15.75" customHeight="1">
      <c r="A2" s="88" t="s">
        <v>182</v>
      </c>
      <c r="B2" s="139">
        <v>43770</v>
      </c>
      <c r="C2" s="132"/>
      <c r="D2" s="82">
        <f>SUM(D5:G273)</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64" t="s">
        <v>8050</v>
      </c>
      <c r="B5" s="78" t="str">
        <f>HYPERLINK("https://bulbapedia.bulbagarden.net/wiki/Venusaur_%26_Snivy-GX_(Cosmic_Eclipse_1)","Venusaur &amp; SnivyGX")</f>
        <v>Venusaur &amp; SnivyGX</v>
      </c>
      <c r="C5" s="140" t="s">
        <v>205</v>
      </c>
      <c r="D5" s="140"/>
      <c r="E5" s="87"/>
      <c r="F5" s="86"/>
      <c r="G5" s="87"/>
      <c r="H5" s="88"/>
      <c r="I5" s="88"/>
      <c r="J5" s="88"/>
    </row>
    <row r="6" spans="1:10" ht="15.75" customHeight="1">
      <c r="A6" s="64" t="s">
        <v>8051</v>
      </c>
      <c r="B6" s="77" t="s">
        <v>352</v>
      </c>
      <c r="C6" s="140" t="s">
        <v>205</v>
      </c>
      <c r="D6" s="140"/>
      <c r="E6" s="86"/>
      <c r="F6" s="86"/>
      <c r="G6" s="87"/>
      <c r="H6" s="88"/>
      <c r="I6" s="88"/>
      <c r="J6" s="88"/>
    </row>
    <row r="7" spans="1:10" ht="15.75" customHeight="1">
      <c r="A7" s="64" t="s">
        <v>8052</v>
      </c>
      <c r="B7" s="77" t="s">
        <v>335</v>
      </c>
      <c r="C7" s="140" t="s">
        <v>205</v>
      </c>
      <c r="D7" s="140"/>
      <c r="E7" s="89"/>
      <c r="F7" s="86"/>
      <c r="G7" s="87"/>
      <c r="H7" s="88"/>
      <c r="I7" s="88"/>
    </row>
    <row r="8" spans="1:10" ht="15.75" customHeight="1">
      <c r="A8" s="64" t="s">
        <v>8053</v>
      </c>
      <c r="B8" s="78" t="str">
        <f>HYPERLINK("https://bulbapedia.bulbagarden.net/wiki/Vileplume-GX_(Cosmic_Eclipse_4)","VileplumeGX")</f>
        <v>VileplumeGX</v>
      </c>
      <c r="C8" s="140" t="s">
        <v>205</v>
      </c>
      <c r="D8" s="140"/>
      <c r="E8" s="86"/>
      <c r="F8" s="86"/>
      <c r="G8" s="87"/>
      <c r="H8" s="88"/>
      <c r="I8" s="88"/>
    </row>
    <row r="9" spans="1:10" ht="15.75" customHeight="1">
      <c r="A9" s="64" t="s">
        <v>8054</v>
      </c>
      <c r="B9" s="77" t="s">
        <v>297</v>
      </c>
      <c r="C9" s="140" t="s">
        <v>205</v>
      </c>
      <c r="D9" s="140"/>
      <c r="E9" s="89"/>
      <c r="F9" s="86"/>
      <c r="G9" s="87"/>
      <c r="H9" s="88"/>
      <c r="I9" s="88"/>
    </row>
    <row r="10" spans="1:10" ht="15.75" customHeight="1">
      <c r="A10" s="64" t="s">
        <v>8055</v>
      </c>
      <c r="B10" s="77" t="s">
        <v>3339</v>
      </c>
      <c r="C10" s="140" t="s">
        <v>205</v>
      </c>
      <c r="D10" s="140"/>
      <c r="E10" s="86"/>
      <c r="F10" s="86"/>
      <c r="G10" s="87"/>
      <c r="H10" s="88"/>
      <c r="I10" s="88"/>
    </row>
    <row r="11" spans="1:10" ht="15.75" customHeight="1">
      <c r="A11" s="64" t="s">
        <v>8056</v>
      </c>
      <c r="B11" s="77" t="s">
        <v>899</v>
      </c>
      <c r="C11" s="140" t="s">
        <v>205</v>
      </c>
      <c r="D11" s="140"/>
      <c r="E11" s="89"/>
      <c r="F11" s="86"/>
      <c r="G11" s="87"/>
      <c r="H11" s="88"/>
      <c r="I11" s="88"/>
    </row>
    <row r="12" spans="1:10" ht="15.75" customHeight="1">
      <c r="A12" s="64" t="s">
        <v>8057</v>
      </c>
      <c r="B12" s="77" t="s">
        <v>852</v>
      </c>
      <c r="C12" s="140" t="s">
        <v>205</v>
      </c>
      <c r="D12" s="140"/>
      <c r="E12" s="87"/>
      <c r="F12" s="86"/>
      <c r="G12" s="87"/>
      <c r="H12" s="88"/>
      <c r="I12" s="88"/>
    </row>
    <row r="13" spans="1:10" ht="15.75" customHeight="1">
      <c r="A13" s="64" t="s">
        <v>8058</v>
      </c>
      <c r="B13" s="77" t="s">
        <v>775</v>
      </c>
      <c r="C13" s="140" t="s">
        <v>205</v>
      </c>
      <c r="D13" s="140"/>
      <c r="E13" s="89"/>
      <c r="F13" s="87"/>
      <c r="G13" s="87"/>
      <c r="H13" s="88"/>
      <c r="I13" s="88"/>
    </row>
    <row r="14" spans="1:10" ht="15.75" customHeight="1">
      <c r="A14" s="64" t="s">
        <v>8059</v>
      </c>
      <c r="B14" s="77" t="s">
        <v>1412</v>
      </c>
      <c r="C14" s="140" t="s">
        <v>205</v>
      </c>
      <c r="D14" s="140"/>
      <c r="E14" s="86"/>
      <c r="F14" s="87"/>
      <c r="G14" s="87"/>
      <c r="H14" s="88"/>
      <c r="I14" s="88"/>
    </row>
    <row r="15" spans="1:10" ht="15.75" customHeight="1">
      <c r="A15" s="64" t="s">
        <v>8060</v>
      </c>
      <c r="B15" s="77" t="s">
        <v>1359</v>
      </c>
      <c r="C15" s="140" t="s">
        <v>205</v>
      </c>
      <c r="D15" s="140"/>
      <c r="E15" s="86"/>
      <c r="F15" s="86"/>
      <c r="G15" s="87"/>
      <c r="H15" s="88"/>
      <c r="I15" s="88"/>
    </row>
    <row r="16" spans="1:10" ht="15.75" customHeight="1">
      <c r="A16" s="64" t="s">
        <v>8061</v>
      </c>
      <c r="B16" s="77" t="s">
        <v>1830</v>
      </c>
      <c r="C16" s="140" t="s">
        <v>205</v>
      </c>
      <c r="D16" s="140"/>
      <c r="E16" s="86"/>
      <c r="F16" s="86"/>
      <c r="G16" s="87"/>
      <c r="H16" s="88"/>
      <c r="I16" s="88"/>
    </row>
    <row r="17" spans="1:9" ht="15.75" customHeight="1">
      <c r="A17" s="64" t="s">
        <v>8062</v>
      </c>
      <c r="B17" s="77" t="s">
        <v>3261</v>
      </c>
      <c r="C17" s="140" t="s">
        <v>205</v>
      </c>
      <c r="D17" s="140"/>
      <c r="E17" s="86"/>
      <c r="F17" s="86"/>
      <c r="G17" s="87"/>
      <c r="H17" s="88"/>
      <c r="I17" s="88"/>
    </row>
    <row r="18" spans="1:9" ht="15.75" customHeight="1">
      <c r="A18" s="64" t="s">
        <v>8063</v>
      </c>
      <c r="B18" s="77" t="s">
        <v>3192</v>
      </c>
      <c r="C18" s="140" t="s">
        <v>205</v>
      </c>
      <c r="D18" s="140"/>
      <c r="E18" s="86"/>
      <c r="F18" s="86"/>
      <c r="G18" s="87"/>
      <c r="H18" s="88"/>
      <c r="I18" s="88"/>
    </row>
    <row r="19" spans="1:9" ht="15.75" customHeight="1">
      <c r="A19" s="64" t="s">
        <v>8064</v>
      </c>
      <c r="B19" s="77" t="s">
        <v>6021</v>
      </c>
      <c r="C19" s="140" t="s">
        <v>205</v>
      </c>
      <c r="D19" s="140"/>
      <c r="E19" s="87"/>
      <c r="F19" s="86"/>
      <c r="G19" s="87"/>
      <c r="H19" s="88"/>
      <c r="I19" s="88"/>
    </row>
    <row r="20" spans="1:9" ht="15.75" customHeight="1">
      <c r="A20" s="64" t="s">
        <v>8065</v>
      </c>
      <c r="B20" s="77" t="s">
        <v>8506</v>
      </c>
      <c r="C20" s="140" t="s">
        <v>205</v>
      </c>
      <c r="D20" s="140"/>
      <c r="E20" s="89"/>
      <c r="F20" s="86"/>
      <c r="G20" s="87"/>
      <c r="H20" s="88"/>
      <c r="I20" s="88"/>
    </row>
    <row r="21" spans="1:9" ht="15.75" customHeight="1">
      <c r="A21" s="64" t="s">
        <v>8066</v>
      </c>
      <c r="B21" s="77" t="s">
        <v>6205</v>
      </c>
      <c r="C21" s="140" t="s">
        <v>205</v>
      </c>
      <c r="D21" s="140"/>
      <c r="E21" s="86"/>
      <c r="F21" s="89"/>
      <c r="G21" s="87"/>
      <c r="H21" s="88"/>
      <c r="I21" s="88"/>
    </row>
    <row r="22" spans="1:9" ht="15.75" customHeight="1">
      <c r="A22" s="64" t="s">
        <v>8067</v>
      </c>
      <c r="B22" s="77" t="s">
        <v>6205</v>
      </c>
      <c r="C22" s="140" t="s">
        <v>205</v>
      </c>
      <c r="D22" s="140"/>
      <c r="E22" s="86"/>
      <c r="F22" s="87"/>
      <c r="G22" s="87"/>
      <c r="H22" s="88"/>
      <c r="I22" s="88"/>
    </row>
    <row r="23" spans="1:9" ht="15.75" customHeight="1">
      <c r="A23" s="64" t="s">
        <v>8068</v>
      </c>
      <c r="B23" s="77" t="s">
        <v>6465</v>
      </c>
      <c r="C23" s="140" t="s">
        <v>205</v>
      </c>
      <c r="D23" s="140"/>
    </row>
    <row r="24" spans="1:9" ht="15.75" customHeight="1">
      <c r="A24" s="64" t="s">
        <v>8069</v>
      </c>
      <c r="B24" s="77" t="s">
        <v>6252</v>
      </c>
      <c r="C24" s="140" t="s">
        <v>205</v>
      </c>
      <c r="D24" s="141"/>
      <c r="E24" s="87"/>
      <c r="F24" s="86"/>
      <c r="G24" s="87"/>
      <c r="H24" s="88"/>
      <c r="I24" s="88"/>
    </row>
    <row r="25" spans="1:9" ht="15.75" customHeight="1">
      <c r="A25" s="64" t="s">
        <v>8070</v>
      </c>
      <c r="B25" s="77" t="s">
        <v>7161</v>
      </c>
      <c r="C25" s="140" t="s">
        <v>205</v>
      </c>
      <c r="D25" s="141"/>
      <c r="E25" s="89"/>
      <c r="F25" s="89"/>
      <c r="G25" s="87"/>
      <c r="H25" s="88"/>
      <c r="I25" s="88"/>
    </row>
    <row r="26" spans="1:9" ht="15.75" customHeight="1">
      <c r="A26" s="64" t="s">
        <v>8071</v>
      </c>
      <c r="B26" s="78" t="str">
        <f>HYPERLINK("https://bulbapedia.bulbagarden.net/wiki/Charizard_%26_Braixen-GX_(Cosmic_Eclipse_22)","Charizard &amp; BraixenGX")</f>
        <v>Charizard &amp; BraixenGX</v>
      </c>
      <c r="C26" s="140" t="s">
        <v>199</v>
      </c>
      <c r="D26" s="140"/>
      <c r="E26" s="86"/>
      <c r="F26" s="86"/>
      <c r="G26" s="87"/>
      <c r="H26" s="88"/>
      <c r="I26" s="88"/>
    </row>
    <row r="27" spans="1:9" ht="15.75" customHeight="1">
      <c r="A27" s="64" t="s">
        <v>8072</v>
      </c>
      <c r="B27" s="77" t="s">
        <v>291</v>
      </c>
      <c r="C27" s="140" t="s">
        <v>199</v>
      </c>
      <c r="D27" s="140"/>
      <c r="E27" s="87"/>
      <c r="F27" s="89"/>
      <c r="G27" s="87"/>
      <c r="H27" s="88"/>
      <c r="I27" s="88"/>
    </row>
    <row r="28" spans="1:9" ht="15.75" customHeight="1">
      <c r="A28" s="64" t="s">
        <v>8073</v>
      </c>
      <c r="B28" s="77" t="s">
        <v>235</v>
      </c>
      <c r="C28" s="140" t="s">
        <v>199</v>
      </c>
      <c r="D28" s="140"/>
      <c r="E28" s="86"/>
      <c r="F28" s="87"/>
      <c r="G28" s="87"/>
      <c r="H28" s="88"/>
      <c r="I28" s="88"/>
    </row>
    <row r="29" spans="1:9" ht="15.75" customHeight="1">
      <c r="A29" s="64" t="s">
        <v>8074</v>
      </c>
      <c r="B29" s="77" t="s">
        <v>319</v>
      </c>
      <c r="C29" s="140" t="s">
        <v>199</v>
      </c>
      <c r="D29" s="140"/>
      <c r="E29" s="86"/>
      <c r="F29" s="87"/>
      <c r="G29" s="87"/>
      <c r="H29" s="88"/>
      <c r="I29" s="88"/>
    </row>
    <row r="30" spans="1:9" ht="15.75" customHeight="1">
      <c r="A30" s="64" t="s">
        <v>8075</v>
      </c>
      <c r="B30" s="77" t="s">
        <v>980</v>
      </c>
      <c r="C30" s="140" t="s">
        <v>199</v>
      </c>
      <c r="D30" s="140"/>
      <c r="E30" s="86"/>
      <c r="F30" s="87"/>
      <c r="G30" s="87"/>
      <c r="H30" s="88"/>
      <c r="I30" s="88"/>
    </row>
    <row r="31" spans="1:9" ht="15.75" customHeight="1">
      <c r="A31" s="64" t="s">
        <v>8076</v>
      </c>
      <c r="B31" s="77" t="s">
        <v>974</v>
      </c>
      <c r="C31" s="140" t="s">
        <v>199</v>
      </c>
      <c r="D31" s="140"/>
      <c r="E31" s="86"/>
      <c r="F31" s="87"/>
      <c r="G31" s="87"/>
      <c r="H31" s="88"/>
      <c r="I31" s="88"/>
    </row>
    <row r="32" spans="1:9" ht="15.75" customHeight="1">
      <c r="A32" s="64" t="s">
        <v>8077</v>
      </c>
      <c r="B32" s="77" t="s">
        <v>221</v>
      </c>
      <c r="C32" s="140" t="s">
        <v>199</v>
      </c>
      <c r="D32" s="140"/>
      <c r="E32" s="86"/>
      <c r="F32" s="87"/>
      <c r="G32" s="87"/>
      <c r="H32" s="88"/>
      <c r="I32" s="88"/>
    </row>
    <row r="33" spans="1:9" ht="15.75" customHeight="1">
      <c r="A33" s="64" t="s">
        <v>8078</v>
      </c>
      <c r="B33" s="77" t="s">
        <v>1511</v>
      </c>
      <c r="C33" s="140" t="s">
        <v>199</v>
      </c>
      <c r="D33" s="140"/>
      <c r="E33" s="86"/>
      <c r="F33" s="87"/>
      <c r="G33" s="87"/>
      <c r="H33" s="88"/>
      <c r="I33" s="88"/>
    </row>
    <row r="34" spans="1:9" ht="15.75" customHeight="1">
      <c r="A34" s="64" t="s">
        <v>8079</v>
      </c>
      <c r="B34" s="77" t="s">
        <v>4053</v>
      </c>
      <c r="C34" s="140" t="s">
        <v>199</v>
      </c>
      <c r="D34" s="141"/>
      <c r="E34" s="86"/>
      <c r="F34" s="87"/>
      <c r="G34" s="87"/>
      <c r="H34" s="88"/>
      <c r="I34" s="88"/>
    </row>
    <row r="35" spans="1:9" ht="15.75" customHeight="1">
      <c r="A35" s="64" t="s">
        <v>8080</v>
      </c>
      <c r="B35" s="77" t="s">
        <v>4030</v>
      </c>
      <c r="C35" s="140" t="s">
        <v>199</v>
      </c>
      <c r="D35" s="140"/>
      <c r="E35" s="86"/>
      <c r="F35" s="87"/>
      <c r="G35" s="87"/>
      <c r="H35" s="88"/>
      <c r="I35" s="88"/>
    </row>
    <row r="36" spans="1:9" ht="15.75" customHeight="1">
      <c r="A36" s="64" t="s">
        <v>8081</v>
      </c>
      <c r="B36" s="77" t="s">
        <v>4186</v>
      </c>
      <c r="C36" s="140" t="s">
        <v>199</v>
      </c>
      <c r="D36" s="140"/>
      <c r="E36" s="87"/>
      <c r="F36" s="87"/>
      <c r="G36" s="87"/>
      <c r="H36" s="88"/>
      <c r="I36" s="88"/>
    </row>
    <row r="37" spans="1:9" ht="15.75" customHeight="1">
      <c r="A37" s="64" t="s">
        <v>8082</v>
      </c>
      <c r="B37" s="77" t="s">
        <v>4144</v>
      </c>
      <c r="C37" s="140" t="s">
        <v>199</v>
      </c>
      <c r="D37" s="140"/>
      <c r="E37" s="89"/>
      <c r="F37" s="87"/>
      <c r="G37" s="87"/>
      <c r="H37" s="88"/>
      <c r="I37" s="88"/>
    </row>
    <row r="38" spans="1:9" ht="15.75" customHeight="1">
      <c r="A38" s="64" t="s">
        <v>8083</v>
      </c>
      <c r="B38" s="77" t="s">
        <v>4057</v>
      </c>
      <c r="C38" s="140" t="s">
        <v>199</v>
      </c>
      <c r="D38" s="140"/>
      <c r="E38" s="89"/>
      <c r="F38" s="87"/>
      <c r="G38" s="87"/>
      <c r="H38" s="88"/>
      <c r="I38" s="88"/>
    </row>
    <row r="39" spans="1:9" ht="15.75" customHeight="1">
      <c r="A39" s="64" t="s">
        <v>8084</v>
      </c>
      <c r="B39" s="78" t="str">
        <f>HYPERLINK("https://bulbapedia.bulbagarden.net/w/index.php?title=Volcarona-GX_(Cosmic_Eclipse_35)&amp;action=edit&amp;redlink=1","VolcaronaGX")</f>
        <v>VolcaronaGX</v>
      </c>
      <c r="C39" s="140" t="s">
        <v>199</v>
      </c>
      <c r="D39" s="140"/>
      <c r="E39" s="86"/>
      <c r="F39" s="87"/>
      <c r="G39" s="87"/>
      <c r="H39" s="88"/>
      <c r="I39" s="88"/>
    </row>
    <row r="40" spans="1:9" ht="15.75" customHeight="1">
      <c r="A40" s="64" t="s">
        <v>8085</v>
      </c>
      <c r="B40" s="77" t="s">
        <v>5090</v>
      </c>
      <c r="C40" s="140" t="s">
        <v>199</v>
      </c>
      <c r="D40" s="140"/>
      <c r="E40" s="86"/>
      <c r="F40" s="87"/>
      <c r="G40" s="87"/>
      <c r="H40" s="88"/>
      <c r="I40" s="88"/>
    </row>
    <row r="41" spans="1:9" ht="15.75" customHeight="1">
      <c r="A41" s="64" t="s">
        <v>8086</v>
      </c>
      <c r="B41" s="77" t="s">
        <v>4774</v>
      </c>
      <c r="C41" s="140" t="s">
        <v>199</v>
      </c>
      <c r="D41" s="140"/>
      <c r="E41" s="86"/>
      <c r="F41" s="87"/>
      <c r="G41" s="87"/>
      <c r="H41" s="88"/>
      <c r="I41" s="88"/>
    </row>
    <row r="42" spans="1:9" ht="15.75" customHeight="1">
      <c r="A42" s="64" t="s">
        <v>8087</v>
      </c>
      <c r="B42" s="78" t="str">
        <f>HYPERLINK("https://bulbapedia.bulbagarden.net/wiki/Blastoise_%26_Piplup-GX_(Cosmic_Eclipse_38)","Blastoise &amp; PiplupGX")</f>
        <v>Blastoise &amp; PiplupGX</v>
      </c>
      <c r="C42" s="140" t="s">
        <v>208</v>
      </c>
      <c r="D42" s="140"/>
      <c r="E42" s="89"/>
      <c r="F42" s="87"/>
      <c r="G42" s="87"/>
      <c r="H42" s="88"/>
      <c r="I42" s="88"/>
    </row>
    <row r="43" spans="1:9" ht="15.75" customHeight="1">
      <c r="A43" s="64" t="s">
        <v>8088</v>
      </c>
      <c r="B43" s="77" t="s">
        <v>6553</v>
      </c>
      <c r="C43" s="140" t="s">
        <v>208</v>
      </c>
      <c r="D43" s="140"/>
      <c r="E43" s="86"/>
      <c r="F43" s="87"/>
      <c r="G43" s="87"/>
      <c r="H43" s="88"/>
      <c r="I43" s="88"/>
    </row>
    <row r="44" spans="1:9" ht="15.75" customHeight="1">
      <c r="A44" s="64" t="s">
        <v>8089</v>
      </c>
      <c r="B44" s="77" t="s">
        <v>207</v>
      </c>
      <c r="C44" s="140" t="s">
        <v>208</v>
      </c>
      <c r="D44" s="140"/>
      <c r="E44" s="86"/>
      <c r="F44" s="87"/>
      <c r="G44" s="87"/>
      <c r="H44" s="88"/>
      <c r="I44" s="88"/>
    </row>
    <row r="45" spans="1:9" ht="15.75" customHeight="1">
      <c r="A45" s="64" t="s">
        <v>8090</v>
      </c>
      <c r="B45" s="77" t="s">
        <v>369</v>
      </c>
      <c r="C45" s="140" t="s">
        <v>208</v>
      </c>
      <c r="D45" s="140"/>
      <c r="E45" s="86"/>
      <c r="F45" s="87"/>
      <c r="G45" s="87"/>
      <c r="H45" s="88"/>
      <c r="I45" s="88"/>
    </row>
    <row r="46" spans="1:9" ht="15.75" customHeight="1">
      <c r="A46" s="64" t="s">
        <v>8091</v>
      </c>
      <c r="B46" s="77" t="s">
        <v>326</v>
      </c>
      <c r="C46" s="140" t="s">
        <v>208</v>
      </c>
      <c r="D46" s="140"/>
      <c r="E46" s="86"/>
      <c r="F46" s="86"/>
      <c r="G46" s="87"/>
      <c r="H46" s="88"/>
      <c r="I46" s="88"/>
    </row>
    <row r="47" spans="1:9" ht="15.75" customHeight="1">
      <c r="A47" s="64" t="s">
        <v>8092</v>
      </c>
      <c r="B47" s="77" t="s">
        <v>810</v>
      </c>
      <c r="C47" s="140" t="s">
        <v>208</v>
      </c>
      <c r="D47" s="140"/>
      <c r="E47" s="86"/>
      <c r="F47" s="87"/>
      <c r="G47" s="87"/>
      <c r="H47" s="88"/>
      <c r="I47" s="88"/>
    </row>
    <row r="48" spans="1:9" ht="15.75" customHeight="1">
      <c r="A48" s="64" t="s">
        <v>8093</v>
      </c>
      <c r="B48" s="77" t="s">
        <v>3131</v>
      </c>
      <c r="C48" s="140" t="s">
        <v>208</v>
      </c>
      <c r="D48" s="140"/>
      <c r="E48" s="87"/>
      <c r="F48" s="86"/>
      <c r="G48" s="87"/>
      <c r="H48" s="88"/>
      <c r="I48" s="88"/>
    </row>
    <row r="49" spans="1:9" ht="15.75" customHeight="1">
      <c r="A49" s="64" t="s">
        <v>8094</v>
      </c>
      <c r="B49" s="77" t="s">
        <v>1284</v>
      </c>
      <c r="C49" s="140" t="s">
        <v>208</v>
      </c>
      <c r="D49" s="140"/>
      <c r="E49" s="86"/>
      <c r="F49" s="87"/>
      <c r="G49" s="87"/>
      <c r="H49" s="88"/>
      <c r="I49" s="88"/>
    </row>
    <row r="50" spans="1:9" ht="15.75" customHeight="1">
      <c r="A50" s="64" t="s">
        <v>8095</v>
      </c>
      <c r="B50" s="77" t="s">
        <v>1234</v>
      </c>
      <c r="C50" s="140" t="s">
        <v>208</v>
      </c>
      <c r="D50" s="140"/>
      <c r="E50" s="86"/>
      <c r="F50" s="87"/>
      <c r="G50" s="87"/>
      <c r="H50" s="88"/>
      <c r="I50" s="88"/>
    </row>
    <row r="51" spans="1:9" ht="15.75" customHeight="1">
      <c r="A51" s="64" t="s">
        <v>8096</v>
      </c>
      <c r="B51" s="77" t="s">
        <v>1550</v>
      </c>
      <c r="C51" s="140" t="s">
        <v>208</v>
      </c>
      <c r="D51" s="140"/>
      <c r="E51" s="89"/>
      <c r="F51" s="87"/>
      <c r="G51" s="87"/>
      <c r="H51" s="88"/>
      <c r="I51" s="88"/>
    </row>
    <row r="52" spans="1:9" ht="15.75" customHeight="1">
      <c r="A52" s="64" t="s">
        <v>8097</v>
      </c>
      <c r="B52" s="77" t="s">
        <v>1839</v>
      </c>
      <c r="C52" s="140" t="s">
        <v>208</v>
      </c>
      <c r="D52" s="140"/>
      <c r="E52" s="89"/>
      <c r="F52" s="87"/>
      <c r="G52" s="87"/>
      <c r="H52" s="88"/>
      <c r="I52" s="88"/>
    </row>
    <row r="53" spans="1:9" ht="13">
      <c r="A53" s="64" t="s">
        <v>8098</v>
      </c>
      <c r="B53" s="77" t="s">
        <v>1888</v>
      </c>
      <c r="C53" s="140" t="s">
        <v>208</v>
      </c>
      <c r="D53" s="140"/>
      <c r="E53" s="87"/>
      <c r="F53" s="87"/>
      <c r="G53" s="87"/>
      <c r="H53" s="88"/>
      <c r="I53" s="88"/>
    </row>
    <row r="54" spans="1:9" ht="13">
      <c r="A54" s="64" t="s">
        <v>8099</v>
      </c>
      <c r="B54" s="77" t="s">
        <v>1888</v>
      </c>
      <c r="C54" s="140" t="s">
        <v>208</v>
      </c>
      <c r="D54" s="140"/>
      <c r="E54" s="86"/>
      <c r="F54" s="87"/>
      <c r="G54" s="87"/>
      <c r="H54" s="88"/>
      <c r="I54" s="88"/>
    </row>
    <row r="55" spans="1:9" ht="13">
      <c r="A55" s="64" t="s">
        <v>8100</v>
      </c>
      <c r="B55" s="77" t="s">
        <v>1855</v>
      </c>
      <c r="C55" s="140" t="s">
        <v>208</v>
      </c>
      <c r="D55" s="140"/>
      <c r="E55" s="86"/>
      <c r="F55" s="87"/>
      <c r="G55" s="87"/>
      <c r="H55" s="88"/>
      <c r="I55" s="88"/>
    </row>
    <row r="56" spans="1:9" ht="13">
      <c r="A56" s="64" t="s">
        <v>8101</v>
      </c>
      <c r="B56" s="77" t="s">
        <v>1810</v>
      </c>
      <c r="C56" s="140" t="s">
        <v>208</v>
      </c>
      <c r="D56" s="140"/>
      <c r="E56" s="86"/>
      <c r="F56" s="86"/>
      <c r="G56" s="87"/>
      <c r="H56" s="88"/>
      <c r="I56" s="88"/>
    </row>
    <row r="57" spans="1:9" ht="13">
      <c r="A57" s="64" t="s">
        <v>8102</v>
      </c>
      <c r="B57" s="77" t="s">
        <v>2236</v>
      </c>
      <c r="C57" s="140" t="s">
        <v>208</v>
      </c>
      <c r="D57" s="140"/>
      <c r="E57" s="86"/>
      <c r="F57" s="89"/>
      <c r="G57" s="87"/>
      <c r="H57" s="88"/>
      <c r="I57" s="88"/>
    </row>
    <row r="58" spans="1:9" ht="13">
      <c r="A58" s="64" t="s">
        <v>8103</v>
      </c>
      <c r="B58" s="77" t="s">
        <v>3020</v>
      </c>
      <c r="C58" s="140" t="s">
        <v>208</v>
      </c>
      <c r="D58" s="140"/>
      <c r="E58" s="86"/>
      <c r="F58" s="87"/>
      <c r="G58" s="87"/>
      <c r="H58" s="88"/>
      <c r="I58" s="88"/>
    </row>
    <row r="59" spans="1:9" ht="13">
      <c r="A59" s="64" t="s">
        <v>8104</v>
      </c>
      <c r="B59" s="77" t="s">
        <v>3140</v>
      </c>
      <c r="C59" s="140" t="s">
        <v>208</v>
      </c>
      <c r="D59" s="140"/>
      <c r="E59" s="89"/>
      <c r="F59" s="87"/>
      <c r="G59" s="87"/>
      <c r="H59" s="88"/>
      <c r="I59" s="88"/>
    </row>
    <row r="60" spans="1:9" ht="13">
      <c r="A60" s="64" t="s">
        <v>8105</v>
      </c>
      <c r="B60" s="77" t="s">
        <v>3111</v>
      </c>
      <c r="C60" s="140" t="s">
        <v>208</v>
      </c>
      <c r="D60" s="140"/>
      <c r="E60" s="86"/>
      <c r="F60" s="87"/>
      <c r="G60" s="87"/>
      <c r="H60" s="88"/>
      <c r="I60" s="88"/>
    </row>
    <row r="61" spans="1:9" ht="13">
      <c r="A61" s="64" t="s">
        <v>8106</v>
      </c>
      <c r="B61" s="77" t="s">
        <v>3355</v>
      </c>
      <c r="C61" s="140" t="s">
        <v>208</v>
      </c>
      <c r="D61" s="140"/>
      <c r="E61" s="86"/>
      <c r="F61" s="87"/>
      <c r="G61" s="87"/>
      <c r="H61" s="88"/>
      <c r="I61" s="88"/>
    </row>
    <row r="62" spans="1:9" ht="13">
      <c r="A62" s="64" t="s">
        <v>8107</v>
      </c>
      <c r="B62" s="77" t="s">
        <v>4059</v>
      </c>
      <c r="C62" s="140" t="s">
        <v>208</v>
      </c>
      <c r="D62" s="140"/>
      <c r="E62" s="89"/>
      <c r="F62" s="87"/>
      <c r="G62" s="87"/>
      <c r="H62" s="88"/>
      <c r="I62" s="88"/>
    </row>
    <row r="63" spans="1:9" ht="13">
      <c r="A63" s="64" t="s">
        <v>8108</v>
      </c>
      <c r="B63" s="77" t="s">
        <v>4149</v>
      </c>
      <c r="C63" s="140" t="s">
        <v>208</v>
      </c>
      <c r="D63" s="140"/>
      <c r="E63" s="89"/>
      <c r="F63" s="87"/>
      <c r="G63" s="87"/>
      <c r="H63" s="88"/>
      <c r="I63" s="88"/>
    </row>
    <row r="64" spans="1:9" ht="13">
      <c r="A64" s="64" t="s">
        <v>8109</v>
      </c>
      <c r="B64" s="77" t="s">
        <v>4150</v>
      </c>
      <c r="C64" s="140" t="s">
        <v>208</v>
      </c>
      <c r="D64" s="140"/>
      <c r="E64" s="86"/>
      <c r="F64" s="87"/>
      <c r="G64" s="87"/>
      <c r="H64" s="88"/>
      <c r="I64" s="88"/>
    </row>
    <row r="65" spans="1:9" ht="13">
      <c r="A65" s="64" t="s">
        <v>8110</v>
      </c>
      <c r="B65" s="77" t="s">
        <v>4456</v>
      </c>
      <c r="C65" s="140" t="s">
        <v>208</v>
      </c>
      <c r="D65" s="141"/>
      <c r="E65" s="86"/>
      <c r="F65" s="86"/>
      <c r="G65" s="87"/>
      <c r="H65" s="88"/>
      <c r="I65" s="88"/>
    </row>
    <row r="66" spans="1:9" ht="13">
      <c r="A66" s="64" t="s">
        <v>8111</v>
      </c>
      <c r="B66" s="77" t="s">
        <v>6477</v>
      </c>
      <c r="C66" s="140" t="s">
        <v>208</v>
      </c>
      <c r="D66" s="141"/>
      <c r="E66" s="86"/>
      <c r="F66" s="86"/>
      <c r="G66" s="87"/>
      <c r="H66" s="88"/>
      <c r="I66" s="88"/>
    </row>
    <row r="67" spans="1:9" ht="13">
      <c r="A67" s="64" t="s">
        <v>8112</v>
      </c>
      <c r="B67" s="78" t="str">
        <f>HYPERLINK("https://bulbapedia.bulbagarden.net/w/index.php?title=Wishiwashi-GX_(Cosmic_Eclipse_63)&amp;action=edit&amp;redlink=1","WishiwashiGX")</f>
        <v>WishiwashiGX</v>
      </c>
      <c r="C67" s="140" t="s">
        <v>208</v>
      </c>
      <c r="D67" s="140"/>
      <c r="E67" s="86"/>
      <c r="F67" s="87"/>
      <c r="G67" s="87"/>
      <c r="H67" s="88"/>
      <c r="I67" s="88"/>
    </row>
    <row r="68" spans="1:9" ht="13">
      <c r="A68" s="64" t="s">
        <v>8113</v>
      </c>
      <c r="B68" s="77" t="s">
        <v>6478</v>
      </c>
      <c r="C68" s="140" t="s">
        <v>208</v>
      </c>
      <c r="D68" s="140"/>
      <c r="E68" s="86"/>
      <c r="F68" s="87"/>
      <c r="G68" s="87"/>
      <c r="H68" s="88"/>
      <c r="I68" s="88"/>
    </row>
    <row r="69" spans="1:9" ht="13">
      <c r="A69" s="64" t="s">
        <v>8114</v>
      </c>
      <c r="B69" s="77" t="s">
        <v>6479</v>
      </c>
      <c r="C69" s="140" t="s">
        <v>208</v>
      </c>
      <c r="D69" s="140"/>
      <c r="E69" s="86"/>
      <c r="F69" s="87"/>
      <c r="G69" s="87"/>
      <c r="H69" s="88"/>
      <c r="I69" s="88"/>
    </row>
    <row r="70" spans="1:9" ht="13">
      <c r="A70" s="64" t="s">
        <v>8115</v>
      </c>
      <c r="B70" s="77" t="s">
        <v>191</v>
      </c>
      <c r="C70" s="140" t="s">
        <v>192</v>
      </c>
      <c r="D70" s="140"/>
      <c r="E70" s="86"/>
      <c r="F70" s="87"/>
      <c r="G70" s="87"/>
      <c r="H70" s="88"/>
      <c r="I70" s="88"/>
    </row>
    <row r="71" spans="1:9" ht="13">
      <c r="A71" s="64" t="s">
        <v>8116</v>
      </c>
      <c r="B71" s="77" t="s">
        <v>251</v>
      </c>
      <c r="C71" s="140" t="s">
        <v>192</v>
      </c>
      <c r="D71" s="140"/>
      <c r="E71" s="87"/>
      <c r="F71" s="86"/>
      <c r="G71" s="87"/>
      <c r="H71" s="88"/>
      <c r="I71" s="88"/>
    </row>
    <row r="72" spans="1:9" ht="13">
      <c r="A72" s="64" t="s">
        <v>8117</v>
      </c>
      <c r="B72" s="77" t="s">
        <v>285</v>
      </c>
      <c r="C72" s="140" t="s">
        <v>192</v>
      </c>
      <c r="D72" s="140"/>
      <c r="E72" s="86"/>
      <c r="F72" s="87"/>
      <c r="G72" s="87"/>
      <c r="H72" s="88"/>
      <c r="I72" s="88"/>
    </row>
    <row r="73" spans="1:9" ht="13">
      <c r="A73" s="64" t="s">
        <v>8118</v>
      </c>
      <c r="B73" s="77" t="s">
        <v>247</v>
      </c>
      <c r="C73" s="140" t="s">
        <v>192</v>
      </c>
      <c r="D73" s="141"/>
      <c r="E73" s="86"/>
      <c r="F73" s="87"/>
      <c r="G73" s="87"/>
      <c r="H73" s="88"/>
      <c r="I73" s="88"/>
    </row>
    <row r="74" spans="1:9" ht="13">
      <c r="A74" s="64" t="s">
        <v>8119</v>
      </c>
      <c r="B74" s="77" t="s">
        <v>320</v>
      </c>
      <c r="C74" s="140" t="s">
        <v>192</v>
      </c>
      <c r="D74" s="140"/>
      <c r="E74" s="86"/>
      <c r="F74" s="87"/>
      <c r="G74" s="87"/>
      <c r="H74" s="88"/>
      <c r="I74" s="88"/>
    </row>
    <row r="75" spans="1:9" ht="13">
      <c r="A75" s="64" t="s">
        <v>8120</v>
      </c>
      <c r="B75" s="77" t="s">
        <v>860</v>
      </c>
      <c r="C75" s="140" t="s">
        <v>192</v>
      </c>
      <c r="D75" s="140"/>
      <c r="E75" s="86"/>
      <c r="F75" s="87"/>
      <c r="G75" s="87"/>
      <c r="H75" s="88"/>
      <c r="I75" s="88"/>
    </row>
    <row r="76" spans="1:9" ht="13">
      <c r="A76" s="64" t="s">
        <v>8121</v>
      </c>
      <c r="B76" s="77" t="s">
        <v>831</v>
      </c>
      <c r="C76" s="140" t="s">
        <v>192</v>
      </c>
      <c r="D76" s="140"/>
      <c r="E76" s="86"/>
      <c r="F76" s="87"/>
      <c r="G76" s="87"/>
      <c r="H76" s="88"/>
      <c r="I76" s="88"/>
    </row>
    <row r="77" spans="1:9" ht="13">
      <c r="A77" s="64" t="s">
        <v>8122</v>
      </c>
      <c r="B77" s="77" t="s">
        <v>6191</v>
      </c>
      <c r="C77" s="140" t="s">
        <v>192</v>
      </c>
      <c r="D77" s="140"/>
      <c r="E77" s="86"/>
      <c r="F77" s="87"/>
      <c r="G77" s="87"/>
      <c r="H77" s="88"/>
      <c r="I77" s="88"/>
    </row>
    <row r="78" spans="1:9" ht="13">
      <c r="A78" s="64" t="s">
        <v>8123</v>
      </c>
      <c r="B78" s="77" t="s">
        <v>6191</v>
      </c>
      <c r="C78" s="140" t="s">
        <v>192</v>
      </c>
      <c r="D78" s="140"/>
      <c r="E78" s="86"/>
      <c r="F78" s="87"/>
      <c r="G78" s="87"/>
      <c r="H78" s="88"/>
      <c r="I78" s="88"/>
    </row>
    <row r="79" spans="1:9" ht="13">
      <c r="A79" s="64" t="s">
        <v>8124</v>
      </c>
      <c r="B79" s="78" t="str">
        <f>HYPERLINK("https://bulbapedia.bulbagarden.net/wiki/Solgaleo_%26_Lunala-GX_(Cosmic_Eclipse_75)","Solgaleo &amp; LunalaGX")</f>
        <v>Solgaleo &amp; LunalaGX</v>
      </c>
      <c r="C79" s="140" t="s">
        <v>195</v>
      </c>
      <c r="D79" s="140"/>
      <c r="E79" s="86"/>
      <c r="F79" s="87"/>
      <c r="G79" s="87"/>
      <c r="H79" s="88"/>
      <c r="I79" s="88"/>
    </row>
    <row r="80" spans="1:9" ht="13">
      <c r="A80" s="64" t="s">
        <v>8125</v>
      </c>
      <c r="B80" s="77" t="s">
        <v>283</v>
      </c>
      <c r="C80" s="140" t="s">
        <v>195</v>
      </c>
      <c r="D80" s="140"/>
      <c r="E80" s="86"/>
      <c r="F80" s="87"/>
      <c r="G80" s="87"/>
      <c r="H80" s="88"/>
      <c r="I80" s="88"/>
    </row>
    <row r="81" spans="1:9" ht="13">
      <c r="A81" s="64" t="s">
        <v>8126</v>
      </c>
      <c r="B81" s="77" t="s">
        <v>378</v>
      </c>
      <c r="C81" s="140" t="s">
        <v>195</v>
      </c>
      <c r="D81" s="140"/>
      <c r="E81" s="86"/>
      <c r="F81" s="87"/>
      <c r="G81" s="87"/>
      <c r="H81" s="88"/>
      <c r="I81" s="88"/>
    </row>
    <row r="82" spans="1:9" ht="13">
      <c r="A82" s="64" t="s">
        <v>8127</v>
      </c>
      <c r="B82" s="77" t="s">
        <v>881</v>
      </c>
      <c r="C82" s="140" t="s">
        <v>195</v>
      </c>
      <c r="D82" s="140"/>
      <c r="E82" s="87"/>
      <c r="F82" s="87"/>
      <c r="G82" s="87"/>
      <c r="H82" s="88"/>
      <c r="I82" s="88"/>
    </row>
    <row r="83" spans="1:9" ht="13">
      <c r="A83" s="64" t="s">
        <v>8128</v>
      </c>
      <c r="B83" s="77" t="s">
        <v>855</v>
      </c>
      <c r="C83" s="140" t="s">
        <v>195</v>
      </c>
      <c r="D83" s="140"/>
      <c r="E83" s="86"/>
      <c r="F83" s="89"/>
      <c r="G83" s="87"/>
      <c r="H83" s="88"/>
      <c r="I83" s="88"/>
    </row>
    <row r="84" spans="1:9" ht="13">
      <c r="A84" s="64" t="s">
        <v>8129</v>
      </c>
      <c r="B84" s="77" t="s">
        <v>1307</v>
      </c>
      <c r="C84" s="140" t="s">
        <v>195</v>
      </c>
      <c r="D84" s="140"/>
      <c r="E84" s="86"/>
      <c r="F84" s="87"/>
      <c r="G84" s="87"/>
      <c r="H84" s="88"/>
      <c r="I84" s="88"/>
    </row>
    <row r="85" spans="1:9" ht="13">
      <c r="A85" s="64" t="s">
        <v>8130</v>
      </c>
      <c r="B85" s="77" t="s">
        <v>1262</v>
      </c>
      <c r="C85" s="140" t="s">
        <v>195</v>
      </c>
      <c r="D85" s="140"/>
      <c r="E85" s="87"/>
      <c r="F85" s="87"/>
      <c r="G85" s="87"/>
      <c r="H85" s="88"/>
      <c r="I85" s="88"/>
    </row>
    <row r="86" spans="1:9" ht="13">
      <c r="A86" s="64" t="s">
        <v>8131</v>
      </c>
      <c r="B86" s="77" t="s">
        <v>3314</v>
      </c>
      <c r="C86" s="140" t="s">
        <v>195</v>
      </c>
      <c r="D86" s="141"/>
      <c r="E86" s="86"/>
      <c r="F86" s="87"/>
      <c r="G86" s="87"/>
      <c r="H86" s="88"/>
      <c r="I86" s="88"/>
    </row>
    <row r="87" spans="1:9" ht="13">
      <c r="A87" s="64" t="s">
        <v>8132</v>
      </c>
      <c r="B87" s="77" t="s">
        <v>1437</v>
      </c>
      <c r="C87" s="140" t="s">
        <v>195</v>
      </c>
      <c r="D87" s="140"/>
      <c r="E87" s="86"/>
      <c r="F87" s="89"/>
      <c r="G87" s="87"/>
      <c r="H87" s="88"/>
      <c r="I87" s="88"/>
    </row>
    <row r="88" spans="1:9" ht="13">
      <c r="A88" s="64" t="s">
        <v>8133</v>
      </c>
      <c r="B88" s="77" t="s">
        <v>1361</v>
      </c>
      <c r="C88" s="140" t="s">
        <v>195</v>
      </c>
      <c r="D88" s="140"/>
      <c r="E88" s="86"/>
      <c r="F88" s="87"/>
      <c r="G88" s="87"/>
      <c r="H88" s="88"/>
      <c r="I88" s="88"/>
    </row>
    <row r="89" spans="1:9" ht="13">
      <c r="A89" s="64" t="s">
        <v>8134</v>
      </c>
      <c r="B89" s="77" t="s">
        <v>3076</v>
      </c>
      <c r="C89" s="140" t="s">
        <v>195</v>
      </c>
      <c r="D89" s="140"/>
      <c r="E89" s="87"/>
      <c r="F89" s="87"/>
      <c r="G89" s="87"/>
      <c r="H89" s="88"/>
      <c r="I89" s="88"/>
    </row>
    <row r="90" spans="1:9" ht="13">
      <c r="A90" s="64" t="s">
        <v>8135</v>
      </c>
      <c r="B90" s="77" t="s">
        <v>3338</v>
      </c>
      <c r="C90" s="140" t="s">
        <v>195</v>
      </c>
      <c r="D90" s="140"/>
      <c r="E90" s="86"/>
      <c r="F90" s="87"/>
      <c r="G90" s="87"/>
      <c r="H90" s="88"/>
      <c r="I90" s="88"/>
    </row>
    <row r="91" spans="1:9" ht="13">
      <c r="A91" s="64" t="s">
        <v>8136</v>
      </c>
      <c r="B91" s="77" t="s">
        <v>4153</v>
      </c>
      <c r="C91" s="140" t="s">
        <v>195</v>
      </c>
      <c r="D91" s="140"/>
      <c r="E91" s="86"/>
      <c r="F91" s="87"/>
      <c r="G91" s="87"/>
      <c r="H91" s="88"/>
      <c r="I91" s="88"/>
    </row>
    <row r="92" spans="1:9" ht="13">
      <c r="A92" s="64" t="s">
        <v>8137</v>
      </c>
      <c r="B92" s="77" t="s">
        <v>4419</v>
      </c>
      <c r="C92" s="140" t="s">
        <v>195</v>
      </c>
      <c r="D92" s="140"/>
      <c r="E92" s="86"/>
      <c r="F92" s="87"/>
      <c r="G92" s="87"/>
      <c r="H92" s="88"/>
      <c r="I92" s="88"/>
    </row>
    <row r="93" spans="1:9" ht="13">
      <c r="A93" s="64" t="s">
        <v>8138</v>
      </c>
      <c r="B93" s="77" t="s">
        <v>4097</v>
      </c>
      <c r="C93" s="140" t="s">
        <v>195</v>
      </c>
      <c r="D93" s="140"/>
      <c r="E93" s="86"/>
      <c r="F93" s="87"/>
      <c r="G93" s="87"/>
      <c r="H93" s="88"/>
      <c r="I93" s="88"/>
    </row>
    <row r="94" spans="1:9" ht="13">
      <c r="A94" s="64" t="s">
        <v>8139</v>
      </c>
      <c r="B94" s="77" t="s">
        <v>4098</v>
      </c>
      <c r="C94" s="140" t="s">
        <v>195</v>
      </c>
      <c r="D94" s="140"/>
      <c r="E94" s="86"/>
      <c r="F94" s="87"/>
      <c r="G94" s="87"/>
      <c r="H94" s="88"/>
      <c r="I94" s="88"/>
    </row>
    <row r="95" spans="1:9" ht="13">
      <c r="A95" s="64" t="s">
        <v>8140</v>
      </c>
      <c r="B95" s="77" t="s">
        <v>5095</v>
      </c>
      <c r="C95" s="140" t="s">
        <v>195</v>
      </c>
      <c r="D95" s="140"/>
      <c r="E95" s="86"/>
      <c r="F95" s="87"/>
      <c r="G95" s="87"/>
      <c r="H95" s="88"/>
      <c r="I95" s="88"/>
    </row>
    <row r="96" spans="1:9" ht="13">
      <c r="A96" s="64" t="s">
        <v>8141</v>
      </c>
      <c r="B96" s="77" t="s">
        <v>5101</v>
      </c>
      <c r="C96" s="140" t="s">
        <v>195</v>
      </c>
      <c r="D96" s="140"/>
      <c r="E96" s="86"/>
      <c r="F96" s="87"/>
      <c r="G96" s="87"/>
      <c r="H96" s="88"/>
      <c r="I96" s="88"/>
    </row>
    <row r="97" spans="1:9" ht="13">
      <c r="A97" s="64" t="s">
        <v>8142</v>
      </c>
      <c r="B97" s="77" t="s">
        <v>5042</v>
      </c>
      <c r="C97" s="140" t="s">
        <v>195</v>
      </c>
      <c r="D97" s="140"/>
      <c r="E97" s="86"/>
      <c r="F97" s="87"/>
      <c r="G97" s="87"/>
      <c r="H97" s="88"/>
      <c r="I97" s="88"/>
    </row>
    <row r="98" spans="1:9" ht="13">
      <c r="A98" s="64" t="s">
        <v>8143</v>
      </c>
      <c r="B98" s="77" t="s">
        <v>4758</v>
      </c>
      <c r="C98" s="140" t="s">
        <v>195</v>
      </c>
      <c r="D98" s="140"/>
      <c r="E98" s="89"/>
      <c r="F98" s="87"/>
      <c r="G98" s="87"/>
      <c r="H98" s="88"/>
      <c r="I98" s="88"/>
    </row>
    <row r="99" spans="1:9" ht="13">
      <c r="A99" s="64" t="s">
        <v>8144</v>
      </c>
      <c r="B99" s="78" t="str">
        <f>HYPERLINK("https://bulbapedia.bulbagarden.net/wiki/Oricorio-GX_(Cosmic_Eclipse_95)","OricorioGX")</f>
        <v>OricorioGX</v>
      </c>
      <c r="C99" s="140" t="s">
        <v>195</v>
      </c>
      <c r="D99" s="140"/>
      <c r="E99" s="86"/>
      <c r="F99" s="87"/>
      <c r="G99" s="87"/>
      <c r="H99" s="88"/>
      <c r="I99" s="88"/>
    </row>
    <row r="100" spans="1:9" ht="13">
      <c r="A100" s="64" t="s">
        <v>8145</v>
      </c>
      <c r="B100" s="77" t="s">
        <v>6218</v>
      </c>
      <c r="C100" s="140" t="s">
        <v>195</v>
      </c>
      <c r="D100" s="140"/>
      <c r="E100" s="89"/>
      <c r="F100" s="87"/>
      <c r="G100" s="87"/>
      <c r="H100" s="88"/>
      <c r="I100" s="88"/>
    </row>
    <row r="101" spans="1:9" ht="13">
      <c r="A101" s="64" t="s">
        <v>8146</v>
      </c>
      <c r="B101" s="77" t="s">
        <v>6218</v>
      </c>
      <c r="C101" s="140" t="s">
        <v>195</v>
      </c>
      <c r="D101" s="140"/>
      <c r="E101" s="86"/>
      <c r="F101" s="87"/>
      <c r="G101" s="87"/>
      <c r="H101" s="88"/>
      <c r="I101" s="88"/>
    </row>
    <row r="102" spans="1:9" ht="13">
      <c r="A102" s="64" t="s">
        <v>8147</v>
      </c>
      <c r="B102" s="77" t="s">
        <v>6249</v>
      </c>
      <c r="C102" s="140" t="s">
        <v>195</v>
      </c>
      <c r="D102" s="140"/>
      <c r="E102" s="86"/>
      <c r="F102" s="86"/>
      <c r="G102" s="87"/>
      <c r="H102" s="88"/>
      <c r="I102" s="88"/>
    </row>
    <row r="103" spans="1:9" ht="13">
      <c r="A103" s="64" t="s">
        <v>8148</v>
      </c>
      <c r="B103" s="77" t="s">
        <v>6487</v>
      </c>
      <c r="C103" s="140" t="s">
        <v>195</v>
      </c>
      <c r="D103" s="140"/>
      <c r="E103" s="86"/>
      <c r="F103" s="87"/>
      <c r="G103" s="87"/>
      <c r="H103" s="88"/>
      <c r="I103" s="88"/>
    </row>
    <row r="104" spans="1:9" ht="13">
      <c r="A104" s="64" t="s">
        <v>8149</v>
      </c>
      <c r="B104" s="77" t="s">
        <v>6487</v>
      </c>
      <c r="C104" s="140" t="s">
        <v>195</v>
      </c>
      <c r="D104" s="140"/>
      <c r="E104" s="86"/>
      <c r="F104" s="87"/>
      <c r="G104" s="87"/>
      <c r="H104" s="88"/>
      <c r="I104" s="88"/>
    </row>
    <row r="105" spans="1:9" ht="13">
      <c r="A105" s="64" t="s">
        <v>8150</v>
      </c>
      <c r="B105" s="77" t="s">
        <v>6488</v>
      </c>
      <c r="C105" s="140" t="s">
        <v>195</v>
      </c>
      <c r="D105" s="140"/>
      <c r="E105" s="86"/>
      <c r="F105" s="87"/>
      <c r="G105" s="87"/>
      <c r="H105" s="88"/>
      <c r="I105" s="88"/>
    </row>
    <row r="106" spans="1:9" ht="13">
      <c r="A106" s="64" t="s">
        <v>8152</v>
      </c>
      <c r="B106" s="77" t="s">
        <v>6600</v>
      </c>
      <c r="C106" s="140" t="s">
        <v>195</v>
      </c>
      <c r="D106" s="141"/>
      <c r="E106" s="86"/>
      <c r="F106" s="87"/>
      <c r="G106" s="87"/>
      <c r="H106" s="88"/>
      <c r="I106" s="88"/>
    </row>
    <row r="107" spans="1:9" ht="13">
      <c r="A107" s="64" t="s">
        <v>8153</v>
      </c>
      <c r="B107" s="77" t="s">
        <v>6287</v>
      </c>
      <c r="C107" s="140" t="s">
        <v>195</v>
      </c>
      <c r="D107" s="140"/>
      <c r="E107" s="86"/>
      <c r="F107" s="87"/>
      <c r="G107" s="87"/>
      <c r="H107" s="88"/>
      <c r="I107" s="88"/>
    </row>
    <row r="108" spans="1:9" ht="13">
      <c r="A108" s="64" t="s">
        <v>8154</v>
      </c>
      <c r="B108" s="77" t="s">
        <v>8020</v>
      </c>
      <c r="C108" s="140" t="s">
        <v>195</v>
      </c>
      <c r="D108" s="141"/>
      <c r="E108" s="86"/>
      <c r="F108" s="87"/>
      <c r="G108" s="87"/>
      <c r="H108" s="88"/>
      <c r="I108" s="88"/>
    </row>
    <row r="109" spans="1:9" ht="13">
      <c r="A109" s="64" t="s">
        <v>8155</v>
      </c>
      <c r="B109" s="77" t="s">
        <v>288</v>
      </c>
      <c r="C109" s="140" t="s">
        <v>225</v>
      </c>
      <c r="D109" s="140"/>
      <c r="E109" s="86"/>
      <c r="F109" s="87"/>
      <c r="G109" s="87"/>
      <c r="H109" s="88"/>
      <c r="I109" s="88"/>
    </row>
    <row r="110" spans="1:9" ht="13">
      <c r="A110" s="64" t="s">
        <v>8156</v>
      </c>
      <c r="B110" s="77" t="s">
        <v>1240</v>
      </c>
      <c r="C110" s="140" t="s">
        <v>225</v>
      </c>
      <c r="D110" s="140"/>
      <c r="E110" s="86"/>
      <c r="F110" s="87"/>
      <c r="G110" s="87"/>
      <c r="H110" s="88"/>
      <c r="I110" s="88"/>
    </row>
    <row r="111" spans="1:9" ht="13">
      <c r="A111" s="64" t="s">
        <v>8157</v>
      </c>
      <c r="B111" s="77" t="s">
        <v>1461</v>
      </c>
      <c r="C111" s="140" t="s">
        <v>225</v>
      </c>
      <c r="D111" s="140"/>
      <c r="E111" s="89"/>
      <c r="F111" s="87"/>
      <c r="G111" s="87"/>
      <c r="H111" s="88"/>
      <c r="I111" s="88"/>
    </row>
    <row r="112" spans="1:9" ht="13">
      <c r="A112" s="64" t="s">
        <v>8158</v>
      </c>
      <c r="B112" s="77" t="s">
        <v>1461</v>
      </c>
      <c r="C112" s="140" t="s">
        <v>225</v>
      </c>
      <c r="D112" s="140"/>
      <c r="E112" s="86"/>
      <c r="F112" s="89"/>
      <c r="G112" s="87"/>
      <c r="H112" s="88"/>
      <c r="I112" s="88"/>
    </row>
    <row r="113" spans="1:9" ht="13">
      <c r="A113" s="64" t="s">
        <v>8159</v>
      </c>
      <c r="B113" s="77" t="s">
        <v>1524</v>
      </c>
      <c r="C113" s="140" t="s">
        <v>225</v>
      </c>
      <c r="D113" s="140"/>
      <c r="E113" s="86"/>
      <c r="F113" s="89"/>
      <c r="G113" s="87"/>
      <c r="H113" s="88"/>
      <c r="I113" s="88"/>
    </row>
    <row r="114" spans="1:9" ht="13">
      <c r="A114" s="64" t="s">
        <v>8160</v>
      </c>
      <c r="B114" s="78" t="str">
        <f>HYPERLINK("https://bulbapedia.bulbagarden.net/wiki/Flygon-GX_(Cosmic_Eclipse_110)","FlygonGX")</f>
        <v>FlygonGX</v>
      </c>
      <c r="C114" s="140" t="s">
        <v>225</v>
      </c>
      <c r="D114" s="141"/>
      <c r="E114" s="86"/>
      <c r="F114" s="87"/>
      <c r="G114" s="87"/>
      <c r="H114" s="88"/>
      <c r="I114" s="88"/>
    </row>
    <row r="115" spans="1:9" ht="13">
      <c r="A115" s="64" t="s">
        <v>8161</v>
      </c>
      <c r="B115" s="77" t="s">
        <v>1393</v>
      </c>
      <c r="C115" s="140" t="s">
        <v>225</v>
      </c>
      <c r="D115" s="141"/>
      <c r="E115" s="86"/>
      <c r="F115" s="87"/>
      <c r="G115" s="87"/>
      <c r="H115" s="88"/>
      <c r="I115" s="88"/>
    </row>
    <row r="116" spans="1:9" ht="13">
      <c r="A116" s="64" t="s">
        <v>8162</v>
      </c>
      <c r="B116" s="77" t="s">
        <v>1355</v>
      </c>
      <c r="C116" s="140" t="s">
        <v>225</v>
      </c>
      <c r="D116" s="140"/>
      <c r="E116" s="87"/>
      <c r="F116" s="87"/>
      <c r="G116" s="87"/>
      <c r="H116" s="88"/>
      <c r="I116" s="88"/>
    </row>
    <row r="117" spans="1:9" ht="13">
      <c r="A117" s="64" t="s">
        <v>8163</v>
      </c>
      <c r="B117" s="77" t="s">
        <v>1935</v>
      </c>
      <c r="C117" s="140" t="s">
        <v>225</v>
      </c>
      <c r="D117" s="140"/>
      <c r="E117" s="86"/>
      <c r="F117" s="87"/>
      <c r="G117" s="87"/>
      <c r="H117" s="88"/>
      <c r="I117" s="88"/>
    </row>
    <row r="118" spans="1:9" ht="13">
      <c r="A118" s="64" t="s">
        <v>8164</v>
      </c>
      <c r="B118" s="77" t="s">
        <v>4154</v>
      </c>
      <c r="C118" s="140" t="s">
        <v>225</v>
      </c>
      <c r="D118" s="140"/>
      <c r="E118" s="87"/>
      <c r="F118" s="87"/>
      <c r="G118" s="87"/>
      <c r="H118" s="88"/>
      <c r="I118" s="88"/>
    </row>
    <row r="119" spans="1:9" ht="13">
      <c r="A119" s="64" t="s">
        <v>8165</v>
      </c>
      <c r="B119" s="77" t="s">
        <v>4155</v>
      </c>
      <c r="C119" s="140" t="s">
        <v>225</v>
      </c>
      <c r="D119" s="141"/>
      <c r="E119" s="86"/>
      <c r="F119" s="87"/>
      <c r="G119" s="87"/>
      <c r="H119" s="88"/>
      <c r="I119" s="88"/>
    </row>
    <row r="120" spans="1:9" ht="13">
      <c r="A120" s="64" t="s">
        <v>8166</v>
      </c>
      <c r="B120" s="77" t="s">
        <v>4060</v>
      </c>
      <c r="C120" s="140" t="s">
        <v>225</v>
      </c>
      <c r="D120" s="140"/>
      <c r="E120" s="86"/>
      <c r="F120" s="87"/>
      <c r="G120" s="87"/>
      <c r="H120" s="88"/>
      <c r="I120" s="88"/>
    </row>
    <row r="121" spans="1:9" ht="13">
      <c r="A121" s="64" t="s">
        <v>8167</v>
      </c>
      <c r="B121" s="77" t="s">
        <v>4061</v>
      </c>
      <c r="C121" s="140" t="s">
        <v>225</v>
      </c>
      <c r="D121" s="140"/>
      <c r="E121" s="86"/>
      <c r="F121" s="87"/>
      <c r="G121" s="87"/>
      <c r="H121" s="88"/>
      <c r="I121" s="88"/>
    </row>
    <row r="122" spans="1:9" ht="13">
      <c r="A122" s="64" t="s">
        <v>8168</v>
      </c>
      <c r="B122" s="77" t="s">
        <v>4265</v>
      </c>
      <c r="C122" s="140" t="s">
        <v>225</v>
      </c>
      <c r="D122" s="140"/>
      <c r="E122" s="86"/>
      <c r="F122" s="87"/>
      <c r="G122" s="87"/>
      <c r="H122" s="88"/>
      <c r="I122" s="88"/>
    </row>
    <row r="123" spans="1:9" ht="13">
      <c r="A123" s="64" t="s">
        <v>8169</v>
      </c>
      <c r="B123" s="77" t="s">
        <v>5121</v>
      </c>
      <c r="C123" s="140" t="s">
        <v>225</v>
      </c>
      <c r="D123" s="140"/>
      <c r="E123" s="89"/>
      <c r="F123" s="87"/>
      <c r="G123" s="87"/>
      <c r="H123" s="88"/>
      <c r="I123" s="88"/>
    </row>
    <row r="124" spans="1:9" ht="13">
      <c r="A124" s="64" t="s">
        <v>8170</v>
      </c>
      <c r="B124" s="77" t="s">
        <v>4802</v>
      </c>
      <c r="C124" s="140" t="s">
        <v>225</v>
      </c>
      <c r="D124" s="140"/>
      <c r="E124" s="87"/>
      <c r="F124" s="87"/>
      <c r="G124" s="87"/>
      <c r="H124" s="88"/>
      <c r="I124" s="88"/>
    </row>
    <row r="125" spans="1:9" ht="13">
      <c r="A125" s="64" t="s">
        <v>8171</v>
      </c>
      <c r="B125" s="77" t="s">
        <v>6489</v>
      </c>
      <c r="C125" s="140" t="s">
        <v>225</v>
      </c>
      <c r="D125" s="140"/>
      <c r="E125" s="86"/>
      <c r="F125" s="87"/>
      <c r="G125" s="87"/>
      <c r="H125" s="88"/>
      <c r="I125" s="88"/>
    </row>
    <row r="126" spans="1:9" ht="13">
      <c r="A126" s="64" t="s">
        <v>8172</v>
      </c>
      <c r="B126" s="77" t="s">
        <v>6476</v>
      </c>
      <c r="C126" s="140" t="s">
        <v>225</v>
      </c>
      <c r="D126" s="140"/>
      <c r="E126" s="86"/>
      <c r="F126" s="87"/>
      <c r="G126" s="87"/>
      <c r="H126" s="88"/>
      <c r="I126" s="88"/>
    </row>
    <row r="127" spans="1:9" ht="13">
      <c r="A127" s="64" t="s">
        <v>8173</v>
      </c>
      <c r="B127" s="77" t="s">
        <v>6329</v>
      </c>
      <c r="C127" s="140" t="s">
        <v>225</v>
      </c>
      <c r="D127" s="140"/>
      <c r="E127" s="86"/>
      <c r="F127" s="87"/>
      <c r="G127" s="87"/>
      <c r="H127" s="88"/>
      <c r="I127" s="88"/>
    </row>
    <row r="128" spans="1:9" ht="13">
      <c r="A128" s="64" t="s">
        <v>8174</v>
      </c>
      <c r="B128" s="77" t="s">
        <v>6310</v>
      </c>
      <c r="C128" s="140" t="s">
        <v>225</v>
      </c>
      <c r="D128" s="141"/>
      <c r="E128" s="86"/>
      <c r="F128" s="87"/>
      <c r="G128" s="87"/>
      <c r="H128" s="88"/>
      <c r="I128" s="88"/>
    </row>
    <row r="129" spans="1:9" ht="13">
      <c r="A129" s="64" t="s">
        <v>8175</v>
      </c>
      <c r="B129" s="77" t="s">
        <v>6490</v>
      </c>
      <c r="C129" s="140" t="s">
        <v>225</v>
      </c>
      <c r="D129" s="140"/>
      <c r="E129" s="86"/>
      <c r="F129" s="87"/>
      <c r="G129" s="87"/>
      <c r="H129" s="88"/>
      <c r="I129" s="88"/>
    </row>
    <row r="130" spans="1:9" ht="13">
      <c r="A130" s="64" t="s">
        <v>8176</v>
      </c>
      <c r="B130" s="77" t="s">
        <v>6491</v>
      </c>
      <c r="C130" s="140" t="s">
        <v>225</v>
      </c>
      <c r="D130" s="140"/>
      <c r="E130" s="86"/>
      <c r="F130" s="87"/>
      <c r="G130" s="87"/>
      <c r="H130" s="88"/>
      <c r="I130" s="88"/>
    </row>
    <row r="131" spans="1:9" ht="13">
      <c r="A131" s="64" t="s">
        <v>8177</v>
      </c>
      <c r="B131" s="77" t="s">
        <v>6492</v>
      </c>
      <c r="C131" s="140" t="s">
        <v>225</v>
      </c>
      <c r="D131" s="140"/>
      <c r="E131" s="89"/>
      <c r="F131" s="87"/>
      <c r="G131" s="87"/>
      <c r="H131" s="88"/>
      <c r="I131" s="88"/>
    </row>
    <row r="132" spans="1:9" ht="13">
      <c r="A132" s="64" t="s">
        <v>8178</v>
      </c>
      <c r="B132" s="77" t="s">
        <v>6236</v>
      </c>
      <c r="C132" s="140" t="s">
        <v>808</v>
      </c>
      <c r="D132" s="140"/>
      <c r="E132" s="86"/>
      <c r="F132" s="87"/>
      <c r="G132" s="87"/>
      <c r="H132" s="88"/>
      <c r="I132" s="88"/>
    </row>
    <row r="133" spans="1:9" ht="13">
      <c r="A133" s="64" t="s">
        <v>8179</v>
      </c>
      <c r="B133" s="78" t="str">
        <f>HYPERLINK("https://bulbapedia.bulbagarden.net/wiki/Alolan_Persian-GX_(Cosmic_Eclipse_129)","Alolan PersianGX")</f>
        <v>Alolan PersianGX</v>
      </c>
      <c r="C133" s="140" t="s">
        <v>808</v>
      </c>
      <c r="D133" s="141"/>
      <c r="E133" s="89"/>
      <c r="F133" s="87"/>
      <c r="G133" s="87"/>
      <c r="H133" s="88"/>
      <c r="I133" s="88"/>
    </row>
    <row r="134" spans="1:9" ht="13">
      <c r="A134" s="64" t="s">
        <v>8180</v>
      </c>
      <c r="B134" s="77" t="s">
        <v>6483</v>
      </c>
      <c r="C134" s="140" t="s">
        <v>808</v>
      </c>
      <c r="D134" s="140"/>
      <c r="E134" s="87"/>
      <c r="F134" s="87"/>
      <c r="G134" s="87"/>
      <c r="H134" s="88"/>
      <c r="I134" s="88"/>
    </row>
    <row r="135" spans="1:9" ht="13">
      <c r="A135" s="64" t="s">
        <v>8181</v>
      </c>
      <c r="B135" s="77" t="s">
        <v>6484</v>
      </c>
      <c r="C135" s="140" t="s">
        <v>808</v>
      </c>
      <c r="D135" s="140"/>
      <c r="E135" s="86"/>
      <c r="F135" s="87"/>
      <c r="G135" s="87"/>
      <c r="H135" s="88"/>
      <c r="I135" s="88"/>
    </row>
    <row r="136" spans="1:9" ht="13">
      <c r="A136" s="64" t="s">
        <v>8182</v>
      </c>
      <c r="B136" s="77" t="s">
        <v>1288</v>
      </c>
      <c r="C136" s="140" t="s">
        <v>808</v>
      </c>
      <c r="D136" s="140"/>
      <c r="E136" s="86"/>
      <c r="F136" s="87"/>
      <c r="G136" s="87"/>
      <c r="H136" s="88"/>
      <c r="I136" s="88"/>
    </row>
    <row r="137" spans="1:9" ht="13">
      <c r="A137" s="64" t="s">
        <v>8183</v>
      </c>
      <c r="B137" s="77" t="s">
        <v>1491</v>
      </c>
      <c r="C137" s="140" t="s">
        <v>808</v>
      </c>
      <c r="D137" s="140"/>
      <c r="E137" s="86"/>
      <c r="F137" s="87"/>
      <c r="G137" s="87"/>
      <c r="H137" s="88"/>
      <c r="I137" s="88"/>
    </row>
    <row r="138" spans="1:9" ht="13">
      <c r="A138" s="64" t="s">
        <v>8184</v>
      </c>
      <c r="B138" s="77" t="s">
        <v>4101</v>
      </c>
      <c r="C138" s="140" t="s">
        <v>808</v>
      </c>
      <c r="D138" s="140"/>
      <c r="E138" s="87"/>
      <c r="F138" s="87"/>
      <c r="G138" s="87"/>
      <c r="H138" s="88"/>
      <c r="I138" s="88"/>
    </row>
    <row r="139" spans="1:9" ht="13">
      <c r="A139" s="64" t="s">
        <v>8185</v>
      </c>
      <c r="B139" s="77" t="s">
        <v>4102</v>
      </c>
      <c r="C139" s="140" t="s">
        <v>808</v>
      </c>
      <c r="D139" s="140"/>
      <c r="E139" s="86"/>
      <c r="F139" s="86"/>
      <c r="G139" s="87"/>
      <c r="H139" s="88"/>
      <c r="I139" s="88"/>
    </row>
    <row r="140" spans="1:9" ht="13">
      <c r="A140" s="64" t="s">
        <v>8186</v>
      </c>
      <c r="B140" s="77" t="s">
        <v>7165</v>
      </c>
      <c r="C140" s="140" t="s">
        <v>808</v>
      </c>
      <c r="D140" s="141"/>
      <c r="E140" s="86"/>
      <c r="F140" s="87"/>
      <c r="G140" s="87"/>
      <c r="H140" s="88"/>
      <c r="I140" s="88"/>
    </row>
    <row r="141" spans="1:9" ht="13">
      <c r="A141" s="64" t="s">
        <v>8187</v>
      </c>
      <c r="B141" s="77" t="s">
        <v>6549</v>
      </c>
      <c r="C141" s="140" t="s">
        <v>220</v>
      </c>
      <c r="D141" s="140"/>
      <c r="E141" s="86"/>
      <c r="F141" s="87"/>
      <c r="G141" s="87"/>
      <c r="H141" s="88"/>
      <c r="I141" s="88"/>
    </row>
    <row r="142" spans="1:9" ht="13">
      <c r="A142" s="64" t="s">
        <v>8188</v>
      </c>
      <c r="B142" s="77" t="s">
        <v>6337</v>
      </c>
      <c r="C142" s="140" t="s">
        <v>220</v>
      </c>
      <c r="D142" s="140"/>
      <c r="E142" s="86"/>
      <c r="F142" s="89"/>
      <c r="G142" s="87"/>
      <c r="H142" s="88"/>
      <c r="I142" s="88"/>
    </row>
    <row r="143" spans="1:9" ht="13">
      <c r="A143" s="64" t="s">
        <v>8189</v>
      </c>
      <c r="B143" s="77" t="s">
        <v>791</v>
      </c>
      <c r="C143" s="140" t="s">
        <v>220</v>
      </c>
      <c r="D143" s="141"/>
      <c r="E143" s="86"/>
      <c r="F143" s="89"/>
      <c r="G143" s="87"/>
      <c r="H143" s="88"/>
      <c r="I143" s="88"/>
    </row>
    <row r="144" spans="1:9" ht="13">
      <c r="A144" s="64" t="s">
        <v>8190</v>
      </c>
      <c r="B144" s="77" t="s">
        <v>1368</v>
      </c>
      <c r="C144" s="140" t="s">
        <v>220</v>
      </c>
      <c r="D144" s="140"/>
      <c r="E144" s="86"/>
      <c r="F144" s="87"/>
      <c r="G144" s="87"/>
      <c r="H144" s="88"/>
      <c r="I144" s="88"/>
    </row>
    <row r="145" spans="1:9" ht="13">
      <c r="A145" s="64" t="s">
        <v>8191</v>
      </c>
      <c r="B145" s="77" t="s">
        <v>3386</v>
      </c>
      <c r="C145" s="140" t="s">
        <v>220</v>
      </c>
      <c r="D145" s="140"/>
      <c r="E145" s="86"/>
      <c r="F145" s="86"/>
      <c r="G145" s="87"/>
      <c r="H145" s="88"/>
      <c r="I145" s="88"/>
    </row>
    <row r="146" spans="1:9" ht="13">
      <c r="A146" s="64" t="s">
        <v>8192</v>
      </c>
      <c r="B146" s="77" t="s">
        <v>6630</v>
      </c>
      <c r="C146" s="140" t="s">
        <v>220</v>
      </c>
      <c r="D146" s="141"/>
      <c r="E146" s="86"/>
      <c r="F146" s="86"/>
      <c r="G146" s="87"/>
      <c r="H146" s="88"/>
      <c r="I146" s="88"/>
    </row>
    <row r="147" spans="1:9" ht="13">
      <c r="A147" s="64" t="s">
        <v>8193</v>
      </c>
      <c r="B147" s="78" t="str">
        <f>HYPERLINK("https://bulbapedia.bulbagarden.net/wiki/Togepi_%26_Cleffa_%26_Igglybuff-GX_(Cosmic_Eclipse_143)","Togepi &amp; Cleffa &amp; IgglybuffGX")</f>
        <v>Togepi &amp; Cleffa &amp; IgglybuffGX</v>
      </c>
      <c r="C147" s="140" t="s">
        <v>4743</v>
      </c>
      <c r="D147" s="140"/>
      <c r="E147" s="89"/>
      <c r="F147" s="87"/>
      <c r="G147" s="87"/>
      <c r="H147" s="88"/>
      <c r="I147" s="88"/>
    </row>
    <row r="148" spans="1:9" ht="13">
      <c r="A148" s="64" t="s">
        <v>8194</v>
      </c>
      <c r="B148" s="77" t="s">
        <v>244</v>
      </c>
      <c r="C148" s="140" t="s">
        <v>4743</v>
      </c>
      <c r="D148" s="140"/>
      <c r="E148" s="87"/>
      <c r="F148" s="87"/>
      <c r="G148" s="87"/>
      <c r="H148" s="88"/>
      <c r="I148" s="88"/>
    </row>
    <row r="149" spans="1:9" ht="13">
      <c r="A149" s="64" t="s">
        <v>8195</v>
      </c>
      <c r="B149" s="77" t="s">
        <v>6339</v>
      </c>
      <c r="C149" s="140" t="s">
        <v>4743</v>
      </c>
      <c r="D149" s="141"/>
      <c r="E149" s="86"/>
      <c r="F149" s="86"/>
      <c r="G149" s="87"/>
      <c r="H149" s="88"/>
      <c r="I149" s="88"/>
    </row>
    <row r="150" spans="1:9" ht="13">
      <c r="A150" s="64" t="s">
        <v>8196</v>
      </c>
      <c r="B150" s="77" t="s">
        <v>1398</v>
      </c>
      <c r="C150" s="140" t="s">
        <v>4743</v>
      </c>
      <c r="D150" s="140"/>
      <c r="E150" s="86"/>
      <c r="F150" s="87"/>
      <c r="G150" s="87"/>
      <c r="H150" s="88"/>
      <c r="I150" s="88"/>
    </row>
    <row r="151" spans="1:9" ht="13">
      <c r="A151" s="64" t="s">
        <v>8197</v>
      </c>
      <c r="B151" s="77" t="s">
        <v>4356</v>
      </c>
      <c r="C151" s="140" t="s">
        <v>4743</v>
      </c>
      <c r="D151" s="140"/>
      <c r="E151" s="86"/>
      <c r="F151" s="87"/>
      <c r="G151" s="87"/>
      <c r="H151" s="88"/>
      <c r="I151" s="88"/>
    </row>
    <row r="152" spans="1:9" ht="13">
      <c r="A152" s="64" t="s">
        <v>8198</v>
      </c>
      <c r="B152" s="77" t="s">
        <v>4358</v>
      </c>
      <c r="C152" s="140" t="s">
        <v>4743</v>
      </c>
      <c r="D152" s="140"/>
      <c r="E152" s="86"/>
      <c r="F152" s="87"/>
      <c r="G152" s="87"/>
      <c r="H152" s="88"/>
      <c r="I152" s="88"/>
    </row>
    <row r="153" spans="1:9" ht="13">
      <c r="A153" s="64" t="s">
        <v>8199</v>
      </c>
      <c r="B153" s="77" t="s">
        <v>5098</v>
      </c>
      <c r="C153" s="140" t="s">
        <v>4743</v>
      </c>
      <c r="D153" s="140"/>
      <c r="E153" s="86"/>
      <c r="F153" s="87"/>
      <c r="G153" s="87"/>
      <c r="H153" s="88"/>
      <c r="I153" s="88"/>
    </row>
    <row r="154" spans="1:9" ht="13">
      <c r="A154" s="64" t="s">
        <v>8200</v>
      </c>
      <c r="B154" s="77" t="s">
        <v>5098</v>
      </c>
      <c r="C154" s="140" t="s">
        <v>4743</v>
      </c>
      <c r="D154" s="140"/>
      <c r="E154" s="86"/>
      <c r="F154" s="87"/>
      <c r="G154" s="87"/>
      <c r="H154" s="88"/>
      <c r="I154" s="88"/>
    </row>
    <row r="155" spans="1:9" ht="13">
      <c r="A155" s="64" t="s">
        <v>8201</v>
      </c>
      <c r="B155" s="77" t="s">
        <v>4898</v>
      </c>
      <c r="C155" s="140" t="s">
        <v>4743</v>
      </c>
      <c r="D155" s="140"/>
      <c r="E155" s="86"/>
      <c r="F155" s="86"/>
      <c r="G155" s="87"/>
      <c r="H155" s="88"/>
      <c r="I155" s="88"/>
    </row>
    <row r="156" spans="1:9" ht="13">
      <c r="A156" s="64" t="s">
        <v>8202</v>
      </c>
      <c r="B156" s="77" t="s">
        <v>5099</v>
      </c>
      <c r="C156" s="140" t="s">
        <v>4743</v>
      </c>
      <c r="D156" s="141"/>
      <c r="E156" s="86"/>
      <c r="F156" s="86"/>
      <c r="G156" s="87"/>
      <c r="H156" s="88"/>
      <c r="I156" s="88"/>
    </row>
    <row r="157" spans="1:9" ht="13">
      <c r="A157" s="64" t="s">
        <v>8203</v>
      </c>
      <c r="B157" s="77" t="s">
        <v>5018</v>
      </c>
      <c r="C157" s="140" t="s">
        <v>4743</v>
      </c>
      <c r="D157" s="140"/>
      <c r="E157" s="86"/>
      <c r="F157" s="86"/>
      <c r="G157" s="87"/>
      <c r="H157" s="88"/>
      <c r="I157" s="88"/>
    </row>
    <row r="158" spans="1:9" ht="13">
      <c r="A158" s="64" t="s">
        <v>8204</v>
      </c>
      <c r="B158" s="77" t="s">
        <v>4760</v>
      </c>
      <c r="C158" s="140" t="s">
        <v>4743</v>
      </c>
      <c r="D158" s="140"/>
      <c r="E158" s="86"/>
      <c r="F158" s="87"/>
      <c r="G158" s="87"/>
      <c r="H158" s="88"/>
      <c r="I158" s="88"/>
    </row>
    <row r="159" spans="1:9" ht="13">
      <c r="A159" s="64" t="s">
        <v>8205</v>
      </c>
      <c r="B159" s="77" t="s">
        <v>4742</v>
      </c>
      <c r="C159" s="140" t="s">
        <v>4743</v>
      </c>
      <c r="D159" s="140"/>
      <c r="E159" s="86"/>
      <c r="F159" s="89"/>
      <c r="G159" s="87"/>
      <c r="H159" s="88"/>
      <c r="I159" s="88"/>
    </row>
    <row r="160" spans="1:9" ht="13">
      <c r="A160" s="64" t="s">
        <v>8206</v>
      </c>
      <c r="B160" s="78" t="str">
        <f>HYPERLINK("https://bulbapedia.bulbagarden.net/wiki/Arceus_%26_Dialga_%26_Palkia-GX_(Cosmic_Eclipse_156)","Arceus &amp; Dialga &amp; PalkiaGX")</f>
        <v>Arceus &amp; Dialga &amp; PalkiaGX</v>
      </c>
      <c r="C160" s="140" t="s">
        <v>4285</v>
      </c>
      <c r="D160" s="140"/>
      <c r="E160" s="87"/>
      <c r="F160" s="87"/>
      <c r="G160" s="87"/>
      <c r="H160" s="88"/>
      <c r="I160" s="88"/>
    </row>
    <row r="161" spans="1:9" ht="13">
      <c r="A161" s="64" t="s">
        <v>8207</v>
      </c>
      <c r="B161" s="78" t="str">
        <f>HYPERLINK("https://bulbapedia.bulbagarden.net/wiki/Reshiram_%26_Zekrom-GX_(Cosmic_Eclipse_157)","Reshiram &amp; ZekromGX")</f>
        <v>Reshiram &amp; ZekromGX</v>
      </c>
      <c r="C161" s="140" t="s">
        <v>4285</v>
      </c>
      <c r="D161" s="140"/>
      <c r="E161" s="86"/>
      <c r="F161" s="86"/>
      <c r="G161" s="87"/>
      <c r="H161" s="88"/>
      <c r="I161" s="137"/>
    </row>
    <row r="162" spans="1:9" ht="13">
      <c r="A162" s="64" t="s">
        <v>8208</v>
      </c>
      <c r="B162" s="78" t="str">
        <f>HYPERLINK("https://bulbapedia.bulbagarden.net/wiki/Naganadel_%26_Guzzlord-GX_(Cosmic_Eclipse_158)","Naganadel &amp; GuzzlordGX")</f>
        <v>Naganadel &amp; GuzzlordGX</v>
      </c>
      <c r="C162" s="140" t="s">
        <v>4285</v>
      </c>
      <c r="D162" s="140"/>
      <c r="E162" s="89"/>
      <c r="F162" s="87"/>
      <c r="G162" s="87"/>
      <c r="H162" s="88"/>
      <c r="I162" s="88"/>
    </row>
    <row r="163" spans="1:9" ht="13">
      <c r="A163" s="64" t="s">
        <v>8209</v>
      </c>
      <c r="B163" s="77" t="s">
        <v>6643</v>
      </c>
      <c r="C163" s="140" t="s">
        <v>4285</v>
      </c>
      <c r="D163" s="140"/>
      <c r="E163" s="89"/>
      <c r="F163" s="86"/>
      <c r="G163" s="87"/>
      <c r="H163" s="88"/>
      <c r="I163" s="88"/>
    </row>
    <row r="164" spans="1:9" ht="13">
      <c r="A164" s="64" t="s">
        <v>8210</v>
      </c>
      <c r="B164" s="77" t="s">
        <v>6645</v>
      </c>
      <c r="C164" s="140" t="s">
        <v>4285</v>
      </c>
      <c r="D164" s="140"/>
      <c r="E164" s="87"/>
      <c r="F164" s="87"/>
      <c r="G164" s="87"/>
      <c r="H164" s="88"/>
      <c r="I164" s="88"/>
    </row>
    <row r="165" spans="1:9" ht="13">
      <c r="A165" s="64" t="s">
        <v>8211</v>
      </c>
      <c r="B165" s="77" t="s">
        <v>6645</v>
      </c>
      <c r="C165" s="140" t="s">
        <v>4285</v>
      </c>
      <c r="D165" s="140"/>
      <c r="E165" s="86"/>
      <c r="F165" s="87"/>
      <c r="G165" s="87"/>
      <c r="H165" s="88"/>
      <c r="I165" s="88"/>
    </row>
    <row r="166" spans="1:9" ht="13">
      <c r="A166" s="64" t="s">
        <v>8212</v>
      </c>
      <c r="B166" s="77" t="s">
        <v>6647</v>
      </c>
      <c r="C166" s="140" t="s">
        <v>4285</v>
      </c>
      <c r="D166" s="140"/>
      <c r="E166" s="89"/>
      <c r="F166" s="87"/>
      <c r="G166" s="87"/>
      <c r="H166" s="88"/>
      <c r="I166" s="88"/>
    </row>
    <row r="167" spans="1:9" ht="13">
      <c r="A167" s="64" t="s">
        <v>8213</v>
      </c>
      <c r="B167" s="77" t="s">
        <v>6866</v>
      </c>
      <c r="C167" s="140" t="s">
        <v>4285</v>
      </c>
      <c r="D167" s="141"/>
      <c r="E167" s="86"/>
      <c r="F167" s="86"/>
      <c r="G167" s="87"/>
      <c r="H167" s="88"/>
      <c r="I167" s="88"/>
    </row>
    <row r="168" spans="1:9" ht="13">
      <c r="A168" s="64" t="s">
        <v>8214</v>
      </c>
      <c r="B168" s="77" t="s">
        <v>6378</v>
      </c>
      <c r="C168" s="140" t="s">
        <v>4285</v>
      </c>
      <c r="D168" s="141"/>
      <c r="E168" s="89"/>
      <c r="F168" s="86"/>
      <c r="G168" s="87"/>
      <c r="H168" s="88"/>
      <c r="I168" s="88"/>
    </row>
    <row r="169" spans="1:9" ht="13">
      <c r="A169" s="64" t="s">
        <v>8215</v>
      </c>
      <c r="B169" s="78" t="str">
        <f>HYPERLINK("https://bulbapedia.bulbagarden.net/wiki/Mega_Lopunny_%26_Jigglypuff-GX_(Cosmic_Eclipse_165)","Mega Lopunny &amp; JigglypuffGX")</f>
        <v>Mega Lopunny &amp; JigglypuffGX</v>
      </c>
      <c r="C169" s="140" t="s">
        <v>197</v>
      </c>
      <c r="D169" s="141"/>
      <c r="E169" s="89"/>
      <c r="F169" s="87"/>
      <c r="G169" s="87"/>
      <c r="H169" s="88"/>
      <c r="I169" s="88"/>
    </row>
    <row r="170" spans="1:9" ht="13">
      <c r="A170" s="64" t="s">
        <v>8216</v>
      </c>
      <c r="B170" s="77" t="s">
        <v>203</v>
      </c>
      <c r="C170" s="140" t="s">
        <v>197</v>
      </c>
      <c r="D170" s="140"/>
      <c r="E170" s="89"/>
      <c r="F170" s="87"/>
      <c r="G170" s="87"/>
      <c r="H170" s="88"/>
      <c r="I170" s="88"/>
    </row>
    <row r="171" spans="1:9" ht="13">
      <c r="A171" s="64" t="s">
        <v>8217</v>
      </c>
      <c r="B171" s="77" t="s">
        <v>203</v>
      </c>
      <c r="C171" s="140" t="s">
        <v>197</v>
      </c>
      <c r="D171" s="140"/>
      <c r="E171" s="89"/>
      <c r="F171" s="87"/>
      <c r="G171" s="87"/>
      <c r="H171" s="88"/>
      <c r="I171" s="88"/>
    </row>
    <row r="172" spans="1:9" ht="13">
      <c r="A172" s="64" t="s">
        <v>8218</v>
      </c>
      <c r="B172" s="77" t="s">
        <v>223</v>
      </c>
      <c r="C172" s="140" t="s">
        <v>197</v>
      </c>
      <c r="D172" s="140"/>
      <c r="E172" s="89"/>
      <c r="F172" s="86"/>
      <c r="G172" s="87"/>
      <c r="H172" s="88"/>
      <c r="I172" s="88"/>
    </row>
    <row r="173" spans="1:9" ht="13">
      <c r="A173" s="64" t="s">
        <v>8219</v>
      </c>
      <c r="B173" s="77" t="s">
        <v>812</v>
      </c>
      <c r="C173" s="140" t="s">
        <v>197</v>
      </c>
      <c r="D173" s="140"/>
      <c r="E173" s="86"/>
      <c r="F173" s="87"/>
      <c r="G173" s="87"/>
      <c r="H173" s="88"/>
      <c r="I173" s="88"/>
    </row>
    <row r="174" spans="1:9" ht="13">
      <c r="A174" s="64" t="s">
        <v>8220</v>
      </c>
      <c r="B174" s="77" t="s">
        <v>3158</v>
      </c>
      <c r="C174" s="140" t="s">
        <v>197</v>
      </c>
      <c r="D174" s="140"/>
      <c r="E174" s="87"/>
      <c r="F174" s="87"/>
      <c r="G174" s="87"/>
      <c r="H174" s="88"/>
      <c r="I174" s="88"/>
    </row>
    <row r="175" spans="1:9" ht="13">
      <c r="A175" s="64" t="s">
        <v>8221</v>
      </c>
      <c r="B175" s="77" t="s">
        <v>957</v>
      </c>
      <c r="C175" s="140" t="s">
        <v>197</v>
      </c>
      <c r="D175" s="140"/>
      <c r="E175" s="86"/>
      <c r="F175" s="87"/>
      <c r="G175" s="87"/>
      <c r="H175" s="88"/>
      <c r="I175" s="88"/>
    </row>
    <row r="176" spans="1:9" ht="13">
      <c r="A176" s="64" t="s">
        <v>8222</v>
      </c>
      <c r="B176" s="77" t="s">
        <v>944</v>
      </c>
      <c r="C176" s="140" t="s">
        <v>197</v>
      </c>
      <c r="D176" s="140"/>
      <c r="E176" s="86"/>
      <c r="F176" s="87"/>
      <c r="G176" s="87"/>
      <c r="H176" s="88"/>
      <c r="I176" s="88"/>
    </row>
    <row r="177" spans="1:9" ht="13">
      <c r="A177" s="64" t="s">
        <v>8223</v>
      </c>
      <c r="B177" s="77" t="s">
        <v>1378</v>
      </c>
      <c r="C177" s="140" t="s">
        <v>197</v>
      </c>
      <c r="D177" s="140"/>
      <c r="E177" s="86"/>
      <c r="F177" s="89"/>
      <c r="G177" s="87"/>
      <c r="H177" s="88"/>
      <c r="I177" s="88"/>
    </row>
    <row r="178" spans="1:9" ht="13">
      <c r="A178" s="64" t="s">
        <v>8224</v>
      </c>
      <c r="B178" s="77" t="s">
        <v>4161</v>
      </c>
      <c r="C178" s="140" t="s">
        <v>197</v>
      </c>
      <c r="D178" s="140"/>
      <c r="E178" s="86"/>
      <c r="F178" s="87"/>
      <c r="G178" s="87"/>
      <c r="H178" s="88"/>
      <c r="I178" s="88"/>
    </row>
    <row r="179" spans="1:9" ht="13">
      <c r="A179" s="64" t="s">
        <v>8225</v>
      </c>
      <c r="B179" s="77" t="s">
        <v>4162</v>
      </c>
      <c r="C179" s="140" t="s">
        <v>197</v>
      </c>
      <c r="D179" s="140"/>
      <c r="E179" s="87"/>
      <c r="F179" s="87"/>
      <c r="G179" s="87"/>
      <c r="H179" s="88"/>
      <c r="I179" s="88"/>
    </row>
    <row r="180" spans="1:9" ht="13">
      <c r="A180" s="64" t="s">
        <v>8226</v>
      </c>
      <c r="B180" s="77" t="s">
        <v>4163</v>
      </c>
      <c r="C180" s="140" t="s">
        <v>197</v>
      </c>
      <c r="D180" s="141"/>
      <c r="E180" s="86"/>
      <c r="F180" s="86"/>
      <c r="G180" s="87"/>
      <c r="H180" s="88"/>
      <c r="I180" s="88"/>
    </row>
    <row r="181" spans="1:9" ht="13">
      <c r="A181" s="64" t="s">
        <v>8227</v>
      </c>
      <c r="B181" s="77" t="s">
        <v>4316</v>
      </c>
      <c r="C181" s="140" t="s">
        <v>197</v>
      </c>
      <c r="D181" s="140"/>
      <c r="E181" s="86"/>
      <c r="F181" s="87"/>
      <c r="G181" s="87"/>
      <c r="H181" s="88"/>
      <c r="I181" s="88"/>
    </row>
    <row r="182" spans="1:9" ht="13">
      <c r="A182" s="64" t="s">
        <v>8228</v>
      </c>
      <c r="B182" s="77" t="s">
        <v>4318</v>
      </c>
      <c r="C182" s="140" t="s">
        <v>197</v>
      </c>
      <c r="D182" s="140"/>
      <c r="E182" s="89"/>
      <c r="F182" s="87"/>
      <c r="G182" s="87"/>
      <c r="H182" s="88"/>
      <c r="I182" s="88"/>
    </row>
    <row r="183" spans="1:9" ht="13">
      <c r="A183" s="64" t="s">
        <v>8229</v>
      </c>
      <c r="B183" s="77" t="s">
        <v>5093</v>
      </c>
      <c r="C183" s="140" t="s">
        <v>197</v>
      </c>
      <c r="D183" s="140"/>
      <c r="E183" s="86"/>
      <c r="F183" s="89"/>
      <c r="G183" s="87"/>
      <c r="H183" s="88"/>
      <c r="I183" s="88"/>
    </row>
    <row r="184" spans="1:9" ht="13">
      <c r="A184" s="64" t="s">
        <v>8230</v>
      </c>
      <c r="B184" s="77" t="s">
        <v>4797</v>
      </c>
      <c r="C184" s="140" t="s">
        <v>197</v>
      </c>
      <c r="D184" s="140"/>
      <c r="E184" s="89"/>
      <c r="F184" s="87"/>
      <c r="G184" s="87"/>
      <c r="H184" s="88"/>
      <c r="I184" s="88"/>
    </row>
    <row r="185" spans="1:9" ht="13">
      <c r="A185" s="64" t="s">
        <v>8231</v>
      </c>
      <c r="B185" s="77" t="s">
        <v>6503</v>
      </c>
      <c r="C185" s="140" t="s">
        <v>197</v>
      </c>
      <c r="D185" s="140"/>
      <c r="E185" s="86"/>
      <c r="F185" s="89"/>
      <c r="G185" s="87"/>
      <c r="H185" s="88"/>
      <c r="I185" s="88"/>
    </row>
    <row r="186" spans="1:9" ht="13">
      <c r="A186" s="64" t="s">
        <v>8232</v>
      </c>
      <c r="B186" s="77" t="s">
        <v>6504</v>
      </c>
      <c r="C186" s="140" t="s">
        <v>197</v>
      </c>
      <c r="D186" s="140"/>
      <c r="E186" s="89"/>
      <c r="F186" s="89"/>
      <c r="G186" s="87"/>
      <c r="H186" s="88"/>
      <c r="I186" s="88"/>
    </row>
    <row r="187" spans="1:9" ht="13">
      <c r="A187" s="64" t="s">
        <v>8233</v>
      </c>
      <c r="B187" s="77" t="s">
        <v>6868</v>
      </c>
      <c r="C187" s="140" t="s">
        <v>197</v>
      </c>
      <c r="D187" s="140"/>
      <c r="E187" s="87"/>
      <c r="F187" s="86"/>
      <c r="G187" s="87"/>
      <c r="H187" s="88"/>
      <c r="I187" s="88"/>
    </row>
    <row r="188" spans="1:9" ht="13">
      <c r="A188" s="64" t="s">
        <v>8234</v>
      </c>
      <c r="B188" s="78" t="str">
        <f>HYPERLINK("https://bulbapedia.bulbagarden.net/wiki/Silvally-GX_(Cosmic_Eclipse_184)","SilvallyGX")</f>
        <v>SilvallyGX</v>
      </c>
      <c r="C188" s="140" t="s">
        <v>197</v>
      </c>
      <c r="D188" s="140"/>
      <c r="E188" s="89"/>
      <c r="F188" s="87"/>
      <c r="G188" s="87"/>
      <c r="H188" s="88"/>
      <c r="I188" s="88"/>
    </row>
    <row r="189" spans="1:9" ht="13">
      <c r="A189" s="64" t="s">
        <v>8235</v>
      </c>
      <c r="B189" s="77" t="s">
        <v>8507</v>
      </c>
      <c r="C189" s="140" t="s">
        <v>4114</v>
      </c>
      <c r="D189" s="140"/>
      <c r="E189" s="89"/>
      <c r="F189" s="87"/>
      <c r="G189" s="87"/>
      <c r="H189" s="88"/>
      <c r="I189" s="88"/>
    </row>
    <row r="190" spans="1:9" ht="13">
      <c r="A190" s="64" t="s">
        <v>8236</v>
      </c>
      <c r="B190" s="77" t="s">
        <v>8508</v>
      </c>
      <c r="C190" s="140" t="s">
        <v>1013</v>
      </c>
      <c r="D190" s="140"/>
      <c r="E190" s="86"/>
      <c r="F190" s="86"/>
      <c r="G190" s="87"/>
      <c r="H190" s="88"/>
      <c r="I190" s="88"/>
    </row>
    <row r="191" spans="1:9" ht="13">
      <c r="A191" s="64" t="s">
        <v>8238</v>
      </c>
      <c r="B191" s="77" t="s">
        <v>8509</v>
      </c>
      <c r="C191" s="140" t="s">
        <v>229</v>
      </c>
      <c r="D191" s="140"/>
      <c r="E191" s="86"/>
      <c r="F191" s="87"/>
      <c r="G191" s="87"/>
      <c r="H191" s="88"/>
      <c r="I191" s="88"/>
    </row>
    <row r="192" spans="1:9" ht="13">
      <c r="A192" s="64" t="s">
        <v>8240</v>
      </c>
      <c r="B192" s="77" t="s">
        <v>8510</v>
      </c>
      <c r="C192" s="140" t="s">
        <v>1013</v>
      </c>
      <c r="D192" s="140"/>
      <c r="E192" s="86"/>
      <c r="F192" s="89"/>
      <c r="G192" s="87"/>
      <c r="H192" s="88"/>
      <c r="I192" s="88"/>
    </row>
    <row r="193" spans="1:9" ht="13">
      <c r="A193" s="64" t="s">
        <v>8242</v>
      </c>
      <c r="B193" s="77" t="s">
        <v>8511</v>
      </c>
      <c r="C193" s="140" t="s">
        <v>1013</v>
      </c>
      <c r="D193" s="140"/>
      <c r="E193" s="87"/>
      <c r="F193" s="86"/>
      <c r="G193" s="87"/>
      <c r="H193" s="88"/>
      <c r="I193" s="88"/>
    </row>
    <row r="194" spans="1:9" ht="13">
      <c r="A194" s="64" t="s">
        <v>8244</v>
      </c>
      <c r="B194" s="77" t="s">
        <v>8512</v>
      </c>
      <c r="C194" s="140" t="s">
        <v>4114</v>
      </c>
      <c r="D194" s="140"/>
      <c r="E194" s="87"/>
      <c r="F194" s="89"/>
      <c r="G194" s="87"/>
      <c r="H194" s="88"/>
      <c r="I194" s="88"/>
    </row>
    <row r="195" spans="1:9" ht="13">
      <c r="A195" s="64" t="s">
        <v>8246</v>
      </c>
      <c r="B195" s="77" t="s">
        <v>546</v>
      </c>
      <c r="C195" s="140" t="s">
        <v>1013</v>
      </c>
      <c r="D195" s="140"/>
      <c r="E195" s="89"/>
      <c r="F195" s="89"/>
      <c r="G195" s="87"/>
      <c r="H195" s="88"/>
      <c r="I195" s="88"/>
    </row>
    <row r="196" spans="1:9" ht="13">
      <c r="A196" s="64" t="s">
        <v>8248</v>
      </c>
      <c r="B196" s="77" t="s">
        <v>8513</v>
      </c>
      <c r="C196" s="140" t="s">
        <v>4114</v>
      </c>
      <c r="D196" s="140"/>
      <c r="E196" s="87"/>
      <c r="F196" s="87"/>
      <c r="G196" s="87"/>
      <c r="H196" s="88"/>
      <c r="I196" s="88"/>
    </row>
    <row r="197" spans="1:9" ht="13">
      <c r="A197" s="64" t="s">
        <v>8250</v>
      </c>
      <c r="B197" s="77" t="s">
        <v>8514</v>
      </c>
      <c r="C197" s="140" t="s">
        <v>1013</v>
      </c>
      <c r="D197" s="140"/>
      <c r="E197" s="86"/>
      <c r="F197" s="87"/>
      <c r="G197" s="87"/>
      <c r="H197" s="88"/>
      <c r="I197" s="88"/>
    </row>
    <row r="198" spans="1:9" ht="13">
      <c r="A198" s="64" t="s">
        <v>8252</v>
      </c>
      <c r="B198" s="77" t="s">
        <v>8515</v>
      </c>
      <c r="C198" s="140" t="s">
        <v>4114</v>
      </c>
      <c r="D198" s="140"/>
      <c r="E198" s="87"/>
      <c r="F198" s="87"/>
      <c r="G198" s="87"/>
      <c r="H198" s="88"/>
      <c r="I198" s="88"/>
    </row>
    <row r="199" spans="1:9" ht="13">
      <c r="A199" s="64" t="s">
        <v>8254</v>
      </c>
      <c r="B199" s="77" t="s">
        <v>8516</v>
      </c>
      <c r="C199" s="140" t="s">
        <v>4114</v>
      </c>
      <c r="D199" s="140"/>
      <c r="E199" s="89"/>
      <c r="F199" s="87"/>
      <c r="G199" s="87"/>
      <c r="H199" s="88"/>
      <c r="I199" s="88"/>
    </row>
    <row r="200" spans="1:9" ht="13">
      <c r="A200" s="64" t="s">
        <v>8256</v>
      </c>
      <c r="B200" s="77" t="s">
        <v>8517</v>
      </c>
      <c r="C200" s="140" t="s">
        <v>1013</v>
      </c>
      <c r="D200" s="140"/>
      <c r="E200" s="87"/>
      <c r="F200" s="87"/>
      <c r="G200" s="87"/>
      <c r="H200" s="88"/>
      <c r="I200" s="88"/>
    </row>
    <row r="201" spans="1:9" ht="13">
      <c r="A201" s="64" t="s">
        <v>8258</v>
      </c>
      <c r="B201" s="77" t="s">
        <v>8518</v>
      </c>
      <c r="C201" s="140" t="s">
        <v>4114</v>
      </c>
      <c r="D201" s="140"/>
      <c r="E201" s="86"/>
      <c r="F201" s="89"/>
      <c r="G201" s="87"/>
      <c r="H201" s="88"/>
      <c r="I201" s="88"/>
    </row>
    <row r="202" spans="1:9" ht="13">
      <c r="A202" s="64" t="s">
        <v>8260</v>
      </c>
      <c r="B202" s="77" t="s">
        <v>8519</v>
      </c>
      <c r="C202" s="140" t="s">
        <v>1013</v>
      </c>
      <c r="D202" s="140"/>
      <c r="E202" s="86"/>
      <c r="F202" s="87"/>
      <c r="G202" s="87"/>
      <c r="H202" s="88"/>
      <c r="I202" s="88"/>
    </row>
    <row r="203" spans="1:9" ht="13">
      <c r="A203" s="64" t="s">
        <v>8262</v>
      </c>
      <c r="B203" s="77" t="s">
        <v>8520</v>
      </c>
      <c r="C203" s="140" t="s">
        <v>1013</v>
      </c>
      <c r="D203" s="140"/>
      <c r="E203" s="86"/>
      <c r="F203" s="87"/>
      <c r="G203" s="87"/>
      <c r="H203" s="88"/>
      <c r="I203" s="88"/>
    </row>
    <row r="204" spans="1:9" ht="13">
      <c r="A204" s="64" t="s">
        <v>8264</v>
      </c>
      <c r="B204" s="77" t="s">
        <v>8521</v>
      </c>
      <c r="C204" s="140" t="s">
        <v>1013</v>
      </c>
      <c r="D204" s="140"/>
      <c r="E204" s="86"/>
      <c r="F204" s="86"/>
      <c r="G204" s="87"/>
      <c r="H204" s="88"/>
      <c r="I204" s="88"/>
    </row>
    <row r="205" spans="1:9" ht="13">
      <c r="A205" s="64" t="s">
        <v>8266</v>
      </c>
      <c r="B205" s="77" t="s">
        <v>8522</v>
      </c>
      <c r="C205" s="140" t="s">
        <v>1013</v>
      </c>
      <c r="D205" s="140"/>
      <c r="E205" s="87"/>
      <c r="F205" s="87"/>
      <c r="G205" s="87"/>
      <c r="H205" s="88"/>
      <c r="I205" s="88"/>
    </row>
    <row r="206" spans="1:9" ht="13">
      <c r="A206" s="64" t="s">
        <v>8268</v>
      </c>
      <c r="B206" s="77" t="s">
        <v>8523</v>
      </c>
      <c r="C206" s="140" t="s">
        <v>1013</v>
      </c>
      <c r="D206" s="140"/>
      <c r="E206" s="87"/>
      <c r="F206" s="87"/>
      <c r="G206" s="87"/>
      <c r="H206" s="88"/>
      <c r="I206" s="88"/>
    </row>
    <row r="207" spans="1:9" ht="13">
      <c r="A207" s="64" t="s">
        <v>8270</v>
      </c>
      <c r="B207" s="77" t="s">
        <v>8524</v>
      </c>
      <c r="C207" s="140" t="s">
        <v>1013</v>
      </c>
      <c r="D207" s="140"/>
      <c r="E207" s="86"/>
      <c r="F207" s="87"/>
      <c r="G207" s="87"/>
      <c r="H207" s="88"/>
      <c r="I207" s="88"/>
    </row>
    <row r="208" spans="1:9" ht="13">
      <c r="A208" s="64" t="s">
        <v>8272</v>
      </c>
      <c r="B208" s="77" t="s">
        <v>8525</v>
      </c>
      <c r="C208" s="140" t="s">
        <v>1013</v>
      </c>
      <c r="D208" s="140"/>
      <c r="E208" s="87"/>
      <c r="F208" s="86"/>
      <c r="G208" s="87"/>
      <c r="H208" s="88"/>
      <c r="I208" s="88"/>
    </row>
    <row r="209" spans="1:9" ht="13">
      <c r="A209" s="64" t="s">
        <v>8274</v>
      </c>
      <c r="B209" s="77" t="s">
        <v>8526</v>
      </c>
      <c r="C209" s="140" t="s">
        <v>1013</v>
      </c>
      <c r="D209" s="140"/>
      <c r="E209" s="86"/>
      <c r="F209" s="87"/>
      <c r="G209" s="87"/>
      <c r="H209" s="88"/>
      <c r="I209" s="88"/>
    </row>
    <row r="210" spans="1:9" ht="13">
      <c r="A210" s="64" t="s">
        <v>8276</v>
      </c>
      <c r="B210" s="77" t="s">
        <v>8527</v>
      </c>
      <c r="C210" s="140" t="s">
        <v>4114</v>
      </c>
      <c r="D210" s="140"/>
      <c r="E210" s="86"/>
      <c r="F210" s="87"/>
      <c r="G210" s="87"/>
      <c r="H210" s="88"/>
      <c r="I210" s="88"/>
    </row>
    <row r="211" spans="1:9" ht="13">
      <c r="A211" s="64" t="s">
        <v>8279</v>
      </c>
      <c r="B211" s="77" t="s">
        <v>7037</v>
      </c>
      <c r="C211" s="140" t="s">
        <v>4114</v>
      </c>
      <c r="D211" s="140"/>
      <c r="E211" s="86"/>
      <c r="F211" s="87"/>
      <c r="G211" s="87"/>
      <c r="H211" s="88"/>
      <c r="I211" s="88"/>
    </row>
    <row r="212" spans="1:9" ht="13">
      <c r="A212" s="64" t="s">
        <v>8281</v>
      </c>
      <c r="B212" s="77" t="s">
        <v>8528</v>
      </c>
      <c r="C212" s="140" t="s">
        <v>1013</v>
      </c>
      <c r="D212" s="140"/>
      <c r="E212" s="87"/>
      <c r="F212" s="87"/>
      <c r="G212" s="87"/>
      <c r="H212" s="88"/>
      <c r="I212" s="88"/>
    </row>
    <row r="213" spans="1:9" ht="13">
      <c r="A213" s="64" t="s">
        <v>8283</v>
      </c>
      <c r="B213" s="77" t="s">
        <v>8529</v>
      </c>
      <c r="C213" s="140" t="s">
        <v>317</v>
      </c>
      <c r="D213" s="140"/>
      <c r="E213" s="86"/>
      <c r="F213" s="87"/>
      <c r="G213" s="87"/>
      <c r="H213" s="88"/>
      <c r="I213" s="88"/>
    </row>
    <row r="214" spans="1:9" ht="13">
      <c r="A214" s="64" t="s">
        <v>8285</v>
      </c>
      <c r="B214" s="78" t="str">
        <f>HYPERLINK("https://bulbapedia.bulbagarden.net/wiki/Venusaur_%26_Snivy-GX_(Cosmic_Eclipse_210)","Venusaur &amp; SnivyGX")</f>
        <v>Venusaur &amp; SnivyGX</v>
      </c>
      <c r="C214" s="140" t="s">
        <v>205</v>
      </c>
      <c r="D214" s="142"/>
      <c r="E214" s="87"/>
      <c r="F214" s="87"/>
      <c r="G214" s="87"/>
      <c r="H214" s="88"/>
      <c r="I214" s="88"/>
    </row>
    <row r="215" spans="1:9" ht="13">
      <c r="A215" s="64" t="s">
        <v>8286</v>
      </c>
      <c r="B215" s="78" t="str">
        <f>HYPERLINK("https://bulbapedia.bulbagarden.net/wiki/Vileplume-GX_(Cosmic_Eclipse_211)","VileplumeGX")</f>
        <v>VileplumeGX</v>
      </c>
      <c r="C215" s="140" t="s">
        <v>205</v>
      </c>
      <c r="D215" s="140"/>
      <c r="E215" s="87"/>
      <c r="F215" s="87"/>
      <c r="G215" s="87"/>
      <c r="H215" s="88"/>
      <c r="I215" s="88"/>
    </row>
    <row r="216" spans="1:9" ht="13">
      <c r="A216" s="64" t="s">
        <v>8288</v>
      </c>
      <c r="B216" s="78" t="str">
        <f>HYPERLINK("https://bulbapedia.bulbagarden.net/wiki/Charizard_%26_Braixen-GX_(Cosmic_Eclipse_212)","Charizard &amp; BraixenGX")</f>
        <v>Charizard &amp; BraixenGX</v>
      </c>
      <c r="C216" s="140" t="s">
        <v>199</v>
      </c>
      <c r="D216" s="140"/>
      <c r="E216" s="87"/>
      <c r="F216" s="87"/>
      <c r="G216" s="87"/>
      <c r="H216" s="88"/>
      <c r="I216" s="88"/>
    </row>
    <row r="217" spans="1:9" ht="13">
      <c r="A217" s="64" t="s">
        <v>8289</v>
      </c>
      <c r="B217" s="78" t="str">
        <f>HYPERLINK("https://bulbapedia.bulbagarden.net/w/index.php?title=Volcarona-GX_(Cosmic_Eclipse_213)&amp;action=edit&amp;redlink=1","VolcaronaGX")</f>
        <v>VolcaronaGX</v>
      </c>
      <c r="C217" s="140" t="s">
        <v>199</v>
      </c>
      <c r="D217" s="140"/>
      <c r="E217" s="87"/>
      <c r="F217" s="87"/>
      <c r="G217" s="87"/>
      <c r="H217" s="88"/>
      <c r="I217" s="88"/>
    </row>
    <row r="218" spans="1:9" ht="13">
      <c r="A218" s="64" t="s">
        <v>8291</v>
      </c>
      <c r="B218" s="78" t="str">
        <f>HYPERLINK("https://bulbapedia.bulbagarden.net/wiki/Blastoise_%26_Piplup-GX_(Cosmic_Eclipse_214)","Blastoise &amp; PiplupGX")</f>
        <v>Blastoise &amp; PiplupGX</v>
      </c>
      <c r="C218" s="140" t="s">
        <v>208</v>
      </c>
      <c r="D218" s="141"/>
      <c r="E218" s="87"/>
      <c r="F218" s="86"/>
      <c r="G218" s="87"/>
      <c r="H218" s="88"/>
      <c r="I218" s="88"/>
    </row>
    <row r="219" spans="1:9" ht="13">
      <c r="A219" s="64" t="s">
        <v>8292</v>
      </c>
      <c r="B219" s="78" t="str">
        <f>HYPERLINK("https://bulbapedia.bulbagarden.net/wiki/Blastoise_%26_Piplup_(Cosmic_Eclipse_215)","Blastoise &amp; PiplupGX")</f>
        <v>Blastoise &amp; PiplupGX</v>
      </c>
      <c r="C219" s="140" t="s">
        <v>208</v>
      </c>
      <c r="D219" s="140"/>
      <c r="E219" s="87"/>
      <c r="F219" s="87"/>
      <c r="G219" s="87"/>
      <c r="H219" s="88"/>
      <c r="I219" s="88"/>
    </row>
    <row r="220" spans="1:9" ht="13">
      <c r="A220" s="64" t="s">
        <v>8293</v>
      </c>
      <c r="B220" s="78" t="str">
        <f>HYPERLINK("https://bulbapedia.bulbagarden.net/wiki/Solgaleo_%26_Lunala-GX_(Cosmic_Eclipse_216)","Solgaleo &amp; LunalaGX")</f>
        <v>Solgaleo &amp; LunalaGX</v>
      </c>
      <c r="C220" s="140" t="s">
        <v>195</v>
      </c>
      <c r="D220" s="142"/>
      <c r="E220" s="87"/>
      <c r="F220" s="87"/>
      <c r="G220" s="87"/>
      <c r="H220" s="88"/>
      <c r="I220" s="88"/>
    </row>
    <row r="221" spans="1:9" ht="13">
      <c r="A221" s="64" t="s">
        <v>8294</v>
      </c>
      <c r="B221" s="78" t="str">
        <f>HYPERLINK("https://bulbapedia.bulbagarden.net/wiki/Oricorio-GX_(Cosmic_Eclipse_217)","OricorioGX")</f>
        <v>OricorioGX</v>
      </c>
      <c r="C221" s="140" t="s">
        <v>195</v>
      </c>
      <c r="D221" s="142"/>
      <c r="E221" s="87"/>
      <c r="F221" s="87"/>
      <c r="G221" s="87"/>
      <c r="H221" s="88"/>
      <c r="I221" s="88"/>
    </row>
    <row r="222" spans="1:9" ht="13">
      <c r="A222" s="64" t="s">
        <v>8295</v>
      </c>
      <c r="B222" s="78" t="str">
        <f>HYPERLINK("https://bulbapedia.bulbagarden.net/wiki/Flygon-GX_(Cosmic_Eclipse_218)","FlygonGX")</f>
        <v>FlygonGX</v>
      </c>
      <c r="C222" s="140" t="s">
        <v>225</v>
      </c>
      <c r="D222" s="142"/>
      <c r="E222" s="87"/>
      <c r="F222" s="87"/>
      <c r="G222" s="87"/>
      <c r="H222" s="88"/>
      <c r="I222" s="88"/>
    </row>
    <row r="223" spans="1:9" ht="13">
      <c r="A223" s="64" t="s">
        <v>8296</v>
      </c>
      <c r="B223" s="78" t="str">
        <f>HYPERLINK("https://bulbapedia.bulbagarden.net/wiki/Alolan_Persian-GX_(Cosmic_Eclipse_219)","Alolan PersianGX")</f>
        <v>Alolan PersianGX</v>
      </c>
      <c r="C223" s="140" t="s">
        <v>808</v>
      </c>
      <c r="D223" s="142"/>
      <c r="E223" s="87"/>
      <c r="F223" s="87"/>
      <c r="G223" s="87"/>
      <c r="H223" s="88"/>
      <c r="I223" s="88"/>
    </row>
    <row r="224" spans="1:9" ht="13">
      <c r="A224" s="64" t="s">
        <v>8297</v>
      </c>
      <c r="B224" s="78" t="str">
        <f>HYPERLINK("https://bulbapedia.bulbagarden.net/wiki/Arceus_%26_Dialga_%26_Palkia-GX_(Cosmic_Eclipse_220)","Arceus &amp; Dialga &amp; PalkiaGX")</f>
        <v>Arceus &amp; Dialga &amp; PalkiaGX</v>
      </c>
      <c r="C224" s="140" t="s">
        <v>4285</v>
      </c>
      <c r="D224" s="142"/>
      <c r="E224" s="87"/>
      <c r="F224" s="87"/>
      <c r="G224" s="87"/>
      <c r="H224" s="88"/>
      <c r="I224" s="88"/>
    </row>
    <row r="225" spans="1:9" ht="13">
      <c r="A225" s="64" t="s">
        <v>8298</v>
      </c>
      <c r="B225" s="78" t="str">
        <f>HYPERLINK("https://bulbapedia.bulbagarden.net/wiki/Arceus_%26_Dialga_%26_Palkia-GX_(Cosmic_Eclipse_221)","Arceus &amp; Dialga &amp; PalkiaGX")</f>
        <v>Arceus &amp; Dialga &amp; PalkiaGX</v>
      </c>
      <c r="C225" s="140" t="s">
        <v>4285</v>
      </c>
      <c r="D225" s="141"/>
      <c r="E225" s="87"/>
      <c r="F225" s="87"/>
      <c r="G225" s="87"/>
      <c r="H225" s="88"/>
      <c r="I225" s="88"/>
    </row>
    <row r="226" spans="1:9" ht="13">
      <c r="A226" s="64" t="s">
        <v>8299</v>
      </c>
      <c r="B226" s="78" t="str">
        <f>HYPERLINK("https://bulbapedia.bulbagarden.net/wiki/Reshiram_%26_Zekrom-GX_(Cosmic_Eclipse_222)","Reshiram &amp; ZekromGX")</f>
        <v>Reshiram &amp; ZekromGX</v>
      </c>
      <c r="C226" s="140" t="s">
        <v>4285</v>
      </c>
      <c r="D226" s="142"/>
      <c r="E226" s="87"/>
      <c r="F226" s="87"/>
      <c r="G226" s="87"/>
      <c r="H226" s="88"/>
      <c r="I226" s="88"/>
    </row>
    <row r="227" spans="1:9" ht="13">
      <c r="A227" s="64" t="s">
        <v>8300</v>
      </c>
      <c r="B227" s="78" t="str">
        <f>HYPERLINK("https://bulbapedia.bulbagarden.net/wiki/Naganadel_%26_Guzzlord-GX_(Cosmic_Eclipse_223)","Naganadel &amp; GuzzlordGX")</f>
        <v>Naganadel &amp; GuzzlordGX</v>
      </c>
      <c r="C227" s="140" t="s">
        <v>4285</v>
      </c>
      <c r="D227" s="142"/>
      <c r="E227" s="87"/>
      <c r="F227" s="87"/>
      <c r="G227" s="87"/>
      <c r="H227" s="88"/>
      <c r="I227" s="88"/>
    </row>
    <row r="228" spans="1:9" ht="13">
      <c r="A228" s="64" t="s">
        <v>8301</v>
      </c>
      <c r="B228" s="78" t="str">
        <f>HYPERLINK("https://bulbapedia.bulbagarden.net/wiki/Naganadel_%26_Guzzlord-GX_(Cosmic_Eclipse_224)","Naganadel &amp; GuzzlordGX")</f>
        <v>Naganadel &amp; GuzzlordGX</v>
      </c>
      <c r="C228" s="140" t="s">
        <v>4285</v>
      </c>
      <c r="D228" s="142"/>
      <c r="E228" s="87"/>
      <c r="F228" s="87"/>
      <c r="G228" s="87"/>
      <c r="H228" s="88"/>
      <c r="I228" s="88"/>
    </row>
    <row r="229" spans="1:9" ht="13">
      <c r="A229" s="64" t="s">
        <v>8302</v>
      </c>
      <c r="B229" s="78" t="str">
        <f>HYPERLINK("https://bulbapedia.bulbagarden.net/wiki/Mega_Lopunny_%26_Jigglypuff-GX_(Cosmic_Eclipse_225)","Mega Lopunny &amp; JigglypuffGX")</f>
        <v>Mega Lopunny &amp; JigglypuffGX</v>
      </c>
      <c r="C229" s="140" t="s">
        <v>197</v>
      </c>
      <c r="D229" s="140"/>
      <c r="E229" s="87"/>
      <c r="F229" s="87"/>
      <c r="G229" s="87"/>
      <c r="H229" s="88"/>
      <c r="I229" s="88"/>
    </row>
    <row r="230" spans="1:9" ht="13">
      <c r="A230" s="64" t="s">
        <v>8303</v>
      </c>
      <c r="B230" s="78" t="str">
        <f>HYPERLINK("https://bulbapedia.bulbagarden.net/wiki/Mega_Lopunny_%26_Jigglypuff-GX_(Cosmic_Eclipse_226)","Mega Lopunny &amp; JigglypuffGX")</f>
        <v>Mega Lopunny &amp; JigglypuffGX</v>
      </c>
      <c r="C230" s="140" t="s">
        <v>197</v>
      </c>
      <c r="D230" s="142"/>
      <c r="E230" s="87"/>
      <c r="F230" s="87"/>
      <c r="G230" s="87"/>
      <c r="H230" s="88"/>
      <c r="I230" s="88"/>
    </row>
    <row r="231" spans="1:9" ht="13">
      <c r="A231" s="64" t="s">
        <v>8304</v>
      </c>
      <c r="B231" s="78" t="str">
        <f>HYPERLINK("https://bulbapedia.bulbagarden.net/wiki/Silvally-GX_(Cosmic_Eclipse_227)","SilvallyGX")</f>
        <v>SilvallyGX</v>
      </c>
      <c r="C231" s="140" t="s">
        <v>197</v>
      </c>
      <c r="D231" s="142"/>
      <c r="E231" s="87"/>
      <c r="F231" s="87"/>
      <c r="G231" s="87"/>
      <c r="H231" s="88"/>
      <c r="I231" s="88"/>
    </row>
    <row r="232" spans="1:9" ht="13">
      <c r="A232" s="64" t="s">
        <v>8305</v>
      </c>
      <c r="B232" s="77" t="s">
        <v>8511</v>
      </c>
      <c r="C232" s="140" t="s">
        <v>1013</v>
      </c>
      <c r="D232" s="142"/>
      <c r="E232" s="87"/>
      <c r="F232" s="87"/>
      <c r="G232" s="87"/>
      <c r="H232" s="88"/>
      <c r="I232" s="88"/>
    </row>
    <row r="233" spans="1:9" ht="13">
      <c r="A233" s="64" t="s">
        <v>8306</v>
      </c>
      <c r="B233" s="77" t="s">
        <v>8514</v>
      </c>
      <c r="C233" s="140" t="s">
        <v>1013</v>
      </c>
      <c r="D233" s="142"/>
      <c r="E233" s="87"/>
      <c r="F233" s="87"/>
      <c r="G233" s="87"/>
      <c r="H233" s="88"/>
      <c r="I233" s="88"/>
    </row>
    <row r="234" spans="1:9" ht="13">
      <c r="A234" s="64" t="s">
        <v>8307</v>
      </c>
      <c r="B234" s="77" t="s">
        <v>8517</v>
      </c>
      <c r="C234" s="140" t="s">
        <v>1013</v>
      </c>
      <c r="D234" s="141"/>
      <c r="E234" s="87"/>
      <c r="F234" s="87"/>
      <c r="G234" s="87"/>
      <c r="H234" s="88"/>
      <c r="I234" s="88"/>
    </row>
    <row r="235" spans="1:9" ht="13">
      <c r="A235" s="64" t="s">
        <v>8308</v>
      </c>
      <c r="B235" s="77" t="s">
        <v>8519</v>
      </c>
      <c r="C235" s="140" t="s">
        <v>1013</v>
      </c>
      <c r="D235" s="142"/>
      <c r="E235" s="87"/>
      <c r="F235" s="87"/>
      <c r="G235" s="87"/>
      <c r="H235" s="88"/>
      <c r="I235" s="88"/>
    </row>
    <row r="236" spans="1:9" ht="13">
      <c r="A236" s="64" t="s">
        <v>8311</v>
      </c>
      <c r="B236" s="77" t="s">
        <v>8523</v>
      </c>
      <c r="C236" s="140" t="s">
        <v>1013</v>
      </c>
      <c r="D236" s="142"/>
      <c r="E236" s="87"/>
      <c r="F236" s="87"/>
      <c r="G236" s="87"/>
      <c r="H236" s="88"/>
      <c r="I236" s="88"/>
    </row>
    <row r="237" spans="1:9" ht="13">
      <c r="A237" s="64" t="s">
        <v>8312</v>
      </c>
      <c r="B237" s="77" t="s">
        <v>8524</v>
      </c>
      <c r="C237" s="140" t="s">
        <v>1013</v>
      </c>
      <c r="D237" s="142"/>
      <c r="E237" s="87"/>
      <c r="F237" s="87"/>
      <c r="G237" s="87"/>
      <c r="H237" s="88"/>
      <c r="I237" s="88"/>
    </row>
    <row r="238" spans="1:9" ht="13">
      <c r="A238" s="64" t="s">
        <v>8313</v>
      </c>
      <c r="B238" s="77" t="s">
        <v>8525</v>
      </c>
      <c r="C238" s="140" t="s">
        <v>1013</v>
      </c>
      <c r="D238" s="140"/>
      <c r="E238" s="87"/>
      <c r="F238" s="87"/>
      <c r="G238" s="87"/>
      <c r="H238" s="88"/>
      <c r="I238" s="88"/>
    </row>
    <row r="239" spans="1:9" ht="13">
      <c r="A239" s="64" t="s">
        <v>8314</v>
      </c>
      <c r="B239" s="77" t="s">
        <v>1511</v>
      </c>
      <c r="C239" s="140" t="s">
        <v>199</v>
      </c>
      <c r="D239" s="140"/>
      <c r="E239" s="87"/>
      <c r="F239" s="87"/>
      <c r="G239" s="87"/>
      <c r="H239" s="88"/>
      <c r="I239" s="88"/>
    </row>
    <row r="240" spans="1:9" ht="13">
      <c r="A240" s="64" t="s">
        <v>8315</v>
      </c>
      <c r="B240" s="77" t="s">
        <v>3131</v>
      </c>
      <c r="C240" s="140" t="s">
        <v>208</v>
      </c>
      <c r="D240" s="140"/>
      <c r="E240" s="87"/>
      <c r="F240" s="86"/>
      <c r="G240" s="87"/>
      <c r="H240" s="88"/>
      <c r="I240" s="88"/>
    </row>
    <row r="241" spans="1:9" ht="13">
      <c r="A241" s="64" t="s">
        <v>8316</v>
      </c>
      <c r="B241" s="77" t="s">
        <v>3020</v>
      </c>
      <c r="C241" s="140" t="s">
        <v>208</v>
      </c>
      <c r="D241" s="142"/>
      <c r="E241" s="87"/>
      <c r="F241" s="87"/>
      <c r="G241" s="87"/>
      <c r="H241" s="88"/>
      <c r="I241" s="88"/>
    </row>
    <row r="242" spans="1:9" ht="13">
      <c r="A242" s="64" t="s">
        <v>8317</v>
      </c>
      <c r="B242" s="77" t="s">
        <v>6477</v>
      </c>
      <c r="C242" s="140" t="s">
        <v>208</v>
      </c>
      <c r="D242" s="140"/>
      <c r="E242" s="5"/>
      <c r="F242" s="5"/>
      <c r="G242" s="5"/>
    </row>
    <row r="243" spans="1:9" ht="13">
      <c r="A243" s="64" t="s">
        <v>8318</v>
      </c>
      <c r="B243" s="77" t="s">
        <v>191</v>
      </c>
      <c r="C243" s="140" t="s">
        <v>192</v>
      </c>
      <c r="D243" s="140"/>
      <c r="E243" s="5"/>
      <c r="F243" s="5"/>
      <c r="G243" s="5"/>
    </row>
    <row r="244" spans="1:9" ht="13">
      <c r="A244" s="64" t="s">
        <v>8319</v>
      </c>
      <c r="B244" s="77" t="s">
        <v>285</v>
      </c>
      <c r="C244" s="140" t="s">
        <v>192</v>
      </c>
      <c r="D244" s="140"/>
      <c r="E244" s="5"/>
      <c r="F244" s="5"/>
      <c r="G244" s="5"/>
    </row>
    <row r="245" spans="1:9" ht="13">
      <c r="A245" s="64" t="s">
        <v>8320</v>
      </c>
      <c r="B245" s="77" t="s">
        <v>283</v>
      </c>
      <c r="C245" s="140" t="s">
        <v>195</v>
      </c>
      <c r="D245" s="140"/>
      <c r="E245" s="5"/>
      <c r="F245" s="5"/>
      <c r="G245" s="5"/>
    </row>
    <row r="246" spans="1:9" ht="13">
      <c r="A246" s="64" t="s">
        <v>8321</v>
      </c>
      <c r="B246" s="77" t="s">
        <v>3314</v>
      </c>
      <c r="C246" s="140" t="s">
        <v>195</v>
      </c>
      <c r="D246" s="142"/>
      <c r="E246" s="5"/>
      <c r="F246" s="5"/>
      <c r="G246" s="5"/>
    </row>
    <row r="247" spans="1:9" ht="13">
      <c r="A247" s="64" t="s">
        <v>8322</v>
      </c>
      <c r="B247" s="77" t="s">
        <v>6218</v>
      </c>
      <c r="C247" s="140" t="s">
        <v>195</v>
      </c>
      <c r="D247" s="140"/>
      <c r="E247" s="5"/>
      <c r="F247" s="5"/>
      <c r="G247" s="5"/>
    </row>
    <row r="248" spans="1:9" ht="13">
      <c r="A248" s="64" t="s">
        <v>8323</v>
      </c>
      <c r="B248" s="77" t="s">
        <v>4155</v>
      </c>
      <c r="C248" s="140" t="s">
        <v>225</v>
      </c>
      <c r="D248" s="142"/>
      <c r="E248" s="5"/>
      <c r="F248" s="5"/>
      <c r="G248" s="5"/>
    </row>
    <row r="249" spans="1:9" ht="13">
      <c r="A249" s="64" t="s">
        <v>8324</v>
      </c>
      <c r="B249" s="77" t="s">
        <v>791</v>
      </c>
      <c r="C249" s="140" t="s">
        <v>220</v>
      </c>
      <c r="D249" s="140"/>
      <c r="E249" s="5"/>
      <c r="F249" s="5"/>
      <c r="G249" s="5"/>
    </row>
    <row r="250" spans="1:9" ht="13">
      <c r="A250" s="64" t="s">
        <v>8325</v>
      </c>
      <c r="B250" s="77" t="s">
        <v>4163</v>
      </c>
      <c r="C250" s="140" t="s">
        <v>197</v>
      </c>
      <c r="D250" s="142"/>
      <c r="E250" s="5"/>
      <c r="F250" s="5"/>
      <c r="G250" s="5"/>
    </row>
    <row r="251" spans="1:9" ht="13">
      <c r="A251" s="64" t="s">
        <v>8326</v>
      </c>
      <c r="B251" s="78" t="str">
        <f>HYPERLINK("https://bulbapedia.bulbagarden.net/w/index.php?title=Venusaur_%26_Snivy-GX_(Cosmic_Eclipse_249)&amp;action=edit&amp;redlink=1","Venusaur &amp; SnivyGX")</f>
        <v>Venusaur &amp; SnivyGX</v>
      </c>
      <c r="C251" s="140" t="s">
        <v>205</v>
      </c>
      <c r="D251" s="142"/>
      <c r="E251" s="5"/>
      <c r="F251" s="5"/>
      <c r="G251" s="5"/>
    </row>
    <row r="252" spans="1:9" ht="13">
      <c r="A252" s="64" t="s">
        <v>8327</v>
      </c>
      <c r="B252" s="78" t="str">
        <f>HYPERLINK("https://bulbapedia.bulbagarden.net/w/index.php?title=Vileplume-GX_(Cosmic_Eclipse_250)&amp;action=edit&amp;redlink=1","VileplumeGX")</f>
        <v>VileplumeGX</v>
      </c>
      <c r="C252" s="140" t="s">
        <v>205</v>
      </c>
      <c r="D252" s="142"/>
      <c r="E252" s="5"/>
      <c r="F252" s="5"/>
      <c r="G252" s="5"/>
    </row>
    <row r="253" spans="1:9" ht="13">
      <c r="A253" s="64" t="s">
        <v>8328</v>
      </c>
      <c r="B253" s="78" t="str">
        <f>HYPERLINK("https://bulbapedia.bulbagarden.net/w/index.php?title=Charizard_%26_Braixen-GX_(Cosmic_Eclipse_251)&amp;action=edit&amp;redlink=1","Charizard &amp; BraixenGX")</f>
        <v>Charizard &amp; BraixenGX</v>
      </c>
      <c r="C253" s="140" t="s">
        <v>199</v>
      </c>
      <c r="D253" s="142"/>
      <c r="E253" s="5"/>
      <c r="F253" s="5"/>
      <c r="G253" s="5"/>
    </row>
    <row r="254" spans="1:9" ht="13">
      <c r="A254" s="64" t="s">
        <v>8329</v>
      </c>
      <c r="B254" s="78" t="str">
        <f>HYPERLINK("https://bulbapedia.bulbagarden.net/wiki/Volcarona-GX_(Cosmic_Eclipse_252)","VolcaronaGX")</f>
        <v>VolcaronaGX</v>
      </c>
      <c r="C254" s="140" t="s">
        <v>199</v>
      </c>
      <c r="D254" s="142"/>
      <c r="E254" s="5"/>
      <c r="F254" s="5"/>
      <c r="G254" s="5"/>
    </row>
    <row r="255" spans="1:9" ht="13">
      <c r="A255" s="64" t="s">
        <v>8330</v>
      </c>
      <c r="B255" s="78" t="str">
        <f>HYPERLINK("https://bulbapedia.bulbagarden.net/w/index.php?title=Blastoise_%26_Piplup-GX_(Cosmic_Eclipse_253)&amp;action=edit&amp;redlink=1","Blastoise &amp; PiplupGX")</f>
        <v>Blastoise &amp; PiplupGX</v>
      </c>
      <c r="C255" s="140" t="s">
        <v>208</v>
      </c>
      <c r="D255" s="140"/>
      <c r="E255" s="5"/>
      <c r="F255" s="5"/>
      <c r="G255" s="5"/>
    </row>
    <row r="256" spans="1:9" ht="13">
      <c r="A256" s="64" t="s">
        <v>8331</v>
      </c>
      <c r="B256" s="78" t="str">
        <f>HYPERLINK("https://bulbapedia.bulbagarden.net/w/index.php?title=Solgaleo_%26_Lunala-GX_(Cosmic_Eclipse_254)&amp;action=edit&amp;redlink=1","Solgaleo &amp; LunalaGX")</f>
        <v>Solgaleo &amp; LunalaGX</v>
      </c>
      <c r="C256" s="140" t="s">
        <v>195</v>
      </c>
      <c r="D256" s="140"/>
      <c r="E256" s="5"/>
      <c r="F256" s="5"/>
      <c r="G256" s="5"/>
    </row>
    <row r="257" spans="1:7" ht="13">
      <c r="A257" s="64" t="s">
        <v>8332</v>
      </c>
      <c r="B257" s="78" t="str">
        <f>HYPERLINK("https://bulbapedia.bulbagarden.net/w/index.php?title=Oricorio-GX_(Cosmic_Eclipse_255)&amp;action=edit&amp;redlink=1","OricorioGX")</f>
        <v>OricorioGX</v>
      </c>
      <c r="C257" s="140" t="s">
        <v>195</v>
      </c>
      <c r="D257" s="142"/>
      <c r="E257" s="5"/>
      <c r="F257" s="5"/>
      <c r="G257" s="5"/>
    </row>
    <row r="258" spans="1:7" ht="13">
      <c r="A258" s="64" t="s">
        <v>8333</v>
      </c>
      <c r="B258" s="78" t="str">
        <f>HYPERLINK("https://bulbapedia.bulbagarden.net/w/index.php?title=Flygon-GX_(Cosmic_Eclipse_256)&amp;action=edit&amp;redlink=1","FlygonGX")</f>
        <v>FlygonGX</v>
      </c>
      <c r="C258" s="140" t="s">
        <v>225</v>
      </c>
      <c r="D258" s="142"/>
      <c r="E258" s="5"/>
      <c r="F258" s="5"/>
      <c r="G258" s="5"/>
    </row>
    <row r="259" spans="1:7" ht="13">
      <c r="A259" s="64" t="s">
        <v>8334</v>
      </c>
      <c r="B259" s="78" t="str">
        <f>HYPERLINK("https://bulbapedia.bulbagarden.net/w/index.php?title=Alolan_Persian-GX_(Cosmic_Eclipse_257)&amp;action=edit&amp;redlink=1","Alolan PersianGX")</f>
        <v>Alolan PersianGX</v>
      </c>
      <c r="C259" s="140" t="s">
        <v>808</v>
      </c>
      <c r="D259" s="142"/>
      <c r="E259" s="5"/>
      <c r="F259" s="5"/>
      <c r="G259" s="5"/>
    </row>
    <row r="260" spans="1:7" ht="13">
      <c r="A260" s="64" t="s">
        <v>8335</v>
      </c>
      <c r="B260" s="78" t="str">
        <f>HYPERLINK("https://bulbapedia.bulbagarden.net/wiki/Arceus_%26_Dialga_%26_Palkia-GX_(Cosmic_Eclipse_258)","Arceus &amp; Dialga &amp; PalkiaGX")</f>
        <v>Arceus &amp; Dialga &amp; PalkiaGX</v>
      </c>
      <c r="C260" s="140" t="s">
        <v>4285</v>
      </c>
      <c r="D260" s="142"/>
      <c r="E260" s="5"/>
      <c r="F260" s="5"/>
      <c r="G260" s="5"/>
    </row>
    <row r="261" spans="1:7" ht="13">
      <c r="A261" s="64" t="s">
        <v>8530</v>
      </c>
      <c r="B261" s="78" t="str">
        <f>HYPERLINK("https://bulbapedia.bulbagarden.net/w/index.php?title=Reshiram_%26_Zekrom-GX_(Cosmic_Eclipse_259)&amp;action=edit&amp;redlink=1","Reshiram &amp; ZekromGX")</f>
        <v>Reshiram &amp; ZekromGX</v>
      </c>
      <c r="C261" s="140" t="s">
        <v>4285</v>
      </c>
      <c r="D261" s="142"/>
      <c r="E261" s="5"/>
      <c r="F261" s="5"/>
      <c r="G261" s="5"/>
    </row>
    <row r="262" spans="1:7" ht="13">
      <c r="A262" s="64" t="s">
        <v>8531</v>
      </c>
      <c r="B262" s="78" t="str">
        <f>HYPERLINK("https://bulbapedia.bulbagarden.net/w/index.php?title=Naganadel_%26_Guzzlord-GX_(Cosmic_Eclipse_260)&amp;action=edit&amp;redlink=1","Naganadel &amp; GuzzlordGX")</f>
        <v>Naganadel &amp; GuzzlordGX</v>
      </c>
      <c r="C262" s="140" t="s">
        <v>4285</v>
      </c>
      <c r="D262" s="142"/>
      <c r="E262" s="5"/>
      <c r="F262" s="5"/>
      <c r="G262" s="5"/>
    </row>
    <row r="263" spans="1:7" ht="13">
      <c r="A263" s="64" t="s">
        <v>8532</v>
      </c>
      <c r="B263" s="78" t="str">
        <f>HYPERLINK("https://bulbapedia.bulbagarden.net/wiki/Mega_Lopunny_%26_Jigglypuff-GX_(Cosmic_Eclipse_261)","Mega Lopunny &amp; JigglypuffGX")</f>
        <v>Mega Lopunny &amp; JigglypuffGX</v>
      </c>
      <c r="C263" s="140" t="s">
        <v>197</v>
      </c>
      <c r="D263" s="142"/>
      <c r="E263" s="5"/>
      <c r="F263" s="5"/>
      <c r="G263" s="5"/>
    </row>
    <row r="264" spans="1:7" ht="13">
      <c r="A264" s="64" t="s">
        <v>8533</v>
      </c>
      <c r="B264" s="78" t="str">
        <f>HYPERLINK("https://bulbapedia.bulbagarden.net/w/index.php?title=Silvally-GX_(Cosmic_Eclipse_262)&amp;action=edit&amp;redlink=1","SilvallyGX")</f>
        <v>SilvallyGX</v>
      </c>
      <c r="C264" s="140" t="s">
        <v>197</v>
      </c>
      <c r="D264" s="140"/>
      <c r="E264" s="5"/>
      <c r="F264" s="5"/>
      <c r="G264" s="5"/>
    </row>
    <row r="265" spans="1:7" ht="13">
      <c r="A265" s="64" t="s">
        <v>8534</v>
      </c>
      <c r="B265" s="77" t="s">
        <v>8259</v>
      </c>
      <c r="C265" s="140" t="s">
        <v>229</v>
      </c>
      <c r="D265" s="142"/>
      <c r="E265" s="5"/>
      <c r="F265" s="5"/>
      <c r="G265" s="5"/>
    </row>
    <row r="266" spans="1:7" ht="13">
      <c r="A266" s="64" t="s">
        <v>8535</v>
      </c>
      <c r="B266" s="77" t="s">
        <v>8513</v>
      </c>
      <c r="C266" s="140" t="s">
        <v>4114</v>
      </c>
      <c r="D266" s="142"/>
      <c r="E266" s="5"/>
      <c r="F266" s="5"/>
      <c r="G266" s="5"/>
    </row>
    <row r="267" spans="1:7" ht="13">
      <c r="A267" s="64" t="s">
        <v>8536</v>
      </c>
      <c r="B267" s="77" t="s">
        <v>8515</v>
      </c>
      <c r="C267" s="140" t="s">
        <v>4114</v>
      </c>
      <c r="D267" s="142"/>
      <c r="E267" s="5"/>
      <c r="F267" s="5"/>
      <c r="G267" s="5"/>
    </row>
    <row r="268" spans="1:7" ht="13">
      <c r="A268" s="64" t="s">
        <v>8537</v>
      </c>
      <c r="B268" s="77" t="s">
        <v>8516</v>
      </c>
      <c r="C268" s="140" t="s">
        <v>4114</v>
      </c>
      <c r="D268" s="142"/>
      <c r="E268" s="5"/>
      <c r="F268" s="5"/>
      <c r="G268" s="5"/>
    </row>
    <row r="269" spans="1:7" ht="13">
      <c r="A269" s="64" t="s">
        <v>8538</v>
      </c>
      <c r="B269" s="77" t="s">
        <v>8518</v>
      </c>
      <c r="C269" s="140" t="s">
        <v>4114</v>
      </c>
      <c r="D269" s="142"/>
      <c r="E269" s="5"/>
      <c r="F269" s="5"/>
      <c r="G269" s="5"/>
    </row>
    <row r="270" spans="1:7" ht="13">
      <c r="A270" s="64" t="s">
        <v>8539</v>
      </c>
      <c r="B270" s="77" t="s">
        <v>8037</v>
      </c>
      <c r="C270" s="140" t="s">
        <v>229</v>
      </c>
      <c r="D270" s="142"/>
      <c r="E270" s="5"/>
      <c r="F270" s="5"/>
      <c r="G270" s="5"/>
    </row>
    <row r="271" spans="1:7" ht="13">
      <c r="A271" s="64" t="s">
        <v>8540</v>
      </c>
      <c r="B271" s="77" t="s">
        <v>1163</v>
      </c>
      <c r="C271" s="140" t="s">
        <v>229</v>
      </c>
      <c r="D271" s="142"/>
      <c r="E271" s="5"/>
      <c r="F271" s="5"/>
      <c r="G271" s="5"/>
    </row>
    <row r="272" spans="1:7" ht="13">
      <c r="A272" s="64" t="s">
        <v>8541</v>
      </c>
      <c r="B272" s="77" t="s">
        <v>8527</v>
      </c>
      <c r="C272" s="140" t="s">
        <v>4114</v>
      </c>
      <c r="D272" s="142"/>
      <c r="E272" s="5"/>
      <c r="F272" s="5"/>
      <c r="G272" s="5"/>
    </row>
    <row r="273" spans="1:7" ht="13">
      <c r="A273" s="64" t="s">
        <v>8542</v>
      </c>
      <c r="B273" s="77" t="s">
        <v>8529</v>
      </c>
      <c r="C273" s="51" t="s">
        <v>317</v>
      </c>
      <c r="D273" s="51"/>
      <c r="E273" s="5"/>
      <c r="F273" s="5"/>
      <c r="G273" s="5"/>
    </row>
    <row r="274" spans="1:7" ht="13">
      <c r="D274" s="5"/>
      <c r="E274" s="5"/>
      <c r="F274" s="5"/>
      <c r="G274" s="5"/>
    </row>
    <row r="275" spans="1:7" ht="13">
      <c r="D275" s="5"/>
      <c r="E275" s="5"/>
      <c r="F275" s="5"/>
      <c r="G275" s="5"/>
    </row>
    <row r="276" spans="1:7" ht="13">
      <c r="D276" s="5"/>
      <c r="E276" s="5"/>
      <c r="F276" s="5"/>
      <c r="G276" s="5"/>
    </row>
    <row r="277" spans="1:7" ht="13">
      <c r="D277" s="5"/>
      <c r="E277" s="5"/>
      <c r="F277" s="5"/>
      <c r="G277" s="5"/>
    </row>
    <row r="278" spans="1:7" ht="13">
      <c r="D278" s="5"/>
      <c r="E278" s="5"/>
      <c r="F278" s="5"/>
      <c r="G278" s="5"/>
    </row>
    <row r="279" spans="1:7" ht="13">
      <c r="D279" s="5"/>
      <c r="E279" s="5"/>
      <c r="F279" s="5"/>
      <c r="G279" s="5"/>
    </row>
    <row r="280" spans="1:7" ht="13">
      <c r="D280" s="5"/>
      <c r="E280" s="5"/>
      <c r="F280" s="5"/>
      <c r="G280" s="5"/>
    </row>
    <row r="281" spans="1:7" ht="13">
      <c r="D281" s="5"/>
      <c r="E281" s="5"/>
      <c r="F281" s="5"/>
      <c r="G281" s="5"/>
    </row>
    <row r="282" spans="1:7" ht="13">
      <c r="D282" s="5"/>
      <c r="E282" s="5"/>
      <c r="F282" s="5"/>
      <c r="G282" s="5"/>
    </row>
    <row r="283" spans="1:7" ht="13">
      <c r="D283" s="5"/>
      <c r="E283" s="5"/>
      <c r="F283" s="5"/>
      <c r="G283" s="5"/>
    </row>
    <row r="284" spans="1:7" ht="13">
      <c r="D284" s="5"/>
      <c r="E284" s="5"/>
      <c r="F284" s="5"/>
      <c r="G284" s="5"/>
    </row>
    <row r="285" spans="1:7" ht="13">
      <c r="D285" s="5"/>
      <c r="E285" s="5"/>
      <c r="F285" s="5"/>
      <c r="G285" s="5"/>
    </row>
    <row r="286" spans="1:7" ht="13">
      <c r="D286" s="5"/>
      <c r="E286" s="5"/>
      <c r="F286" s="5"/>
      <c r="G286" s="5"/>
    </row>
    <row r="287" spans="1:7" ht="13">
      <c r="D287" s="5"/>
      <c r="E287" s="5"/>
      <c r="F287" s="5"/>
      <c r="G287" s="5"/>
    </row>
    <row r="288" spans="1: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sheetData>
  <hyperlinks>
    <hyperlink ref="B6" r:id="rId1" xr:uid="{00000000-0004-0000-6300-000000000000}"/>
    <hyperlink ref="B7" r:id="rId2" xr:uid="{00000000-0004-0000-6300-000001000000}"/>
    <hyperlink ref="B9" r:id="rId3" xr:uid="{00000000-0004-0000-6300-000002000000}"/>
    <hyperlink ref="B10" r:id="rId4" xr:uid="{00000000-0004-0000-6300-000003000000}"/>
    <hyperlink ref="B11" r:id="rId5" xr:uid="{00000000-0004-0000-6300-000004000000}"/>
    <hyperlink ref="B12" r:id="rId6" xr:uid="{00000000-0004-0000-6300-000005000000}"/>
    <hyperlink ref="B13" r:id="rId7" xr:uid="{00000000-0004-0000-6300-000006000000}"/>
    <hyperlink ref="B14" r:id="rId8" xr:uid="{00000000-0004-0000-6300-000007000000}"/>
    <hyperlink ref="B15" r:id="rId9" xr:uid="{00000000-0004-0000-6300-000008000000}"/>
    <hyperlink ref="B16" r:id="rId10" xr:uid="{00000000-0004-0000-6300-000009000000}"/>
    <hyperlink ref="B17" r:id="rId11" xr:uid="{00000000-0004-0000-6300-00000A000000}"/>
    <hyperlink ref="B18" r:id="rId12" xr:uid="{00000000-0004-0000-6300-00000B000000}"/>
    <hyperlink ref="B19" r:id="rId13" xr:uid="{00000000-0004-0000-6300-00000C000000}"/>
    <hyperlink ref="B20" r:id="rId14" xr:uid="{00000000-0004-0000-6300-00000D000000}"/>
    <hyperlink ref="B21" r:id="rId15" xr:uid="{00000000-0004-0000-6300-00000E000000}"/>
    <hyperlink ref="B22" r:id="rId16" xr:uid="{00000000-0004-0000-6300-00000F000000}"/>
    <hyperlink ref="B23" r:id="rId17" xr:uid="{00000000-0004-0000-6300-000010000000}"/>
    <hyperlink ref="B24" r:id="rId18" xr:uid="{00000000-0004-0000-6300-000011000000}"/>
    <hyperlink ref="B25" r:id="rId19" xr:uid="{00000000-0004-0000-6300-000012000000}"/>
    <hyperlink ref="B27" r:id="rId20" xr:uid="{00000000-0004-0000-6300-000013000000}"/>
    <hyperlink ref="B28" r:id="rId21" xr:uid="{00000000-0004-0000-6300-000014000000}"/>
    <hyperlink ref="B29" r:id="rId22" xr:uid="{00000000-0004-0000-6300-000015000000}"/>
    <hyperlink ref="B30" r:id="rId23" xr:uid="{00000000-0004-0000-6300-000016000000}"/>
    <hyperlink ref="B31" r:id="rId24" xr:uid="{00000000-0004-0000-6300-000017000000}"/>
    <hyperlink ref="B32" r:id="rId25" xr:uid="{00000000-0004-0000-6300-000018000000}"/>
    <hyperlink ref="B33" r:id="rId26" xr:uid="{00000000-0004-0000-6300-000019000000}"/>
    <hyperlink ref="B34" r:id="rId27" xr:uid="{00000000-0004-0000-6300-00001A000000}"/>
    <hyperlink ref="B35" r:id="rId28" xr:uid="{00000000-0004-0000-6300-00001B000000}"/>
    <hyperlink ref="B36" r:id="rId29" xr:uid="{00000000-0004-0000-6300-00001C000000}"/>
    <hyperlink ref="B37" r:id="rId30" xr:uid="{00000000-0004-0000-6300-00001D000000}"/>
    <hyperlink ref="B38" r:id="rId31" xr:uid="{00000000-0004-0000-6300-00001E000000}"/>
    <hyperlink ref="B40" r:id="rId32" xr:uid="{00000000-0004-0000-6300-00001F000000}"/>
    <hyperlink ref="B41" r:id="rId33" xr:uid="{00000000-0004-0000-6300-000020000000}"/>
    <hyperlink ref="B43" r:id="rId34" xr:uid="{00000000-0004-0000-6300-000021000000}"/>
    <hyperlink ref="B44" r:id="rId35" xr:uid="{00000000-0004-0000-6300-000022000000}"/>
    <hyperlink ref="B45" r:id="rId36" xr:uid="{00000000-0004-0000-6300-000023000000}"/>
    <hyperlink ref="B46" r:id="rId37" xr:uid="{00000000-0004-0000-6300-000024000000}"/>
    <hyperlink ref="B47" r:id="rId38" xr:uid="{00000000-0004-0000-6300-000025000000}"/>
    <hyperlink ref="B48" r:id="rId39" xr:uid="{00000000-0004-0000-6300-000026000000}"/>
    <hyperlink ref="B49" r:id="rId40" xr:uid="{00000000-0004-0000-6300-000027000000}"/>
    <hyperlink ref="B50" r:id="rId41" xr:uid="{00000000-0004-0000-6300-000028000000}"/>
    <hyperlink ref="B51" r:id="rId42" xr:uid="{00000000-0004-0000-6300-000029000000}"/>
    <hyperlink ref="B52" r:id="rId43" xr:uid="{00000000-0004-0000-6300-00002A000000}"/>
    <hyperlink ref="B53" r:id="rId44" xr:uid="{00000000-0004-0000-6300-00002B000000}"/>
    <hyperlink ref="B54" r:id="rId45" xr:uid="{00000000-0004-0000-6300-00002C000000}"/>
    <hyperlink ref="B55" r:id="rId46" xr:uid="{00000000-0004-0000-6300-00002D000000}"/>
    <hyperlink ref="B56" r:id="rId47" xr:uid="{00000000-0004-0000-6300-00002E000000}"/>
    <hyperlink ref="B57" r:id="rId48" xr:uid="{00000000-0004-0000-6300-00002F000000}"/>
    <hyperlink ref="B58" r:id="rId49" xr:uid="{00000000-0004-0000-6300-000030000000}"/>
    <hyperlink ref="B59" r:id="rId50" xr:uid="{00000000-0004-0000-6300-000031000000}"/>
    <hyperlink ref="B60" r:id="rId51" xr:uid="{00000000-0004-0000-6300-000032000000}"/>
    <hyperlink ref="B61" r:id="rId52" xr:uid="{00000000-0004-0000-6300-000033000000}"/>
    <hyperlink ref="B62" r:id="rId53" xr:uid="{00000000-0004-0000-6300-000034000000}"/>
    <hyperlink ref="B63" r:id="rId54" xr:uid="{00000000-0004-0000-6300-000035000000}"/>
    <hyperlink ref="B64" r:id="rId55" xr:uid="{00000000-0004-0000-6300-000036000000}"/>
    <hyperlink ref="B65" r:id="rId56" xr:uid="{00000000-0004-0000-6300-000037000000}"/>
    <hyperlink ref="B66" r:id="rId57" xr:uid="{00000000-0004-0000-6300-000038000000}"/>
    <hyperlink ref="B68" r:id="rId58" xr:uid="{00000000-0004-0000-6300-000039000000}"/>
    <hyperlink ref="B69" r:id="rId59" xr:uid="{00000000-0004-0000-6300-00003A000000}"/>
    <hyperlink ref="B70" r:id="rId60" xr:uid="{00000000-0004-0000-6300-00003B000000}"/>
    <hyperlink ref="B71" r:id="rId61" xr:uid="{00000000-0004-0000-6300-00003C000000}"/>
    <hyperlink ref="B72" r:id="rId62" xr:uid="{00000000-0004-0000-6300-00003D000000}"/>
    <hyperlink ref="B73" r:id="rId63" xr:uid="{00000000-0004-0000-6300-00003E000000}"/>
    <hyperlink ref="B74" r:id="rId64" xr:uid="{00000000-0004-0000-6300-00003F000000}"/>
    <hyperlink ref="B75" r:id="rId65" xr:uid="{00000000-0004-0000-6300-000040000000}"/>
    <hyperlink ref="B76" r:id="rId66" xr:uid="{00000000-0004-0000-6300-000041000000}"/>
    <hyperlink ref="B77" r:id="rId67" xr:uid="{00000000-0004-0000-6300-000042000000}"/>
    <hyperlink ref="B78" r:id="rId68" xr:uid="{00000000-0004-0000-6300-000043000000}"/>
    <hyperlink ref="B80" r:id="rId69" xr:uid="{00000000-0004-0000-6300-000044000000}"/>
    <hyperlink ref="B81" r:id="rId70" xr:uid="{00000000-0004-0000-6300-000045000000}"/>
    <hyperlink ref="B82" r:id="rId71" xr:uid="{00000000-0004-0000-6300-000046000000}"/>
    <hyperlink ref="B83" r:id="rId72" xr:uid="{00000000-0004-0000-6300-000047000000}"/>
    <hyperlink ref="B84" r:id="rId73" xr:uid="{00000000-0004-0000-6300-000048000000}"/>
    <hyperlink ref="B85" r:id="rId74" xr:uid="{00000000-0004-0000-6300-000049000000}"/>
    <hyperlink ref="B86" r:id="rId75" xr:uid="{00000000-0004-0000-6300-00004A000000}"/>
    <hyperlink ref="B87" r:id="rId76" xr:uid="{00000000-0004-0000-6300-00004B000000}"/>
    <hyperlink ref="B88" r:id="rId77" xr:uid="{00000000-0004-0000-6300-00004C000000}"/>
    <hyperlink ref="B89" r:id="rId78" xr:uid="{00000000-0004-0000-6300-00004D000000}"/>
    <hyperlink ref="B90" r:id="rId79" xr:uid="{00000000-0004-0000-6300-00004E000000}"/>
    <hyperlink ref="B91" r:id="rId80" xr:uid="{00000000-0004-0000-6300-00004F000000}"/>
    <hyperlink ref="B92" r:id="rId81" xr:uid="{00000000-0004-0000-6300-000050000000}"/>
    <hyperlink ref="B93" r:id="rId82" xr:uid="{00000000-0004-0000-6300-000051000000}"/>
    <hyperlink ref="B94" r:id="rId83" xr:uid="{00000000-0004-0000-6300-000052000000}"/>
    <hyperlink ref="B95" r:id="rId84" xr:uid="{00000000-0004-0000-6300-000053000000}"/>
    <hyperlink ref="B96" r:id="rId85" xr:uid="{00000000-0004-0000-6300-000054000000}"/>
    <hyperlink ref="B97" r:id="rId86" xr:uid="{00000000-0004-0000-6300-000055000000}"/>
    <hyperlink ref="B98" r:id="rId87" xr:uid="{00000000-0004-0000-6300-000056000000}"/>
    <hyperlink ref="B100" r:id="rId88" xr:uid="{00000000-0004-0000-6300-000057000000}"/>
    <hyperlink ref="B101" r:id="rId89" xr:uid="{00000000-0004-0000-6300-000058000000}"/>
    <hyperlink ref="B102" r:id="rId90" xr:uid="{00000000-0004-0000-6300-000059000000}"/>
    <hyperlink ref="B103" r:id="rId91" xr:uid="{00000000-0004-0000-6300-00005A000000}"/>
    <hyperlink ref="B104" r:id="rId92" xr:uid="{00000000-0004-0000-6300-00005B000000}"/>
    <hyperlink ref="B105" r:id="rId93" xr:uid="{00000000-0004-0000-6300-00005C000000}"/>
    <hyperlink ref="B106" r:id="rId94" xr:uid="{00000000-0004-0000-6300-00005D000000}"/>
    <hyperlink ref="B107" r:id="rId95" xr:uid="{00000000-0004-0000-6300-00005E000000}"/>
    <hyperlink ref="B108" r:id="rId96" xr:uid="{00000000-0004-0000-6300-00005F000000}"/>
    <hyperlink ref="B109" r:id="rId97" xr:uid="{00000000-0004-0000-6300-000060000000}"/>
    <hyperlink ref="B110" r:id="rId98" xr:uid="{00000000-0004-0000-6300-000061000000}"/>
    <hyperlink ref="B111" r:id="rId99" xr:uid="{00000000-0004-0000-6300-000062000000}"/>
    <hyperlink ref="B112" r:id="rId100" xr:uid="{00000000-0004-0000-6300-000063000000}"/>
    <hyperlink ref="B113" r:id="rId101" xr:uid="{00000000-0004-0000-6300-000064000000}"/>
    <hyperlink ref="B115" r:id="rId102" xr:uid="{00000000-0004-0000-6300-000065000000}"/>
    <hyperlink ref="B116" r:id="rId103" xr:uid="{00000000-0004-0000-6300-000066000000}"/>
    <hyperlink ref="B117" r:id="rId104" xr:uid="{00000000-0004-0000-6300-000067000000}"/>
    <hyperlink ref="B118" r:id="rId105" xr:uid="{00000000-0004-0000-6300-000068000000}"/>
    <hyperlink ref="B119" r:id="rId106" xr:uid="{00000000-0004-0000-6300-000069000000}"/>
    <hyperlink ref="B120" r:id="rId107" xr:uid="{00000000-0004-0000-6300-00006A000000}"/>
    <hyperlink ref="B121" r:id="rId108" xr:uid="{00000000-0004-0000-6300-00006B000000}"/>
    <hyperlink ref="B122" r:id="rId109" xr:uid="{00000000-0004-0000-6300-00006C000000}"/>
    <hyperlink ref="B123" r:id="rId110" xr:uid="{00000000-0004-0000-6300-00006D000000}"/>
    <hyperlink ref="B124" r:id="rId111" xr:uid="{00000000-0004-0000-6300-00006E000000}"/>
    <hyperlink ref="B125" r:id="rId112" xr:uid="{00000000-0004-0000-6300-00006F000000}"/>
    <hyperlink ref="B126" r:id="rId113" xr:uid="{00000000-0004-0000-6300-000070000000}"/>
    <hyperlink ref="B127" r:id="rId114" xr:uid="{00000000-0004-0000-6300-000071000000}"/>
    <hyperlink ref="B128" r:id="rId115" xr:uid="{00000000-0004-0000-6300-000072000000}"/>
    <hyperlink ref="B129" r:id="rId116" xr:uid="{00000000-0004-0000-6300-000073000000}"/>
    <hyperlink ref="B130" r:id="rId117" xr:uid="{00000000-0004-0000-6300-000074000000}"/>
    <hyperlink ref="B131" r:id="rId118" xr:uid="{00000000-0004-0000-6300-000075000000}"/>
    <hyperlink ref="B132" r:id="rId119" xr:uid="{00000000-0004-0000-6300-000076000000}"/>
    <hyperlink ref="B134" r:id="rId120" xr:uid="{00000000-0004-0000-6300-000077000000}"/>
    <hyperlink ref="B135" r:id="rId121" xr:uid="{00000000-0004-0000-6300-000078000000}"/>
    <hyperlink ref="B136" r:id="rId122" xr:uid="{00000000-0004-0000-6300-000079000000}"/>
    <hyperlink ref="B137" r:id="rId123" xr:uid="{00000000-0004-0000-6300-00007A000000}"/>
    <hyperlink ref="B138" r:id="rId124" xr:uid="{00000000-0004-0000-6300-00007B000000}"/>
    <hyperlink ref="B139" r:id="rId125" xr:uid="{00000000-0004-0000-6300-00007C000000}"/>
    <hyperlink ref="B140" r:id="rId126" xr:uid="{00000000-0004-0000-6300-00007D000000}"/>
    <hyperlink ref="B141" r:id="rId127" xr:uid="{00000000-0004-0000-6300-00007E000000}"/>
    <hyperlink ref="B142" r:id="rId128" xr:uid="{00000000-0004-0000-6300-00007F000000}"/>
    <hyperlink ref="B143" r:id="rId129" xr:uid="{00000000-0004-0000-6300-000080000000}"/>
    <hyperlink ref="B144" r:id="rId130" xr:uid="{00000000-0004-0000-6300-000081000000}"/>
    <hyperlink ref="B145" r:id="rId131" xr:uid="{00000000-0004-0000-6300-000082000000}"/>
    <hyperlink ref="B146" r:id="rId132" xr:uid="{00000000-0004-0000-6300-000083000000}"/>
    <hyperlink ref="B148" r:id="rId133" xr:uid="{00000000-0004-0000-6300-000084000000}"/>
    <hyperlink ref="B149" r:id="rId134" xr:uid="{00000000-0004-0000-6300-000085000000}"/>
    <hyperlink ref="B150" r:id="rId135" xr:uid="{00000000-0004-0000-6300-000086000000}"/>
    <hyperlink ref="B151" r:id="rId136" xr:uid="{00000000-0004-0000-6300-000087000000}"/>
    <hyperlink ref="B152" r:id="rId137" xr:uid="{00000000-0004-0000-6300-000088000000}"/>
    <hyperlink ref="B153" r:id="rId138" xr:uid="{00000000-0004-0000-6300-000089000000}"/>
    <hyperlink ref="B154" r:id="rId139" xr:uid="{00000000-0004-0000-6300-00008A000000}"/>
    <hyperlink ref="B155" r:id="rId140" xr:uid="{00000000-0004-0000-6300-00008B000000}"/>
    <hyperlink ref="B156" r:id="rId141" xr:uid="{00000000-0004-0000-6300-00008C000000}"/>
    <hyperlink ref="B157" r:id="rId142" xr:uid="{00000000-0004-0000-6300-00008D000000}"/>
    <hyperlink ref="B158" r:id="rId143" xr:uid="{00000000-0004-0000-6300-00008E000000}"/>
    <hyperlink ref="B159" r:id="rId144" xr:uid="{00000000-0004-0000-6300-00008F000000}"/>
    <hyperlink ref="B163" r:id="rId145" xr:uid="{00000000-0004-0000-6300-000090000000}"/>
    <hyperlink ref="B164" r:id="rId146" xr:uid="{00000000-0004-0000-6300-000091000000}"/>
    <hyperlink ref="B165" r:id="rId147" xr:uid="{00000000-0004-0000-6300-000092000000}"/>
    <hyperlink ref="B166" r:id="rId148" xr:uid="{00000000-0004-0000-6300-000093000000}"/>
    <hyperlink ref="B167" r:id="rId149" xr:uid="{00000000-0004-0000-6300-000094000000}"/>
    <hyperlink ref="B168" r:id="rId150" xr:uid="{00000000-0004-0000-6300-000095000000}"/>
    <hyperlink ref="B170" r:id="rId151" xr:uid="{00000000-0004-0000-6300-000096000000}"/>
    <hyperlink ref="B171" r:id="rId152" xr:uid="{00000000-0004-0000-6300-000097000000}"/>
    <hyperlink ref="B172" r:id="rId153" xr:uid="{00000000-0004-0000-6300-000098000000}"/>
    <hyperlink ref="B173" r:id="rId154" xr:uid="{00000000-0004-0000-6300-000099000000}"/>
    <hyperlink ref="B174" r:id="rId155" xr:uid="{00000000-0004-0000-6300-00009A000000}"/>
    <hyperlink ref="B175" r:id="rId156" xr:uid="{00000000-0004-0000-6300-00009B000000}"/>
    <hyperlink ref="B176" r:id="rId157" xr:uid="{00000000-0004-0000-6300-00009C000000}"/>
    <hyperlink ref="B177" r:id="rId158" xr:uid="{00000000-0004-0000-6300-00009D000000}"/>
    <hyperlink ref="B178" r:id="rId159" xr:uid="{00000000-0004-0000-6300-00009E000000}"/>
    <hyperlink ref="B179" r:id="rId160" xr:uid="{00000000-0004-0000-6300-00009F000000}"/>
    <hyperlink ref="B180" r:id="rId161" xr:uid="{00000000-0004-0000-6300-0000A0000000}"/>
    <hyperlink ref="B181" r:id="rId162" xr:uid="{00000000-0004-0000-6300-0000A1000000}"/>
    <hyperlink ref="B182" r:id="rId163" xr:uid="{00000000-0004-0000-6300-0000A2000000}"/>
    <hyperlink ref="B183" r:id="rId164" xr:uid="{00000000-0004-0000-6300-0000A3000000}"/>
    <hyperlink ref="B184" r:id="rId165" xr:uid="{00000000-0004-0000-6300-0000A4000000}"/>
    <hyperlink ref="B185" r:id="rId166" xr:uid="{00000000-0004-0000-6300-0000A5000000}"/>
    <hyperlink ref="B186" r:id="rId167" xr:uid="{00000000-0004-0000-6300-0000A6000000}"/>
    <hyperlink ref="B187" r:id="rId168" xr:uid="{00000000-0004-0000-6300-0000A7000000}"/>
    <hyperlink ref="B189" r:id="rId169" xr:uid="{00000000-0004-0000-6300-0000A8000000}"/>
    <hyperlink ref="B190" r:id="rId170" xr:uid="{00000000-0004-0000-6300-0000A9000000}"/>
    <hyperlink ref="B191" r:id="rId171" xr:uid="{00000000-0004-0000-6300-0000AA000000}"/>
    <hyperlink ref="B192" r:id="rId172" xr:uid="{00000000-0004-0000-6300-0000AB000000}"/>
    <hyperlink ref="B193" r:id="rId173" xr:uid="{00000000-0004-0000-6300-0000AC000000}"/>
    <hyperlink ref="B194" r:id="rId174" xr:uid="{00000000-0004-0000-6300-0000AD000000}"/>
    <hyperlink ref="B195" r:id="rId175" xr:uid="{00000000-0004-0000-6300-0000AE000000}"/>
    <hyperlink ref="B196" r:id="rId176" xr:uid="{00000000-0004-0000-6300-0000AF000000}"/>
    <hyperlink ref="B197" r:id="rId177" xr:uid="{00000000-0004-0000-6300-0000B0000000}"/>
    <hyperlink ref="B198" r:id="rId178" xr:uid="{00000000-0004-0000-6300-0000B1000000}"/>
    <hyperlink ref="B199" r:id="rId179" xr:uid="{00000000-0004-0000-6300-0000B2000000}"/>
    <hyperlink ref="B200" r:id="rId180" xr:uid="{00000000-0004-0000-6300-0000B3000000}"/>
    <hyperlink ref="B201" r:id="rId181" xr:uid="{00000000-0004-0000-6300-0000B4000000}"/>
    <hyperlink ref="B202" r:id="rId182" xr:uid="{00000000-0004-0000-6300-0000B5000000}"/>
    <hyperlink ref="B203" r:id="rId183" xr:uid="{00000000-0004-0000-6300-0000B6000000}"/>
    <hyperlink ref="B204" r:id="rId184" xr:uid="{00000000-0004-0000-6300-0000B7000000}"/>
    <hyperlink ref="B205" r:id="rId185" xr:uid="{00000000-0004-0000-6300-0000B8000000}"/>
    <hyperlink ref="B206" r:id="rId186" xr:uid="{00000000-0004-0000-6300-0000B9000000}"/>
    <hyperlink ref="B207" r:id="rId187" xr:uid="{00000000-0004-0000-6300-0000BA000000}"/>
    <hyperlink ref="B208" r:id="rId188" xr:uid="{00000000-0004-0000-6300-0000BB000000}"/>
    <hyperlink ref="B209" r:id="rId189" xr:uid="{00000000-0004-0000-6300-0000BC000000}"/>
    <hyperlink ref="B210" r:id="rId190" xr:uid="{00000000-0004-0000-6300-0000BD000000}"/>
    <hyperlink ref="B211" r:id="rId191" xr:uid="{00000000-0004-0000-6300-0000BE000000}"/>
    <hyperlink ref="B212" r:id="rId192" xr:uid="{00000000-0004-0000-6300-0000BF000000}"/>
    <hyperlink ref="B213" r:id="rId193" xr:uid="{00000000-0004-0000-6300-0000C0000000}"/>
    <hyperlink ref="B232" r:id="rId194" xr:uid="{00000000-0004-0000-6300-0000C1000000}"/>
    <hyperlink ref="B233" r:id="rId195" xr:uid="{00000000-0004-0000-6300-0000C2000000}"/>
    <hyperlink ref="B234" r:id="rId196" xr:uid="{00000000-0004-0000-6300-0000C3000000}"/>
    <hyperlink ref="B235" r:id="rId197" xr:uid="{00000000-0004-0000-6300-0000C4000000}"/>
    <hyperlink ref="B236" r:id="rId198" xr:uid="{00000000-0004-0000-6300-0000C5000000}"/>
    <hyperlink ref="B237" r:id="rId199" xr:uid="{00000000-0004-0000-6300-0000C6000000}"/>
    <hyperlink ref="B238" r:id="rId200" xr:uid="{00000000-0004-0000-6300-0000C7000000}"/>
    <hyperlink ref="B239" r:id="rId201" xr:uid="{00000000-0004-0000-6300-0000C8000000}"/>
    <hyperlink ref="B240" r:id="rId202" xr:uid="{00000000-0004-0000-6300-0000C9000000}"/>
    <hyperlink ref="B241" r:id="rId203" xr:uid="{00000000-0004-0000-6300-0000CA000000}"/>
    <hyperlink ref="B242" r:id="rId204" xr:uid="{00000000-0004-0000-6300-0000CB000000}"/>
    <hyperlink ref="B243" r:id="rId205" xr:uid="{00000000-0004-0000-6300-0000CC000000}"/>
    <hyperlink ref="B244" r:id="rId206" xr:uid="{00000000-0004-0000-6300-0000CD000000}"/>
    <hyperlink ref="B245" r:id="rId207" xr:uid="{00000000-0004-0000-6300-0000CE000000}"/>
    <hyperlink ref="B246" r:id="rId208" xr:uid="{00000000-0004-0000-6300-0000CF000000}"/>
    <hyperlink ref="B247" r:id="rId209" xr:uid="{00000000-0004-0000-6300-0000D0000000}"/>
    <hyperlink ref="B248" r:id="rId210" xr:uid="{00000000-0004-0000-6300-0000D1000000}"/>
    <hyperlink ref="B249" r:id="rId211" xr:uid="{00000000-0004-0000-6300-0000D2000000}"/>
    <hyperlink ref="B250" r:id="rId212" xr:uid="{00000000-0004-0000-6300-0000D3000000}"/>
    <hyperlink ref="B265" r:id="rId213" xr:uid="{00000000-0004-0000-6300-0000D4000000}"/>
    <hyperlink ref="B266" r:id="rId214" xr:uid="{00000000-0004-0000-6300-0000D5000000}"/>
    <hyperlink ref="B267" r:id="rId215" xr:uid="{00000000-0004-0000-6300-0000D6000000}"/>
    <hyperlink ref="B268" r:id="rId216" xr:uid="{00000000-0004-0000-6300-0000D7000000}"/>
    <hyperlink ref="B269" r:id="rId217" xr:uid="{00000000-0004-0000-6300-0000D8000000}"/>
    <hyperlink ref="B270" r:id="rId218" xr:uid="{00000000-0004-0000-6300-0000D9000000}"/>
    <hyperlink ref="B271" r:id="rId219" xr:uid="{00000000-0004-0000-6300-0000DA000000}"/>
    <hyperlink ref="B272" r:id="rId220" xr:uid="{00000000-0004-0000-6300-0000DB000000}"/>
    <hyperlink ref="B273" r:id="rId221" xr:uid="{00000000-0004-0000-6300-0000DC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01">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0" customWidth="1"/>
    <col min="4" max="4" width="14" customWidth="1"/>
    <col min="5" max="5" width="15.1640625" customWidth="1"/>
  </cols>
  <sheetData>
    <row r="1" spans="1:10" ht="15.75" customHeight="1">
      <c r="A1" s="131" t="s">
        <v>78</v>
      </c>
      <c r="B1" s="88"/>
      <c r="C1" s="132"/>
      <c r="D1" s="104" t="s">
        <v>181</v>
      </c>
      <c r="E1" s="87"/>
      <c r="F1" s="87"/>
      <c r="G1" s="87"/>
      <c r="H1" s="88"/>
      <c r="I1" s="88"/>
    </row>
    <row r="2" spans="1:10" ht="15.75" customHeight="1">
      <c r="A2" s="88" t="s">
        <v>182</v>
      </c>
      <c r="B2" s="139">
        <v>43770</v>
      </c>
      <c r="C2" s="132"/>
      <c r="D2" s="82">
        <f>SUM(D5:G300)</f>
        <v>0</v>
      </c>
      <c r="E2" s="87"/>
      <c r="F2" s="87"/>
      <c r="G2" s="87"/>
      <c r="H2" s="88"/>
      <c r="I2" s="88"/>
    </row>
    <row r="3" spans="1:10" ht="15.75" customHeight="1">
      <c r="A3" s="88"/>
      <c r="B3" s="88"/>
      <c r="C3" s="13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98" t="s">
        <v>8543</v>
      </c>
      <c r="B5" s="99" t="s">
        <v>8544</v>
      </c>
      <c r="C5" s="102" t="s">
        <v>205</v>
      </c>
      <c r="D5" s="92"/>
      <c r="E5" s="87"/>
      <c r="F5" s="86"/>
      <c r="G5" s="87"/>
      <c r="H5" s="88"/>
      <c r="I5" s="88"/>
      <c r="J5" s="88"/>
    </row>
    <row r="6" spans="1:10" ht="15.75" customHeight="1">
      <c r="A6" s="98" t="s">
        <v>8545</v>
      </c>
      <c r="B6" s="99" t="s">
        <v>8546</v>
      </c>
      <c r="C6" s="102" t="s">
        <v>199</v>
      </c>
      <c r="D6" s="64"/>
      <c r="E6" s="107"/>
      <c r="F6" s="86"/>
      <c r="G6" s="87"/>
      <c r="H6" s="88"/>
      <c r="I6" s="88"/>
      <c r="J6" s="88"/>
    </row>
    <row r="7" spans="1:10" ht="15.75" customHeight="1">
      <c r="A7" s="98" t="s">
        <v>8547</v>
      </c>
      <c r="B7" s="99" t="s">
        <v>8548</v>
      </c>
      <c r="C7" s="102" t="s">
        <v>208</v>
      </c>
      <c r="D7" s="64"/>
      <c r="E7" s="97"/>
      <c r="F7" s="86"/>
      <c r="G7" s="87"/>
      <c r="H7" s="88"/>
      <c r="I7" s="88"/>
    </row>
    <row r="8" spans="1:10" ht="15.75" customHeight="1">
      <c r="A8" s="98" t="s">
        <v>8549</v>
      </c>
      <c r="B8" s="146" t="s">
        <v>8550</v>
      </c>
      <c r="C8" s="102" t="s">
        <v>197</v>
      </c>
      <c r="D8" s="92"/>
      <c r="E8" s="107"/>
      <c r="F8" s="86"/>
      <c r="G8" s="87"/>
      <c r="H8" s="88"/>
      <c r="I8" s="88"/>
    </row>
    <row r="9" spans="1:10" ht="15.75" customHeight="1">
      <c r="A9" s="98" t="s">
        <v>8551</v>
      </c>
      <c r="B9" s="146" t="s">
        <v>8552</v>
      </c>
      <c r="C9" s="102" t="s">
        <v>197</v>
      </c>
      <c r="D9" s="64"/>
      <c r="E9" s="97"/>
      <c r="F9" s="86"/>
      <c r="G9" s="87"/>
      <c r="H9" s="88"/>
      <c r="I9" s="88"/>
    </row>
    <row r="10" spans="1:10" ht="15.75" customHeight="1">
      <c r="A10" s="98" t="s">
        <v>8553</v>
      </c>
      <c r="B10" s="146" t="str">
        <f>HYPERLINK("https://bulbapedia.bulbagarden.net/wiki/Rillaboom_(SWSH_Promo_6)","Rillaboom")</f>
        <v>Rillaboom</v>
      </c>
      <c r="C10" s="102" t="s">
        <v>205</v>
      </c>
      <c r="D10" s="92"/>
      <c r="E10" s="107"/>
      <c r="F10" s="86"/>
      <c r="G10" s="87"/>
      <c r="H10" s="88"/>
      <c r="I10" s="88"/>
    </row>
    <row r="11" spans="1:10" ht="15.75" customHeight="1">
      <c r="A11" s="98" t="s">
        <v>8554</v>
      </c>
      <c r="B11" s="146" t="str">
        <f>HYPERLINK("https://bulbapedia.bulbagarden.net/wiki/Frosmoth_(SWSH_Promo_7)","Frosmoth")</f>
        <v>Frosmoth</v>
      </c>
      <c r="C11" s="102" t="s">
        <v>208</v>
      </c>
      <c r="D11" s="64"/>
      <c r="E11" s="97"/>
      <c r="F11" s="86"/>
      <c r="G11" s="87"/>
      <c r="H11" s="88"/>
      <c r="I11" s="88"/>
    </row>
    <row r="12" spans="1:10" ht="15.75" customHeight="1">
      <c r="A12" s="98" t="s">
        <v>8555</v>
      </c>
      <c r="B12" s="146" t="str">
        <f>HYPERLINK("https://bulbapedia.bulbagarden.net/wiki/Galarian_Perrserker_(SWSH_Promo_8)","Galarian Perrserker")</f>
        <v>Galarian Perrserker</v>
      </c>
      <c r="C12" s="102" t="s">
        <v>220</v>
      </c>
      <c r="D12" s="64"/>
      <c r="E12" s="112"/>
      <c r="F12" s="86"/>
      <c r="G12" s="87"/>
      <c r="H12" s="88"/>
      <c r="I12" s="88"/>
    </row>
    <row r="13" spans="1:10" ht="15.75" customHeight="1">
      <c r="A13" s="98" t="s">
        <v>8556</v>
      </c>
      <c r="B13" s="146" t="str">
        <f>HYPERLINK("https://bulbapedia.bulbagarden.net/wiki/Cinccino_(SWSH_Promo_9)","Cinccino")</f>
        <v>Cinccino</v>
      </c>
      <c r="C13" s="102" t="s">
        <v>197</v>
      </c>
      <c r="D13" s="64"/>
      <c r="E13" s="97"/>
      <c r="F13" s="86"/>
      <c r="G13" s="87"/>
      <c r="H13" s="88"/>
      <c r="I13" s="88"/>
    </row>
    <row r="14" spans="1:10" ht="15.75" customHeight="1">
      <c r="A14" s="98" t="s">
        <v>8557</v>
      </c>
      <c r="B14" s="99" t="s">
        <v>8558</v>
      </c>
      <c r="C14" s="102" t="s">
        <v>205</v>
      </c>
      <c r="D14" s="92"/>
      <c r="E14" s="97"/>
      <c r="F14" s="86"/>
      <c r="G14" s="87"/>
      <c r="H14" s="88"/>
      <c r="I14" s="88"/>
    </row>
    <row r="15" spans="1:10" ht="15.75" customHeight="1">
      <c r="A15" s="98" t="s">
        <v>8559</v>
      </c>
      <c r="B15" s="99" t="s">
        <v>8560</v>
      </c>
      <c r="C15" s="102" t="s">
        <v>197</v>
      </c>
      <c r="D15" s="64"/>
      <c r="E15" s="107"/>
      <c r="F15" s="86"/>
      <c r="G15" s="87"/>
      <c r="H15" s="88"/>
      <c r="I15" s="88"/>
    </row>
    <row r="16" spans="1:10" ht="15.75" customHeight="1">
      <c r="A16" s="98" t="s">
        <v>8561</v>
      </c>
      <c r="B16" s="99" t="s">
        <v>8562</v>
      </c>
      <c r="C16" s="102" t="s">
        <v>192</v>
      </c>
      <c r="D16" s="64"/>
      <c r="E16" s="107"/>
      <c r="F16" s="86"/>
      <c r="G16" s="87"/>
      <c r="H16" s="88"/>
      <c r="I16" s="88"/>
    </row>
    <row r="17" spans="1:9" ht="15.75" customHeight="1">
      <c r="A17" s="98" t="s">
        <v>8563</v>
      </c>
      <c r="B17" s="99" t="s">
        <v>8564</v>
      </c>
      <c r="C17" s="102" t="s">
        <v>195</v>
      </c>
      <c r="D17" s="64"/>
      <c r="E17" s="107"/>
      <c r="F17" s="86"/>
      <c r="G17" s="87"/>
      <c r="H17" s="88"/>
      <c r="I17" s="88"/>
    </row>
    <row r="18" spans="1:9" ht="15.75" customHeight="1">
      <c r="A18" s="98" t="s">
        <v>8565</v>
      </c>
      <c r="B18" s="146" t="s">
        <v>8566</v>
      </c>
      <c r="C18" s="102" t="s">
        <v>205</v>
      </c>
      <c r="D18" s="92"/>
      <c r="E18" s="107"/>
      <c r="F18" s="86"/>
      <c r="G18" s="87"/>
      <c r="H18" s="88"/>
      <c r="I18" s="88"/>
    </row>
    <row r="19" spans="1:9" ht="15.75" customHeight="1">
      <c r="A19" s="98" t="s">
        <v>8567</v>
      </c>
      <c r="B19" s="146" t="s">
        <v>8568</v>
      </c>
      <c r="C19" s="102" t="s">
        <v>199</v>
      </c>
      <c r="D19" s="64"/>
      <c r="E19" s="112"/>
      <c r="F19" s="86"/>
      <c r="G19" s="87"/>
      <c r="H19" s="88"/>
      <c r="I19" s="88"/>
    </row>
    <row r="20" spans="1:9" ht="15.75" customHeight="1">
      <c r="A20" s="98" t="s">
        <v>8569</v>
      </c>
      <c r="B20" s="146" t="s">
        <v>8570</v>
      </c>
      <c r="C20" s="102" t="s">
        <v>208</v>
      </c>
      <c r="D20" s="64"/>
      <c r="E20" s="97"/>
      <c r="F20" s="86"/>
      <c r="G20" s="87"/>
      <c r="H20" s="88"/>
      <c r="I20" s="88"/>
    </row>
    <row r="21" spans="1:9" ht="15.75" customHeight="1">
      <c r="A21" s="98" t="s">
        <v>8571</v>
      </c>
      <c r="B21" s="146" t="s">
        <v>8572</v>
      </c>
      <c r="C21" s="102" t="s">
        <v>192</v>
      </c>
      <c r="D21" s="92"/>
      <c r="E21" s="107"/>
      <c r="F21" s="89"/>
      <c r="G21" s="87"/>
      <c r="H21" s="88"/>
      <c r="I21" s="88"/>
    </row>
    <row r="22" spans="1:9" ht="15.75" customHeight="1">
      <c r="A22" s="147" t="s">
        <v>8573</v>
      </c>
      <c r="B22" s="148" t="s">
        <v>8574</v>
      </c>
      <c r="C22" s="147" t="s">
        <v>220</v>
      </c>
      <c r="D22" s="51"/>
      <c r="E22" s="107"/>
      <c r="F22" s="87"/>
      <c r="G22" s="87"/>
      <c r="H22" s="88"/>
      <c r="I22" s="88"/>
    </row>
    <row r="23" spans="1:9" ht="15.75" customHeight="1">
      <c r="A23" s="147" t="s">
        <v>8575</v>
      </c>
      <c r="B23" s="148" t="s">
        <v>8576</v>
      </c>
      <c r="C23" s="147" t="s">
        <v>220</v>
      </c>
      <c r="D23" s="51"/>
    </row>
    <row r="24" spans="1:9" ht="15.75" customHeight="1">
      <c r="A24" s="147" t="s">
        <v>8577</v>
      </c>
      <c r="B24" s="148" t="s">
        <v>191</v>
      </c>
      <c r="C24" s="147" t="s">
        <v>192</v>
      </c>
      <c r="D24" s="5"/>
      <c r="E24" s="112"/>
      <c r="F24" s="87"/>
      <c r="G24" s="87"/>
      <c r="H24" s="88"/>
      <c r="I24" s="88"/>
    </row>
    <row r="25" spans="1:9" ht="15.75" customHeight="1">
      <c r="A25" s="147" t="s">
        <v>8578</v>
      </c>
      <c r="B25" s="148" t="s">
        <v>8579</v>
      </c>
      <c r="C25" s="147" t="s">
        <v>195</v>
      </c>
      <c r="D25" s="51"/>
      <c r="E25" s="97"/>
      <c r="F25" s="89"/>
      <c r="G25" s="87"/>
      <c r="H25" s="88"/>
      <c r="I25" s="88"/>
    </row>
    <row r="26" spans="1:9" ht="15.75" customHeight="1">
      <c r="A26" s="147" t="s">
        <v>8580</v>
      </c>
      <c r="B26" s="148" t="str">
        <f>HYPERLINK("https://bulbapedia.bulbagarden.net/w/index.php?title=Flapple_(SWSH_Promo_22)&amp;action=edit&amp;redlink=1","Flapple")</f>
        <v>Flapple</v>
      </c>
      <c r="C26" s="147" t="s">
        <v>205</v>
      </c>
      <c r="D26" s="5"/>
      <c r="E26" s="107"/>
      <c r="F26" s="86"/>
      <c r="G26" s="87"/>
      <c r="H26" s="88"/>
      <c r="I26" s="88"/>
    </row>
    <row r="27" spans="1:9" ht="15.75" customHeight="1">
      <c r="A27" s="147" t="s">
        <v>8581</v>
      </c>
      <c r="B27" s="148" t="str">
        <f>HYPERLINK("https://bulbapedia.bulbagarden.net/w/index.php?title=Luxray_(SWSH_Promo_23)&amp;action=edit&amp;redlink=1","Luxray")</f>
        <v>Luxray</v>
      </c>
      <c r="C27" s="147" t="s">
        <v>192</v>
      </c>
      <c r="D27" s="5"/>
      <c r="E27" s="112"/>
      <c r="F27" s="89"/>
      <c r="G27" s="87"/>
      <c r="H27" s="88"/>
      <c r="I27" s="88"/>
    </row>
    <row r="28" spans="1:9" ht="15.75" customHeight="1">
      <c r="A28" s="147" t="s">
        <v>8582</v>
      </c>
      <c r="B28" s="148" t="str">
        <f>HYPERLINK("https://bulbapedia.bulbagarden.net/w/index.php?title=Coalossal_(SWSH_Promo_24)&amp;action=edit&amp;redlink=1","Coalossal")</f>
        <v>Coalossal</v>
      </c>
      <c r="C28" s="147" t="s">
        <v>225</v>
      </c>
      <c r="D28" s="5"/>
      <c r="E28" s="107"/>
      <c r="F28" s="51"/>
      <c r="G28" s="87"/>
      <c r="H28" s="88"/>
      <c r="I28" s="88"/>
    </row>
    <row r="29" spans="1:9" ht="15.75" customHeight="1">
      <c r="A29" s="147" t="s">
        <v>8583</v>
      </c>
      <c r="B29" s="148" t="str">
        <f>HYPERLINK("https://bulbapedia.bulbagarden.net/w/index.php?title=Garbodor_(SWSH_Promo_25)&amp;action=edit&amp;redlink=1","Garbodor")</f>
        <v>Garbodor</v>
      </c>
      <c r="C29" s="147" t="s">
        <v>808</v>
      </c>
      <c r="D29" s="5"/>
      <c r="E29" s="107"/>
      <c r="F29" s="51"/>
      <c r="G29" s="87"/>
      <c r="H29" s="88"/>
      <c r="I29" s="88"/>
    </row>
    <row r="30" spans="1:9" ht="15.75" customHeight="1">
      <c r="A30" s="147" t="s">
        <v>8584</v>
      </c>
      <c r="B30" s="148" t="s">
        <v>876</v>
      </c>
      <c r="C30" s="147" t="s">
        <v>208</v>
      </c>
      <c r="D30" s="5"/>
      <c r="E30" s="107"/>
      <c r="F30" s="51"/>
      <c r="G30" s="87"/>
      <c r="H30" s="88"/>
      <c r="I30" s="88"/>
    </row>
    <row r="31" spans="1:9" ht="15.75" customHeight="1">
      <c r="A31" s="147" t="s">
        <v>8585</v>
      </c>
      <c r="B31" s="148" t="s">
        <v>838</v>
      </c>
      <c r="C31" s="147" t="s">
        <v>197</v>
      </c>
      <c r="D31" s="5"/>
      <c r="E31" s="107"/>
      <c r="F31" s="51"/>
      <c r="G31" s="87"/>
      <c r="H31" s="88"/>
      <c r="I31" s="88"/>
    </row>
    <row r="32" spans="1:9" ht="15.75" customHeight="1">
      <c r="A32" s="147" t="s">
        <v>8586</v>
      </c>
      <c r="B32" s="148" t="s">
        <v>8587</v>
      </c>
      <c r="C32" s="147" t="s">
        <v>220</v>
      </c>
      <c r="D32" s="5"/>
      <c r="E32" s="107"/>
      <c r="F32" s="51"/>
      <c r="G32" s="87"/>
      <c r="H32" s="88"/>
      <c r="I32" s="88"/>
    </row>
    <row r="33" spans="1:9" ht="15.75" customHeight="1">
      <c r="A33" s="147" t="s">
        <v>8588</v>
      </c>
      <c r="B33" s="148" t="s">
        <v>2128</v>
      </c>
      <c r="C33" s="147" t="s">
        <v>197</v>
      </c>
      <c r="D33" s="5"/>
      <c r="E33" s="107"/>
      <c r="F33" s="51"/>
      <c r="G33" s="87"/>
      <c r="H33" s="88"/>
      <c r="I33" s="88"/>
    </row>
    <row r="34" spans="1:9" ht="15.75" customHeight="1">
      <c r="A34" s="147" t="s">
        <v>8589</v>
      </c>
      <c r="B34" s="148" t="s">
        <v>8590</v>
      </c>
      <c r="C34" s="147" t="s">
        <v>220</v>
      </c>
      <c r="D34" s="5"/>
      <c r="E34" s="97"/>
      <c r="F34" s="87"/>
      <c r="G34" s="87"/>
      <c r="H34" s="88"/>
      <c r="I34" s="88"/>
    </row>
    <row r="35" spans="1:9" ht="15.75" customHeight="1">
      <c r="A35" s="147" t="s">
        <v>8591</v>
      </c>
      <c r="B35" s="148" t="s">
        <v>8562</v>
      </c>
      <c r="C35" s="147" t="s">
        <v>192</v>
      </c>
      <c r="D35" s="5"/>
      <c r="E35" s="107"/>
      <c r="F35" s="87"/>
      <c r="G35" s="87"/>
      <c r="H35" s="88"/>
      <c r="I35" s="88"/>
    </row>
    <row r="36" spans="1:9" ht="15.75" customHeight="1">
      <c r="A36" s="147" t="s">
        <v>8592</v>
      </c>
      <c r="B36" s="148" t="s">
        <v>233</v>
      </c>
      <c r="C36" s="147" t="s">
        <v>197</v>
      </c>
      <c r="D36" s="5"/>
      <c r="E36" s="112"/>
      <c r="F36" s="87"/>
      <c r="G36" s="87"/>
      <c r="H36" s="88"/>
      <c r="I36" s="88"/>
    </row>
    <row r="37" spans="1:9" ht="15.75" customHeight="1">
      <c r="A37" s="147" t="s">
        <v>8593</v>
      </c>
      <c r="B37" s="148" t="s">
        <v>8594</v>
      </c>
      <c r="C37" s="147" t="s">
        <v>220</v>
      </c>
      <c r="D37" s="5"/>
      <c r="E37" s="97"/>
      <c r="F37" s="87"/>
      <c r="G37" s="87"/>
      <c r="H37" s="88"/>
      <c r="I37" s="88"/>
    </row>
    <row r="38" spans="1:9" ht="15.75" customHeight="1">
      <c r="A38" s="147" t="s">
        <v>8595</v>
      </c>
      <c r="B38" s="148" t="s">
        <v>8596</v>
      </c>
      <c r="C38" s="147" t="s">
        <v>220</v>
      </c>
      <c r="D38" s="5"/>
      <c r="E38" s="97"/>
      <c r="F38" s="87"/>
      <c r="G38" s="87"/>
      <c r="H38" s="88"/>
      <c r="I38" s="88"/>
    </row>
    <row r="39" spans="1:9" ht="15.75" customHeight="1">
      <c r="A39" s="147" t="s">
        <v>8597</v>
      </c>
      <c r="B39" s="148" t="s">
        <v>6252</v>
      </c>
      <c r="C39" s="147" t="s">
        <v>205</v>
      </c>
      <c r="D39" s="149"/>
      <c r="E39" s="107"/>
      <c r="F39" s="86"/>
      <c r="G39" s="87"/>
      <c r="H39" s="88"/>
      <c r="I39" s="88"/>
    </row>
    <row r="40" spans="1:9" ht="15.75" customHeight="1">
      <c r="A40" s="147" t="s">
        <v>8598</v>
      </c>
      <c r="B40" s="148" t="s">
        <v>8599</v>
      </c>
      <c r="C40" s="147" t="s">
        <v>192</v>
      </c>
      <c r="D40" s="5"/>
      <c r="E40" s="107"/>
      <c r="F40" s="86"/>
      <c r="G40" s="87"/>
      <c r="H40" s="88"/>
      <c r="I40" s="88"/>
    </row>
    <row r="41" spans="1:9" ht="15.75" customHeight="1">
      <c r="A41" s="147" t="s">
        <v>8600</v>
      </c>
      <c r="B41" s="148" t="s">
        <v>4105</v>
      </c>
      <c r="C41" s="147" t="s">
        <v>808</v>
      </c>
      <c r="D41" s="5"/>
      <c r="E41" s="107"/>
      <c r="F41" s="86"/>
      <c r="G41" s="87"/>
      <c r="H41" s="88"/>
      <c r="I41" s="88"/>
    </row>
    <row r="42" spans="1:9" ht="15.75" customHeight="1">
      <c r="A42" s="147" t="s">
        <v>8601</v>
      </c>
      <c r="B42" s="148" t="s">
        <v>321</v>
      </c>
      <c r="C42" s="147" t="s">
        <v>197</v>
      </c>
      <c r="D42" s="5"/>
      <c r="E42" s="97"/>
      <c r="F42" s="87"/>
      <c r="G42" s="87"/>
      <c r="H42" s="88"/>
      <c r="I42" s="88"/>
    </row>
    <row r="43" spans="1:9" ht="15.75" customHeight="1">
      <c r="A43" s="147" t="s">
        <v>8602</v>
      </c>
      <c r="B43" s="148" t="s">
        <v>191</v>
      </c>
      <c r="C43" s="147" t="s">
        <v>192</v>
      </c>
      <c r="D43" s="5"/>
      <c r="E43" s="107"/>
      <c r="F43" s="87"/>
      <c r="G43" s="87"/>
      <c r="H43" s="88"/>
      <c r="I43" s="88"/>
    </row>
    <row r="44" spans="1:9" ht="15.75" customHeight="1">
      <c r="A44" s="147" t="s">
        <v>8603</v>
      </c>
      <c r="B44" s="148" t="s">
        <v>8604</v>
      </c>
      <c r="C44" s="147" t="s">
        <v>195</v>
      </c>
      <c r="D44" s="5"/>
      <c r="E44" s="107"/>
      <c r="F44" s="86"/>
      <c r="G44" s="87"/>
      <c r="H44" s="88"/>
      <c r="I44" s="88"/>
    </row>
    <row r="45" spans="1:9" ht="15.75" customHeight="1">
      <c r="A45" s="147" t="s">
        <v>8605</v>
      </c>
      <c r="B45" s="148" t="s">
        <v>319</v>
      </c>
      <c r="C45" s="147" t="s">
        <v>199</v>
      </c>
      <c r="D45" s="5"/>
      <c r="E45" s="97"/>
      <c r="F45" s="86"/>
      <c r="G45" s="87"/>
      <c r="H45" s="88"/>
      <c r="I45" s="88"/>
    </row>
    <row r="46" spans="1:9" ht="15.75" customHeight="1">
      <c r="A46" s="147" t="s">
        <v>8606</v>
      </c>
      <c r="B46" s="148" t="s">
        <v>203</v>
      </c>
      <c r="C46" s="147" t="s">
        <v>197</v>
      </c>
      <c r="D46" s="5"/>
      <c r="E46" s="107"/>
      <c r="F46" s="86"/>
      <c r="G46" s="87"/>
      <c r="H46" s="88"/>
      <c r="I46" s="88"/>
    </row>
    <row r="47" spans="1:9" ht="15.75" customHeight="1">
      <c r="A47" s="147" t="s">
        <v>8607</v>
      </c>
      <c r="B47" s="148" t="s">
        <v>8608</v>
      </c>
      <c r="C47" s="147" t="s">
        <v>225</v>
      </c>
      <c r="D47" s="5"/>
      <c r="E47" s="97"/>
      <c r="F47" s="87"/>
      <c r="G47" s="87"/>
      <c r="H47" s="88"/>
      <c r="I47" s="88"/>
    </row>
    <row r="48" spans="1:9" ht="15.75" customHeight="1">
      <c r="A48" s="147" t="s">
        <v>8609</v>
      </c>
      <c r="B48" s="148" t="s">
        <v>8610</v>
      </c>
      <c r="C48" s="147" t="s">
        <v>808</v>
      </c>
      <c r="D48" s="51"/>
      <c r="E48" s="112"/>
      <c r="F48" s="86"/>
      <c r="G48" s="87"/>
      <c r="H48" s="88"/>
      <c r="I48" s="88"/>
    </row>
    <row r="49" spans="1:9" ht="15.75" customHeight="1">
      <c r="A49" s="147" t="s">
        <v>8611</v>
      </c>
      <c r="B49" s="148" t="s">
        <v>8612</v>
      </c>
      <c r="C49" s="147" t="s">
        <v>808</v>
      </c>
      <c r="D49" s="51"/>
      <c r="E49" s="112"/>
      <c r="F49" s="87"/>
      <c r="G49" s="87"/>
      <c r="H49" s="88"/>
      <c r="I49" s="88"/>
    </row>
    <row r="50" spans="1:9" ht="15.75" customHeight="1">
      <c r="A50" s="147" t="s">
        <v>8613</v>
      </c>
      <c r="B50" s="148" t="s">
        <v>8614</v>
      </c>
      <c r="C50" s="147" t="s">
        <v>205</v>
      </c>
      <c r="D50" s="5"/>
      <c r="E50" s="107"/>
      <c r="F50" s="87"/>
      <c r="G50" s="87"/>
      <c r="H50" s="88"/>
      <c r="I50" s="88"/>
    </row>
    <row r="51" spans="1:9" ht="15.75" customHeight="1">
      <c r="A51" s="147" t="s">
        <v>8615</v>
      </c>
      <c r="B51" s="148" t="s">
        <v>8616</v>
      </c>
      <c r="C51" s="147" t="s">
        <v>208</v>
      </c>
      <c r="D51" s="5"/>
      <c r="E51" s="97"/>
      <c r="F51" s="87"/>
      <c r="G51" s="87"/>
      <c r="H51" s="88"/>
      <c r="I51" s="88"/>
    </row>
    <row r="52" spans="1:9" ht="15.75" customHeight="1">
      <c r="A52" s="147" t="s">
        <v>8617</v>
      </c>
      <c r="B52" s="148" t="s">
        <v>8618</v>
      </c>
      <c r="C52" s="147" t="s">
        <v>199</v>
      </c>
      <c r="D52" s="5"/>
      <c r="E52" s="97"/>
      <c r="F52" s="87"/>
      <c r="G52" s="87"/>
      <c r="H52" s="88"/>
      <c r="I52" s="88"/>
    </row>
    <row r="53" spans="1:9" ht="13">
      <c r="A53" s="147" t="s">
        <v>8619</v>
      </c>
      <c r="B53" s="148" t="s">
        <v>8620</v>
      </c>
      <c r="C53" s="147" t="s">
        <v>197</v>
      </c>
      <c r="D53" s="51"/>
      <c r="E53" s="112"/>
      <c r="F53" s="87"/>
      <c r="G53" s="87"/>
      <c r="H53" s="88"/>
      <c r="I53" s="88"/>
    </row>
    <row r="54" spans="1:9" ht="13">
      <c r="A54" s="147" t="s">
        <v>8621</v>
      </c>
      <c r="B54" s="148" t="s">
        <v>8622</v>
      </c>
      <c r="C54" s="147" t="s">
        <v>199</v>
      </c>
      <c r="D54" s="51"/>
      <c r="E54" s="112"/>
      <c r="F54" s="87"/>
      <c r="G54" s="87"/>
      <c r="H54" s="88"/>
      <c r="I54" s="88"/>
    </row>
    <row r="55" spans="1:9" ht="13">
      <c r="A55" s="147" t="s">
        <v>8623</v>
      </c>
      <c r="B55" s="148" t="s">
        <v>364</v>
      </c>
      <c r="C55" s="147" t="s">
        <v>208</v>
      </c>
      <c r="D55" s="5"/>
      <c r="E55" s="112"/>
      <c r="F55" s="87"/>
      <c r="G55" s="87"/>
      <c r="H55" s="88"/>
      <c r="I55" s="88"/>
    </row>
    <row r="56" spans="1:9" ht="13">
      <c r="A56" s="147" t="s">
        <v>8624</v>
      </c>
      <c r="B56" s="148" t="s">
        <v>360</v>
      </c>
      <c r="C56" s="147" t="s">
        <v>195</v>
      </c>
      <c r="D56" s="5"/>
      <c r="E56" s="97"/>
      <c r="F56" s="86"/>
      <c r="G56" s="87"/>
      <c r="H56" s="88"/>
      <c r="I56" s="88"/>
    </row>
    <row r="57" spans="1:9" ht="13">
      <c r="A57" s="147" t="s">
        <v>8625</v>
      </c>
      <c r="B57" s="148" t="s">
        <v>230</v>
      </c>
      <c r="C57" s="147" t="s">
        <v>225</v>
      </c>
      <c r="D57" s="5"/>
      <c r="E57" s="107"/>
      <c r="F57" s="89"/>
      <c r="G57" s="87"/>
      <c r="H57" s="88"/>
      <c r="I57" s="88"/>
    </row>
    <row r="58" spans="1:9" ht="13">
      <c r="A58" s="147" t="s">
        <v>8626</v>
      </c>
      <c r="B58" s="148" t="s">
        <v>8627</v>
      </c>
      <c r="C58" s="147" t="s">
        <v>225</v>
      </c>
      <c r="D58" s="5"/>
      <c r="E58" s="112"/>
      <c r="F58" s="87"/>
      <c r="G58" s="87"/>
      <c r="H58" s="88"/>
      <c r="I58" s="88"/>
    </row>
    <row r="59" spans="1:9" ht="13">
      <c r="A59" s="147" t="s">
        <v>8628</v>
      </c>
      <c r="B59" s="148" t="s">
        <v>8629</v>
      </c>
      <c r="C59" s="147" t="s">
        <v>195</v>
      </c>
      <c r="D59" s="51"/>
      <c r="E59" s="97"/>
      <c r="F59" s="87"/>
      <c r="G59" s="87"/>
      <c r="H59" s="88"/>
      <c r="I59" s="88"/>
    </row>
    <row r="60" spans="1:9" ht="13">
      <c r="A60" s="147" t="s">
        <v>8630</v>
      </c>
      <c r="B60" s="148" t="s">
        <v>8631</v>
      </c>
      <c r="C60" s="147" t="s">
        <v>192</v>
      </c>
      <c r="D60" s="51"/>
      <c r="E60" s="112"/>
      <c r="F60" s="87"/>
      <c r="G60" s="87"/>
      <c r="H60" s="88"/>
      <c r="I60" s="88"/>
    </row>
    <row r="61" spans="1:9" ht="13">
      <c r="A61" s="147" t="s">
        <v>8632</v>
      </c>
      <c r="B61" s="148" t="s">
        <v>8633</v>
      </c>
      <c r="C61" s="147" t="s">
        <v>808</v>
      </c>
      <c r="D61" s="51"/>
      <c r="E61" s="107"/>
      <c r="F61" s="87"/>
      <c r="G61" s="87"/>
      <c r="H61" s="88"/>
      <c r="I61" s="88"/>
    </row>
    <row r="62" spans="1:9" ht="13">
      <c r="A62" s="147" t="s">
        <v>8634</v>
      </c>
      <c r="B62" s="148" t="s">
        <v>8635</v>
      </c>
      <c r="C62" s="147" t="s">
        <v>195</v>
      </c>
      <c r="D62" s="5"/>
      <c r="E62" s="97"/>
      <c r="F62" s="87"/>
      <c r="G62" s="87"/>
      <c r="H62" s="88"/>
      <c r="I62" s="88"/>
    </row>
    <row r="63" spans="1:9" ht="13">
      <c r="A63" s="147" t="s">
        <v>8636</v>
      </c>
      <c r="B63" s="148" t="s">
        <v>8637</v>
      </c>
      <c r="C63" s="147" t="s">
        <v>808</v>
      </c>
      <c r="D63" s="5"/>
      <c r="E63" s="97"/>
      <c r="F63" s="87"/>
      <c r="G63" s="87"/>
      <c r="H63" s="88"/>
      <c r="I63" s="88"/>
    </row>
    <row r="64" spans="1:9" ht="13">
      <c r="A64" s="147" t="s">
        <v>8638</v>
      </c>
      <c r="B64" s="148" t="s">
        <v>8587</v>
      </c>
      <c r="C64" s="147" t="s">
        <v>220</v>
      </c>
      <c r="D64" s="5"/>
      <c r="E64" s="112"/>
      <c r="F64" s="87"/>
      <c r="G64" s="87"/>
      <c r="H64" s="88"/>
      <c r="I64" s="88"/>
    </row>
    <row r="65" spans="1:9" ht="13">
      <c r="A65" s="147" t="s">
        <v>8639</v>
      </c>
      <c r="B65" s="148" t="s">
        <v>8640</v>
      </c>
      <c r="C65" s="147" t="s">
        <v>192</v>
      </c>
      <c r="D65" s="86"/>
      <c r="E65" s="107"/>
      <c r="F65" s="87"/>
      <c r="G65" s="87"/>
      <c r="H65" s="88"/>
      <c r="I65" s="88"/>
    </row>
    <row r="66" spans="1:9" ht="13">
      <c r="A66" s="147" t="s">
        <v>8641</v>
      </c>
      <c r="B66" s="150" t="s">
        <v>8642</v>
      </c>
      <c r="C66" s="151" t="s">
        <v>192</v>
      </c>
      <c r="D66" s="86"/>
      <c r="E66" s="107"/>
      <c r="F66" s="87"/>
      <c r="G66" s="87"/>
      <c r="H66" s="88"/>
      <c r="I66" s="88"/>
    </row>
    <row r="67" spans="1:9" ht="13">
      <c r="A67" s="147" t="s">
        <v>8643</v>
      </c>
      <c r="B67" s="148" t="s">
        <v>8640</v>
      </c>
      <c r="C67" s="147" t="s">
        <v>192</v>
      </c>
      <c r="D67" s="5"/>
      <c r="E67" s="107"/>
      <c r="F67" s="87"/>
      <c r="G67" s="87"/>
      <c r="H67" s="88"/>
      <c r="I67" s="88"/>
    </row>
    <row r="68" spans="1:9" ht="13">
      <c r="A68" s="147" t="s">
        <v>8644</v>
      </c>
      <c r="B68" s="148" t="s">
        <v>8610</v>
      </c>
      <c r="C68" s="147" t="s">
        <v>808</v>
      </c>
      <c r="D68" s="51"/>
      <c r="E68" s="107"/>
      <c r="F68" s="87"/>
      <c r="G68" s="87"/>
      <c r="H68" s="88"/>
      <c r="I68" s="88"/>
    </row>
    <row r="69" spans="1:9" ht="13">
      <c r="A69" s="147" t="s">
        <v>8645</v>
      </c>
      <c r="B69" s="148" t="s">
        <v>8646</v>
      </c>
      <c r="C69" s="147" t="s">
        <v>197</v>
      </c>
      <c r="D69" s="5"/>
      <c r="E69" s="107"/>
      <c r="F69" s="87"/>
      <c r="G69" s="87"/>
      <c r="H69" s="88"/>
      <c r="I69" s="88"/>
    </row>
    <row r="70" spans="1:9" ht="13">
      <c r="A70" s="147" t="s">
        <v>8647</v>
      </c>
      <c r="B70" s="148" t="s">
        <v>243</v>
      </c>
      <c r="C70" s="147" t="s">
        <v>199</v>
      </c>
      <c r="D70" s="5"/>
      <c r="E70" s="107"/>
      <c r="F70" s="86"/>
      <c r="G70" s="87"/>
      <c r="H70" s="88"/>
      <c r="I70" s="88"/>
    </row>
    <row r="71" spans="1:9" ht="13">
      <c r="A71" s="147" t="s">
        <v>8648</v>
      </c>
      <c r="B71" s="148" t="s">
        <v>801</v>
      </c>
      <c r="C71" s="147" t="s">
        <v>225</v>
      </c>
      <c r="D71" s="5"/>
      <c r="E71" s="112"/>
      <c r="F71" s="86"/>
      <c r="G71" s="87"/>
      <c r="H71" s="88"/>
      <c r="I71" s="88"/>
    </row>
    <row r="72" spans="1:9" ht="13">
      <c r="A72" s="147" t="s">
        <v>8649</v>
      </c>
      <c r="B72" s="148" t="s">
        <v>233</v>
      </c>
      <c r="C72" s="147" t="s">
        <v>197</v>
      </c>
      <c r="D72" s="5"/>
      <c r="E72" s="112"/>
      <c r="F72" s="87"/>
      <c r="G72" s="87"/>
      <c r="H72" s="88"/>
      <c r="I72" s="88"/>
    </row>
    <row r="73" spans="1:9" ht="13">
      <c r="A73" s="147" t="s">
        <v>8650</v>
      </c>
      <c r="B73" s="148" t="s">
        <v>781</v>
      </c>
      <c r="C73" s="147" t="s">
        <v>197</v>
      </c>
      <c r="D73" s="5"/>
      <c r="E73" s="107"/>
      <c r="F73" s="86"/>
      <c r="G73" s="87"/>
      <c r="H73" s="88"/>
      <c r="I73" s="88"/>
    </row>
    <row r="74" spans="1:9" ht="13">
      <c r="A74" s="147" t="s">
        <v>8651</v>
      </c>
      <c r="B74" s="148" t="s">
        <v>8544</v>
      </c>
      <c r="C74" s="147" t="s">
        <v>205</v>
      </c>
      <c r="D74" s="5"/>
      <c r="E74" s="97"/>
      <c r="F74" s="87"/>
      <c r="G74" s="87"/>
      <c r="H74" s="88"/>
      <c r="I74" s="88"/>
    </row>
    <row r="75" spans="1:9" ht="13">
      <c r="A75" s="147" t="s">
        <v>8652</v>
      </c>
      <c r="B75" s="148" t="s">
        <v>8546</v>
      </c>
      <c r="C75" s="147" t="s">
        <v>199</v>
      </c>
      <c r="D75" s="5"/>
      <c r="E75" s="112"/>
      <c r="F75" s="87"/>
      <c r="G75" s="87"/>
      <c r="H75" s="88"/>
      <c r="I75" s="88"/>
    </row>
    <row r="76" spans="1:9" ht="13">
      <c r="A76" s="147" t="s">
        <v>8653</v>
      </c>
      <c r="B76" s="148" t="s">
        <v>326</v>
      </c>
      <c r="C76" s="147" t="s">
        <v>208</v>
      </c>
      <c r="D76" s="5"/>
      <c r="E76" s="107"/>
      <c r="F76" s="87"/>
      <c r="G76" s="87"/>
      <c r="H76" s="88"/>
      <c r="I76" s="88"/>
    </row>
    <row r="77" spans="1:9" ht="13">
      <c r="A77" s="147" t="s">
        <v>8654</v>
      </c>
      <c r="B77" s="148" t="s">
        <v>8548</v>
      </c>
      <c r="C77" s="147" t="s">
        <v>208</v>
      </c>
      <c r="D77" s="5"/>
      <c r="E77" s="97"/>
      <c r="F77" s="87"/>
      <c r="G77" s="87"/>
      <c r="H77" s="88"/>
      <c r="I77" s="88"/>
    </row>
    <row r="78" spans="1:9" ht="13">
      <c r="A78" s="147" t="s">
        <v>8655</v>
      </c>
      <c r="B78" s="148" t="s">
        <v>8656</v>
      </c>
      <c r="C78" s="147" t="s">
        <v>192</v>
      </c>
      <c r="D78" s="5"/>
      <c r="E78" s="107"/>
      <c r="F78" s="87"/>
      <c r="G78" s="87"/>
      <c r="H78" s="88"/>
      <c r="I78" s="88"/>
    </row>
    <row r="79" spans="1:9" ht="13">
      <c r="A79" s="147" t="s">
        <v>8657</v>
      </c>
      <c r="B79" s="148" t="s">
        <v>8658</v>
      </c>
      <c r="C79" s="147" t="s">
        <v>199</v>
      </c>
      <c r="D79" s="5"/>
      <c r="E79" s="107"/>
      <c r="F79" s="87"/>
      <c r="G79" s="87"/>
      <c r="H79" s="88"/>
      <c r="I79" s="88"/>
    </row>
    <row r="80" spans="1:9" ht="13">
      <c r="A80" s="147" t="s">
        <v>8659</v>
      </c>
      <c r="B80" s="148" t="s">
        <v>8574</v>
      </c>
      <c r="C80" s="147" t="s">
        <v>220</v>
      </c>
      <c r="D80" s="5"/>
      <c r="E80" s="107"/>
      <c r="F80" s="87"/>
      <c r="G80" s="87"/>
      <c r="H80" s="88"/>
      <c r="I80" s="88"/>
    </row>
    <row r="81" spans="1:9" ht="13">
      <c r="A81" s="147" t="s">
        <v>8660</v>
      </c>
      <c r="B81" s="148" t="s">
        <v>8576</v>
      </c>
      <c r="C81" s="147" t="s">
        <v>220</v>
      </c>
      <c r="D81" s="5"/>
      <c r="E81" s="107"/>
      <c r="F81" s="87"/>
      <c r="G81" s="87"/>
      <c r="H81" s="88"/>
      <c r="I81" s="88"/>
    </row>
    <row r="82" spans="1:9" ht="13">
      <c r="A82" s="147" t="s">
        <v>8661</v>
      </c>
      <c r="B82" s="148" t="s">
        <v>8662</v>
      </c>
      <c r="C82" s="147" t="s">
        <v>205</v>
      </c>
      <c r="D82" s="5"/>
      <c r="E82" s="112"/>
      <c r="F82" s="87"/>
      <c r="G82" s="87"/>
      <c r="H82" s="88"/>
      <c r="I82" s="88"/>
    </row>
    <row r="83" spans="1:9" ht="13">
      <c r="A83" s="147" t="s">
        <v>8663</v>
      </c>
      <c r="B83" s="148" t="s">
        <v>8664</v>
      </c>
      <c r="C83" s="147" t="s">
        <v>208</v>
      </c>
      <c r="E83" s="107"/>
      <c r="F83" s="89"/>
      <c r="G83" s="87"/>
      <c r="H83" s="88"/>
      <c r="I83" s="88"/>
    </row>
    <row r="84" spans="1:9" ht="13">
      <c r="A84" s="147" t="s">
        <v>8665</v>
      </c>
      <c r="B84" s="148" t="s">
        <v>5120</v>
      </c>
      <c r="C84" s="147" t="s">
        <v>192</v>
      </c>
      <c r="E84" s="107"/>
      <c r="F84" s="87"/>
      <c r="G84" s="87"/>
      <c r="H84" s="88"/>
      <c r="I84" s="88"/>
    </row>
    <row r="85" spans="1:9" ht="13">
      <c r="A85" s="147" t="s">
        <v>8666</v>
      </c>
      <c r="B85" s="148" t="s">
        <v>8667</v>
      </c>
      <c r="C85" s="147" t="s">
        <v>195</v>
      </c>
      <c r="E85" s="112"/>
      <c r="F85" s="87"/>
      <c r="G85" s="87"/>
      <c r="H85" s="88"/>
      <c r="I85" s="88"/>
    </row>
    <row r="86" spans="1:9" ht="13">
      <c r="A86" s="147" t="s">
        <v>8668</v>
      </c>
      <c r="B86" s="148" t="s">
        <v>5025</v>
      </c>
      <c r="C86" s="147" t="s">
        <v>197</v>
      </c>
      <c r="E86" s="107"/>
      <c r="F86" s="87"/>
      <c r="G86" s="87"/>
      <c r="H86" s="88"/>
      <c r="I86" s="88"/>
    </row>
    <row r="87" spans="1:9" ht="13">
      <c r="A87" s="147" t="s">
        <v>8669</v>
      </c>
      <c r="B87" s="148" t="s">
        <v>8670</v>
      </c>
      <c r="C87" s="147" t="s">
        <v>195</v>
      </c>
      <c r="E87" s="112"/>
      <c r="F87" s="89"/>
      <c r="G87" s="87"/>
      <c r="H87" s="88"/>
      <c r="I87" s="88"/>
    </row>
    <row r="88" spans="1:9" ht="13">
      <c r="A88" s="147" t="s">
        <v>8671</v>
      </c>
      <c r="B88" s="148" t="s">
        <v>8672</v>
      </c>
      <c r="C88" s="147" t="s">
        <v>205</v>
      </c>
      <c r="E88" s="107"/>
      <c r="F88" s="87"/>
      <c r="G88" s="87"/>
      <c r="H88" s="88"/>
      <c r="I88" s="88"/>
    </row>
    <row r="89" spans="1:9" ht="13">
      <c r="A89" s="147" t="s">
        <v>8673</v>
      </c>
      <c r="B89" s="148" t="s">
        <v>8674</v>
      </c>
      <c r="C89" s="147" t="s">
        <v>192</v>
      </c>
      <c r="E89" s="112"/>
      <c r="F89" s="87"/>
      <c r="G89" s="87"/>
      <c r="H89" s="88"/>
      <c r="I89" s="88"/>
    </row>
    <row r="90" spans="1:9" ht="13">
      <c r="A90" s="147" t="s">
        <v>8675</v>
      </c>
      <c r="B90" s="148" t="s">
        <v>8676</v>
      </c>
      <c r="C90" s="147" t="s">
        <v>197</v>
      </c>
      <c r="E90" s="112"/>
      <c r="F90" s="87"/>
      <c r="G90" s="87"/>
      <c r="H90" s="88"/>
      <c r="I90" s="88"/>
    </row>
    <row r="91" spans="1:9" ht="13">
      <c r="A91" s="147" t="s">
        <v>8677</v>
      </c>
      <c r="B91" s="148" t="s">
        <v>8678</v>
      </c>
      <c r="C91" s="147" t="s">
        <v>197</v>
      </c>
      <c r="E91" s="107"/>
      <c r="F91" s="87"/>
      <c r="G91" s="87"/>
      <c r="H91" s="88"/>
      <c r="I91" s="88"/>
    </row>
    <row r="92" spans="1:9" ht="13">
      <c r="A92" s="147" t="s">
        <v>8679</v>
      </c>
      <c r="B92" s="148" t="s">
        <v>3133</v>
      </c>
      <c r="C92" s="147" t="s">
        <v>205</v>
      </c>
      <c r="E92" s="107"/>
      <c r="F92" s="87"/>
      <c r="G92" s="87"/>
      <c r="H92" s="88"/>
      <c r="I92" s="88"/>
    </row>
    <row r="93" spans="1:9" ht="13">
      <c r="A93" s="147" t="s">
        <v>8680</v>
      </c>
      <c r="B93" s="148" t="s">
        <v>975</v>
      </c>
      <c r="C93" s="147" t="s">
        <v>208</v>
      </c>
      <c r="E93" s="107"/>
      <c r="F93" s="87"/>
      <c r="G93" s="87"/>
      <c r="H93" s="88"/>
      <c r="I93" s="88"/>
    </row>
    <row r="94" spans="1:9" ht="13">
      <c r="A94" s="147" t="s">
        <v>8681</v>
      </c>
      <c r="B94" s="148" t="s">
        <v>938</v>
      </c>
      <c r="C94" s="147" t="s">
        <v>808</v>
      </c>
      <c r="E94" s="107"/>
      <c r="F94" s="87"/>
      <c r="G94" s="87"/>
      <c r="H94" s="88"/>
      <c r="I94" s="88"/>
    </row>
    <row r="95" spans="1:9" ht="13">
      <c r="A95" s="147" t="s">
        <v>8682</v>
      </c>
      <c r="B95" s="148" t="s">
        <v>3163</v>
      </c>
      <c r="C95" s="147" t="s">
        <v>208</v>
      </c>
      <c r="E95" s="107"/>
      <c r="F95" s="87"/>
      <c r="G95" s="87"/>
      <c r="H95" s="88"/>
      <c r="I95" s="88"/>
    </row>
    <row r="96" spans="1:9" ht="13">
      <c r="A96" s="147" t="s">
        <v>8683</v>
      </c>
      <c r="B96" s="148" t="s">
        <v>278</v>
      </c>
      <c r="C96" s="147" t="s">
        <v>199</v>
      </c>
      <c r="E96" s="107"/>
      <c r="F96" s="87"/>
      <c r="G96" s="87"/>
      <c r="H96" s="88"/>
      <c r="I96" s="88"/>
    </row>
    <row r="97" spans="1:9" ht="13">
      <c r="A97" s="147" t="s">
        <v>8684</v>
      </c>
      <c r="B97" s="148" t="s">
        <v>8685</v>
      </c>
      <c r="C97" s="147" t="s">
        <v>208</v>
      </c>
      <c r="E97" s="107"/>
      <c r="F97" s="87"/>
      <c r="G97" s="87"/>
      <c r="H97" s="88"/>
      <c r="I97" s="88"/>
    </row>
    <row r="98" spans="1:9" ht="13">
      <c r="A98" s="147" t="s">
        <v>8686</v>
      </c>
      <c r="B98" s="148" t="s">
        <v>320</v>
      </c>
      <c r="C98" s="147" t="s">
        <v>192</v>
      </c>
      <c r="E98" s="97"/>
      <c r="F98" s="87"/>
      <c r="G98" s="87"/>
      <c r="H98" s="88"/>
      <c r="I98" s="88"/>
    </row>
    <row r="99" spans="1:9" ht="13">
      <c r="A99" s="147" t="s">
        <v>8687</v>
      </c>
      <c r="B99" s="148" t="s">
        <v>203</v>
      </c>
      <c r="C99" s="147" t="s">
        <v>197</v>
      </c>
      <c r="E99" s="107"/>
      <c r="F99" s="87"/>
      <c r="G99" s="87"/>
      <c r="H99" s="88"/>
      <c r="I99" s="88"/>
    </row>
    <row r="100" spans="1:9" ht="13">
      <c r="A100" s="147" t="s">
        <v>8688</v>
      </c>
      <c r="B100" s="148" t="s">
        <v>8689</v>
      </c>
      <c r="C100" s="147" t="s">
        <v>195</v>
      </c>
      <c r="E100" s="97"/>
      <c r="F100" s="87"/>
      <c r="G100" s="87"/>
      <c r="H100" s="88"/>
      <c r="I100" s="88"/>
    </row>
    <row r="101" spans="1:9" ht="13">
      <c r="A101" s="147" t="s">
        <v>8690</v>
      </c>
      <c r="B101" s="148" t="s">
        <v>8691</v>
      </c>
      <c r="C101" s="147" t="s">
        <v>195</v>
      </c>
      <c r="E101" s="112"/>
      <c r="F101" s="87"/>
      <c r="G101" s="87"/>
      <c r="H101" s="88"/>
      <c r="I101" s="88"/>
    </row>
    <row r="102" spans="1:9" ht="13">
      <c r="A102" s="147" t="s">
        <v>8692</v>
      </c>
      <c r="B102" s="148" t="s">
        <v>8693</v>
      </c>
      <c r="C102" s="147" t="s">
        <v>808</v>
      </c>
      <c r="E102" s="112"/>
      <c r="F102" s="86"/>
      <c r="G102" s="87"/>
      <c r="H102" s="88"/>
      <c r="I102" s="88"/>
    </row>
    <row r="103" spans="1:9" ht="13">
      <c r="A103" s="147" t="s">
        <v>8694</v>
      </c>
      <c r="B103" s="148" t="s">
        <v>8695</v>
      </c>
      <c r="C103" s="147" t="s">
        <v>808</v>
      </c>
      <c r="E103" s="107"/>
      <c r="F103" s="87"/>
      <c r="G103" s="87"/>
      <c r="H103" s="88"/>
      <c r="I103" s="88"/>
    </row>
    <row r="104" spans="1:9" ht="13">
      <c r="A104" s="147" t="s">
        <v>8696</v>
      </c>
      <c r="B104" s="148" t="s">
        <v>8697</v>
      </c>
      <c r="C104" s="147" t="s">
        <v>205</v>
      </c>
      <c r="E104" s="107"/>
      <c r="F104" s="87"/>
      <c r="G104" s="87"/>
      <c r="H104" s="88"/>
      <c r="I104" s="88"/>
    </row>
    <row r="105" spans="1:9" ht="13">
      <c r="A105" s="147" t="s">
        <v>8698</v>
      </c>
      <c r="B105" s="148" t="s">
        <v>8699</v>
      </c>
      <c r="C105" s="147" t="s">
        <v>208</v>
      </c>
      <c r="E105" s="107"/>
      <c r="F105" s="87"/>
      <c r="G105" s="87"/>
      <c r="H105" s="88"/>
      <c r="I105" s="88"/>
    </row>
    <row r="106" spans="1:9" ht="13">
      <c r="A106" s="147" t="s">
        <v>8700</v>
      </c>
      <c r="B106" s="148" t="s">
        <v>8701</v>
      </c>
      <c r="C106" s="147" t="s">
        <v>205</v>
      </c>
      <c r="E106" s="107"/>
      <c r="F106" s="87"/>
      <c r="G106" s="87"/>
      <c r="H106" s="88"/>
      <c r="I106" s="88"/>
    </row>
    <row r="107" spans="1:9" ht="13">
      <c r="A107" s="147" t="s">
        <v>8702</v>
      </c>
      <c r="B107" s="148" t="s">
        <v>8703</v>
      </c>
      <c r="C107" s="147" t="s">
        <v>208</v>
      </c>
      <c r="E107" s="107"/>
      <c r="F107" s="87"/>
      <c r="G107" s="87"/>
      <c r="H107" s="88"/>
      <c r="I107" s="88"/>
    </row>
    <row r="108" spans="1:9" ht="13">
      <c r="A108" s="147" t="s">
        <v>8704</v>
      </c>
      <c r="B108" s="148" t="s">
        <v>8705</v>
      </c>
      <c r="C108" s="147" t="s">
        <v>199</v>
      </c>
      <c r="E108" s="107"/>
      <c r="F108" s="87"/>
      <c r="G108" s="87"/>
      <c r="H108" s="88"/>
      <c r="I108" s="88"/>
    </row>
    <row r="109" spans="1:9" ht="13">
      <c r="A109" s="147" t="s">
        <v>8706</v>
      </c>
      <c r="B109" s="148" t="s">
        <v>8707</v>
      </c>
      <c r="C109" s="147" t="s">
        <v>195</v>
      </c>
      <c r="E109" s="107"/>
      <c r="F109" s="87"/>
      <c r="G109" s="87"/>
      <c r="H109" s="88"/>
      <c r="I109" s="88"/>
    </row>
    <row r="110" spans="1:9" ht="13">
      <c r="A110" s="147" t="s">
        <v>8708</v>
      </c>
      <c r="B110" s="148" t="s">
        <v>8709</v>
      </c>
      <c r="C110" s="147" t="s">
        <v>225</v>
      </c>
      <c r="E110" s="107"/>
      <c r="F110" s="87"/>
      <c r="G110" s="87"/>
      <c r="H110" s="88"/>
      <c r="I110" s="88"/>
    </row>
    <row r="111" spans="1:9" ht="13">
      <c r="A111" s="147" t="s">
        <v>8710</v>
      </c>
      <c r="B111" s="148" t="s">
        <v>8711</v>
      </c>
      <c r="C111" s="147" t="s">
        <v>225</v>
      </c>
      <c r="E111" s="97"/>
      <c r="F111" s="87"/>
      <c r="G111" s="87"/>
      <c r="H111" s="88"/>
      <c r="I111" s="88"/>
    </row>
    <row r="112" spans="1:9" ht="13">
      <c r="A112" s="147" t="s">
        <v>8712</v>
      </c>
      <c r="B112" s="148" t="s">
        <v>8713</v>
      </c>
      <c r="C112" s="147" t="s">
        <v>208</v>
      </c>
      <c r="E112" s="107"/>
      <c r="F112" s="89"/>
      <c r="G112" s="87"/>
      <c r="H112" s="88"/>
      <c r="I112" s="88"/>
    </row>
    <row r="113" spans="1:9" ht="13">
      <c r="A113" s="147" t="s">
        <v>8714</v>
      </c>
      <c r="B113" s="148" t="s">
        <v>8715</v>
      </c>
      <c r="C113" s="147" t="s">
        <v>808</v>
      </c>
      <c r="E113" s="112"/>
      <c r="F113" s="89"/>
      <c r="G113" s="87"/>
      <c r="H113" s="88"/>
      <c r="I113" s="88"/>
    </row>
    <row r="114" spans="1:9" ht="13">
      <c r="A114" s="147" t="s">
        <v>8716</v>
      </c>
      <c r="B114" s="152" t="s">
        <v>8693</v>
      </c>
      <c r="C114" s="151" t="s">
        <v>808</v>
      </c>
      <c r="D114" s="86"/>
      <c r="E114" s="107"/>
      <c r="F114" s="87"/>
      <c r="G114" s="87"/>
      <c r="H114" s="88"/>
      <c r="I114" s="88"/>
    </row>
    <row r="115" spans="1:9" ht="13">
      <c r="A115" s="147" t="s">
        <v>8717</v>
      </c>
      <c r="B115" s="148" t="s">
        <v>8718</v>
      </c>
      <c r="C115" s="147" t="s">
        <v>195</v>
      </c>
      <c r="E115" s="112"/>
      <c r="F115" s="87"/>
      <c r="G115" s="87"/>
      <c r="H115" s="88"/>
      <c r="I115" s="88"/>
    </row>
    <row r="116" spans="1:9" ht="13">
      <c r="A116" s="151" t="s">
        <v>8719</v>
      </c>
      <c r="B116" s="152" t="s">
        <v>8720</v>
      </c>
      <c r="C116" s="151" t="s">
        <v>199</v>
      </c>
      <c r="D116" s="86"/>
      <c r="E116" s="112"/>
      <c r="F116" s="87"/>
      <c r="G116" s="87"/>
      <c r="H116" s="88"/>
      <c r="I116" s="88"/>
    </row>
    <row r="117" spans="1:9" ht="13">
      <c r="A117" s="151" t="s">
        <v>8721</v>
      </c>
      <c r="B117" s="152" t="s">
        <v>8722</v>
      </c>
      <c r="C117" s="151" t="s">
        <v>208</v>
      </c>
      <c r="D117" s="86"/>
      <c r="E117" s="107"/>
      <c r="F117" s="87"/>
      <c r="G117" s="87"/>
      <c r="H117" s="88"/>
      <c r="I117" s="88"/>
    </row>
    <row r="118" spans="1:9" ht="13">
      <c r="A118" s="151" t="s">
        <v>8723</v>
      </c>
      <c r="B118" s="152" t="s">
        <v>3101</v>
      </c>
      <c r="C118" s="147" t="s">
        <v>195</v>
      </c>
      <c r="D118" s="86"/>
      <c r="E118" s="112"/>
      <c r="F118" s="87"/>
      <c r="G118" s="87"/>
      <c r="H118" s="88"/>
      <c r="I118" s="88"/>
    </row>
    <row r="119" spans="1:9" ht="13">
      <c r="A119" s="151" t="s">
        <v>8724</v>
      </c>
      <c r="B119" s="152" t="s">
        <v>6490</v>
      </c>
      <c r="C119" s="151" t="s">
        <v>225</v>
      </c>
      <c r="D119" s="86"/>
      <c r="E119" s="107"/>
      <c r="F119" s="87"/>
      <c r="G119" s="87"/>
      <c r="H119" s="88"/>
      <c r="I119" s="88"/>
    </row>
    <row r="120" spans="1:9" ht="13">
      <c r="A120" s="151" t="s">
        <v>8725</v>
      </c>
      <c r="B120" s="152" t="s">
        <v>8562</v>
      </c>
      <c r="C120" s="151" t="s">
        <v>192</v>
      </c>
      <c r="D120" s="89"/>
      <c r="E120" s="107"/>
      <c r="F120" s="87"/>
      <c r="G120" s="87"/>
      <c r="H120" s="88"/>
      <c r="I120" s="88"/>
    </row>
    <row r="121" spans="1:9" ht="13">
      <c r="A121" s="151" t="s">
        <v>8726</v>
      </c>
      <c r="B121" s="152" t="s">
        <v>840</v>
      </c>
      <c r="C121" s="151" t="s">
        <v>225</v>
      </c>
      <c r="D121" s="86"/>
      <c r="E121" s="107"/>
      <c r="F121" s="87"/>
      <c r="G121" s="87"/>
      <c r="H121" s="88"/>
      <c r="I121" s="88"/>
    </row>
    <row r="122" spans="1:9" ht="13">
      <c r="A122" s="151" t="s">
        <v>8727</v>
      </c>
      <c r="B122" s="152" t="s">
        <v>203</v>
      </c>
      <c r="C122" s="151" t="s">
        <v>197</v>
      </c>
      <c r="D122" s="86"/>
      <c r="E122" s="107"/>
      <c r="F122" s="87"/>
      <c r="G122" s="87"/>
      <c r="H122" s="88"/>
      <c r="I122" s="88"/>
    </row>
    <row r="123" spans="1:9" ht="13">
      <c r="A123" s="151" t="s">
        <v>8728</v>
      </c>
      <c r="B123" s="152" t="s">
        <v>233</v>
      </c>
      <c r="C123" s="151" t="s">
        <v>197</v>
      </c>
      <c r="D123" s="86"/>
      <c r="E123" s="97"/>
      <c r="F123" s="87"/>
      <c r="G123" s="87"/>
      <c r="H123" s="88"/>
      <c r="I123" s="88"/>
    </row>
    <row r="124" spans="1:9" ht="13">
      <c r="A124" s="151" t="s">
        <v>8729</v>
      </c>
      <c r="B124" s="152" t="s">
        <v>8730</v>
      </c>
      <c r="C124" s="151" t="s">
        <v>1013</v>
      </c>
      <c r="D124" s="86"/>
      <c r="E124" s="112"/>
      <c r="F124" s="87"/>
      <c r="G124" s="87"/>
      <c r="H124" s="88"/>
      <c r="I124" s="88"/>
    </row>
    <row r="125" spans="1:9" ht="13">
      <c r="A125" s="151" t="s">
        <v>8731</v>
      </c>
      <c r="B125" s="152" t="s">
        <v>8730</v>
      </c>
      <c r="C125" s="151" t="s">
        <v>1013</v>
      </c>
      <c r="D125" s="86"/>
      <c r="E125" s="112"/>
      <c r="F125" s="87"/>
      <c r="G125" s="87"/>
      <c r="H125" s="88"/>
      <c r="I125" s="88"/>
    </row>
    <row r="126" spans="1:9" ht="13">
      <c r="A126" s="151" t="s">
        <v>8732</v>
      </c>
      <c r="B126" s="152" t="s">
        <v>824</v>
      </c>
      <c r="C126" s="151" t="s">
        <v>192</v>
      </c>
      <c r="D126" s="86"/>
      <c r="E126" s="107"/>
      <c r="F126" s="87"/>
      <c r="G126" s="87"/>
      <c r="H126" s="88"/>
      <c r="I126" s="88"/>
    </row>
    <row r="127" spans="1:9" ht="13">
      <c r="A127" s="151" t="s">
        <v>8733</v>
      </c>
      <c r="B127" s="152" t="s">
        <v>8734</v>
      </c>
      <c r="C127" s="151" t="s">
        <v>195</v>
      </c>
      <c r="D127" s="86"/>
      <c r="E127" s="107"/>
      <c r="F127" s="87"/>
      <c r="G127" s="87"/>
      <c r="H127" s="88"/>
      <c r="I127" s="88"/>
    </row>
    <row r="128" spans="1:9" ht="13">
      <c r="A128" s="151" t="s">
        <v>8735</v>
      </c>
      <c r="B128" s="152" t="s">
        <v>8736</v>
      </c>
      <c r="C128" s="151" t="s">
        <v>225</v>
      </c>
      <c r="D128" s="86"/>
      <c r="E128" s="107"/>
      <c r="F128" s="87"/>
      <c r="G128" s="87"/>
      <c r="H128" s="88"/>
      <c r="I128" s="88"/>
    </row>
    <row r="129" spans="1:9" ht="13">
      <c r="A129" s="151" t="s">
        <v>8737</v>
      </c>
      <c r="B129" s="152" t="s">
        <v>8738</v>
      </c>
      <c r="C129" s="151" t="s">
        <v>808</v>
      </c>
      <c r="D129" s="86"/>
      <c r="E129" s="107"/>
      <c r="F129" s="87"/>
      <c r="G129" s="87"/>
      <c r="H129" s="88"/>
      <c r="I129" s="88"/>
    </row>
    <row r="130" spans="1:9" ht="13">
      <c r="A130" s="151" t="s">
        <v>8739</v>
      </c>
      <c r="B130" s="152" t="s">
        <v>8740</v>
      </c>
      <c r="C130" s="151" t="s">
        <v>195</v>
      </c>
      <c r="D130" s="86"/>
      <c r="E130" s="107"/>
      <c r="F130" s="87"/>
      <c r="G130" s="87"/>
      <c r="H130" s="88"/>
      <c r="I130" s="88"/>
    </row>
    <row r="131" spans="1:9" ht="13">
      <c r="A131" s="151" t="s">
        <v>8741</v>
      </c>
      <c r="B131" s="152" t="s">
        <v>203</v>
      </c>
      <c r="C131" s="151" t="s">
        <v>197</v>
      </c>
      <c r="D131" s="86"/>
      <c r="E131" s="97"/>
      <c r="F131" s="87"/>
      <c r="G131" s="87"/>
      <c r="H131" s="88"/>
      <c r="I131" s="88"/>
    </row>
    <row r="132" spans="1:9" ht="13">
      <c r="A132" s="151" t="s">
        <v>8742</v>
      </c>
      <c r="B132" s="152" t="s">
        <v>8743</v>
      </c>
      <c r="C132" s="151" t="s">
        <v>208</v>
      </c>
      <c r="D132" s="86"/>
      <c r="E132" s="107"/>
      <c r="F132" s="87"/>
      <c r="G132" s="87"/>
      <c r="H132" s="88"/>
      <c r="I132" s="88"/>
    </row>
    <row r="133" spans="1:9" ht="13">
      <c r="A133" s="151" t="s">
        <v>8744</v>
      </c>
      <c r="B133" s="152" t="s">
        <v>942</v>
      </c>
      <c r="C133" s="151" t="s">
        <v>808</v>
      </c>
      <c r="D133" s="86"/>
      <c r="E133" s="97"/>
      <c r="F133" s="87"/>
      <c r="G133" s="87"/>
      <c r="H133" s="88"/>
      <c r="I133" s="88"/>
    </row>
    <row r="134" spans="1:9" ht="13">
      <c r="A134" s="151" t="s">
        <v>8745</v>
      </c>
      <c r="B134" s="152" t="s">
        <v>8746</v>
      </c>
      <c r="C134" s="151" t="s">
        <v>208</v>
      </c>
      <c r="D134" s="86"/>
      <c r="E134" s="112"/>
      <c r="F134" s="87"/>
      <c r="G134" s="87"/>
      <c r="H134" s="88"/>
      <c r="I134" s="88"/>
    </row>
    <row r="135" spans="1:9" ht="13">
      <c r="A135" s="151" t="s">
        <v>8747</v>
      </c>
      <c r="B135" s="152" t="s">
        <v>8748</v>
      </c>
      <c r="C135" s="151" t="s">
        <v>208</v>
      </c>
      <c r="D135" s="86"/>
      <c r="E135" s="112"/>
      <c r="F135" s="87"/>
      <c r="G135" s="87"/>
      <c r="H135" s="88"/>
      <c r="I135" s="88"/>
    </row>
    <row r="136" spans="1:9" ht="13">
      <c r="A136" s="151" t="s">
        <v>8749</v>
      </c>
      <c r="B136" s="152" t="s">
        <v>8750</v>
      </c>
      <c r="C136" s="151" t="s">
        <v>195</v>
      </c>
      <c r="D136" s="86"/>
      <c r="E136" s="112"/>
      <c r="F136" s="87"/>
      <c r="G136" s="87"/>
      <c r="H136" s="88"/>
      <c r="I136" s="88"/>
    </row>
    <row r="137" spans="1:9" ht="13">
      <c r="A137" s="151" t="s">
        <v>8751</v>
      </c>
      <c r="B137" s="150" t="s">
        <v>8752</v>
      </c>
      <c r="C137" s="151" t="s">
        <v>199</v>
      </c>
      <c r="D137" s="86"/>
      <c r="E137" s="107"/>
      <c r="F137" s="87"/>
      <c r="G137" s="87"/>
      <c r="H137" s="88"/>
      <c r="I137" s="88"/>
    </row>
    <row r="138" spans="1:9" ht="13">
      <c r="A138" s="151" t="s">
        <v>8753</v>
      </c>
      <c r="B138" s="150" t="s">
        <v>8754</v>
      </c>
      <c r="C138" s="151" t="s">
        <v>195</v>
      </c>
      <c r="D138" s="89"/>
      <c r="E138" s="112"/>
      <c r="F138" s="87"/>
      <c r="G138" s="87"/>
      <c r="H138" s="88"/>
      <c r="I138" s="88"/>
    </row>
    <row r="139" spans="1:9" ht="13">
      <c r="A139" s="151" t="s">
        <v>8755</v>
      </c>
      <c r="B139" s="152" t="s">
        <v>8756</v>
      </c>
      <c r="C139" s="151" t="s">
        <v>220</v>
      </c>
      <c r="D139" s="86"/>
      <c r="E139" s="112"/>
      <c r="F139" s="86"/>
      <c r="G139" s="87"/>
      <c r="H139" s="88"/>
      <c r="I139" s="88"/>
    </row>
    <row r="140" spans="1:9" ht="13">
      <c r="A140" s="151" t="s">
        <v>8757</v>
      </c>
      <c r="B140" s="152" t="s">
        <v>8758</v>
      </c>
      <c r="C140" s="151" t="s">
        <v>208</v>
      </c>
      <c r="D140" s="86"/>
      <c r="E140" s="107"/>
      <c r="F140" s="87"/>
      <c r="G140" s="87"/>
      <c r="H140" s="88"/>
      <c r="I140" s="88"/>
    </row>
    <row r="141" spans="1:9" ht="13">
      <c r="A141" s="151" t="s">
        <v>8759</v>
      </c>
      <c r="B141" s="152" t="s">
        <v>8760</v>
      </c>
      <c r="C141" s="151" t="s">
        <v>192</v>
      </c>
      <c r="D141" s="86"/>
      <c r="E141" s="107"/>
      <c r="F141" s="87"/>
      <c r="G141" s="87"/>
      <c r="H141" s="88"/>
      <c r="I141" s="88"/>
    </row>
    <row r="142" spans="1:9" ht="13">
      <c r="A142" s="151" t="s">
        <v>8761</v>
      </c>
      <c r="B142" s="152" t="s">
        <v>4105</v>
      </c>
      <c r="C142" s="151" t="s">
        <v>808</v>
      </c>
      <c r="D142" s="86"/>
      <c r="E142" s="107"/>
      <c r="F142" s="89"/>
      <c r="G142" s="87"/>
      <c r="H142" s="88"/>
      <c r="I142" s="88"/>
    </row>
    <row r="143" spans="1:9" ht="13">
      <c r="A143" s="151" t="s">
        <v>8762</v>
      </c>
      <c r="B143" s="152" t="s">
        <v>8763</v>
      </c>
      <c r="C143" s="151" t="s">
        <v>192</v>
      </c>
      <c r="D143" s="86"/>
      <c r="E143" s="107"/>
      <c r="F143" s="89"/>
      <c r="G143" s="87"/>
      <c r="H143" s="88"/>
      <c r="I143" s="88"/>
    </row>
    <row r="144" spans="1:9" ht="13">
      <c r="A144" s="151" t="s">
        <v>8764</v>
      </c>
      <c r="B144" s="152" t="s">
        <v>8763</v>
      </c>
      <c r="C144" s="151" t="s">
        <v>192</v>
      </c>
      <c r="D144" s="86"/>
      <c r="E144" s="97"/>
      <c r="F144" s="87"/>
      <c r="G144" s="87"/>
      <c r="H144" s="88"/>
      <c r="I144" s="88"/>
    </row>
    <row r="145" spans="1:9" ht="13">
      <c r="A145" s="151" t="s">
        <v>8765</v>
      </c>
      <c r="B145" s="152" t="s">
        <v>8763</v>
      </c>
      <c r="C145" s="151" t="s">
        <v>192</v>
      </c>
      <c r="D145" s="86"/>
      <c r="E145" s="107"/>
      <c r="F145" s="86"/>
      <c r="G145" s="87"/>
      <c r="H145" s="88"/>
      <c r="I145" s="88"/>
    </row>
    <row r="146" spans="1:9" ht="13">
      <c r="A146" s="151" t="s">
        <v>8766</v>
      </c>
      <c r="B146" s="152" t="s">
        <v>8763</v>
      </c>
      <c r="C146" s="151" t="s">
        <v>192</v>
      </c>
      <c r="D146" s="86"/>
      <c r="E146" s="107"/>
      <c r="F146" s="87"/>
      <c r="G146" s="87"/>
      <c r="H146" s="88"/>
      <c r="I146" s="88"/>
    </row>
    <row r="147" spans="1:9" ht="13">
      <c r="A147" s="151" t="s">
        <v>8767</v>
      </c>
      <c r="B147" s="152" t="s">
        <v>8640</v>
      </c>
      <c r="C147" s="151" t="s">
        <v>192</v>
      </c>
      <c r="D147" s="86"/>
      <c r="E147" s="97"/>
      <c r="F147" s="87"/>
      <c r="G147" s="87"/>
      <c r="H147" s="88"/>
      <c r="I147" s="88"/>
    </row>
    <row r="148" spans="1:9" ht="13">
      <c r="A148" s="151" t="s">
        <v>8768</v>
      </c>
      <c r="B148" s="152" t="s">
        <v>8769</v>
      </c>
      <c r="C148" s="151" t="s">
        <v>808</v>
      </c>
      <c r="D148" s="86"/>
      <c r="E148" s="112"/>
      <c r="F148" s="87"/>
      <c r="G148" s="87"/>
      <c r="H148" s="88"/>
      <c r="I148" s="88"/>
    </row>
    <row r="149" spans="1:9" ht="13">
      <c r="A149" s="151" t="s">
        <v>8770</v>
      </c>
      <c r="B149" s="152" t="s">
        <v>8640</v>
      </c>
      <c r="C149" s="151" t="s">
        <v>192</v>
      </c>
      <c r="D149" s="86"/>
      <c r="E149" s="112"/>
      <c r="F149" s="86"/>
      <c r="G149" s="87"/>
      <c r="H149" s="88"/>
      <c r="I149" s="88"/>
    </row>
    <row r="150" spans="1:9" ht="13">
      <c r="A150" s="151" t="s">
        <v>8771</v>
      </c>
      <c r="B150" s="152" t="s">
        <v>8772</v>
      </c>
      <c r="C150" s="151" t="s">
        <v>4114</v>
      </c>
      <c r="D150" s="86"/>
      <c r="E150" s="97"/>
      <c r="F150" s="87"/>
      <c r="G150" s="87"/>
      <c r="H150" s="88"/>
      <c r="I150" s="88"/>
    </row>
    <row r="151" spans="1:9" ht="13">
      <c r="A151" s="151" t="s">
        <v>8773</v>
      </c>
      <c r="B151" s="152" t="s">
        <v>8774</v>
      </c>
      <c r="C151" s="151" t="s">
        <v>4285</v>
      </c>
      <c r="D151" s="86"/>
      <c r="E151" s="107"/>
      <c r="F151" s="87"/>
      <c r="G151" s="87"/>
      <c r="H151" s="88"/>
      <c r="I151" s="88"/>
    </row>
    <row r="152" spans="1:9" ht="13">
      <c r="A152" s="151" t="s">
        <v>8775</v>
      </c>
      <c r="B152" s="152" t="s">
        <v>8776</v>
      </c>
      <c r="C152" s="151" t="s">
        <v>4285</v>
      </c>
      <c r="D152" s="86"/>
      <c r="E152" s="107"/>
      <c r="F152" s="87"/>
      <c r="G152" s="87"/>
      <c r="H152" s="88"/>
      <c r="I152" s="88"/>
    </row>
    <row r="153" spans="1:9" ht="13">
      <c r="A153" s="151" t="s">
        <v>8777</v>
      </c>
      <c r="B153" s="152" t="s">
        <v>8778</v>
      </c>
      <c r="C153" s="151" t="s">
        <v>208</v>
      </c>
      <c r="D153" s="86"/>
      <c r="E153" s="107"/>
      <c r="F153" s="87"/>
      <c r="G153" s="87"/>
      <c r="H153" s="88"/>
      <c r="I153" s="88"/>
    </row>
    <row r="154" spans="1:9" ht="13">
      <c r="A154" s="151" t="s">
        <v>8779</v>
      </c>
      <c r="B154" s="152" t="s">
        <v>8780</v>
      </c>
      <c r="C154" s="151" t="s">
        <v>199</v>
      </c>
      <c r="D154" s="86"/>
      <c r="E154" s="107"/>
      <c r="F154" s="87"/>
      <c r="G154" s="87"/>
      <c r="H154" s="88"/>
      <c r="I154" s="88"/>
    </row>
    <row r="155" spans="1:9" ht="13">
      <c r="A155" s="151" t="s">
        <v>8781</v>
      </c>
      <c r="B155" s="152" t="s">
        <v>8782</v>
      </c>
      <c r="C155" s="151" t="s">
        <v>192</v>
      </c>
      <c r="D155" s="86"/>
      <c r="E155" s="107"/>
      <c r="F155" s="86"/>
      <c r="G155" s="87"/>
      <c r="H155" s="88"/>
      <c r="I155" s="88"/>
    </row>
    <row r="156" spans="1:9" ht="13">
      <c r="A156" s="151" t="s">
        <v>8783</v>
      </c>
      <c r="B156" s="152" t="s">
        <v>8784</v>
      </c>
      <c r="C156" s="151" t="s">
        <v>1013</v>
      </c>
      <c r="D156" s="86"/>
      <c r="E156" s="107"/>
      <c r="F156" s="87"/>
      <c r="G156" s="87"/>
      <c r="H156" s="88"/>
      <c r="I156" s="88"/>
    </row>
    <row r="157" spans="1:9" ht="13">
      <c r="A157" s="151" t="s">
        <v>8785</v>
      </c>
      <c r="B157" s="35"/>
      <c r="C157" s="35"/>
      <c r="D157" s="86"/>
      <c r="E157" s="112"/>
      <c r="F157" s="86"/>
      <c r="G157" s="87"/>
      <c r="H157" s="88"/>
      <c r="I157" s="88"/>
    </row>
    <row r="158" spans="1:9" ht="13">
      <c r="A158" s="151" t="s">
        <v>8786</v>
      </c>
      <c r="B158" s="152" t="s">
        <v>8787</v>
      </c>
      <c r="C158" s="151" t="s">
        <v>4285</v>
      </c>
      <c r="D158" s="86"/>
      <c r="E158" s="107"/>
      <c r="F158" s="87"/>
      <c r="G158" s="87"/>
      <c r="H158" s="88"/>
      <c r="I158" s="88"/>
    </row>
    <row r="159" spans="1:9" ht="13">
      <c r="A159" s="151" t="s">
        <v>8788</v>
      </c>
      <c r="B159" s="152" t="s">
        <v>8789</v>
      </c>
      <c r="C159" s="151" t="s">
        <v>208</v>
      </c>
      <c r="D159" s="86"/>
      <c r="E159" s="107"/>
      <c r="F159" s="89"/>
      <c r="G159" s="87"/>
      <c r="H159" s="88"/>
      <c r="I159" s="88"/>
    </row>
    <row r="160" spans="1:9" ht="13">
      <c r="A160" s="151" t="s">
        <v>8790</v>
      </c>
      <c r="B160" s="152" t="s">
        <v>8789</v>
      </c>
      <c r="C160" s="151" t="s">
        <v>208</v>
      </c>
      <c r="D160" s="86"/>
      <c r="E160" s="112"/>
      <c r="F160" s="87"/>
      <c r="G160" s="87"/>
      <c r="H160" s="88"/>
      <c r="I160" s="88"/>
    </row>
    <row r="161" spans="1:9" ht="13">
      <c r="A161" s="151" t="s">
        <v>8791</v>
      </c>
      <c r="B161" s="152" t="s">
        <v>8789</v>
      </c>
      <c r="C161" s="151" t="s">
        <v>208</v>
      </c>
      <c r="D161" s="86"/>
      <c r="E161" s="107"/>
      <c r="F161" s="86"/>
      <c r="G161" s="87"/>
      <c r="H161" s="88"/>
      <c r="I161" s="137"/>
    </row>
    <row r="162" spans="1:9" ht="13">
      <c r="A162" s="151" t="s">
        <v>8792</v>
      </c>
      <c r="B162" s="152" t="s">
        <v>8789</v>
      </c>
      <c r="C162" s="151" t="s">
        <v>208</v>
      </c>
      <c r="D162" s="86"/>
      <c r="E162" s="97"/>
      <c r="F162" s="87"/>
      <c r="G162" s="87"/>
      <c r="H162" s="88"/>
      <c r="I162" s="88"/>
    </row>
    <row r="163" spans="1:9" ht="13">
      <c r="A163" s="151" t="s">
        <v>8793</v>
      </c>
      <c r="B163" s="152" t="s">
        <v>8794</v>
      </c>
      <c r="C163" s="151" t="s">
        <v>195</v>
      </c>
      <c r="D163" s="86"/>
      <c r="E163" s="97"/>
      <c r="F163" s="86"/>
      <c r="G163" s="87"/>
      <c r="H163" s="88"/>
      <c r="I163" s="88"/>
    </row>
    <row r="164" spans="1:9" ht="13">
      <c r="A164" s="151" t="s">
        <v>8795</v>
      </c>
      <c r="B164" s="152" t="s">
        <v>8794</v>
      </c>
      <c r="C164" s="151" t="s">
        <v>195</v>
      </c>
      <c r="D164" s="89"/>
      <c r="E164" s="112"/>
      <c r="F164" s="87"/>
      <c r="G164" s="87"/>
      <c r="H164" s="88"/>
      <c r="I164" s="88"/>
    </row>
    <row r="165" spans="1:9" ht="13">
      <c r="A165" s="151" t="s">
        <v>8796</v>
      </c>
      <c r="B165" s="152" t="s">
        <v>8794</v>
      </c>
      <c r="C165" s="151" t="s">
        <v>195</v>
      </c>
      <c r="D165" s="89"/>
      <c r="E165" s="112"/>
      <c r="F165" s="87"/>
      <c r="G165" s="87"/>
      <c r="H165" s="88"/>
      <c r="I165" s="88"/>
    </row>
    <row r="166" spans="1:9" ht="13">
      <c r="A166" s="151" t="s">
        <v>8797</v>
      </c>
      <c r="B166" s="152" t="s">
        <v>8794</v>
      </c>
      <c r="C166" s="151" t="s">
        <v>195</v>
      </c>
      <c r="D166" s="86"/>
      <c r="E166" s="97"/>
      <c r="F166" s="87"/>
      <c r="G166" s="87"/>
      <c r="H166" s="88"/>
      <c r="I166" s="88"/>
    </row>
    <row r="167" spans="1:9" ht="13">
      <c r="A167" s="151" t="s">
        <v>8798</v>
      </c>
      <c r="B167" s="152" t="s">
        <v>8799</v>
      </c>
      <c r="C167" s="151" t="s">
        <v>220</v>
      </c>
      <c r="D167" s="89"/>
      <c r="E167" s="97"/>
      <c r="F167" s="87"/>
      <c r="G167" s="87"/>
      <c r="H167" s="88"/>
      <c r="I167" s="88"/>
    </row>
    <row r="168" spans="1:9" ht="13">
      <c r="A168" s="151" t="s">
        <v>8800</v>
      </c>
      <c r="B168" s="152" t="s">
        <v>8799</v>
      </c>
      <c r="C168" s="151" t="s">
        <v>220</v>
      </c>
      <c r="D168" s="89"/>
      <c r="E168" s="97"/>
      <c r="F168" s="87"/>
      <c r="G168" s="87"/>
      <c r="H168" s="88"/>
      <c r="I168" s="88"/>
    </row>
    <row r="169" spans="1:9" ht="13">
      <c r="A169" s="151" t="s">
        <v>8801</v>
      </c>
      <c r="B169" s="152" t="s">
        <v>8799</v>
      </c>
      <c r="C169" s="151" t="s">
        <v>220</v>
      </c>
      <c r="D169" s="89"/>
      <c r="E169" s="97"/>
      <c r="F169" s="87"/>
      <c r="G169" s="87"/>
      <c r="H169" s="88"/>
      <c r="I169" s="88"/>
    </row>
    <row r="170" spans="1:9" ht="13">
      <c r="A170" s="151" t="s">
        <v>8802</v>
      </c>
      <c r="B170" s="152" t="s">
        <v>8799</v>
      </c>
      <c r="C170" s="151" t="s">
        <v>220</v>
      </c>
      <c r="D170" s="89"/>
      <c r="E170" s="97"/>
      <c r="F170" s="87"/>
      <c r="G170" s="87"/>
      <c r="H170" s="88"/>
      <c r="I170" s="88"/>
    </row>
    <row r="171" spans="1:9" ht="13">
      <c r="A171" s="151" t="s">
        <v>8803</v>
      </c>
      <c r="B171" s="152" t="s">
        <v>8804</v>
      </c>
      <c r="C171" s="151" t="s">
        <v>1013</v>
      </c>
      <c r="D171" s="86"/>
      <c r="E171" s="97"/>
      <c r="F171" s="87"/>
      <c r="G171" s="87"/>
      <c r="H171" s="88"/>
      <c r="I171" s="88"/>
    </row>
    <row r="172" spans="1:9" ht="13">
      <c r="A172" s="151" t="s">
        <v>8805</v>
      </c>
      <c r="B172" s="152" t="s">
        <v>6542</v>
      </c>
      <c r="C172" s="151" t="s">
        <v>199</v>
      </c>
      <c r="D172" s="86"/>
      <c r="E172" s="97"/>
      <c r="F172" s="86"/>
      <c r="G172" s="87"/>
      <c r="H172" s="88"/>
      <c r="I172" s="88"/>
    </row>
    <row r="173" spans="1:9" ht="13">
      <c r="A173" s="151" t="s">
        <v>8806</v>
      </c>
      <c r="B173" s="152" t="s">
        <v>6480</v>
      </c>
      <c r="C173" s="151" t="s">
        <v>208</v>
      </c>
      <c r="D173" s="89"/>
      <c r="E173" s="112"/>
      <c r="F173" s="87"/>
      <c r="G173" s="87"/>
      <c r="H173" s="88"/>
      <c r="I173" s="88"/>
    </row>
    <row r="174" spans="1:9" ht="13">
      <c r="A174" s="151" t="s">
        <v>8807</v>
      </c>
      <c r="B174" s="152" t="s">
        <v>5460</v>
      </c>
      <c r="C174" s="151" t="s">
        <v>195</v>
      </c>
      <c r="D174" s="89"/>
      <c r="E174" s="112"/>
      <c r="F174" s="87"/>
      <c r="G174" s="87"/>
      <c r="H174" s="88"/>
      <c r="I174" s="88"/>
    </row>
    <row r="175" spans="1:9" ht="13">
      <c r="A175" s="151" t="s">
        <v>8808</v>
      </c>
      <c r="B175" s="152" t="s">
        <v>1193</v>
      </c>
      <c r="C175" s="151" t="s">
        <v>4285</v>
      </c>
      <c r="D175" s="89"/>
      <c r="E175" s="97"/>
      <c r="F175" s="87"/>
      <c r="G175" s="87"/>
      <c r="H175" s="88"/>
      <c r="I175" s="88"/>
    </row>
    <row r="176" spans="1:9" ht="13">
      <c r="A176" s="151" t="s">
        <v>8809</v>
      </c>
      <c r="B176" s="152" t="s">
        <v>4030</v>
      </c>
      <c r="C176" s="151" t="s">
        <v>199</v>
      </c>
      <c r="D176" s="89"/>
      <c r="E176" s="112"/>
      <c r="F176" s="87"/>
      <c r="G176" s="87"/>
      <c r="H176" s="88"/>
      <c r="I176" s="88"/>
    </row>
    <row r="177" spans="1:9" ht="13">
      <c r="A177" s="151" t="s">
        <v>8810</v>
      </c>
      <c r="B177" s="152" t="s">
        <v>4033</v>
      </c>
      <c r="C177" s="151" t="s">
        <v>192</v>
      </c>
      <c r="D177" s="89"/>
      <c r="E177" s="97"/>
      <c r="F177" s="89"/>
      <c r="G177" s="87"/>
      <c r="H177" s="88"/>
      <c r="I177" s="88"/>
    </row>
    <row r="178" spans="1:9" ht="13">
      <c r="A178" s="151" t="s">
        <v>8811</v>
      </c>
      <c r="B178" s="152" t="s">
        <v>936</v>
      </c>
      <c r="C178" s="151" t="s">
        <v>195</v>
      </c>
      <c r="D178" s="89"/>
      <c r="E178" s="97"/>
      <c r="F178" s="87"/>
      <c r="G178" s="87"/>
      <c r="H178" s="88"/>
      <c r="I178" s="88"/>
    </row>
    <row r="179" spans="1:9" ht="13">
      <c r="A179" s="151" t="s">
        <v>8812</v>
      </c>
      <c r="B179" s="152" t="s">
        <v>203</v>
      </c>
      <c r="C179" s="151" t="s">
        <v>197</v>
      </c>
      <c r="D179" s="89"/>
      <c r="E179" s="112"/>
      <c r="F179" s="87"/>
      <c r="G179" s="87"/>
      <c r="H179" s="88"/>
      <c r="I179" s="88"/>
    </row>
    <row r="180" spans="1:9" ht="13">
      <c r="A180" s="151" t="s">
        <v>8813</v>
      </c>
      <c r="B180" s="152" t="s">
        <v>8814</v>
      </c>
      <c r="C180" s="151" t="s">
        <v>808</v>
      </c>
      <c r="D180" s="89"/>
      <c r="E180" s="97"/>
      <c r="F180" s="87"/>
      <c r="G180" s="87"/>
      <c r="H180" s="88"/>
      <c r="I180" s="88"/>
    </row>
    <row r="181" spans="1:9" ht="13">
      <c r="A181" s="151" t="s">
        <v>8815</v>
      </c>
      <c r="B181" s="152" t="s">
        <v>8816</v>
      </c>
      <c r="C181" s="151" t="s">
        <v>197</v>
      </c>
      <c r="D181" s="89"/>
      <c r="E181" s="112"/>
      <c r="F181" s="87"/>
      <c r="G181" s="87"/>
      <c r="H181" s="88"/>
      <c r="I181" s="88"/>
    </row>
    <row r="182" spans="1:9" ht="13">
      <c r="A182" s="151" t="s">
        <v>8817</v>
      </c>
      <c r="B182" s="152" t="s">
        <v>8784</v>
      </c>
      <c r="C182" s="151" t="s">
        <v>1013</v>
      </c>
      <c r="D182" s="86"/>
      <c r="E182" s="97"/>
      <c r="F182" s="87"/>
      <c r="G182" s="87"/>
      <c r="H182" s="88"/>
      <c r="I182" s="88"/>
    </row>
    <row r="183" spans="1:9" ht="13">
      <c r="A183" s="151" t="s">
        <v>8818</v>
      </c>
      <c r="B183" s="152" t="s">
        <v>8778</v>
      </c>
      <c r="C183" s="151" t="s">
        <v>199</v>
      </c>
      <c r="D183" s="89"/>
      <c r="E183" s="112"/>
      <c r="F183" s="89"/>
      <c r="G183" s="87"/>
      <c r="H183" s="88"/>
      <c r="I183" s="88"/>
    </row>
    <row r="184" spans="1:9" ht="13">
      <c r="A184" s="151" t="s">
        <v>8819</v>
      </c>
      <c r="B184" s="152" t="s">
        <v>8820</v>
      </c>
      <c r="C184" s="151" t="s">
        <v>199</v>
      </c>
      <c r="D184" s="89"/>
      <c r="E184" s="97"/>
      <c r="F184" s="87"/>
      <c r="G184" s="87"/>
      <c r="H184" s="88"/>
      <c r="I184" s="88"/>
    </row>
    <row r="185" spans="1:9" ht="13">
      <c r="A185" s="151" t="s">
        <v>8821</v>
      </c>
      <c r="B185" s="152" t="s">
        <v>8780</v>
      </c>
      <c r="C185" s="151" t="s">
        <v>208</v>
      </c>
      <c r="D185" s="89"/>
      <c r="E185" s="112"/>
      <c r="F185" s="89"/>
      <c r="G185" s="87"/>
      <c r="H185" s="88"/>
      <c r="I185" s="88"/>
    </row>
    <row r="186" spans="1:9" ht="13">
      <c r="A186" s="151" t="s">
        <v>8822</v>
      </c>
      <c r="B186" s="152" t="s">
        <v>8823</v>
      </c>
      <c r="C186" s="151" t="s">
        <v>208</v>
      </c>
      <c r="D186" s="89"/>
      <c r="E186" s="97"/>
      <c r="F186" s="89"/>
      <c r="G186" s="87"/>
      <c r="H186" s="88"/>
      <c r="I186" s="88"/>
    </row>
    <row r="187" spans="1:9" ht="13">
      <c r="A187" s="151" t="s">
        <v>8824</v>
      </c>
      <c r="B187" s="152" t="s">
        <v>8782</v>
      </c>
      <c r="C187" s="151" t="s">
        <v>192</v>
      </c>
      <c r="D187" s="86"/>
      <c r="E187" s="112"/>
      <c r="F187" s="86"/>
      <c r="G187" s="87"/>
      <c r="H187" s="88"/>
      <c r="I187" s="88"/>
    </row>
    <row r="188" spans="1:9" ht="13">
      <c r="A188" s="151" t="s">
        <v>8825</v>
      </c>
      <c r="B188" s="152" t="s">
        <v>8826</v>
      </c>
      <c r="C188" s="151" t="s">
        <v>192</v>
      </c>
      <c r="D188" s="89"/>
      <c r="E188" s="97"/>
      <c r="F188" s="87"/>
      <c r="G188" s="87"/>
      <c r="H188" s="88"/>
      <c r="I188" s="88"/>
    </row>
    <row r="189" spans="1:9" ht="13">
      <c r="A189" s="151" t="s">
        <v>8827</v>
      </c>
      <c r="B189" s="152" t="s">
        <v>209</v>
      </c>
      <c r="C189" s="151" t="s">
        <v>199</v>
      </c>
      <c r="D189" s="86"/>
      <c r="E189" s="97"/>
      <c r="F189" s="87"/>
      <c r="G189" s="87"/>
      <c r="H189" s="88"/>
      <c r="I189" s="88"/>
    </row>
    <row r="190" spans="1:9" ht="13">
      <c r="A190" s="151" t="s">
        <v>8828</v>
      </c>
      <c r="B190" s="152" t="s">
        <v>3113</v>
      </c>
      <c r="C190" s="151" t="s">
        <v>225</v>
      </c>
      <c r="D190" s="86"/>
      <c r="E190" s="112"/>
      <c r="F190" s="86"/>
      <c r="G190" s="87"/>
      <c r="H190" s="88"/>
      <c r="I190" s="88"/>
    </row>
    <row r="191" spans="1:9" ht="13">
      <c r="A191" s="151" t="s">
        <v>8829</v>
      </c>
      <c r="B191" s="152" t="s">
        <v>4445</v>
      </c>
      <c r="C191" s="151" t="s">
        <v>808</v>
      </c>
      <c r="D191" s="89"/>
      <c r="E191" s="97"/>
      <c r="F191" s="87"/>
      <c r="G191" s="87"/>
      <c r="H191" s="88"/>
      <c r="I191" s="88"/>
    </row>
    <row r="192" spans="1:9" ht="13">
      <c r="A192" s="151" t="s">
        <v>8830</v>
      </c>
      <c r="B192" s="152" t="s">
        <v>3122</v>
      </c>
      <c r="C192" s="151" t="s">
        <v>197</v>
      </c>
      <c r="D192" s="89"/>
      <c r="E192" s="97"/>
      <c r="F192" s="89"/>
      <c r="G192" s="87"/>
      <c r="H192" s="88"/>
      <c r="I192" s="88"/>
    </row>
    <row r="193" spans="1:9" ht="13">
      <c r="A193" s="151" t="s">
        <v>8831</v>
      </c>
      <c r="B193" s="152" t="s">
        <v>8832</v>
      </c>
      <c r="C193" s="151" t="s">
        <v>4285</v>
      </c>
      <c r="D193" s="86"/>
      <c r="E193" s="112"/>
      <c r="F193" s="86"/>
      <c r="G193" s="87"/>
      <c r="H193" s="88"/>
      <c r="I193" s="88"/>
    </row>
    <row r="194" spans="1:9" ht="13">
      <c r="A194" s="151" t="s">
        <v>8833</v>
      </c>
      <c r="B194" s="152" t="s">
        <v>203</v>
      </c>
      <c r="C194" s="151" t="s">
        <v>197</v>
      </c>
      <c r="D194" s="89"/>
      <c r="E194" s="112"/>
      <c r="F194" s="89"/>
      <c r="G194" s="87"/>
      <c r="H194" s="88"/>
      <c r="I194" s="88"/>
    </row>
    <row r="195" spans="1:9" ht="13">
      <c r="A195" s="151" t="s">
        <v>8834</v>
      </c>
      <c r="B195" s="152" t="s">
        <v>3354</v>
      </c>
      <c r="C195" s="151" t="s">
        <v>205</v>
      </c>
      <c r="D195" s="89"/>
      <c r="E195" s="97"/>
      <c r="F195" s="89"/>
      <c r="G195" s="87"/>
      <c r="H195" s="88"/>
      <c r="I195" s="88"/>
    </row>
    <row r="196" spans="1:9" ht="13">
      <c r="A196" s="151" t="s">
        <v>8835</v>
      </c>
      <c r="B196" s="152" t="s">
        <v>3353</v>
      </c>
      <c r="C196" s="147" t="s">
        <v>208</v>
      </c>
      <c r="D196" s="89"/>
      <c r="E196" s="112"/>
      <c r="F196" s="87"/>
      <c r="G196" s="87"/>
      <c r="H196" s="88"/>
      <c r="I196" s="88"/>
    </row>
    <row r="197" spans="1:9" ht="13">
      <c r="A197" s="151" t="s">
        <v>8836</v>
      </c>
      <c r="B197" s="35"/>
      <c r="C197" s="35"/>
      <c r="D197" s="89"/>
      <c r="E197" s="97"/>
      <c r="F197" s="87"/>
      <c r="G197" s="87"/>
      <c r="H197" s="88"/>
      <c r="I197" s="88"/>
    </row>
    <row r="198" spans="1:9" ht="13">
      <c r="A198" s="151" t="s">
        <v>8837</v>
      </c>
      <c r="B198" s="152" t="s">
        <v>8838</v>
      </c>
      <c r="C198" s="151" t="s">
        <v>205</v>
      </c>
      <c r="D198" s="89"/>
      <c r="E198" s="112"/>
      <c r="F198" s="87"/>
      <c r="G198" s="87"/>
      <c r="H198" s="88"/>
      <c r="I198" s="88"/>
    </row>
    <row r="199" spans="1:9" ht="13">
      <c r="A199" s="151" t="s">
        <v>8839</v>
      </c>
      <c r="B199" s="152" t="s">
        <v>8840</v>
      </c>
      <c r="C199" s="151" t="s">
        <v>205</v>
      </c>
      <c r="D199" s="86"/>
      <c r="E199" s="97"/>
      <c r="F199" s="87"/>
      <c r="G199" s="87"/>
      <c r="H199" s="88"/>
      <c r="I199" s="88"/>
    </row>
    <row r="200" spans="1:9" ht="13">
      <c r="A200" s="151" t="s">
        <v>8841</v>
      </c>
      <c r="B200" s="152" t="s">
        <v>8842</v>
      </c>
      <c r="C200" s="151" t="s">
        <v>208</v>
      </c>
      <c r="D200" s="86"/>
      <c r="E200" s="112"/>
      <c r="F200" s="87"/>
      <c r="G200" s="87"/>
      <c r="H200" s="88"/>
      <c r="I200" s="88"/>
    </row>
    <row r="201" spans="1:9" ht="13">
      <c r="A201" s="151" t="s">
        <v>8843</v>
      </c>
      <c r="B201" s="152" t="s">
        <v>8844</v>
      </c>
      <c r="C201" s="151" t="s">
        <v>208</v>
      </c>
      <c r="D201" s="89"/>
      <c r="E201" s="112"/>
      <c r="F201" s="89"/>
      <c r="G201" s="87"/>
      <c r="H201" s="88"/>
      <c r="I201" s="88"/>
    </row>
    <row r="202" spans="1:9" ht="13">
      <c r="A202" s="151" t="s">
        <v>8845</v>
      </c>
      <c r="B202" s="152" t="s">
        <v>8640</v>
      </c>
      <c r="C202" s="151" t="s">
        <v>192</v>
      </c>
      <c r="D202" s="112"/>
      <c r="E202" s="112"/>
      <c r="F202" s="87"/>
      <c r="G202" s="87"/>
      <c r="H202" s="88"/>
      <c r="I202" s="88"/>
    </row>
    <row r="203" spans="1:9" ht="13">
      <c r="A203" s="151" t="s">
        <v>8846</v>
      </c>
      <c r="B203" s="152" t="s">
        <v>8847</v>
      </c>
      <c r="C203" s="151" t="s">
        <v>225</v>
      </c>
      <c r="D203" s="107"/>
      <c r="E203" s="112"/>
      <c r="F203" s="87"/>
      <c r="G203" s="87"/>
      <c r="H203" s="88"/>
      <c r="I203" s="88"/>
    </row>
    <row r="204" spans="1:9" ht="13">
      <c r="A204" s="151" t="s">
        <v>8848</v>
      </c>
      <c r="B204" s="152" t="s">
        <v>8849</v>
      </c>
      <c r="C204" s="151" t="s">
        <v>220</v>
      </c>
      <c r="D204" s="107"/>
      <c r="E204" s="112"/>
      <c r="F204" s="86"/>
      <c r="G204" s="87"/>
      <c r="H204" s="88"/>
      <c r="I204" s="88"/>
    </row>
    <row r="205" spans="1:9" ht="13">
      <c r="A205" s="151" t="s">
        <v>8850</v>
      </c>
      <c r="B205" s="152" t="s">
        <v>8851</v>
      </c>
      <c r="C205" s="151" t="s">
        <v>195</v>
      </c>
      <c r="D205" s="107"/>
      <c r="E205" s="112"/>
      <c r="F205" s="87"/>
      <c r="G205" s="87"/>
      <c r="H205" s="88"/>
      <c r="I205" s="88"/>
    </row>
    <row r="206" spans="1:9" ht="13">
      <c r="A206" s="151" t="s">
        <v>8852</v>
      </c>
      <c r="B206" s="152" t="s">
        <v>8853</v>
      </c>
      <c r="C206" s="151" t="s">
        <v>195</v>
      </c>
      <c r="D206" s="112"/>
      <c r="E206" s="112"/>
      <c r="F206" s="87"/>
      <c r="G206" s="87"/>
      <c r="H206" s="88"/>
      <c r="I206" s="88"/>
    </row>
    <row r="207" spans="1:9" ht="13">
      <c r="A207" s="151" t="s">
        <v>8854</v>
      </c>
      <c r="B207" s="152" t="s">
        <v>8855</v>
      </c>
      <c r="C207" s="151" t="s">
        <v>808</v>
      </c>
      <c r="D207" s="112"/>
      <c r="E207" s="112"/>
      <c r="F207" s="87"/>
      <c r="G207" s="87"/>
      <c r="H207" s="88"/>
      <c r="I207" s="88"/>
    </row>
    <row r="208" spans="1:9" ht="13">
      <c r="A208" s="151" t="s">
        <v>8856</v>
      </c>
      <c r="B208" s="35"/>
      <c r="C208" s="35"/>
      <c r="D208" s="112"/>
      <c r="E208" s="112"/>
      <c r="F208" s="87"/>
      <c r="G208" s="87"/>
      <c r="H208" s="88"/>
      <c r="I208" s="88"/>
    </row>
    <row r="209" spans="1:9" ht="13">
      <c r="A209" s="151" t="s">
        <v>8857</v>
      </c>
      <c r="B209" s="35"/>
      <c r="C209" s="35"/>
      <c r="D209" s="107"/>
      <c r="E209" s="112"/>
      <c r="F209" s="87"/>
      <c r="G209" s="87"/>
      <c r="H209" s="88"/>
      <c r="I209" s="88"/>
    </row>
    <row r="210" spans="1:9" ht="13">
      <c r="A210" s="151" t="s">
        <v>8858</v>
      </c>
      <c r="B210" s="35"/>
      <c r="C210" s="35"/>
      <c r="D210" s="112"/>
      <c r="E210" s="112"/>
      <c r="F210" s="87"/>
      <c r="G210" s="87"/>
      <c r="H210" s="88"/>
      <c r="I210" s="88"/>
    </row>
    <row r="211" spans="1:9" ht="13">
      <c r="A211" s="151" t="s">
        <v>8859</v>
      </c>
      <c r="B211" s="35"/>
      <c r="C211" s="35"/>
      <c r="D211" s="112"/>
      <c r="E211" s="112"/>
      <c r="F211" s="87"/>
      <c r="G211" s="87"/>
      <c r="H211" s="88"/>
      <c r="I211" s="88"/>
    </row>
    <row r="212" spans="1:9" ht="13">
      <c r="A212" s="151" t="s">
        <v>8860</v>
      </c>
      <c r="B212" s="35"/>
      <c r="C212" s="35"/>
      <c r="D212" s="107"/>
      <c r="E212" s="112"/>
      <c r="F212" s="87"/>
      <c r="G212" s="87"/>
      <c r="H212" s="88"/>
      <c r="I212" s="88"/>
    </row>
    <row r="213" spans="1:9" ht="13">
      <c r="A213" s="151" t="s">
        <v>8861</v>
      </c>
      <c r="B213" s="35"/>
      <c r="C213" s="35"/>
      <c r="D213" s="107"/>
      <c r="E213" s="112"/>
      <c r="F213" s="87"/>
      <c r="G213" s="87"/>
      <c r="H213" s="88"/>
      <c r="I213" s="88"/>
    </row>
    <row r="214" spans="1:9" ht="13">
      <c r="A214" s="151" t="s">
        <v>8862</v>
      </c>
      <c r="B214" s="35"/>
      <c r="C214" s="35"/>
      <c r="D214" s="112"/>
      <c r="E214" s="112"/>
      <c r="F214" s="87"/>
      <c r="G214" s="87"/>
      <c r="H214" s="88"/>
      <c r="I214" s="88"/>
    </row>
    <row r="215" spans="1:9" ht="13">
      <c r="A215" s="151" t="s">
        <v>8863</v>
      </c>
      <c r="B215" s="152" t="s">
        <v>4742</v>
      </c>
      <c r="C215" s="151" t="s">
        <v>195</v>
      </c>
      <c r="D215" s="107"/>
      <c r="E215" s="112"/>
      <c r="F215" s="87"/>
      <c r="G215" s="87"/>
      <c r="H215" s="88"/>
      <c r="I215" s="88"/>
    </row>
    <row r="216" spans="1:9" ht="13">
      <c r="A216" s="151" t="s">
        <v>8864</v>
      </c>
      <c r="B216" s="152" t="s">
        <v>203</v>
      </c>
      <c r="C216" s="151" t="s">
        <v>197</v>
      </c>
      <c r="D216" s="112"/>
      <c r="E216" s="112"/>
      <c r="F216" s="87"/>
      <c r="G216" s="87"/>
      <c r="H216" s="88"/>
      <c r="I216" s="88"/>
    </row>
    <row r="217" spans="1:9" ht="13">
      <c r="A217" s="151" t="s">
        <v>8865</v>
      </c>
      <c r="B217" s="152" t="s">
        <v>8866</v>
      </c>
      <c r="C217" s="151" t="s">
        <v>225</v>
      </c>
      <c r="D217" s="112"/>
      <c r="E217" s="112"/>
      <c r="F217" s="87"/>
      <c r="G217" s="87"/>
      <c r="H217" s="88"/>
      <c r="I217" s="88"/>
    </row>
    <row r="218" spans="1:9" ht="13">
      <c r="A218" s="151" t="s">
        <v>8867</v>
      </c>
      <c r="B218" s="152" t="s">
        <v>8868</v>
      </c>
      <c r="C218" s="151" t="s">
        <v>225</v>
      </c>
      <c r="D218" s="107"/>
      <c r="E218" s="112"/>
      <c r="F218" s="86"/>
      <c r="G218" s="87"/>
      <c r="H218" s="88"/>
      <c r="I218" s="88"/>
    </row>
    <row r="219" spans="1:9" ht="13">
      <c r="A219" s="151" t="s">
        <v>8869</v>
      </c>
      <c r="B219" s="152" t="s">
        <v>8870</v>
      </c>
      <c r="C219" s="151" t="s">
        <v>192</v>
      </c>
      <c r="D219" s="107"/>
      <c r="E219" s="112"/>
      <c r="F219" s="87"/>
      <c r="G219" s="87"/>
      <c r="H219" s="88"/>
      <c r="I219" s="88"/>
    </row>
    <row r="220" spans="1:9" ht="13">
      <c r="A220" s="151" t="s">
        <v>8871</v>
      </c>
      <c r="B220" s="152" t="s">
        <v>8870</v>
      </c>
      <c r="C220" s="151" t="s">
        <v>192</v>
      </c>
      <c r="D220" s="112"/>
      <c r="E220" s="112"/>
      <c r="F220" s="87"/>
      <c r="G220" s="87"/>
      <c r="H220" s="88"/>
      <c r="I220" s="88"/>
    </row>
    <row r="221" spans="1:9" ht="13">
      <c r="A221" s="151" t="s">
        <v>8872</v>
      </c>
      <c r="B221" s="152" t="s">
        <v>8870</v>
      </c>
      <c r="C221" s="151" t="s">
        <v>192</v>
      </c>
      <c r="D221" s="112"/>
      <c r="E221" s="112"/>
      <c r="F221" s="87"/>
      <c r="G221" s="87"/>
      <c r="H221" s="88"/>
      <c r="I221" s="88"/>
    </row>
    <row r="222" spans="1:9" ht="13">
      <c r="A222" s="151" t="s">
        <v>8873</v>
      </c>
      <c r="B222" s="152" t="s">
        <v>8870</v>
      </c>
      <c r="C222" s="151" t="s">
        <v>192</v>
      </c>
      <c r="D222" s="112"/>
      <c r="E222" s="112"/>
      <c r="F222" s="87"/>
      <c r="G222" s="87"/>
      <c r="H222" s="88"/>
      <c r="I222" s="88"/>
    </row>
    <row r="223" spans="1:9" ht="13">
      <c r="A223" s="151" t="s">
        <v>8874</v>
      </c>
      <c r="B223" s="152" t="s">
        <v>8674</v>
      </c>
      <c r="C223" s="151" t="s">
        <v>192</v>
      </c>
      <c r="D223" s="112"/>
      <c r="E223" s="112"/>
      <c r="F223" s="87"/>
      <c r="G223" s="87"/>
      <c r="H223" s="88"/>
      <c r="I223" s="88"/>
    </row>
    <row r="224" spans="1:9" ht="13">
      <c r="A224" s="112"/>
      <c r="B224" s="111"/>
      <c r="C224" s="136"/>
      <c r="D224" s="112"/>
      <c r="E224" s="112"/>
      <c r="F224" s="87"/>
      <c r="G224" s="87"/>
      <c r="H224" s="88"/>
      <c r="I224" s="88"/>
    </row>
    <row r="225" spans="1:9" ht="13">
      <c r="A225" s="112"/>
      <c r="B225" s="111"/>
      <c r="C225" s="136"/>
      <c r="D225" s="107"/>
      <c r="E225" s="112"/>
      <c r="F225" s="87"/>
      <c r="G225" s="87"/>
      <c r="H225" s="88"/>
      <c r="I225" s="88"/>
    </row>
    <row r="226" spans="1:9" ht="13">
      <c r="A226" s="112"/>
      <c r="B226" s="111"/>
      <c r="C226" s="136"/>
      <c r="D226" s="112"/>
      <c r="E226" s="112"/>
      <c r="F226" s="87"/>
      <c r="G226" s="87"/>
      <c r="H226" s="88"/>
      <c r="I226" s="88"/>
    </row>
    <row r="227" spans="1:9" ht="13">
      <c r="A227" s="112"/>
      <c r="B227" s="111"/>
      <c r="C227" s="136"/>
      <c r="D227" s="112"/>
      <c r="E227" s="112"/>
      <c r="F227" s="87"/>
      <c r="G227" s="87"/>
      <c r="H227" s="88"/>
      <c r="I227" s="88"/>
    </row>
    <row r="228" spans="1:9" ht="13">
      <c r="A228" s="112"/>
      <c r="B228" s="111"/>
      <c r="C228" s="136"/>
      <c r="D228" s="112"/>
      <c r="E228" s="112"/>
      <c r="F228" s="87"/>
      <c r="G228" s="87"/>
      <c r="H228" s="88"/>
      <c r="I228" s="88"/>
    </row>
    <row r="229" spans="1:9" ht="13">
      <c r="A229" s="112"/>
      <c r="B229" s="111"/>
      <c r="C229" s="136"/>
      <c r="D229" s="112"/>
      <c r="E229" s="112"/>
      <c r="F229" s="87"/>
      <c r="G229" s="87"/>
      <c r="H229" s="88"/>
      <c r="I229" s="88"/>
    </row>
    <row r="230" spans="1:9" ht="13">
      <c r="A230" s="112"/>
      <c r="B230" s="111"/>
      <c r="C230" s="136"/>
      <c r="D230" s="112"/>
      <c r="E230" s="112"/>
      <c r="F230" s="87"/>
      <c r="G230" s="87"/>
      <c r="H230" s="88"/>
      <c r="I230" s="88"/>
    </row>
    <row r="231" spans="1:9" ht="13">
      <c r="A231" s="112"/>
      <c r="B231" s="111"/>
      <c r="C231" s="136"/>
      <c r="D231" s="112"/>
      <c r="E231" s="112"/>
      <c r="F231" s="87"/>
      <c r="G231" s="87"/>
      <c r="H231" s="88"/>
      <c r="I231" s="88"/>
    </row>
    <row r="232" spans="1:9" ht="13">
      <c r="A232" s="112"/>
      <c r="B232" s="111"/>
      <c r="C232" s="136"/>
      <c r="D232" s="112"/>
      <c r="E232" s="112"/>
      <c r="F232" s="87"/>
      <c r="G232" s="87"/>
      <c r="H232" s="88"/>
      <c r="I232" s="88"/>
    </row>
    <row r="233" spans="1:9" ht="13">
      <c r="A233" s="112"/>
      <c r="B233" s="111"/>
      <c r="C233" s="136"/>
      <c r="D233" s="112"/>
      <c r="E233" s="112"/>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D242" s="5"/>
      <c r="E242" s="5"/>
      <c r="F242" s="5"/>
      <c r="G242" s="5"/>
    </row>
    <row r="243" spans="1:9" ht="13">
      <c r="D243" s="5"/>
      <c r="E243" s="5"/>
      <c r="F243" s="5"/>
      <c r="G243" s="5"/>
    </row>
    <row r="244" spans="1:9" ht="13">
      <c r="D244" s="5"/>
      <c r="E244" s="5"/>
      <c r="F244" s="5"/>
      <c r="G244" s="5"/>
    </row>
    <row r="245" spans="1:9" ht="13">
      <c r="D245" s="5"/>
      <c r="E245" s="5"/>
      <c r="F245" s="5"/>
      <c r="G245" s="5"/>
    </row>
    <row r="246" spans="1:9" ht="13">
      <c r="D246" s="5"/>
      <c r="E246" s="5"/>
      <c r="F246" s="5"/>
      <c r="G246" s="5"/>
    </row>
    <row r="247" spans="1:9" ht="13">
      <c r="D247" s="5"/>
      <c r="E247" s="5"/>
      <c r="F247" s="5"/>
      <c r="G247" s="5"/>
    </row>
    <row r="248" spans="1:9" ht="13">
      <c r="D248" s="5"/>
      <c r="E248" s="5"/>
      <c r="F248" s="5"/>
      <c r="G248" s="5"/>
    </row>
    <row r="249" spans="1:9" ht="13">
      <c r="D249" s="5"/>
      <c r="E249" s="5"/>
      <c r="F249" s="5"/>
      <c r="G249" s="5"/>
    </row>
    <row r="250" spans="1:9" ht="13">
      <c r="D250" s="5"/>
      <c r="E250" s="5"/>
      <c r="F250" s="5"/>
      <c r="G250" s="5"/>
    </row>
    <row r="251" spans="1:9" ht="13">
      <c r="D251" s="5"/>
      <c r="E251" s="5"/>
      <c r="F251" s="5"/>
      <c r="G251" s="5"/>
    </row>
    <row r="252" spans="1:9" ht="13">
      <c r="D252" s="5"/>
      <c r="E252" s="5"/>
      <c r="F252" s="5"/>
      <c r="G252" s="5"/>
    </row>
    <row r="253" spans="1:9" ht="13">
      <c r="D253" s="5"/>
      <c r="E253" s="5"/>
      <c r="F253" s="5"/>
      <c r="G253" s="5"/>
    </row>
    <row r="254" spans="1:9" ht="13">
      <c r="D254" s="5"/>
      <c r="E254" s="5"/>
      <c r="F254" s="5"/>
      <c r="G254" s="5"/>
    </row>
    <row r="255" spans="1:9" ht="13">
      <c r="D255" s="5"/>
      <c r="E255" s="5"/>
      <c r="F255" s="5"/>
      <c r="G255" s="5"/>
    </row>
    <row r="256" spans="1:9" ht="13">
      <c r="D256" s="5"/>
      <c r="E256" s="5"/>
      <c r="F256" s="5"/>
      <c r="G256" s="5"/>
    </row>
    <row r="257" spans="4:7" ht="13">
      <c r="D257" s="5"/>
      <c r="E257" s="5"/>
      <c r="F257" s="5"/>
      <c r="G257" s="5"/>
    </row>
    <row r="258" spans="4:7" ht="13">
      <c r="D258" s="5"/>
      <c r="E258" s="5"/>
      <c r="F258" s="5"/>
      <c r="G258" s="5"/>
    </row>
    <row r="259" spans="4:7" ht="13">
      <c r="D259" s="5"/>
      <c r="E259" s="5"/>
      <c r="F259" s="5"/>
      <c r="G259" s="5"/>
    </row>
    <row r="260" spans="4:7" ht="13">
      <c r="D260" s="5"/>
      <c r="E260" s="5"/>
      <c r="F260" s="5"/>
      <c r="G260" s="5"/>
    </row>
    <row r="261" spans="4:7" ht="13">
      <c r="D261" s="5"/>
      <c r="E261" s="5"/>
      <c r="F261" s="5"/>
      <c r="G261" s="5"/>
    </row>
    <row r="262" spans="4:7" ht="13">
      <c r="D262" s="5"/>
      <c r="E262" s="5"/>
      <c r="F262" s="5"/>
      <c r="G262" s="5"/>
    </row>
    <row r="263" spans="4:7" ht="13">
      <c r="D263" s="5"/>
      <c r="E263" s="5"/>
      <c r="F263" s="5"/>
      <c r="G263" s="5"/>
    </row>
    <row r="264" spans="4:7" ht="13">
      <c r="D264" s="5"/>
      <c r="E264" s="5"/>
      <c r="F264" s="5"/>
      <c r="G264" s="5"/>
    </row>
    <row r="265" spans="4:7" ht="13">
      <c r="D265" s="5"/>
      <c r="E265" s="5"/>
      <c r="F265" s="5"/>
      <c r="G265" s="5"/>
    </row>
    <row r="266" spans="4:7" ht="13">
      <c r="D266" s="5"/>
      <c r="E266" s="5"/>
      <c r="F266" s="5"/>
      <c r="G266" s="5"/>
    </row>
    <row r="267" spans="4:7" ht="13">
      <c r="D267" s="5"/>
      <c r="E267" s="5"/>
      <c r="F267" s="5"/>
      <c r="G267" s="5"/>
    </row>
    <row r="268" spans="4:7" ht="13">
      <c r="D268" s="5"/>
      <c r="E268" s="5"/>
      <c r="F268" s="5"/>
      <c r="G268" s="5"/>
    </row>
    <row r="269" spans="4:7" ht="13">
      <c r="D269" s="5"/>
      <c r="E269" s="5"/>
      <c r="F269" s="5"/>
      <c r="G269" s="5"/>
    </row>
    <row r="270" spans="4:7" ht="13">
      <c r="D270" s="5"/>
      <c r="E270" s="5"/>
      <c r="F270" s="5"/>
      <c r="G270" s="5"/>
    </row>
    <row r="271" spans="4:7" ht="13">
      <c r="D271" s="5"/>
      <c r="E271" s="5"/>
      <c r="F271" s="5"/>
      <c r="G271" s="5"/>
    </row>
    <row r="272" spans="4:7" ht="13">
      <c r="D272" s="5"/>
      <c r="E272" s="5"/>
      <c r="F272" s="5"/>
      <c r="G272" s="5"/>
    </row>
    <row r="273" spans="4:7" ht="13">
      <c r="D273" s="5"/>
      <c r="E273" s="5"/>
      <c r="F273" s="5"/>
      <c r="G273" s="5"/>
    </row>
    <row r="274" spans="4:7" ht="13">
      <c r="D274" s="5"/>
      <c r="E274" s="5"/>
      <c r="F274" s="5"/>
      <c r="G274" s="5"/>
    </row>
    <row r="275" spans="4:7" ht="13">
      <c r="D275" s="5"/>
      <c r="E275" s="5"/>
      <c r="F275" s="5"/>
      <c r="G275" s="5"/>
    </row>
    <row r="276" spans="4:7" ht="13">
      <c r="D276" s="5"/>
      <c r="E276" s="5"/>
      <c r="F276" s="5"/>
      <c r="G276" s="5"/>
    </row>
    <row r="277" spans="4:7" ht="13">
      <c r="D277" s="5"/>
      <c r="E277" s="5"/>
      <c r="F277" s="5"/>
      <c r="G277" s="5"/>
    </row>
    <row r="278" spans="4:7" ht="13">
      <c r="D278" s="5"/>
      <c r="E278" s="5"/>
      <c r="F278" s="5"/>
      <c r="G278" s="5"/>
    </row>
    <row r="279" spans="4:7" ht="13">
      <c r="D279" s="5"/>
      <c r="E279" s="5"/>
      <c r="F279" s="5"/>
      <c r="G279" s="5"/>
    </row>
    <row r="280" spans="4:7" ht="13">
      <c r="D280" s="5"/>
      <c r="E280" s="5"/>
      <c r="F280" s="5"/>
      <c r="G280" s="5"/>
    </row>
    <row r="281" spans="4:7" ht="13">
      <c r="D281" s="5"/>
      <c r="E281" s="5"/>
      <c r="F281" s="5"/>
      <c r="G281" s="5"/>
    </row>
    <row r="282" spans="4:7" ht="13">
      <c r="D282" s="5"/>
      <c r="E282" s="5"/>
      <c r="F282" s="5"/>
      <c r="G282" s="5"/>
    </row>
    <row r="283" spans="4:7" ht="13">
      <c r="D283" s="5"/>
      <c r="E283" s="5"/>
      <c r="F283" s="5"/>
      <c r="G283" s="5"/>
    </row>
    <row r="284" spans="4:7" ht="13">
      <c r="D284" s="5"/>
      <c r="E284" s="5"/>
      <c r="F284" s="5"/>
      <c r="G284" s="5"/>
    </row>
    <row r="285" spans="4:7" ht="13">
      <c r="D285" s="5"/>
      <c r="E285" s="5"/>
      <c r="F285" s="5"/>
      <c r="G285" s="5"/>
    </row>
    <row r="286" spans="4:7" ht="13">
      <c r="D286" s="5"/>
      <c r="E286" s="5"/>
      <c r="F286" s="5"/>
      <c r="G286" s="5"/>
    </row>
    <row r="287" spans="4:7" ht="13">
      <c r="D287" s="5"/>
      <c r="E287" s="5"/>
      <c r="F287" s="5"/>
      <c r="G287" s="5"/>
    </row>
    <row r="288" spans="4:7" ht="13">
      <c r="D288" s="5"/>
      <c r="E288" s="5"/>
      <c r="F288" s="5"/>
      <c r="G288" s="5"/>
    </row>
    <row r="289" spans="4:7" ht="13">
      <c r="D289" s="5"/>
      <c r="E289" s="5"/>
      <c r="F289" s="5"/>
      <c r="G289" s="5"/>
    </row>
    <row r="290" spans="4:7" ht="13">
      <c r="D290" s="5"/>
      <c r="E290" s="5"/>
      <c r="F290" s="5"/>
      <c r="G290" s="5"/>
    </row>
    <row r="291" spans="4:7" ht="13">
      <c r="D291" s="5"/>
      <c r="E291" s="5"/>
      <c r="F291" s="5"/>
      <c r="G291" s="5"/>
    </row>
    <row r="292" spans="4:7" ht="13">
      <c r="D292" s="5"/>
      <c r="E292" s="5"/>
      <c r="F292" s="5"/>
      <c r="G292" s="5"/>
    </row>
    <row r="293" spans="4:7" ht="13">
      <c r="D293" s="5"/>
      <c r="E293" s="5"/>
      <c r="F293" s="5"/>
      <c r="G293" s="5"/>
    </row>
    <row r="294" spans="4:7" ht="13">
      <c r="D294" s="5"/>
      <c r="E294" s="5"/>
      <c r="F294" s="5"/>
      <c r="G294" s="5"/>
    </row>
    <row r="295" spans="4:7" ht="13">
      <c r="D295" s="5"/>
      <c r="E295" s="5"/>
      <c r="F295" s="5"/>
      <c r="G295" s="5"/>
    </row>
    <row r="296" spans="4:7" ht="13">
      <c r="D296" s="5"/>
      <c r="E296" s="5"/>
      <c r="F296" s="5"/>
      <c r="G296" s="5"/>
    </row>
    <row r="297" spans="4:7" ht="13">
      <c r="D297" s="5"/>
      <c r="E297" s="5"/>
      <c r="F297" s="5"/>
      <c r="G297" s="5"/>
    </row>
    <row r="298" spans="4:7" ht="13">
      <c r="D298" s="5"/>
      <c r="E298" s="5"/>
      <c r="F298" s="5"/>
      <c r="G298" s="5"/>
    </row>
    <row r="299" spans="4:7" ht="13">
      <c r="D299" s="5"/>
      <c r="E299" s="5"/>
      <c r="F299" s="5"/>
      <c r="G299" s="5"/>
    </row>
    <row r="300" spans="4:7" ht="13">
      <c r="D300" s="5"/>
      <c r="E300" s="5"/>
      <c r="F300" s="5"/>
      <c r="G300" s="5"/>
    </row>
    <row r="301" spans="4:7" ht="13">
      <c r="D301" s="5"/>
      <c r="E301" s="5"/>
      <c r="F301" s="5"/>
      <c r="G301" s="5"/>
    </row>
    <row r="302" spans="4:7" ht="13">
      <c r="D302" s="5"/>
      <c r="E302" s="5"/>
      <c r="F302" s="5"/>
      <c r="G302" s="5"/>
    </row>
    <row r="303" spans="4:7" ht="13">
      <c r="D303" s="5"/>
      <c r="E303" s="5"/>
      <c r="F303" s="5"/>
      <c r="G303" s="5"/>
    </row>
    <row r="304" spans="4:7" ht="13">
      <c r="D304" s="5"/>
      <c r="E304" s="5"/>
      <c r="F304" s="5"/>
      <c r="G304" s="5"/>
    </row>
    <row r="305" spans="4:7" ht="13">
      <c r="D305" s="5"/>
      <c r="E305" s="5"/>
      <c r="F305" s="5"/>
      <c r="G305" s="5"/>
    </row>
    <row r="306" spans="4:7" ht="13">
      <c r="D306" s="5"/>
      <c r="E306" s="5"/>
      <c r="F306" s="5"/>
      <c r="G306" s="5"/>
    </row>
    <row r="307" spans="4:7" ht="13">
      <c r="D307" s="5"/>
      <c r="E307" s="5"/>
      <c r="F307" s="5"/>
      <c r="G307" s="5"/>
    </row>
    <row r="308" spans="4:7" ht="13">
      <c r="D308" s="5"/>
      <c r="E308" s="5"/>
      <c r="F308" s="5"/>
      <c r="G308" s="5"/>
    </row>
    <row r="309" spans="4:7" ht="13">
      <c r="D309" s="5"/>
      <c r="E309" s="5"/>
      <c r="F309" s="5"/>
      <c r="G309" s="5"/>
    </row>
    <row r="310" spans="4:7" ht="13">
      <c r="D310" s="5"/>
      <c r="E310" s="5"/>
      <c r="F310" s="5"/>
      <c r="G310" s="5"/>
    </row>
    <row r="311" spans="4:7" ht="13">
      <c r="D311" s="5"/>
      <c r="E311" s="5"/>
      <c r="F311" s="5"/>
      <c r="G311" s="5"/>
    </row>
    <row r="312" spans="4:7" ht="13">
      <c r="D312" s="5"/>
      <c r="E312" s="5"/>
      <c r="F312" s="5"/>
      <c r="G312" s="5"/>
    </row>
    <row r="313" spans="4:7" ht="13">
      <c r="D313" s="5"/>
      <c r="E313" s="5"/>
      <c r="F313" s="5"/>
      <c r="G313" s="5"/>
    </row>
    <row r="314" spans="4:7" ht="13">
      <c r="D314" s="5"/>
      <c r="E314" s="5"/>
      <c r="F314" s="5"/>
      <c r="G314" s="5"/>
    </row>
    <row r="315" spans="4:7" ht="13">
      <c r="D315" s="5"/>
      <c r="E315" s="5"/>
      <c r="F315" s="5"/>
      <c r="G315" s="5"/>
    </row>
    <row r="316" spans="4:7" ht="13">
      <c r="D316" s="5"/>
      <c r="E316" s="5"/>
      <c r="F316" s="5"/>
      <c r="G316" s="5"/>
    </row>
    <row r="317" spans="4:7" ht="13">
      <c r="D317" s="5"/>
      <c r="E317" s="5"/>
      <c r="F317" s="5"/>
      <c r="G317" s="5"/>
    </row>
    <row r="318" spans="4:7" ht="13">
      <c r="D318" s="5"/>
      <c r="E318" s="5"/>
      <c r="F318" s="5"/>
      <c r="G318" s="5"/>
    </row>
    <row r="319" spans="4:7" ht="13">
      <c r="D319" s="5"/>
      <c r="E319" s="5"/>
      <c r="F319" s="5"/>
      <c r="G319" s="5"/>
    </row>
    <row r="320" spans="4:7" ht="13">
      <c r="D320" s="5"/>
      <c r="E320" s="5"/>
      <c r="F320" s="5"/>
      <c r="G320" s="5"/>
    </row>
    <row r="321" spans="4:7" ht="13">
      <c r="D321" s="5"/>
      <c r="E321" s="5"/>
      <c r="F321" s="5"/>
      <c r="G321" s="5"/>
    </row>
    <row r="322" spans="4:7" ht="13">
      <c r="D322" s="5"/>
      <c r="E322" s="5"/>
      <c r="F322" s="5"/>
      <c r="G322" s="5"/>
    </row>
    <row r="323" spans="4:7" ht="13">
      <c r="D323" s="5"/>
      <c r="E323" s="5"/>
      <c r="F323" s="5"/>
      <c r="G323" s="5"/>
    </row>
    <row r="324" spans="4:7" ht="13">
      <c r="D324" s="5"/>
      <c r="E324" s="5"/>
      <c r="F324" s="5"/>
      <c r="G324" s="5"/>
    </row>
    <row r="325" spans="4:7" ht="13">
      <c r="D325" s="5"/>
      <c r="E325" s="5"/>
      <c r="F325" s="5"/>
      <c r="G325" s="5"/>
    </row>
    <row r="326" spans="4:7" ht="13">
      <c r="D326" s="5"/>
      <c r="E326" s="5"/>
      <c r="F326" s="5"/>
      <c r="G326" s="5"/>
    </row>
    <row r="327" spans="4:7" ht="13">
      <c r="D327" s="5"/>
      <c r="E327" s="5"/>
      <c r="F327" s="5"/>
      <c r="G327" s="5"/>
    </row>
    <row r="328" spans="4:7" ht="13">
      <c r="D328" s="5"/>
      <c r="E328" s="5"/>
      <c r="F328" s="5"/>
      <c r="G328" s="5"/>
    </row>
    <row r="329" spans="4:7" ht="13">
      <c r="D329" s="5"/>
      <c r="E329" s="5"/>
      <c r="F329" s="5"/>
      <c r="G329" s="5"/>
    </row>
    <row r="330" spans="4:7" ht="13">
      <c r="D330" s="5"/>
      <c r="E330" s="5"/>
      <c r="F330" s="5"/>
      <c r="G330" s="5"/>
    </row>
    <row r="331" spans="4:7" ht="13">
      <c r="D331" s="5"/>
      <c r="E331" s="5"/>
      <c r="F331" s="5"/>
      <c r="G331" s="5"/>
    </row>
    <row r="332" spans="4:7" ht="13">
      <c r="D332" s="5"/>
      <c r="E332" s="5"/>
      <c r="F332" s="5"/>
      <c r="G332" s="5"/>
    </row>
    <row r="333" spans="4:7" ht="13">
      <c r="D333" s="5"/>
      <c r="E333" s="5"/>
      <c r="F333" s="5"/>
      <c r="G333" s="5"/>
    </row>
    <row r="334" spans="4:7" ht="13">
      <c r="D334" s="5"/>
      <c r="E334" s="5"/>
      <c r="F334" s="5"/>
      <c r="G334" s="5"/>
    </row>
    <row r="335" spans="4:7" ht="13">
      <c r="D335" s="5"/>
      <c r="E335" s="5"/>
      <c r="F335" s="5"/>
      <c r="G335" s="5"/>
    </row>
    <row r="336" spans="4:7" ht="13">
      <c r="D336" s="5"/>
      <c r="E336" s="5"/>
      <c r="F336" s="5"/>
      <c r="G336" s="5"/>
    </row>
    <row r="337" spans="4:7" ht="13">
      <c r="D337" s="5"/>
      <c r="E337" s="5"/>
      <c r="F337" s="5"/>
      <c r="G337" s="5"/>
    </row>
    <row r="338" spans="4:7" ht="13">
      <c r="D338" s="5"/>
      <c r="E338" s="5"/>
      <c r="F338" s="5"/>
      <c r="G338" s="5"/>
    </row>
    <row r="339" spans="4:7" ht="13">
      <c r="D339" s="5"/>
      <c r="E339" s="5"/>
      <c r="F339" s="5"/>
      <c r="G339" s="5"/>
    </row>
    <row r="340" spans="4:7" ht="13">
      <c r="D340" s="5"/>
      <c r="E340" s="5"/>
      <c r="F340" s="5"/>
      <c r="G340" s="5"/>
    </row>
    <row r="341" spans="4:7" ht="13">
      <c r="D341" s="5"/>
      <c r="E341" s="5"/>
      <c r="F341" s="5"/>
      <c r="G341" s="5"/>
    </row>
    <row r="342" spans="4:7" ht="13">
      <c r="D342" s="5"/>
      <c r="E342" s="5"/>
      <c r="F342" s="5"/>
      <c r="G342" s="5"/>
    </row>
    <row r="343" spans="4:7" ht="13">
      <c r="D343" s="5"/>
      <c r="E343" s="5"/>
      <c r="F343" s="5"/>
      <c r="G343" s="5"/>
    </row>
    <row r="344" spans="4:7" ht="13">
      <c r="D344" s="5"/>
      <c r="E344" s="5"/>
      <c r="F344" s="5"/>
      <c r="G344" s="5"/>
    </row>
    <row r="345" spans="4:7" ht="13">
      <c r="D345" s="5"/>
      <c r="E345" s="5"/>
      <c r="F345" s="5"/>
      <c r="G345" s="5"/>
    </row>
    <row r="346" spans="4:7" ht="13">
      <c r="D346" s="5"/>
      <c r="E346" s="5"/>
      <c r="F346" s="5"/>
      <c r="G346" s="5"/>
    </row>
    <row r="347" spans="4:7" ht="13">
      <c r="D347" s="5"/>
      <c r="E347" s="5"/>
      <c r="F347" s="5"/>
      <c r="G347" s="5"/>
    </row>
    <row r="348" spans="4:7" ht="13">
      <c r="D348" s="5"/>
      <c r="E348" s="5"/>
      <c r="F348" s="5"/>
      <c r="G348" s="5"/>
    </row>
    <row r="349" spans="4:7" ht="13">
      <c r="D349" s="5"/>
      <c r="E349" s="5"/>
      <c r="F349" s="5"/>
      <c r="G349" s="5"/>
    </row>
    <row r="350" spans="4:7" ht="13">
      <c r="D350" s="5"/>
      <c r="E350" s="5"/>
      <c r="F350" s="5"/>
      <c r="G350" s="5"/>
    </row>
    <row r="351" spans="4:7" ht="13">
      <c r="D351" s="5"/>
      <c r="E351" s="5"/>
      <c r="F351" s="5"/>
      <c r="G351" s="5"/>
    </row>
    <row r="352" spans="4:7" ht="13">
      <c r="D352" s="5"/>
      <c r="E352" s="5"/>
      <c r="F352" s="5"/>
      <c r="G352" s="5"/>
    </row>
    <row r="353" spans="4:7" ht="13">
      <c r="D353" s="5"/>
      <c r="E353" s="5"/>
      <c r="F353" s="5"/>
      <c r="G353" s="5"/>
    </row>
    <row r="354" spans="4:7" ht="13">
      <c r="D354" s="5"/>
      <c r="E354" s="5"/>
      <c r="F354" s="5"/>
      <c r="G354" s="5"/>
    </row>
    <row r="355" spans="4:7" ht="13">
      <c r="D355" s="5"/>
      <c r="E355" s="5"/>
      <c r="F355" s="5"/>
      <c r="G355" s="5"/>
    </row>
    <row r="356" spans="4:7" ht="13">
      <c r="D356" s="5"/>
      <c r="E356" s="5"/>
      <c r="F356" s="5"/>
      <c r="G356" s="5"/>
    </row>
    <row r="357" spans="4:7" ht="13">
      <c r="D357" s="5"/>
      <c r="E357" s="5"/>
      <c r="F357" s="5"/>
      <c r="G357" s="5"/>
    </row>
    <row r="358" spans="4:7" ht="13">
      <c r="D358" s="5"/>
      <c r="E358" s="5"/>
      <c r="F358" s="5"/>
      <c r="G358" s="5"/>
    </row>
    <row r="359" spans="4:7" ht="13">
      <c r="D359" s="5"/>
      <c r="E359" s="5"/>
      <c r="F359" s="5"/>
      <c r="G359" s="5"/>
    </row>
    <row r="360" spans="4:7" ht="13">
      <c r="D360" s="5"/>
      <c r="E360" s="5"/>
      <c r="F360" s="5"/>
      <c r="G360" s="5"/>
    </row>
    <row r="361" spans="4:7" ht="13">
      <c r="D361" s="5"/>
      <c r="E361" s="5"/>
      <c r="F361" s="5"/>
      <c r="G361" s="5"/>
    </row>
    <row r="362" spans="4:7" ht="13">
      <c r="D362" s="5"/>
      <c r="E362" s="5"/>
      <c r="F362" s="5"/>
      <c r="G362" s="5"/>
    </row>
    <row r="363" spans="4:7" ht="13">
      <c r="D363" s="5"/>
      <c r="E363" s="5"/>
      <c r="F363" s="5"/>
      <c r="G363" s="5"/>
    </row>
    <row r="364" spans="4:7" ht="13">
      <c r="D364" s="5"/>
      <c r="E364" s="5"/>
      <c r="F364" s="5"/>
      <c r="G364" s="5"/>
    </row>
    <row r="365" spans="4:7" ht="13">
      <c r="D365" s="5"/>
      <c r="E365" s="5"/>
      <c r="F365" s="5"/>
      <c r="G365" s="5"/>
    </row>
    <row r="366" spans="4:7" ht="13">
      <c r="D366" s="5"/>
      <c r="E366" s="5"/>
      <c r="F366" s="5"/>
      <c r="G366" s="5"/>
    </row>
    <row r="367" spans="4:7" ht="13">
      <c r="D367" s="5"/>
      <c r="E367" s="5"/>
      <c r="F367" s="5"/>
      <c r="G367" s="5"/>
    </row>
    <row r="368" spans="4:7" ht="13">
      <c r="D368" s="5"/>
      <c r="E368" s="5"/>
      <c r="F368" s="5"/>
      <c r="G368" s="5"/>
    </row>
    <row r="369" spans="4:7" ht="13">
      <c r="D369" s="5"/>
      <c r="E369" s="5"/>
      <c r="F369" s="5"/>
      <c r="G369" s="5"/>
    </row>
    <row r="370" spans="4:7" ht="13">
      <c r="D370" s="5"/>
      <c r="E370" s="5"/>
      <c r="F370" s="5"/>
      <c r="G370" s="5"/>
    </row>
    <row r="371" spans="4:7" ht="13">
      <c r="D371" s="5"/>
      <c r="E371" s="5"/>
      <c r="F371" s="5"/>
      <c r="G371" s="5"/>
    </row>
    <row r="372" spans="4:7" ht="13">
      <c r="D372" s="5"/>
      <c r="E372" s="5"/>
      <c r="F372" s="5"/>
      <c r="G372" s="5"/>
    </row>
    <row r="373" spans="4:7" ht="13">
      <c r="D373" s="5"/>
      <c r="E373" s="5"/>
      <c r="F373" s="5"/>
      <c r="G373" s="5"/>
    </row>
    <row r="374" spans="4:7" ht="13">
      <c r="D374" s="5"/>
      <c r="E374" s="5"/>
      <c r="F374" s="5"/>
      <c r="G374" s="5"/>
    </row>
    <row r="375" spans="4:7" ht="13">
      <c r="D375" s="5"/>
      <c r="E375" s="5"/>
      <c r="F375" s="5"/>
      <c r="G375" s="5"/>
    </row>
    <row r="376" spans="4:7" ht="13">
      <c r="D376" s="5"/>
      <c r="E376" s="5"/>
      <c r="F376" s="5"/>
      <c r="G376" s="5"/>
    </row>
    <row r="377" spans="4:7" ht="13">
      <c r="D377" s="5"/>
      <c r="E377" s="5"/>
      <c r="F377" s="5"/>
      <c r="G377" s="5"/>
    </row>
    <row r="378" spans="4:7" ht="13">
      <c r="D378" s="5"/>
      <c r="E378" s="5"/>
      <c r="F378" s="5"/>
      <c r="G378" s="5"/>
    </row>
    <row r="379" spans="4:7" ht="13">
      <c r="D379" s="5"/>
      <c r="E379" s="5"/>
      <c r="F379" s="5"/>
      <c r="G379" s="5"/>
    </row>
    <row r="380" spans="4:7" ht="13">
      <c r="D380" s="5"/>
      <c r="E380" s="5"/>
      <c r="F380" s="5"/>
      <c r="G380" s="5"/>
    </row>
    <row r="381" spans="4:7" ht="13">
      <c r="D381" s="5"/>
      <c r="E381" s="5"/>
      <c r="F381" s="5"/>
      <c r="G381" s="5"/>
    </row>
    <row r="382" spans="4:7" ht="13">
      <c r="D382" s="5"/>
      <c r="E382" s="5"/>
      <c r="F382" s="5"/>
      <c r="G382" s="5"/>
    </row>
    <row r="383" spans="4:7" ht="13">
      <c r="D383" s="5"/>
      <c r="E383" s="5"/>
      <c r="F383" s="5"/>
      <c r="G383" s="5"/>
    </row>
    <row r="384" spans="4:7" ht="13">
      <c r="D384" s="5"/>
      <c r="E384" s="5"/>
      <c r="F384" s="5"/>
      <c r="G384" s="5"/>
    </row>
    <row r="385" spans="4:7" ht="13">
      <c r="D385" s="5"/>
      <c r="E385" s="5"/>
      <c r="F385" s="5"/>
      <c r="G385" s="5"/>
    </row>
    <row r="386" spans="4:7" ht="13">
      <c r="D386" s="5"/>
      <c r="E386" s="5"/>
      <c r="F386" s="5"/>
      <c r="G386" s="5"/>
    </row>
    <row r="387" spans="4:7" ht="13">
      <c r="D387" s="5"/>
      <c r="E387" s="5"/>
      <c r="F387" s="5"/>
      <c r="G387" s="5"/>
    </row>
    <row r="388" spans="4:7" ht="13">
      <c r="D388" s="5"/>
      <c r="E388" s="5"/>
      <c r="F388" s="5"/>
      <c r="G388" s="5"/>
    </row>
    <row r="389" spans="4:7" ht="13">
      <c r="D389" s="5"/>
      <c r="E389" s="5"/>
      <c r="F389" s="5"/>
      <c r="G389" s="5"/>
    </row>
    <row r="390" spans="4:7" ht="13">
      <c r="D390" s="5"/>
      <c r="E390" s="5"/>
      <c r="F390" s="5"/>
      <c r="G390" s="5"/>
    </row>
    <row r="391" spans="4:7" ht="13">
      <c r="D391" s="5"/>
      <c r="E391" s="5"/>
      <c r="F391" s="5"/>
      <c r="G391" s="5"/>
    </row>
    <row r="392" spans="4:7" ht="13">
      <c r="D392" s="5"/>
      <c r="E392" s="5"/>
      <c r="F392" s="5"/>
      <c r="G392" s="5"/>
    </row>
    <row r="393" spans="4:7" ht="13">
      <c r="D393" s="5"/>
      <c r="E393" s="5"/>
      <c r="F393" s="5"/>
      <c r="G393" s="5"/>
    </row>
    <row r="394" spans="4:7" ht="13">
      <c r="D394" s="5"/>
      <c r="E394" s="5"/>
      <c r="F394" s="5"/>
      <c r="G394" s="5"/>
    </row>
    <row r="395" spans="4:7" ht="13">
      <c r="D395" s="5"/>
      <c r="E395" s="5"/>
      <c r="F395" s="5"/>
      <c r="G395" s="5"/>
    </row>
    <row r="396" spans="4:7" ht="13">
      <c r="D396" s="5"/>
      <c r="E396" s="5"/>
      <c r="F396" s="5"/>
      <c r="G396" s="5"/>
    </row>
    <row r="397" spans="4:7" ht="13">
      <c r="D397" s="5"/>
      <c r="E397" s="5"/>
      <c r="F397" s="5"/>
      <c r="G397" s="5"/>
    </row>
    <row r="398" spans="4:7" ht="13">
      <c r="D398" s="5"/>
      <c r="E398" s="5"/>
      <c r="F398" s="5"/>
      <c r="G398" s="5"/>
    </row>
    <row r="399" spans="4:7" ht="13">
      <c r="D399" s="5"/>
      <c r="E399" s="5"/>
      <c r="F399" s="5"/>
      <c r="G399" s="5"/>
    </row>
    <row r="400" spans="4:7" ht="13">
      <c r="D400" s="5"/>
      <c r="E400" s="5"/>
      <c r="F400" s="5"/>
      <c r="G400" s="5"/>
    </row>
    <row r="401" spans="4:7" ht="13">
      <c r="D401" s="5"/>
      <c r="E401" s="5"/>
      <c r="F401" s="5"/>
      <c r="G401" s="5"/>
    </row>
    <row r="402" spans="4:7" ht="13">
      <c r="D402" s="5"/>
      <c r="E402" s="5"/>
      <c r="F402" s="5"/>
      <c r="G402" s="5"/>
    </row>
    <row r="403" spans="4:7" ht="13">
      <c r="D403" s="5"/>
      <c r="E403" s="5"/>
      <c r="F403" s="5"/>
      <c r="G403" s="5"/>
    </row>
    <row r="404" spans="4:7" ht="13">
      <c r="D404" s="5"/>
      <c r="E404" s="5"/>
      <c r="F404" s="5"/>
      <c r="G404" s="5"/>
    </row>
    <row r="405" spans="4:7" ht="13">
      <c r="D405" s="5"/>
      <c r="E405" s="5"/>
      <c r="F405" s="5"/>
      <c r="G405" s="5"/>
    </row>
    <row r="406" spans="4:7" ht="13">
      <c r="D406" s="5"/>
      <c r="E406" s="5"/>
      <c r="F406" s="5"/>
      <c r="G406" s="5"/>
    </row>
    <row r="407" spans="4:7" ht="13">
      <c r="D407" s="5"/>
      <c r="E407" s="5"/>
      <c r="F407" s="5"/>
      <c r="G407" s="5"/>
    </row>
    <row r="408" spans="4:7" ht="13">
      <c r="D408" s="5"/>
      <c r="E408" s="5"/>
      <c r="F408" s="5"/>
      <c r="G408" s="5"/>
    </row>
    <row r="409" spans="4:7" ht="13">
      <c r="D409" s="5"/>
      <c r="E409" s="5"/>
      <c r="F409" s="5"/>
      <c r="G409" s="5"/>
    </row>
    <row r="410" spans="4:7" ht="13">
      <c r="D410" s="5"/>
      <c r="E410" s="5"/>
      <c r="F410" s="5"/>
      <c r="G410" s="5"/>
    </row>
    <row r="411" spans="4:7" ht="13">
      <c r="D411" s="5"/>
      <c r="E411" s="5"/>
      <c r="F411" s="5"/>
      <c r="G411" s="5"/>
    </row>
    <row r="412" spans="4:7" ht="13">
      <c r="D412" s="5"/>
      <c r="E412" s="5"/>
      <c r="F412" s="5"/>
      <c r="G412" s="5"/>
    </row>
    <row r="413" spans="4:7" ht="13">
      <c r="D413" s="5"/>
      <c r="E413" s="5"/>
      <c r="F413" s="5"/>
      <c r="G413" s="5"/>
    </row>
    <row r="414" spans="4:7" ht="13">
      <c r="D414" s="5"/>
      <c r="E414" s="5"/>
      <c r="F414" s="5"/>
      <c r="G414" s="5"/>
    </row>
    <row r="415" spans="4:7" ht="13">
      <c r="D415" s="5"/>
      <c r="E415" s="5"/>
      <c r="F415" s="5"/>
      <c r="G415" s="5"/>
    </row>
    <row r="416" spans="4:7" ht="13">
      <c r="D416" s="5"/>
      <c r="E416" s="5"/>
      <c r="F416" s="5"/>
      <c r="G416" s="5"/>
    </row>
    <row r="417" spans="4:7" ht="13">
      <c r="D417" s="5"/>
      <c r="E417" s="5"/>
      <c r="F417" s="5"/>
      <c r="G417" s="5"/>
    </row>
    <row r="418" spans="4:7" ht="13">
      <c r="D418" s="5"/>
      <c r="E418" s="5"/>
      <c r="F418" s="5"/>
      <c r="G418" s="5"/>
    </row>
    <row r="419" spans="4:7" ht="13">
      <c r="D419" s="5"/>
      <c r="E419" s="5"/>
      <c r="F419" s="5"/>
      <c r="G419" s="5"/>
    </row>
    <row r="420" spans="4:7" ht="13">
      <c r="D420" s="5"/>
      <c r="E420" s="5"/>
      <c r="F420" s="5"/>
      <c r="G420" s="5"/>
    </row>
    <row r="421" spans="4:7" ht="13">
      <c r="D421" s="5"/>
      <c r="E421" s="5"/>
      <c r="F421" s="5"/>
      <c r="G421" s="5"/>
    </row>
    <row r="422" spans="4:7" ht="13">
      <c r="D422" s="5"/>
      <c r="E422" s="5"/>
      <c r="F422" s="5"/>
      <c r="G422" s="5"/>
    </row>
    <row r="423" spans="4:7" ht="13">
      <c r="D423" s="5"/>
      <c r="E423" s="5"/>
      <c r="F423" s="5"/>
      <c r="G423" s="5"/>
    </row>
    <row r="424" spans="4:7" ht="13">
      <c r="D424" s="5"/>
      <c r="E424" s="5"/>
      <c r="F424" s="5"/>
      <c r="G424" s="5"/>
    </row>
    <row r="425" spans="4:7" ht="13">
      <c r="D425" s="5"/>
      <c r="E425" s="5"/>
      <c r="F425" s="5"/>
      <c r="G425" s="5"/>
    </row>
    <row r="426" spans="4:7" ht="13">
      <c r="D426" s="5"/>
      <c r="E426" s="5"/>
      <c r="F426" s="5"/>
      <c r="G426" s="5"/>
    </row>
    <row r="427" spans="4:7" ht="13">
      <c r="D427" s="5"/>
      <c r="E427" s="5"/>
      <c r="F427" s="5"/>
      <c r="G427" s="5"/>
    </row>
    <row r="428" spans="4:7" ht="13">
      <c r="D428" s="5"/>
      <c r="E428" s="5"/>
      <c r="F428" s="5"/>
      <c r="G428" s="5"/>
    </row>
    <row r="429" spans="4:7" ht="13">
      <c r="D429" s="5"/>
      <c r="E429" s="5"/>
      <c r="F429" s="5"/>
      <c r="G429" s="5"/>
    </row>
    <row r="430" spans="4:7" ht="13">
      <c r="D430" s="5"/>
      <c r="E430" s="5"/>
      <c r="F430" s="5"/>
      <c r="G430" s="5"/>
    </row>
    <row r="431" spans="4:7" ht="13">
      <c r="D431" s="5"/>
      <c r="E431" s="5"/>
      <c r="F431" s="5"/>
      <c r="G431" s="5"/>
    </row>
    <row r="432" spans="4:7" ht="13">
      <c r="D432" s="5"/>
      <c r="E432" s="5"/>
      <c r="F432" s="5"/>
      <c r="G432" s="5"/>
    </row>
    <row r="433" spans="4:7" ht="13">
      <c r="D433" s="5"/>
      <c r="E433" s="5"/>
      <c r="F433" s="5"/>
      <c r="G433" s="5"/>
    </row>
    <row r="434" spans="4:7" ht="13">
      <c r="D434" s="5"/>
      <c r="E434" s="5"/>
      <c r="F434" s="5"/>
      <c r="G434" s="5"/>
    </row>
    <row r="435" spans="4:7" ht="13">
      <c r="D435" s="5"/>
      <c r="E435" s="5"/>
      <c r="F435" s="5"/>
      <c r="G435" s="5"/>
    </row>
    <row r="436" spans="4:7" ht="13">
      <c r="D436" s="5"/>
      <c r="E436" s="5"/>
      <c r="F436" s="5"/>
      <c r="G436" s="5"/>
    </row>
    <row r="437" spans="4:7" ht="13">
      <c r="D437" s="5"/>
      <c r="E437" s="5"/>
      <c r="F437" s="5"/>
      <c r="G437" s="5"/>
    </row>
    <row r="438" spans="4:7" ht="13">
      <c r="D438" s="5"/>
      <c r="E438" s="5"/>
      <c r="F438" s="5"/>
      <c r="G438" s="5"/>
    </row>
    <row r="439" spans="4:7" ht="13">
      <c r="D439" s="5"/>
      <c r="E439" s="5"/>
      <c r="F439" s="5"/>
      <c r="G439" s="5"/>
    </row>
    <row r="440" spans="4:7" ht="13">
      <c r="D440" s="5"/>
      <c r="E440" s="5"/>
      <c r="F440" s="5"/>
      <c r="G440" s="5"/>
    </row>
    <row r="441" spans="4:7" ht="13">
      <c r="D441" s="5"/>
      <c r="E441" s="5"/>
      <c r="F441" s="5"/>
      <c r="G441" s="5"/>
    </row>
    <row r="442" spans="4:7" ht="13">
      <c r="D442" s="5"/>
      <c r="E442" s="5"/>
      <c r="F442" s="5"/>
      <c r="G442" s="5"/>
    </row>
    <row r="443" spans="4:7" ht="13">
      <c r="D443" s="5"/>
      <c r="E443" s="5"/>
      <c r="F443" s="5"/>
      <c r="G443" s="5"/>
    </row>
    <row r="444" spans="4:7" ht="13">
      <c r="D444" s="5"/>
      <c r="E444" s="5"/>
      <c r="F444" s="5"/>
      <c r="G444" s="5"/>
    </row>
    <row r="445" spans="4:7" ht="13">
      <c r="D445" s="5"/>
      <c r="E445" s="5"/>
      <c r="F445" s="5"/>
      <c r="G445" s="5"/>
    </row>
    <row r="446" spans="4:7" ht="13">
      <c r="D446" s="5"/>
      <c r="E446" s="5"/>
      <c r="F446" s="5"/>
      <c r="G446" s="5"/>
    </row>
    <row r="447" spans="4:7" ht="13">
      <c r="D447" s="5"/>
      <c r="E447" s="5"/>
      <c r="F447" s="5"/>
      <c r="G447" s="5"/>
    </row>
    <row r="448" spans="4:7" ht="13">
      <c r="D448" s="5"/>
      <c r="E448" s="5"/>
      <c r="F448" s="5"/>
      <c r="G448" s="5"/>
    </row>
    <row r="449" spans="4:7" ht="13">
      <c r="D449" s="5"/>
      <c r="E449" s="5"/>
      <c r="F449" s="5"/>
      <c r="G449" s="5"/>
    </row>
    <row r="450" spans="4:7" ht="13">
      <c r="D450" s="5"/>
      <c r="E450" s="5"/>
      <c r="F450" s="5"/>
      <c r="G450" s="5"/>
    </row>
    <row r="451" spans="4:7" ht="13">
      <c r="D451" s="5"/>
      <c r="E451" s="5"/>
      <c r="F451" s="5"/>
      <c r="G451" s="5"/>
    </row>
    <row r="452" spans="4:7" ht="13">
      <c r="D452" s="5"/>
      <c r="E452" s="5"/>
      <c r="F452" s="5"/>
      <c r="G452" s="5"/>
    </row>
    <row r="453" spans="4:7" ht="13">
      <c r="D453" s="5"/>
      <c r="E453" s="5"/>
      <c r="F453" s="5"/>
      <c r="G453" s="5"/>
    </row>
    <row r="454" spans="4:7" ht="13">
      <c r="D454" s="5"/>
      <c r="E454" s="5"/>
      <c r="F454" s="5"/>
      <c r="G454" s="5"/>
    </row>
    <row r="455" spans="4:7" ht="13">
      <c r="D455" s="5"/>
      <c r="E455" s="5"/>
      <c r="F455" s="5"/>
      <c r="G455" s="5"/>
    </row>
    <row r="456" spans="4:7" ht="13">
      <c r="D456" s="5"/>
      <c r="E456" s="5"/>
      <c r="F456" s="5"/>
      <c r="G456" s="5"/>
    </row>
    <row r="457" spans="4:7" ht="13">
      <c r="D457" s="5"/>
      <c r="E457" s="5"/>
      <c r="F457" s="5"/>
      <c r="G457" s="5"/>
    </row>
    <row r="458" spans="4:7" ht="13">
      <c r="D458" s="5"/>
      <c r="E458" s="5"/>
      <c r="F458" s="5"/>
      <c r="G458" s="5"/>
    </row>
    <row r="459" spans="4:7" ht="13">
      <c r="D459" s="5"/>
      <c r="E459" s="5"/>
      <c r="F459" s="5"/>
      <c r="G459" s="5"/>
    </row>
    <row r="460" spans="4:7" ht="13">
      <c r="D460" s="5"/>
      <c r="E460" s="5"/>
      <c r="F460" s="5"/>
      <c r="G460" s="5"/>
    </row>
    <row r="461" spans="4:7" ht="13">
      <c r="D461" s="5"/>
      <c r="E461" s="5"/>
      <c r="F461" s="5"/>
      <c r="G461" s="5"/>
    </row>
    <row r="462" spans="4:7" ht="13">
      <c r="D462" s="5"/>
      <c r="E462" s="5"/>
      <c r="F462" s="5"/>
      <c r="G462" s="5"/>
    </row>
    <row r="463" spans="4:7" ht="13">
      <c r="D463" s="5"/>
      <c r="E463" s="5"/>
      <c r="F463" s="5"/>
      <c r="G463" s="5"/>
    </row>
    <row r="464" spans="4:7" ht="13">
      <c r="D464" s="5"/>
      <c r="E464" s="5"/>
      <c r="F464" s="5"/>
      <c r="G464" s="5"/>
    </row>
    <row r="465" spans="4:7" ht="13">
      <c r="D465" s="5"/>
      <c r="E465" s="5"/>
      <c r="F465" s="5"/>
      <c r="G465" s="5"/>
    </row>
    <row r="466" spans="4:7" ht="13">
      <c r="D466" s="5"/>
      <c r="E466" s="5"/>
      <c r="F466" s="5"/>
      <c r="G466" s="5"/>
    </row>
    <row r="467" spans="4:7" ht="13">
      <c r="D467" s="5"/>
      <c r="E467" s="5"/>
      <c r="F467" s="5"/>
      <c r="G467" s="5"/>
    </row>
    <row r="468" spans="4:7" ht="13">
      <c r="D468" s="5"/>
      <c r="E468" s="5"/>
      <c r="F468" s="5"/>
      <c r="G468" s="5"/>
    </row>
    <row r="469" spans="4:7" ht="13">
      <c r="D469" s="5"/>
      <c r="E469" s="5"/>
      <c r="F469" s="5"/>
      <c r="G469" s="5"/>
    </row>
    <row r="470" spans="4:7" ht="13">
      <c r="D470" s="5"/>
      <c r="E470" s="5"/>
      <c r="F470" s="5"/>
      <c r="G470" s="5"/>
    </row>
    <row r="471" spans="4:7" ht="13">
      <c r="D471" s="5"/>
      <c r="E471" s="5"/>
      <c r="F471" s="5"/>
      <c r="G471" s="5"/>
    </row>
    <row r="472" spans="4:7" ht="13">
      <c r="D472" s="5"/>
      <c r="E472" s="5"/>
      <c r="F472" s="5"/>
      <c r="G472" s="5"/>
    </row>
    <row r="473" spans="4:7" ht="13">
      <c r="D473" s="5"/>
      <c r="E473" s="5"/>
      <c r="F473" s="5"/>
      <c r="G473" s="5"/>
    </row>
    <row r="474" spans="4:7" ht="13">
      <c r="D474" s="5"/>
      <c r="E474" s="5"/>
      <c r="F474" s="5"/>
      <c r="G474" s="5"/>
    </row>
    <row r="475" spans="4:7" ht="13">
      <c r="D475" s="5"/>
      <c r="E475" s="5"/>
      <c r="F475" s="5"/>
      <c r="G475" s="5"/>
    </row>
    <row r="476" spans="4:7" ht="13">
      <c r="D476" s="5"/>
      <c r="E476" s="5"/>
      <c r="F476" s="5"/>
      <c r="G476" s="5"/>
    </row>
    <row r="477" spans="4:7" ht="13">
      <c r="D477" s="5"/>
      <c r="E477" s="5"/>
      <c r="F477" s="5"/>
      <c r="G477" s="5"/>
    </row>
    <row r="478" spans="4:7" ht="13">
      <c r="D478" s="5"/>
      <c r="E478" s="5"/>
      <c r="F478" s="5"/>
      <c r="G478" s="5"/>
    </row>
    <row r="479" spans="4:7" ht="13">
      <c r="D479" s="5"/>
      <c r="E479" s="5"/>
      <c r="F479" s="5"/>
      <c r="G479" s="5"/>
    </row>
    <row r="480" spans="4:7" ht="13">
      <c r="D480" s="5"/>
      <c r="E480" s="5"/>
      <c r="F480" s="5"/>
      <c r="G480" s="5"/>
    </row>
    <row r="481" spans="4:7" ht="13">
      <c r="D481" s="5"/>
      <c r="E481" s="5"/>
      <c r="F481" s="5"/>
      <c r="G481" s="5"/>
    </row>
    <row r="482" spans="4:7" ht="13">
      <c r="D482" s="5"/>
      <c r="E482" s="5"/>
      <c r="F482" s="5"/>
      <c r="G482" s="5"/>
    </row>
    <row r="483" spans="4:7" ht="13">
      <c r="D483" s="5"/>
      <c r="E483" s="5"/>
      <c r="F483" s="5"/>
      <c r="G483" s="5"/>
    </row>
    <row r="484" spans="4:7" ht="13">
      <c r="D484" s="5"/>
      <c r="E484" s="5"/>
      <c r="F484" s="5"/>
      <c r="G484" s="5"/>
    </row>
    <row r="485" spans="4:7" ht="13">
      <c r="D485" s="5"/>
      <c r="E485" s="5"/>
      <c r="F485" s="5"/>
      <c r="G485" s="5"/>
    </row>
    <row r="486" spans="4:7" ht="13">
      <c r="D486" s="5"/>
      <c r="E486" s="5"/>
      <c r="F486" s="5"/>
      <c r="G486" s="5"/>
    </row>
    <row r="487" spans="4:7" ht="13">
      <c r="D487" s="5"/>
      <c r="E487" s="5"/>
      <c r="F487" s="5"/>
      <c r="G487" s="5"/>
    </row>
    <row r="488" spans="4:7" ht="13">
      <c r="D488" s="5"/>
      <c r="E488" s="5"/>
      <c r="F488" s="5"/>
      <c r="G488" s="5"/>
    </row>
    <row r="489" spans="4:7" ht="13">
      <c r="D489" s="5"/>
      <c r="E489" s="5"/>
      <c r="F489" s="5"/>
      <c r="G489" s="5"/>
    </row>
    <row r="490" spans="4:7" ht="13">
      <c r="D490" s="5"/>
      <c r="E490" s="5"/>
      <c r="F490" s="5"/>
      <c r="G490" s="5"/>
    </row>
    <row r="491" spans="4:7" ht="13">
      <c r="D491" s="5"/>
      <c r="E491" s="5"/>
      <c r="F491" s="5"/>
      <c r="G491" s="5"/>
    </row>
    <row r="492" spans="4:7" ht="13">
      <c r="D492" s="5"/>
      <c r="E492" s="5"/>
      <c r="F492" s="5"/>
      <c r="G492" s="5"/>
    </row>
    <row r="493" spans="4:7" ht="13">
      <c r="D493" s="5"/>
      <c r="E493" s="5"/>
      <c r="F493" s="5"/>
      <c r="G493" s="5"/>
    </row>
    <row r="494" spans="4:7" ht="13">
      <c r="D494" s="5"/>
      <c r="E494" s="5"/>
      <c r="F494" s="5"/>
      <c r="G494" s="5"/>
    </row>
    <row r="495" spans="4:7" ht="13">
      <c r="D495" s="5"/>
      <c r="E495" s="5"/>
      <c r="F495" s="5"/>
      <c r="G495" s="5"/>
    </row>
    <row r="496" spans="4:7" ht="13">
      <c r="D496" s="5"/>
      <c r="E496" s="5"/>
      <c r="F496" s="5"/>
      <c r="G496" s="5"/>
    </row>
    <row r="497" spans="4:7" ht="13">
      <c r="D497" s="5"/>
      <c r="E497" s="5"/>
      <c r="F497" s="5"/>
      <c r="G497" s="5"/>
    </row>
    <row r="498" spans="4:7" ht="13">
      <c r="D498" s="5"/>
      <c r="E498" s="5"/>
      <c r="F498" s="5"/>
      <c r="G498" s="5"/>
    </row>
    <row r="499" spans="4:7" ht="13">
      <c r="D499" s="5"/>
      <c r="E499" s="5"/>
      <c r="F499" s="5"/>
      <c r="G499" s="5"/>
    </row>
    <row r="500" spans="4:7" ht="13">
      <c r="D500" s="5"/>
      <c r="E500" s="5"/>
      <c r="F500" s="5"/>
      <c r="G500" s="5"/>
    </row>
    <row r="501" spans="4:7" ht="13">
      <c r="D501" s="5"/>
      <c r="E501" s="5"/>
      <c r="F501" s="5"/>
      <c r="G501" s="5"/>
    </row>
    <row r="502" spans="4:7" ht="13">
      <c r="D502" s="5"/>
      <c r="E502" s="5"/>
      <c r="F502" s="5"/>
      <c r="G502" s="5"/>
    </row>
    <row r="503" spans="4:7" ht="13">
      <c r="D503" s="5"/>
      <c r="E503" s="5"/>
      <c r="F503" s="5"/>
      <c r="G503" s="5"/>
    </row>
    <row r="504" spans="4:7" ht="13">
      <c r="D504" s="5"/>
      <c r="E504" s="5"/>
      <c r="F504" s="5"/>
      <c r="G504" s="5"/>
    </row>
    <row r="505" spans="4:7" ht="13">
      <c r="D505" s="5"/>
      <c r="E505" s="5"/>
      <c r="F505" s="5"/>
      <c r="G505" s="5"/>
    </row>
    <row r="506" spans="4:7" ht="13">
      <c r="D506" s="5"/>
      <c r="E506" s="5"/>
      <c r="F506" s="5"/>
      <c r="G506" s="5"/>
    </row>
    <row r="507" spans="4:7" ht="13">
      <c r="D507" s="5"/>
      <c r="E507" s="5"/>
      <c r="F507" s="5"/>
      <c r="G507" s="5"/>
    </row>
    <row r="508" spans="4:7" ht="13">
      <c r="D508" s="5"/>
      <c r="E508" s="5"/>
      <c r="F508" s="5"/>
      <c r="G508" s="5"/>
    </row>
    <row r="509" spans="4:7" ht="13">
      <c r="D509" s="5"/>
      <c r="E509" s="5"/>
      <c r="F509" s="5"/>
      <c r="G509" s="5"/>
    </row>
    <row r="510" spans="4:7" ht="13">
      <c r="D510" s="5"/>
      <c r="E510" s="5"/>
      <c r="F510" s="5"/>
      <c r="G510" s="5"/>
    </row>
    <row r="511" spans="4:7" ht="13">
      <c r="D511" s="5"/>
      <c r="E511" s="5"/>
      <c r="F511" s="5"/>
      <c r="G511" s="5"/>
    </row>
    <row r="512" spans="4:7" ht="13">
      <c r="D512" s="5"/>
      <c r="E512" s="5"/>
      <c r="F512" s="5"/>
      <c r="G512" s="5"/>
    </row>
    <row r="513" spans="4:7" ht="13">
      <c r="D513" s="5"/>
      <c r="E513" s="5"/>
      <c r="F513" s="5"/>
      <c r="G513" s="5"/>
    </row>
    <row r="514" spans="4:7" ht="13">
      <c r="D514" s="5"/>
      <c r="E514" s="5"/>
      <c r="F514" s="5"/>
      <c r="G514" s="5"/>
    </row>
    <row r="515" spans="4:7" ht="13">
      <c r="D515" s="5"/>
      <c r="E515" s="5"/>
      <c r="F515" s="5"/>
      <c r="G515" s="5"/>
    </row>
    <row r="516" spans="4:7" ht="13">
      <c r="D516" s="5"/>
      <c r="E516" s="5"/>
      <c r="F516" s="5"/>
      <c r="G516" s="5"/>
    </row>
    <row r="517" spans="4:7" ht="13">
      <c r="D517" s="5"/>
      <c r="E517" s="5"/>
      <c r="F517" s="5"/>
      <c r="G517" s="5"/>
    </row>
    <row r="518" spans="4:7" ht="13">
      <c r="D518" s="5"/>
      <c r="E518" s="5"/>
      <c r="F518" s="5"/>
      <c r="G518" s="5"/>
    </row>
    <row r="519" spans="4:7" ht="13">
      <c r="D519" s="5"/>
      <c r="E519" s="5"/>
      <c r="F519" s="5"/>
      <c r="G519" s="5"/>
    </row>
    <row r="520" spans="4:7" ht="13">
      <c r="D520" s="5"/>
      <c r="E520" s="5"/>
      <c r="F520" s="5"/>
      <c r="G520" s="5"/>
    </row>
    <row r="521" spans="4:7" ht="13">
      <c r="D521" s="5"/>
      <c r="E521" s="5"/>
      <c r="F521" s="5"/>
      <c r="G521" s="5"/>
    </row>
    <row r="522" spans="4:7" ht="13">
      <c r="D522" s="5"/>
      <c r="E522" s="5"/>
      <c r="F522" s="5"/>
      <c r="G522" s="5"/>
    </row>
    <row r="523" spans="4:7" ht="13">
      <c r="D523" s="5"/>
      <c r="E523" s="5"/>
      <c r="F523" s="5"/>
      <c r="G523" s="5"/>
    </row>
    <row r="524" spans="4:7" ht="13">
      <c r="D524" s="5"/>
      <c r="E524" s="5"/>
      <c r="F524" s="5"/>
      <c r="G524" s="5"/>
    </row>
    <row r="525" spans="4:7" ht="13">
      <c r="D525" s="5"/>
      <c r="E525" s="5"/>
      <c r="F525" s="5"/>
      <c r="G525" s="5"/>
    </row>
    <row r="526" spans="4:7" ht="13">
      <c r="D526" s="5"/>
      <c r="E526" s="5"/>
      <c r="F526" s="5"/>
      <c r="G526" s="5"/>
    </row>
    <row r="527" spans="4:7" ht="13">
      <c r="D527" s="5"/>
      <c r="E527" s="5"/>
      <c r="F527" s="5"/>
      <c r="G527" s="5"/>
    </row>
    <row r="528" spans="4:7" ht="13">
      <c r="D528" s="5"/>
      <c r="E528" s="5"/>
      <c r="F528" s="5"/>
      <c r="G528" s="5"/>
    </row>
    <row r="529" spans="4:7" ht="13">
      <c r="D529" s="5"/>
      <c r="E529" s="5"/>
      <c r="F529" s="5"/>
      <c r="G529" s="5"/>
    </row>
    <row r="530" spans="4:7" ht="13">
      <c r="D530" s="5"/>
      <c r="E530" s="5"/>
      <c r="F530" s="5"/>
      <c r="G530" s="5"/>
    </row>
    <row r="531" spans="4:7" ht="13">
      <c r="D531" s="5"/>
      <c r="E531" s="5"/>
      <c r="F531" s="5"/>
      <c r="G531" s="5"/>
    </row>
    <row r="532" spans="4:7" ht="13">
      <c r="D532" s="5"/>
      <c r="E532" s="5"/>
      <c r="F532" s="5"/>
      <c r="G532" s="5"/>
    </row>
    <row r="533" spans="4:7" ht="13">
      <c r="D533" s="5"/>
      <c r="E533" s="5"/>
      <c r="F533" s="5"/>
      <c r="G533" s="5"/>
    </row>
    <row r="534" spans="4:7" ht="13">
      <c r="D534" s="5"/>
      <c r="E534" s="5"/>
      <c r="F534" s="5"/>
      <c r="G534" s="5"/>
    </row>
    <row r="535" spans="4:7" ht="13">
      <c r="D535" s="5"/>
      <c r="E535" s="5"/>
      <c r="F535" s="5"/>
      <c r="G535" s="5"/>
    </row>
    <row r="536" spans="4:7" ht="13">
      <c r="D536" s="5"/>
      <c r="E536" s="5"/>
      <c r="F536" s="5"/>
      <c r="G536" s="5"/>
    </row>
    <row r="537" spans="4:7" ht="13">
      <c r="D537" s="5"/>
      <c r="E537" s="5"/>
      <c r="F537" s="5"/>
      <c r="G537" s="5"/>
    </row>
    <row r="538" spans="4:7" ht="13">
      <c r="D538" s="5"/>
      <c r="E538" s="5"/>
      <c r="F538" s="5"/>
      <c r="G538" s="5"/>
    </row>
    <row r="539" spans="4:7" ht="13">
      <c r="D539" s="5"/>
      <c r="E539" s="5"/>
      <c r="F539" s="5"/>
      <c r="G539" s="5"/>
    </row>
    <row r="540" spans="4:7" ht="13">
      <c r="D540" s="5"/>
      <c r="E540" s="5"/>
      <c r="F540" s="5"/>
      <c r="G540" s="5"/>
    </row>
    <row r="541" spans="4:7" ht="13">
      <c r="D541" s="5"/>
      <c r="E541" s="5"/>
      <c r="F541" s="5"/>
      <c r="G541" s="5"/>
    </row>
    <row r="542" spans="4:7" ht="13">
      <c r="D542" s="5"/>
      <c r="E542" s="5"/>
      <c r="F542" s="5"/>
      <c r="G542" s="5"/>
    </row>
    <row r="543" spans="4:7" ht="13">
      <c r="D543" s="5"/>
      <c r="E543" s="5"/>
      <c r="F543" s="5"/>
      <c r="G543" s="5"/>
    </row>
    <row r="544" spans="4:7" ht="13">
      <c r="D544" s="5"/>
      <c r="E544" s="5"/>
      <c r="F544" s="5"/>
      <c r="G544" s="5"/>
    </row>
    <row r="545" spans="4:7" ht="13">
      <c r="D545" s="5"/>
      <c r="E545" s="5"/>
      <c r="F545" s="5"/>
      <c r="G545" s="5"/>
    </row>
    <row r="546" spans="4:7" ht="13">
      <c r="D546" s="5"/>
      <c r="E546" s="5"/>
      <c r="F546" s="5"/>
      <c r="G546" s="5"/>
    </row>
    <row r="547" spans="4:7" ht="13">
      <c r="D547" s="5"/>
      <c r="E547" s="5"/>
      <c r="F547" s="5"/>
      <c r="G547" s="5"/>
    </row>
    <row r="548" spans="4:7" ht="13">
      <c r="D548" s="5"/>
      <c r="E548" s="5"/>
      <c r="F548" s="5"/>
      <c r="G548" s="5"/>
    </row>
    <row r="549" spans="4:7" ht="13">
      <c r="D549" s="5"/>
      <c r="E549" s="5"/>
      <c r="F549" s="5"/>
      <c r="G549" s="5"/>
    </row>
    <row r="550" spans="4:7" ht="13">
      <c r="D550" s="5"/>
      <c r="E550" s="5"/>
      <c r="F550" s="5"/>
      <c r="G550" s="5"/>
    </row>
    <row r="551" spans="4:7" ht="13">
      <c r="D551" s="5"/>
      <c r="E551" s="5"/>
      <c r="F551" s="5"/>
      <c r="G551" s="5"/>
    </row>
    <row r="552" spans="4:7" ht="13">
      <c r="D552" s="5"/>
      <c r="E552" s="5"/>
      <c r="F552" s="5"/>
      <c r="G552" s="5"/>
    </row>
    <row r="553" spans="4:7" ht="13">
      <c r="D553" s="5"/>
      <c r="E553" s="5"/>
      <c r="F553" s="5"/>
      <c r="G553" s="5"/>
    </row>
    <row r="554" spans="4:7" ht="13">
      <c r="D554" s="5"/>
      <c r="E554" s="5"/>
      <c r="F554" s="5"/>
      <c r="G554" s="5"/>
    </row>
    <row r="555" spans="4:7" ht="13">
      <c r="D555" s="5"/>
      <c r="E555" s="5"/>
      <c r="F555" s="5"/>
      <c r="G555" s="5"/>
    </row>
    <row r="556" spans="4:7" ht="13">
      <c r="D556" s="5"/>
      <c r="E556" s="5"/>
      <c r="F556" s="5"/>
      <c r="G556" s="5"/>
    </row>
    <row r="557" spans="4:7" ht="13">
      <c r="D557" s="5"/>
      <c r="E557" s="5"/>
      <c r="F557" s="5"/>
      <c r="G557" s="5"/>
    </row>
    <row r="558" spans="4:7" ht="13">
      <c r="D558" s="5"/>
      <c r="E558" s="5"/>
      <c r="F558" s="5"/>
      <c r="G558" s="5"/>
    </row>
    <row r="559" spans="4:7" ht="13">
      <c r="D559" s="5"/>
      <c r="E559" s="5"/>
      <c r="F559" s="5"/>
      <c r="G559" s="5"/>
    </row>
    <row r="560" spans="4:7" ht="13">
      <c r="D560" s="5"/>
      <c r="E560" s="5"/>
      <c r="F560" s="5"/>
      <c r="G560" s="5"/>
    </row>
    <row r="561" spans="4:7" ht="13">
      <c r="D561" s="5"/>
      <c r="E561" s="5"/>
      <c r="F561" s="5"/>
      <c r="G561" s="5"/>
    </row>
    <row r="562" spans="4:7" ht="13">
      <c r="D562" s="5"/>
      <c r="E562" s="5"/>
      <c r="F562" s="5"/>
      <c r="G562" s="5"/>
    </row>
    <row r="563" spans="4:7" ht="13">
      <c r="D563" s="5"/>
      <c r="E563" s="5"/>
      <c r="F563" s="5"/>
      <c r="G563" s="5"/>
    </row>
    <row r="564" spans="4:7" ht="13">
      <c r="D564" s="5"/>
      <c r="E564" s="5"/>
      <c r="F564" s="5"/>
      <c r="G564" s="5"/>
    </row>
    <row r="565" spans="4:7" ht="13">
      <c r="D565" s="5"/>
      <c r="E565" s="5"/>
      <c r="F565" s="5"/>
      <c r="G565" s="5"/>
    </row>
    <row r="566" spans="4:7" ht="13">
      <c r="D566" s="5"/>
      <c r="E566" s="5"/>
      <c r="F566" s="5"/>
      <c r="G566" s="5"/>
    </row>
    <row r="567" spans="4:7" ht="13">
      <c r="D567" s="5"/>
      <c r="E567" s="5"/>
      <c r="F567" s="5"/>
      <c r="G567" s="5"/>
    </row>
    <row r="568" spans="4:7" ht="13">
      <c r="D568" s="5"/>
      <c r="E568" s="5"/>
      <c r="F568" s="5"/>
      <c r="G568" s="5"/>
    </row>
    <row r="569" spans="4:7" ht="13">
      <c r="D569" s="5"/>
      <c r="E569" s="5"/>
      <c r="F569" s="5"/>
      <c r="G569" s="5"/>
    </row>
    <row r="570" spans="4:7" ht="13">
      <c r="D570" s="5"/>
      <c r="E570" s="5"/>
      <c r="F570" s="5"/>
      <c r="G570" s="5"/>
    </row>
    <row r="571" spans="4:7" ht="13">
      <c r="D571" s="5"/>
      <c r="E571" s="5"/>
      <c r="F571" s="5"/>
      <c r="G571" s="5"/>
    </row>
    <row r="572" spans="4:7" ht="13">
      <c r="D572" s="5"/>
      <c r="E572" s="5"/>
      <c r="F572" s="5"/>
      <c r="G572" s="5"/>
    </row>
    <row r="573" spans="4:7" ht="13">
      <c r="D573" s="5"/>
      <c r="E573" s="5"/>
      <c r="F573" s="5"/>
      <c r="G573" s="5"/>
    </row>
    <row r="574" spans="4:7" ht="13">
      <c r="D574" s="5"/>
      <c r="E574" s="5"/>
      <c r="F574" s="5"/>
      <c r="G574" s="5"/>
    </row>
    <row r="575" spans="4:7" ht="13">
      <c r="D575" s="5"/>
      <c r="E575" s="5"/>
      <c r="F575" s="5"/>
      <c r="G575" s="5"/>
    </row>
    <row r="576" spans="4:7" ht="13">
      <c r="D576" s="5"/>
      <c r="E576" s="5"/>
      <c r="F576" s="5"/>
      <c r="G576" s="5"/>
    </row>
    <row r="577" spans="4:7" ht="13">
      <c r="D577" s="5"/>
      <c r="E577" s="5"/>
      <c r="F577" s="5"/>
      <c r="G577" s="5"/>
    </row>
    <row r="578" spans="4:7" ht="13">
      <c r="D578" s="5"/>
      <c r="E578" s="5"/>
      <c r="F578" s="5"/>
      <c r="G578" s="5"/>
    </row>
    <row r="579" spans="4:7" ht="13">
      <c r="D579" s="5"/>
      <c r="E579" s="5"/>
      <c r="F579" s="5"/>
      <c r="G579" s="5"/>
    </row>
    <row r="580" spans="4:7" ht="13">
      <c r="D580" s="5"/>
      <c r="E580" s="5"/>
      <c r="F580" s="5"/>
      <c r="G580" s="5"/>
    </row>
    <row r="581" spans="4:7" ht="13">
      <c r="D581" s="5"/>
      <c r="E581" s="5"/>
      <c r="F581" s="5"/>
      <c r="G581" s="5"/>
    </row>
    <row r="582" spans="4:7" ht="13">
      <c r="D582" s="5"/>
      <c r="E582" s="5"/>
      <c r="F582" s="5"/>
      <c r="G582" s="5"/>
    </row>
    <row r="583" spans="4:7" ht="13">
      <c r="D583" s="5"/>
      <c r="E583" s="5"/>
      <c r="F583" s="5"/>
      <c r="G583" s="5"/>
    </row>
    <row r="584" spans="4:7" ht="13">
      <c r="D584" s="5"/>
      <c r="E584" s="5"/>
      <c r="F584" s="5"/>
      <c r="G584" s="5"/>
    </row>
    <row r="585" spans="4:7" ht="13">
      <c r="D585" s="5"/>
      <c r="E585" s="5"/>
      <c r="F585" s="5"/>
      <c r="G585" s="5"/>
    </row>
    <row r="586" spans="4:7" ht="13">
      <c r="D586" s="5"/>
      <c r="E586" s="5"/>
      <c r="F586" s="5"/>
      <c r="G586" s="5"/>
    </row>
    <row r="587" spans="4:7" ht="13">
      <c r="D587" s="5"/>
      <c r="E587" s="5"/>
      <c r="F587" s="5"/>
      <c r="G587" s="5"/>
    </row>
    <row r="588" spans="4:7" ht="13">
      <c r="D588" s="5"/>
      <c r="E588" s="5"/>
      <c r="F588" s="5"/>
      <c r="G588" s="5"/>
    </row>
    <row r="589" spans="4:7" ht="13">
      <c r="D589" s="5"/>
      <c r="E589" s="5"/>
      <c r="F589" s="5"/>
      <c r="G589" s="5"/>
    </row>
    <row r="590" spans="4:7" ht="13">
      <c r="D590" s="5"/>
      <c r="E590" s="5"/>
      <c r="F590" s="5"/>
      <c r="G590" s="5"/>
    </row>
    <row r="591" spans="4:7" ht="13">
      <c r="D591" s="5"/>
      <c r="E591" s="5"/>
      <c r="F591" s="5"/>
      <c r="G591" s="5"/>
    </row>
    <row r="592" spans="4:7" ht="13">
      <c r="D592" s="5"/>
      <c r="E592" s="5"/>
      <c r="F592" s="5"/>
      <c r="G592" s="5"/>
    </row>
    <row r="593" spans="4:7" ht="13">
      <c r="D593" s="5"/>
      <c r="E593" s="5"/>
      <c r="F593" s="5"/>
      <c r="G593" s="5"/>
    </row>
    <row r="594" spans="4:7" ht="13">
      <c r="D594" s="5"/>
      <c r="E594" s="5"/>
      <c r="F594" s="5"/>
      <c r="G594" s="5"/>
    </row>
    <row r="595" spans="4:7" ht="13">
      <c r="D595" s="5"/>
      <c r="E595" s="5"/>
      <c r="F595" s="5"/>
      <c r="G595" s="5"/>
    </row>
    <row r="596" spans="4:7" ht="13">
      <c r="D596" s="5"/>
      <c r="E596" s="5"/>
      <c r="F596" s="5"/>
      <c r="G596" s="5"/>
    </row>
    <row r="597" spans="4:7" ht="13">
      <c r="D597" s="5"/>
      <c r="E597" s="5"/>
      <c r="F597" s="5"/>
      <c r="G597" s="5"/>
    </row>
    <row r="598" spans="4:7" ht="13">
      <c r="D598" s="5"/>
      <c r="E598" s="5"/>
      <c r="F598" s="5"/>
      <c r="G598" s="5"/>
    </row>
    <row r="599" spans="4:7" ht="13">
      <c r="D599" s="5"/>
      <c r="E599" s="5"/>
      <c r="F599" s="5"/>
      <c r="G599" s="5"/>
    </row>
    <row r="600" spans="4:7" ht="13">
      <c r="D600" s="5"/>
      <c r="E600" s="5"/>
      <c r="F600" s="5"/>
      <c r="G600" s="5"/>
    </row>
    <row r="601" spans="4:7" ht="13">
      <c r="D601" s="5"/>
      <c r="E601" s="5"/>
      <c r="F601" s="5"/>
      <c r="G601" s="5"/>
    </row>
    <row r="602" spans="4:7" ht="13">
      <c r="D602" s="5"/>
      <c r="E602" s="5"/>
      <c r="F602" s="5"/>
      <c r="G602" s="5"/>
    </row>
    <row r="603" spans="4:7" ht="13">
      <c r="D603" s="5"/>
      <c r="E603" s="5"/>
      <c r="F603" s="5"/>
      <c r="G603" s="5"/>
    </row>
    <row r="604" spans="4:7" ht="13">
      <c r="D604" s="5"/>
      <c r="E604" s="5"/>
      <c r="F604" s="5"/>
      <c r="G604" s="5"/>
    </row>
    <row r="605" spans="4:7" ht="13">
      <c r="D605" s="5"/>
      <c r="E605" s="5"/>
      <c r="F605" s="5"/>
      <c r="G605" s="5"/>
    </row>
    <row r="606" spans="4:7" ht="13">
      <c r="D606" s="5"/>
      <c r="E606" s="5"/>
      <c r="F606" s="5"/>
      <c r="G606" s="5"/>
    </row>
    <row r="607" spans="4:7" ht="13">
      <c r="D607" s="5"/>
      <c r="E607" s="5"/>
      <c r="F607" s="5"/>
      <c r="G607" s="5"/>
    </row>
    <row r="608" spans="4:7" ht="13">
      <c r="D608" s="5"/>
      <c r="E608" s="5"/>
      <c r="F608" s="5"/>
      <c r="G608" s="5"/>
    </row>
    <row r="609" spans="4:7" ht="13">
      <c r="D609" s="5"/>
      <c r="E609" s="5"/>
      <c r="F609" s="5"/>
      <c r="G609" s="5"/>
    </row>
    <row r="610" spans="4:7" ht="13">
      <c r="D610" s="5"/>
      <c r="E610" s="5"/>
      <c r="F610" s="5"/>
      <c r="G610" s="5"/>
    </row>
    <row r="611" spans="4:7" ht="13">
      <c r="D611" s="5"/>
      <c r="E611" s="5"/>
      <c r="F611" s="5"/>
      <c r="G611" s="5"/>
    </row>
    <row r="612" spans="4:7" ht="13">
      <c r="D612" s="5"/>
      <c r="E612" s="5"/>
      <c r="F612" s="5"/>
      <c r="G612" s="5"/>
    </row>
    <row r="613" spans="4:7" ht="13">
      <c r="D613" s="5"/>
      <c r="E613" s="5"/>
      <c r="F613" s="5"/>
      <c r="G613" s="5"/>
    </row>
    <row r="614" spans="4:7" ht="13">
      <c r="D614" s="5"/>
      <c r="E614" s="5"/>
      <c r="F614" s="5"/>
      <c r="G614" s="5"/>
    </row>
    <row r="615" spans="4:7" ht="13">
      <c r="D615" s="5"/>
      <c r="E615" s="5"/>
      <c r="F615" s="5"/>
      <c r="G615" s="5"/>
    </row>
    <row r="616" spans="4:7" ht="13">
      <c r="D616" s="5"/>
      <c r="E616" s="5"/>
      <c r="F616" s="5"/>
      <c r="G616" s="5"/>
    </row>
    <row r="617" spans="4:7" ht="13">
      <c r="D617" s="5"/>
      <c r="E617" s="5"/>
      <c r="F617" s="5"/>
      <c r="G617" s="5"/>
    </row>
    <row r="618" spans="4:7" ht="13">
      <c r="D618" s="5"/>
      <c r="E618" s="5"/>
      <c r="F618" s="5"/>
      <c r="G618" s="5"/>
    </row>
    <row r="619" spans="4:7" ht="13">
      <c r="D619" s="5"/>
      <c r="E619" s="5"/>
      <c r="F619" s="5"/>
      <c r="G619" s="5"/>
    </row>
    <row r="620" spans="4:7" ht="13">
      <c r="D620" s="5"/>
      <c r="E620" s="5"/>
      <c r="F620" s="5"/>
      <c r="G620" s="5"/>
    </row>
    <row r="621" spans="4:7" ht="13">
      <c r="D621" s="5"/>
      <c r="E621" s="5"/>
      <c r="F621" s="5"/>
      <c r="G621" s="5"/>
    </row>
    <row r="622" spans="4:7" ht="13">
      <c r="D622" s="5"/>
      <c r="E622" s="5"/>
      <c r="F622" s="5"/>
      <c r="G622" s="5"/>
    </row>
    <row r="623" spans="4:7" ht="13">
      <c r="D623" s="5"/>
      <c r="E623" s="5"/>
      <c r="F623" s="5"/>
      <c r="G623" s="5"/>
    </row>
    <row r="624" spans="4:7" ht="13">
      <c r="D624" s="5"/>
      <c r="E624" s="5"/>
      <c r="F624" s="5"/>
      <c r="G624" s="5"/>
    </row>
    <row r="625" spans="4:7" ht="13">
      <c r="D625" s="5"/>
      <c r="E625" s="5"/>
      <c r="F625" s="5"/>
      <c r="G625" s="5"/>
    </row>
    <row r="626" spans="4:7" ht="13">
      <c r="D626" s="5"/>
      <c r="E626" s="5"/>
      <c r="F626" s="5"/>
      <c r="G626" s="5"/>
    </row>
    <row r="627" spans="4:7" ht="13">
      <c r="D627" s="5"/>
      <c r="E627" s="5"/>
      <c r="F627" s="5"/>
      <c r="G627" s="5"/>
    </row>
    <row r="628" spans="4:7" ht="13">
      <c r="D628" s="5"/>
      <c r="E628" s="5"/>
      <c r="F628" s="5"/>
      <c r="G628" s="5"/>
    </row>
    <row r="629" spans="4:7" ht="13">
      <c r="D629" s="5"/>
      <c r="E629" s="5"/>
      <c r="F629" s="5"/>
      <c r="G629" s="5"/>
    </row>
    <row r="630" spans="4:7" ht="13">
      <c r="D630" s="5"/>
      <c r="E630" s="5"/>
      <c r="F630" s="5"/>
      <c r="G630" s="5"/>
    </row>
    <row r="631" spans="4:7" ht="13">
      <c r="D631" s="5"/>
      <c r="E631" s="5"/>
      <c r="F631" s="5"/>
      <c r="G631" s="5"/>
    </row>
    <row r="632" spans="4:7" ht="13">
      <c r="D632" s="5"/>
      <c r="E632" s="5"/>
      <c r="F632" s="5"/>
      <c r="G632" s="5"/>
    </row>
    <row r="633" spans="4:7" ht="13">
      <c r="D633" s="5"/>
      <c r="E633" s="5"/>
      <c r="F633" s="5"/>
      <c r="G633" s="5"/>
    </row>
    <row r="634" spans="4:7" ht="13">
      <c r="D634" s="5"/>
      <c r="E634" s="5"/>
      <c r="F634" s="5"/>
      <c r="G634" s="5"/>
    </row>
    <row r="635" spans="4:7" ht="13">
      <c r="D635" s="5"/>
      <c r="E635" s="5"/>
      <c r="F635" s="5"/>
      <c r="G635" s="5"/>
    </row>
    <row r="636" spans="4:7" ht="13">
      <c r="D636" s="5"/>
      <c r="E636" s="5"/>
      <c r="F636" s="5"/>
      <c r="G636" s="5"/>
    </row>
    <row r="637" spans="4:7" ht="13">
      <c r="D637" s="5"/>
      <c r="E637" s="5"/>
      <c r="F637" s="5"/>
      <c r="G637" s="5"/>
    </row>
    <row r="638" spans="4:7" ht="13">
      <c r="D638" s="5"/>
      <c r="E638" s="5"/>
      <c r="F638" s="5"/>
      <c r="G638" s="5"/>
    </row>
    <row r="639" spans="4:7" ht="13">
      <c r="D639" s="5"/>
      <c r="E639" s="5"/>
      <c r="F639" s="5"/>
      <c r="G639" s="5"/>
    </row>
    <row r="640" spans="4:7" ht="13">
      <c r="D640" s="5"/>
      <c r="E640" s="5"/>
      <c r="F640" s="5"/>
      <c r="G640" s="5"/>
    </row>
    <row r="641" spans="4:7" ht="13">
      <c r="D641" s="5"/>
      <c r="E641" s="5"/>
      <c r="F641" s="5"/>
      <c r="G641" s="5"/>
    </row>
    <row r="642" spans="4:7" ht="13">
      <c r="D642" s="5"/>
      <c r="E642" s="5"/>
      <c r="F642" s="5"/>
      <c r="G642" s="5"/>
    </row>
    <row r="643" spans="4:7" ht="13">
      <c r="D643" s="5"/>
      <c r="E643" s="5"/>
      <c r="F643" s="5"/>
      <c r="G643" s="5"/>
    </row>
    <row r="644" spans="4:7" ht="13">
      <c r="D644" s="5"/>
      <c r="E644" s="5"/>
      <c r="F644" s="5"/>
      <c r="G644" s="5"/>
    </row>
    <row r="645" spans="4:7" ht="13">
      <c r="D645" s="5"/>
      <c r="E645" s="5"/>
      <c r="F645" s="5"/>
      <c r="G645" s="5"/>
    </row>
    <row r="646" spans="4:7" ht="13">
      <c r="D646" s="5"/>
      <c r="E646" s="5"/>
      <c r="F646" s="5"/>
      <c r="G646" s="5"/>
    </row>
    <row r="647" spans="4:7" ht="13">
      <c r="D647" s="5"/>
      <c r="E647" s="5"/>
      <c r="F647" s="5"/>
      <c r="G647" s="5"/>
    </row>
    <row r="648" spans="4:7" ht="13">
      <c r="D648" s="5"/>
      <c r="E648" s="5"/>
      <c r="F648" s="5"/>
      <c r="G648" s="5"/>
    </row>
    <row r="649" spans="4:7" ht="13">
      <c r="D649" s="5"/>
      <c r="E649" s="5"/>
      <c r="F649" s="5"/>
      <c r="G649" s="5"/>
    </row>
    <row r="650" spans="4:7" ht="13">
      <c r="D650" s="5"/>
      <c r="E650" s="5"/>
      <c r="F650" s="5"/>
      <c r="G650" s="5"/>
    </row>
    <row r="651" spans="4:7" ht="13">
      <c r="D651" s="5"/>
      <c r="E651" s="5"/>
      <c r="F651" s="5"/>
      <c r="G651" s="5"/>
    </row>
    <row r="652" spans="4:7" ht="13">
      <c r="D652" s="5"/>
      <c r="E652" s="5"/>
      <c r="F652" s="5"/>
      <c r="G652" s="5"/>
    </row>
    <row r="653" spans="4:7" ht="13">
      <c r="D653" s="5"/>
      <c r="E653" s="5"/>
      <c r="F653" s="5"/>
      <c r="G653" s="5"/>
    </row>
    <row r="654" spans="4:7" ht="13">
      <c r="D654" s="5"/>
      <c r="E654" s="5"/>
      <c r="F654" s="5"/>
      <c r="G654" s="5"/>
    </row>
    <row r="655" spans="4:7" ht="13">
      <c r="D655" s="5"/>
      <c r="E655" s="5"/>
      <c r="F655" s="5"/>
      <c r="G655" s="5"/>
    </row>
    <row r="656" spans="4:7" ht="13">
      <c r="D656" s="5"/>
      <c r="E656" s="5"/>
      <c r="F656" s="5"/>
      <c r="G656" s="5"/>
    </row>
    <row r="657" spans="4:7" ht="13">
      <c r="D657" s="5"/>
      <c r="E657" s="5"/>
      <c r="F657" s="5"/>
      <c r="G657" s="5"/>
    </row>
    <row r="658" spans="4:7" ht="13">
      <c r="D658" s="5"/>
      <c r="E658" s="5"/>
      <c r="F658" s="5"/>
      <c r="G658" s="5"/>
    </row>
    <row r="659" spans="4:7" ht="13">
      <c r="D659" s="5"/>
      <c r="E659" s="5"/>
      <c r="F659" s="5"/>
      <c r="G659" s="5"/>
    </row>
    <row r="660" spans="4:7" ht="13">
      <c r="D660" s="5"/>
      <c r="E660" s="5"/>
      <c r="F660" s="5"/>
      <c r="G660" s="5"/>
    </row>
    <row r="661" spans="4:7" ht="13">
      <c r="D661" s="5"/>
      <c r="E661" s="5"/>
      <c r="F661" s="5"/>
      <c r="G661" s="5"/>
    </row>
    <row r="662" spans="4:7" ht="13">
      <c r="D662" s="5"/>
      <c r="E662" s="5"/>
      <c r="F662" s="5"/>
      <c r="G662" s="5"/>
    </row>
    <row r="663" spans="4:7" ht="13">
      <c r="D663" s="5"/>
      <c r="E663" s="5"/>
      <c r="F663" s="5"/>
      <c r="G663" s="5"/>
    </row>
    <row r="664" spans="4:7" ht="13">
      <c r="D664" s="5"/>
      <c r="E664" s="5"/>
      <c r="F664" s="5"/>
      <c r="G664" s="5"/>
    </row>
    <row r="665" spans="4:7" ht="13">
      <c r="D665" s="5"/>
      <c r="E665" s="5"/>
      <c r="F665" s="5"/>
      <c r="G665" s="5"/>
    </row>
    <row r="666" spans="4:7" ht="13">
      <c r="D666" s="5"/>
      <c r="E666" s="5"/>
      <c r="F666" s="5"/>
      <c r="G666" s="5"/>
    </row>
    <row r="667" spans="4:7" ht="13">
      <c r="D667" s="5"/>
      <c r="E667" s="5"/>
      <c r="F667" s="5"/>
      <c r="G667" s="5"/>
    </row>
    <row r="668" spans="4:7" ht="13">
      <c r="D668" s="5"/>
      <c r="E668" s="5"/>
      <c r="F668" s="5"/>
      <c r="G668" s="5"/>
    </row>
    <row r="669" spans="4:7" ht="13">
      <c r="D669" s="5"/>
      <c r="E669" s="5"/>
      <c r="F669" s="5"/>
      <c r="G669" s="5"/>
    </row>
    <row r="670" spans="4:7" ht="13">
      <c r="D670" s="5"/>
      <c r="E670" s="5"/>
      <c r="F670" s="5"/>
      <c r="G670" s="5"/>
    </row>
    <row r="671" spans="4:7" ht="13">
      <c r="D671" s="5"/>
      <c r="E671" s="5"/>
      <c r="F671" s="5"/>
      <c r="G671" s="5"/>
    </row>
    <row r="672" spans="4:7" ht="13">
      <c r="D672" s="5"/>
      <c r="E672" s="5"/>
      <c r="F672" s="5"/>
      <c r="G672" s="5"/>
    </row>
    <row r="673" spans="4:7" ht="13">
      <c r="D673" s="5"/>
      <c r="E673" s="5"/>
      <c r="F673" s="5"/>
      <c r="G673" s="5"/>
    </row>
    <row r="674" spans="4:7" ht="13">
      <c r="D674" s="5"/>
      <c r="E674" s="5"/>
      <c r="F674" s="5"/>
      <c r="G674" s="5"/>
    </row>
    <row r="675" spans="4:7" ht="13">
      <c r="D675" s="5"/>
      <c r="E675" s="5"/>
      <c r="F675" s="5"/>
      <c r="G675" s="5"/>
    </row>
    <row r="676" spans="4:7" ht="13">
      <c r="D676" s="5"/>
      <c r="E676" s="5"/>
      <c r="F676" s="5"/>
      <c r="G676" s="5"/>
    </row>
    <row r="677" spans="4:7" ht="13">
      <c r="D677" s="5"/>
      <c r="E677" s="5"/>
      <c r="F677" s="5"/>
      <c r="G677" s="5"/>
    </row>
    <row r="678" spans="4:7" ht="13">
      <c r="D678" s="5"/>
      <c r="E678" s="5"/>
      <c r="F678" s="5"/>
      <c r="G678" s="5"/>
    </row>
    <row r="679" spans="4:7" ht="13">
      <c r="D679" s="5"/>
      <c r="E679" s="5"/>
      <c r="F679" s="5"/>
      <c r="G679" s="5"/>
    </row>
    <row r="680" spans="4:7" ht="13">
      <c r="D680" s="5"/>
      <c r="E680" s="5"/>
      <c r="F680" s="5"/>
      <c r="G680" s="5"/>
    </row>
    <row r="681" spans="4:7" ht="13">
      <c r="D681" s="5"/>
      <c r="E681" s="5"/>
      <c r="F681" s="5"/>
      <c r="G681" s="5"/>
    </row>
    <row r="682" spans="4:7" ht="13">
      <c r="D682" s="5"/>
      <c r="E682" s="5"/>
      <c r="F682" s="5"/>
      <c r="G682" s="5"/>
    </row>
    <row r="683" spans="4:7" ht="13">
      <c r="D683" s="5"/>
      <c r="E683" s="5"/>
      <c r="F683" s="5"/>
      <c r="G683" s="5"/>
    </row>
    <row r="684" spans="4:7" ht="13">
      <c r="D684" s="5"/>
      <c r="E684" s="5"/>
      <c r="F684" s="5"/>
      <c r="G684" s="5"/>
    </row>
    <row r="685" spans="4:7" ht="13">
      <c r="D685" s="5"/>
      <c r="E685" s="5"/>
      <c r="F685" s="5"/>
      <c r="G685" s="5"/>
    </row>
    <row r="686" spans="4:7" ht="13">
      <c r="D686" s="5"/>
      <c r="E686" s="5"/>
      <c r="F686" s="5"/>
      <c r="G686" s="5"/>
    </row>
    <row r="687" spans="4:7" ht="13">
      <c r="D687" s="5"/>
      <c r="E687" s="5"/>
      <c r="F687" s="5"/>
      <c r="G687" s="5"/>
    </row>
    <row r="688" spans="4:7" ht="13">
      <c r="D688" s="5"/>
      <c r="E688" s="5"/>
      <c r="F688" s="5"/>
      <c r="G688" s="5"/>
    </row>
    <row r="689" spans="4:7" ht="13">
      <c r="D689" s="5"/>
      <c r="E689" s="5"/>
      <c r="F689" s="5"/>
      <c r="G689" s="5"/>
    </row>
    <row r="690" spans="4:7" ht="13">
      <c r="D690" s="5"/>
      <c r="E690" s="5"/>
      <c r="F690" s="5"/>
      <c r="G690" s="5"/>
    </row>
    <row r="691" spans="4:7" ht="13">
      <c r="D691" s="5"/>
      <c r="E691" s="5"/>
      <c r="F691" s="5"/>
      <c r="G691" s="5"/>
    </row>
    <row r="692" spans="4:7" ht="13">
      <c r="D692" s="5"/>
      <c r="E692" s="5"/>
      <c r="F692" s="5"/>
      <c r="G692" s="5"/>
    </row>
    <row r="693" spans="4:7" ht="13">
      <c r="D693" s="5"/>
      <c r="E693" s="5"/>
      <c r="F693" s="5"/>
      <c r="G693" s="5"/>
    </row>
    <row r="694" spans="4:7" ht="13">
      <c r="D694" s="5"/>
      <c r="E694" s="5"/>
      <c r="F694" s="5"/>
      <c r="G694" s="5"/>
    </row>
    <row r="695" spans="4:7" ht="13">
      <c r="D695" s="5"/>
      <c r="E695" s="5"/>
      <c r="F695" s="5"/>
      <c r="G695" s="5"/>
    </row>
    <row r="696" spans="4:7" ht="13">
      <c r="D696" s="5"/>
      <c r="E696" s="5"/>
      <c r="F696" s="5"/>
      <c r="G696" s="5"/>
    </row>
    <row r="697" spans="4:7" ht="13">
      <c r="D697" s="5"/>
      <c r="E697" s="5"/>
      <c r="F697" s="5"/>
      <c r="G697" s="5"/>
    </row>
    <row r="698" spans="4:7" ht="13">
      <c r="D698" s="5"/>
      <c r="E698" s="5"/>
      <c r="F698" s="5"/>
      <c r="G698" s="5"/>
    </row>
    <row r="699" spans="4:7" ht="13">
      <c r="D699" s="5"/>
      <c r="E699" s="5"/>
      <c r="F699" s="5"/>
      <c r="G699" s="5"/>
    </row>
    <row r="700" spans="4:7" ht="13">
      <c r="D700" s="5"/>
      <c r="E700" s="5"/>
      <c r="F700" s="5"/>
      <c r="G700" s="5"/>
    </row>
    <row r="701" spans="4:7" ht="13">
      <c r="D701" s="5"/>
      <c r="E701" s="5"/>
      <c r="F701" s="5"/>
      <c r="G701" s="5"/>
    </row>
    <row r="702" spans="4:7" ht="13">
      <c r="D702" s="5"/>
      <c r="E702" s="5"/>
      <c r="F702" s="5"/>
      <c r="G702" s="5"/>
    </row>
    <row r="703" spans="4:7" ht="13">
      <c r="D703" s="5"/>
      <c r="E703" s="5"/>
      <c r="F703" s="5"/>
      <c r="G703" s="5"/>
    </row>
    <row r="704" spans="4:7" ht="13">
      <c r="D704" s="5"/>
      <c r="E704" s="5"/>
      <c r="F704" s="5"/>
      <c r="G704" s="5"/>
    </row>
    <row r="705" spans="4:7" ht="13">
      <c r="D705" s="5"/>
      <c r="E705" s="5"/>
      <c r="F705" s="5"/>
      <c r="G705" s="5"/>
    </row>
    <row r="706" spans="4:7" ht="13">
      <c r="D706" s="5"/>
      <c r="E706" s="5"/>
      <c r="F706" s="5"/>
      <c r="G706" s="5"/>
    </row>
    <row r="707" spans="4:7" ht="13">
      <c r="D707" s="5"/>
      <c r="E707" s="5"/>
      <c r="F707" s="5"/>
      <c r="G707" s="5"/>
    </row>
    <row r="708" spans="4:7" ht="13">
      <c r="D708" s="5"/>
      <c r="E708" s="5"/>
      <c r="F708" s="5"/>
      <c r="G708" s="5"/>
    </row>
    <row r="709" spans="4:7" ht="13">
      <c r="D709" s="5"/>
      <c r="E709" s="5"/>
      <c r="F709" s="5"/>
      <c r="G709" s="5"/>
    </row>
    <row r="710" spans="4:7" ht="13">
      <c r="D710" s="5"/>
      <c r="E710" s="5"/>
      <c r="F710" s="5"/>
      <c r="G710" s="5"/>
    </row>
    <row r="711" spans="4:7" ht="13">
      <c r="D711" s="5"/>
      <c r="E711" s="5"/>
      <c r="F711" s="5"/>
      <c r="G711" s="5"/>
    </row>
    <row r="712" spans="4:7" ht="13">
      <c r="D712" s="5"/>
      <c r="E712" s="5"/>
      <c r="F712" s="5"/>
      <c r="G712" s="5"/>
    </row>
    <row r="713" spans="4:7" ht="13">
      <c r="D713" s="5"/>
      <c r="E713" s="5"/>
      <c r="F713" s="5"/>
      <c r="G713" s="5"/>
    </row>
    <row r="714" spans="4:7" ht="13">
      <c r="D714" s="5"/>
      <c r="E714" s="5"/>
      <c r="F714" s="5"/>
      <c r="G714" s="5"/>
    </row>
    <row r="715" spans="4:7" ht="13">
      <c r="D715" s="5"/>
      <c r="E715" s="5"/>
      <c r="F715" s="5"/>
      <c r="G715" s="5"/>
    </row>
    <row r="716" spans="4:7" ht="13">
      <c r="D716" s="5"/>
      <c r="E716" s="5"/>
      <c r="F716" s="5"/>
      <c r="G716" s="5"/>
    </row>
    <row r="717" spans="4:7" ht="13">
      <c r="D717" s="5"/>
      <c r="E717" s="5"/>
      <c r="F717" s="5"/>
      <c r="G717" s="5"/>
    </row>
    <row r="718" spans="4:7" ht="13">
      <c r="D718" s="5"/>
      <c r="E718" s="5"/>
      <c r="F718" s="5"/>
      <c r="G718" s="5"/>
    </row>
    <row r="719" spans="4:7" ht="13">
      <c r="D719" s="5"/>
      <c r="E719" s="5"/>
      <c r="F719" s="5"/>
      <c r="G719" s="5"/>
    </row>
    <row r="720" spans="4:7" ht="13">
      <c r="D720" s="5"/>
      <c r="E720" s="5"/>
      <c r="F720" s="5"/>
      <c r="G720" s="5"/>
    </row>
    <row r="721" spans="4:7" ht="13">
      <c r="D721" s="5"/>
      <c r="E721" s="5"/>
      <c r="F721" s="5"/>
      <c r="G721" s="5"/>
    </row>
    <row r="722" spans="4:7" ht="13">
      <c r="D722" s="5"/>
      <c r="E722" s="5"/>
      <c r="F722" s="5"/>
      <c r="G722" s="5"/>
    </row>
    <row r="723" spans="4:7" ht="13">
      <c r="D723" s="5"/>
      <c r="E723" s="5"/>
      <c r="F723" s="5"/>
      <c r="G723" s="5"/>
    </row>
    <row r="724" spans="4:7" ht="13">
      <c r="D724" s="5"/>
      <c r="E724" s="5"/>
      <c r="F724" s="5"/>
      <c r="G724" s="5"/>
    </row>
    <row r="725" spans="4:7" ht="13">
      <c r="D725" s="5"/>
      <c r="E725" s="5"/>
      <c r="F725" s="5"/>
      <c r="G725" s="5"/>
    </row>
    <row r="726" spans="4:7" ht="13">
      <c r="D726" s="5"/>
      <c r="E726" s="5"/>
      <c r="F726" s="5"/>
      <c r="G726" s="5"/>
    </row>
    <row r="727" spans="4:7" ht="13">
      <c r="D727" s="5"/>
      <c r="E727" s="5"/>
      <c r="F727" s="5"/>
      <c r="G727" s="5"/>
    </row>
    <row r="728" spans="4:7" ht="13">
      <c r="D728" s="5"/>
      <c r="E728" s="5"/>
      <c r="F728" s="5"/>
      <c r="G728" s="5"/>
    </row>
    <row r="729" spans="4:7" ht="13">
      <c r="D729" s="5"/>
      <c r="E729" s="5"/>
      <c r="F729" s="5"/>
      <c r="G729" s="5"/>
    </row>
    <row r="730" spans="4:7" ht="13">
      <c r="D730" s="5"/>
      <c r="E730" s="5"/>
      <c r="F730" s="5"/>
      <c r="G730" s="5"/>
    </row>
    <row r="731" spans="4:7" ht="13">
      <c r="D731" s="5"/>
      <c r="E731" s="5"/>
      <c r="F731" s="5"/>
      <c r="G731" s="5"/>
    </row>
    <row r="732" spans="4:7" ht="13">
      <c r="D732" s="5"/>
      <c r="E732" s="5"/>
      <c r="F732" s="5"/>
      <c r="G732" s="5"/>
    </row>
    <row r="733" spans="4:7" ht="13">
      <c r="D733" s="5"/>
      <c r="E733" s="5"/>
      <c r="F733" s="5"/>
      <c r="G733" s="5"/>
    </row>
    <row r="734" spans="4:7" ht="13">
      <c r="D734" s="5"/>
      <c r="E734" s="5"/>
      <c r="F734" s="5"/>
      <c r="G734" s="5"/>
    </row>
    <row r="735" spans="4:7" ht="13">
      <c r="D735" s="5"/>
      <c r="E735" s="5"/>
      <c r="F735" s="5"/>
      <c r="G735" s="5"/>
    </row>
    <row r="736" spans="4:7" ht="13">
      <c r="D736" s="5"/>
      <c r="E736" s="5"/>
      <c r="F736" s="5"/>
      <c r="G736" s="5"/>
    </row>
    <row r="737" spans="4:7" ht="13">
      <c r="D737" s="5"/>
      <c r="E737" s="5"/>
      <c r="F737" s="5"/>
      <c r="G737" s="5"/>
    </row>
    <row r="738" spans="4:7" ht="13">
      <c r="D738" s="5"/>
      <c r="E738" s="5"/>
      <c r="F738" s="5"/>
      <c r="G738" s="5"/>
    </row>
    <row r="739" spans="4:7" ht="13">
      <c r="D739" s="5"/>
      <c r="E739" s="5"/>
      <c r="F739" s="5"/>
      <c r="G739" s="5"/>
    </row>
    <row r="740" spans="4:7" ht="13">
      <c r="D740" s="5"/>
      <c r="E740" s="5"/>
      <c r="F740" s="5"/>
      <c r="G740" s="5"/>
    </row>
    <row r="741" spans="4:7" ht="13">
      <c r="D741" s="5"/>
      <c r="E741" s="5"/>
      <c r="F741" s="5"/>
      <c r="G741" s="5"/>
    </row>
    <row r="742" spans="4:7" ht="13">
      <c r="D742" s="5"/>
      <c r="E742" s="5"/>
      <c r="F742" s="5"/>
      <c r="G742" s="5"/>
    </row>
    <row r="743" spans="4:7" ht="13">
      <c r="D743" s="5"/>
      <c r="E743" s="5"/>
      <c r="F743" s="5"/>
      <c r="G743" s="5"/>
    </row>
    <row r="744" spans="4:7" ht="13">
      <c r="D744" s="5"/>
      <c r="E744" s="5"/>
      <c r="F744" s="5"/>
      <c r="G744" s="5"/>
    </row>
    <row r="745" spans="4:7" ht="13">
      <c r="D745" s="5"/>
      <c r="E745" s="5"/>
      <c r="F745" s="5"/>
      <c r="G745" s="5"/>
    </row>
    <row r="746" spans="4:7" ht="13">
      <c r="D746" s="5"/>
      <c r="E746" s="5"/>
      <c r="F746" s="5"/>
      <c r="G746" s="5"/>
    </row>
    <row r="747" spans="4:7" ht="13">
      <c r="D747" s="5"/>
      <c r="E747" s="5"/>
      <c r="F747" s="5"/>
      <c r="G747" s="5"/>
    </row>
    <row r="748" spans="4:7" ht="13">
      <c r="D748" s="5"/>
      <c r="E748" s="5"/>
      <c r="F748" s="5"/>
      <c r="G748" s="5"/>
    </row>
    <row r="749" spans="4:7" ht="13">
      <c r="D749" s="5"/>
      <c r="E749" s="5"/>
      <c r="F749" s="5"/>
      <c r="G749" s="5"/>
    </row>
    <row r="750" spans="4:7" ht="13">
      <c r="D750" s="5"/>
      <c r="E750" s="5"/>
      <c r="F750" s="5"/>
      <c r="G750" s="5"/>
    </row>
    <row r="751" spans="4:7" ht="13">
      <c r="D751" s="5"/>
      <c r="E751" s="5"/>
      <c r="F751" s="5"/>
      <c r="G751" s="5"/>
    </row>
    <row r="752" spans="4:7" ht="13">
      <c r="D752" s="5"/>
      <c r="E752" s="5"/>
      <c r="F752" s="5"/>
      <c r="G752" s="5"/>
    </row>
    <row r="753" spans="4:7" ht="13">
      <c r="D753" s="5"/>
      <c r="E753" s="5"/>
      <c r="F753" s="5"/>
      <c r="G753" s="5"/>
    </row>
    <row r="754" spans="4:7" ht="13">
      <c r="D754" s="5"/>
      <c r="E754" s="5"/>
      <c r="F754" s="5"/>
      <c r="G754" s="5"/>
    </row>
    <row r="755" spans="4:7" ht="13">
      <c r="D755" s="5"/>
      <c r="E755" s="5"/>
      <c r="F755" s="5"/>
      <c r="G755" s="5"/>
    </row>
    <row r="756" spans="4:7" ht="13">
      <c r="D756" s="5"/>
      <c r="E756" s="5"/>
      <c r="F756" s="5"/>
      <c r="G756" s="5"/>
    </row>
    <row r="757" spans="4:7" ht="13">
      <c r="D757" s="5"/>
      <c r="E757" s="5"/>
      <c r="F757" s="5"/>
      <c r="G757" s="5"/>
    </row>
    <row r="758" spans="4:7" ht="13">
      <c r="D758" s="5"/>
      <c r="E758" s="5"/>
      <c r="F758" s="5"/>
      <c r="G758" s="5"/>
    </row>
    <row r="759" spans="4:7" ht="13">
      <c r="D759" s="5"/>
      <c r="E759" s="5"/>
      <c r="F759" s="5"/>
      <c r="G759" s="5"/>
    </row>
    <row r="760" spans="4:7" ht="13">
      <c r="D760" s="5"/>
      <c r="E760" s="5"/>
      <c r="F760" s="5"/>
      <c r="G760" s="5"/>
    </row>
    <row r="761" spans="4:7" ht="13">
      <c r="D761" s="5"/>
      <c r="E761" s="5"/>
      <c r="F761" s="5"/>
      <c r="G761" s="5"/>
    </row>
    <row r="762" spans="4:7" ht="13">
      <c r="D762" s="5"/>
      <c r="E762" s="5"/>
      <c r="F762" s="5"/>
      <c r="G762" s="5"/>
    </row>
    <row r="763" spans="4:7" ht="13">
      <c r="D763" s="5"/>
      <c r="E763" s="5"/>
      <c r="F763" s="5"/>
      <c r="G763" s="5"/>
    </row>
    <row r="764" spans="4:7" ht="13">
      <c r="D764" s="5"/>
      <c r="E764" s="5"/>
      <c r="F764" s="5"/>
      <c r="G764" s="5"/>
    </row>
    <row r="765" spans="4:7" ht="13">
      <c r="D765" s="5"/>
      <c r="E765" s="5"/>
      <c r="F765" s="5"/>
      <c r="G765" s="5"/>
    </row>
    <row r="766" spans="4:7" ht="13">
      <c r="D766" s="5"/>
      <c r="E766" s="5"/>
      <c r="F766" s="5"/>
      <c r="G766" s="5"/>
    </row>
    <row r="767" spans="4:7" ht="13">
      <c r="D767" s="5"/>
      <c r="E767" s="5"/>
      <c r="F767" s="5"/>
      <c r="G767" s="5"/>
    </row>
    <row r="768" spans="4:7" ht="13">
      <c r="D768" s="5"/>
      <c r="E768" s="5"/>
      <c r="F768" s="5"/>
      <c r="G768" s="5"/>
    </row>
    <row r="769" spans="4:7" ht="13">
      <c r="D769" s="5"/>
      <c r="E769" s="5"/>
      <c r="F769" s="5"/>
      <c r="G769" s="5"/>
    </row>
    <row r="770" spans="4:7" ht="13">
      <c r="D770" s="5"/>
      <c r="E770" s="5"/>
      <c r="F770" s="5"/>
      <c r="G770" s="5"/>
    </row>
    <row r="771" spans="4:7" ht="13">
      <c r="D771" s="5"/>
      <c r="E771" s="5"/>
      <c r="F771" s="5"/>
      <c r="G771" s="5"/>
    </row>
    <row r="772" spans="4:7" ht="13">
      <c r="D772" s="5"/>
      <c r="E772" s="5"/>
      <c r="F772" s="5"/>
      <c r="G772" s="5"/>
    </row>
    <row r="773" spans="4:7" ht="13">
      <c r="D773" s="5"/>
      <c r="E773" s="5"/>
      <c r="F773" s="5"/>
      <c r="G773" s="5"/>
    </row>
    <row r="774" spans="4:7" ht="13">
      <c r="D774" s="5"/>
      <c r="E774" s="5"/>
      <c r="F774" s="5"/>
      <c r="G774" s="5"/>
    </row>
    <row r="775" spans="4:7" ht="13">
      <c r="D775" s="5"/>
      <c r="E775" s="5"/>
      <c r="F775" s="5"/>
      <c r="G775" s="5"/>
    </row>
    <row r="776" spans="4:7" ht="13">
      <c r="D776" s="5"/>
      <c r="E776" s="5"/>
      <c r="F776" s="5"/>
      <c r="G776" s="5"/>
    </row>
    <row r="777" spans="4:7" ht="13">
      <c r="D777" s="5"/>
      <c r="E777" s="5"/>
      <c r="F777" s="5"/>
      <c r="G777" s="5"/>
    </row>
    <row r="778" spans="4:7" ht="13">
      <c r="D778" s="5"/>
      <c r="E778" s="5"/>
      <c r="F778" s="5"/>
      <c r="G778" s="5"/>
    </row>
    <row r="779" spans="4:7" ht="13">
      <c r="D779" s="5"/>
      <c r="E779" s="5"/>
      <c r="F779" s="5"/>
      <c r="G779" s="5"/>
    </row>
    <row r="780" spans="4:7" ht="13">
      <c r="D780" s="5"/>
      <c r="E780" s="5"/>
      <c r="F780" s="5"/>
      <c r="G780" s="5"/>
    </row>
    <row r="781" spans="4:7" ht="13">
      <c r="D781" s="5"/>
      <c r="E781" s="5"/>
      <c r="F781" s="5"/>
      <c r="G781" s="5"/>
    </row>
    <row r="782" spans="4:7" ht="13">
      <c r="D782" s="5"/>
      <c r="E782" s="5"/>
      <c r="F782" s="5"/>
      <c r="G782" s="5"/>
    </row>
    <row r="783" spans="4:7" ht="13">
      <c r="D783" s="5"/>
      <c r="E783" s="5"/>
      <c r="F783" s="5"/>
      <c r="G783" s="5"/>
    </row>
    <row r="784" spans="4:7" ht="13">
      <c r="D784" s="5"/>
      <c r="E784" s="5"/>
      <c r="F784" s="5"/>
      <c r="G784" s="5"/>
    </row>
    <row r="785" spans="4:7" ht="13">
      <c r="D785" s="5"/>
      <c r="E785" s="5"/>
      <c r="F785" s="5"/>
      <c r="G785" s="5"/>
    </row>
    <row r="786" spans="4:7" ht="13">
      <c r="D786" s="5"/>
      <c r="E786" s="5"/>
      <c r="F786" s="5"/>
      <c r="G786" s="5"/>
    </row>
    <row r="787" spans="4:7" ht="13">
      <c r="D787" s="5"/>
      <c r="E787" s="5"/>
      <c r="F787" s="5"/>
      <c r="G787" s="5"/>
    </row>
    <row r="788" spans="4:7" ht="13">
      <c r="D788" s="5"/>
      <c r="E788" s="5"/>
      <c r="F788" s="5"/>
      <c r="G788" s="5"/>
    </row>
    <row r="789" spans="4:7" ht="13">
      <c r="D789" s="5"/>
      <c r="E789" s="5"/>
      <c r="F789" s="5"/>
      <c r="G789" s="5"/>
    </row>
    <row r="790" spans="4:7" ht="13">
      <c r="D790" s="5"/>
      <c r="E790" s="5"/>
      <c r="F790" s="5"/>
      <c r="G790" s="5"/>
    </row>
    <row r="791" spans="4:7" ht="13">
      <c r="D791" s="5"/>
      <c r="E791" s="5"/>
      <c r="F791" s="5"/>
      <c r="G791" s="5"/>
    </row>
    <row r="792" spans="4:7" ht="13">
      <c r="D792" s="5"/>
      <c r="E792" s="5"/>
      <c r="F792" s="5"/>
      <c r="G792" s="5"/>
    </row>
    <row r="793" spans="4:7" ht="13">
      <c r="D793" s="5"/>
      <c r="E793" s="5"/>
      <c r="F793" s="5"/>
      <c r="G793" s="5"/>
    </row>
    <row r="794" spans="4:7" ht="13">
      <c r="D794" s="5"/>
      <c r="E794" s="5"/>
      <c r="F794" s="5"/>
      <c r="G794" s="5"/>
    </row>
    <row r="795" spans="4:7" ht="13">
      <c r="D795" s="5"/>
      <c r="E795" s="5"/>
      <c r="F795" s="5"/>
      <c r="G795" s="5"/>
    </row>
    <row r="796" spans="4:7" ht="13">
      <c r="D796" s="5"/>
      <c r="E796" s="5"/>
      <c r="F796" s="5"/>
      <c r="G796" s="5"/>
    </row>
    <row r="797" spans="4:7" ht="13">
      <c r="D797" s="5"/>
      <c r="E797" s="5"/>
      <c r="F797" s="5"/>
      <c r="G797" s="5"/>
    </row>
    <row r="798" spans="4:7" ht="13">
      <c r="D798" s="5"/>
      <c r="E798" s="5"/>
      <c r="F798" s="5"/>
      <c r="G798" s="5"/>
    </row>
    <row r="799" spans="4:7" ht="13">
      <c r="D799" s="5"/>
      <c r="E799" s="5"/>
      <c r="F799" s="5"/>
      <c r="G799" s="5"/>
    </row>
    <row r="800" spans="4:7" ht="13">
      <c r="D800" s="5"/>
      <c r="E800" s="5"/>
      <c r="F800" s="5"/>
      <c r="G800" s="5"/>
    </row>
    <row r="801" spans="4:7" ht="13">
      <c r="D801" s="5"/>
      <c r="E801" s="5"/>
      <c r="F801" s="5"/>
      <c r="G801" s="5"/>
    </row>
    <row r="802" spans="4:7" ht="13">
      <c r="D802" s="5"/>
      <c r="E802" s="5"/>
      <c r="F802" s="5"/>
      <c r="G802" s="5"/>
    </row>
    <row r="803" spans="4:7" ht="13">
      <c r="D803" s="5"/>
      <c r="E803" s="5"/>
      <c r="F803" s="5"/>
      <c r="G803" s="5"/>
    </row>
    <row r="804" spans="4:7" ht="13">
      <c r="D804" s="5"/>
      <c r="E804" s="5"/>
      <c r="F804" s="5"/>
      <c r="G804" s="5"/>
    </row>
    <row r="805" spans="4:7" ht="13">
      <c r="D805" s="5"/>
      <c r="E805" s="5"/>
      <c r="F805" s="5"/>
      <c r="G805" s="5"/>
    </row>
    <row r="806" spans="4:7" ht="13">
      <c r="D806" s="5"/>
      <c r="E806" s="5"/>
      <c r="F806" s="5"/>
      <c r="G806" s="5"/>
    </row>
    <row r="807" spans="4:7" ht="13">
      <c r="D807" s="5"/>
      <c r="E807" s="5"/>
      <c r="F807" s="5"/>
      <c r="G807" s="5"/>
    </row>
    <row r="808" spans="4:7" ht="13">
      <c r="D808" s="5"/>
      <c r="E808" s="5"/>
      <c r="F808" s="5"/>
      <c r="G808" s="5"/>
    </row>
    <row r="809" spans="4:7" ht="13">
      <c r="D809" s="5"/>
      <c r="E809" s="5"/>
      <c r="F809" s="5"/>
      <c r="G809" s="5"/>
    </row>
    <row r="810" spans="4:7" ht="13">
      <c r="D810" s="5"/>
      <c r="E810" s="5"/>
      <c r="F810" s="5"/>
      <c r="G810" s="5"/>
    </row>
    <row r="811" spans="4:7" ht="13">
      <c r="D811" s="5"/>
      <c r="E811" s="5"/>
      <c r="F811" s="5"/>
      <c r="G811" s="5"/>
    </row>
    <row r="812" spans="4:7" ht="13">
      <c r="D812" s="5"/>
      <c r="E812" s="5"/>
      <c r="F812" s="5"/>
      <c r="G812" s="5"/>
    </row>
    <row r="813" spans="4:7" ht="13">
      <c r="D813" s="5"/>
      <c r="E813" s="5"/>
      <c r="F813" s="5"/>
      <c r="G813" s="5"/>
    </row>
    <row r="814" spans="4:7" ht="13">
      <c r="D814" s="5"/>
      <c r="E814" s="5"/>
      <c r="F814" s="5"/>
      <c r="G814" s="5"/>
    </row>
    <row r="815" spans="4:7" ht="13">
      <c r="D815" s="5"/>
      <c r="E815" s="5"/>
      <c r="F815" s="5"/>
      <c r="G815" s="5"/>
    </row>
    <row r="816" spans="4:7" ht="13">
      <c r="D816" s="5"/>
      <c r="E816" s="5"/>
      <c r="F816" s="5"/>
      <c r="G816" s="5"/>
    </row>
    <row r="817" spans="4:7" ht="13">
      <c r="D817" s="5"/>
      <c r="E817" s="5"/>
      <c r="F817" s="5"/>
      <c r="G817" s="5"/>
    </row>
    <row r="818" spans="4:7" ht="13">
      <c r="D818" s="5"/>
      <c r="E818" s="5"/>
      <c r="F818" s="5"/>
      <c r="G818" s="5"/>
    </row>
    <row r="819" spans="4:7" ht="13">
      <c r="D819" s="5"/>
      <c r="E819" s="5"/>
      <c r="F819" s="5"/>
      <c r="G819" s="5"/>
    </row>
    <row r="820" spans="4:7" ht="13">
      <c r="D820" s="5"/>
      <c r="E820" s="5"/>
      <c r="F820" s="5"/>
      <c r="G820" s="5"/>
    </row>
    <row r="821" spans="4:7" ht="13">
      <c r="D821" s="5"/>
      <c r="E821" s="5"/>
      <c r="F821" s="5"/>
      <c r="G821" s="5"/>
    </row>
    <row r="822" spans="4:7" ht="13">
      <c r="D822" s="5"/>
      <c r="E822" s="5"/>
      <c r="F822" s="5"/>
      <c r="G822" s="5"/>
    </row>
    <row r="823" spans="4:7" ht="13">
      <c r="D823" s="5"/>
      <c r="E823" s="5"/>
      <c r="F823" s="5"/>
      <c r="G823" s="5"/>
    </row>
    <row r="824" spans="4:7" ht="13">
      <c r="D824" s="5"/>
      <c r="E824" s="5"/>
      <c r="F824" s="5"/>
      <c r="G824" s="5"/>
    </row>
    <row r="825" spans="4:7" ht="13">
      <c r="D825" s="5"/>
      <c r="E825" s="5"/>
      <c r="F825" s="5"/>
      <c r="G825" s="5"/>
    </row>
    <row r="826" spans="4:7" ht="13">
      <c r="D826" s="5"/>
      <c r="E826" s="5"/>
      <c r="F826" s="5"/>
      <c r="G826" s="5"/>
    </row>
    <row r="827" spans="4:7" ht="13">
      <c r="D827" s="5"/>
      <c r="E827" s="5"/>
      <c r="F827" s="5"/>
      <c r="G827" s="5"/>
    </row>
    <row r="828" spans="4:7" ht="13">
      <c r="D828" s="5"/>
      <c r="E828" s="5"/>
      <c r="F828" s="5"/>
      <c r="G828" s="5"/>
    </row>
    <row r="829" spans="4:7" ht="13">
      <c r="D829" s="5"/>
      <c r="E829" s="5"/>
      <c r="F829" s="5"/>
      <c r="G829" s="5"/>
    </row>
    <row r="830" spans="4:7" ht="13">
      <c r="D830" s="5"/>
      <c r="E830" s="5"/>
      <c r="F830" s="5"/>
      <c r="G830" s="5"/>
    </row>
    <row r="831" spans="4:7" ht="13">
      <c r="D831" s="5"/>
      <c r="E831" s="5"/>
      <c r="F831" s="5"/>
      <c r="G831" s="5"/>
    </row>
    <row r="832" spans="4:7" ht="13">
      <c r="D832" s="5"/>
      <c r="E832" s="5"/>
      <c r="F832" s="5"/>
      <c r="G832" s="5"/>
    </row>
    <row r="833" spans="4:7" ht="13">
      <c r="D833" s="5"/>
      <c r="E833" s="5"/>
      <c r="F833" s="5"/>
      <c r="G833" s="5"/>
    </row>
    <row r="834" spans="4:7" ht="13">
      <c r="D834" s="5"/>
      <c r="E834" s="5"/>
      <c r="F834" s="5"/>
      <c r="G834" s="5"/>
    </row>
    <row r="835" spans="4:7" ht="13">
      <c r="D835" s="5"/>
      <c r="E835" s="5"/>
      <c r="F835" s="5"/>
      <c r="G835" s="5"/>
    </row>
    <row r="836" spans="4:7" ht="13">
      <c r="D836" s="5"/>
      <c r="E836" s="5"/>
      <c r="F836" s="5"/>
      <c r="G836" s="5"/>
    </row>
    <row r="837" spans="4:7" ht="13">
      <c r="D837" s="5"/>
      <c r="E837" s="5"/>
      <c r="F837" s="5"/>
      <c r="G837" s="5"/>
    </row>
    <row r="838" spans="4:7" ht="13">
      <c r="D838" s="5"/>
      <c r="E838" s="5"/>
      <c r="F838" s="5"/>
      <c r="G838" s="5"/>
    </row>
    <row r="839" spans="4:7" ht="13">
      <c r="D839" s="5"/>
      <c r="E839" s="5"/>
      <c r="F839" s="5"/>
      <c r="G839" s="5"/>
    </row>
    <row r="840" spans="4:7" ht="13">
      <c r="D840" s="5"/>
      <c r="E840" s="5"/>
      <c r="F840" s="5"/>
      <c r="G840" s="5"/>
    </row>
    <row r="841" spans="4:7" ht="13">
      <c r="D841" s="5"/>
      <c r="E841" s="5"/>
      <c r="F841" s="5"/>
      <c r="G841" s="5"/>
    </row>
    <row r="842" spans="4:7" ht="13">
      <c r="D842" s="5"/>
      <c r="E842" s="5"/>
      <c r="F842" s="5"/>
      <c r="G842" s="5"/>
    </row>
    <row r="843" spans="4:7" ht="13">
      <c r="D843" s="5"/>
      <c r="E843" s="5"/>
      <c r="F843" s="5"/>
      <c r="G843" s="5"/>
    </row>
    <row r="844" spans="4:7" ht="13">
      <c r="D844" s="5"/>
      <c r="E844" s="5"/>
      <c r="F844" s="5"/>
      <c r="G844" s="5"/>
    </row>
    <row r="845" spans="4:7" ht="13">
      <c r="D845" s="5"/>
      <c r="E845" s="5"/>
      <c r="F845" s="5"/>
      <c r="G845" s="5"/>
    </row>
    <row r="846" spans="4:7" ht="13">
      <c r="D846" s="5"/>
      <c r="E846" s="5"/>
      <c r="F846" s="5"/>
      <c r="G846" s="5"/>
    </row>
    <row r="847" spans="4:7" ht="13">
      <c r="D847" s="5"/>
      <c r="E847" s="5"/>
      <c r="F847" s="5"/>
      <c r="G847" s="5"/>
    </row>
    <row r="848" spans="4:7" ht="13">
      <c r="D848" s="5"/>
      <c r="E848" s="5"/>
      <c r="F848" s="5"/>
      <c r="G848" s="5"/>
    </row>
    <row r="849" spans="4:7" ht="13">
      <c r="D849" s="5"/>
      <c r="E849" s="5"/>
      <c r="F849" s="5"/>
      <c r="G849" s="5"/>
    </row>
    <row r="850" spans="4:7" ht="13">
      <c r="D850" s="5"/>
      <c r="E850" s="5"/>
      <c r="F850" s="5"/>
      <c r="G850" s="5"/>
    </row>
    <row r="851" spans="4:7" ht="13">
      <c r="D851" s="5"/>
      <c r="E851" s="5"/>
      <c r="F851" s="5"/>
      <c r="G851" s="5"/>
    </row>
    <row r="852" spans="4:7" ht="13">
      <c r="D852" s="5"/>
      <c r="E852" s="5"/>
      <c r="F852" s="5"/>
      <c r="G852" s="5"/>
    </row>
    <row r="853" spans="4:7" ht="13">
      <c r="D853" s="5"/>
      <c r="E853" s="5"/>
      <c r="F853" s="5"/>
      <c r="G853" s="5"/>
    </row>
    <row r="854" spans="4:7" ht="13">
      <c r="D854" s="5"/>
      <c r="E854" s="5"/>
      <c r="F854" s="5"/>
      <c r="G854" s="5"/>
    </row>
    <row r="855" spans="4:7" ht="13">
      <c r="D855" s="5"/>
      <c r="E855" s="5"/>
      <c r="F855" s="5"/>
      <c r="G855" s="5"/>
    </row>
    <row r="856" spans="4:7" ht="13">
      <c r="D856" s="5"/>
      <c r="E856" s="5"/>
      <c r="F856" s="5"/>
      <c r="G856" s="5"/>
    </row>
    <row r="857" spans="4:7" ht="13">
      <c r="D857" s="5"/>
      <c r="E857" s="5"/>
      <c r="F857" s="5"/>
      <c r="G857" s="5"/>
    </row>
    <row r="858" spans="4:7" ht="13">
      <c r="D858" s="5"/>
      <c r="E858" s="5"/>
      <c r="F858" s="5"/>
      <c r="G858" s="5"/>
    </row>
    <row r="859" spans="4:7" ht="13">
      <c r="D859" s="5"/>
      <c r="E859" s="5"/>
      <c r="F859" s="5"/>
      <c r="G859" s="5"/>
    </row>
    <row r="860" spans="4:7" ht="13">
      <c r="D860" s="5"/>
      <c r="E860" s="5"/>
      <c r="F860" s="5"/>
      <c r="G860" s="5"/>
    </row>
    <row r="861" spans="4:7" ht="13">
      <c r="D861" s="5"/>
      <c r="E861" s="5"/>
      <c r="F861" s="5"/>
      <c r="G861" s="5"/>
    </row>
    <row r="862" spans="4:7" ht="13">
      <c r="D862" s="5"/>
      <c r="E862" s="5"/>
      <c r="F862" s="5"/>
      <c r="G862" s="5"/>
    </row>
    <row r="863" spans="4:7" ht="13">
      <c r="D863" s="5"/>
      <c r="E863" s="5"/>
      <c r="F863" s="5"/>
      <c r="G863" s="5"/>
    </row>
    <row r="864" spans="4:7" ht="13">
      <c r="D864" s="5"/>
      <c r="E864" s="5"/>
      <c r="F864" s="5"/>
      <c r="G864" s="5"/>
    </row>
    <row r="865" spans="4:7" ht="13">
      <c r="D865" s="5"/>
      <c r="E865" s="5"/>
      <c r="F865" s="5"/>
      <c r="G865" s="5"/>
    </row>
    <row r="866" spans="4:7" ht="13">
      <c r="D866" s="5"/>
      <c r="E866" s="5"/>
      <c r="F866" s="5"/>
      <c r="G866" s="5"/>
    </row>
    <row r="867" spans="4:7" ht="13">
      <c r="D867" s="5"/>
      <c r="E867" s="5"/>
      <c r="F867" s="5"/>
      <c r="G867" s="5"/>
    </row>
    <row r="868" spans="4:7" ht="13">
      <c r="D868" s="5"/>
      <c r="E868" s="5"/>
      <c r="F868" s="5"/>
      <c r="G868" s="5"/>
    </row>
    <row r="869" spans="4:7" ht="13">
      <c r="D869" s="5"/>
      <c r="E869" s="5"/>
      <c r="F869" s="5"/>
      <c r="G869" s="5"/>
    </row>
    <row r="870" spans="4:7" ht="13">
      <c r="D870" s="5"/>
      <c r="E870" s="5"/>
      <c r="F870" s="5"/>
      <c r="G870" s="5"/>
    </row>
    <row r="871" spans="4:7" ht="13">
      <c r="D871" s="5"/>
      <c r="E871" s="5"/>
      <c r="F871" s="5"/>
      <c r="G871" s="5"/>
    </row>
    <row r="872" spans="4:7" ht="13">
      <c r="D872" s="5"/>
      <c r="E872" s="5"/>
      <c r="F872" s="5"/>
      <c r="G872" s="5"/>
    </row>
    <row r="873" spans="4:7" ht="13">
      <c r="D873" s="5"/>
      <c r="E873" s="5"/>
      <c r="F873" s="5"/>
      <c r="G873" s="5"/>
    </row>
    <row r="874" spans="4:7" ht="13">
      <c r="D874" s="5"/>
      <c r="E874" s="5"/>
      <c r="F874" s="5"/>
      <c r="G874" s="5"/>
    </row>
    <row r="875" spans="4:7" ht="13">
      <c r="D875" s="5"/>
      <c r="E875" s="5"/>
      <c r="F875" s="5"/>
      <c r="G875" s="5"/>
    </row>
    <row r="876" spans="4:7" ht="13">
      <c r="D876" s="5"/>
      <c r="E876" s="5"/>
      <c r="F876" s="5"/>
      <c r="G876" s="5"/>
    </row>
    <row r="877" spans="4:7" ht="13">
      <c r="D877" s="5"/>
      <c r="E877" s="5"/>
      <c r="F877" s="5"/>
      <c r="G877" s="5"/>
    </row>
    <row r="878" spans="4:7" ht="13">
      <c r="D878" s="5"/>
      <c r="E878" s="5"/>
      <c r="F878" s="5"/>
      <c r="G878" s="5"/>
    </row>
    <row r="879" spans="4:7" ht="13">
      <c r="D879" s="5"/>
      <c r="E879" s="5"/>
      <c r="F879" s="5"/>
      <c r="G879" s="5"/>
    </row>
    <row r="880" spans="4:7" ht="13">
      <c r="D880" s="5"/>
      <c r="E880" s="5"/>
      <c r="F880" s="5"/>
      <c r="G880" s="5"/>
    </row>
    <row r="881" spans="4:7" ht="13">
      <c r="D881" s="5"/>
      <c r="E881" s="5"/>
      <c r="F881" s="5"/>
      <c r="G881" s="5"/>
    </row>
    <row r="882" spans="4:7" ht="13">
      <c r="D882" s="5"/>
      <c r="E882" s="5"/>
      <c r="F882" s="5"/>
      <c r="G882" s="5"/>
    </row>
    <row r="883" spans="4:7" ht="13">
      <c r="D883" s="5"/>
      <c r="E883" s="5"/>
      <c r="F883" s="5"/>
      <c r="G883" s="5"/>
    </row>
    <row r="884" spans="4:7" ht="13">
      <c r="D884" s="5"/>
      <c r="E884" s="5"/>
      <c r="F884" s="5"/>
      <c r="G884" s="5"/>
    </row>
    <row r="885" spans="4:7" ht="13">
      <c r="D885" s="5"/>
      <c r="E885" s="5"/>
      <c r="F885" s="5"/>
      <c r="G885" s="5"/>
    </row>
    <row r="886" spans="4:7" ht="13">
      <c r="D886" s="5"/>
      <c r="E886" s="5"/>
      <c r="F886" s="5"/>
      <c r="G886" s="5"/>
    </row>
    <row r="887" spans="4:7" ht="13">
      <c r="D887" s="5"/>
      <c r="E887" s="5"/>
      <c r="F887" s="5"/>
      <c r="G887" s="5"/>
    </row>
    <row r="888" spans="4:7" ht="13">
      <c r="D888" s="5"/>
      <c r="E888" s="5"/>
      <c r="F888" s="5"/>
      <c r="G888" s="5"/>
    </row>
    <row r="889" spans="4:7" ht="13">
      <c r="D889" s="5"/>
      <c r="E889" s="5"/>
      <c r="F889" s="5"/>
      <c r="G889" s="5"/>
    </row>
    <row r="890" spans="4:7" ht="13">
      <c r="D890" s="5"/>
      <c r="E890" s="5"/>
      <c r="F890" s="5"/>
      <c r="G890" s="5"/>
    </row>
    <row r="891" spans="4:7" ht="13">
      <c r="D891" s="5"/>
      <c r="E891" s="5"/>
      <c r="F891" s="5"/>
      <c r="G891" s="5"/>
    </row>
    <row r="892" spans="4:7" ht="13">
      <c r="D892" s="5"/>
      <c r="E892" s="5"/>
      <c r="F892" s="5"/>
      <c r="G892" s="5"/>
    </row>
    <row r="893" spans="4:7" ht="13">
      <c r="D893" s="5"/>
      <c r="E893" s="5"/>
      <c r="F893" s="5"/>
      <c r="G893" s="5"/>
    </row>
    <row r="894" spans="4:7" ht="13">
      <c r="D894" s="5"/>
      <c r="E894" s="5"/>
      <c r="F894" s="5"/>
      <c r="G894" s="5"/>
    </row>
    <row r="895" spans="4:7" ht="13">
      <c r="D895" s="5"/>
      <c r="E895" s="5"/>
      <c r="F895" s="5"/>
      <c r="G895" s="5"/>
    </row>
    <row r="896" spans="4:7" ht="13">
      <c r="D896" s="5"/>
      <c r="E896" s="5"/>
      <c r="F896" s="5"/>
      <c r="G896" s="5"/>
    </row>
    <row r="897" spans="4:7" ht="13">
      <c r="D897" s="5"/>
      <c r="E897" s="5"/>
      <c r="F897" s="5"/>
      <c r="G897" s="5"/>
    </row>
    <row r="898" spans="4:7" ht="13">
      <c r="D898" s="5"/>
      <c r="E898" s="5"/>
      <c r="F898" s="5"/>
      <c r="G898" s="5"/>
    </row>
    <row r="899" spans="4:7" ht="13">
      <c r="D899" s="5"/>
      <c r="E899" s="5"/>
      <c r="F899" s="5"/>
      <c r="G899" s="5"/>
    </row>
    <row r="900" spans="4:7" ht="13">
      <c r="D900" s="5"/>
      <c r="E900" s="5"/>
      <c r="F900" s="5"/>
      <c r="G900" s="5"/>
    </row>
    <row r="901" spans="4:7" ht="13">
      <c r="D901" s="5"/>
      <c r="E901" s="5"/>
      <c r="F901" s="5"/>
      <c r="G901" s="5"/>
    </row>
    <row r="902" spans="4:7" ht="13">
      <c r="D902" s="5"/>
      <c r="E902" s="5"/>
      <c r="F902" s="5"/>
      <c r="G902" s="5"/>
    </row>
    <row r="903" spans="4:7" ht="13">
      <c r="D903" s="5"/>
      <c r="E903" s="5"/>
      <c r="F903" s="5"/>
      <c r="G903" s="5"/>
    </row>
    <row r="904" spans="4:7" ht="13">
      <c r="D904" s="5"/>
      <c r="E904" s="5"/>
      <c r="F904" s="5"/>
      <c r="G904" s="5"/>
    </row>
    <row r="905" spans="4:7" ht="13">
      <c r="D905" s="5"/>
      <c r="E905" s="5"/>
      <c r="F905" s="5"/>
      <c r="G905" s="5"/>
    </row>
    <row r="906" spans="4:7" ht="13">
      <c r="D906" s="5"/>
      <c r="E906" s="5"/>
      <c r="F906" s="5"/>
      <c r="G906" s="5"/>
    </row>
    <row r="907" spans="4:7" ht="13">
      <c r="D907" s="5"/>
      <c r="E907" s="5"/>
      <c r="F907" s="5"/>
      <c r="G907" s="5"/>
    </row>
    <row r="908" spans="4:7" ht="13">
      <c r="D908" s="5"/>
      <c r="E908" s="5"/>
      <c r="F908" s="5"/>
      <c r="G908" s="5"/>
    </row>
    <row r="909" spans="4:7" ht="13">
      <c r="D909" s="5"/>
      <c r="E909" s="5"/>
      <c r="F909" s="5"/>
      <c r="G909" s="5"/>
    </row>
    <row r="910" spans="4:7" ht="13">
      <c r="D910" s="5"/>
      <c r="E910" s="5"/>
      <c r="F910" s="5"/>
      <c r="G910" s="5"/>
    </row>
    <row r="911" spans="4:7" ht="13">
      <c r="D911" s="5"/>
      <c r="E911" s="5"/>
      <c r="F911" s="5"/>
      <c r="G911" s="5"/>
    </row>
    <row r="912" spans="4:7" ht="13">
      <c r="D912" s="5"/>
      <c r="E912" s="5"/>
      <c r="F912" s="5"/>
      <c r="G912" s="5"/>
    </row>
    <row r="913" spans="4:7" ht="13">
      <c r="D913" s="5"/>
      <c r="E913" s="5"/>
      <c r="F913" s="5"/>
      <c r="G913" s="5"/>
    </row>
    <row r="914" spans="4:7" ht="13">
      <c r="D914" s="5"/>
      <c r="E914" s="5"/>
      <c r="F914" s="5"/>
      <c r="G914" s="5"/>
    </row>
    <row r="915" spans="4:7" ht="13">
      <c r="D915" s="5"/>
      <c r="E915" s="5"/>
      <c r="F915" s="5"/>
      <c r="G915" s="5"/>
    </row>
    <row r="916" spans="4:7" ht="13">
      <c r="D916" s="5"/>
      <c r="E916" s="5"/>
      <c r="F916" s="5"/>
      <c r="G916" s="5"/>
    </row>
    <row r="917" spans="4:7" ht="13">
      <c r="D917" s="5"/>
      <c r="E917" s="5"/>
      <c r="F917" s="5"/>
      <c r="G917" s="5"/>
    </row>
    <row r="918" spans="4:7" ht="13">
      <c r="D918" s="5"/>
      <c r="E918" s="5"/>
      <c r="F918" s="5"/>
      <c r="G918" s="5"/>
    </row>
    <row r="919" spans="4:7" ht="13">
      <c r="D919" s="5"/>
      <c r="E919" s="5"/>
      <c r="F919" s="5"/>
      <c r="G919" s="5"/>
    </row>
    <row r="920" spans="4:7" ht="13">
      <c r="D920" s="5"/>
      <c r="E920" s="5"/>
      <c r="F920" s="5"/>
      <c r="G920" s="5"/>
    </row>
    <row r="921" spans="4:7" ht="13">
      <c r="D921" s="5"/>
      <c r="E921" s="5"/>
      <c r="F921" s="5"/>
      <c r="G921" s="5"/>
    </row>
    <row r="922" spans="4:7" ht="13">
      <c r="D922" s="5"/>
      <c r="E922" s="5"/>
      <c r="F922" s="5"/>
      <c r="G922" s="5"/>
    </row>
    <row r="923" spans="4:7" ht="13">
      <c r="D923" s="5"/>
      <c r="E923" s="5"/>
      <c r="F923" s="5"/>
      <c r="G923" s="5"/>
    </row>
    <row r="924" spans="4:7" ht="13">
      <c r="D924" s="5"/>
      <c r="E924" s="5"/>
      <c r="F924" s="5"/>
      <c r="G924" s="5"/>
    </row>
    <row r="925" spans="4:7" ht="13">
      <c r="D925" s="5"/>
      <c r="E925" s="5"/>
      <c r="F925" s="5"/>
      <c r="G925" s="5"/>
    </row>
    <row r="926" spans="4:7" ht="13">
      <c r="D926" s="5"/>
      <c r="E926" s="5"/>
      <c r="F926" s="5"/>
      <c r="G926" s="5"/>
    </row>
    <row r="927" spans="4:7" ht="13">
      <c r="D927" s="5"/>
      <c r="E927" s="5"/>
      <c r="F927" s="5"/>
      <c r="G927" s="5"/>
    </row>
    <row r="928" spans="4:7" ht="13">
      <c r="D928" s="5"/>
      <c r="E928" s="5"/>
      <c r="F928" s="5"/>
      <c r="G928" s="5"/>
    </row>
    <row r="929" spans="4:7" ht="13">
      <c r="D929" s="5"/>
      <c r="E929" s="5"/>
      <c r="F929" s="5"/>
      <c r="G929" s="5"/>
    </row>
    <row r="930" spans="4:7" ht="13">
      <c r="D930" s="5"/>
      <c r="E930" s="5"/>
      <c r="F930" s="5"/>
      <c r="G930" s="5"/>
    </row>
    <row r="931" spans="4:7" ht="13">
      <c r="D931" s="5"/>
      <c r="E931" s="5"/>
      <c r="F931" s="5"/>
      <c r="G931" s="5"/>
    </row>
    <row r="932" spans="4:7" ht="13">
      <c r="D932" s="5"/>
      <c r="E932" s="5"/>
      <c r="F932" s="5"/>
      <c r="G932" s="5"/>
    </row>
    <row r="933" spans="4:7" ht="13">
      <c r="D933" s="5"/>
      <c r="E933" s="5"/>
      <c r="F933" s="5"/>
      <c r="G933" s="5"/>
    </row>
    <row r="934" spans="4:7" ht="13">
      <c r="D934" s="5"/>
      <c r="E934" s="5"/>
      <c r="F934" s="5"/>
      <c r="G934" s="5"/>
    </row>
    <row r="935" spans="4:7" ht="13">
      <c r="D935" s="5"/>
      <c r="E935" s="5"/>
      <c r="F935" s="5"/>
      <c r="G935" s="5"/>
    </row>
    <row r="936" spans="4:7" ht="13">
      <c r="D936" s="5"/>
      <c r="E936" s="5"/>
      <c r="F936" s="5"/>
      <c r="G936" s="5"/>
    </row>
    <row r="937" spans="4:7" ht="13">
      <c r="D937" s="5"/>
      <c r="E937" s="5"/>
      <c r="F937" s="5"/>
      <c r="G937" s="5"/>
    </row>
    <row r="938" spans="4:7" ht="13">
      <c r="D938" s="5"/>
      <c r="E938" s="5"/>
      <c r="F938" s="5"/>
      <c r="G938" s="5"/>
    </row>
    <row r="939" spans="4:7" ht="13">
      <c r="D939" s="5"/>
      <c r="E939" s="5"/>
      <c r="F939" s="5"/>
      <c r="G939" s="5"/>
    </row>
    <row r="940" spans="4:7" ht="13">
      <c r="D940" s="5"/>
      <c r="E940" s="5"/>
      <c r="F940" s="5"/>
      <c r="G940" s="5"/>
    </row>
    <row r="941" spans="4:7" ht="13">
      <c r="D941" s="5"/>
      <c r="E941" s="5"/>
      <c r="F941" s="5"/>
      <c r="G941" s="5"/>
    </row>
    <row r="942" spans="4:7" ht="13">
      <c r="D942" s="5"/>
      <c r="E942" s="5"/>
      <c r="F942" s="5"/>
      <c r="G942" s="5"/>
    </row>
    <row r="943" spans="4:7" ht="13">
      <c r="D943" s="5"/>
      <c r="E943" s="5"/>
      <c r="F943" s="5"/>
      <c r="G943" s="5"/>
    </row>
    <row r="944" spans="4:7" ht="13">
      <c r="D944" s="5"/>
      <c r="E944" s="5"/>
      <c r="F944" s="5"/>
      <c r="G944" s="5"/>
    </row>
    <row r="945" spans="4:7" ht="13">
      <c r="D945" s="5"/>
      <c r="E945" s="5"/>
      <c r="F945" s="5"/>
      <c r="G945" s="5"/>
    </row>
    <row r="946" spans="4:7" ht="13">
      <c r="D946" s="5"/>
      <c r="E946" s="5"/>
      <c r="F946" s="5"/>
      <c r="G946" s="5"/>
    </row>
    <row r="947" spans="4:7" ht="13">
      <c r="D947" s="5"/>
      <c r="E947" s="5"/>
      <c r="F947" s="5"/>
      <c r="G947" s="5"/>
    </row>
    <row r="948" spans="4:7" ht="13">
      <c r="D948" s="5"/>
      <c r="E948" s="5"/>
      <c r="F948" s="5"/>
      <c r="G948" s="5"/>
    </row>
    <row r="949" spans="4:7" ht="13">
      <c r="D949" s="5"/>
      <c r="E949" s="5"/>
      <c r="F949" s="5"/>
      <c r="G949" s="5"/>
    </row>
    <row r="950" spans="4:7" ht="13">
      <c r="D950" s="5"/>
      <c r="E950" s="5"/>
      <c r="F950" s="5"/>
      <c r="G950" s="5"/>
    </row>
    <row r="951" spans="4:7" ht="13">
      <c r="D951" s="5"/>
      <c r="E951" s="5"/>
      <c r="F951" s="5"/>
      <c r="G951" s="5"/>
    </row>
    <row r="952" spans="4:7" ht="13">
      <c r="D952" s="5"/>
      <c r="E952" s="5"/>
      <c r="F952" s="5"/>
      <c r="G952" s="5"/>
    </row>
    <row r="953" spans="4:7" ht="13">
      <c r="D953" s="5"/>
      <c r="E953" s="5"/>
      <c r="F953" s="5"/>
      <c r="G953" s="5"/>
    </row>
    <row r="954" spans="4:7" ht="13">
      <c r="D954" s="5"/>
      <c r="E954" s="5"/>
      <c r="F954" s="5"/>
      <c r="G954" s="5"/>
    </row>
    <row r="955" spans="4:7" ht="13">
      <c r="D955" s="5"/>
      <c r="E955" s="5"/>
      <c r="F955" s="5"/>
      <c r="G955" s="5"/>
    </row>
    <row r="956" spans="4:7" ht="13">
      <c r="D956" s="5"/>
      <c r="E956" s="5"/>
      <c r="F956" s="5"/>
      <c r="G956" s="5"/>
    </row>
    <row r="957" spans="4:7" ht="13">
      <c r="D957" s="5"/>
      <c r="E957" s="5"/>
      <c r="F957" s="5"/>
      <c r="G957" s="5"/>
    </row>
    <row r="958" spans="4:7" ht="13">
      <c r="D958" s="5"/>
      <c r="E958" s="5"/>
      <c r="F958" s="5"/>
      <c r="G958" s="5"/>
    </row>
    <row r="959" spans="4:7" ht="13">
      <c r="D959" s="5"/>
      <c r="E959" s="5"/>
      <c r="F959" s="5"/>
      <c r="G959" s="5"/>
    </row>
    <row r="960" spans="4:7" ht="13">
      <c r="D960" s="5"/>
      <c r="E960" s="5"/>
      <c r="F960" s="5"/>
      <c r="G960" s="5"/>
    </row>
    <row r="961" spans="4:7" ht="13">
      <c r="D961" s="5"/>
      <c r="E961" s="5"/>
      <c r="F961" s="5"/>
      <c r="G961" s="5"/>
    </row>
    <row r="962" spans="4:7" ht="13">
      <c r="D962" s="5"/>
      <c r="E962" s="5"/>
      <c r="F962" s="5"/>
      <c r="G962" s="5"/>
    </row>
    <row r="963" spans="4:7" ht="13">
      <c r="D963" s="5"/>
      <c r="E963" s="5"/>
      <c r="F963" s="5"/>
      <c r="G963" s="5"/>
    </row>
    <row r="964" spans="4:7" ht="13">
      <c r="D964" s="5"/>
      <c r="E964" s="5"/>
      <c r="F964" s="5"/>
      <c r="G964" s="5"/>
    </row>
    <row r="965" spans="4:7" ht="13">
      <c r="D965" s="5"/>
      <c r="E965" s="5"/>
      <c r="F965" s="5"/>
      <c r="G965" s="5"/>
    </row>
    <row r="966" spans="4:7" ht="13">
      <c r="D966" s="5"/>
      <c r="E966" s="5"/>
      <c r="F966" s="5"/>
      <c r="G966" s="5"/>
    </row>
    <row r="967" spans="4:7" ht="13">
      <c r="D967" s="5"/>
      <c r="E967" s="5"/>
      <c r="F967" s="5"/>
      <c r="G967" s="5"/>
    </row>
    <row r="968" spans="4:7" ht="13">
      <c r="D968" s="5"/>
      <c r="E968" s="5"/>
      <c r="F968" s="5"/>
      <c r="G968" s="5"/>
    </row>
    <row r="969" spans="4:7" ht="13">
      <c r="D969" s="5"/>
      <c r="E969" s="5"/>
      <c r="F969" s="5"/>
      <c r="G969" s="5"/>
    </row>
    <row r="970" spans="4:7" ht="13">
      <c r="D970" s="5"/>
      <c r="E970" s="5"/>
      <c r="F970" s="5"/>
      <c r="G970" s="5"/>
    </row>
    <row r="971" spans="4:7" ht="13">
      <c r="D971" s="5"/>
      <c r="E971" s="5"/>
      <c r="F971" s="5"/>
      <c r="G971" s="5"/>
    </row>
    <row r="972" spans="4:7" ht="13">
      <c r="D972" s="5"/>
      <c r="E972" s="5"/>
      <c r="F972" s="5"/>
      <c r="G972" s="5"/>
    </row>
    <row r="973" spans="4:7" ht="13">
      <c r="D973" s="5"/>
      <c r="E973" s="5"/>
      <c r="F973" s="5"/>
      <c r="G973" s="5"/>
    </row>
    <row r="974" spans="4:7" ht="13">
      <c r="D974" s="5"/>
      <c r="E974" s="5"/>
      <c r="F974" s="5"/>
      <c r="G974" s="5"/>
    </row>
    <row r="975" spans="4:7" ht="13">
      <c r="D975" s="5"/>
      <c r="E975" s="5"/>
      <c r="F975" s="5"/>
      <c r="G975" s="5"/>
    </row>
    <row r="976" spans="4:7" ht="13">
      <c r="D976" s="5"/>
      <c r="E976" s="5"/>
      <c r="F976" s="5"/>
      <c r="G976" s="5"/>
    </row>
    <row r="977" spans="4:7" ht="13">
      <c r="D977" s="5"/>
      <c r="E977" s="5"/>
      <c r="F977" s="5"/>
      <c r="G977" s="5"/>
    </row>
    <row r="978" spans="4:7" ht="13">
      <c r="D978" s="5"/>
      <c r="E978" s="5"/>
      <c r="F978" s="5"/>
      <c r="G978" s="5"/>
    </row>
    <row r="979" spans="4:7" ht="13">
      <c r="D979" s="5"/>
      <c r="E979" s="5"/>
      <c r="F979" s="5"/>
      <c r="G979" s="5"/>
    </row>
    <row r="980" spans="4:7" ht="13">
      <c r="D980" s="5"/>
      <c r="E980" s="5"/>
      <c r="F980" s="5"/>
      <c r="G980" s="5"/>
    </row>
    <row r="981" spans="4:7" ht="13">
      <c r="D981" s="5"/>
      <c r="E981" s="5"/>
      <c r="F981" s="5"/>
      <c r="G981" s="5"/>
    </row>
    <row r="982" spans="4:7" ht="13">
      <c r="D982" s="5"/>
      <c r="E982" s="5"/>
      <c r="F982" s="5"/>
      <c r="G982" s="5"/>
    </row>
    <row r="983" spans="4:7" ht="13">
      <c r="D983" s="5"/>
      <c r="E983" s="5"/>
      <c r="F983" s="5"/>
      <c r="G983" s="5"/>
    </row>
    <row r="984" spans="4:7" ht="13">
      <c r="D984" s="5"/>
      <c r="E984" s="5"/>
      <c r="F984" s="5"/>
      <c r="G984" s="5"/>
    </row>
    <row r="985" spans="4:7" ht="13">
      <c r="D985" s="5"/>
      <c r="E985" s="5"/>
      <c r="F985" s="5"/>
      <c r="G985" s="5"/>
    </row>
    <row r="986" spans="4:7" ht="13">
      <c r="D986" s="5"/>
      <c r="E986" s="5"/>
      <c r="F986" s="5"/>
      <c r="G986" s="5"/>
    </row>
    <row r="987" spans="4:7" ht="13">
      <c r="D987" s="5"/>
      <c r="E987" s="5"/>
      <c r="F987" s="5"/>
      <c r="G987" s="5"/>
    </row>
    <row r="988" spans="4:7" ht="13">
      <c r="D988" s="5"/>
      <c r="E988" s="5"/>
      <c r="F988" s="5"/>
      <c r="G988" s="5"/>
    </row>
    <row r="989" spans="4:7" ht="13">
      <c r="D989" s="5"/>
      <c r="E989" s="5"/>
      <c r="F989" s="5"/>
      <c r="G989" s="5"/>
    </row>
    <row r="990" spans="4:7" ht="13">
      <c r="D990" s="5"/>
      <c r="E990" s="5"/>
      <c r="F990" s="5"/>
      <c r="G990" s="5"/>
    </row>
    <row r="991" spans="4:7" ht="13">
      <c r="D991" s="5"/>
      <c r="E991" s="5"/>
      <c r="F991" s="5"/>
      <c r="G991" s="5"/>
    </row>
    <row r="992" spans="4:7" ht="13">
      <c r="D992" s="5"/>
      <c r="E992" s="5"/>
      <c r="F992" s="5"/>
      <c r="G992" s="5"/>
    </row>
    <row r="993" spans="4:7" ht="13">
      <c r="D993" s="5"/>
      <c r="E993" s="5"/>
      <c r="F993" s="5"/>
      <c r="G993" s="5"/>
    </row>
    <row r="994" spans="4:7" ht="13">
      <c r="D994" s="5"/>
      <c r="E994" s="5"/>
      <c r="F994" s="5"/>
      <c r="G994" s="5"/>
    </row>
    <row r="995" spans="4:7" ht="13">
      <c r="D995" s="5"/>
      <c r="E995" s="5"/>
      <c r="F995" s="5"/>
      <c r="G995" s="5"/>
    </row>
    <row r="996" spans="4:7" ht="13">
      <c r="D996" s="5"/>
      <c r="E996" s="5"/>
      <c r="F996" s="5"/>
      <c r="G996" s="5"/>
    </row>
    <row r="997" spans="4:7" ht="13">
      <c r="D997" s="5"/>
      <c r="E997" s="5"/>
      <c r="F997" s="5"/>
      <c r="G997" s="5"/>
    </row>
    <row r="998" spans="4:7" ht="13">
      <c r="D998" s="5"/>
      <c r="E998" s="5"/>
      <c r="F998" s="5"/>
      <c r="G998" s="5"/>
    </row>
    <row r="999" spans="4:7" ht="13">
      <c r="D999" s="5"/>
      <c r="E999" s="5"/>
      <c r="F999" s="5"/>
      <c r="G999" s="5"/>
    </row>
    <row r="1000" spans="4:7" ht="13">
      <c r="D1000" s="5"/>
      <c r="E1000" s="5"/>
      <c r="F1000" s="5"/>
      <c r="G1000" s="5"/>
    </row>
  </sheetData>
  <hyperlinks>
    <hyperlink ref="B5" r:id="rId1" xr:uid="{00000000-0004-0000-6400-000000000000}"/>
    <hyperlink ref="B6" r:id="rId2" xr:uid="{00000000-0004-0000-6400-000001000000}"/>
    <hyperlink ref="B7" r:id="rId3" xr:uid="{00000000-0004-0000-6400-000002000000}"/>
    <hyperlink ref="B8" r:id="rId4" xr:uid="{00000000-0004-0000-6400-000003000000}"/>
    <hyperlink ref="B9" r:id="rId5" xr:uid="{00000000-0004-0000-6400-000004000000}"/>
    <hyperlink ref="B14" r:id="rId6" xr:uid="{00000000-0004-0000-6400-000005000000}"/>
    <hyperlink ref="B15" r:id="rId7" xr:uid="{00000000-0004-0000-6400-000006000000}"/>
    <hyperlink ref="B16" r:id="rId8" xr:uid="{00000000-0004-0000-6400-000007000000}"/>
    <hyperlink ref="B17" r:id="rId9" xr:uid="{00000000-0004-0000-6400-000008000000}"/>
    <hyperlink ref="B18" r:id="rId10" xr:uid="{00000000-0004-0000-6400-000009000000}"/>
    <hyperlink ref="B19" r:id="rId11" xr:uid="{00000000-0004-0000-6400-00000A000000}"/>
    <hyperlink ref="B20" r:id="rId12" xr:uid="{00000000-0004-0000-6400-00000B000000}"/>
    <hyperlink ref="B21" r:id="rId13" xr:uid="{00000000-0004-0000-6400-00000C000000}"/>
    <hyperlink ref="B22" r:id="rId14" xr:uid="{00000000-0004-0000-6400-00000D000000}"/>
    <hyperlink ref="B23" r:id="rId15" xr:uid="{00000000-0004-0000-6400-00000E000000}"/>
    <hyperlink ref="B24" r:id="rId16" xr:uid="{00000000-0004-0000-6400-00000F000000}"/>
    <hyperlink ref="B25" r:id="rId17" xr:uid="{00000000-0004-0000-6400-000010000000}"/>
    <hyperlink ref="B30" r:id="rId18" xr:uid="{00000000-0004-0000-6400-000011000000}"/>
    <hyperlink ref="B31" r:id="rId19" xr:uid="{00000000-0004-0000-6400-000012000000}"/>
    <hyperlink ref="B32" r:id="rId20" xr:uid="{00000000-0004-0000-6400-000013000000}"/>
    <hyperlink ref="B33" r:id="rId21" xr:uid="{00000000-0004-0000-6400-000014000000}"/>
    <hyperlink ref="B34" r:id="rId22" xr:uid="{00000000-0004-0000-6400-000015000000}"/>
    <hyperlink ref="B35" r:id="rId23" xr:uid="{00000000-0004-0000-6400-000016000000}"/>
    <hyperlink ref="B36" r:id="rId24" xr:uid="{00000000-0004-0000-6400-000017000000}"/>
    <hyperlink ref="B37" r:id="rId25" xr:uid="{00000000-0004-0000-6400-000018000000}"/>
    <hyperlink ref="B38" r:id="rId26" xr:uid="{00000000-0004-0000-6400-000019000000}"/>
    <hyperlink ref="B39" r:id="rId27" xr:uid="{00000000-0004-0000-6400-00001A000000}"/>
    <hyperlink ref="B40" r:id="rId28" xr:uid="{00000000-0004-0000-6400-00001B000000}"/>
    <hyperlink ref="B41" r:id="rId29" xr:uid="{00000000-0004-0000-6400-00001C000000}"/>
    <hyperlink ref="B42" r:id="rId30" xr:uid="{00000000-0004-0000-6400-00001D000000}"/>
    <hyperlink ref="B43" r:id="rId31" xr:uid="{00000000-0004-0000-6400-00001E000000}"/>
    <hyperlink ref="B44" r:id="rId32" xr:uid="{00000000-0004-0000-6400-00001F000000}"/>
    <hyperlink ref="B45" r:id="rId33" xr:uid="{00000000-0004-0000-6400-000020000000}"/>
    <hyperlink ref="B46" r:id="rId34" xr:uid="{00000000-0004-0000-6400-000021000000}"/>
    <hyperlink ref="B47" r:id="rId35" xr:uid="{00000000-0004-0000-6400-000022000000}"/>
    <hyperlink ref="B48" r:id="rId36" xr:uid="{00000000-0004-0000-6400-000023000000}"/>
    <hyperlink ref="B49" r:id="rId37" xr:uid="{00000000-0004-0000-6400-000024000000}"/>
    <hyperlink ref="B50" r:id="rId38" xr:uid="{00000000-0004-0000-6400-000025000000}"/>
    <hyperlink ref="B51" r:id="rId39" xr:uid="{00000000-0004-0000-6400-000026000000}"/>
    <hyperlink ref="B52" r:id="rId40" xr:uid="{00000000-0004-0000-6400-000027000000}"/>
    <hyperlink ref="B53" r:id="rId41" xr:uid="{00000000-0004-0000-6400-000028000000}"/>
    <hyperlink ref="B54" r:id="rId42" xr:uid="{00000000-0004-0000-6400-000029000000}"/>
    <hyperlink ref="B55" r:id="rId43" xr:uid="{00000000-0004-0000-6400-00002A000000}"/>
    <hyperlink ref="B56" r:id="rId44" xr:uid="{00000000-0004-0000-6400-00002B000000}"/>
    <hyperlink ref="B57" r:id="rId45" xr:uid="{00000000-0004-0000-6400-00002C000000}"/>
    <hyperlink ref="B58" r:id="rId46" xr:uid="{00000000-0004-0000-6400-00002D000000}"/>
    <hyperlink ref="B59" r:id="rId47" xr:uid="{00000000-0004-0000-6400-00002E000000}"/>
    <hyperlink ref="B60" r:id="rId48" xr:uid="{00000000-0004-0000-6400-00002F000000}"/>
    <hyperlink ref="B61" r:id="rId49" xr:uid="{00000000-0004-0000-6400-000030000000}"/>
    <hyperlink ref="B62" r:id="rId50" xr:uid="{00000000-0004-0000-6400-000031000000}"/>
    <hyperlink ref="B63" r:id="rId51" xr:uid="{00000000-0004-0000-6400-000032000000}"/>
    <hyperlink ref="B64" r:id="rId52" xr:uid="{00000000-0004-0000-6400-000033000000}"/>
    <hyperlink ref="B65" r:id="rId53" xr:uid="{00000000-0004-0000-6400-000034000000}"/>
    <hyperlink ref="B66" r:id="rId54" xr:uid="{00000000-0004-0000-6400-000035000000}"/>
    <hyperlink ref="B67" r:id="rId55" xr:uid="{00000000-0004-0000-6400-000036000000}"/>
    <hyperlink ref="B68" r:id="rId56" xr:uid="{00000000-0004-0000-6400-000037000000}"/>
    <hyperlink ref="B69" r:id="rId57" xr:uid="{00000000-0004-0000-6400-000038000000}"/>
    <hyperlink ref="B70" r:id="rId58" xr:uid="{00000000-0004-0000-6400-000039000000}"/>
    <hyperlink ref="B71" r:id="rId59" xr:uid="{00000000-0004-0000-6400-00003A000000}"/>
    <hyperlink ref="B72" r:id="rId60" xr:uid="{00000000-0004-0000-6400-00003B000000}"/>
    <hyperlink ref="B73" r:id="rId61" xr:uid="{00000000-0004-0000-6400-00003C000000}"/>
    <hyperlink ref="B74" r:id="rId62" xr:uid="{00000000-0004-0000-6400-00003D000000}"/>
    <hyperlink ref="B75" r:id="rId63" xr:uid="{00000000-0004-0000-6400-00003E000000}"/>
    <hyperlink ref="B76" r:id="rId64" xr:uid="{00000000-0004-0000-6400-00003F000000}"/>
    <hyperlink ref="B77" r:id="rId65" xr:uid="{00000000-0004-0000-6400-000040000000}"/>
    <hyperlink ref="B78" r:id="rId66" xr:uid="{00000000-0004-0000-6400-000041000000}"/>
    <hyperlink ref="B79" r:id="rId67" xr:uid="{00000000-0004-0000-6400-000042000000}"/>
    <hyperlink ref="B80" r:id="rId68" xr:uid="{00000000-0004-0000-6400-000043000000}"/>
    <hyperlink ref="B81" r:id="rId69" xr:uid="{00000000-0004-0000-6400-000044000000}"/>
    <hyperlink ref="B82" r:id="rId70" xr:uid="{00000000-0004-0000-6400-000045000000}"/>
    <hyperlink ref="B83" r:id="rId71" xr:uid="{00000000-0004-0000-6400-000046000000}"/>
    <hyperlink ref="B84" r:id="rId72" xr:uid="{00000000-0004-0000-6400-000047000000}"/>
    <hyperlink ref="B85" r:id="rId73" xr:uid="{00000000-0004-0000-6400-000048000000}"/>
    <hyperlink ref="B86" r:id="rId74" xr:uid="{00000000-0004-0000-6400-000049000000}"/>
    <hyperlink ref="B87" r:id="rId75" xr:uid="{00000000-0004-0000-6400-00004A000000}"/>
    <hyperlink ref="B88" r:id="rId76" xr:uid="{00000000-0004-0000-6400-00004B000000}"/>
    <hyperlink ref="B89" r:id="rId77" xr:uid="{00000000-0004-0000-6400-00004C000000}"/>
    <hyperlink ref="B90" r:id="rId78" xr:uid="{00000000-0004-0000-6400-00004D000000}"/>
    <hyperlink ref="B91" r:id="rId79" xr:uid="{00000000-0004-0000-6400-00004E000000}"/>
    <hyperlink ref="B92" r:id="rId80" xr:uid="{00000000-0004-0000-6400-00004F000000}"/>
    <hyperlink ref="B93" r:id="rId81" xr:uid="{00000000-0004-0000-6400-000050000000}"/>
    <hyperlink ref="B94" r:id="rId82" xr:uid="{00000000-0004-0000-6400-000051000000}"/>
    <hyperlink ref="B95" r:id="rId83" xr:uid="{00000000-0004-0000-6400-000052000000}"/>
    <hyperlink ref="B96" r:id="rId84" xr:uid="{00000000-0004-0000-6400-000053000000}"/>
    <hyperlink ref="B97" r:id="rId85" xr:uid="{00000000-0004-0000-6400-000054000000}"/>
    <hyperlink ref="B98" r:id="rId86" xr:uid="{00000000-0004-0000-6400-000055000000}"/>
    <hyperlink ref="B99" r:id="rId87" xr:uid="{00000000-0004-0000-6400-000056000000}"/>
    <hyperlink ref="B100" r:id="rId88" xr:uid="{00000000-0004-0000-6400-000057000000}"/>
    <hyperlink ref="B101" r:id="rId89" xr:uid="{00000000-0004-0000-6400-000058000000}"/>
    <hyperlink ref="B102" r:id="rId90" xr:uid="{00000000-0004-0000-6400-000059000000}"/>
    <hyperlink ref="B103" r:id="rId91" xr:uid="{00000000-0004-0000-6400-00005A000000}"/>
    <hyperlink ref="B104" r:id="rId92" xr:uid="{00000000-0004-0000-6400-00005B000000}"/>
    <hyperlink ref="B105" r:id="rId93" xr:uid="{00000000-0004-0000-6400-00005C000000}"/>
    <hyperlink ref="B106" r:id="rId94" xr:uid="{00000000-0004-0000-6400-00005D000000}"/>
    <hyperlink ref="B107" r:id="rId95" xr:uid="{00000000-0004-0000-6400-00005E000000}"/>
    <hyperlink ref="B108" r:id="rId96" xr:uid="{00000000-0004-0000-6400-00005F000000}"/>
    <hyperlink ref="B109" r:id="rId97" xr:uid="{00000000-0004-0000-6400-000060000000}"/>
    <hyperlink ref="B110" r:id="rId98" xr:uid="{00000000-0004-0000-6400-000061000000}"/>
    <hyperlink ref="B111" r:id="rId99" xr:uid="{00000000-0004-0000-6400-000062000000}"/>
    <hyperlink ref="B112" r:id="rId100" xr:uid="{00000000-0004-0000-6400-000063000000}"/>
    <hyperlink ref="B113" r:id="rId101" xr:uid="{00000000-0004-0000-6400-000064000000}"/>
    <hyperlink ref="B114" r:id="rId102" xr:uid="{00000000-0004-0000-6400-000065000000}"/>
    <hyperlink ref="B115" r:id="rId103" xr:uid="{00000000-0004-0000-6400-000066000000}"/>
    <hyperlink ref="B116" r:id="rId104" xr:uid="{00000000-0004-0000-6400-000067000000}"/>
    <hyperlink ref="B117" r:id="rId105" xr:uid="{00000000-0004-0000-6400-000068000000}"/>
    <hyperlink ref="B118" r:id="rId106" xr:uid="{00000000-0004-0000-6400-000069000000}"/>
    <hyperlink ref="B119" r:id="rId107" xr:uid="{00000000-0004-0000-6400-00006A000000}"/>
    <hyperlink ref="B120" r:id="rId108" xr:uid="{00000000-0004-0000-6400-00006B000000}"/>
    <hyperlink ref="B121" r:id="rId109" xr:uid="{00000000-0004-0000-6400-00006C000000}"/>
    <hyperlink ref="B122" r:id="rId110" xr:uid="{00000000-0004-0000-6400-00006D000000}"/>
    <hyperlink ref="B123" r:id="rId111" xr:uid="{00000000-0004-0000-6400-00006E000000}"/>
    <hyperlink ref="B124" r:id="rId112" xr:uid="{00000000-0004-0000-6400-00006F000000}"/>
    <hyperlink ref="B125" r:id="rId113" xr:uid="{00000000-0004-0000-6400-000070000000}"/>
    <hyperlink ref="B126" r:id="rId114" xr:uid="{00000000-0004-0000-6400-000071000000}"/>
    <hyperlink ref="B127" r:id="rId115" xr:uid="{00000000-0004-0000-6400-000072000000}"/>
    <hyperlink ref="B128" r:id="rId116" xr:uid="{00000000-0004-0000-6400-000073000000}"/>
    <hyperlink ref="B129" r:id="rId117" xr:uid="{00000000-0004-0000-6400-000074000000}"/>
    <hyperlink ref="B130" r:id="rId118" xr:uid="{00000000-0004-0000-6400-000075000000}"/>
    <hyperlink ref="B131" r:id="rId119" xr:uid="{00000000-0004-0000-6400-000076000000}"/>
    <hyperlink ref="B132" r:id="rId120" xr:uid="{00000000-0004-0000-6400-000077000000}"/>
    <hyperlink ref="B133" r:id="rId121" xr:uid="{00000000-0004-0000-6400-000078000000}"/>
    <hyperlink ref="B134" r:id="rId122" xr:uid="{00000000-0004-0000-6400-000079000000}"/>
    <hyperlink ref="B135" r:id="rId123" xr:uid="{00000000-0004-0000-6400-00007A000000}"/>
    <hyperlink ref="B136" r:id="rId124" xr:uid="{00000000-0004-0000-6400-00007B000000}"/>
    <hyperlink ref="B137" r:id="rId125" xr:uid="{00000000-0004-0000-6400-00007C000000}"/>
    <hyperlink ref="B138" r:id="rId126" xr:uid="{00000000-0004-0000-6400-00007D000000}"/>
    <hyperlink ref="B139" r:id="rId127" xr:uid="{00000000-0004-0000-6400-00007E000000}"/>
    <hyperlink ref="B140" r:id="rId128" xr:uid="{00000000-0004-0000-6400-00007F000000}"/>
    <hyperlink ref="B141" r:id="rId129" xr:uid="{00000000-0004-0000-6400-000080000000}"/>
    <hyperlink ref="B142" r:id="rId130" xr:uid="{00000000-0004-0000-6400-000081000000}"/>
    <hyperlink ref="B143" r:id="rId131" xr:uid="{00000000-0004-0000-6400-000082000000}"/>
    <hyperlink ref="B144" r:id="rId132" xr:uid="{00000000-0004-0000-6400-000083000000}"/>
    <hyperlink ref="B145" r:id="rId133" xr:uid="{00000000-0004-0000-6400-000084000000}"/>
    <hyperlink ref="B146" r:id="rId134" xr:uid="{00000000-0004-0000-6400-000085000000}"/>
    <hyperlink ref="B147" r:id="rId135" xr:uid="{00000000-0004-0000-6400-000086000000}"/>
    <hyperlink ref="B148" r:id="rId136" xr:uid="{00000000-0004-0000-6400-000087000000}"/>
    <hyperlink ref="B149" r:id="rId137" xr:uid="{00000000-0004-0000-6400-000088000000}"/>
    <hyperlink ref="B150" r:id="rId138" xr:uid="{00000000-0004-0000-6400-000089000000}"/>
    <hyperlink ref="B151" r:id="rId139" xr:uid="{00000000-0004-0000-6400-00008A000000}"/>
    <hyperlink ref="B152" r:id="rId140" xr:uid="{00000000-0004-0000-6400-00008B000000}"/>
    <hyperlink ref="B153" r:id="rId141" xr:uid="{00000000-0004-0000-6400-00008C000000}"/>
    <hyperlink ref="B154" r:id="rId142" xr:uid="{00000000-0004-0000-6400-00008D000000}"/>
    <hyperlink ref="B155" r:id="rId143" xr:uid="{00000000-0004-0000-6400-00008E000000}"/>
    <hyperlink ref="B156" r:id="rId144" xr:uid="{00000000-0004-0000-6400-00008F000000}"/>
    <hyperlink ref="B158" r:id="rId145" xr:uid="{00000000-0004-0000-6400-000090000000}"/>
    <hyperlink ref="B159" r:id="rId146" xr:uid="{00000000-0004-0000-6400-000091000000}"/>
    <hyperlink ref="B160" r:id="rId147" xr:uid="{00000000-0004-0000-6400-000092000000}"/>
    <hyperlink ref="B161" r:id="rId148" xr:uid="{00000000-0004-0000-6400-000093000000}"/>
    <hyperlink ref="B162" r:id="rId149" xr:uid="{00000000-0004-0000-6400-000094000000}"/>
    <hyperlink ref="B163" r:id="rId150" xr:uid="{00000000-0004-0000-6400-000095000000}"/>
    <hyperlink ref="B164" r:id="rId151" xr:uid="{00000000-0004-0000-6400-000096000000}"/>
    <hyperlink ref="B165" r:id="rId152" xr:uid="{00000000-0004-0000-6400-000097000000}"/>
    <hyperlink ref="B166" r:id="rId153" xr:uid="{00000000-0004-0000-6400-000098000000}"/>
    <hyperlink ref="B167" r:id="rId154" xr:uid="{00000000-0004-0000-6400-000099000000}"/>
    <hyperlink ref="B168" r:id="rId155" xr:uid="{00000000-0004-0000-6400-00009A000000}"/>
    <hyperlink ref="B169" r:id="rId156" xr:uid="{00000000-0004-0000-6400-00009B000000}"/>
    <hyperlink ref="B170" r:id="rId157" xr:uid="{00000000-0004-0000-6400-00009C000000}"/>
    <hyperlink ref="B171" r:id="rId158" xr:uid="{00000000-0004-0000-6400-00009D000000}"/>
    <hyperlink ref="B172" r:id="rId159" xr:uid="{00000000-0004-0000-6400-00009E000000}"/>
    <hyperlink ref="B173" r:id="rId160" xr:uid="{00000000-0004-0000-6400-00009F000000}"/>
    <hyperlink ref="B174" r:id="rId161" xr:uid="{00000000-0004-0000-6400-0000A0000000}"/>
    <hyperlink ref="B175" r:id="rId162" xr:uid="{00000000-0004-0000-6400-0000A1000000}"/>
    <hyperlink ref="B176" r:id="rId163" xr:uid="{00000000-0004-0000-6400-0000A2000000}"/>
    <hyperlink ref="B177" r:id="rId164" xr:uid="{00000000-0004-0000-6400-0000A3000000}"/>
    <hyperlink ref="B178" r:id="rId165" xr:uid="{00000000-0004-0000-6400-0000A4000000}"/>
    <hyperlink ref="B179" r:id="rId166" xr:uid="{00000000-0004-0000-6400-0000A5000000}"/>
    <hyperlink ref="B180" r:id="rId167" xr:uid="{00000000-0004-0000-6400-0000A6000000}"/>
    <hyperlink ref="B181" r:id="rId168" xr:uid="{00000000-0004-0000-6400-0000A7000000}"/>
    <hyperlink ref="B182" r:id="rId169" xr:uid="{00000000-0004-0000-6400-0000A8000000}"/>
    <hyperlink ref="B183" r:id="rId170" xr:uid="{00000000-0004-0000-6400-0000A9000000}"/>
    <hyperlink ref="B184" r:id="rId171" xr:uid="{00000000-0004-0000-6400-0000AA000000}"/>
    <hyperlink ref="B185" r:id="rId172" xr:uid="{00000000-0004-0000-6400-0000AB000000}"/>
    <hyperlink ref="B186" r:id="rId173" xr:uid="{00000000-0004-0000-6400-0000AC000000}"/>
    <hyperlink ref="B187" r:id="rId174" xr:uid="{00000000-0004-0000-6400-0000AD000000}"/>
    <hyperlink ref="B188" r:id="rId175" xr:uid="{00000000-0004-0000-6400-0000AE000000}"/>
    <hyperlink ref="B189" r:id="rId176" xr:uid="{00000000-0004-0000-6400-0000AF000000}"/>
    <hyperlink ref="B190" r:id="rId177" xr:uid="{00000000-0004-0000-6400-0000B0000000}"/>
    <hyperlink ref="B191" r:id="rId178" xr:uid="{00000000-0004-0000-6400-0000B1000000}"/>
    <hyperlink ref="B192" r:id="rId179" xr:uid="{00000000-0004-0000-6400-0000B2000000}"/>
    <hyperlink ref="B193" r:id="rId180" xr:uid="{00000000-0004-0000-6400-0000B3000000}"/>
    <hyperlink ref="B194" r:id="rId181" xr:uid="{00000000-0004-0000-6400-0000B4000000}"/>
    <hyperlink ref="B195" r:id="rId182" xr:uid="{00000000-0004-0000-6400-0000B5000000}"/>
    <hyperlink ref="B196" r:id="rId183" xr:uid="{00000000-0004-0000-6400-0000B6000000}"/>
    <hyperlink ref="B198" r:id="rId184" xr:uid="{00000000-0004-0000-6400-0000B7000000}"/>
    <hyperlink ref="B199" r:id="rId185" xr:uid="{00000000-0004-0000-6400-0000B8000000}"/>
    <hyperlink ref="B200" r:id="rId186" xr:uid="{00000000-0004-0000-6400-0000B9000000}"/>
    <hyperlink ref="B201" r:id="rId187" xr:uid="{00000000-0004-0000-6400-0000BA000000}"/>
    <hyperlink ref="B202" r:id="rId188" xr:uid="{00000000-0004-0000-6400-0000BB000000}"/>
    <hyperlink ref="B203" r:id="rId189" xr:uid="{00000000-0004-0000-6400-0000BC000000}"/>
    <hyperlink ref="B204" r:id="rId190" xr:uid="{00000000-0004-0000-6400-0000BD000000}"/>
    <hyperlink ref="B205" r:id="rId191" xr:uid="{00000000-0004-0000-6400-0000BE000000}"/>
    <hyperlink ref="B206" r:id="rId192" xr:uid="{00000000-0004-0000-6400-0000BF000000}"/>
    <hyperlink ref="B207" r:id="rId193" xr:uid="{00000000-0004-0000-6400-0000C0000000}"/>
    <hyperlink ref="B215" r:id="rId194" xr:uid="{00000000-0004-0000-6400-0000C1000000}"/>
    <hyperlink ref="B216" r:id="rId195" xr:uid="{00000000-0004-0000-6400-0000C2000000}"/>
    <hyperlink ref="B217" r:id="rId196" xr:uid="{00000000-0004-0000-6400-0000C3000000}"/>
    <hyperlink ref="B218" r:id="rId197" xr:uid="{00000000-0004-0000-6400-0000C4000000}"/>
    <hyperlink ref="B219" r:id="rId198" xr:uid="{00000000-0004-0000-6400-0000C5000000}"/>
    <hyperlink ref="B220" r:id="rId199" xr:uid="{00000000-0004-0000-6400-0000C6000000}"/>
    <hyperlink ref="B221" r:id="rId200" xr:uid="{00000000-0004-0000-6400-0000C7000000}"/>
    <hyperlink ref="B222" r:id="rId201" xr:uid="{00000000-0004-0000-6400-0000C8000000}"/>
    <hyperlink ref="B223" r:id="rId202" xr:uid="{00000000-0004-0000-6400-0000C9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02">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16.83203125" customWidth="1"/>
    <col min="4" max="4" width="14" customWidth="1"/>
    <col min="5" max="5" width="15.1640625" customWidth="1"/>
  </cols>
  <sheetData>
    <row r="1" spans="1:10" ht="15.75" customHeight="1">
      <c r="A1" s="131" t="s">
        <v>82</v>
      </c>
      <c r="B1" s="88"/>
      <c r="C1" s="112"/>
      <c r="D1" s="81" t="s">
        <v>181</v>
      </c>
      <c r="E1" s="87"/>
      <c r="F1" s="87"/>
      <c r="G1" s="87"/>
      <c r="H1" s="88"/>
      <c r="I1" s="88"/>
    </row>
    <row r="2" spans="1:10" ht="15.75" customHeight="1">
      <c r="A2" s="88" t="s">
        <v>182</v>
      </c>
      <c r="B2" s="139">
        <v>43868</v>
      </c>
      <c r="C2" s="112"/>
      <c r="D2" s="82">
        <f>SUM(D5:G220)</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48" t="s">
        <v>8875</v>
      </c>
      <c r="B5" s="58" t="str">
        <f>HYPERLINK("https://bulbapedia.bulbagarden.net/wiki/Celebi_V_(Sword_%26_Shield_1)","CelebiV")</f>
        <v>CelebiV</v>
      </c>
      <c r="C5" s="51" t="s">
        <v>205</v>
      </c>
      <c r="D5" s="51"/>
      <c r="E5" s="87"/>
      <c r="F5" s="86"/>
      <c r="G5" s="87"/>
      <c r="H5" s="88"/>
      <c r="I5" s="88"/>
      <c r="J5" s="88"/>
    </row>
    <row r="6" spans="1:10" ht="15.75" customHeight="1">
      <c r="A6" s="48" t="s">
        <v>8876</v>
      </c>
      <c r="B6" s="49" t="s">
        <v>1505</v>
      </c>
      <c r="C6" s="51" t="s">
        <v>205</v>
      </c>
      <c r="D6" s="51"/>
      <c r="E6" s="86"/>
      <c r="F6" s="86"/>
      <c r="G6" s="87"/>
      <c r="H6" s="88"/>
      <c r="I6" s="88"/>
      <c r="J6" s="88"/>
    </row>
    <row r="7" spans="1:10" ht="15.75" customHeight="1">
      <c r="A7" s="48" t="s">
        <v>8877</v>
      </c>
      <c r="B7" s="49" t="s">
        <v>1505</v>
      </c>
      <c r="C7" s="51" t="s">
        <v>205</v>
      </c>
      <c r="D7" s="51"/>
      <c r="E7" s="86"/>
      <c r="F7" s="86"/>
      <c r="G7" s="87"/>
      <c r="H7" s="88"/>
      <c r="I7" s="88"/>
    </row>
    <row r="8" spans="1:10" ht="15.75" customHeight="1">
      <c r="A8" s="48" t="s">
        <v>8878</v>
      </c>
      <c r="B8" s="49" t="s">
        <v>3118</v>
      </c>
      <c r="C8" s="51" t="s">
        <v>205</v>
      </c>
      <c r="D8" s="51"/>
      <c r="E8" s="86"/>
      <c r="F8" s="86"/>
      <c r="G8" s="87"/>
      <c r="H8" s="88"/>
      <c r="I8" s="88"/>
    </row>
    <row r="9" spans="1:10" ht="15.75" customHeight="1">
      <c r="A9" s="48" t="s">
        <v>8879</v>
      </c>
      <c r="B9" s="49" t="s">
        <v>4356</v>
      </c>
      <c r="C9" s="51" t="s">
        <v>205</v>
      </c>
      <c r="D9" s="51"/>
      <c r="E9" s="86"/>
      <c r="F9" s="86"/>
      <c r="G9" s="87"/>
      <c r="H9" s="88"/>
      <c r="I9" s="88"/>
    </row>
    <row r="10" spans="1:10" ht="15.75" customHeight="1">
      <c r="A10" s="48" t="s">
        <v>8880</v>
      </c>
      <c r="B10" s="49" t="s">
        <v>4358</v>
      </c>
      <c r="C10" s="51" t="s">
        <v>205</v>
      </c>
      <c r="D10" s="51"/>
      <c r="E10" s="86"/>
      <c r="F10" s="86"/>
      <c r="G10" s="87"/>
      <c r="H10" s="88"/>
      <c r="I10" s="88"/>
    </row>
    <row r="11" spans="1:10" ht="15.75" customHeight="1">
      <c r="A11" s="48" t="s">
        <v>8881</v>
      </c>
      <c r="B11" s="49" t="s">
        <v>4029</v>
      </c>
      <c r="C11" s="51" t="s">
        <v>205</v>
      </c>
      <c r="D11" s="51"/>
      <c r="E11" s="86"/>
      <c r="F11" s="86"/>
      <c r="G11" s="87"/>
      <c r="H11" s="88"/>
      <c r="I11" s="88"/>
    </row>
    <row r="12" spans="1:10" ht="15.75" customHeight="1">
      <c r="A12" s="48" t="s">
        <v>8882</v>
      </c>
      <c r="B12" s="49" t="s">
        <v>4107</v>
      </c>
      <c r="C12" s="51" t="s">
        <v>205</v>
      </c>
      <c r="D12" s="51"/>
      <c r="E12" s="87"/>
      <c r="F12" s="86"/>
      <c r="G12" s="87"/>
      <c r="H12" s="88"/>
      <c r="I12" s="88"/>
    </row>
    <row r="13" spans="1:10" ht="15.75" customHeight="1">
      <c r="A13" s="48" t="s">
        <v>8883</v>
      </c>
      <c r="B13" s="58" t="str">
        <f>HYPERLINK("https://bulbapedia.bulbagarden.net/wiki/Dhelmise_V_(Sword_%26_Shield_9)","DhelmiseV")</f>
        <v>DhelmiseV</v>
      </c>
      <c r="C13" s="51" t="s">
        <v>205</v>
      </c>
      <c r="D13" s="51"/>
      <c r="E13" s="89"/>
      <c r="F13" s="87"/>
      <c r="G13" s="87"/>
      <c r="H13" s="88"/>
      <c r="I13" s="88"/>
    </row>
    <row r="14" spans="1:10" ht="15.75" customHeight="1">
      <c r="A14" s="48" t="s">
        <v>8884</v>
      </c>
      <c r="B14" s="49" t="s">
        <v>8544</v>
      </c>
      <c r="C14" s="51" t="s">
        <v>205</v>
      </c>
      <c r="D14" s="51"/>
      <c r="E14" s="86"/>
      <c r="F14" s="87"/>
      <c r="G14" s="87"/>
      <c r="H14" s="88"/>
      <c r="I14" s="88"/>
    </row>
    <row r="15" spans="1:10" ht="15.75" customHeight="1">
      <c r="A15" s="48" t="s">
        <v>8885</v>
      </c>
      <c r="B15" s="49" t="s">
        <v>8544</v>
      </c>
      <c r="C15" s="51" t="s">
        <v>205</v>
      </c>
      <c r="D15" s="51"/>
      <c r="E15" s="86"/>
      <c r="F15" s="86"/>
      <c r="G15" s="87"/>
      <c r="H15" s="88"/>
      <c r="I15" s="88"/>
    </row>
    <row r="16" spans="1:10" ht="15.75" customHeight="1">
      <c r="A16" s="48" t="s">
        <v>8886</v>
      </c>
      <c r="B16" s="49" t="s">
        <v>8887</v>
      </c>
      <c r="C16" s="51" t="s">
        <v>205</v>
      </c>
      <c r="D16" s="51"/>
      <c r="E16" s="86"/>
      <c r="F16" s="86"/>
      <c r="G16" s="87"/>
      <c r="H16" s="88"/>
      <c r="I16" s="88"/>
    </row>
    <row r="17" spans="1:9" ht="15.75" customHeight="1">
      <c r="A17" s="48" t="s">
        <v>8888</v>
      </c>
      <c r="B17" s="49" t="s">
        <v>8887</v>
      </c>
      <c r="C17" s="51" t="s">
        <v>205</v>
      </c>
      <c r="D17" s="51"/>
      <c r="E17" s="86"/>
      <c r="F17" s="86"/>
      <c r="G17" s="87"/>
      <c r="H17" s="88"/>
      <c r="I17" s="88"/>
    </row>
    <row r="18" spans="1:9" ht="15.75" customHeight="1">
      <c r="A18" s="48" t="s">
        <v>8889</v>
      </c>
      <c r="B18" s="49" t="s">
        <v>8890</v>
      </c>
      <c r="C18" s="51" t="s">
        <v>205</v>
      </c>
      <c r="D18" s="51"/>
      <c r="E18" s="86"/>
      <c r="F18" s="86"/>
      <c r="G18" s="87"/>
      <c r="H18" s="88"/>
      <c r="I18" s="88"/>
    </row>
    <row r="19" spans="1:9" ht="15.75" customHeight="1">
      <c r="A19" s="48" t="s">
        <v>8891</v>
      </c>
      <c r="B19" s="49" t="s">
        <v>8890</v>
      </c>
      <c r="C19" s="51" t="s">
        <v>205</v>
      </c>
      <c r="D19" s="51"/>
      <c r="E19" s="86"/>
      <c r="F19" s="86"/>
      <c r="G19" s="87"/>
      <c r="H19" s="88"/>
      <c r="I19" s="88"/>
    </row>
    <row r="20" spans="1:9" ht="15.75" customHeight="1">
      <c r="A20" s="48" t="s">
        <v>8892</v>
      </c>
      <c r="B20" s="49" t="s">
        <v>8893</v>
      </c>
      <c r="C20" s="51" t="s">
        <v>205</v>
      </c>
      <c r="D20" s="51"/>
      <c r="E20" s="86"/>
      <c r="F20" s="86"/>
      <c r="G20" s="87"/>
      <c r="H20" s="88"/>
      <c r="I20" s="88"/>
    </row>
    <row r="21" spans="1:9" ht="15.75" customHeight="1">
      <c r="A21" s="48" t="s">
        <v>8894</v>
      </c>
      <c r="B21" s="49" t="s">
        <v>8893</v>
      </c>
      <c r="C21" s="51" t="s">
        <v>205</v>
      </c>
      <c r="D21" s="51"/>
      <c r="E21" s="86"/>
      <c r="F21" s="89"/>
      <c r="G21" s="87"/>
      <c r="H21" s="88"/>
      <c r="I21" s="88"/>
    </row>
    <row r="22" spans="1:9" ht="15.75" customHeight="1">
      <c r="A22" s="48" t="s">
        <v>8895</v>
      </c>
      <c r="B22" s="49" t="s">
        <v>8896</v>
      </c>
      <c r="C22" s="51" t="s">
        <v>205</v>
      </c>
      <c r="D22" s="51"/>
      <c r="E22" s="86"/>
      <c r="F22" s="87"/>
      <c r="G22" s="87"/>
      <c r="H22" s="88"/>
      <c r="I22" s="88"/>
    </row>
    <row r="23" spans="1:9" ht="15.75" customHeight="1">
      <c r="A23" s="48" t="s">
        <v>8897</v>
      </c>
      <c r="B23" s="49" t="s">
        <v>8898</v>
      </c>
      <c r="C23" s="51" t="s">
        <v>205</v>
      </c>
      <c r="D23" s="51"/>
      <c r="E23" s="51"/>
    </row>
    <row r="24" spans="1:9" ht="15.75" customHeight="1">
      <c r="A24" s="48" t="s">
        <v>8899</v>
      </c>
      <c r="B24" s="49" t="s">
        <v>8558</v>
      </c>
      <c r="C24" s="51" t="s">
        <v>205</v>
      </c>
      <c r="D24" s="51"/>
      <c r="E24" s="86"/>
      <c r="F24" s="87"/>
      <c r="G24" s="87"/>
      <c r="H24" s="88"/>
      <c r="I24" s="88"/>
    </row>
    <row r="25" spans="1:9" ht="15.75" customHeight="1">
      <c r="A25" s="48" t="s">
        <v>8900</v>
      </c>
      <c r="B25" s="49" t="s">
        <v>8614</v>
      </c>
      <c r="C25" s="51" t="s">
        <v>205</v>
      </c>
      <c r="D25" s="51"/>
      <c r="E25" s="86"/>
      <c r="F25" s="89"/>
      <c r="G25" s="87"/>
      <c r="H25" s="88"/>
      <c r="I25" s="88"/>
    </row>
    <row r="26" spans="1:9" ht="15.75" customHeight="1">
      <c r="A26" s="48" t="s">
        <v>8901</v>
      </c>
      <c r="B26" s="49" t="s">
        <v>299</v>
      </c>
      <c r="C26" s="51" t="s">
        <v>199</v>
      </c>
      <c r="D26" s="51"/>
      <c r="E26" s="86"/>
      <c r="F26" s="86"/>
      <c r="G26" s="87"/>
      <c r="H26" s="88"/>
      <c r="I26" s="88"/>
    </row>
    <row r="27" spans="1:9" ht="15.75" customHeight="1">
      <c r="A27" s="48" t="s">
        <v>8902</v>
      </c>
      <c r="B27" s="49" t="s">
        <v>249</v>
      </c>
      <c r="C27" s="51" t="s">
        <v>199</v>
      </c>
      <c r="D27" s="51"/>
      <c r="E27" s="86"/>
      <c r="F27" s="89"/>
      <c r="G27" s="87"/>
      <c r="H27" s="88"/>
      <c r="I27" s="88"/>
    </row>
    <row r="28" spans="1:9" ht="15.75" customHeight="1">
      <c r="A28" s="48" t="s">
        <v>8903</v>
      </c>
      <c r="B28" s="58" t="str">
        <f>HYPERLINK("https://bulbapedia.bulbagarden.net/wiki/Torkoal_V_(Sword_%26_Shield_24)","TorkoalV")</f>
        <v>TorkoalV</v>
      </c>
      <c r="C28" s="51" t="s">
        <v>199</v>
      </c>
      <c r="D28" s="51"/>
      <c r="E28" s="86"/>
      <c r="F28" s="87"/>
      <c r="G28" s="87"/>
      <c r="H28" s="88"/>
      <c r="I28" s="88"/>
    </row>
    <row r="29" spans="1:9" ht="15.75" customHeight="1">
      <c r="A29" s="48" t="s">
        <v>8904</v>
      </c>
      <c r="B29" s="58" t="str">
        <f>HYPERLINK("https://bulbapedia.bulbagarden.net/wiki/Victini_V_(Sword_%26_Shield_25)","VictiniV")</f>
        <v>VictiniV</v>
      </c>
      <c r="C29" s="51" t="s">
        <v>199</v>
      </c>
      <c r="D29" s="51"/>
      <c r="E29" s="86"/>
      <c r="F29" s="87"/>
      <c r="G29" s="87"/>
      <c r="H29" s="88"/>
      <c r="I29" s="88"/>
    </row>
    <row r="30" spans="1:9" ht="15.75" customHeight="1">
      <c r="A30" s="48" t="s">
        <v>8905</v>
      </c>
      <c r="B30" s="49" t="s">
        <v>4056</v>
      </c>
      <c r="C30" s="51" t="s">
        <v>199</v>
      </c>
      <c r="D30" s="51"/>
      <c r="E30" s="86"/>
      <c r="F30" s="87"/>
      <c r="G30" s="87"/>
      <c r="H30" s="88"/>
      <c r="I30" s="88"/>
    </row>
    <row r="31" spans="1:9" ht="15.75" customHeight="1">
      <c r="A31" s="48" t="s">
        <v>8906</v>
      </c>
      <c r="B31" s="49" t="s">
        <v>6366</v>
      </c>
      <c r="C31" s="51" t="s">
        <v>199</v>
      </c>
      <c r="D31" s="51"/>
      <c r="E31" s="86"/>
      <c r="F31" s="87"/>
      <c r="G31" s="87"/>
      <c r="H31" s="88"/>
      <c r="I31" s="88"/>
    </row>
    <row r="32" spans="1:9" ht="15.75" customHeight="1">
      <c r="A32" s="48" t="s">
        <v>8907</v>
      </c>
      <c r="B32" s="49" t="s">
        <v>6545</v>
      </c>
      <c r="C32" s="51" t="s">
        <v>199</v>
      </c>
      <c r="D32" s="51"/>
      <c r="E32" s="86"/>
      <c r="F32" s="87"/>
      <c r="G32" s="87"/>
      <c r="H32" s="88"/>
      <c r="I32" s="88"/>
    </row>
    <row r="33" spans="1:9" ht="15.75" customHeight="1">
      <c r="A33" s="48" t="s">
        <v>8908</v>
      </c>
      <c r="B33" s="49" t="s">
        <v>6214</v>
      </c>
      <c r="C33" s="51" t="s">
        <v>199</v>
      </c>
      <c r="D33" s="51"/>
      <c r="E33" s="86"/>
      <c r="F33" s="87"/>
      <c r="G33" s="87"/>
      <c r="H33" s="88"/>
      <c r="I33" s="88"/>
    </row>
    <row r="34" spans="1:9" ht="15.75" customHeight="1">
      <c r="A34" s="48" t="s">
        <v>8909</v>
      </c>
      <c r="B34" s="49" t="s">
        <v>8546</v>
      </c>
      <c r="C34" s="51" t="s">
        <v>199</v>
      </c>
      <c r="D34" s="51"/>
      <c r="E34" s="86"/>
      <c r="F34" s="87"/>
      <c r="G34" s="87"/>
      <c r="H34" s="88"/>
      <c r="I34" s="88"/>
    </row>
    <row r="35" spans="1:9" ht="15.75" customHeight="1">
      <c r="A35" s="48" t="s">
        <v>8910</v>
      </c>
      <c r="B35" s="49" t="s">
        <v>8546</v>
      </c>
      <c r="C35" s="51" t="s">
        <v>199</v>
      </c>
      <c r="D35" s="51"/>
      <c r="E35" s="86"/>
      <c r="F35" s="86"/>
      <c r="G35" s="87"/>
      <c r="H35" s="88"/>
      <c r="I35" s="88"/>
    </row>
    <row r="36" spans="1:9" ht="15.75" customHeight="1">
      <c r="A36" s="48" t="s">
        <v>8911</v>
      </c>
      <c r="B36" s="49" t="s">
        <v>8912</v>
      </c>
      <c r="C36" s="51" t="s">
        <v>199</v>
      </c>
      <c r="D36" s="51"/>
      <c r="E36" s="86"/>
      <c r="F36" s="87"/>
      <c r="G36" s="87"/>
      <c r="H36" s="88"/>
      <c r="I36" s="88"/>
    </row>
    <row r="37" spans="1:9" ht="15.75" customHeight="1">
      <c r="A37" s="48" t="s">
        <v>8913</v>
      </c>
      <c r="B37" s="49" t="s">
        <v>8912</v>
      </c>
      <c r="C37" s="51" t="s">
        <v>199</v>
      </c>
      <c r="D37" s="51"/>
      <c r="E37" s="89"/>
      <c r="F37" s="87"/>
      <c r="G37" s="87"/>
      <c r="H37" s="88"/>
      <c r="I37" s="88"/>
    </row>
    <row r="38" spans="1:9" ht="15.75" customHeight="1">
      <c r="A38" s="48" t="s">
        <v>8914</v>
      </c>
      <c r="B38" s="49" t="s">
        <v>8720</v>
      </c>
      <c r="C38" s="51" t="s">
        <v>199</v>
      </c>
      <c r="D38" s="54"/>
      <c r="E38" s="86"/>
      <c r="F38" s="87"/>
      <c r="G38" s="87"/>
      <c r="H38" s="88"/>
      <c r="I38" s="88"/>
    </row>
    <row r="39" spans="1:9" ht="15.75" customHeight="1">
      <c r="A39" s="48" t="s">
        <v>8915</v>
      </c>
      <c r="B39" s="49" t="s">
        <v>8720</v>
      </c>
      <c r="C39" s="51" t="s">
        <v>199</v>
      </c>
      <c r="D39" s="54"/>
      <c r="E39" s="86"/>
      <c r="F39" s="86"/>
      <c r="G39" s="87"/>
      <c r="H39" s="88"/>
      <c r="I39" s="88"/>
    </row>
    <row r="40" spans="1:9" ht="15.75" customHeight="1">
      <c r="A40" s="48" t="s">
        <v>8916</v>
      </c>
      <c r="B40" s="49" t="s">
        <v>8720</v>
      </c>
      <c r="C40" s="51" t="s">
        <v>199</v>
      </c>
      <c r="D40" s="51"/>
      <c r="E40" s="86"/>
      <c r="F40" s="87"/>
      <c r="G40" s="87"/>
      <c r="H40" s="88"/>
      <c r="I40" s="88"/>
    </row>
    <row r="41" spans="1:9" ht="15.75" customHeight="1">
      <c r="A41" s="48" t="s">
        <v>8917</v>
      </c>
      <c r="B41" s="49" t="s">
        <v>8918</v>
      </c>
      <c r="C41" s="51" t="s">
        <v>199</v>
      </c>
      <c r="D41" s="51"/>
      <c r="E41" s="86"/>
      <c r="F41" s="87"/>
      <c r="G41" s="87"/>
      <c r="H41" s="88"/>
      <c r="I41" s="88"/>
    </row>
    <row r="42" spans="1:9" ht="15.75" customHeight="1">
      <c r="A42" s="48" t="s">
        <v>8919</v>
      </c>
      <c r="B42" s="49" t="s">
        <v>8918</v>
      </c>
      <c r="C42" s="51" t="s">
        <v>199</v>
      </c>
      <c r="D42" s="51"/>
      <c r="E42" s="86"/>
      <c r="F42" s="87"/>
      <c r="G42" s="87"/>
      <c r="H42" s="88"/>
      <c r="I42" s="88"/>
    </row>
    <row r="43" spans="1:9" ht="15.75" customHeight="1">
      <c r="A43" s="48" t="s">
        <v>8920</v>
      </c>
      <c r="B43" s="49" t="s">
        <v>8618</v>
      </c>
      <c r="C43" s="51" t="s">
        <v>199</v>
      </c>
      <c r="D43" s="51"/>
      <c r="E43" s="86"/>
      <c r="F43" s="87"/>
      <c r="G43" s="87"/>
      <c r="H43" s="88"/>
      <c r="I43" s="88"/>
    </row>
    <row r="44" spans="1:9" ht="15.75" customHeight="1">
      <c r="A44" s="48" t="s">
        <v>8921</v>
      </c>
      <c r="B44" s="49" t="s">
        <v>386</v>
      </c>
      <c r="C44" s="51" t="s">
        <v>208</v>
      </c>
      <c r="D44" s="51"/>
      <c r="E44" s="86"/>
      <c r="F44" s="87"/>
      <c r="G44" s="87"/>
      <c r="H44" s="88"/>
      <c r="I44" s="88"/>
    </row>
    <row r="45" spans="1:9" ht="15.75" customHeight="1">
      <c r="A45" s="48" t="s">
        <v>8922</v>
      </c>
      <c r="B45" s="49" t="s">
        <v>367</v>
      </c>
      <c r="C45" s="51" t="s">
        <v>208</v>
      </c>
      <c r="D45" s="51"/>
      <c r="E45" s="89"/>
      <c r="F45" s="87"/>
      <c r="G45" s="87"/>
      <c r="H45" s="88"/>
      <c r="I45" s="88"/>
    </row>
    <row r="46" spans="1:9" ht="15.75" customHeight="1">
      <c r="A46" s="48" t="s">
        <v>8923</v>
      </c>
      <c r="B46" s="49" t="s">
        <v>384</v>
      </c>
      <c r="C46" s="51" t="s">
        <v>208</v>
      </c>
      <c r="D46" s="51"/>
      <c r="E46" s="86"/>
      <c r="F46" s="86"/>
      <c r="G46" s="87"/>
      <c r="H46" s="88"/>
      <c r="I46" s="88"/>
    </row>
    <row r="47" spans="1:9" ht="15.75" customHeight="1">
      <c r="A47" s="48" t="s">
        <v>8924</v>
      </c>
      <c r="B47" s="49" t="s">
        <v>384</v>
      </c>
      <c r="C47" s="51" t="s">
        <v>208</v>
      </c>
      <c r="D47" s="51"/>
      <c r="E47" s="89"/>
      <c r="F47" s="87"/>
      <c r="G47" s="87"/>
      <c r="H47" s="88"/>
      <c r="I47" s="88"/>
    </row>
    <row r="48" spans="1:9" ht="15.75" customHeight="1">
      <c r="A48" s="48" t="s">
        <v>8925</v>
      </c>
      <c r="B48" s="49" t="s">
        <v>372</v>
      </c>
      <c r="C48" s="51" t="s">
        <v>208</v>
      </c>
      <c r="D48" s="51"/>
      <c r="E48" s="86"/>
      <c r="F48" s="86"/>
      <c r="G48" s="87"/>
      <c r="H48" s="88"/>
      <c r="I48" s="88"/>
    </row>
    <row r="49" spans="1:9" ht="15.75" customHeight="1">
      <c r="A49" s="48" t="s">
        <v>8926</v>
      </c>
      <c r="B49" s="49" t="s">
        <v>349</v>
      </c>
      <c r="C49" s="51" t="s">
        <v>208</v>
      </c>
      <c r="D49" s="51"/>
      <c r="E49" s="86"/>
      <c r="F49" s="87"/>
      <c r="G49" s="87"/>
      <c r="H49" s="88"/>
      <c r="I49" s="88"/>
    </row>
    <row r="50" spans="1:9" ht="15.75" customHeight="1">
      <c r="A50" s="48" t="s">
        <v>8927</v>
      </c>
      <c r="B50" s="49" t="s">
        <v>349</v>
      </c>
      <c r="C50" s="51" t="s">
        <v>208</v>
      </c>
      <c r="D50" s="51"/>
      <c r="E50" s="86"/>
      <c r="F50" s="87"/>
      <c r="G50" s="87"/>
      <c r="H50" s="88"/>
      <c r="I50" s="88"/>
    </row>
    <row r="51" spans="1:9" ht="15.75" customHeight="1">
      <c r="A51" s="48" t="s">
        <v>8928</v>
      </c>
      <c r="B51" s="49" t="s">
        <v>343</v>
      </c>
      <c r="C51" s="51" t="s">
        <v>208</v>
      </c>
      <c r="D51" s="51"/>
      <c r="E51" s="89"/>
      <c r="F51" s="87"/>
      <c r="G51" s="87"/>
      <c r="H51" s="88"/>
      <c r="I51" s="88"/>
    </row>
    <row r="52" spans="1:9" ht="15.75" customHeight="1">
      <c r="A52" s="48" t="s">
        <v>8929</v>
      </c>
      <c r="B52" s="58" t="str">
        <f>HYPERLINK("https://bulbapedia.bulbagarden.net/wiki/Lapras_(Sword_%26_Shield_48)","Lapras")</f>
        <v>Lapras</v>
      </c>
      <c r="C52" s="51" t="s">
        <v>208</v>
      </c>
      <c r="D52" s="51"/>
      <c r="E52" s="89"/>
      <c r="F52" s="87"/>
      <c r="G52" s="87"/>
      <c r="H52" s="88"/>
      <c r="I52" s="88"/>
    </row>
    <row r="53" spans="1:9" ht="13">
      <c r="A53" s="48" t="s">
        <v>8930</v>
      </c>
      <c r="B53" s="58" t="str">
        <f>HYPERLINK("https://bulbapedia.bulbagarden.net/wiki/Lapras_V_(Sword_%26_Shield_49)","LaprasV")</f>
        <v>LaprasV</v>
      </c>
      <c r="C53" s="51" t="s">
        <v>208</v>
      </c>
      <c r="D53" s="51"/>
      <c r="E53" s="87"/>
      <c r="F53" s="87"/>
      <c r="G53" s="87"/>
      <c r="H53" s="88"/>
      <c r="I53" s="88"/>
    </row>
    <row r="54" spans="1:9" ht="13">
      <c r="A54" s="48" t="s">
        <v>8931</v>
      </c>
      <c r="B54" s="58" t="str">
        <f>HYPERLINK("https://bulbapedia.bulbagarden.net/wiki/Lapras_VMAX_(Sword_%26_Shield_50)","LaprasVMAX")</f>
        <v>LaprasVMAX</v>
      </c>
      <c r="C54" s="51" t="s">
        <v>208</v>
      </c>
      <c r="D54" s="51"/>
      <c r="E54" s="87"/>
      <c r="F54" s="87"/>
      <c r="G54" s="87"/>
      <c r="H54" s="88"/>
      <c r="I54" s="88"/>
    </row>
    <row r="55" spans="1:9" ht="13">
      <c r="A55" s="48" t="s">
        <v>8932</v>
      </c>
      <c r="B55" s="49" t="s">
        <v>978</v>
      </c>
      <c r="C55" s="51" t="s">
        <v>208</v>
      </c>
      <c r="D55" s="51"/>
      <c r="E55" s="86"/>
      <c r="F55" s="87"/>
      <c r="G55" s="87"/>
      <c r="H55" s="88"/>
      <c r="I55" s="88"/>
    </row>
    <row r="56" spans="1:9" ht="13">
      <c r="A56" s="48" t="s">
        <v>8933</v>
      </c>
      <c r="B56" s="49" t="s">
        <v>876</v>
      </c>
      <c r="C56" s="51" t="s">
        <v>208</v>
      </c>
      <c r="D56" s="51"/>
      <c r="E56" s="89"/>
      <c r="F56" s="86"/>
      <c r="G56" s="87"/>
      <c r="H56" s="88"/>
      <c r="I56" s="88"/>
    </row>
    <row r="57" spans="1:9" ht="13">
      <c r="A57" s="48" t="s">
        <v>8934</v>
      </c>
      <c r="B57" s="58" t="str">
        <f>HYPERLINK("https://bulbapedia.bulbagarden.net/wiki/Keldeo_V_(Sword_%26_Shield_53)","KeldeoV")</f>
        <v>KeldeoV</v>
      </c>
      <c r="C57" s="51" t="s">
        <v>208</v>
      </c>
      <c r="D57" s="51"/>
      <c r="E57" s="86"/>
      <c r="F57" s="89"/>
      <c r="G57" s="87"/>
      <c r="H57" s="88"/>
      <c r="I57" s="88"/>
    </row>
    <row r="58" spans="1:9" ht="13">
      <c r="A58" s="48" t="s">
        <v>8935</v>
      </c>
      <c r="B58" s="49" t="s">
        <v>8548</v>
      </c>
      <c r="C58" s="51" t="s">
        <v>208</v>
      </c>
      <c r="D58" s="51"/>
      <c r="E58" s="86"/>
      <c r="F58" s="87"/>
      <c r="G58" s="87"/>
      <c r="H58" s="88"/>
      <c r="I58" s="88"/>
    </row>
    <row r="59" spans="1:9" ht="13">
      <c r="A59" s="48" t="s">
        <v>8936</v>
      </c>
      <c r="B59" s="49" t="s">
        <v>8548</v>
      </c>
      <c r="C59" s="51" t="s">
        <v>208</v>
      </c>
      <c r="D59" s="51"/>
      <c r="E59" s="89"/>
      <c r="F59" s="87"/>
      <c r="G59" s="87"/>
      <c r="H59" s="88"/>
      <c r="I59" s="88"/>
    </row>
    <row r="60" spans="1:9" ht="13">
      <c r="A60" s="48" t="s">
        <v>8937</v>
      </c>
      <c r="B60" s="49" t="s">
        <v>8938</v>
      </c>
      <c r="C60" s="51" t="s">
        <v>208</v>
      </c>
      <c r="D60" s="51"/>
      <c r="E60" s="87"/>
      <c r="F60" s="87"/>
      <c r="G60" s="87"/>
      <c r="H60" s="88"/>
      <c r="I60" s="88"/>
    </row>
    <row r="61" spans="1:9" ht="13">
      <c r="A61" s="48" t="s">
        <v>8939</v>
      </c>
      <c r="B61" s="49" t="s">
        <v>8938</v>
      </c>
      <c r="C61" s="51" t="s">
        <v>208</v>
      </c>
      <c r="D61" s="51"/>
      <c r="E61" s="86"/>
      <c r="F61" s="87"/>
      <c r="G61" s="87"/>
      <c r="H61" s="88"/>
      <c r="I61" s="88"/>
    </row>
    <row r="62" spans="1:9" ht="13">
      <c r="A62" s="48" t="s">
        <v>8940</v>
      </c>
      <c r="B62" s="49" t="s">
        <v>8722</v>
      </c>
      <c r="C62" s="51" t="s">
        <v>208</v>
      </c>
      <c r="D62" s="51"/>
      <c r="E62" s="89"/>
      <c r="F62" s="86"/>
      <c r="G62" s="87"/>
      <c r="H62" s="88"/>
      <c r="I62" s="88"/>
    </row>
    <row r="63" spans="1:9" ht="13">
      <c r="A63" s="48" t="s">
        <v>8941</v>
      </c>
      <c r="B63" s="49" t="s">
        <v>8722</v>
      </c>
      <c r="C63" s="51" t="s">
        <v>208</v>
      </c>
      <c r="D63" s="51"/>
      <c r="E63" s="89"/>
      <c r="F63" s="87"/>
      <c r="G63" s="87"/>
      <c r="H63" s="88"/>
      <c r="I63" s="88"/>
    </row>
    <row r="64" spans="1:9" ht="13">
      <c r="A64" s="48" t="s">
        <v>8942</v>
      </c>
      <c r="B64" s="49" t="s">
        <v>8943</v>
      </c>
      <c r="C64" s="51" t="s">
        <v>208</v>
      </c>
      <c r="D64" s="51"/>
      <c r="E64" s="86"/>
      <c r="F64" s="87"/>
      <c r="G64" s="87"/>
      <c r="H64" s="88"/>
      <c r="I64" s="88"/>
    </row>
    <row r="65" spans="1:9" ht="13">
      <c r="A65" s="48" t="s">
        <v>8944</v>
      </c>
      <c r="B65" s="49" t="s">
        <v>8616</v>
      </c>
      <c r="C65" s="51" t="s">
        <v>208</v>
      </c>
      <c r="D65" s="51"/>
      <c r="E65" s="86"/>
      <c r="F65" s="87"/>
      <c r="G65" s="87"/>
      <c r="H65" s="88"/>
      <c r="I65" s="88"/>
    </row>
    <row r="66" spans="1:9" ht="13">
      <c r="A66" s="48" t="s">
        <v>8945</v>
      </c>
      <c r="B66" s="49" t="s">
        <v>8946</v>
      </c>
      <c r="C66" s="51" t="s">
        <v>208</v>
      </c>
      <c r="D66" s="51"/>
      <c r="E66" s="86"/>
      <c r="F66" s="87"/>
      <c r="G66" s="87"/>
      <c r="H66" s="88"/>
      <c r="I66" s="88"/>
    </row>
    <row r="67" spans="1:9" ht="13">
      <c r="A67" s="48" t="s">
        <v>8947</v>
      </c>
      <c r="B67" s="49" t="s">
        <v>8948</v>
      </c>
      <c r="C67" s="51" t="s">
        <v>208</v>
      </c>
      <c r="D67" s="51"/>
      <c r="E67" s="86"/>
      <c r="F67" s="87"/>
      <c r="G67" s="87"/>
      <c r="H67" s="88"/>
      <c r="I67" s="88"/>
    </row>
    <row r="68" spans="1:9" ht="13">
      <c r="A68" s="48" t="s">
        <v>8949</v>
      </c>
      <c r="B68" s="49" t="s">
        <v>8950</v>
      </c>
      <c r="C68" s="51" t="s">
        <v>208</v>
      </c>
      <c r="D68" s="54"/>
      <c r="E68" s="86"/>
      <c r="F68" s="86"/>
      <c r="G68" s="87"/>
      <c r="H68" s="88"/>
      <c r="I68" s="88"/>
    </row>
    <row r="69" spans="1:9" ht="13">
      <c r="A69" s="48" t="s">
        <v>8951</v>
      </c>
      <c r="B69" s="49" t="s">
        <v>191</v>
      </c>
      <c r="C69" s="51" t="s">
        <v>192</v>
      </c>
      <c r="D69" s="51"/>
      <c r="E69" s="86"/>
      <c r="F69" s="87"/>
      <c r="G69" s="87"/>
      <c r="H69" s="88"/>
      <c r="I69" s="88"/>
    </row>
    <row r="70" spans="1:9" ht="13">
      <c r="A70" s="48" t="s">
        <v>8952</v>
      </c>
      <c r="B70" s="49" t="s">
        <v>251</v>
      </c>
      <c r="C70" s="51" t="s">
        <v>192</v>
      </c>
      <c r="D70" s="51"/>
      <c r="E70" s="86"/>
      <c r="F70" s="87"/>
      <c r="G70" s="87"/>
      <c r="H70" s="88"/>
      <c r="I70" s="88"/>
    </row>
    <row r="71" spans="1:9" ht="13">
      <c r="A71" s="48" t="s">
        <v>8953</v>
      </c>
      <c r="B71" s="49" t="s">
        <v>860</v>
      </c>
      <c r="C71" s="51" t="s">
        <v>192</v>
      </c>
      <c r="D71" s="51"/>
      <c r="E71" s="86"/>
      <c r="F71" s="86"/>
      <c r="G71" s="87"/>
      <c r="H71" s="88"/>
      <c r="I71" s="88"/>
    </row>
    <row r="72" spans="1:9" ht="13">
      <c r="A72" s="48" t="s">
        <v>8954</v>
      </c>
      <c r="B72" s="49" t="s">
        <v>860</v>
      </c>
      <c r="C72" s="51" t="s">
        <v>192</v>
      </c>
      <c r="D72" s="51"/>
      <c r="E72" s="86"/>
      <c r="F72" s="87"/>
      <c r="G72" s="87"/>
      <c r="H72" s="88"/>
      <c r="I72" s="88"/>
    </row>
    <row r="73" spans="1:9" ht="13">
      <c r="A73" s="48" t="s">
        <v>8955</v>
      </c>
      <c r="B73" s="49" t="s">
        <v>831</v>
      </c>
      <c r="C73" s="51" t="s">
        <v>192</v>
      </c>
      <c r="D73" s="51"/>
      <c r="E73" s="86"/>
      <c r="F73" s="87"/>
      <c r="G73" s="87"/>
      <c r="H73" s="88"/>
      <c r="I73" s="88"/>
    </row>
    <row r="74" spans="1:9" ht="13">
      <c r="A74" s="48" t="s">
        <v>8956</v>
      </c>
      <c r="B74" s="49" t="s">
        <v>4151</v>
      </c>
      <c r="C74" s="51" t="s">
        <v>192</v>
      </c>
      <c r="D74" s="51"/>
      <c r="E74" s="86"/>
      <c r="F74" s="87"/>
      <c r="G74" s="87"/>
      <c r="H74" s="88"/>
      <c r="I74" s="88"/>
    </row>
    <row r="75" spans="1:9" ht="13">
      <c r="A75" s="48" t="s">
        <v>8957</v>
      </c>
      <c r="B75" s="49" t="s">
        <v>4152</v>
      </c>
      <c r="C75" s="51" t="s">
        <v>192</v>
      </c>
      <c r="D75" s="51"/>
      <c r="E75" s="86"/>
      <c r="F75" s="87"/>
      <c r="G75" s="87"/>
      <c r="H75" s="88"/>
      <c r="I75" s="88"/>
    </row>
    <row r="76" spans="1:9" ht="13">
      <c r="A76" s="48" t="s">
        <v>8958</v>
      </c>
      <c r="B76" s="58" t="str">
        <f>HYPERLINK("https://bulbapedia.bulbagarden.net/wiki/Tapu_Koko_V_(Sword_%26_Shield_72)","Tapu KokoV")</f>
        <v>Tapu KokoV</v>
      </c>
      <c r="C76" s="51" t="s">
        <v>192</v>
      </c>
      <c r="D76" s="51"/>
      <c r="E76" s="86"/>
      <c r="F76" s="87"/>
      <c r="G76" s="87"/>
      <c r="H76" s="88"/>
      <c r="I76" s="88"/>
    </row>
    <row r="77" spans="1:9" ht="13">
      <c r="A77" s="48" t="s">
        <v>8959</v>
      </c>
      <c r="B77" s="49" t="s">
        <v>8960</v>
      </c>
      <c r="C77" s="51" t="s">
        <v>192</v>
      </c>
      <c r="D77" s="51"/>
      <c r="E77" s="86"/>
      <c r="F77" s="87"/>
      <c r="G77" s="87"/>
      <c r="H77" s="88"/>
      <c r="I77" s="88"/>
    </row>
    <row r="78" spans="1:9" ht="13">
      <c r="A78" s="48" t="s">
        <v>8961</v>
      </c>
      <c r="B78" s="49" t="s">
        <v>8960</v>
      </c>
      <c r="C78" s="51" t="s">
        <v>192</v>
      </c>
      <c r="D78" s="51"/>
      <c r="E78" s="86"/>
      <c r="F78" s="87"/>
      <c r="G78" s="87"/>
      <c r="H78" s="88"/>
      <c r="I78" s="88"/>
    </row>
    <row r="79" spans="1:9" ht="13">
      <c r="A79" s="48" t="s">
        <v>8962</v>
      </c>
      <c r="B79" s="49" t="s">
        <v>8963</v>
      </c>
      <c r="C79" s="51" t="s">
        <v>192</v>
      </c>
      <c r="D79" s="54"/>
      <c r="E79" s="86"/>
      <c r="F79" s="86"/>
      <c r="G79" s="87"/>
      <c r="H79" s="88"/>
      <c r="I79" s="88"/>
    </row>
    <row r="80" spans="1:9" ht="13">
      <c r="A80" s="48" t="s">
        <v>8964</v>
      </c>
      <c r="B80" s="49" t="s">
        <v>8963</v>
      </c>
      <c r="C80" s="51" t="s">
        <v>192</v>
      </c>
      <c r="D80" s="54"/>
      <c r="E80" s="86"/>
      <c r="F80" s="86"/>
      <c r="G80" s="87"/>
      <c r="H80" s="88"/>
      <c r="I80" s="88"/>
    </row>
    <row r="81" spans="1:9" ht="13">
      <c r="A81" s="48" t="s">
        <v>8965</v>
      </c>
      <c r="B81" s="49" t="s">
        <v>8966</v>
      </c>
      <c r="C81" s="51" t="s">
        <v>192</v>
      </c>
      <c r="D81" s="51"/>
      <c r="E81" s="86"/>
      <c r="F81" s="87"/>
      <c r="G81" s="87"/>
      <c r="H81" s="88"/>
      <c r="I81" s="88"/>
    </row>
    <row r="82" spans="1:9" ht="13">
      <c r="A82" s="48" t="s">
        <v>8967</v>
      </c>
      <c r="B82" s="49" t="s">
        <v>8562</v>
      </c>
      <c r="C82" s="51" t="s">
        <v>192</v>
      </c>
      <c r="D82" s="54"/>
      <c r="E82" s="87"/>
      <c r="F82" s="87"/>
      <c r="G82" s="87"/>
      <c r="H82" s="88"/>
      <c r="I82" s="88"/>
    </row>
    <row r="83" spans="1:9" ht="13">
      <c r="A83" s="48" t="s">
        <v>8968</v>
      </c>
      <c r="B83" s="58" t="str">
        <f>HYPERLINK("https://bulbapedia.bulbagarden.net/wiki/Morpeko_V_(Sword_%26_Shield_79)","MorpekoV")</f>
        <v>MorpekoV</v>
      </c>
      <c r="C83" s="51" t="s">
        <v>192</v>
      </c>
      <c r="D83" s="51"/>
      <c r="E83" s="86"/>
      <c r="F83" s="89"/>
      <c r="G83" s="87"/>
      <c r="H83" s="88"/>
      <c r="I83" s="88"/>
    </row>
    <row r="84" spans="1:9" ht="13">
      <c r="A84" s="48" t="s">
        <v>8969</v>
      </c>
      <c r="B84" s="58" t="str">
        <f>HYPERLINK("https://bulbapedia.bulbagarden.net/wiki/Morpeko_VMAX_(Sword_%26_Shield_80)","MorpekoVMAX")</f>
        <v>MorpekoVMAX</v>
      </c>
      <c r="C84" s="51" t="s">
        <v>192</v>
      </c>
      <c r="D84" s="51"/>
      <c r="E84" s="86"/>
      <c r="F84" s="87"/>
      <c r="G84" s="87"/>
      <c r="H84" s="88"/>
      <c r="I84" s="88"/>
    </row>
    <row r="85" spans="1:9" ht="13">
      <c r="A85" s="48" t="s">
        <v>8970</v>
      </c>
      <c r="B85" s="49" t="s">
        <v>8564</v>
      </c>
      <c r="C85" s="51" t="s">
        <v>195</v>
      </c>
      <c r="D85" s="51"/>
      <c r="E85" s="86"/>
      <c r="F85" s="87"/>
      <c r="G85" s="87"/>
      <c r="H85" s="88"/>
      <c r="I85" s="88"/>
    </row>
    <row r="86" spans="1:9" ht="13">
      <c r="A86" s="48" t="s">
        <v>8971</v>
      </c>
      <c r="B86" s="49" t="s">
        <v>8972</v>
      </c>
      <c r="C86" s="51" t="s">
        <v>195</v>
      </c>
      <c r="D86" s="54"/>
      <c r="E86" s="86"/>
      <c r="F86" s="87"/>
      <c r="G86" s="87"/>
      <c r="H86" s="88"/>
      <c r="I86" s="88"/>
    </row>
    <row r="87" spans="1:9" ht="13">
      <c r="A87" s="48" t="s">
        <v>8973</v>
      </c>
      <c r="B87" s="49" t="s">
        <v>282</v>
      </c>
      <c r="C87" s="51" t="s">
        <v>195</v>
      </c>
      <c r="D87" s="51"/>
      <c r="E87" s="86"/>
      <c r="F87" s="89"/>
      <c r="G87" s="87"/>
      <c r="H87" s="88"/>
      <c r="I87" s="88"/>
    </row>
    <row r="88" spans="1:9" ht="13">
      <c r="A88" s="48" t="s">
        <v>8974</v>
      </c>
      <c r="B88" s="49" t="s">
        <v>263</v>
      </c>
      <c r="C88" s="51" t="s">
        <v>195</v>
      </c>
      <c r="D88" s="51"/>
      <c r="E88" s="86"/>
      <c r="F88" s="87"/>
      <c r="G88" s="87"/>
      <c r="H88" s="88"/>
      <c r="I88" s="88"/>
    </row>
    <row r="89" spans="1:9" ht="13">
      <c r="A89" s="48" t="s">
        <v>8975</v>
      </c>
      <c r="B89" s="49" t="s">
        <v>360</v>
      </c>
      <c r="C89" s="51" t="s">
        <v>195</v>
      </c>
      <c r="D89" s="54"/>
      <c r="E89" s="86"/>
      <c r="F89" s="87"/>
      <c r="G89" s="87"/>
      <c r="H89" s="88"/>
      <c r="I89" s="88"/>
    </row>
    <row r="90" spans="1:9" ht="13">
      <c r="A90" s="48" t="s">
        <v>8976</v>
      </c>
      <c r="B90" s="58" t="str">
        <f>HYPERLINK("https://bulbapedia.bulbagarden.net/wiki/Wobbuffet_V_(Sword_%26_Shield_86)","WobbuffetV")</f>
        <v>WobbuffetV</v>
      </c>
      <c r="C90" s="51" t="s">
        <v>195</v>
      </c>
      <c r="D90" s="51"/>
      <c r="E90" s="87"/>
      <c r="F90" s="87"/>
      <c r="G90" s="87"/>
      <c r="H90" s="88"/>
      <c r="I90" s="88"/>
    </row>
    <row r="91" spans="1:9" ht="13">
      <c r="A91" s="48" t="s">
        <v>8977</v>
      </c>
      <c r="B91" s="49" t="s">
        <v>4034</v>
      </c>
      <c r="C91" s="51" t="s">
        <v>195</v>
      </c>
      <c r="D91" s="51"/>
      <c r="E91" s="86"/>
      <c r="F91" s="87"/>
      <c r="G91" s="87"/>
      <c r="H91" s="88"/>
      <c r="I91" s="88"/>
    </row>
    <row r="92" spans="1:9" ht="13">
      <c r="A92" s="48" t="s">
        <v>8978</v>
      </c>
      <c r="B92" s="49" t="s">
        <v>4130</v>
      </c>
      <c r="C92" s="51" t="s">
        <v>195</v>
      </c>
      <c r="D92" s="51"/>
      <c r="E92" s="86"/>
      <c r="F92" s="87"/>
      <c r="G92" s="87"/>
      <c r="H92" s="88"/>
      <c r="I92" s="88"/>
    </row>
    <row r="93" spans="1:9" ht="13">
      <c r="A93" s="48" t="s">
        <v>8979</v>
      </c>
      <c r="B93" s="49" t="s">
        <v>8980</v>
      </c>
      <c r="C93" s="51" t="s">
        <v>195</v>
      </c>
      <c r="D93" s="51"/>
      <c r="E93" s="86"/>
      <c r="F93" s="87"/>
      <c r="G93" s="87"/>
      <c r="H93" s="88"/>
      <c r="I93" s="88"/>
    </row>
    <row r="94" spans="1:9" ht="13">
      <c r="A94" s="48" t="s">
        <v>8981</v>
      </c>
      <c r="B94" s="49" t="s">
        <v>8667</v>
      </c>
      <c r="C94" s="51" t="s">
        <v>195</v>
      </c>
      <c r="D94" s="51"/>
      <c r="E94" s="86"/>
      <c r="F94" s="87"/>
      <c r="G94" s="87"/>
      <c r="H94" s="88"/>
      <c r="I94" s="88"/>
    </row>
    <row r="95" spans="1:9" ht="13">
      <c r="A95" s="48" t="s">
        <v>8982</v>
      </c>
      <c r="B95" s="58" t="str">
        <f>HYPERLINK("https://bulbapedia.bulbagarden.net/wiki/Indeedee_V_(Sword_%26_Shield_91)","IndeedeeV")</f>
        <v>IndeedeeV</v>
      </c>
      <c r="C95" s="51" t="s">
        <v>195</v>
      </c>
      <c r="D95" s="51"/>
      <c r="E95" s="86"/>
      <c r="F95" s="87"/>
      <c r="G95" s="87"/>
      <c r="H95" s="88"/>
      <c r="I95" s="88"/>
    </row>
    <row r="96" spans="1:9" ht="13">
      <c r="A96" s="48" t="s">
        <v>8983</v>
      </c>
      <c r="B96" s="49" t="s">
        <v>279</v>
      </c>
      <c r="C96" s="51" t="s">
        <v>225</v>
      </c>
      <c r="D96" s="51"/>
      <c r="E96" s="86"/>
      <c r="F96" s="87"/>
      <c r="G96" s="87"/>
      <c r="H96" s="88"/>
      <c r="I96" s="88"/>
    </row>
    <row r="97" spans="1:9" ht="13">
      <c r="A97" s="48" t="s">
        <v>8984</v>
      </c>
      <c r="B97" s="49" t="s">
        <v>255</v>
      </c>
      <c r="C97" s="51" t="s">
        <v>225</v>
      </c>
      <c r="D97" s="51"/>
      <c r="E97" s="86"/>
      <c r="F97" s="87"/>
      <c r="G97" s="87"/>
      <c r="H97" s="88"/>
      <c r="I97" s="88"/>
    </row>
    <row r="98" spans="1:9" ht="13">
      <c r="A98" s="48" t="s">
        <v>8985</v>
      </c>
      <c r="B98" s="49" t="s">
        <v>361</v>
      </c>
      <c r="C98" s="51" t="s">
        <v>225</v>
      </c>
      <c r="D98" s="51"/>
      <c r="E98" s="89"/>
      <c r="F98" s="87"/>
      <c r="G98" s="87"/>
      <c r="H98" s="88"/>
      <c r="I98" s="88"/>
    </row>
    <row r="99" spans="1:9" ht="13">
      <c r="A99" s="48" t="s">
        <v>8986</v>
      </c>
      <c r="B99" s="49" t="s">
        <v>246</v>
      </c>
      <c r="C99" s="51" t="s">
        <v>225</v>
      </c>
      <c r="D99" s="51"/>
      <c r="E99" s="86"/>
      <c r="F99" s="87"/>
      <c r="G99" s="87"/>
      <c r="H99" s="88"/>
      <c r="I99" s="88"/>
    </row>
    <row r="100" spans="1:9" ht="13">
      <c r="A100" s="48" t="s">
        <v>8987</v>
      </c>
      <c r="B100" s="49" t="s">
        <v>354</v>
      </c>
      <c r="C100" s="51" t="s">
        <v>225</v>
      </c>
      <c r="D100" s="51"/>
      <c r="E100" s="86"/>
      <c r="F100" s="87"/>
      <c r="G100" s="87"/>
      <c r="H100" s="88"/>
      <c r="I100" s="88"/>
    </row>
    <row r="101" spans="1:9" ht="13">
      <c r="A101" s="48" t="s">
        <v>8988</v>
      </c>
      <c r="B101" s="49" t="s">
        <v>354</v>
      </c>
      <c r="C101" s="51" t="s">
        <v>225</v>
      </c>
      <c r="D101" s="51"/>
      <c r="E101" s="86"/>
      <c r="F101" s="87"/>
      <c r="G101" s="87"/>
      <c r="H101" s="88"/>
      <c r="I101" s="88"/>
    </row>
    <row r="102" spans="1:9" ht="13">
      <c r="A102" s="48" t="s">
        <v>8989</v>
      </c>
      <c r="B102" s="49" t="s">
        <v>342</v>
      </c>
      <c r="C102" s="51" t="s">
        <v>225</v>
      </c>
      <c r="D102" s="51"/>
      <c r="E102" s="87"/>
      <c r="F102" s="86"/>
      <c r="G102" s="87"/>
      <c r="H102" s="88"/>
      <c r="I102" s="88"/>
    </row>
    <row r="103" spans="1:9" ht="13">
      <c r="A103" s="48" t="s">
        <v>8990</v>
      </c>
      <c r="B103" s="49" t="s">
        <v>3117</v>
      </c>
      <c r="C103" s="51" t="s">
        <v>225</v>
      </c>
      <c r="D103" s="54"/>
      <c r="E103" s="86"/>
      <c r="F103" s="87"/>
      <c r="G103" s="87"/>
      <c r="H103" s="88"/>
      <c r="I103" s="88"/>
    </row>
    <row r="104" spans="1:9" ht="13">
      <c r="A104" s="48" t="s">
        <v>8991</v>
      </c>
      <c r="B104" s="49" t="s">
        <v>897</v>
      </c>
      <c r="C104" s="51" t="s">
        <v>225</v>
      </c>
      <c r="D104" s="51"/>
      <c r="E104" s="86"/>
      <c r="F104" s="87"/>
      <c r="G104" s="87"/>
      <c r="H104" s="88"/>
      <c r="I104" s="88"/>
    </row>
    <row r="105" spans="1:9" ht="13">
      <c r="A105" s="48" t="s">
        <v>8992</v>
      </c>
      <c r="B105" s="49" t="s">
        <v>1400</v>
      </c>
      <c r="C105" s="51" t="s">
        <v>225</v>
      </c>
      <c r="D105" s="51"/>
      <c r="E105" s="86"/>
      <c r="F105" s="87"/>
      <c r="G105" s="87"/>
      <c r="H105" s="88"/>
      <c r="I105" s="88"/>
    </row>
    <row r="106" spans="1:9" ht="13">
      <c r="A106" s="48" t="s">
        <v>8993</v>
      </c>
      <c r="B106" s="49" t="s">
        <v>1400</v>
      </c>
      <c r="C106" s="51" t="s">
        <v>225</v>
      </c>
      <c r="D106" s="51"/>
      <c r="E106" s="86"/>
      <c r="F106" s="87"/>
      <c r="G106" s="87"/>
      <c r="H106" s="88"/>
      <c r="I106" s="88"/>
    </row>
    <row r="107" spans="1:9" ht="13">
      <c r="A107" s="48" t="s">
        <v>8994</v>
      </c>
      <c r="B107" s="49" t="s">
        <v>1790</v>
      </c>
      <c r="C107" s="51" t="s">
        <v>225</v>
      </c>
      <c r="D107" s="51"/>
      <c r="E107" s="86"/>
      <c r="F107" s="87"/>
      <c r="G107" s="87"/>
      <c r="H107" s="88"/>
      <c r="I107" s="88"/>
    </row>
    <row r="108" spans="1:9" ht="13">
      <c r="A108" s="48" t="s">
        <v>8995</v>
      </c>
      <c r="B108" s="58" t="str">
        <f>HYPERLINK("https://bulbapedia.bulbagarden.net/wiki/Regirock_V_(Sword_%26_Shield_104)","RegirockV")</f>
        <v>RegirockV</v>
      </c>
      <c r="C108" s="51" t="s">
        <v>225</v>
      </c>
      <c r="D108" s="51"/>
      <c r="E108" s="86"/>
      <c r="F108" s="87"/>
      <c r="G108" s="87"/>
      <c r="H108" s="88"/>
      <c r="I108" s="88"/>
    </row>
    <row r="109" spans="1:9" ht="13">
      <c r="A109" s="48" t="s">
        <v>8996</v>
      </c>
      <c r="B109" s="49" t="s">
        <v>6615</v>
      </c>
      <c r="C109" s="51" t="s">
        <v>225</v>
      </c>
      <c r="D109" s="51"/>
      <c r="E109" s="86"/>
      <c r="F109" s="87"/>
      <c r="G109" s="87"/>
      <c r="H109" s="88"/>
      <c r="I109" s="88"/>
    </row>
    <row r="110" spans="1:9" ht="13">
      <c r="A110" s="48" t="s">
        <v>8997</v>
      </c>
      <c r="B110" s="49" t="s">
        <v>6617</v>
      </c>
      <c r="C110" s="51" t="s">
        <v>225</v>
      </c>
      <c r="D110" s="51"/>
      <c r="E110" s="86"/>
      <c r="F110" s="87"/>
      <c r="G110" s="87"/>
      <c r="H110" s="88"/>
      <c r="I110" s="88"/>
    </row>
    <row r="111" spans="1:9" ht="13">
      <c r="A111" s="48" t="s">
        <v>8998</v>
      </c>
      <c r="B111" s="49" t="s">
        <v>8999</v>
      </c>
      <c r="C111" s="51" t="s">
        <v>225</v>
      </c>
      <c r="D111" s="51"/>
      <c r="E111" s="89"/>
      <c r="F111" s="87"/>
      <c r="G111" s="87"/>
      <c r="H111" s="88"/>
      <c r="I111" s="88"/>
    </row>
    <row r="112" spans="1:9" ht="13">
      <c r="A112" s="48" t="s">
        <v>9000</v>
      </c>
      <c r="B112" s="49" t="s">
        <v>8999</v>
      </c>
      <c r="C112" s="51" t="s">
        <v>225</v>
      </c>
      <c r="D112" s="51"/>
      <c r="E112" s="86"/>
      <c r="F112" s="89"/>
      <c r="G112" s="87"/>
      <c r="H112" s="88"/>
      <c r="I112" s="88"/>
    </row>
    <row r="113" spans="1:9" ht="13">
      <c r="A113" s="48" t="s">
        <v>9001</v>
      </c>
      <c r="B113" s="49" t="s">
        <v>9002</v>
      </c>
      <c r="C113" s="51" t="s">
        <v>225</v>
      </c>
      <c r="D113" s="54"/>
      <c r="E113" s="87"/>
      <c r="F113" s="89"/>
      <c r="G113" s="87"/>
      <c r="H113" s="88"/>
      <c r="I113" s="88"/>
    </row>
    <row r="114" spans="1:9" ht="13">
      <c r="A114" s="48" t="s">
        <v>9003</v>
      </c>
      <c r="B114" s="49" t="s">
        <v>9002</v>
      </c>
      <c r="C114" s="51" t="s">
        <v>225</v>
      </c>
      <c r="D114" s="54"/>
      <c r="E114" s="86"/>
      <c r="F114" s="86"/>
      <c r="G114" s="87"/>
      <c r="H114" s="88"/>
      <c r="I114" s="88"/>
    </row>
    <row r="115" spans="1:9" ht="13">
      <c r="A115" s="48" t="s">
        <v>9004</v>
      </c>
      <c r="B115" s="49" t="s">
        <v>9005</v>
      </c>
      <c r="C115" s="51" t="s">
        <v>225</v>
      </c>
      <c r="D115" s="51"/>
      <c r="E115" s="86"/>
      <c r="F115" s="87"/>
      <c r="G115" s="87"/>
      <c r="H115" s="88"/>
      <c r="I115" s="88"/>
    </row>
    <row r="116" spans="1:9" ht="13">
      <c r="A116" s="48" t="s">
        <v>9006</v>
      </c>
      <c r="B116" s="49" t="s">
        <v>9005</v>
      </c>
      <c r="C116" s="51" t="s">
        <v>225</v>
      </c>
      <c r="D116" s="51"/>
      <c r="E116" s="87"/>
      <c r="F116" s="87"/>
      <c r="G116" s="87"/>
      <c r="H116" s="88"/>
      <c r="I116" s="88"/>
    </row>
    <row r="117" spans="1:9" ht="13">
      <c r="A117" s="48" t="s">
        <v>9007</v>
      </c>
      <c r="B117" s="49" t="s">
        <v>9008</v>
      </c>
      <c r="C117" s="51" t="s">
        <v>225</v>
      </c>
      <c r="D117" s="51"/>
      <c r="E117" s="86"/>
      <c r="F117" s="87"/>
      <c r="G117" s="87"/>
      <c r="H117" s="88"/>
      <c r="I117" s="88"/>
    </row>
    <row r="118" spans="1:9" ht="13">
      <c r="A118" s="48" t="s">
        <v>9009</v>
      </c>
      <c r="B118" s="49" t="s">
        <v>9010</v>
      </c>
      <c r="C118" s="51" t="s">
        <v>225</v>
      </c>
      <c r="D118" s="51"/>
      <c r="E118" s="86"/>
      <c r="F118" s="87"/>
      <c r="G118" s="87"/>
      <c r="H118" s="88"/>
      <c r="I118" s="88"/>
    </row>
    <row r="119" spans="1:9" ht="13">
      <c r="A119" s="48" t="s">
        <v>9011</v>
      </c>
      <c r="B119" s="58" t="str">
        <f>HYPERLINK("https://bulbapedia.bulbagarden.net/wiki/Stonjourner_V_(Sword_%26_Shield_115)","StonjournerV")</f>
        <v>StonjournerV</v>
      </c>
      <c r="C119" s="51" t="s">
        <v>225</v>
      </c>
      <c r="D119" s="51"/>
      <c r="E119" s="86"/>
      <c r="F119" s="87"/>
      <c r="G119" s="87"/>
      <c r="H119" s="88"/>
      <c r="I119" s="88"/>
    </row>
    <row r="120" spans="1:9" ht="13">
      <c r="A120" s="48" t="s">
        <v>9012</v>
      </c>
      <c r="B120" s="58" t="str">
        <f>HYPERLINK("https://bulbapedia.bulbagarden.net/wiki/Stonjourner_VMAX_(Sword_%26_Shield_116)","StonjournerVMAX")</f>
        <v>StonjournerVMAX</v>
      </c>
      <c r="C120" s="51" t="s">
        <v>225</v>
      </c>
      <c r="D120" s="54"/>
      <c r="E120" s="86"/>
      <c r="F120" s="87"/>
      <c r="G120" s="87"/>
      <c r="H120" s="88"/>
      <c r="I120" s="88"/>
    </row>
    <row r="121" spans="1:9" ht="13">
      <c r="A121" s="48" t="s">
        <v>9013</v>
      </c>
      <c r="B121" s="49" t="s">
        <v>9014</v>
      </c>
      <c r="C121" s="51" t="s">
        <v>808</v>
      </c>
      <c r="D121" s="51"/>
      <c r="E121" s="86"/>
      <c r="F121" s="87"/>
      <c r="G121" s="87"/>
      <c r="H121" s="88"/>
      <c r="I121" s="88"/>
    </row>
    <row r="122" spans="1:9" ht="13">
      <c r="A122" s="48" t="s">
        <v>9015</v>
      </c>
      <c r="B122" s="49" t="s">
        <v>9016</v>
      </c>
      <c r="C122" s="51" t="s">
        <v>808</v>
      </c>
      <c r="D122" s="51"/>
      <c r="E122" s="86"/>
      <c r="F122" s="87"/>
      <c r="G122" s="87"/>
      <c r="H122" s="88"/>
      <c r="I122" s="88"/>
    </row>
    <row r="123" spans="1:9" ht="13">
      <c r="A123" s="48" t="s">
        <v>9017</v>
      </c>
      <c r="B123" s="49" t="s">
        <v>8637</v>
      </c>
      <c r="C123" s="51" t="s">
        <v>808</v>
      </c>
      <c r="D123" s="51"/>
      <c r="E123" s="86"/>
      <c r="F123" s="87"/>
      <c r="G123" s="87"/>
      <c r="H123" s="88"/>
      <c r="I123" s="88"/>
    </row>
    <row r="124" spans="1:9" ht="13">
      <c r="A124" s="48" t="s">
        <v>9018</v>
      </c>
      <c r="B124" s="58" t="str">
        <f>HYPERLINK("https://bulbapedia.bulbagarden.net/wiki/Sableye_V_(Sword_%26_Shield_120)","SableyeV")</f>
        <v>SableyeV</v>
      </c>
      <c r="C124" s="51" t="s">
        <v>808</v>
      </c>
      <c r="D124" s="54"/>
      <c r="E124" s="87"/>
      <c r="F124" s="87"/>
      <c r="G124" s="87"/>
      <c r="H124" s="88"/>
      <c r="I124" s="88"/>
    </row>
    <row r="125" spans="1:9" ht="13">
      <c r="A125" s="48" t="s">
        <v>9019</v>
      </c>
      <c r="B125" s="49" t="s">
        <v>3147</v>
      </c>
      <c r="C125" s="51" t="s">
        <v>808</v>
      </c>
      <c r="D125" s="51"/>
      <c r="E125" s="86"/>
      <c r="F125" s="87"/>
      <c r="G125" s="87"/>
      <c r="H125" s="88"/>
      <c r="I125" s="88"/>
    </row>
    <row r="126" spans="1:9" ht="13">
      <c r="A126" s="48" t="s">
        <v>9020</v>
      </c>
      <c r="B126" s="49" t="s">
        <v>3124</v>
      </c>
      <c r="C126" s="51" t="s">
        <v>808</v>
      </c>
      <c r="D126" s="51"/>
      <c r="E126" s="86"/>
      <c r="F126" s="87"/>
      <c r="G126" s="87"/>
      <c r="H126" s="88"/>
      <c r="I126" s="88"/>
    </row>
    <row r="127" spans="1:9" ht="13">
      <c r="A127" s="48" t="s">
        <v>9021</v>
      </c>
      <c r="B127" s="49" t="s">
        <v>3250</v>
      </c>
      <c r="C127" s="51" t="s">
        <v>808</v>
      </c>
      <c r="D127" s="51"/>
      <c r="E127" s="86"/>
      <c r="F127" s="87"/>
      <c r="G127" s="87"/>
      <c r="H127" s="88"/>
      <c r="I127" s="88"/>
    </row>
    <row r="128" spans="1:9" ht="13">
      <c r="A128" s="48" t="s">
        <v>9022</v>
      </c>
      <c r="B128" s="49" t="s">
        <v>3203</v>
      </c>
      <c r="C128" s="51" t="s">
        <v>808</v>
      </c>
      <c r="D128" s="54"/>
      <c r="E128" s="86"/>
      <c r="F128" s="86"/>
      <c r="G128" s="87"/>
      <c r="H128" s="88"/>
      <c r="I128" s="88"/>
    </row>
    <row r="129" spans="1:9" ht="13">
      <c r="A129" s="48" t="s">
        <v>9023</v>
      </c>
      <c r="B129" s="49" t="s">
        <v>9024</v>
      </c>
      <c r="C129" s="51" t="s">
        <v>808</v>
      </c>
      <c r="D129" s="51"/>
      <c r="E129" s="86"/>
      <c r="F129" s="87"/>
      <c r="G129" s="87"/>
      <c r="H129" s="88"/>
      <c r="I129" s="88"/>
    </row>
    <row r="130" spans="1:9" ht="13">
      <c r="A130" s="48" t="s">
        <v>9025</v>
      </c>
      <c r="B130" s="49" t="s">
        <v>9026</v>
      </c>
      <c r="C130" s="51" t="s">
        <v>808</v>
      </c>
      <c r="D130" s="51"/>
      <c r="E130" s="86"/>
      <c r="F130" s="87"/>
      <c r="G130" s="87"/>
      <c r="H130" s="88"/>
      <c r="I130" s="88"/>
    </row>
    <row r="131" spans="1:9" ht="13">
      <c r="A131" s="48" t="s">
        <v>9027</v>
      </c>
      <c r="B131" s="49" t="s">
        <v>9028</v>
      </c>
      <c r="C131" s="51" t="s">
        <v>220</v>
      </c>
      <c r="D131" s="51"/>
      <c r="E131" s="86"/>
      <c r="F131" s="87"/>
      <c r="G131" s="87"/>
      <c r="H131" s="88"/>
      <c r="I131" s="88"/>
    </row>
    <row r="132" spans="1:9" ht="13">
      <c r="A132" s="48" t="s">
        <v>9029</v>
      </c>
      <c r="B132" s="49" t="s">
        <v>9030</v>
      </c>
      <c r="C132" s="51" t="s">
        <v>220</v>
      </c>
      <c r="D132" s="54"/>
      <c r="E132" s="86"/>
      <c r="F132" s="86"/>
      <c r="G132" s="87"/>
      <c r="H132" s="88"/>
      <c r="I132" s="88"/>
    </row>
    <row r="133" spans="1:9" ht="13">
      <c r="A133" s="48" t="s">
        <v>9031</v>
      </c>
      <c r="B133" s="49" t="s">
        <v>1368</v>
      </c>
      <c r="C133" s="51" t="s">
        <v>220</v>
      </c>
      <c r="D133" s="51"/>
      <c r="E133" s="86"/>
      <c r="F133" s="87"/>
      <c r="G133" s="87"/>
      <c r="H133" s="88"/>
      <c r="I133" s="88"/>
    </row>
    <row r="134" spans="1:9" ht="13">
      <c r="A134" s="48" t="s">
        <v>9032</v>
      </c>
      <c r="B134" s="49" t="s">
        <v>4134</v>
      </c>
      <c r="C134" s="51" t="s">
        <v>220</v>
      </c>
      <c r="D134" s="51"/>
      <c r="E134" s="86"/>
      <c r="F134" s="87"/>
      <c r="G134" s="87"/>
      <c r="H134" s="88"/>
      <c r="I134" s="88"/>
    </row>
    <row r="135" spans="1:9" ht="13">
      <c r="A135" s="48" t="s">
        <v>9033</v>
      </c>
      <c r="B135" s="49" t="s">
        <v>5842</v>
      </c>
      <c r="C135" s="51" t="s">
        <v>220</v>
      </c>
      <c r="D135" s="51"/>
      <c r="E135" s="87"/>
      <c r="F135" s="87"/>
      <c r="G135" s="87"/>
      <c r="H135" s="88"/>
      <c r="I135" s="88"/>
    </row>
    <row r="136" spans="1:9" ht="13">
      <c r="A136" s="48" t="s">
        <v>9034</v>
      </c>
      <c r="B136" s="49" t="s">
        <v>9035</v>
      </c>
      <c r="C136" s="51" t="s">
        <v>220</v>
      </c>
      <c r="D136" s="51"/>
      <c r="E136" s="87"/>
      <c r="F136" s="87"/>
      <c r="G136" s="87"/>
      <c r="H136" s="88"/>
      <c r="I136" s="88"/>
    </row>
    <row r="137" spans="1:9" ht="13">
      <c r="A137" s="48" t="s">
        <v>9036</v>
      </c>
      <c r="B137" s="49" t="s">
        <v>4101</v>
      </c>
      <c r="C137" s="51" t="s">
        <v>220</v>
      </c>
      <c r="D137" s="51"/>
      <c r="E137" s="86"/>
      <c r="F137" s="87"/>
      <c r="G137" s="87"/>
      <c r="H137" s="88"/>
      <c r="I137" s="88"/>
    </row>
    <row r="138" spans="1:9" ht="13">
      <c r="A138" s="48" t="s">
        <v>9037</v>
      </c>
      <c r="B138" s="49" t="s">
        <v>4102</v>
      </c>
      <c r="C138" s="51" t="s">
        <v>220</v>
      </c>
      <c r="D138" s="51"/>
      <c r="E138" s="86"/>
      <c r="F138" s="87"/>
      <c r="G138" s="87"/>
      <c r="H138" s="88"/>
      <c r="I138" s="88"/>
    </row>
    <row r="139" spans="1:9" ht="13">
      <c r="A139" s="48" t="s">
        <v>9038</v>
      </c>
      <c r="B139" s="49" t="s">
        <v>9039</v>
      </c>
      <c r="C139" s="51" t="s">
        <v>220</v>
      </c>
      <c r="D139" s="51"/>
      <c r="E139" s="86"/>
      <c r="F139" s="86"/>
      <c r="G139" s="87"/>
      <c r="H139" s="88"/>
      <c r="I139" s="88"/>
    </row>
    <row r="140" spans="1:9" ht="13">
      <c r="A140" s="48" t="s">
        <v>9040</v>
      </c>
      <c r="B140" s="49" t="s">
        <v>9041</v>
      </c>
      <c r="C140" s="51" t="s">
        <v>220</v>
      </c>
      <c r="D140" s="51"/>
      <c r="E140" s="86"/>
      <c r="F140" s="87"/>
      <c r="G140" s="87"/>
      <c r="H140" s="88"/>
      <c r="I140" s="88"/>
    </row>
    <row r="141" spans="1:9" ht="13">
      <c r="A141" s="48" t="s">
        <v>9042</v>
      </c>
      <c r="B141" s="49" t="s">
        <v>9043</v>
      </c>
      <c r="C141" s="51" t="s">
        <v>220</v>
      </c>
      <c r="D141" s="54"/>
      <c r="E141" s="86"/>
      <c r="F141" s="86"/>
      <c r="G141" s="87"/>
      <c r="H141" s="88"/>
      <c r="I141" s="88"/>
    </row>
    <row r="142" spans="1:9" ht="13">
      <c r="A142" s="48" t="s">
        <v>9044</v>
      </c>
      <c r="B142" s="58" t="str">
        <f>HYPERLINK("https://bulbapedia.bulbagarden.net/wiki/Zacian_V_(Sword_%26_Shield_138)","ZacianV")</f>
        <v>ZacianV</v>
      </c>
      <c r="C142" s="51" t="s">
        <v>220</v>
      </c>
      <c r="D142" s="51"/>
      <c r="E142" s="86"/>
      <c r="F142" s="89"/>
      <c r="G142" s="87"/>
      <c r="H142" s="88"/>
      <c r="I142" s="88"/>
    </row>
    <row r="143" spans="1:9" ht="13">
      <c r="A143" s="48" t="s">
        <v>9045</v>
      </c>
      <c r="B143" s="58" t="str">
        <f>HYPERLINK("https://bulbapedia.bulbagarden.net/wiki/Zamazenta_V_(Sword_%26_Shield_139)","ZamazentaV")</f>
        <v>ZamazentaV</v>
      </c>
      <c r="C143" s="51" t="s">
        <v>220</v>
      </c>
      <c r="D143" s="54"/>
      <c r="E143" s="86"/>
      <c r="F143" s="89"/>
      <c r="G143" s="87"/>
      <c r="H143" s="88"/>
      <c r="I143" s="88"/>
    </row>
    <row r="144" spans="1:9" ht="13">
      <c r="A144" s="48" t="s">
        <v>9046</v>
      </c>
      <c r="B144" s="49" t="s">
        <v>233</v>
      </c>
      <c r="C144" s="51" t="s">
        <v>197</v>
      </c>
      <c r="D144" s="51"/>
      <c r="E144" s="89"/>
      <c r="F144" s="87"/>
      <c r="G144" s="87"/>
      <c r="H144" s="88"/>
      <c r="I144" s="88"/>
    </row>
    <row r="145" spans="1:9" ht="13">
      <c r="A145" s="48" t="s">
        <v>9047</v>
      </c>
      <c r="B145" s="58" t="str">
        <f>HYPERLINK("https://bulbapedia.bulbagarden.net/wiki/Snorlax_V_(Sword_%26_Shield_141)","SnorlaxV")</f>
        <v>SnorlaxV</v>
      </c>
      <c r="C145" s="51" t="s">
        <v>197</v>
      </c>
      <c r="D145" s="51"/>
      <c r="E145" s="86"/>
      <c r="F145" s="86"/>
      <c r="G145" s="87"/>
      <c r="H145" s="88"/>
      <c r="I145" s="88"/>
    </row>
    <row r="146" spans="1:9" ht="13">
      <c r="A146" s="48" t="s">
        <v>9048</v>
      </c>
      <c r="B146" s="58" t="str">
        <f>HYPERLINK("https://bulbapedia.bulbagarden.net/wiki/Snorlax_VMAX_(Sword_%26_Shield_142)","SnorlaxVMAX")</f>
        <v>SnorlaxVMAX</v>
      </c>
      <c r="C146" s="51" t="s">
        <v>197</v>
      </c>
      <c r="D146" s="54"/>
      <c r="E146" s="86"/>
      <c r="F146" s="87"/>
      <c r="G146" s="87"/>
      <c r="H146" s="88"/>
      <c r="I146" s="88"/>
    </row>
    <row r="147" spans="1:9" ht="13">
      <c r="A147" s="48" t="s">
        <v>9049</v>
      </c>
      <c r="B147" s="49" t="s">
        <v>869</v>
      </c>
      <c r="C147" s="51" t="s">
        <v>197</v>
      </c>
      <c r="D147" s="51"/>
      <c r="E147" s="89"/>
      <c r="F147" s="87"/>
      <c r="G147" s="87"/>
      <c r="H147" s="88"/>
      <c r="I147" s="88"/>
    </row>
    <row r="148" spans="1:9" ht="13">
      <c r="A148" s="48" t="s">
        <v>9050</v>
      </c>
      <c r="B148" s="49" t="s">
        <v>838</v>
      </c>
      <c r="C148" s="51" t="s">
        <v>197</v>
      </c>
      <c r="D148" s="51"/>
      <c r="E148" s="87"/>
      <c r="F148" s="87"/>
      <c r="G148" s="87"/>
      <c r="H148" s="88"/>
      <c r="I148" s="88"/>
    </row>
    <row r="149" spans="1:9" ht="13">
      <c r="A149" s="48" t="s">
        <v>9051</v>
      </c>
      <c r="B149" s="49" t="s">
        <v>4135</v>
      </c>
      <c r="C149" s="51" t="s">
        <v>197</v>
      </c>
      <c r="D149" s="51"/>
      <c r="E149" s="86"/>
      <c r="F149" s="86"/>
      <c r="G149" s="87"/>
      <c r="H149" s="88"/>
      <c r="I149" s="88"/>
    </row>
    <row r="150" spans="1:9" ht="13">
      <c r="A150" s="48" t="s">
        <v>9052</v>
      </c>
      <c r="B150" s="49" t="s">
        <v>4135</v>
      </c>
      <c r="C150" s="51" t="s">
        <v>197</v>
      </c>
      <c r="D150" s="51"/>
      <c r="E150" s="86"/>
      <c r="F150" s="87"/>
      <c r="G150" s="87"/>
      <c r="H150" s="88"/>
      <c r="I150" s="88"/>
    </row>
    <row r="151" spans="1:9" ht="13">
      <c r="A151" s="48" t="s">
        <v>9053</v>
      </c>
      <c r="B151" s="49" t="s">
        <v>4136</v>
      </c>
      <c r="C151" s="51" t="s">
        <v>197</v>
      </c>
      <c r="D151" s="51"/>
      <c r="E151" s="86"/>
      <c r="F151" s="87"/>
      <c r="G151" s="87"/>
      <c r="H151" s="88"/>
      <c r="I151" s="88"/>
    </row>
    <row r="152" spans="1:9" ht="13">
      <c r="A152" s="48" t="s">
        <v>9054</v>
      </c>
      <c r="B152" s="49" t="s">
        <v>6505</v>
      </c>
      <c r="C152" s="51" t="s">
        <v>197</v>
      </c>
      <c r="D152" s="54"/>
      <c r="E152" s="86"/>
      <c r="F152" s="86"/>
      <c r="G152" s="87"/>
      <c r="H152" s="88"/>
      <c r="I152" s="88"/>
    </row>
    <row r="153" spans="1:9" ht="13">
      <c r="A153" s="48" t="s">
        <v>9055</v>
      </c>
      <c r="B153" s="49" t="s">
        <v>6643</v>
      </c>
      <c r="C153" s="51" t="s">
        <v>197</v>
      </c>
      <c r="D153" s="51"/>
      <c r="E153" s="86"/>
      <c r="F153" s="87"/>
      <c r="G153" s="87"/>
      <c r="H153" s="88"/>
      <c r="I153" s="88"/>
    </row>
    <row r="154" spans="1:9" ht="13">
      <c r="A154" s="48" t="s">
        <v>9056</v>
      </c>
      <c r="B154" s="49" t="s">
        <v>9057</v>
      </c>
      <c r="C154" s="51" t="s">
        <v>197</v>
      </c>
      <c r="D154" s="51"/>
      <c r="E154" s="86"/>
      <c r="F154" s="87"/>
      <c r="G154" s="87"/>
      <c r="H154" s="88"/>
      <c r="I154" s="88"/>
    </row>
    <row r="155" spans="1:9" ht="13">
      <c r="A155" s="48" t="s">
        <v>9058</v>
      </c>
      <c r="B155" s="49" t="s">
        <v>9059</v>
      </c>
      <c r="C155" s="51" t="s">
        <v>197</v>
      </c>
      <c r="D155" s="51"/>
      <c r="E155" s="86"/>
      <c r="F155" s="86"/>
      <c r="G155" s="87"/>
      <c r="H155" s="88"/>
      <c r="I155" s="88"/>
    </row>
    <row r="156" spans="1:9" ht="13">
      <c r="A156" s="48" t="s">
        <v>9060</v>
      </c>
      <c r="B156" s="49" t="s">
        <v>8560</v>
      </c>
      <c r="C156" s="51" t="s">
        <v>197</v>
      </c>
      <c r="D156" s="51"/>
      <c r="E156" s="86"/>
      <c r="F156" s="87"/>
      <c r="G156" s="87"/>
      <c r="H156" s="88"/>
      <c r="I156" s="88"/>
    </row>
    <row r="157" spans="1:9" ht="13">
      <c r="A157" s="48" t="s">
        <v>9061</v>
      </c>
      <c r="B157" s="49" t="s">
        <v>8560</v>
      </c>
      <c r="C157" s="51" t="s">
        <v>197</v>
      </c>
      <c r="D157" s="51"/>
      <c r="E157" s="87"/>
      <c r="F157" s="86"/>
      <c r="G157" s="87"/>
      <c r="H157" s="88"/>
      <c r="I157" s="88"/>
    </row>
    <row r="158" spans="1:9" ht="13">
      <c r="A158" s="48" t="s">
        <v>9062</v>
      </c>
      <c r="B158" s="49" t="s">
        <v>9063</v>
      </c>
      <c r="C158" s="51" t="s">
        <v>197</v>
      </c>
      <c r="D158" s="51"/>
      <c r="E158" s="86"/>
      <c r="F158" s="87"/>
      <c r="G158" s="87"/>
      <c r="H158" s="88"/>
      <c r="I158" s="88"/>
    </row>
    <row r="159" spans="1:9" ht="13">
      <c r="A159" s="48" t="s">
        <v>9064</v>
      </c>
      <c r="B159" s="58" t="str">
        <f>HYPERLINK("https://bulbapedia.bulbagarden.net/wiki/Cramorant_V_(Sword_%26_Shield_155)","CramorantV")</f>
        <v>CramorantV</v>
      </c>
      <c r="C159" s="51" t="s">
        <v>197</v>
      </c>
      <c r="D159" s="51"/>
      <c r="E159" s="86"/>
      <c r="F159" s="89"/>
      <c r="G159" s="87"/>
      <c r="H159" s="88"/>
      <c r="I159" s="88"/>
    </row>
    <row r="160" spans="1:9" ht="13">
      <c r="A160" s="48" t="s">
        <v>9065</v>
      </c>
      <c r="B160" s="49" t="s">
        <v>9066</v>
      </c>
      <c r="C160" s="51" t="s">
        <v>4114</v>
      </c>
      <c r="D160" s="51"/>
      <c r="E160" s="87"/>
      <c r="F160" s="87"/>
      <c r="G160" s="87"/>
      <c r="H160" s="88"/>
      <c r="I160" s="88"/>
    </row>
    <row r="161" spans="1:9" ht="13">
      <c r="A161" s="48" t="s">
        <v>9067</v>
      </c>
      <c r="B161" s="49" t="s">
        <v>9068</v>
      </c>
      <c r="C161" s="51" t="s">
        <v>1013</v>
      </c>
      <c r="D161" s="51"/>
      <c r="E161" s="86"/>
      <c r="F161" s="86"/>
      <c r="G161" s="87"/>
      <c r="H161" s="88"/>
      <c r="I161" s="137"/>
    </row>
    <row r="162" spans="1:9" ht="13">
      <c r="A162" s="48" t="s">
        <v>9069</v>
      </c>
      <c r="B162" s="49" t="s">
        <v>9070</v>
      </c>
      <c r="C162" s="51" t="s">
        <v>4114</v>
      </c>
      <c r="D162" s="51"/>
      <c r="E162" s="89"/>
      <c r="F162" s="87"/>
      <c r="G162" s="87"/>
      <c r="H162" s="88"/>
      <c r="I162" s="88"/>
    </row>
    <row r="163" spans="1:9" ht="13">
      <c r="A163" s="48" t="s">
        <v>9071</v>
      </c>
      <c r="B163" s="49" t="s">
        <v>4704</v>
      </c>
      <c r="C163" s="51" t="s">
        <v>4114</v>
      </c>
      <c r="D163" s="51"/>
      <c r="E163" s="89"/>
      <c r="F163" s="86"/>
      <c r="G163" s="87"/>
      <c r="H163" s="88"/>
      <c r="I163" s="88"/>
    </row>
    <row r="164" spans="1:9" ht="13">
      <c r="A164" s="48" t="s">
        <v>9072</v>
      </c>
      <c r="B164" s="49" t="s">
        <v>307</v>
      </c>
      <c r="C164" s="51" t="s">
        <v>4114</v>
      </c>
      <c r="D164" s="51"/>
      <c r="E164" s="86"/>
      <c r="F164" s="87"/>
      <c r="G164" s="87"/>
      <c r="H164" s="88"/>
      <c r="I164" s="88"/>
    </row>
    <row r="165" spans="1:9" ht="13">
      <c r="A165" s="48" t="s">
        <v>9073</v>
      </c>
      <c r="B165" s="49" t="s">
        <v>390</v>
      </c>
      <c r="C165" s="51" t="s">
        <v>4114</v>
      </c>
      <c r="D165" s="51"/>
      <c r="E165" s="87"/>
      <c r="F165" s="87"/>
      <c r="G165" s="87"/>
      <c r="H165" s="88"/>
      <c r="I165" s="88"/>
    </row>
    <row r="166" spans="1:9" ht="13">
      <c r="A166" s="48" t="s">
        <v>9074</v>
      </c>
      <c r="B166" s="49" t="s">
        <v>1140</v>
      </c>
      <c r="C166" s="51" t="s">
        <v>4114</v>
      </c>
      <c r="D166" s="51"/>
      <c r="E166" s="89"/>
      <c r="F166" s="87"/>
      <c r="G166" s="87"/>
      <c r="H166" s="88"/>
      <c r="I166" s="88"/>
    </row>
    <row r="167" spans="1:9" ht="13">
      <c r="A167" s="48" t="s">
        <v>9075</v>
      </c>
      <c r="B167" s="49" t="s">
        <v>9076</v>
      </c>
      <c r="C167" s="51" t="s">
        <v>4114</v>
      </c>
      <c r="D167" s="51"/>
      <c r="E167" s="89"/>
      <c r="F167" s="87"/>
      <c r="G167" s="87"/>
      <c r="H167" s="88"/>
      <c r="I167" s="88"/>
    </row>
    <row r="168" spans="1:9" ht="13">
      <c r="A168" s="48" t="s">
        <v>9077</v>
      </c>
      <c r="B168" s="49" t="s">
        <v>2029</v>
      </c>
      <c r="C168" s="51" t="s">
        <v>4114</v>
      </c>
      <c r="D168" s="51"/>
      <c r="E168" s="89"/>
      <c r="F168" s="87"/>
      <c r="G168" s="87"/>
      <c r="H168" s="88"/>
      <c r="I168" s="88"/>
    </row>
    <row r="169" spans="1:9" ht="13">
      <c r="A169" s="48" t="s">
        <v>9078</v>
      </c>
      <c r="B169" s="49" t="s">
        <v>9079</v>
      </c>
      <c r="C169" s="51" t="s">
        <v>1013</v>
      </c>
      <c r="D169" s="51"/>
      <c r="E169" s="86"/>
      <c r="F169" s="87"/>
      <c r="G169" s="87"/>
      <c r="H169" s="88"/>
      <c r="I169" s="88"/>
    </row>
    <row r="170" spans="1:9" ht="13">
      <c r="A170" s="48" t="s">
        <v>9080</v>
      </c>
      <c r="B170" s="49" t="s">
        <v>1181</v>
      </c>
      <c r="C170" s="51" t="s">
        <v>4114</v>
      </c>
      <c r="D170" s="51"/>
      <c r="E170" s="89"/>
      <c r="F170" s="87"/>
      <c r="G170" s="87"/>
      <c r="H170" s="88"/>
      <c r="I170" s="88"/>
    </row>
    <row r="171" spans="1:9" ht="13">
      <c r="A171" s="48" t="s">
        <v>9081</v>
      </c>
      <c r="B171" s="49" t="s">
        <v>3880</v>
      </c>
      <c r="C171" s="51" t="s">
        <v>4114</v>
      </c>
      <c r="D171" s="51"/>
      <c r="E171" s="89"/>
      <c r="F171" s="87"/>
      <c r="G171" s="87"/>
      <c r="H171" s="88"/>
      <c r="I171" s="88"/>
    </row>
    <row r="172" spans="1:9" ht="13">
      <c r="A172" s="48" t="s">
        <v>9082</v>
      </c>
      <c r="B172" s="49" t="s">
        <v>1332</v>
      </c>
      <c r="C172" s="51" t="s">
        <v>4114</v>
      </c>
      <c r="D172" s="51"/>
      <c r="E172" s="89"/>
      <c r="F172" s="86"/>
      <c r="G172" s="87"/>
      <c r="H172" s="88"/>
      <c r="I172" s="88"/>
    </row>
    <row r="173" spans="1:9" ht="13">
      <c r="A173" s="48" t="s">
        <v>9083</v>
      </c>
      <c r="B173" s="49" t="s">
        <v>8730</v>
      </c>
      <c r="C173" s="51" t="s">
        <v>1013</v>
      </c>
      <c r="D173" s="51"/>
      <c r="E173" s="86"/>
      <c r="F173" s="87"/>
      <c r="G173" s="87"/>
      <c r="H173" s="88"/>
      <c r="I173" s="88"/>
    </row>
    <row r="174" spans="1:9" ht="13">
      <c r="A174" s="48" t="s">
        <v>9084</v>
      </c>
      <c r="B174" s="49" t="s">
        <v>9085</v>
      </c>
      <c r="C174" s="51" t="s">
        <v>4114</v>
      </c>
      <c r="D174" s="51"/>
      <c r="E174" s="87"/>
      <c r="F174" s="87"/>
      <c r="G174" s="87"/>
      <c r="H174" s="88"/>
      <c r="I174" s="88"/>
    </row>
    <row r="175" spans="1:9" ht="13">
      <c r="A175" s="48" t="s">
        <v>9086</v>
      </c>
      <c r="B175" s="49" t="s">
        <v>9087</v>
      </c>
      <c r="C175" s="51" t="s">
        <v>4114</v>
      </c>
      <c r="D175" s="51"/>
      <c r="E175" s="86"/>
      <c r="F175" s="87"/>
      <c r="G175" s="87"/>
      <c r="H175" s="88"/>
      <c r="I175" s="88"/>
    </row>
    <row r="176" spans="1:9" ht="13">
      <c r="A176" s="48" t="s">
        <v>9088</v>
      </c>
      <c r="B176" s="49" t="s">
        <v>5108</v>
      </c>
      <c r="C176" s="51" t="s">
        <v>4114</v>
      </c>
      <c r="D176" s="51"/>
      <c r="E176" s="86"/>
      <c r="F176" s="87"/>
      <c r="G176" s="87"/>
      <c r="H176" s="88"/>
      <c r="I176" s="88"/>
    </row>
    <row r="177" spans="1:9" ht="13">
      <c r="A177" s="48" t="s">
        <v>9089</v>
      </c>
      <c r="B177" s="49" t="s">
        <v>9090</v>
      </c>
      <c r="C177" s="51" t="s">
        <v>1013</v>
      </c>
      <c r="D177" s="51"/>
      <c r="E177" s="89"/>
      <c r="F177" s="89"/>
      <c r="G177" s="87"/>
      <c r="H177" s="88"/>
      <c r="I177" s="88"/>
    </row>
    <row r="178" spans="1:9" ht="13">
      <c r="A178" s="48" t="s">
        <v>9091</v>
      </c>
      <c r="B178" s="49" t="s">
        <v>8040</v>
      </c>
      <c r="C178" s="51" t="s">
        <v>4114</v>
      </c>
      <c r="D178" s="51"/>
      <c r="E178" s="86"/>
      <c r="F178" s="87"/>
      <c r="G178" s="87"/>
      <c r="H178" s="88"/>
      <c r="I178" s="88"/>
    </row>
    <row r="179" spans="1:9" ht="13">
      <c r="A179" s="48" t="s">
        <v>9092</v>
      </c>
      <c r="B179" s="49" t="s">
        <v>4183</v>
      </c>
      <c r="C179" s="51" t="s">
        <v>4114</v>
      </c>
      <c r="D179" s="51"/>
      <c r="E179" s="86"/>
      <c r="F179" s="87"/>
      <c r="G179" s="87"/>
      <c r="H179" s="88"/>
      <c r="I179" s="88"/>
    </row>
    <row r="180" spans="1:9" ht="13">
      <c r="A180" s="48" t="s">
        <v>9093</v>
      </c>
      <c r="B180" s="49" t="s">
        <v>5109</v>
      </c>
      <c r="C180" s="51" t="s">
        <v>1013</v>
      </c>
      <c r="D180" s="51"/>
      <c r="E180" s="86"/>
      <c r="F180" s="87"/>
      <c r="G180" s="87"/>
      <c r="H180" s="88"/>
      <c r="I180" s="88"/>
    </row>
    <row r="181" spans="1:9" ht="13">
      <c r="A181" s="48" t="s">
        <v>9094</v>
      </c>
      <c r="B181" s="49" t="s">
        <v>314</v>
      </c>
      <c r="C181" s="51" t="s">
        <v>4114</v>
      </c>
      <c r="D181" s="51"/>
      <c r="E181" s="86"/>
      <c r="F181" s="87"/>
      <c r="G181" s="87"/>
      <c r="H181" s="88"/>
      <c r="I181" s="88"/>
    </row>
    <row r="182" spans="1:9" ht="13">
      <c r="A182" s="48" t="s">
        <v>9095</v>
      </c>
      <c r="B182" s="49" t="s">
        <v>8784</v>
      </c>
      <c r="C182" s="51" t="s">
        <v>1013</v>
      </c>
      <c r="D182" s="51"/>
      <c r="E182" s="86"/>
      <c r="F182" s="87"/>
      <c r="G182" s="87"/>
      <c r="H182" s="88"/>
      <c r="I182" s="88"/>
    </row>
    <row r="183" spans="1:9" ht="13">
      <c r="A183" s="48" t="s">
        <v>9096</v>
      </c>
      <c r="B183" s="49" t="s">
        <v>3296</v>
      </c>
      <c r="C183" s="51" t="s">
        <v>4114</v>
      </c>
      <c r="D183" s="51"/>
      <c r="E183" s="86"/>
      <c r="F183" s="89"/>
      <c r="G183" s="87"/>
      <c r="H183" s="88"/>
      <c r="I183" s="88"/>
    </row>
    <row r="184" spans="1:9" ht="13">
      <c r="A184" s="48" t="s">
        <v>9097</v>
      </c>
      <c r="B184" s="49" t="s">
        <v>1470</v>
      </c>
      <c r="C184" s="51" t="s">
        <v>4114</v>
      </c>
      <c r="D184" s="51"/>
      <c r="E184" s="89"/>
      <c r="F184" s="87"/>
      <c r="G184" s="87"/>
      <c r="H184" s="88"/>
      <c r="I184" s="88"/>
    </row>
    <row r="185" spans="1:9" ht="13">
      <c r="A185" s="48" t="s">
        <v>9098</v>
      </c>
      <c r="B185" s="49" t="s">
        <v>9099</v>
      </c>
      <c r="C185" s="51" t="s">
        <v>4114</v>
      </c>
      <c r="D185" s="51"/>
      <c r="E185" s="86"/>
      <c r="F185" s="89"/>
      <c r="G185" s="87"/>
      <c r="H185" s="88"/>
      <c r="I185" s="88"/>
    </row>
    <row r="186" spans="1:9" ht="13">
      <c r="A186" s="48" t="s">
        <v>9100</v>
      </c>
      <c r="B186" s="49" t="s">
        <v>2444</v>
      </c>
      <c r="C186" s="51" t="s">
        <v>4114</v>
      </c>
      <c r="D186" s="51"/>
      <c r="E186" s="86"/>
      <c r="F186" s="89"/>
      <c r="G186" s="87"/>
      <c r="H186" s="88"/>
      <c r="I186" s="88"/>
    </row>
    <row r="187" spans="1:9" ht="13">
      <c r="A187" s="48" t="s">
        <v>9101</v>
      </c>
      <c r="B187" s="49" t="s">
        <v>315</v>
      </c>
      <c r="C187" s="51" t="s">
        <v>4114</v>
      </c>
      <c r="D187" s="51"/>
      <c r="E187" s="87"/>
      <c r="F187" s="86"/>
      <c r="G187" s="87"/>
      <c r="H187" s="88"/>
      <c r="I187" s="88"/>
    </row>
    <row r="188" spans="1:9" ht="13">
      <c r="A188" s="48" t="s">
        <v>9102</v>
      </c>
      <c r="B188" s="49" t="s">
        <v>9103</v>
      </c>
      <c r="C188" s="51" t="s">
        <v>1013</v>
      </c>
      <c r="D188" s="51"/>
      <c r="E188" s="89"/>
      <c r="F188" s="87"/>
      <c r="G188" s="87"/>
      <c r="H188" s="88"/>
      <c r="I188" s="88"/>
    </row>
    <row r="189" spans="1:9" ht="13">
      <c r="A189" s="48" t="s">
        <v>9104</v>
      </c>
      <c r="B189" s="49" t="s">
        <v>9105</v>
      </c>
      <c r="C189" s="51" t="s">
        <v>4114</v>
      </c>
      <c r="D189" s="51"/>
      <c r="E189" s="86"/>
      <c r="F189" s="87"/>
      <c r="G189" s="87"/>
      <c r="H189" s="88"/>
      <c r="I189" s="88"/>
    </row>
    <row r="190" spans="1:9" ht="13">
      <c r="A190" s="48" t="s">
        <v>9106</v>
      </c>
      <c r="B190" s="49" t="s">
        <v>9107</v>
      </c>
      <c r="C190" s="51" t="s">
        <v>317</v>
      </c>
      <c r="D190" s="51"/>
      <c r="E190" s="86"/>
      <c r="F190" s="86"/>
      <c r="G190" s="87"/>
      <c r="H190" s="88"/>
      <c r="I190" s="88"/>
    </row>
    <row r="191" spans="1:9" ht="13">
      <c r="A191" s="48" t="s">
        <v>9108</v>
      </c>
      <c r="B191" s="58" t="str">
        <f>HYPERLINK("https://bulbapedia.bulbagarden.net/wiki/Dhelmise_V_(Sword_%26_Shield_187)","DhelmiseV")</f>
        <v>DhelmiseV</v>
      </c>
      <c r="C191" s="51" t="s">
        <v>205</v>
      </c>
      <c r="D191" s="54"/>
      <c r="E191" s="89"/>
      <c r="F191" s="87"/>
      <c r="G191" s="87"/>
      <c r="H191" s="88"/>
      <c r="I191" s="88"/>
    </row>
    <row r="192" spans="1:9" ht="13">
      <c r="A192" s="48" t="s">
        <v>9109</v>
      </c>
      <c r="B192" s="58" t="str">
        <f>HYPERLINK("https://bulbapedia.bulbagarden.net/wiki/Torkoal_V_(Sword_%26_Shield_188)","TorkoalV")</f>
        <v>TorkoalV</v>
      </c>
      <c r="C192" s="51" t="s">
        <v>199</v>
      </c>
      <c r="D192" s="54"/>
      <c r="E192" s="89"/>
      <c r="F192" s="89"/>
      <c r="G192" s="87"/>
      <c r="H192" s="88"/>
      <c r="I192" s="88"/>
    </row>
    <row r="193" spans="1:9" ht="13">
      <c r="A193" s="48" t="s">
        <v>9110</v>
      </c>
      <c r="B193" s="58" t="str">
        <f>HYPERLINK("https://bulbapedia.bulbagarden.net/wiki/Lapras_V_(Sword_%26_Shield_189)","LaprasV")</f>
        <v>LaprasV</v>
      </c>
      <c r="C193" s="51" t="s">
        <v>208</v>
      </c>
      <c r="D193" s="54"/>
      <c r="E193" s="87"/>
      <c r="F193" s="86"/>
      <c r="G193" s="87"/>
      <c r="H193" s="88"/>
      <c r="I193" s="88"/>
    </row>
    <row r="194" spans="1:9" ht="13">
      <c r="A194" s="48" t="s">
        <v>9111</v>
      </c>
      <c r="B194" s="58" t="str">
        <f>HYPERLINK("https://bulbapedia.bulbagarden.net/wiki/Morpeko_V_(Sword_%26_Shield_190)","MorpekoV")</f>
        <v>MorpekoV</v>
      </c>
      <c r="C194" s="51" t="s">
        <v>192</v>
      </c>
      <c r="D194" s="51"/>
      <c r="E194" s="87"/>
      <c r="F194" s="89"/>
      <c r="G194" s="87"/>
      <c r="H194" s="88"/>
      <c r="I194" s="88"/>
    </row>
    <row r="195" spans="1:9" ht="13">
      <c r="A195" s="48" t="s">
        <v>9112</v>
      </c>
      <c r="B195" s="58" t="str">
        <f>HYPERLINK("https://bulbapedia.bulbagarden.net/wiki/Wobbuffet_V_(Sword_%26_Shield_191)","WobbuffetV")</f>
        <v>WobbuffetV</v>
      </c>
      <c r="C195" s="51" t="s">
        <v>195</v>
      </c>
      <c r="D195" s="51"/>
      <c r="E195" s="89"/>
      <c r="F195" s="89"/>
      <c r="G195" s="87"/>
      <c r="H195" s="88"/>
      <c r="I195" s="88"/>
    </row>
    <row r="196" spans="1:9" ht="13">
      <c r="A196" s="48" t="s">
        <v>9113</v>
      </c>
      <c r="B196" s="58" t="str">
        <f>HYPERLINK("https://bulbapedia.bulbagarden.net/wiki/Indeedee_V_(Sword_%26_Shield_192)","IndeedeeV")</f>
        <v>IndeedeeV</v>
      </c>
      <c r="C196" s="51" t="s">
        <v>195</v>
      </c>
      <c r="D196" s="54"/>
      <c r="E196" s="87"/>
      <c r="F196" s="87"/>
      <c r="G196" s="87"/>
      <c r="H196" s="88"/>
      <c r="I196" s="88"/>
    </row>
    <row r="197" spans="1:9" ht="13">
      <c r="A197" s="48" t="s">
        <v>9114</v>
      </c>
      <c r="B197" s="58" t="str">
        <f>HYPERLINK("https://bulbapedia.bulbagarden.net/wiki/Stonjourner_V_(Sword_%26_Shield_193)","StonjournerV")</f>
        <v>StonjournerV</v>
      </c>
      <c r="C197" s="51" t="s">
        <v>225</v>
      </c>
      <c r="D197" s="54"/>
      <c r="E197" s="89"/>
      <c r="F197" s="87"/>
      <c r="G197" s="87"/>
      <c r="H197" s="88"/>
      <c r="I197" s="88"/>
    </row>
    <row r="198" spans="1:9" ht="13">
      <c r="A198" s="48" t="s">
        <v>9115</v>
      </c>
      <c r="B198" s="58" t="str">
        <f>HYPERLINK("https://bulbapedia.bulbagarden.net/wiki/Sableye_V_(Sword_%26_Shield_194)","SableyeV")</f>
        <v>SableyeV</v>
      </c>
      <c r="C198" s="51" t="s">
        <v>808</v>
      </c>
      <c r="D198" s="51"/>
      <c r="E198" s="87"/>
      <c r="F198" s="87"/>
      <c r="G198" s="87"/>
      <c r="H198" s="88"/>
      <c r="I198" s="88"/>
    </row>
    <row r="199" spans="1:9" ht="13">
      <c r="A199" s="48" t="s">
        <v>9116</v>
      </c>
      <c r="B199" s="58" t="str">
        <f>HYPERLINK("https://bulbapedia.bulbagarden.net/wiki/Zacian_V_(Sword_%26_Shield_195)","ZacianV")</f>
        <v>ZacianV</v>
      </c>
      <c r="C199" s="51" t="s">
        <v>220</v>
      </c>
      <c r="D199" s="54"/>
      <c r="E199" s="89"/>
      <c r="F199" s="87"/>
      <c r="G199" s="87"/>
      <c r="H199" s="88"/>
      <c r="I199" s="88"/>
    </row>
    <row r="200" spans="1:9" ht="13">
      <c r="A200" s="48" t="s">
        <v>9117</v>
      </c>
      <c r="B200" s="58" t="str">
        <f>HYPERLINK("https://bulbapedia.bulbagarden.net/wiki/Zamazenta_V_(Sword_%26_Shield_196)","ZamazentaV")</f>
        <v>ZamazentaV</v>
      </c>
      <c r="C200" s="51" t="s">
        <v>220</v>
      </c>
      <c r="D200" s="54"/>
      <c r="E200" s="87"/>
      <c r="F200" s="87"/>
      <c r="G200" s="87"/>
      <c r="H200" s="88"/>
      <c r="I200" s="88"/>
    </row>
    <row r="201" spans="1:9" ht="13">
      <c r="A201" s="48" t="s">
        <v>9118</v>
      </c>
      <c r="B201" s="58" t="str">
        <f>HYPERLINK("https://bulbapedia.bulbagarden.net/wiki/Snorlax_V_(Sword_%26_Shield_197)","SnorlaxV")</f>
        <v>SnorlaxV</v>
      </c>
      <c r="C201" s="51" t="s">
        <v>197</v>
      </c>
      <c r="D201" s="54"/>
      <c r="E201" s="87"/>
      <c r="F201" s="89"/>
      <c r="G201" s="87"/>
      <c r="H201" s="88"/>
      <c r="I201" s="88"/>
    </row>
    <row r="202" spans="1:9" ht="13">
      <c r="A202" s="48" t="s">
        <v>9119</v>
      </c>
      <c r="B202" s="58" t="str">
        <f>HYPERLINK("https://bulbapedia.bulbagarden.net/wiki/Cramorant_V_(Sword_%26_Shield_198)","CramorantV")</f>
        <v>CramorantV</v>
      </c>
      <c r="C202" s="51" t="s">
        <v>197</v>
      </c>
      <c r="D202" s="5"/>
      <c r="E202" s="87"/>
      <c r="F202" s="87"/>
      <c r="G202" s="87"/>
      <c r="H202" s="88"/>
      <c r="I202" s="88"/>
    </row>
    <row r="203" spans="1:9" ht="13">
      <c r="A203" s="48" t="s">
        <v>9120</v>
      </c>
      <c r="B203" s="49" t="s">
        <v>9068</v>
      </c>
      <c r="C203" s="51" t="s">
        <v>1013</v>
      </c>
      <c r="D203" s="51"/>
      <c r="E203" s="87"/>
      <c r="F203" s="87"/>
      <c r="G203" s="87"/>
      <c r="H203" s="88"/>
      <c r="I203" s="88"/>
    </row>
    <row r="204" spans="1:9" ht="13">
      <c r="A204" s="48" t="s">
        <v>9121</v>
      </c>
      <c r="B204" s="49" t="s">
        <v>8730</v>
      </c>
      <c r="C204" s="51" t="s">
        <v>1013</v>
      </c>
      <c r="D204" s="54"/>
      <c r="E204" s="87"/>
      <c r="F204" s="86"/>
      <c r="G204" s="87"/>
      <c r="H204" s="88"/>
      <c r="I204" s="88"/>
    </row>
    <row r="205" spans="1:9" ht="13">
      <c r="A205" s="48" t="s">
        <v>9122</v>
      </c>
      <c r="B205" s="49" t="s">
        <v>8784</v>
      </c>
      <c r="C205" s="51" t="s">
        <v>1013</v>
      </c>
      <c r="D205" s="51"/>
      <c r="E205" s="87"/>
      <c r="F205" s="87"/>
      <c r="G205" s="87"/>
      <c r="H205" s="88"/>
      <c r="I205" s="88"/>
    </row>
    <row r="206" spans="1:9" ht="13">
      <c r="A206" s="48" t="s">
        <v>9123</v>
      </c>
      <c r="B206" s="49" t="s">
        <v>9103</v>
      </c>
      <c r="C206" s="51" t="s">
        <v>1013</v>
      </c>
      <c r="D206" s="5"/>
      <c r="E206" s="87"/>
      <c r="F206" s="87"/>
      <c r="G206" s="87"/>
      <c r="H206" s="88"/>
      <c r="I206" s="88"/>
    </row>
    <row r="207" spans="1:9" ht="13">
      <c r="A207" s="48" t="s">
        <v>9124</v>
      </c>
      <c r="B207" s="58" t="str">
        <f>HYPERLINK("https://bulbapedia.bulbagarden.net/wiki/Lapras_VMAX_(Sword_%26_Shield_203)","LaprasVMAX")</f>
        <v>LaprasVMAX</v>
      </c>
      <c r="C207" s="51" t="s">
        <v>208</v>
      </c>
      <c r="D207" s="5"/>
      <c r="E207" s="87"/>
      <c r="F207" s="87"/>
      <c r="G207" s="87"/>
      <c r="H207" s="88"/>
      <c r="I207" s="88"/>
    </row>
    <row r="208" spans="1:9" ht="13">
      <c r="A208" s="48" t="s">
        <v>9125</v>
      </c>
      <c r="B208" s="58" t="str">
        <f>HYPERLINK("https://bulbapedia.bulbagarden.net/wiki/Morpeko_VMAX_(Sword_%26_Shield_204)","MorpekoVMAX")</f>
        <v>MorpekoVMAX</v>
      </c>
      <c r="C208" s="51" t="s">
        <v>192</v>
      </c>
      <c r="D208" s="51"/>
      <c r="E208" s="87"/>
      <c r="F208" s="87"/>
      <c r="G208" s="87"/>
      <c r="H208" s="88"/>
      <c r="I208" s="88"/>
    </row>
    <row r="209" spans="1:9" ht="13">
      <c r="A209" s="48" t="s">
        <v>9126</v>
      </c>
      <c r="B209" s="58" t="str">
        <f>HYPERLINK("https://bulbapedia.bulbagarden.net/wiki/Stonjourner_VMAX_(Sword_%26_Shield_205)","StonjournerVMAX")</f>
        <v>StonjournerVMAX</v>
      </c>
      <c r="C209" s="51" t="s">
        <v>225</v>
      </c>
      <c r="D209" s="54"/>
      <c r="E209" s="87"/>
      <c r="F209" s="87"/>
      <c r="G209" s="87"/>
      <c r="H209" s="88"/>
      <c r="I209" s="88"/>
    </row>
    <row r="210" spans="1:9" ht="13">
      <c r="A210" s="48" t="s">
        <v>9127</v>
      </c>
      <c r="B210" s="58" t="str">
        <f>HYPERLINK("https://bulbapedia.bulbagarden.net/wiki/Snorlax_VMAX_(Sword_%26_Shield_206)","SnorlaxVMAX")</f>
        <v>SnorlaxVMAX</v>
      </c>
      <c r="C210" s="51" t="s">
        <v>197</v>
      </c>
      <c r="D210" s="5"/>
      <c r="E210" s="87"/>
      <c r="F210" s="87"/>
      <c r="G210" s="87"/>
      <c r="H210" s="88"/>
      <c r="I210" s="88"/>
    </row>
    <row r="211" spans="1:9" ht="13">
      <c r="A211" s="48" t="s">
        <v>9128</v>
      </c>
      <c r="B211" s="49" t="s">
        <v>9068</v>
      </c>
      <c r="C211" s="51" t="s">
        <v>1013</v>
      </c>
      <c r="D211" s="51"/>
      <c r="E211" s="87"/>
      <c r="F211" s="87"/>
      <c r="G211" s="87"/>
      <c r="H211" s="88"/>
      <c r="I211" s="88"/>
    </row>
    <row r="212" spans="1:9" ht="13">
      <c r="A212" s="48" t="s">
        <v>9129</v>
      </c>
      <c r="B212" s="49" t="s">
        <v>8730</v>
      </c>
      <c r="C212" s="51" t="s">
        <v>1013</v>
      </c>
      <c r="D212" s="51"/>
      <c r="E212" s="87"/>
      <c r="F212" s="87"/>
      <c r="G212" s="87"/>
      <c r="H212" s="88"/>
      <c r="I212" s="88"/>
    </row>
    <row r="213" spans="1:9" ht="13">
      <c r="A213" s="48" t="s">
        <v>9130</v>
      </c>
      <c r="B213" s="49" t="s">
        <v>8784</v>
      </c>
      <c r="C213" s="51" t="s">
        <v>1013</v>
      </c>
      <c r="D213" s="54"/>
      <c r="E213" s="87"/>
      <c r="F213" s="87"/>
      <c r="G213" s="87"/>
      <c r="H213" s="88"/>
      <c r="I213" s="88"/>
    </row>
    <row r="214" spans="1:9" ht="13">
      <c r="A214" s="48" t="s">
        <v>9131</v>
      </c>
      <c r="B214" s="49" t="s">
        <v>9103</v>
      </c>
      <c r="C214" s="51" t="s">
        <v>1013</v>
      </c>
      <c r="D214" s="5"/>
      <c r="E214" s="87"/>
      <c r="F214" s="87"/>
      <c r="G214" s="87"/>
      <c r="H214" s="88"/>
      <c r="I214" s="88"/>
    </row>
    <row r="215" spans="1:9" ht="13">
      <c r="A215" s="48" t="s">
        <v>9132</v>
      </c>
      <c r="B215" s="58" t="str">
        <f>HYPERLINK("https://bulbapedia.bulbagarden.net/wiki/Zacian_V_(Sword_%26_Shield_211)","ZacianV")</f>
        <v>ZacianV</v>
      </c>
      <c r="C215" s="51" t="s">
        <v>220</v>
      </c>
      <c r="D215" s="54"/>
      <c r="E215" s="87"/>
      <c r="F215" s="87"/>
      <c r="G215" s="87"/>
      <c r="H215" s="88"/>
      <c r="I215" s="88"/>
    </row>
    <row r="216" spans="1:9" ht="13">
      <c r="A216" s="48" t="s">
        <v>9133</v>
      </c>
      <c r="B216" s="58" t="str">
        <f>HYPERLINK("https://bulbapedia.bulbagarden.net/wiki/Zamazenta_V_(Sword_%26_Shield_212)","ZamazentaV")</f>
        <v>ZamazentaV</v>
      </c>
      <c r="C216" s="51" t="s">
        <v>220</v>
      </c>
      <c r="D216" s="5"/>
      <c r="E216" s="87"/>
      <c r="F216" s="87"/>
      <c r="G216" s="87"/>
      <c r="H216" s="88"/>
      <c r="I216" s="88"/>
    </row>
    <row r="217" spans="1:9" ht="13">
      <c r="A217" s="48" t="s">
        <v>9134</v>
      </c>
      <c r="B217" s="49" t="s">
        <v>9066</v>
      </c>
      <c r="C217" s="51" t="s">
        <v>4114</v>
      </c>
      <c r="D217" s="5"/>
      <c r="E217" s="87"/>
      <c r="F217" s="87"/>
      <c r="G217" s="87"/>
      <c r="H217" s="88"/>
      <c r="I217" s="88"/>
    </row>
    <row r="218" spans="1:9" ht="13">
      <c r="A218" s="48" t="s">
        <v>9135</v>
      </c>
      <c r="B218" s="49" t="s">
        <v>9085</v>
      </c>
      <c r="C218" s="51" t="s">
        <v>4114</v>
      </c>
      <c r="D218" s="54"/>
      <c r="E218" s="87"/>
      <c r="F218" s="86"/>
      <c r="G218" s="87"/>
      <c r="H218" s="88"/>
      <c r="I218" s="88"/>
    </row>
    <row r="219" spans="1:9" ht="13">
      <c r="A219" s="48" t="s">
        <v>9136</v>
      </c>
      <c r="B219" s="49" t="s">
        <v>9087</v>
      </c>
      <c r="C219" s="51" t="s">
        <v>4114</v>
      </c>
      <c r="D219" s="54"/>
      <c r="E219" s="87"/>
      <c r="F219" s="87"/>
      <c r="G219" s="87"/>
      <c r="H219" s="88"/>
      <c r="I219" s="88"/>
    </row>
    <row r="220" spans="1:9" ht="13">
      <c r="A220" s="48" t="s">
        <v>9137</v>
      </c>
      <c r="B220" s="49" t="s">
        <v>3296</v>
      </c>
      <c r="C220" s="153" t="s">
        <v>4114</v>
      </c>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6" r:id="rId1" xr:uid="{00000000-0004-0000-6500-000000000000}"/>
    <hyperlink ref="B7" r:id="rId2" xr:uid="{00000000-0004-0000-6500-000001000000}"/>
    <hyperlink ref="B8" r:id="rId3" xr:uid="{00000000-0004-0000-6500-000002000000}"/>
    <hyperlink ref="B9" r:id="rId4" xr:uid="{00000000-0004-0000-6500-000003000000}"/>
    <hyperlink ref="B10" r:id="rId5" xr:uid="{00000000-0004-0000-6500-000004000000}"/>
    <hyperlink ref="B11" r:id="rId6" xr:uid="{00000000-0004-0000-6500-000005000000}"/>
    <hyperlink ref="B12" r:id="rId7" xr:uid="{00000000-0004-0000-6500-000006000000}"/>
    <hyperlink ref="B14" r:id="rId8" xr:uid="{00000000-0004-0000-6500-000007000000}"/>
    <hyperlink ref="B15" r:id="rId9" xr:uid="{00000000-0004-0000-6500-000008000000}"/>
    <hyperlink ref="B16" r:id="rId10" xr:uid="{00000000-0004-0000-6500-000009000000}"/>
    <hyperlink ref="B17" r:id="rId11" xr:uid="{00000000-0004-0000-6500-00000A000000}"/>
    <hyperlink ref="B18" r:id="rId12" xr:uid="{00000000-0004-0000-6500-00000B000000}"/>
    <hyperlink ref="B19" r:id="rId13" xr:uid="{00000000-0004-0000-6500-00000C000000}"/>
    <hyperlink ref="B20" r:id="rId14" xr:uid="{00000000-0004-0000-6500-00000D000000}"/>
    <hyperlink ref="B21" r:id="rId15" xr:uid="{00000000-0004-0000-6500-00000E000000}"/>
    <hyperlink ref="B22" r:id="rId16" xr:uid="{00000000-0004-0000-6500-00000F000000}"/>
    <hyperlink ref="B23" r:id="rId17" xr:uid="{00000000-0004-0000-6500-000010000000}"/>
    <hyperlink ref="B24" r:id="rId18" xr:uid="{00000000-0004-0000-6500-000011000000}"/>
    <hyperlink ref="B25" r:id="rId19" xr:uid="{00000000-0004-0000-6500-000012000000}"/>
    <hyperlink ref="B26" r:id="rId20" xr:uid="{00000000-0004-0000-6500-000013000000}"/>
    <hyperlink ref="B27" r:id="rId21" xr:uid="{00000000-0004-0000-6500-000014000000}"/>
    <hyperlink ref="B30" r:id="rId22" xr:uid="{00000000-0004-0000-6500-000015000000}"/>
    <hyperlink ref="B31" r:id="rId23" xr:uid="{00000000-0004-0000-6500-000016000000}"/>
    <hyperlink ref="B32" r:id="rId24" xr:uid="{00000000-0004-0000-6500-000017000000}"/>
    <hyperlink ref="B33" r:id="rId25" xr:uid="{00000000-0004-0000-6500-000018000000}"/>
    <hyperlink ref="B34" r:id="rId26" xr:uid="{00000000-0004-0000-6500-000019000000}"/>
    <hyperlink ref="B35" r:id="rId27" xr:uid="{00000000-0004-0000-6500-00001A000000}"/>
    <hyperlink ref="B36" r:id="rId28" xr:uid="{00000000-0004-0000-6500-00001B000000}"/>
    <hyperlink ref="B37" r:id="rId29" xr:uid="{00000000-0004-0000-6500-00001C000000}"/>
    <hyperlink ref="B38" r:id="rId30" xr:uid="{00000000-0004-0000-6500-00001D000000}"/>
    <hyperlink ref="B39" r:id="rId31" xr:uid="{00000000-0004-0000-6500-00001E000000}"/>
    <hyperlink ref="B40" r:id="rId32" xr:uid="{00000000-0004-0000-6500-00001F000000}"/>
    <hyperlink ref="B41" r:id="rId33" xr:uid="{00000000-0004-0000-6500-000020000000}"/>
    <hyperlink ref="B42" r:id="rId34" xr:uid="{00000000-0004-0000-6500-000021000000}"/>
    <hyperlink ref="B43" r:id="rId35" xr:uid="{00000000-0004-0000-6500-000022000000}"/>
    <hyperlink ref="B44" r:id="rId36" xr:uid="{00000000-0004-0000-6500-000023000000}"/>
    <hyperlink ref="B45" r:id="rId37" xr:uid="{00000000-0004-0000-6500-000024000000}"/>
    <hyperlink ref="B46" r:id="rId38" xr:uid="{00000000-0004-0000-6500-000025000000}"/>
    <hyperlink ref="B47" r:id="rId39" xr:uid="{00000000-0004-0000-6500-000026000000}"/>
    <hyperlink ref="B48" r:id="rId40" xr:uid="{00000000-0004-0000-6500-000027000000}"/>
    <hyperlink ref="B49" r:id="rId41" xr:uid="{00000000-0004-0000-6500-000028000000}"/>
    <hyperlink ref="B50" r:id="rId42" xr:uid="{00000000-0004-0000-6500-000029000000}"/>
    <hyperlink ref="B51" r:id="rId43" xr:uid="{00000000-0004-0000-6500-00002A000000}"/>
    <hyperlink ref="B55" r:id="rId44" xr:uid="{00000000-0004-0000-6500-00002B000000}"/>
    <hyperlink ref="B56" r:id="rId45" xr:uid="{00000000-0004-0000-6500-00002C000000}"/>
    <hyperlink ref="B58" r:id="rId46" xr:uid="{00000000-0004-0000-6500-00002D000000}"/>
    <hyperlink ref="B59" r:id="rId47" xr:uid="{00000000-0004-0000-6500-00002E000000}"/>
    <hyperlink ref="B60" r:id="rId48" xr:uid="{00000000-0004-0000-6500-00002F000000}"/>
    <hyperlink ref="B61" r:id="rId49" xr:uid="{00000000-0004-0000-6500-000030000000}"/>
    <hyperlink ref="B62" r:id="rId50" xr:uid="{00000000-0004-0000-6500-000031000000}"/>
    <hyperlink ref="B63" r:id="rId51" xr:uid="{00000000-0004-0000-6500-000032000000}"/>
    <hyperlink ref="B64" r:id="rId52" xr:uid="{00000000-0004-0000-6500-000033000000}"/>
    <hyperlink ref="B65" r:id="rId53" xr:uid="{00000000-0004-0000-6500-000034000000}"/>
    <hyperlink ref="B66" r:id="rId54" xr:uid="{00000000-0004-0000-6500-000035000000}"/>
    <hyperlink ref="B67" r:id="rId55" xr:uid="{00000000-0004-0000-6500-000036000000}"/>
    <hyperlink ref="B68" r:id="rId56" xr:uid="{00000000-0004-0000-6500-000037000000}"/>
    <hyperlink ref="B69" r:id="rId57" xr:uid="{00000000-0004-0000-6500-000038000000}"/>
    <hyperlink ref="B70" r:id="rId58" xr:uid="{00000000-0004-0000-6500-000039000000}"/>
    <hyperlink ref="B71" r:id="rId59" xr:uid="{00000000-0004-0000-6500-00003A000000}"/>
    <hyperlink ref="B72" r:id="rId60" xr:uid="{00000000-0004-0000-6500-00003B000000}"/>
    <hyperlink ref="B73" r:id="rId61" xr:uid="{00000000-0004-0000-6500-00003C000000}"/>
    <hyperlink ref="B74" r:id="rId62" xr:uid="{00000000-0004-0000-6500-00003D000000}"/>
    <hyperlink ref="B75" r:id="rId63" xr:uid="{00000000-0004-0000-6500-00003E000000}"/>
    <hyperlink ref="B77" r:id="rId64" xr:uid="{00000000-0004-0000-6500-00003F000000}"/>
    <hyperlink ref="B78" r:id="rId65" xr:uid="{00000000-0004-0000-6500-000040000000}"/>
    <hyperlink ref="B79" r:id="rId66" xr:uid="{00000000-0004-0000-6500-000041000000}"/>
    <hyperlink ref="B80" r:id="rId67" xr:uid="{00000000-0004-0000-6500-000042000000}"/>
    <hyperlink ref="B81" r:id="rId68" xr:uid="{00000000-0004-0000-6500-000043000000}"/>
    <hyperlink ref="B82" r:id="rId69" xr:uid="{00000000-0004-0000-6500-000044000000}"/>
    <hyperlink ref="B85" r:id="rId70" xr:uid="{00000000-0004-0000-6500-000045000000}"/>
    <hyperlink ref="B86" r:id="rId71" xr:uid="{00000000-0004-0000-6500-000046000000}"/>
    <hyperlink ref="B87" r:id="rId72" xr:uid="{00000000-0004-0000-6500-000047000000}"/>
    <hyperlink ref="B88" r:id="rId73" xr:uid="{00000000-0004-0000-6500-000048000000}"/>
    <hyperlink ref="B89" r:id="rId74" xr:uid="{00000000-0004-0000-6500-000049000000}"/>
    <hyperlink ref="B91" r:id="rId75" xr:uid="{00000000-0004-0000-6500-00004A000000}"/>
    <hyperlink ref="B92" r:id="rId76" xr:uid="{00000000-0004-0000-6500-00004B000000}"/>
    <hyperlink ref="B93" r:id="rId77" xr:uid="{00000000-0004-0000-6500-00004C000000}"/>
    <hyperlink ref="B94" r:id="rId78" xr:uid="{00000000-0004-0000-6500-00004D000000}"/>
    <hyperlink ref="B96" r:id="rId79" xr:uid="{00000000-0004-0000-6500-00004E000000}"/>
    <hyperlink ref="B97" r:id="rId80" xr:uid="{00000000-0004-0000-6500-00004F000000}"/>
    <hyperlink ref="B98" r:id="rId81" xr:uid="{00000000-0004-0000-6500-000050000000}"/>
    <hyperlink ref="B99" r:id="rId82" xr:uid="{00000000-0004-0000-6500-000051000000}"/>
    <hyperlink ref="B100" r:id="rId83" xr:uid="{00000000-0004-0000-6500-000052000000}"/>
    <hyperlink ref="B101" r:id="rId84" xr:uid="{00000000-0004-0000-6500-000053000000}"/>
    <hyperlink ref="B102" r:id="rId85" xr:uid="{00000000-0004-0000-6500-000054000000}"/>
    <hyperlink ref="B103" r:id="rId86" xr:uid="{00000000-0004-0000-6500-000055000000}"/>
    <hyperlink ref="B104" r:id="rId87" xr:uid="{00000000-0004-0000-6500-000056000000}"/>
    <hyperlink ref="B105" r:id="rId88" xr:uid="{00000000-0004-0000-6500-000057000000}"/>
    <hyperlink ref="B106" r:id="rId89" xr:uid="{00000000-0004-0000-6500-000058000000}"/>
    <hyperlink ref="B107" r:id="rId90" xr:uid="{00000000-0004-0000-6500-000059000000}"/>
    <hyperlink ref="B109" r:id="rId91" xr:uid="{00000000-0004-0000-6500-00005A000000}"/>
    <hyperlink ref="B110" r:id="rId92" xr:uid="{00000000-0004-0000-6500-00005B000000}"/>
    <hyperlink ref="B111" r:id="rId93" xr:uid="{00000000-0004-0000-6500-00005C000000}"/>
    <hyperlink ref="B112" r:id="rId94" xr:uid="{00000000-0004-0000-6500-00005D000000}"/>
    <hyperlink ref="B113" r:id="rId95" xr:uid="{00000000-0004-0000-6500-00005E000000}"/>
    <hyperlink ref="B114" r:id="rId96" xr:uid="{00000000-0004-0000-6500-00005F000000}"/>
    <hyperlink ref="B115" r:id="rId97" xr:uid="{00000000-0004-0000-6500-000060000000}"/>
    <hyperlink ref="B116" r:id="rId98" xr:uid="{00000000-0004-0000-6500-000061000000}"/>
    <hyperlink ref="B117" r:id="rId99" xr:uid="{00000000-0004-0000-6500-000062000000}"/>
    <hyperlink ref="B118" r:id="rId100" xr:uid="{00000000-0004-0000-6500-000063000000}"/>
    <hyperlink ref="B121" r:id="rId101" xr:uid="{00000000-0004-0000-6500-000064000000}"/>
    <hyperlink ref="B122" r:id="rId102" xr:uid="{00000000-0004-0000-6500-000065000000}"/>
    <hyperlink ref="B123" r:id="rId103" xr:uid="{00000000-0004-0000-6500-000066000000}"/>
    <hyperlink ref="B125" r:id="rId104" xr:uid="{00000000-0004-0000-6500-000067000000}"/>
    <hyperlink ref="B126" r:id="rId105" xr:uid="{00000000-0004-0000-6500-000068000000}"/>
    <hyperlink ref="B127" r:id="rId106" xr:uid="{00000000-0004-0000-6500-000069000000}"/>
    <hyperlink ref="B128" r:id="rId107" xr:uid="{00000000-0004-0000-6500-00006A000000}"/>
    <hyperlink ref="B129" r:id="rId108" xr:uid="{00000000-0004-0000-6500-00006B000000}"/>
    <hyperlink ref="B130" r:id="rId109" xr:uid="{00000000-0004-0000-6500-00006C000000}"/>
    <hyperlink ref="B131" r:id="rId110" xr:uid="{00000000-0004-0000-6500-00006D000000}"/>
    <hyperlink ref="B132" r:id="rId111" xr:uid="{00000000-0004-0000-6500-00006E000000}"/>
    <hyperlink ref="B133" r:id="rId112" xr:uid="{00000000-0004-0000-6500-00006F000000}"/>
    <hyperlink ref="B134" r:id="rId113" xr:uid="{00000000-0004-0000-6500-000070000000}"/>
    <hyperlink ref="B135" r:id="rId114" xr:uid="{00000000-0004-0000-6500-000071000000}"/>
    <hyperlink ref="B136" r:id="rId115" xr:uid="{00000000-0004-0000-6500-000072000000}"/>
    <hyperlink ref="B137" r:id="rId116" xr:uid="{00000000-0004-0000-6500-000073000000}"/>
    <hyperlink ref="B138" r:id="rId117" xr:uid="{00000000-0004-0000-6500-000074000000}"/>
    <hyperlink ref="B139" r:id="rId118" xr:uid="{00000000-0004-0000-6500-000075000000}"/>
    <hyperlink ref="B140" r:id="rId119" xr:uid="{00000000-0004-0000-6500-000076000000}"/>
    <hyperlink ref="B141" r:id="rId120" xr:uid="{00000000-0004-0000-6500-000077000000}"/>
    <hyperlink ref="B144" r:id="rId121" xr:uid="{00000000-0004-0000-6500-000078000000}"/>
    <hyperlink ref="B147" r:id="rId122" xr:uid="{00000000-0004-0000-6500-000079000000}"/>
    <hyperlink ref="B148" r:id="rId123" xr:uid="{00000000-0004-0000-6500-00007A000000}"/>
    <hyperlink ref="B149" r:id="rId124" xr:uid="{00000000-0004-0000-6500-00007B000000}"/>
    <hyperlink ref="B150" r:id="rId125" xr:uid="{00000000-0004-0000-6500-00007C000000}"/>
    <hyperlink ref="B151" r:id="rId126" xr:uid="{00000000-0004-0000-6500-00007D000000}"/>
    <hyperlink ref="B152" r:id="rId127" xr:uid="{00000000-0004-0000-6500-00007E000000}"/>
    <hyperlink ref="B153" r:id="rId128" xr:uid="{00000000-0004-0000-6500-00007F000000}"/>
    <hyperlink ref="B154" r:id="rId129" xr:uid="{00000000-0004-0000-6500-000080000000}"/>
    <hyperlink ref="B155" r:id="rId130" xr:uid="{00000000-0004-0000-6500-000081000000}"/>
    <hyperlink ref="B156" r:id="rId131" xr:uid="{00000000-0004-0000-6500-000082000000}"/>
    <hyperlink ref="B157" r:id="rId132" xr:uid="{00000000-0004-0000-6500-000083000000}"/>
    <hyperlink ref="B158" r:id="rId133" xr:uid="{00000000-0004-0000-6500-000084000000}"/>
    <hyperlink ref="B160" r:id="rId134" xr:uid="{00000000-0004-0000-6500-000085000000}"/>
    <hyperlink ref="B161" r:id="rId135" xr:uid="{00000000-0004-0000-6500-000086000000}"/>
    <hyperlink ref="B162" r:id="rId136" xr:uid="{00000000-0004-0000-6500-000087000000}"/>
    <hyperlink ref="B163" r:id="rId137" xr:uid="{00000000-0004-0000-6500-000088000000}"/>
    <hyperlink ref="B164" r:id="rId138" xr:uid="{00000000-0004-0000-6500-000089000000}"/>
    <hyperlink ref="B165" r:id="rId139" xr:uid="{00000000-0004-0000-6500-00008A000000}"/>
    <hyperlink ref="B166" r:id="rId140" xr:uid="{00000000-0004-0000-6500-00008B000000}"/>
    <hyperlink ref="B167" r:id="rId141" xr:uid="{00000000-0004-0000-6500-00008C000000}"/>
    <hyperlink ref="B168" r:id="rId142" xr:uid="{00000000-0004-0000-6500-00008D000000}"/>
    <hyperlink ref="B169" r:id="rId143" xr:uid="{00000000-0004-0000-6500-00008E000000}"/>
    <hyperlink ref="B170" r:id="rId144" xr:uid="{00000000-0004-0000-6500-00008F000000}"/>
    <hyperlink ref="B171" r:id="rId145" xr:uid="{00000000-0004-0000-6500-000090000000}"/>
    <hyperlink ref="B172" r:id="rId146" xr:uid="{00000000-0004-0000-6500-000091000000}"/>
    <hyperlink ref="B173" r:id="rId147" xr:uid="{00000000-0004-0000-6500-000092000000}"/>
    <hyperlink ref="B174" r:id="rId148" xr:uid="{00000000-0004-0000-6500-000093000000}"/>
    <hyperlink ref="B175" r:id="rId149" xr:uid="{00000000-0004-0000-6500-000094000000}"/>
    <hyperlink ref="B176" r:id="rId150" xr:uid="{00000000-0004-0000-6500-000095000000}"/>
    <hyperlink ref="B177" r:id="rId151" xr:uid="{00000000-0004-0000-6500-000096000000}"/>
    <hyperlink ref="B178" r:id="rId152" xr:uid="{00000000-0004-0000-6500-000097000000}"/>
    <hyperlink ref="B179" r:id="rId153" xr:uid="{00000000-0004-0000-6500-000098000000}"/>
    <hyperlink ref="B180" r:id="rId154" xr:uid="{00000000-0004-0000-6500-000099000000}"/>
    <hyperlink ref="B181" r:id="rId155" xr:uid="{00000000-0004-0000-6500-00009A000000}"/>
    <hyperlink ref="B182" r:id="rId156" xr:uid="{00000000-0004-0000-6500-00009B000000}"/>
    <hyperlink ref="B183" r:id="rId157" xr:uid="{00000000-0004-0000-6500-00009C000000}"/>
    <hyperlink ref="B184" r:id="rId158" xr:uid="{00000000-0004-0000-6500-00009D000000}"/>
    <hyperlink ref="B185" r:id="rId159" xr:uid="{00000000-0004-0000-6500-00009E000000}"/>
    <hyperlink ref="B186" r:id="rId160" xr:uid="{00000000-0004-0000-6500-00009F000000}"/>
    <hyperlink ref="B187" r:id="rId161" xr:uid="{00000000-0004-0000-6500-0000A0000000}"/>
    <hyperlink ref="B188" r:id="rId162" xr:uid="{00000000-0004-0000-6500-0000A1000000}"/>
    <hyperlink ref="B189" r:id="rId163" xr:uid="{00000000-0004-0000-6500-0000A2000000}"/>
    <hyperlink ref="B190" r:id="rId164" xr:uid="{00000000-0004-0000-6500-0000A3000000}"/>
    <hyperlink ref="B203" r:id="rId165" xr:uid="{00000000-0004-0000-6500-0000A4000000}"/>
    <hyperlink ref="B204" r:id="rId166" xr:uid="{00000000-0004-0000-6500-0000A5000000}"/>
    <hyperlink ref="B205" r:id="rId167" xr:uid="{00000000-0004-0000-6500-0000A6000000}"/>
    <hyperlink ref="B206" r:id="rId168" xr:uid="{00000000-0004-0000-6500-0000A7000000}"/>
    <hyperlink ref="B211" r:id="rId169" xr:uid="{00000000-0004-0000-6500-0000A8000000}"/>
    <hyperlink ref="B212" r:id="rId170" xr:uid="{00000000-0004-0000-6500-0000A9000000}"/>
    <hyperlink ref="B213" r:id="rId171" xr:uid="{00000000-0004-0000-6500-0000AA000000}"/>
    <hyperlink ref="B214" r:id="rId172" xr:uid="{00000000-0004-0000-6500-0000AB000000}"/>
    <hyperlink ref="B217" r:id="rId173" xr:uid="{00000000-0004-0000-6500-0000AC000000}"/>
    <hyperlink ref="B218" r:id="rId174" xr:uid="{00000000-0004-0000-6500-0000AD000000}"/>
    <hyperlink ref="B219" r:id="rId175" xr:uid="{00000000-0004-0000-6500-0000AE000000}"/>
    <hyperlink ref="B220" r:id="rId176" xr:uid="{00000000-0004-0000-6500-0000AF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03">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16.83203125" customWidth="1"/>
    <col min="4" max="4" width="14" customWidth="1"/>
    <col min="5" max="5" width="15.1640625" customWidth="1"/>
  </cols>
  <sheetData>
    <row r="1" spans="1:10" ht="15.75" customHeight="1">
      <c r="A1" s="131" t="s">
        <v>86</v>
      </c>
      <c r="B1" s="88"/>
      <c r="C1" s="112"/>
      <c r="D1" s="81" t="s">
        <v>181</v>
      </c>
      <c r="E1" s="87"/>
      <c r="F1" s="87"/>
      <c r="G1" s="87"/>
      <c r="H1" s="88"/>
      <c r="I1" s="88"/>
    </row>
    <row r="2" spans="1:10" ht="15.75" customHeight="1">
      <c r="A2" s="88" t="s">
        <v>182</v>
      </c>
      <c r="B2" s="139">
        <v>43952</v>
      </c>
      <c r="C2" s="112"/>
      <c r="D2" s="82">
        <f>SUM(D5:G213)</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51" t="s">
        <v>9138</v>
      </c>
      <c r="B5" s="60" t="s">
        <v>277</v>
      </c>
      <c r="C5" s="51" t="s">
        <v>205</v>
      </c>
      <c r="D5" s="51"/>
      <c r="E5" s="86"/>
      <c r="F5" s="86"/>
      <c r="G5" s="87"/>
      <c r="H5" s="88"/>
      <c r="I5" s="88"/>
      <c r="J5" s="88"/>
    </row>
    <row r="6" spans="1:10" ht="15.75" customHeight="1">
      <c r="A6" s="51" t="s">
        <v>9139</v>
      </c>
      <c r="B6" s="60" t="s">
        <v>286</v>
      </c>
      <c r="C6" s="51" t="s">
        <v>205</v>
      </c>
      <c r="D6" s="51"/>
      <c r="E6" s="86"/>
      <c r="F6" s="86"/>
      <c r="G6" s="87"/>
      <c r="H6" s="88"/>
      <c r="I6" s="88"/>
      <c r="J6" s="88"/>
    </row>
    <row r="7" spans="1:10" ht="15.75" customHeight="1">
      <c r="A7" s="51" t="s">
        <v>9140</v>
      </c>
      <c r="B7" s="60" t="s">
        <v>331</v>
      </c>
      <c r="C7" s="51" t="s">
        <v>205</v>
      </c>
      <c r="D7" s="51"/>
      <c r="E7" s="86"/>
      <c r="F7" s="86"/>
      <c r="G7" s="87"/>
      <c r="H7" s="88"/>
      <c r="I7" s="88"/>
    </row>
    <row r="8" spans="1:10" ht="15.75" customHeight="1">
      <c r="A8" s="51" t="s">
        <v>9141</v>
      </c>
      <c r="B8" s="60" t="s">
        <v>232</v>
      </c>
      <c r="C8" s="51" t="s">
        <v>205</v>
      </c>
      <c r="D8" s="51"/>
      <c r="E8" s="86"/>
      <c r="F8" s="86"/>
      <c r="G8" s="87"/>
      <c r="H8" s="88"/>
      <c r="I8" s="88"/>
    </row>
    <row r="9" spans="1:10" ht="15.75" customHeight="1">
      <c r="A9" s="51" t="s">
        <v>9142</v>
      </c>
      <c r="B9" s="60" t="s">
        <v>888</v>
      </c>
      <c r="C9" s="51" t="s">
        <v>205</v>
      </c>
      <c r="D9" s="51"/>
      <c r="E9" s="86"/>
      <c r="F9" s="86"/>
      <c r="G9" s="87"/>
      <c r="H9" s="88"/>
      <c r="I9" s="88"/>
    </row>
    <row r="10" spans="1:10" ht="15.75" customHeight="1">
      <c r="A10" s="51" t="s">
        <v>9143</v>
      </c>
      <c r="B10" s="60" t="s">
        <v>775</v>
      </c>
      <c r="C10" s="51" t="s">
        <v>205</v>
      </c>
      <c r="D10" s="51"/>
      <c r="E10" s="86"/>
      <c r="F10" s="86"/>
      <c r="G10" s="87"/>
      <c r="H10" s="88"/>
      <c r="I10" s="88"/>
    </row>
    <row r="11" spans="1:10" ht="15.75" customHeight="1">
      <c r="A11" s="51" t="s">
        <v>9144</v>
      </c>
      <c r="B11" s="60" t="s">
        <v>1443</v>
      </c>
      <c r="C11" s="51" t="s">
        <v>205</v>
      </c>
      <c r="D11" s="51"/>
      <c r="E11" s="86"/>
      <c r="F11" s="86"/>
      <c r="G11" s="87"/>
      <c r="H11" s="88"/>
      <c r="I11" s="88"/>
    </row>
    <row r="12" spans="1:10" ht="15.75" customHeight="1">
      <c r="A12" s="51" t="s">
        <v>9145</v>
      </c>
      <c r="B12" s="60" t="s">
        <v>1416</v>
      </c>
      <c r="C12" s="51" t="s">
        <v>205</v>
      </c>
      <c r="D12" s="51"/>
      <c r="E12" s="87"/>
      <c r="F12" s="86"/>
      <c r="G12" s="87"/>
      <c r="H12" s="88"/>
      <c r="I12" s="88"/>
    </row>
    <row r="13" spans="1:10" ht="15.75" customHeight="1">
      <c r="A13" s="51" t="s">
        <v>9146</v>
      </c>
      <c r="B13" s="60" t="s">
        <v>1195</v>
      </c>
      <c r="C13" s="51" t="s">
        <v>205</v>
      </c>
      <c r="D13" s="51"/>
      <c r="E13" s="89"/>
      <c r="F13" s="87"/>
      <c r="G13" s="87"/>
      <c r="H13" s="88"/>
      <c r="I13" s="88"/>
    </row>
    <row r="14" spans="1:10" ht="15.75" customHeight="1">
      <c r="A14" s="51" t="s">
        <v>9147</v>
      </c>
      <c r="B14" s="60" t="s">
        <v>1891</v>
      </c>
      <c r="C14" s="51" t="s">
        <v>205</v>
      </c>
      <c r="D14" s="51"/>
      <c r="E14" s="86"/>
      <c r="F14" s="87"/>
      <c r="G14" s="87"/>
      <c r="H14" s="88"/>
      <c r="I14" s="88"/>
    </row>
    <row r="15" spans="1:10" ht="15.75" customHeight="1">
      <c r="A15" s="51" t="s">
        <v>9148</v>
      </c>
      <c r="B15" s="60" t="s">
        <v>1818</v>
      </c>
      <c r="C15" s="51" t="s">
        <v>205</v>
      </c>
      <c r="D15" s="51"/>
      <c r="E15" s="86"/>
      <c r="F15" s="86"/>
      <c r="G15" s="87"/>
      <c r="H15" s="88"/>
      <c r="I15" s="88"/>
    </row>
    <row r="16" spans="1:10" ht="15.75" customHeight="1">
      <c r="A16" s="51" t="s">
        <v>9149</v>
      </c>
      <c r="B16" s="60" t="s">
        <v>3277</v>
      </c>
      <c r="C16" s="51" t="s">
        <v>205</v>
      </c>
      <c r="D16" s="51"/>
      <c r="E16" s="86"/>
      <c r="F16" s="86"/>
      <c r="G16" s="87"/>
      <c r="H16" s="88"/>
      <c r="I16" s="88"/>
    </row>
    <row r="17" spans="1:9" ht="15.75" customHeight="1">
      <c r="A17" s="51" t="s">
        <v>9150</v>
      </c>
      <c r="B17" s="60" t="s">
        <v>3182</v>
      </c>
      <c r="C17" s="51" t="s">
        <v>205</v>
      </c>
      <c r="D17" s="51"/>
      <c r="F17" s="86"/>
      <c r="G17" s="87"/>
      <c r="H17" s="88"/>
      <c r="I17" s="88"/>
    </row>
    <row r="18" spans="1:9" ht="15.75" customHeight="1">
      <c r="A18" s="51" t="s">
        <v>9151</v>
      </c>
      <c r="B18" s="60" t="s">
        <v>5042</v>
      </c>
      <c r="C18" s="51" t="s">
        <v>205</v>
      </c>
      <c r="D18" s="51"/>
      <c r="E18" s="86"/>
      <c r="F18" s="86"/>
      <c r="G18" s="87"/>
      <c r="H18" s="88"/>
      <c r="I18" s="88"/>
    </row>
    <row r="19" spans="1:9" ht="15.75" customHeight="1">
      <c r="A19" s="51" t="s">
        <v>9152</v>
      </c>
      <c r="B19" s="60" t="s">
        <v>4758</v>
      </c>
      <c r="C19" s="51" t="s">
        <v>205</v>
      </c>
      <c r="D19" s="51"/>
      <c r="E19" s="86"/>
      <c r="F19" s="86"/>
      <c r="G19" s="87"/>
      <c r="H19" s="88"/>
      <c r="I19" s="88"/>
    </row>
    <row r="20" spans="1:9" ht="15.75" customHeight="1">
      <c r="A20" s="51" t="s">
        <v>9153</v>
      </c>
      <c r="B20" s="60" t="s">
        <v>6466</v>
      </c>
      <c r="C20" s="51" t="s">
        <v>205</v>
      </c>
      <c r="D20" s="51"/>
      <c r="E20" s="86"/>
      <c r="F20" s="86"/>
      <c r="G20" s="87"/>
      <c r="H20" s="88"/>
      <c r="I20" s="88"/>
    </row>
    <row r="21" spans="1:9" ht="15.75" customHeight="1">
      <c r="A21" s="51" t="s">
        <v>9154</v>
      </c>
      <c r="B21" s="155" t="str">
        <f>HYPERLINK("https://bulbapedia.bulbagarden.net/wiki/Rillaboom_V_(Rebel_Clash_17)","RillaboomV")</f>
        <v>RillaboomV</v>
      </c>
      <c r="C21" s="51" t="s">
        <v>205</v>
      </c>
      <c r="D21" s="51"/>
      <c r="E21" s="86"/>
      <c r="F21" s="89"/>
      <c r="G21" s="87"/>
      <c r="H21" s="88"/>
      <c r="I21" s="88"/>
    </row>
    <row r="22" spans="1:9" ht="15.75" customHeight="1">
      <c r="A22" s="51" t="s">
        <v>9155</v>
      </c>
      <c r="B22" s="155" t="str">
        <f>HYPERLINK("https://bulbapedia.bulbagarden.net/wiki/Rillaboom_VMAX_(Rebel_Clash_18)","RillaboomVMAX")</f>
        <v>RillaboomVMAX</v>
      </c>
      <c r="C22" s="51" t="s">
        <v>205</v>
      </c>
      <c r="D22" s="51"/>
      <c r="E22" s="86"/>
      <c r="F22" s="87"/>
      <c r="G22" s="87"/>
      <c r="H22" s="88"/>
      <c r="I22" s="88"/>
    </row>
    <row r="23" spans="1:9" ht="15.75" customHeight="1">
      <c r="A23" s="51" t="s">
        <v>9156</v>
      </c>
      <c r="B23" s="155" t="str">
        <f>HYPERLINK("https://bulbapedia.bulbagarden.net/wiki/Eldegoss_V_(Rebel_Clash_19)","EldegossV")</f>
        <v>EldegossV</v>
      </c>
      <c r="C23" s="51" t="s">
        <v>205</v>
      </c>
      <c r="D23" s="51"/>
      <c r="E23" s="51"/>
    </row>
    <row r="24" spans="1:9" ht="15.75" customHeight="1">
      <c r="A24" s="51" t="s">
        <v>9157</v>
      </c>
      <c r="B24" s="60" t="s">
        <v>9158</v>
      </c>
      <c r="C24" s="51" t="s">
        <v>205</v>
      </c>
      <c r="D24" s="51"/>
      <c r="E24" s="86"/>
      <c r="F24" s="87"/>
      <c r="G24" s="87"/>
      <c r="H24" s="88"/>
      <c r="I24" s="88"/>
    </row>
    <row r="25" spans="1:9" ht="15.75" customHeight="1">
      <c r="A25" s="51" t="s">
        <v>9159</v>
      </c>
      <c r="B25" s="60" t="s">
        <v>9158</v>
      </c>
      <c r="C25" s="51" t="s">
        <v>205</v>
      </c>
      <c r="D25" s="51"/>
      <c r="E25" s="86"/>
      <c r="F25" s="89"/>
      <c r="G25" s="87"/>
      <c r="H25" s="88"/>
      <c r="I25" s="88"/>
    </row>
    <row r="26" spans="1:9" ht="15.75" customHeight="1">
      <c r="A26" s="51" t="s">
        <v>9160</v>
      </c>
      <c r="B26" s="60" t="s">
        <v>8832</v>
      </c>
      <c r="C26" s="51" t="s">
        <v>205</v>
      </c>
      <c r="D26" s="54"/>
      <c r="E26" s="86"/>
      <c r="F26" s="86"/>
      <c r="G26" s="87"/>
      <c r="H26" s="88"/>
      <c r="I26" s="88"/>
    </row>
    <row r="27" spans="1:9" ht="15.75" customHeight="1">
      <c r="A27" s="51" t="s">
        <v>9161</v>
      </c>
      <c r="B27" s="60" t="s">
        <v>9162</v>
      </c>
      <c r="C27" s="51" t="s">
        <v>205</v>
      </c>
      <c r="D27" s="54"/>
      <c r="E27" s="86"/>
      <c r="F27" s="89"/>
      <c r="G27" s="87"/>
      <c r="H27" s="88"/>
      <c r="I27" s="88"/>
    </row>
    <row r="28" spans="1:9" ht="15.75" customHeight="1">
      <c r="A28" s="51" t="s">
        <v>9163</v>
      </c>
      <c r="B28" s="60" t="s">
        <v>299</v>
      </c>
      <c r="C28" s="51" t="s">
        <v>199</v>
      </c>
      <c r="D28" s="51"/>
      <c r="E28" s="86"/>
      <c r="F28" s="87"/>
      <c r="G28" s="87"/>
      <c r="H28" s="88"/>
      <c r="I28" s="88"/>
    </row>
    <row r="29" spans="1:9" ht="15.75" customHeight="1">
      <c r="A29" s="51" t="s">
        <v>9164</v>
      </c>
      <c r="B29" s="60" t="s">
        <v>249</v>
      </c>
      <c r="C29" s="51" t="s">
        <v>199</v>
      </c>
      <c r="D29" s="51"/>
      <c r="E29" s="86"/>
      <c r="F29" s="87"/>
      <c r="G29" s="87"/>
      <c r="H29" s="88"/>
      <c r="I29" s="88"/>
    </row>
    <row r="30" spans="1:9" ht="15.75" customHeight="1">
      <c r="A30" s="51" t="s">
        <v>9165</v>
      </c>
      <c r="B30" s="155" t="str">
        <f>HYPERLINK("https://bulbapedia.bulbagarden.net/wiki/Ninetales_V_(Rebel_Clash_26)","NinetalesV")</f>
        <v>NinetalesV</v>
      </c>
      <c r="C30" s="51" t="s">
        <v>199</v>
      </c>
      <c r="D30" s="54"/>
      <c r="E30" s="86"/>
      <c r="F30" s="87"/>
      <c r="G30" s="87"/>
      <c r="H30" s="88"/>
      <c r="I30" s="88"/>
    </row>
    <row r="31" spans="1:9" ht="15.75" customHeight="1">
      <c r="A31" s="51" t="s">
        <v>9166</v>
      </c>
      <c r="B31" s="60" t="s">
        <v>262</v>
      </c>
      <c r="C31" s="51" t="s">
        <v>199</v>
      </c>
      <c r="D31" s="51"/>
      <c r="E31" s="86"/>
      <c r="F31" s="87"/>
      <c r="G31" s="87"/>
      <c r="H31" s="88"/>
      <c r="I31" s="88"/>
    </row>
    <row r="32" spans="1:9" ht="15.75" customHeight="1">
      <c r="A32" s="51" t="s">
        <v>9167</v>
      </c>
      <c r="B32" s="60" t="s">
        <v>198</v>
      </c>
      <c r="C32" s="51" t="s">
        <v>199</v>
      </c>
      <c r="D32" s="51"/>
      <c r="E32" s="86"/>
      <c r="F32" s="87"/>
      <c r="G32" s="87"/>
      <c r="H32" s="88"/>
      <c r="I32" s="88"/>
    </row>
    <row r="33" spans="1:9" ht="15.75" customHeight="1">
      <c r="A33" s="51" t="s">
        <v>9168</v>
      </c>
      <c r="B33" s="60" t="s">
        <v>231</v>
      </c>
      <c r="C33" s="51" t="s">
        <v>199</v>
      </c>
      <c r="D33" s="51"/>
      <c r="E33" s="86"/>
      <c r="F33" s="87"/>
      <c r="G33" s="87"/>
      <c r="H33" s="88"/>
      <c r="I33" s="88"/>
    </row>
    <row r="34" spans="1:9" ht="15.75" customHeight="1">
      <c r="A34" s="51" t="s">
        <v>9169</v>
      </c>
      <c r="B34" s="60" t="s">
        <v>3052</v>
      </c>
      <c r="C34" s="51" t="s">
        <v>199</v>
      </c>
      <c r="D34" s="51"/>
      <c r="E34" s="86"/>
      <c r="F34" s="87"/>
      <c r="G34" s="87"/>
      <c r="H34" s="88"/>
      <c r="I34" s="88"/>
    </row>
    <row r="35" spans="1:9" ht="15.75" customHeight="1">
      <c r="A35" s="51" t="s">
        <v>9170</v>
      </c>
      <c r="B35" s="60" t="s">
        <v>4086</v>
      </c>
      <c r="C35" s="51" t="s">
        <v>199</v>
      </c>
      <c r="D35" s="51"/>
      <c r="E35" s="86"/>
      <c r="F35" s="86"/>
      <c r="G35" s="87"/>
      <c r="H35" s="88"/>
      <c r="I35" s="88"/>
    </row>
    <row r="36" spans="1:9" ht="15.75" customHeight="1">
      <c r="A36" s="51" t="s">
        <v>9171</v>
      </c>
      <c r="B36" s="60" t="s">
        <v>4087</v>
      </c>
      <c r="C36" s="51" t="s">
        <v>199</v>
      </c>
      <c r="D36" s="51"/>
      <c r="E36" s="86"/>
      <c r="F36" s="87"/>
      <c r="G36" s="87"/>
      <c r="H36" s="88"/>
      <c r="I36" s="88"/>
    </row>
    <row r="37" spans="1:9" ht="15.75" customHeight="1">
      <c r="A37" s="51" t="s">
        <v>9172</v>
      </c>
      <c r="B37" s="155" t="str">
        <f>HYPERLINK("https://bulbapedia.bulbagarden.net/wiki/Chandelure_(Rebel_Clash_33)","Chandelure")</f>
        <v>Chandelure</v>
      </c>
      <c r="C37" s="51" t="s">
        <v>199</v>
      </c>
      <c r="D37" s="54"/>
      <c r="E37" s="89"/>
      <c r="F37" s="87"/>
      <c r="G37" s="87"/>
      <c r="H37" s="88"/>
      <c r="I37" s="88"/>
    </row>
    <row r="38" spans="1:9" ht="15.75" customHeight="1">
      <c r="A38" s="51" t="s">
        <v>9173</v>
      </c>
      <c r="B38" s="60" t="s">
        <v>4056</v>
      </c>
      <c r="C38" s="51" t="s">
        <v>199</v>
      </c>
      <c r="D38" s="51"/>
      <c r="E38" s="86"/>
      <c r="F38" s="87"/>
      <c r="G38" s="87"/>
      <c r="H38" s="88"/>
      <c r="I38" s="88"/>
    </row>
    <row r="39" spans="1:9" ht="15.75" customHeight="1">
      <c r="A39" s="51" t="s">
        <v>9174</v>
      </c>
      <c r="B39" s="155" t="str">
        <f>HYPERLINK("https://bulbapedia.bulbagarden.net/wiki/Cinderace_V_(Rebel_Clash_35)","CinderaceV")</f>
        <v>CinderaceV</v>
      </c>
      <c r="C39" s="51" t="s">
        <v>199</v>
      </c>
      <c r="D39" s="54"/>
      <c r="E39" s="86"/>
      <c r="F39" s="86"/>
      <c r="G39" s="87"/>
      <c r="H39" s="88"/>
      <c r="I39" s="88"/>
    </row>
    <row r="40" spans="1:9" ht="15.75" customHeight="1">
      <c r="A40" s="51" t="s">
        <v>9175</v>
      </c>
      <c r="B40" s="155" t="str">
        <f>HYPERLINK("https://bulbapedia.bulbagarden.net/wiki/Cinderace_VMAX_(Rebel_Clash_36)","CinderaceVMAX")</f>
        <v>CinderaceVMAX</v>
      </c>
      <c r="C40" s="51" t="s">
        <v>199</v>
      </c>
      <c r="D40" s="54"/>
      <c r="E40" s="86"/>
      <c r="F40" s="87"/>
      <c r="G40" s="87"/>
      <c r="H40" s="88"/>
      <c r="I40" s="88"/>
    </row>
    <row r="41" spans="1:9" ht="15.75" customHeight="1">
      <c r="A41" s="51" t="s">
        <v>9176</v>
      </c>
      <c r="B41" s="60" t="s">
        <v>9177</v>
      </c>
      <c r="C41" s="51" t="s">
        <v>208</v>
      </c>
      <c r="D41" s="51"/>
      <c r="E41" s="86"/>
      <c r="F41" s="87"/>
      <c r="G41" s="87"/>
      <c r="H41" s="88"/>
      <c r="I41" s="88"/>
    </row>
    <row r="42" spans="1:9" ht="15.75" customHeight="1">
      <c r="A42" s="51" t="s">
        <v>9178</v>
      </c>
      <c r="B42" s="60" t="s">
        <v>8664</v>
      </c>
      <c r="C42" s="51" t="s">
        <v>208</v>
      </c>
      <c r="D42" s="51"/>
      <c r="E42" s="86"/>
      <c r="F42" s="87"/>
      <c r="G42" s="87"/>
      <c r="H42" s="88"/>
      <c r="I42" s="88"/>
    </row>
    <row r="43" spans="1:9" ht="15.75" customHeight="1">
      <c r="A43" s="51" t="s">
        <v>9179</v>
      </c>
      <c r="B43" s="60" t="s">
        <v>268</v>
      </c>
      <c r="C43" s="51" t="s">
        <v>208</v>
      </c>
      <c r="D43" s="51"/>
      <c r="E43" s="86"/>
      <c r="F43" s="87"/>
      <c r="G43" s="87"/>
      <c r="H43" s="88"/>
      <c r="I43" s="88"/>
    </row>
    <row r="44" spans="1:9" ht="15.75" customHeight="1">
      <c r="A44" s="51" t="s">
        <v>9180</v>
      </c>
      <c r="B44" s="60" t="s">
        <v>245</v>
      </c>
      <c r="C44" s="51" t="s">
        <v>208</v>
      </c>
      <c r="D44" s="54"/>
      <c r="E44" s="86"/>
      <c r="F44" s="86"/>
      <c r="G44" s="87"/>
      <c r="H44" s="88"/>
      <c r="I44" s="88"/>
    </row>
    <row r="45" spans="1:9" ht="15.75" customHeight="1">
      <c r="A45" s="51" t="s">
        <v>9181</v>
      </c>
      <c r="B45" s="60" t="s">
        <v>1321</v>
      </c>
      <c r="C45" s="51" t="s">
        <v>208</v>
      </c>
      <c r="D45" s="51"/>
      <c r="E45" s="86"/>
      <c r="F45" s="87"/>
      <c r="G45" s="87"/>
      <c r="H45" s="88"/>
      <c r="I45" s="88"/>
    </row>
    <row r="46" spans="1:9" ht="15.75" customHeight="1">
      <c r="A46" s="51" t="s">
        <v>9182</v>
      </c>
      <c r="B46" s="60" t="s">
        <v>1242</v>
      </c>
      <c r="C46" s="51" t="s">
        <v>208</v>
      </c>
      <c r="D46" s="51"/>
      <c r="E46" s="86"/>
      <c r="F46" s="86"/>
      <c r="G46" s="87"/>
      <c r="H46" s="88"/>
      <c r="I46" s="88"/>
    </row>
    <row r="47" spans="1:9" ht="15.75" customHeight="1">
      <c r="A47" s="51" t="s">
        <v>9183</v>
      </c>
      <c r="B47" s="155" t="str">
        <f>HYPERLINK("https://bulbapedia.bulbagarden.net/wiki/Milotic_V_(Rebel_Clash_43)","MiloticV")</f>
        <v>MiloticV</v>
      </c>
      <c r="C47" s="51" t="s">
        <v>208</v>
      </c>
      <c r="D47" s="54"/>
      <c r="E47" s="89"/>
      <c r="F47" s="87"/>
      <c r="G47" s="87"/>
      <c r="H47" s="88"/>
      <c r="I47" s="88"/>
    </row>
    <row r="48" spans="1:9" ht="15.75" customHeight="1">
      <c r="A48" s="51" t="s">
        <v>9184</v>
      </c>
      <c r="B48" s="60" t="s">
        <v>4059</v>
      </c>
      <c r="C48" s="51" t="s">
        <v>208</v>
      </c>
      <c r="D48" s="51"/>
      <c r="E48" s="86"/>
      <c r="F48" s="86"/>
      <c r="G48" s="87"/>
      <c r="H48" s="88"/>
      <c r="I48" s="88"/>
    </row>
    <row r="49" spans="1:9" ht="15.75" customHeight="1">
      <c r="A49" s="51" t="s">
        <v>9185</v>
      </c>
      <c r="B49" s="60" t="s">
        <v>4060</v>
      </c>
      <c r="C49" s="51" t="s">
        <v>208</v>
      </c>
      <c r="D49" s="51"/>
      <c r="E49" s="86"/>
      <c r="F49" s="87"/>
      <c r="G49" s="87"/>
      <c r="H49" s="88"/>
      <c r="I49" s="88"/>
    </row>
    <row r="50" spans="1:9" ht="15.75" customHeight="1">
      <c r="A50" s="51" t="s">
        <v>9186</v>
      </c>
      <c r="B50" s="60" t="s">
        <v>4061</v>
      </c>
      <c r="C50" s="51" t="s">
        <v>208</v>
      </c>
      <c r="D50" s="51"/>
      <c r="E50" s="86"/>
      <c r="F50" s="87"/>
      <c r="G50" s="87"/>
      <c r="H50" s="88"/>
      <c r="I50" s="88"/>
    </row>
    <row r="51" spans="1:9" ht="15.75" customHeight="1">
      <c r="A51" s="51" t="s">
        <v>9187</v>
      </c>
      <c r="B51" s="60" t="s">
        <v>9188</v>
      </c>
      <c r="C51" s="51" t="s">
        <v>208</v>
      </c>
      <c r="D51" s="51"/>
      <c r="E51" s="89"/>
      <c r="F51" s="87"/>
      <c r="G51" s="87"/>
      <c r="H51" s="88"/>
      <c r="I51" s="88"/>
    </row>
    <row r="52" spans="1:9" ht="15.75" customHeight="1">
      <c r="A52" s="51" t="s">
        <v>9189</v>
      </c>
      <c r="B52" s="60" t="s">
        <v>9190</v>
      </c>
      <c r="C52" s="51" t="s">
        <v>208</v>
      </c>
      <c r="D52" s="51"/>
      <c r="E52" s="89"/>
      <c r="F52" s="87"/>
      <c r="G52" s="87"/>
      <c r="H52" s="88"/>
      <c r="I52" s="88"/>
    </row>
    <row r="53" spans="1:9" ht="13">
      <c r="A53" s="51" t="s">
        <v>9191</v>
      </c>
      <c r="B53" s="155" t="str">
        <f>HYPERLINK("https://bulbapedia.bulbagarden.net/wiki/Inteleon_V_(Rebel_Clash_49)","InteleonV")</f>
        <v>InteleonV</v>
      </c>
      <c r="C53" s="51" t="s">
        <v>208</v>
      </c>
      <c r="D53" s="51"/>
      <c r="E53" s="87"/>
      <c r="F53" s="87"/>
      <c r="G53" s="87"/>
      <c r="H53" s="88"/>
      <c r="I53" s="88"/>
    </row>
    <row r="54" spans="1:9" ht="13">
      <c r="A54" s="51" t="s">
        <v>9192</v>
      </c>
      <c r="B54" s="155" t="str">
        <f>HYPERLINK("https://bulbapedia.bulbagarden.net/wiki/Inteleon_VMAX_(Rebel_Clash_50)","InteleonVMAX")</f>
        <v>InteleonVMAX</v>
      </c>
      <c r="C54" s="51" t="s">
        <v>208</v>
      </c>
      <c r="D54" s="54"/>
      <c r="E54" s="87"/>
      <c r="F54" s="87"/>
      <c r="G54" s="87"/>
      <c r="H54" s="88"/>
      <c r="I54" s="88"/>
    </row>
    <row r="55" spans="1:9" ht="13">
      <c r="A55" s="51" t="s">
        <v>9193</v>
      </c>
      <c r="B55" s="60" t="s">
        <v>8946</v>
      </c>
      <c r="C55" s="51" t="s">
        <v>208</v>
      </c>
      <c r="D55" s="51"/>
      <c r="E55" s="86"/>
      <c r="F55" s="87"/>
      <c r="G55" s="87"/>
      <c r="H55" s="88"/>
      <c r="I55" s="88"/>
    </row>
    <row r="56" spans="1:9" ht="13">
      <c r="A56" s="51" t="s">
        <v>9194</v>
      </c>
      <c r="B56" s="60" t="s">
        <v>8685</v>
      </c>
      <c r="C56" s="51" t="s">
        <v>208</v>
      </c>
      <c r="D56" s="51"/>
      <c r="E56" s="89"/>
      <c r="F56" s="86"/>
      <c r="G56" s="87"/>
      <c r="H56" s="88"/>
      <c r="I56" s="88"/>
    </row>
    <row r="57" spans="1:9" ht="13">
      <c r="A57" s="51" t="s">
        <v>9195</v>
      </c>
      <c r="B57" s="60" t="s">
        <v>9196</v>
      </c>
      <c r="C57" s="51" t="s">
        <v>208</v>
      </c>
      <c r="D57" s="51"/>
      <c r="E57" s="86"/>
      <c r="F57" s="89"/>
      <c r="G57" s="87"/>
      <c r="H57" s="88"/>
      <c r="I57" s="88"/>
    </row>
    <row r="58" spans="1:9" ht="13">
      <c r="A58" s="51" t="s">
        <v>9197</v>
      </c>
      <c r="B58" s="60" t="s">
        <v>8743</v>
      </c>
      <c r="C58" s="51" t="s">
        <v>208</v>
      </c>
      <c r="D58" s="54"/>
      <c r="E58" s="86"/>
      <c r="F58" s="86"/>
      <c r="G58" s="87"/>
      <c r="H58" s="88"/>
      <c r="I58" s="88"/>
    </row>
    <row r="59" spans="1:9" ht="13">
      <c r="A59" s="51" t="s">
        <v>9198</v>
      </c>
      <c r="B59" s="155" t="str">
        <f>HYPERLINK("https://bulbapedia.bulbagarden.net/wiki/Eiscue_V_(Rebel_Clash_55)","EiscueV")</f>
        <v>EiscueV</v>
      </c>
      <c r="C59" s="51" t="s">
        <v>208</v>
      </c>
      <c r="D59" s="54"/>
      <c r="E59" s="89"/>
      <c r="F59" s="87"/>
      <c r="G59" s="87"/>
      <c r="H59" s="88"/>
      <c r="I59" s="88"/>
    </row>
    <row r="60" spans="1:9" ht="13">
      <c r="A60" s="51" t="s">
        <v>9199</v>
      </c>
      <c r="B60" s="60" t="s">
        <v>298</v>
      </c>
      <c r="C60" s="51" t="s">
        <v>192</v>
      </c>
      <c r="D60" s="51"/>
      <c r="E60" s="86"/>
      <c r="F60" s="87"/>
      <c r="G60" s="87"/>
      <c r="H60" s="88"/>
      <c r="I60" s="88"/>
    </row>
    <row r="61" spans="1:9" ht="13">
      <c r="A61" s="51" t="s">
        <v>9200</v>
      </c>
      <c r="B61" s="60" t="s">
        <v>256</v>
      </c>
      <c r="C61" s="51" t="s">
        <v>192</v>
      </c>
      <c r="D61" s="51"/>
      <c r="E61" s="86"/>
      <c r="F61" s="87"/>
      <c r="G61" s="87"/>
      <c r="H61" s="88"/>
      <c r="I61" s="88"/>
    </row>
    <row r="62" spans="1:9" ht="13">
      <c r="A62" s="51" t="s">
        <v>9201</v>
      </c>
      <c r="B62" s="60" t="s">
        <v>193</v>
      </c>
      <c r="C62" s="51" t="s">
        <v>192</v>
      </c>
      <c r="D62" s="51"/>
      <c r="E62" s="89"/>
      <c r="F62" s="86"/>
      <c r="G62" s="87"/>
      <c r="H62" s="88"/>
      <c r="I62" s="88"/>
    </row>
    <row r="63" spans="1:9" ht="13">
      <c r="A63" s="51" t="s">
        <v>9202</v>
      </c>
      <c r="B63" s="60" t="s">
        <v>3110</v>
      </c>
      <c r="C63" s="51" t="s">
        <v>192</v>
      </c>
      <c r="D63" s="51"/>
      <c r="E63" s="89"/>
      <c r="F63" s="87"/>
      <c r="G63" s="87"/>
      <c r="H63" s="88"/>
      <c r="I63" s="88"/>
    </row>
    <row r="64" spans="1:9" ht="13">
      <c r="A64" s="51" t="s">
        <v>9203</v>
      </c>
      <c r="B64" s="60" t="s">
        <v>3043</v>
      </c>
      <c r="C64" s="51" t="s">
        <v>192</v>
      </c>
      <c r="D64" s="51"/>
      <c r="E64" s="86"/>
      <c r="F64" s="87"/>
      <c r="G64" s="87"/>
      <c r="H64" s="88"/>
      <c r="I64" s="88"/>
    </row>
    <row r="65" spans="1:9" ht="13">
      <c r="A65" s="51" t="s">
        <v>9204</v>
      </c>
      <c r="B65" s="60" t="s">
        <v>3137</v>
      </c>
      <c r="C65" s="51" t="s">
        <v>192</v>
      </c>
      <c r="D65" s="51"/>
      <c r="E65" s="86"/>
      <c r="F65" s="87"/>
      <c r="G65" s="87"/>
      <c r="H65" s="88"/>
      <c r="I65" s="88"/>
    </row>
    <row r="66" spans="1:9" ht="13">
      <c r="A66" s="51" t="s">
        <v>9205</v>
      </c>
      <c r="B66" s="60" t="s">
        <v>3114</v>
      </c>
      <c r="C66" s="51" t="s">
        <v>192</v>
      </c>
      <c r="D66" s="51"/>
      <c r="E66" s="86"/>
      <c r="F66" s="86"/>
      <c r="G66" s="87"/>
      <c r="H66" s="88"/>
      <c r="I66" s="88"/>
    </row>
    <row r="67" spans="1:9" ht="13">
      <c r="A67" s="51" t="s">
        <v>9206</v>
      </c>
      <c r="B67" s="60" t="s">
        <v>5093</v>
      </c>
      <c r="C67" s="51" t="s">
        <v>192</v>
      </c>
      <c r="D67" s="51"/>
      <c r="E67" s="86"/>
      <c r="F67" s="87"/>
      <c r="G67" s="87"/>
      <c r="H67" s="88"/>
      <c r="I67" s="88"/>
    </row>
    <row r="68" spans="1:9" ht="13">
      <c r="A68" s="51" t="s">
        <v>9207</v>
      </c>
      <c r="B68" s="60" t="s">
        <v>4797</v>
      </c>
      <c r="C68" s="51" t="s">
        <v>192</v>
      </c>
      <c r="D68" s="51"/>
      <c r="E68" s="86"/>
      <c r="F68" s="86"/>
      <c r="G68" s="87"/>
      <c r="H68" s="88"/>
      <c r="I68" s="88"/>
    </row>
    <row r="69" spans="1:9" ht="13">
      <c r="A69" s="51" t="s">
        <v>9208</v>
      </c>
      <c r="B69" s="60" t="s">
        <v>6482</v>
      </c>
      <c r="C69" s="51" t="s">
        <v>192</v>
      </c>
      <c r="D69" s="51"/>
      <c r="E69" s="86"/>
      <c r="F69" s="87"/>
      <c r="G69" s="87"/>
      <c r="H69" s="88"/>
      <c r="I69" s="88"/>
    </row>
    <row r="70" spans="1:9" ht="13">
      <c r="A70" s="51" t="s">
        <v>9209</v>
      </c>
      <c r="B70" s="60" t="s">
        <v>6216</v>
      </c>
      <c r="C70" s="51" t="s">
        <v>192</v>
      </c>
      <c r="D70" s="51"/>
      <c r="E70" s="86"/>
      <c r="F70" s="86"/>
      <c r="G70" s="87"/>
      <c r="H70" s="88"/>
      <c r="I70" s="88"/>
    </row>
    <row r="71" spans="1:9" ht="13">
      <c r="A71" s="51" t="s">
        <v>9210</v>
      </c>
      <c r="B71" s="155" t="str">
        <f>HYPERLINK("https://bulbapedia.bulbagarden.net/wiki/Boltund_V_(Rebel_Clash_67)","BoltundV")</f>
        <v>BoltundV</v>
      </c>
      <c r="C71" s="51" t="s">
        <v>192</v>
      </c>
      <c r="D71" s="51"/>
      <c r="E71" s="86"/>
      <c r="F71" s="86"/>
      <c r="G71" s="87"/>
      <c r="H71" s="88"/>
      <c r="I71" s="88"/>
    </row>
    <row r="72" spans="1:9" ht="13">
      <c r="A72" s="51" t="s">
        <v>9211</v>
      </c>
      <c r="B72" s="60" t="s">
        <v>9212</v>
      </c>
      <c r="C72" s="51" t="s">
        <v>192</v>
      </c>
      <c r="D72" s="51"/>
      <c r="E72" s="86"/>
      <c r="F72" s="87"/>
      <c r="G72" s="87"/>
      <c r="H72" s="88"/>
      <c r="I72" s="88"/>
    </row>
    <row r="73" spans="1:9" ht="13">
      <c r="A73" s="51" t="s">
        <v>9213</v>
      </c>
      <c r="B73" s="60" t="s">
        <v>9214</v>
      </c>
      <c r="C73" s="51" t="s">
        <v>192</v>
      </c>
      <c r="D73" s="51"/>
      <c r="E73" s="86"/>
      <c r="F73" s="87"/>
      <c r="G73" s="87"/>
      <c r="H73" s="88"/>
      <c r="I73" s="88"/>
    </row>
    <row r="74" spans="1:9" ht="13">
      <c r="A74" s="51" t="s">
        <v>9215</v>
      </c>
      <c r="B74" s="155" t="str">
        <f>HYPERLINK("https://bulbapedia.bulbagarden.net/wiki/Toxtricity_V_(Rebel_Clash_70)","ToxtricityV")</f>
        <v>ToxtricityV</v>
      </c>
      <c r="C74" s="51" t="s">
        <v>192</v>
      </c>
      <c r="D74" s="51"/>
      <c r="E74" s="86"/>
      <c r="F74" s="87"/>
      <c r="G74" s="87"/>
      <c r="H74" s="88"/>
      <c r="I74" s="88"/>
    </row>
    <row r="75" spans="1:9" ht="13">
      <c r="A75" s="51" t="s">
        <v>9216</v>
      </c>
      <c r="B75" s="155" t="str">
        <f>HYPERLINK("https://bulbapedia.bulbagarden.net/wiki/Toxtricity_VMAX_(Rebel_Clash_71)","ToxtricityVMAX")</f>
        <v>ToxtricityVMAX</v>
      </c>
      <c r="C75" s="51" t="s">
        <v>192</v>
      </c>
      <c r="D75" s="51"/>
      <c r="E75" s="86"/>
      <c r="F75" s="87"/>
      <c r="G75" s="87"/>
      <c r="H75" s="88"/>
      <c r="I75" s="88"/>
    </row>
    <row r="76" spans="1:9" ht="13">
      <c r="A76" s="51" t="s">
        <v>9217</v>
      </c>
      <c r="B76" s="155" t="str">
        <f>HYPERLINK("https://bulbapedia.bulbagarden.net/w/index.php?title=Pincurchin_V_(Rebel_Clash_70)&amp;action=edit&amp;redlink=1","PincurchinV")</f>
        <v>PincurchinV</v>
      </c>
      <c r="C76" s="51" t="s">
        <v>192</v>
      </c>
      <c r="D76" s="51"/>
      <c r="E76" s="86"/>
      <c r="F76" s="87"/>
      <c r="G76" s="87"/>
      <c r="H76" s="88"/>
      <c r="I76" s="88"/>
    </row>
    <row r="77" spans="1:9" ht="13">
      <c r="A77" s="51" t="s">
        <v>9218</v>
      </c>
      <c r="B77" s="60" t="s">
        <v>8562</v>
      </c>
      <c r="C77" s="51" t="s">
        <v>192</v>
      </c>
      <c r="D77" s="51"/>
      <c r="E77" s="86"/>
      <c r="F77" s="87"/>
      <c r="G77" s="87"/>
      <c r="H77" s="88"/>
      <c r="I77" s="88"/>
    </row>
    <row r="78" spans="1:9" ht="13">
      <c r="A78" s="51" t="s">
        <v>9219</v>
      </c>
      <c r="B78" s="60" t="s">
        <v>244</v>
      </c>
      <c r="C78" s="51" t="s">
        <v>195</v>
      </c>
      <c r="D78" s="51"/>
      <c r="E78" s="86"/>
      <c r="F78" s="87"/>
      <c r="G78" s="87"/>
      <c r="H78" s="88"/>
      <c r="I78" s="88"/>
    </row>
    <row r="79" spans="1:9" ht="13">
      <c r="A79" s="51" t="s">
        <v>9220</v>
      </c>
      <c r="B79" s="60" t="s">
        <v>318</v>
      </c>
      <c r="C79" s="51" t="s">
        <v>195</v>
      </c>
      <c r="D79" s="54"/>
      <c r="E79" s="86"/>
      <c r="F79" s="86"/>
      <c r="G79" s="87"/>
      <c r="H79" s="88"/>
      <c r="I79" s="88"/>
    </row>
    <row r="80" spans="1:9" ht="13">
      <c r="A80" s="51" t="s">
        <v>9221</v>
      </c>
      <c r="B80" s="60" t="s">
        <v>881</v>
      </c>
      <c r="C80" s="51" t="s">
        <v>195</v>
      </c>
      <c r="D80" s="51"/>
      <c r="E80" s="86"/>
      <c r="F80" s="86"/>
      <c r="G80" s="87"/>
      <c r="H80" s="88"/>
      <c r="I80" s="88"/>
    </row>
    <row r="81" spans="1:9" ht="13">
      <c r="A81" s="51" t="s">
        <v>9222</v>
      </c>
      <c r="B81" s="60" t="s">
        <v>855</v>
      </c>
      <c r="C81" s="51" t="s">
        <v>195</v>
      </c>
      <c r="D81" s="51"/>
      <c r="E81" s="86"/>
      <c r="F81" s="87"/>
      <c r="G81" s="87"/>
      <c r="H81" s="88"/>
      <c r="I81" s="88"/>
    </row>
    <row r="82" spans="1:9" ht="13">
      <c r="A82" s="51" t="s">
        <v>9223</v>
      </c>
      <c r="B82" s="60" t="s">
        <v>9224</v>
      </c>
      <c r="C82" s="51" t="s">
        <v>195</v>
      </c>
      <c r="D82" s="51"/>
      <c r="E82" s="86"/>
      <c r="F82" s="87"/>
      <c r="G82" s="87"/>
      <c r="H82" s="88"/>
      <c r="I82" s="88"/>
    </row>
    <row r="83" spans="1:9" ht="13">
      <c r="A83" s="51" t="s">
        <v>9225</v>
      </c>
      <c r="B83" s="60" t="s">
        <v>9226</v>
      </c>
      <c r="C83" s="51" t="s">
        <v>195</v>
      </c>
      <c r="D83" s="54"/>
      <c r="E83" s="86"/>
      <c r="F83" s="86"/>
      <c r="G83" s="87"/>
      <c r="H83" s="88"/>
      <c r="I83" s="88"/>
    </row>
    <row r="84" spans="1:9" ht="13">
      <c r="A84" s="51" t="s">
        <v>9227</v>
      </c>
      <c r="B84" s="60" t="s">
        <v>4243</v>
      </c>
      <c r="C84" s="51" t="s">
        <v>195</v>
      </c>
      <c r="D84" s="51"/>
      <c r="E84" s="86"/>
      <c r="F84" s="87"/>
      <c r="G84" s="87"/>
      <c r="H84" s="88"/>
      <c r="I84" s="88"/>
    </row>
    <row r="85" spans="1:9" ht="13">
      <c r="A85" s="51" t="s">
        <v>9228</v>
      </c>
      <c r="B85" s="60" t="s">
        <v>6491</v>
      </c>
      <c r="C85" s="51" t="s">
        <v>195</v>
      </c>
      <c r="D85" s="51"/>
      <c r="E85" s="86"/>
      <c r="F85" s="87"/>
      <c r="G85" s="87"/>
      <c r="H85" s="88"/>
      <c r="I85" s="88"/>
    </row>
    <row r="86" spans="1:9" ht="13">
      <c r="A86" s="51" t="s">
        <v>9229</v>
      </c>
      <c r="B86" s="60" t="s">
        <v>6492</v>
      </c>
      <c r="C86" s="51" t="s">
        <v>195</v>
      </c>
      <c r="D86" s="51"/>
      <c r="E86" s="86"/>
      <c r="F86" s="87"/>
      <c r="G86" s="87"/>
      <c r="H86" s="88"/>
      <c r="I86" s="88"/>
    </row>
    <row r="87" spans="1:9" ht="13">
      <c r="A87" s="51" t="s">
        <v>9230</v>
      </c>
      <c r="B87" s="60" t="s">
        <v>8604</v>
      </c>
      <c r="C87" s="51" t="s">
        <v>195</v>
      </c>
      <c r="D87" s="51"/>
      <c r="E87" s="86"/>
      <c r="F87" s="89"/>
      <c r="G87" s="87"/>
      <c r="H87" s="88"/>
      <c r="I87" s="88"/>
    </row>
    <row r="88" spans="1:9" ht="13">
      <c r="A88" s="51" t="s">
        <v>9231</v>
      </c>
      <c r="B88" s="60" t="s">
        <v>9232</v>
      </c>
      <c r="C88" s="51" t="s">
        <v>195</v>
      </c>
      <c r="D88" s="51"/>
      <c r="E88" s="86"/>
      <c r="F88" s="87"/>
      <c r="G88" s="87"/>
      <c r="H88" s="88"/>
      <c r="I88" s="88"/>
    </row>
    <row r="89" spans="1:9" ht="13">
      <c r="A89" s="51" t="s">
        <v>9233</v>
      </c>
      <c r="B89" s="60" t="s">
        <v>9234</v>
      </c>
      <c r="C89" s="51" t="s">
        <v>195</v>
      </c>
      <c r="D89" s="54"/>
      <c r="E89" s="86"/>
      <c r="F89" s="86"/>
      <c r="G89" s="87"/>
      <c r="H89" s="88"/>
      <c r="I89" s="88"/>
    </row>
    <row r="90" spans="1:9" ht="13">
      <c r="A90" s="51" t="s">
        <v>9235</v>
      </c>
      <c r="B90" s="60" t="s">
        <v>9236</v>
      </c>
      <c r="C90" s="51" t="s">
        <v>195</v>
      </c>
      <c r="D90" s="51"/>
      <c r="E90" s="87"/>
      <c r="F90" s="87"/>
      <c r="G90" s="87"/>
      <c r="H90" s="88"/>
      <c r="I90" s="88"/>
    </row>
    <row r="91" spans="1:9" ht="13">
      <c r="A91" s="51" t="s">
        <v>9237</v>
      </c>
      <c r="B91" s="60" t="s">
        <v>8635</v>
      </c>
      <c r="C91" s="51" t="s">
        <v>195</v>
      </c>
      <c r="D91" s="51"/>
      <c r="E91" s="86"/>
      <c r="F91" s="87"/>
      <c r="G91" s="87"/>
      <c r="H91" s="88"/>
      <c r="I91" s="88"/>
    </row>
    <row r="92" spans="1:9" ht="13">
      <c r="A92" s="51" t="s">
        <v>9238</v>
      </c>
      <c r="B92" s="60" t="s">
        <v>9239</v>
      </c>
      <c r="C92" s="51" t="s">
        <v>195</v>
      </c>
      <c r="D92" s="51"/>
      <c r="E92" s="86"/>
      <c r="F92" s="87"/>
      <c r="G92" s="87"/>
      <c r="H92" s="88"/>
      <c r="I92" s="88"/>
    </row>
    <row r="93" spans="1:9" ht="13">
      <c r="A93" s="51" t="s">
        <v>9240</v>
      </c>
      <c r="B93" s="60" t="s">
        <v>9241</v>
      </c>
      <c r="C93" s="51" t="s">
        <v>195</v>
      </c>
      <c r="D93" s="51"/>
      <c r="E93" s="86"/>
      <c r="F93" s="87"/>
      <c r="G93" s="87"/>
      <c r="H93" s="88"/>
      <c r="I93" s="88"/>
    </row>
    <row r="94" spans="1:9" ht="13">
      <c r="A94" s="51" t="s">
        <v>9242</v>
      </c>
      <c r="B94" s="60" t="s">
        <v>9243</v>
      </c>
      <c r="C94" s="51" t="s">
        <v>195</v>
      </c>
      <c r="D94" s="51"/>
      <c r="E94" s="86"/>
      <c r="F94" s="87"/>
      <c r="G94" s="87"/>
      <c r="H94" s="88"/>
      <c r="I94" s="88"/>
    </row>
    <row r="95" spans="1:9" ht="13">
      <c r="A95" s="51" t="s">
        <v>9244</v>
      </c>
      <c r="B95" s="60" t="s">
        <v>8750</v>
      </c>
      <c r="C95" s="51" t="s">
        <v>195</v>
      </c>
      <c r="D95" s="54"/>
      <c r="E95" s="86"/>
      <c r="F95" s="86"/>
      <c r="G95" s="87"/>
      <c r="H95" s="88"/>
      <c r="I95" s="88"/>
    </row>
    <row r="96" spans="1:9" ht="13">
      <c r="A96" s="51" t="s">
        <v>9245</v>
      </c>
      <c r="B96" s="155" t="str">
        <f>HYPERLINK("https://bulbapedia.bulbagarden.net/w/index.php?title=Dragapult_V_(Rebel_Clash_92)&amp;action=edit&amp;redlink=1","DragapultV")</f>
        <v>DragapultV</v>
      </c>
      <c r="C96" s="51" t="s">
        <v>195</v>
      </c>
      <c r="D96" s="54"/>
      <c r="E96" s="86"/>
      <c r="F96" s="87"/>
      <c r="G96" s="87"/>
      <c r="H96" s="88"/>
      <c r="I96" s="88"/>
    </row>
    <row r="97" spans="1:9" ht="13">
      <c r="A97" s="51" t="s">
        <v>9246</v>
      </c>
      <c r="B97" s="155" t="str">
        <f>HYPERLINK("https://bulbapedia.bulbagarden.net/wiki/Dragapult_VMAX_(Rebel_Clash_93)","DragapultVMAX")</f>
        <v>DragapultVMAX</v>
      </c>
      <c r="C97" s="51" t="s">
        <v>195</v>
      </c>
      <c r="D97" s="54"/>
      <c r="E97" s="86"/>
      <c r="F97" s="87"/>
      <c r="G97" s="87"/>
      <c r="H97" s="88"/>
      <c r="I97" s="88"/>
    </row>
    <row r="98" spans="1:9" ht="13">
      <c r="A98" s="51" t="s">
        <v>9247</v>
      </c>
      <c r="B98" s="60" t="s">
        <v>9248</v>
      </c>
      <c r="C98" s="51" t="s">
        <v>225</v>
      </c>
      <c r="D98" s="51"/>
      <c r="E98" s="89"/>
      <c r="F98" s="87"/>
      <c r="G98" s="87"/>
      <c r="H98" s="88"/>
      <c r="I98" s="88"/>
    </row>
    <row r="99" spans="1:9" ht="13">
      <c r="A99" s="51" t="s">
        <v>9249</v>
      </c>
      <c r="B99" s="60" t="s">
        <v>9250</v>
      </c>
      <c r="C99" s="51" t="s">
        <v>225</v>
      </c>
      <c r="D99" s="54"/>
      <c r="E99" s="86"/>
      <c r="F99" s="86"/>
      <c r="G99" s="87"/>
      <c r="H99" s="88"/>
      <c r="I99" s="88"/>
    </row>
    <row r="100" spans="1:9" ht="13">
      <c r="A100" s="51" t="s">
        <v>9251</v>
      </c>
      <c r="B100" s="60" t="s">
        <v>1240</v>
      </c>
      <c r="C100" s="51" t="s">
        <v>225</v>
      </c>
      <c r="D100" s="51"/>
      <c r="E100" s="86"/>
      <c r="F100" s="87"/>
      <c r="G100" s="87"/>
      <c r="H100" s="88"/>
      <c r="I100" s="88"/>
    </row>
    <row r="101" spans="1:9" ht="13">
      <c r="A101" s="51" t="s">
        <v>9252</v>
      </c>
      <c r="B101" s="60" t="s">
        <v>1541</v>
      </c>
      <c r="C101" s="51" t="s">
        <v>225</v>
      </c>
      <c r="D101" s="51"/>
      <c r="E101" s="86"/>
      <c r="F101" s="87"/>
      <c r="G101" s="87"/>
      <c r="H101" s="88"/>
      <c r="I101" s="88"/>
    </row>
    <row r="102" spans="1:9" ht="13">
      <c r="A102" s="51" t="s">
        <v>9253</v>
      </c>
      <c r="B102" s="60" t="s">
        <v>1802</v>
      </c>
      <c r="C102" s="51" t="s">
        <v>225</v>
      </c>
      <c r="D102" s="51"/>
      <c r="E102" s="87"/>
      <c r="F102" s="86"/>
      <c r="G102" s="87"/>
      <c r="H102" s="88"/>
      <c r="I102" s="88"/>
    </row>
    <row r="103" spans="1:9" ht="13">
      <c r="A103" s="51" t="s">
        <v>9254</v>
      </c>
      <c r="B103" s="60" t="s">
        <v>1559</v>
      </c>
      <c r="C103" s="51" t="s">
        <v>225</v>
      </c>
      <c r="D103" s="51"/>
      <c r="E103" s="86"/>
      <c r="F103" s="87"/>
      <c r="G103" s="87"/>
      <c r="H103" s="88"/>
      <c r="I103" s="88"/>
    </row>
    <row r="104" spans="1:9" ht="13">
      <c r="A104" s="51" t="s">
        <v>9255</v>
      </c>
      <c r="B104" s="60" t="s">
        <v>1555</v>
      </c>
      <c r="C104" s="51" t="s">
        <v>225</v>
      </c>
      <c r="D104" s="51"/>
      <c r="E104" s="86"/>
      <c r="F104" s="87"/>
      <c r="G104" s="87"/>
      <c r="H104" s="88"/>
      <c r="I104" s="88"/>
    </row>
    <row r="105" spans="1:9" ht="13">
      <c r="A105" s="51" t="s">
        <v>9256</v>
      </c>
      <c r="B105" s="60" t="s">
        <v>9257</v>
      </c>
      <c r="C105" s="51" t="s">
        <v>225</v>
      </c>
      <c r="D105" s="51"/>
      <c r="E105" s="86"/>
      <c r="F105" s="87"/>
      <c r="G105" s="87"/>
      <c r="H105" s="88"/>
      <c r="I105" s="88"/>
    </row>
    <row r="106" spans="1:9" ht="13">
      <c r="A106" s="51" t="s">
        <v>9258</v>
      </c>
      <c r="B106" s="60" t="s">
        <v>9259</v>
      </c>
      <c r="C106" s="51" t="s">
        <v>225</v>
      </c>
      <c r="D106" s="51"/>
      <c r="E106" s="86"/>
      <c r="F106" s="87"/>
      <c r="G106" s="87"/>
      <c r="H106" s="88"/>
      <c r="I106" s="88"/>
    </row>
    <row r="107" spans="1:9" ht="13">
      <c r="A107" s="51" t="s">
        <v>9260</v>
      </c>
      <c r="B107" s="60" t="s">
        <v>5096</v>
      </c>
      <c r="C107" s="51" t="s">
        <v>225</v>
      </c>
      <c r="D107" s="51"/>
      <c r="E107" s="86"/>
      <c r="F107" s="87"/>
      <c r="G107" s="87"/>
      <c r="H107" s="88"/>
      <c r="I107" s="88"/>
    </row>
    <row r="108" spans="1:9" ht="13">
      <c r="A108" s="51" t="s">
        <v>9261</v>
      </c>
      <c r="B108" s="60" t="s">
        <v>5097</v>
      </c>
      <c r="C108" s="51" t="s">
        <v>225</v>
      </c>
      <c r="D108" s="51"/>
      <c r="E108" s="86"/>
      <c r="F108" s="87"/>
      <c r="G108" s="87"/>
      <c r="H108" s="88"/>
      <c r="I108" s="88"/>
    </row>
    <row r="109" spans="1:9" ht="13">
      <c r="A109" s="51" t="s">
        <v>9262</v>
      </c>
      <c r="B109" s="60" t="s">
        <v>9263</v>
      </c>
      <c r="C109" s="51" t="s">
        <v>225</v>
      </c>
      <c r="D109" s="51"/>
      <c r="E109" s="86"/>
      <c r="F109" s="87"/>
      <c r="G109" s="87"/>
      <c r="H109" s="88"/>
      <c r="I109" s="88"/>
    </row>
    <row r="110" spans="1:9" ht="13">
      <c r="A110" s="51" t="s">
        <v>9264</v>
      </c>
      <c r="B110" s="60" t="s">
        <v>9265</v>
      </c>
      <c r="C110" s="51" t="s">
        <v>225</v>
      </c>
      <c r="D110" s="51"/>
      <c r="E110" s="86"/>
      <c r="F110" s="87"/>
      <c r="G110" s="87"/>
      <c r="H110" s="88"/>
      <c r="I110" s="88"/>
    </row>
    <row r="111" spans="1:9" ht="13">
      <c r="A111" s="51" t="s">
        <v>9266</v>
      </c>
      <c r="B111" s="60" t="s">
        <v>8627</v>
      </c>
      <c r="C111" s="51" t="s">
        <v>225</v>
      </c>
      <c r="D111" s="54"/>
      <c r="E111" s="89"/>
      <c r="F111" s="86"/>
      <c r="G111" s="87"/>
      <c r="H111" s="88"/>
      <c r="I111" s="88"/>
    </row>
    <row r="112" spans="1:9" ht="13">
      <c r="A112" s="51" t="s">
        <v>9267</v>
      </c>
      <c r="B112" s="155" t="str">
        <f>HYPERLINK("https://bulbapedia.bulbagarden.net/w/index.php?title=Sandaconda_V_(Rebel_Clash_108)&amp;action=edit&amp;redlink=1","SandacondaV")</f>
        <v>SandacondaV</v>
      </c>
      <c r="C112" s="51" t="s">
        <v>225</v>
      </c>
      <c r="D112" s="54"/>
      <c r="E112" s="86"/>
      <c r="F112" s="89"/>
      <c r="G112" s="87"/>
      <c r="H112" s="88"/>
      <c r="I112" s="88"/>
    </row>
    <row r="113" spans="1:9" ht="13">
      <c r="A113" s="51" t="s">
        <v>9268</v>
      </c>
      <c r="B113" s="60" t="s">
        <v>9269</v>
      </c>
      <c r="C113" s="51" t="s">
        <v>225</v>
      </c>
      <c r="D113" s="51"/>
      <c r="E113" s="86"/>
      <c r="F113" s="89"/>
      <c r="G113" s="87"/>
      <c r="H113" s="88"/>
      <c r="I113" s="88"/>
    </row>
    <row r="114" spans="1:9" ht="13">
      <c r="A114" s="51" t="s">
        <v>9270</v>
      </c>
      <c r="B114" s="155" t="str">
        <f>HYPERLINK("https://bulbapedia.bulbagarden.net/w/index.php?title=Falinks_V_(Rebel_Clash_110)&amp;action=edit&amp;redlink=1","FalinksV")</f>
        <v>FalinksV</v>
      </c>
      <c r="C114" s="51" t="s">
        <v>225</v>
      </c>
      <c r="D114" s="51"/>
      <c r="E114" s="86"/>
      <c r="F114" s="86"/>
      <c r="G114" s="87"/>
      <c r="H114" s="88"/>
      <c r="I114" s="88"/>
    </row>
    <row r="115" spans="1:9" ht="13">
      <c r="A115" s="51" t="s">
        <v>9271</v>
      </c>
      <c r="B115" s="60" t="s">
        <v>9010</v>
      </c>
      <c r="C115" s="51" t="s">
        <v>225</v>
      </c>
      <c r="D115" s="54"/>
      <c r="E115" s="86"/>
      <c r="F115" s="86"/>
      <c r="G115" s="87"/>
      <c r="H115" s="88"/>
      <c r="I115" s="88"/>
    </row>
    <row r="116" spans="1:9" ht="13">
      <c r="A116" s="51" t="s">
        <v>9272</v>
      </c>
      <c r="B116" s="60" t="s">
        <v>283</v>
      </c>
      <c r="C116" s="51" t="s">
        <v>808</v>
      </c>
      <c r="D116" s="51"/>
      <c r="E116" s="87"/>
      <c r="F116" s="87"/>
      <c r="G116" s="87"/>
      <c r="H116" s="88"/>
      <c r="I116" s="88"/>
    </row>
    <row r="117" spans="1:9" ht="13">
      <c r="A117" s="51" t="s">
        <v>9273</v>
      </c>
      <c r="B117" s="60" t="s">
        <v>9274</v>
      </c>
      <c r="C117" s="51" t="s">
        <v>808</v>
      </c>
      <c r="D117" s="54"/>
      <c r="E117" s="86"/>
      <c r="F117" s="86"/>
      <c r="G117" s="87"/>
      <c r="H117" s="88"/>
      <c r="I117" s="88"/>
    </row>
    <row r="118" spans="1:9" ht="13">
      <c r="A118" s="51" t="s">
        <v>9275</v>
      </c>
      <c r="B118" s="60" t="s">
        <v>3149</v>
      </c>
      <c r="C118" s="51" t="s">
        <v>808</v>
      </c>
      <c r="D118" s="51"/>
      <c r="E118" s="86"/>
      <c r="F118" s="87"/>
      <c r="G118" s="87"/>
      <c r="H118" s="88"/>
      <c r="I118" s="88"/>
    </row>
    <row r="119" spans="1:9" ht="13">
      <c r="A119" s="51" t="s">
        <v>9276</v>
      </c>
      <c r="B119" s="60" t="s">
        <v>3119</v>
      </c>
      <c r="C119" s="51" t="s">
        <v>808</v>
      </c>
      <c r="D119" s="51"/>
      <c r="E119" s="86"/>
      <c r="F119" s="87"/>
      <c r="G119" s="87"/>
      <c r="H119" s="88"/>
      <c r="I119" s="88"/>
    </row>
    <row r="120" spans="1:9" ht="13">
      <c r="A120" s="51" t="s">
        <v>9277</v>
      </c>
      <c r="B120" s="60" t="s">
        <v>3390</v>
      </c>
      <c r="C120" s="51" t="s">
        <v>808</v>
      </c>
      <c r="D120" s="51"/>
      <c r="E120" s="86"/>
      <c r="F120" s="87"/>
      <c r="G120" s="87"/>
      <c r="H120" s="88"/>
      <c r="I120" s="88"/>
    </row>
    <row r="121" spans="1:9" ht="13">
      <c r="A121" s="51" t="s">
        <v>9278</v>
      </c>
      <c r="B121" s="60" t="s">
        <v>4079</v>
      </c>
      <c r="C121" s="51" t="s">
        <v>808</v>
      </c>
      <c r="D121" s="51"/>
      <c r="E121" s="86"/>
      <c r="F121" s="87"/>
      <c r="G121" s="87"/>
      <c r="H121" s="88"/>
      <c r="I121" s="88"/>
    </row>
    <row r="122" spans="1:9" ht="13">
      <c r="A122" s="51" t="s">
        <v>9279</v>
      </c>
      <c r="B122" s="60" t="s">
        <v>4080</v>
      </c>
      <c r="C122" s="51" t="s">
        <v>808</v>
      </c>
      <c r="D122" s="51"/>
      <c r="E122" s="86"/>
      <c r="F122" s="87"/>
      <c r="G122" s="87"/>
      <c r="H122" s="88"/>
      <c r="I122" s="88"/>
    </row>
    <row r="123" spans="1:9" ht="13">
      <c r="A123" s="51" t="s">
        <v>9280</v>
      </c>
      <c r="B123" s="60" t="s">
        <v>4158</v>
      </c>
      <c r="C123" s="51" t="s">
        <v>808</v>
      </c>
      <c r="D123" s="51"/>
      <c r="E123" s="86"/>
      <c r="F123" s="87"/>
      <c r="G123" s="87"/>
      <c r="H123" s="88"/>
      <c r="I123" s="88"/>
    </row>
    <row r="124" spans="1:9" ht="13">
      <c r="A124" s="51" t="s">
        <v>9281</v>
      </c>
      <c r="B124" s="60" t="s">
        <v>4448</v>
      </c>
      <c r="C124" s="51" t="s">
        <v>808</v>
      </c>
      <c r="D124" s="51"/>
      <c r="E124" s="87"/>
      <c r="F124" s="87"/>
      <c r="G124" s="87"/>
      <c r="H124" s="88"/>
      <c r="I124" s="88"/>
    </row>
    <row r="125" spans="1:9" ht="13">
      <c r="A125" s="51" t="s">
        <v>9282</v>
      </c>
      <c r="B125" s="155" t="str">
        <f>HYPERLINK("https://bulbapedia.bulbagarden.net/w/index.php?title=Malamar_V_(Rebel_Clash_121)&amp;action=edit&amp;redlink=1","MalamarV")</f>
        <v>MalamarV</v>
      </c>
      <c r="C125" s="51" t="s">
        <v>808</v>
      </c>
      <c r="D125" s="51"/>
      <c r="E125" s="86"/>
      <c r="F125" s="87"/>
      <c r="G125" s="87"/>
      <c r="H125" s="88"/>
      <c r="I125" s="88"/>
    </row>
    <row r="126" spans="1:9" ht="13">
      <c r="A126" s="51" t="s">
        <v>9283</v>
      </c>
      <c r="B126" s="155" t="str">
        <f>HYPERLINK("https://bulbapedia.bulbagarden.net/w/index.php?title=Malamar_VMAX_(Rebel_Clash_122)&amp;action=edit&amp;redlink=1","MalamarVMAX")</f>
        <v>MalamarVMAX</v>
      </c>
      <c r="C126" s="51" t="s">
        <v>808</v>
      </c>
      <c r="D126" s="54"/>
      <c r="E126" s="86"/>
      <c r="F126" s="87"/>
      <c r="G126" s="87"/>
      <c r="H126" s="88"/>
      <c r="I126" s="88"/>
    </row>
    <row r="127" spans="1:9" ht="13">
      <c r="A127" s="51" t="s">
        <v>9284</v>
      </c>
      <c r="B127" s="60" t="s">
        <v>9285</v>
      </c>
      <c r="C127" s="51" t="s">
        <v>808</v>
      </c>
      <c r="D127" s="51"/>
      <c r="E127" s="86"/>
      <c r="F127" s="87"/>
      <c r="G127" s="87"/>
      <c r="H127" s="88"/>
      <c r="I127" s="88"/>
    </row>
    <row r="128" spans="1:9" ht="13">
      <c r="A128" s="51" t="s">
        <v>9286</v>
      </c>
      <c r="B128" s="60" t="s">
        <v>9287</v>
      </c>
      <c r="C128" s="51" t="s">
        <v>808</v>
      </c>
      <c r="D128" s="51"/>
      <c r="E128" s="86"/>
      <c r="F128" s="86"/>
      <c r="G128" s="87"/>
      <c r="H128" s="88"/>
      <c r="I128" s="88"/>
    </row>
    <row r="129" spans="1:9" ht="13">
      <c r="A129" s="51" t="s">
        <v>9288</v>
      </c>
      <c r="B129" s="60" t="s">
        <v>9289</v>
      </c>
      <c r="C129" s="51" t="s">
        <v>808</v>
      </c>
      <c r="D129" s="51"/>
      <c r="E129" s="86"/>
      <c r="F129" s="86"/>
      <c r="G129" s="87"/>
      <c r="H129" s="88"/>
      <c r="I129" s="88"/>
    </row>
    <row r="130" spans="1:9" ht="13">
      <c r="A130" s="51" t="s">
        <v>9290</v>
      </c>
      <c r="B130" s="60" t="s">
        <v>9028</v>
      </c>
      <c r="C130" s="51" t="s">
        <v>220</v>
      </c>
      <c r="D130" s="51"/>
      <c r="E130" s="86"/>
      <c r="F130" s="87"/>
      <c r="G130" s="87"/>
      <c r="H130" s="88"/>
      <c r="I130" s="88"/>
    </row>
    <row r="131" spans="1:9" ht="13">
      <c r="A131" s="51" t="s">
        <v>9291</v>
      </c>
      <c r="B131" s="60" t="s">
        <v>9030</v>
      </c>
      <c r="C131" s="51" t="s">
        <v>220</v>
      </c>
      <c r="D131" s="51"/>
      <c r="E131" s="86"/>
      <c r="F131" s="87"/>
      <c r="G131" s="87"/>
      <c r="H131" s="88"/>
      <c r="I131" s="88"/>
    </row>
    <row r="132" spans="1:9" ht="13">
      <c r="A132" s="51" t="s">
        <v>9292</v>
      </c>
      <c r="B132" s="60" t="s">
        <v>219</v>
      </c>
      <c r="C132" s="51" t="s">
        <v>220</v>
      </c>
      <c r="D132" s="51"/>
      <c r="E132" s="86"/>
      <c r="F132" s="86"/>
      <c r="G132" s="87"/>
      <c r="H132" s="88"/>
      <c r="I132" s="88"/>
    </row>
    <row r="133" spans="1:9" ht="13">
      <c r="A133" s="51" t="s">
        <v>9293</v>
      </c>
      <c r="B133" s="60" t="s">
        <v>3245</v>
      </c>
      <c r="C133" s="51" t="s">
        <v>220</v>
      </c>
      <c r="D133" s="51"/>
      <c r="E133" s="86"/>
      <c r="F133" s="87"/>
      <c r="G133" s="87"/>
      <c r="H133" s="88"/>
      <c r="I133" s="88"/>
    </row>
    <row r="134" spans="1:9" ht="13">
      <c r="A134" s="51" t="s">
        <v>9294</v>
      </c>
      <c r="B134" s="60" t="s">
        <v>3163</v>
      </c>
      <c r="C134" s="51" t="s">
        <v>220</v>
      </c>
      <c r="D134" s="51"/>
      <c r="E134" s="86"/>
      <c r="F134" s="87"/>
      <c r="G134" s="87"/>
      <c r="H134" s="88"/>
      <c r="I134" s="88"/>
    </row>
    <row r="135" spans="1:9" ht="13">
      <c r="A135" s="51" t="s">
        <v>9295</v>
      </c>
      <c r="B135" s="60" t="s">
        <v>3386</v>
      </c>
      <c r="C135" s="51" t="s">
        <v>220</v>
      </c>
      <c r="D135" s="54"/>
      <c r="E135" s="87"/>
      <c r="F135" s="87"/>
      <c r="G135" s="87"/>
      <c r="H135" s="88"/>
      <c r="I135" s="88"/>
    </row>
    <row r="136" spans="1:9" ht="13">
      <c r="A136" s="51" t="s">
        <v>9296</v>
      </c>
      <c r="B136" s="60" t="s">
        <v>4107</v>
      </c>
      <c r="C136" s="51" t="s">
        <v>220</v>
      </c>
      <c r="D136" s="51"/>
      <c r="E136" s="87"/>
      <c r="F136" s="87"/>
      <c r="G136" s="87"/>
      <c r="H136" s="88"/>
      <c r="I136" s="88"/>
    </row>
    <row r="137" spans="1:9" ht="13">
      <c r="A137" s="51" t="s">
        <v>9297</v>
      </c>
      <c r="B137" s="60" t="s">
        <v>4755</v>
      </c>
      <c r="C137" s="51" t="s">
        <v>220</v>
      </c>
      <c r="D137" s="51"/>
      <c r="E137" s="86"/>
      <c r="F137" s="87"/>
      <c r="G137" s="87"/>
      <c r="H137" s="88"/>
      <c r="I137" s="88"/>
    </row>
    <row r="138" spans="1:9" ht="13">
      <c r="A138" s="51" t="s">
        <v>9298</v>
      </c>
      <c r="B138" s="60" t="s">
        <v>5045</v>
      </c>
      <c r="C138" s="51" t="s">
        <v>220</v>
      </c>
      <c r="D138" s="51"/>
      <c r="E138" s="86"/>
      <c r="F138" s="87"/>
      <c r="G138" s="87"/>
      <c r="H138" s="88"/>
      <c r="I138" s="88"/>
    </row>
    <row r="139" spans="1:9" ht="13">
      <c r="A139" s="51" t="s">
        <v>9299</v>
      </c>
      <c r="B139" s="60" t="s">
        <v>5046</v>
      </c>
      <c r="C139" s="51" t="s">
        <v>220</v>
      </c>
      <c r="D139" s="51"/>
      <c r="E139" s="86"/>
      <c r="F139" s="86"/>
      <c r="G139" s="87"/>
      <c r="H139" s="88"/>
      <c r="I139" s="88"/>
    </row>
    <row r="140" spans="1:9" ht="13">
      <c r="A140" s="51" t="s">
        <v>9300</v>
      </c>
      <c r="B140" s="155" t="str">
        <f>HYPERLINK("https://bulbapedia.bulbagarden.net/w/index.php?title=Copperajah_V_(Rebel_Clash_136)&amp;action=edit&amp;redlink=1","CopperajahV")</f>
        <v>CopperajahV</v>
      </c>
      <c r="C140" s="51" t="s">
        <v>220</v>
      </c>
      <c r="D140" s="51"/>
      <c r="E140" s="86"/>
      <c r="F140" s="87"/>
      <c r="G140" s="87"/>
      <c r="H140" s="88"/>
      <c r="I140" s="88"/>
    </row>
    <row r="141" spans="1:9" ht="13">
      <c r="A141" s="51" t="s">
        <v>9301</v>
      </c>
      <c r="B141" s="155" t="str">
        <f>HYPERLINK("https://bulbapedia.bulbagarden.net/w/index.php?title=Copperajah_VMAX_(Rebel_Clash_137)&amp;action=edit&amp;redlink=1","CopperajahVMAX")</f>
        <v>CopperajahVMAX</v>
      </c>
      <c r="C141" s="51" t="s">
        <v>220</v>
      </c>
      <c r="D141" s="54"/>
      <c r="E141" s="86"/>
      <c r="F141" s="86"/>
      <c r="G141" s="87"/>
      <c r="H141" s="88"/>
      <c r="I141" s="88"/>
    </row>
    <row r="142" spans="1:9" ht="13">
      <c r="A142" s="51" t="s">
        <v>9302</v>
      </c>
      <c r="B142" s="60" t="s">
        <v>8587</v>
      </c>
      <c r="C142" s="51" t="s">
        <v>220</v>
      </c>
      <c r="D142" s="54"/>
      <c r="E142" s="86"/>
      <c r="F142" s="86"/>
      <c r="G142" s="87"/>
      <c r="H142" s="88"/>
      <c r="I142" s="88"/>
    </row>
    <row r="143" spans="1:9" ht="13">
      <c r="A143" s="51" t="s">
        <v>9303</v>
      </c>
      <c r="B143" s="60" t="s">
        <v>8594</v>
      </c>
      <c r="C143" s="51" t="s">
        <v>220</v>
      </c>
      <c r="D143" s="51"/>
      <c r="E143" s="86"/>
      <c r="F143" s="89"/>
      <c r="G143" s="87"/>
      <c r="H143" s="88"/>
      <c r="I143" s="88"/>
    </row>
    <row r="144" spans="1:9" ht="13">
      <c r="A144" s="51" t="s">
        <v>9304</v>
      </c>
      <c r="B144" s="60" t="s">
        <v>8596</v>
      </c>
      <c r="C144" s="51" t="s">
        <v>220</v>
      </c>
      <c r="D144" s="54"/>
      <c r="E144" s="89"/>
      <c r="F144" s="87"/>
      <c r="G144" s="87"/>
      <c r="H144" s="88"/>
      <c r="I144" s="88"/>
    </row>
    <row r="145" spans="1:9" ht="13">
      <c r="A145" s="51" t="s">
        <v>9305</v>
      </c>
      <c r="B145" s="60" t="s">
        <v>233</v>
      </c>
      <c r="C145" s="51" t="s">
        <v>197</v>
      </c>
      <c r="D145" s="51"/>
      <c r="E145" s="86"/>
      <c r="F145" s="86"/>
      <c r="G145" s="87"/>
      <c r="H145" s="88"/>
      <c r="I145" s="88"/>
    </row>
    <row r="146" spans="1:9" ht="13">
      <c r="A146" s="51" t="s">
        <v>9306</v>
      </c>
      <c r="B146" s="60" t="s">
        <v>3041</v>
      </c>
      <c r="C146" s="51" t="s">
        <v>197</v>
      </c>
      <c r="D146" s="51"/>
      <c r="E146" s="86"/>
      <c r="F146" s="87"/>
      <c r="G146" s="87"/>
      <c r="H146" s="88"/>
      <c r="I146" s="88"/>
    </row>
    <row r="147" spans="1:9" ht="13">
      <c r="A147" s="51" t="s">
        <v>9307</v>
      </c>
      <c r="B147" s="60" t="s">
        <v>4038</v>
      </c>
      <c r="C147" s="51" t="s">
        <v>197</v>
      </c>
      <c r="D147" s="51"/>
      <c r="E147" s="89"/>
      <c r="F147" s="87"/>
      <c r="G147" s="87"/>
      <c r="H147" s="88"/>
      <c r="I147" s="88"/>
    </row>
    <row r="148" spans="1:9" ht="13">
      <c r="A148" s="51" t="s">
        <v>9308</v>
      </c>
      <c r="B148" s="60" t="s">
        <v>4486</v>
      </c>
      <c r="C148" s="51" t="s">
        <v>197</v>
      </c>
      <c r="D148" s="51"/>
      <c r="E148" s="86"/>
      <c r="F148" s="87"/>
      <c r="G148" s="87"/>
      <c r="H148" s="88"/>
      <c r="I148" s="88"/>
    </row>
    <row r="149" spans="1:9" ht="13">
      <c r="A149" s="51" t="s">
        <v>9309</v>
      </c>
      <c r="B149" s="60" t="s">
        <v>4488</v>
      </c>
      <c r="C149" s="51" t="s">
        <v>197</v>
      </c>
      <c r="D149" s="51"/>
      <c r="E149" s="86"/>
      <c r="F149" s="86"/>
      <c r="G149" s="87"/>
      <c r="H149" s="88"/>
      <c r="I149" s="88"/>
    </row>
    <row r="150" spans="1:9" ht="13">
      <c r="A150" s="51" t="s">
        <v>9310</v>
      </c>
      <c r="B150" s="60" t="s">
        <v>5025</v>
      </c>
      <c r="C150" s="51" t="s">
        <v>197</v>
      </c>
      <c r="D150" s="51"/>
      <c r="E150" s="86"/>
      <c r="F150" s="87"/>
      <c r="G150" s="87"/>
      <c r="H150" s="88"/>
      <c r="I150" s="88"/>
    </row>
    <row r="151" spans="1:9" ht="13">
      <c r="A151" s="51" t="s">
        <v>9311</v>
      </c>
      <c r="B151" s="60" t="s">
        <v>5049</v>
      </c>
      <c r="C151" s="51" t="s">
        <v>197</v>
      </c>
      <c r="D151" s="51"/>
      <c r="E151" s="86"/>
      <c r="F151" s="87"/>
      <c r="G151" s="87"/>
      <c r="H151" s="88"/>
      <c r="I151" s="88"/>
    </row>
    <row r="152" spans="1:9" ht="13">
      <c r="A152" s="51" t="s">
        <v>9312</v>
      </c>
      <c r="B152" s="60" t="s">
        <v>5124</v>
      </c>
      <c r="C152" s="51" t="s">
        <v>197</v>
      </c>
      <c r="D152" s="51"/>
      <c r="E152" s="86"/>
      <c r="F152" s="86"/>
      <c r="G152" s="87"/>
      <c r="H152" s="88"/>
      <c r="I152" s="88"/>
    </row>
    <row r="153" spans="1:9" ht="13">
      <c r="A153" s="51" t="s">
        <v>9313</v>
      </c>
      <c r="B153" s="60" t="s">
        <v>6503</v>
      </c>
      <c r="C153" s="51" t="s">
        <v>197</v>
      </c>
      <c r="D153" s="51"/>
      <c r="E153" s="86"/>
      <c r="F153" s="87"/>
      <c r="G153" s="87"/>
      <c r="H153" s="88"/>
      <c r="I153" s="88"/>
    </row>
    <row r="154" spans="1:9" ht="13">
      <c r="A154" s="51" t="s">
        <v>9314</v>
      </c>
      <c r="B154" s="60" t="s">
        <v>6504</v>
      </c>
      <c r="C154" s="51" t="s">
        <v>197</v>
      </c>
      <c r="D154" s="51"/>
      <c r="E154" s="86"/>
      <c r="F154" s="87"/>
      <c r="G154" s="87"/>
      <c r="H154" s="88"/>
      <c r="I154" s="88"/>
    </row>
    <row r="155" spans="1:9" ht="13">
      <c r="A155" s="51" t="s">
        <v>9315</v>
      </c>
      <c r="B155" s="60" t="s">
        <v>9316</v>
      </c>
      <c r="C155" s="51" t="s">
        <v>197</v>
      </c>
      <c r="D155" s="51"/>
      <c r="E155" s="86"/>
      <c r="F155" s="86"/>
      <c r="G155" s="87"/>
      <c r="H155" s="88"/>
      <c r="I155" s="88"/>
    </row>
    <row r="156" spans="1:9" ht="13">
      <c r="A156" s="51" t="s">
        <v>9317</v>
      </c>
      <c r="B156" s="60" t="s">
        <v>9318</v>
      </c>
      <c r="C156" s="51" t="s">
        <v>197</v>
      </c>
      <c r="D156" s="51"/>
      <c r="E156" s="86"/>
      <c r="F156" s="87"/>
      <c r="G156" s="87"/>
      <c r="H156" s="88"/>
      <c r="I156" s="88"/>
    </row>
    <row r="157" spans="1:9" ht="13">
      <c r="A157" s="51" t="s">
        <v>9319</v>
      </c>
      <c r="B157" s="155" t="str">
        <f>HYPERLINK("https://bulbapedia.bulbagarden.net/w/index.php?title=Dubwool_V_(Rebel_Clash_153)&amp;action=edit&amp;redlink=1","DubwoolV")</f>
        <v>DubwoolV</v>
      </c>
      <c r="C157" s="51" t="s">
        <v>197</v>
      </c>
      <c r="D157" s="54"/>
      <c r="E157" s="87"/>
      <c r="F157" s="86"/>
      <c r="G157" s="87"/>
      <c r="H157" s="88"/>
      <c r="I157" s="88"/>
    </row>
    <row r="158" spans="1:9" ht="13">
      <c r="A158" s="51" t="s">
        <v>9320</v>
      </c>
      <c r="B158" s="60" t="s">
        <v>9321</v>
      </c>
      <c r="C158" s="51" t="s">
        <v>1013</v>
      </c>
      <c r="D158" s="51"/>
      <c r="E158" s="86"/>
      <c r="F158" s="86"/>
      <c r="G158" s="87"/>
      <c r="H158" s="88"/>
      <c r="I158" s="88"/>
    </row>
    <row r="159" spans="1:9" ht="13">
      <c r="A159" s="51" t="s">
        <v>9322</v>
      </c>
      <c r="B159" s="60" t="s">
        <v>9323</v>
      </c>
      <c r="C159" s="51" t="s">
        <v>4114</v>
      </c>
      <c r="D159" s="51"/>
      <c r="E159" s="86"/>
      <c r="F159" s="89"/>
      <c r="G159" s="87"/>
      <c r="H159" s="88"/>
      <c r="I159" s="88"/>
    </row>
    <row r="160" spans="1:9" ht="13">
      <c r="A160" s="51" t="s">
        <v>9324</v>
      </c>
      <c r="B160" s="60" t="s">
        <v>9325</v>
      </c>
      <c r="C160" s="51" t="s">
        <v>4114</v>
      </c>
      <c r="D160" s="51"/>
      <c r="E160" s="86"/>
      <c r="F160" s="87"/>
      <c r="G160" s="87"/>
      <c r="H160" s="88"/>
      <c r="I160" s="88"/>
    </row>
    <row r="161" spans="1:9" ht="13">
      <c r="A161" s="51" t="s">
        <v>9326</v>
      </c>
      <c r="B161" s="60" t="s">
        <v>9327</v>
      </c>
      <c r="C161" s="51" t="s">
        <v>4114</v>
      </c>
      <c r="D161" s="51"/>
      <c r="E161" s="86"/>
      <c r="F161" s="86"/>
      <c r="G161" s="87"/>
      <c r="H161" s="88"/>
      <c r="I161" s="137"/>
    </row>
    <row r="162" spans="1:9" ht="13">
      <c r="A162" s="51" t="s">
        <v>9328</v>
      </c>
      <c r="B162" s="60" t="s">
        <v>9329</v>
      </c>
      <c r="C162" s="51" t="s">
        <v>1013</v>
      </c>
      <c r="D162" s="51"/>
      <c r="E162" s="86"/>
      <c r="F162" s="87"/>
      <c r="G162" s="87"/>
      <c r="H162" s="88"/>
      <c r="I162" s="88"/>
    </row>
    <row r="163" spans="1:9" ht="13">
      <c r="A163" s="51" t="s">
        <v>9330</v>
      </c>
      <c r="B163" s="60" t="s">
        <v>308</v>
      </c>
      <c r="C163" s="51" t="s">
        <v>4114</v>
      </c>
      <c r="D163" s="51"/>
      <c r="E163" s="86"/>
      <c r="F163" s="86"/>
      <c r="G163" s="87"/>
      <c r="H163" s="88"/>
      <c r="I163" s="88"/>
    </row>
    <row r="164" spans="1:9" ht="13">
      <c r="A164" s="51" t="s">
        <v>9331</v>
      </c>
      <c r="B164" s="60" t="s">
        <v>9332</v>
      </c>
      <c r="C164" s="51" t="s">
        <v>4114</v>
      </c>
      <c r="D164" s="51"/>
      <c r="E164" s="86"/>
      <c r="F164" s="87"/>
      <c r="G164" s="87"/>
      <c r="H164" s="88"/>
      <c r="I164" s="88"/>
    </row>
    <row r="165" spans="1:9" ht="13">
      <c r="A165" s="51" t="s">
        <v>9333</v>
      </c>
      <c r="B165" s="60" t="s">
        <v>9334</v>
      </c>
      <c r="C165" s="51" t="s">
        <v>1013</v>
      </c>
      <c r="D165" s="51"/>
      <c r="E165" s="87"/>
      <c r="F165" s="87"/>
      <c r="G165" s="87"/>
      <c r="H165" s="88"/>
      <c r="I165" s="88"/>
    </row>
    <row r="166" spans="1:9" ht="13">
      <c r="A166" s="51" t="s">
        <v>9335</v>
      </c>
      <c r="B166" s="60" t="s">
        <v>9336</v>
      </c>
      <c r="C166" s="51" t="s">
        <v>4114</v>
      </c>
      <c r="D166" s="51"/>
      <c r="E166" s="86"/>
      <c r="F166" s="87"/>
      <c r="G166" s="87"/>
      <c r="H166" s="88"/>
      <c r="I166" s="88"/>
    </row>
    <row r="167" spans="1:9" ht="13">
      <c r="A167" s="51" t="s">
        <v>9337</v>
      </c>
      <c r="B167" s="60" t="s">
        <v>9338</v>
      </c>
      <c r="C167" s="51" t="s">
        <v>1013</v>
      </c>
      <c r="D167" s="51"/>
      <c r="E167" s="89"/>
      <c r="F167" s="87"/>
      <c r="G167" s="87"/>
      <c r="H167" s="88"/>
      <c r="I167" s="88"/>
    </row>
    <row r="168" spans="1:9" ht="13">
      <c r="A168" s="51" t="s">
        <v>9339</v>
      </c>
      <c r="B168" s="60" t="s">
        <v>357</v>
      </c>
      <c r="C168" s="51" t="s">
        <v>4114</v>
      </c>
      <c r="D168" s="51"/>
      <c r="E168" s="86"/>
      <c r="F168" s="87"/>
      <c r="G168" s="87"/>
      <c r="H168" s="88"/>
      <c r="I168" s="88"/>
    </row>
    <row r="169" spans="1:9" ht="13">
      <c r="A169" s="51" t="s">
        <v>9340</v>
      </c>
      <c r="B169" s="60" t="s">
        <v>9341</v>
      </c>
      <c r="C169" s="51" t="s">
        <v>4114</v>
      </c>
      <c r="D169" s="51"/>
      <c r="E169" s="86"/>
      <c r="F169" s="87"/>
      <c r="G169" s="87"/>
      <c r="H169" s="88"/>
      <c r="I169" s="88"/>
    </row>
    <row r="170" spans="1:9" ht="13">
      <c r="A170" s="51" t="s">
        <v>9342</v>
      </c>
      <c r="B170" s="60" t="s">
        <v>4500</v>
      </c>
      <c r="C170" s="51" t="s">
        <v>1013</v>
      </c>
      <c r="D170" s="51"/>
      <c r="E170" s="86"/>
      <c r="F170" s="87"/>
      <c r="G170" s="87"/>
      <c r="H170" s="88"/>
      <c r="I170" s="88"/>
    </row>
    <row r="171" spans="1:9" ht="13">
      <c r="A171" s="51" t="s">
        <v>9343</v>
      </c>
      <c r="B171" s="60" t="s">
        <v>9344</v>
      </c>
      <c r="C171" s="51" t="s">
        <v>1013</v>
      </c>
      <c r="D171" s="51"/>
      <c r="E171" s="89"/>
      <c r="F171" s="87"/>
      <c r="G171" s="87"/>
      <c r="H171" s="88"/>
      <c r="I171" s="88"/>
    </row>
    <row r="172" spans="1:9" ht="13">
      <c r="A172" s="51" t="s">
        <v>9345</v>
      </c>
      <c r="B172" s="60" t="s">
        <v>4325</v>
      </c>
      <c r="C172" s="51" t="s">
        <v>4114</v>
      </c>
      <c r="D172" s="51"/>
      <c r="E172" s="89"/>
      <c r="F172" s="86"/>
      <c r="G172" s="87"/>
      <c r="H172" s="88"/>
      <c r="I172" s="88"/>
    </row>
    <row r="173" spans="1:9" ht="13">
      <c r="A173" s="51" t="s">
        <v>9346</v>
      </c>
      <c r="B173" s="60" t="s">
        <v>9347</v>
      </c>
      <c r="C173" s="51" t="s">
        <v>229</v>
      </c>
      <c r="D173" s="51"/>
      <c r="E173" s="86"/>
      <c r="F173" s="87"/>
      <c r="G173" s="87"/>
      <c r="H173" s="88"/>
      <c r="I173" s="88"/>
    </row>
    <row r="174" spans="1:9" ht="13">
      <c r="A174" s="51" t="s">
        <v>9348</v>
      </c>
      <c r="B174" s="60" t="s">
        <v>9349</v>
      </c>
      <c r="C174" s="51" t="s">
        <v>229</v>
      </c>
      <c r="D174" s="51"/>
      <c r="E174" s="86"/>
      <c r="F174" s="87"/>
      <c r="G174" s="87"/>
      <c r="H174" s="88"/>
      <c r="I174" s="88"/>
    </row>
    <row r="175" spans="1:9" ht="13">
      <c r="A175" s="51" t="s">
        <v>9350</v>
      </c>
      <c r="B175" s="60" t="s">
        <v>9351</v>
      </c>
      <c r="C175" s="51" t="s">
        <v>317</v>
      </c>
      <c r="D175" s="51"/>
      <c r="E175" s="86"/>
      <c r="F175" s="87"/>
      <c r="G175" s="87"/>
      <c r="H175" s="88"/>
      <c r="I175" s="88"/>
    </row>
    <row r="176" spans="1:9" ht="13">
      <c r="A176" s="51" t="s">
        <v>9352</v>
      </c>
      <c r="B176" s="60" t="s">
        <v>9353</v>
      </c>
      <c r="C176" s="51" t="s">
        <v>317</v>
      </c>
      <c r="D176" s="51"/>
      <c r="E176" s="86"/>
      <c r="F176" s="87"/>
      <c r="G176" s="87"/>
      <c r="H176" s="88"/>
      <c r="I176" s="88"/>
    </row>
    <row r="177" spans="1:9" ht="13">
      <c r="A177" s="51" t="s">
        <v>9354</v>
      </c>
      <c r="B177" s="60" t="s">
        <v>9355</v>
      </c>
      <c r="C177" s="51" t="s">
        <v>317</v>
      </c>
      <c r="D177" s="51"/>
      <c r="E177" s="89"/>
      <c r="F177" s="89"/>
      <c r="G177" s="87"/>
      <c r="H177" s="88"/>
      <c r="I177" s="88"/>
    </row>
    <row r="178" spans="1:9" ht="13">
      <c r="A178" s="51" t="s">
        <v>9356</v>
      </c>
      <c r="B178" s="60" t="s">
        <v>9357</v>
      </c>
      <c r="C178" s="51" t="s">
        <v>317</v>
      </c>
      <c r="D178" s="51"/>
      <c r="E178" s="86"/>
      <c r="F178" s="87"/>
      <c r="G178" s="87"/>
      <c r="H178" s="88"/>
      <c r="I178" s="88"/>
    </row>
    <row r="179" spans="1:9" ht="13">
      <c r="A179" s="51" t="s">
        <v>9358</v>
      </c>
      <c r="B179" s="155" t="str">
        <f>HYPERLINK("https://bulbapedia.bulbagarden.net/w/index.php?title=Rillaboom_V_(Rebel_Clash_175)&amp;action=edit&amp;redlink=1","RillaboomV")</f>
        <v>RillaboomV</v>
      </c>
      <c r="C179" s="51" t="s">
        <v>205</v>
      </c>
      <c r="D179" s="54"/>
      <c r="E179" s="86"/>
      <c r="F179" s="87"/>
      <c r="G179" s="87"/>
      <c r="H179" s="88"/>
      <c r="I179" s="88"/>
    </row>
    <row r="180" spans="1:9" ht="13">
      <c r="A180" s="51" t="s">
        <v>9359</v>
      </c>
      <c r="B180" s="155" t="str">
        <f>HYPERLINK("https://bulbapedia.bulbagarden.net/w/index.php?title=Eldegoss_V_(Rebel_Clash_176)&amp;action=edit&amp;redlink=1","EldegossV")</f>
        <v>EldegossV</v>
      </c>
      <c r="C180" s="51" t="s">
        <v>205</v>
      </c>
      <c r="D180" s="54"/>
      <c r="E180" s="86"/>
      <c r="F180" s="87"/>
      <c r="G180" s="87"/>
      <c r="H180" s="88"/>
      <c r="I180" s="88"/>
    </row>
    <row r="181" spans="1:9" ht="13">
      <c r="A181" s="51" t="s">
        <v>9360</v>
      </c>
      <c r="B181" s="155" t="str">
        <f>HYPERLINK("https://bulbapedia.bulbagarden.net/w/index.php?title=Ninetales_V_(Rebel_Clash_177)&amp;action=edit&amp;redlink=1","NinetalesV")</f>
        <v>NinetalesV</v>
      </c>
      <c r="C181" s="51" t="s">
        <v>199</v>
      </c>
      <c r="D181" s="54"/>
      <c r="E181" s="86"/>
      <c r="F181" s="87"/>
      <c r="G181" s="87"/>
      <c r="H181" s="88"/>
      <c r="I181" s="88"/>
    </row>
    <row r="182" spans="1:9" ht="13">
      <c r="A182" s="51" t="s">
        <v>9361</v>
      </c>
      <c r="B182" s="155" t="str">
        <f>HYPERLINK("https://bulbapedia.bulbagarden.net/w/index.php?title=Cinderace_V_(Rebel_Clash_178)&amp;action=edit&amp;redlink=1","CinderaceV")</f>
        <v>CinderaceV</v>
      </c>
      <c r="C182" s="51" t="s">
        <v>199</v>
      </c>
      <c r="D182" s="54"/>
      <c r="E182" s="86"/>
      <c r="F182" s="87"/>
      <c r="G182" s="87"/>
      <c r="H182" s="88"/>
      <c r="I182" s="88"/>
    </row>
    <row r="183" spans="1:9" ht="13">
      <c r="A183" s="51" t="s">
        <v>9362</v>
      </c>
      <c r="B183" s="155" t="str">
        <f>HYPERLINK("https://bulbapedia.bulbagarden.net/w/index.php?title=Milotic_V_(Rebel_Clash_179)&amp;action=edit&amp;redlink=1","MiloticV")</f>
        <v>MiloticV</v>
      </c>
      <c r="C183" s="51" t="s">
        <v>208</v>
      </c>
      <c r="D183" s="54"/>
      <c r="E183" s="86"/>
      <c r="F183" s="89"/>
      <c r="G183" s="87"/>
      <c r="H183" s="88"/>
      <c r="I183" s="88"/>
    </row>
    <row r="184" spans="1:9" ht="13">
      <c r="A184" s="51" t="s">
        <v>9363</v>
      </c>
      <c r="B184" s="155" t="str">
        <f>HYPERLINK("https://bulbapedia.bulbagarden.net/w/index.php?title=Inteleon_V_(Rebel_Clash_180)&amp;action=edit&amp;redlink=1","InteleonV")</f>
        <v>InteleonV</v>
      </c>
      <c r="C184" s="51" t="s">
        <v>208</v>
      </c>
      <c r="D184" s="54"/>
      <c r="E184" s="89"/>
      <c r="F184" s="87"/>
      <c r="G184" s="87"/>
      <c r="H184" s="88"/>
      <c r="I184" s="88"/>
    </row>
    <row r="185" spans="1:9" ht="13">
      <c r="A185" s="51" t="s">
        <v>9364</v>
      </c>
      <c r="B185" s="155" t="str">
        <f>HYPERLINK("https://bulbapedia.bulbagarden.net/w/index.php?title=Boltund_V_(VMAX_Rising_181)&amp;action=edit&amp;redlink=1","BoltundV")</f>
        <v>BoltundV</v>
      </c>
      <c r="C185" s="51" t="s">
        <v>192</v>
      </c>
      <c r="D185" s="54"/>
      <c r="E185" s="86"/>
      <c r="F185" s="89"/>
      <c r="G185" s="87"/>
      <c r="H185" s="88"/>
      <c r="I185" s="88"/>
    </row>
    <row r="186" spans="1:9" ht="13">
      <c r="A186" s="51" t="s">
        <v>9365</v>
      </c>
      <c r="B186" s="155" t="str">
        <f>HYPERLINK("https://bulbapedia.bulbagarden.net/w/index.php?title=Toxtricity_V_(Rebel_Clash_182)&amp;action=edit&amp;redlink=1","ToxtricityV")</f>
        <v>ToxtricityV</v>
      </c>
      <c r="C186" s="51" t="s">
        <v>192</v>
      </c>
      <c r="D186" s="54"/>
      <c r="E186" s="86"/>
      <c r="F186" s="89"/>
      <c r="G186" s="87"/>
      <c r="H186" s="88"/>
      <c r="I186" s="88"/>
    </row>
    <row r="187" spans="1:9" ht="13">
      <c r="A187" s="51" t="s">
        <v>9366</v>
      </c>
      <c r="B187" s="155" t="str">
        <f>HYPERLINK("https://bulbapedia.bulbagarden.net/w/index.php?title=Dragapult_V_(Rebel_Clash_183)&amp;action=edit&amp;redlink=1","DragapultV")</f>
        <v>DragapultV</v>
      </c>
      <c r="C187" s="51" t="s">
        <v>195</v>
      </c>
      <c r="D187" s="51"/>
      <c r="E187" s="87"/>
      <c r="F187" s="86"/>
      <c r="G187" s="87"/>
      <c r="H187" s="88"/>
      <c r="I187" s="88"/>
    </row>
    <row r="188" spans="1:9" ht="13">
      <c r="A188" s="51" t="s">
        <v>9367</v>
      </c>
      <c r="B188" s="155" t="str">
        <f>HYPERLINK("https://bulbapedia.bulbagarden.net/w/index.php?title=Sandaconda_V_(Rebel_Clash_184)&amp;action=edit&amp;redlink=1","SandacondaV")</f>
        <v>SandacondaV</v>
      </c>
      <c r="C188" s="51" t="s">
        <v>225</v>
      </c>
      <c r="D188" s="54"/>
      <c r="E188" s="89"/>
      <c r="F188" s="87"/>
      <c r="G188" s="87"/>
      <c r="H188" s="88"/>
      <c r="I188" s="88"/>
    </row>
    <row r="189" spans="1:9" ht="13">
      <c r="A189" s="51" t="s">
        <v>9368</v>
      </c>
      <c r="B189" s="155" t="str">
        <f>HYPERLINK("https://bulbapedia.bulbagarden.net/w/index.php?title=Falinks_V_(Rebel_Clash_185)&amp;action=edit&amp;redlink=1","FalinksV")</f>
        <v>FalinksV</v>
      </c>
      <c r="C189" s="51" t="s">
        <v>225</v>
      </c>
      <c r="D189" s="51"/>
      <c r="E189" s="86"/>
      <c r="F189" s="87"/>
      <c r="G189" s="87"/>
      <c r="H189" s="88"/>
      <c r="I189" s="88"/>
    </row>
    <row r="190" spans="1:9" ht="13">
      <c r="A190" s="51" t="s">
        <v>9369</v>
      </c>
      <c r="B190" s="155" t="str">
        <f>HYPERLINK("https://bulbapedia.bulbagarden.net/w/index.php?title=Malamar_V_(Rebel_Clash_186)&amp;action=edit&amp;redlink=1","MalamarV")</f>
        <v>MalamarV</v>
      </c>
      <c r="C190" s="51" t="s">
        <v>808</v>
      </c>
      <c r="D190" s="54"/>
      <c r="E190" s="86"/>
      <c r="F190" s="86"/>
      <c r="G190" s="87"/>
      <c r="H190" s="88"/>
      <c r="I190" s="88"/>
    </row>
    <row r="191" spans="1:9" ht="13">
      <c r="A191" s="51" t="s">
        <v>9370</v>
      </c>
      <c r="B191" s="155" t="str">
        <f>HYPERLINK("https://bulbapedia.bulbagarden.net/w/index.php?title=Copperajah_V_(Rebel_Clash_187)&amp;action=edit&amp;redlink=1","CopperajahV")</f>
        <v>CopperajahV</v>
      </c>
      <c r="C191" s="51" t="s">
        <v>220</v>
      </c>
      <c r="D191" s="51"/>
      <c r="E191" s="89"/>
      <c r="F191" s="87"/>
      <c r="G191" s="87"/>
      <c r="H191" s="88"/>
      <c r="I191" s="88"/>
    </row>
    <row r="192" spans="1:9" ht="13">
      <c r="A192" s="51" t="s">
        <v>9371</v>
      </c>
      <c r="B192" s="155" t="str">
        <f>HYPERLINK("https://bulbapedia.bulbagarden.net/w/index.php?title=Dubwool_V_(Rebel_Clash_188)&amp;action=edit&amp;redlink=1","DubwoolV")</f>
        <v>DubwoolV</v>
      </c>
      <c r="C192" s="51" t="s">
        <v>197</v>
      </c>
      <c r="D192" s="54"/>
      <c r="E192" s="89"/>
      <c r="F192" s="89"/>
      <c r="G192" s="87"/>
      <c r="H192" s="88"/>
      <c r="I192" s="88"/>
    </row>
    <row r="193" spans="1:9" ht="13">
      <c r="A193" s="51" t="s">
        <v>9372</v>
      </c>
      <c r="B193" s="60" t="s">
        <v>9373</v>
      </c>
      <c r="C193" s="51" t="s">
        <v>1013</v>
      </c>
      <c r="D193" s="54"/>
      <c r="E193" s="87"/>
      <c r="F193" s="86"/>
      <c r="G193" s="87"/>
      <c r="H193" s="88"/>
      <c r="I193" s="88"/>
    </row>
    <row r="194" spans="1:9" ht="13">
      <c r="A194" s="51" t="s">
        <v>9374</v>
      </c>
      <c r="B194" s="60" t="s">
        <v>9334</v>
      </c>
      <c r="C194" s="51" t="s">
        <v>1013</v>
      </c>
      <c r="D194" s="51"/>
      <c r="E194" s="87"/>
      <c r="F194" s="89"/>
      <c r="G194" s="87"/>
      <c r="H194" s="88"/>
      <c r="I194" s="88"/>
    </row>
    <row r="195" spans="1:9" ht="13">
      <c r="A195" s="51" t="s">
        <v>9375</v>
      </c>
      <c r="B195" s="60" t="s">
        <v>9338</v>
      </c>
      <c r="C195" s="51" t="s">
        <v>1013</v>
      </c>
      <c r="D195" s="54"/>
      <c r="E195" s="89"/>
      <c r="F195" s="89"/>
      <c r="G195" s="87"/>
      <c r="H195" s="88"/>
      <c r="I195" s="88"/>
    </row>
    <row r="196" spans="1:9" ht="13">
      <c r="A196" s="51" t="s">
        <v>9376</v>
      </c>
      <c r="B196" s="60" t="s">
        <v>9344</v>
      </c>
      <c r="C196" s="51" t="s">
        <v>1013</v>
      </c>
      <c r="D196" s="54"/>
      <c r="E196" s="87"/>
      <c r="F196" s="87"/>
      <c r="G196" s="87"/>
      <c r="H196" s="88"/>
      <c r="I196" s="88"/>
    </row>
    <row r="197" spans="1:9" ht="13">
      <c r="A197" s="51" t="s">
        <v>9377</v>
      </c>
      <c r="B197" s="155" t="str">
        <f>HYPERLINK("https://bulbapedia.bulbagarden.net/w/index.php?title=Rillaboom_VMAX_(Rebel_Clash_193)&amp;action=edit&amp;redlink=1","RillaboomVMAX")</f>
        <v>RillaboomVMAX</v>
      </c>
      <c r="C197" s="51" t="s">
        <v>205</v>
      </c>
      <c r="D197" s="54"/>
      <c r="E197" s="89"/>
      <c r="F197" s="87"/>
      <c r="G197" s="87"/>
      <c r="H197" s="88"/>
      <c r="I197" s="88"/>
    </row>
    <row r="198" spans="1:9" ht="13">
      <c r="A198" s="51" t="s">
        <v>9378</v>
      </c>
      <c r="B198" s="155" t="str">
        <f>HYPERLINK("https://bulbapedia.bulbagarden.net/w/index.php?title=Cinderace_VMAX_(Rebel_Clash_194)&amp;action=edit&amp;redlink=1","CinderaceVMAX")</f>
        <v>CinderaceVMAX</v>
      </c>
      <c r="C198" s="51" t="s">
        <v>199</v>
      </c>
      <c r="D198" s="54"/>
      <c r="E198" s="87"/>
      <c r="F198" s="87"/>
      <c r="G198" s="87"/>
      <c r="H198" s="88"/>
      <c r="I198" s="88"/>
    </row>
    <row r="199" spans="1:9" ht="13">
      <c r="A199" s="51" t="s">
        <v>9379</v>
      </c>
      <c r="B199" s="155" t="str">
        <f>HYPERLINK("https://bulbapedia.bulbagarden.net/w/index.php?title=Inteleon_VMAX_(Rebel_Clash_195)&amp;action=edit&amp;redlink=1","InteleonVMAX")</f>
        <v>InteleonVMAX</v>
      </c>
      <c r="C199" s="51" t="s">
        <v>208</v>
      </c>
      <c r="D199" s="54"/>
      <c r="E199" s="89"/>
      <c r="F199" s="87"/>
      <c r="G199" s="87"/>
      <c r="H199" s="88"/>
      <c r="I199" s="88"/>
    </row>
    <row r="200" spans="1:9" ht="13">
      <c r="A200" s="51" t="s">
        <v>9380</v>
      </c>
      <c r="B200" s="155" t="str">
        <f>HYPERLINK("https://bulbapedia.bulbagarden.net/w/index.php?title=Toxtricity_VMAX_(Rebel_Clash_196)&amp;action=edit&amp;redlink=1","ToxtricityVMAX")</f>
        <v>ToxtricityVMAX</v>
      </c>
      <c r="C200" s="51" t="s">
        <v>192</v>
      </c>
      <c r="D200" s="54"/>
      <c r="E200" s="87"/>
      <c r="F200" s="87"/>
      <c r="G200" s="87"/>
      <c r="H200" s="88"/>
      <c r="I200" s="88"/>
    </row>
    <row r="201" spans="1:9" ht="13">
      <c r="A201" s="51" t="s">
        <v>9381</v>
      </c>
      <c r="B201" s="155" t="str">
        <f>HYPERLINK("https://bulbapedia.bulbagarden.net/w/index.php?title=Dragapult_VMAX_(Rebel_Clash_197)&amp;action=edit&amp;redlink=1","DragapultVMAX")</f>
        <v>DragapultVMAX</v>
      </c>
      <c r="C201" s="51" t="s">
        <v>195</v>
      </c>
      <c r="D201" s="54"/>
      <c r="E201" s="87"/>
      <c r="F201" s="89"/>
      <c r="G201" s="87"/>
      <c r="H201" s="88"/>
      <c r="I201" s="88"/>
    </row>
    <row r="202" spans="1:9" ht="13">
      <c r="A202" s="51" t="s">
        <v>9382</v>
      </c>
      <c r="B202" s="155" t="str">
        <f>HYPERLINK("https://bulbapedia.bulbagarden.net/w/index.php?title=Malamar_VMAX_(Rebel_Clash_198)&amp;action=edit&amp;redlink=1","MalamarVMAX")</f>
        <v>MalamarVMAX</v>
      </c>
      <c r="C202" s="51" t="s">
        <v>808</v>
      </c>
      <c r="D202" s="5"/>
      <c r="E202" s="87"/>
      <c r="F202" s="87"/>
      <c r="G202" s="87"/>
      <c r="H202" s="88"/>
      <c r="I202" s="88"/>
    </row>
    <row r="203" spans="1:9" ht="13">
      <c r="A203" s="51" t="s">
        <v>9383</v>
      </c>
      <c r="B203" s="155" t="str">
        <f>HYPERLINK("https://bulbapedia.bulbagarden.net/w/index.php?title=Copperajah_VMAX_(Rebel_Clash_199)&amp;action=edit&amp;redlink=1","CopperajahVMAX")</f>
        <v>CopperajahVMAX</v>
      </c>
      <c r="C203" s="51" t="s">
        <v>220</v>
      </c>
      <c r="D203" s="51"/>
      <c r="E203" s="87"/>
      <c r="F203" s="87"/>
      <c r="G203" s="87"/>
      <c r="H203" s="88"/>
      <c r="I203" s="88"/>
    </row>
    <row r="204" spans="1:9" ht="13">
      <c r="A204" s="51" t="s">
        <v>9384</v>
      </c>
      <c r="B204" s="60" t="s">
        <v>9385</v>
      </c>
      <c r="C204" s="51" t="s">
        <v>1013</v>
      </c>
      <c r="D204" s="54"/>
      <c r="E204" s="87"/>
      <c r="F204" s="86"/>
      <c r="G204" s="87"/>
      <c r="H204" s="88"/>
      <c r="I204" s="88"/>
    </row>
    <row r="205" spans="1:9" ht="13">
      <c r="A205" s="51" t="s">
        <v>9386</v>
      </c>
      <c r="B205" s="60" t="s">
        <v>9334</v>
      </c>
      <c r="C205" s="51" t="s">
        <v>1013</v>
      </c>
      <c r="D205" s="54"/>
      <c r="E205" s="87"/>
      <c r="F205" s="87"/>
      <c r="G205" s="87"/>
      <c r="H205" s="88"/>
      <c r="I205" s="88"/>
    </row>
    <row r="206" spans="1:9" ht="13">
      <c r="A206" s="51" t="s">
        <v>9387</v>
      </c>
      <c r="B206" s="60" t="s">
        <v>9338</v>
      </c>
      <c r="C206" s="51" t="s">
        <v>1013</v>
      </c>
      <c r="D206" s="5"/>
      <c r="E206" s="87"/>
      <c r="F206" s="87"/>
      <c r="G206" s="87"/>
      <c r="H206" s="88"/>
      <c r="I206" s="88"/>
    </row>
    <row r="207" spans="1:9" ht="13">
      <c r="A207" s="51" t="s">
        <v>9388</v>
      </c>
      <c r="B207" s="60" t="s">
        <v>9344</v>
      </c>
      <c r="C207" s="51" t="s">
        <v>1013</v>
      </c>
      <c r="D207" s="5"/>
      <c r="E207" s="87"/>
      <c r="F207" s="87"/>
      <c r="G207" s="87"/>
      <c r="H207" s="88"/>
      <c r="I207" s="88"/>
    </row>
    <row r="208" spans="1:9" ht="13">
      <c r="A208" s="51" t="s">
        <v>9389</v>
      </c>
      <c r="B208" s="60" t="s">
        <v>8950</v>
      </c>
      <c r="C208" s="51" t="s">
        <v>208</v>
      </c>
      <c r="D208" s="51"/>
      <c r="E208" s="87"/>
      <c r="F208" s="87"/>
      <c r="G208" s="87"/>
      <c r="H208" s="88"/>
      <c r="I208" s="88"/>
    </row>
    <row r="209" spans="1:9" ht="13">
      <c r="A209" s="51" t="s">
        <v>9390</v>
      </c>
      <c r="B209" s="60" t="s">
        <v>9030</v>
      </c>
      <c r="C209" s="51" t="s">
        <v>220</v>
      </c>
      <c r="D209" s="54"/>
      <c r="E209" s="87"/>
      <c r="F209" s="87"/>
      <c r="G209" s="87"/>
      <c r="H209" s="88"/>
      <c r="I209" s="88"/>
    </row>
    <row r="210" spans="1:9" ht="13">
      <c r="A210" s="51" t="s">
        <v>9391</v>
      </c>
      <c r="B210" s="60" t="str">
        <f>HYPERLINK("https://bulbapedia.bulbagarden.net/w/index.php?title=Big_Charm_(Rebel_Clash_206)&amp;action=edit&amp;redlink=1", "Big Charm")</f>
        <v>Big Charm</v>
      </c>
      <c r="C210" s="51" t="s">
        <v>1013</v>
      </c>
      <c r="D210" s="5"/>
      <c r="E210" s="87"/>
      <c r="F210" s="87"/>
      <c r="G210" s="87"/>
      <c r="H210" s="88"/>
      <c r="I210" s="88"/>
    </row>
    <row r="211" spans="1:9" ht="13">
      <c r="A211" s="51" t="s">
        <v>9392</v>
      </c>
      <c r="B211" s="60" t="s">
        <v>9341</v>
      </c>
      <c r="C211" s="51" t="s">
        <v>1013</v>
      </c>
      <c r="D211" s="5"/>
      <c r="E211" s="87"/>
      <c r="F211" s="87"/>
      <c r="G211" s="87"/>
      <c r="H211" s="88"/>
      <c r="I211" s="88"/>
    </row>
    <row r="212" spans="1:9" ht="13">
      <c r="A212" s="51" t="s">
        <v>9393</v>
      </c>
      <c r="B212" s="60" t="s">
        <v>4325</v>
      </c>
      <c r="C212" s="51" t="s">
        <v>1013</v>
      </c>
      <c r="D212" s="54"/>
      <c r="E212" s="87"/>
      <c r="F212" s="87"/>
      <c r="G212" s="87"/>
      <c r="H212" s="88"/>
      <c r="I212" s="88"/>
    </row>
    <row r="213" spans="1:9" ht="13">
      <c r="A213" s="51" t="s">
        <v>9394</v>
      </c>
      <c r="B213" s="60" t="s">
        <v>9357</v>
      </c>
      <c r="C213" s="51" t="s">
        <v>317</v>
      </c>
      <c r="D213" s="54"/>
      <c r="E213" s="87"/>
      <c r="F213" s="87"/>
      <c r="G213" s="87"/>
      <c r="H213" s="88"/>
      <c r="I213" s="88"/>
    </row>
    <row r="214" spans="1:9" ht="13">
      <c r="A214" s="48"/>
      <c r="B214" s="50"/>
      <c r="C214" s="51"/>
      <c r="D214" s="5"/>
      <c r="E214" s="87"/>
      <c r="F214" s="87"/>
      <c r="G214" s="87"/>
      <c r="H214" s="88"/>
      <c r="I214" s="88"/>
    </row>
    <row r="215" spans="1:9" ht="13">
      <c r="A215" s="48"/>
      <c r="B215" s="53"/>
      <c r="C215" s="51"/>
      <c r="D215" s="54"/>
      <c r="E215" s="87"/>
      <c r="F215" s="87"/>
      <c r="G215" s="87"/>
      <c r="H215" s="88"/>
      <c r="I215" s="88"/>
    </row>
    <row r="216" spans="1:9" ht="13">
      <c r="A216" s="48"/>
      <c r="B216" s="53"/>
      <c r="C216" s="51"/>
      <c r="D216" s="5"/>
      <c r="E216" s="87"/>
      <c r="F216" s="87"/>
      <c r="G216" s="87"/>
      <c r="H216" s="88"/>
      <c r="I216" s="88"/>
    </row>
    <row r="217" spans="1:9" ht="13">
      <c r="A217" s="48"/>
      <c r="B217" s="50"/>
      <c r="C217" s="51"/>
      <c r="D217" s="5"/>
      <c r="E217" s="87"/>
      <c r="F217" s="87"/>
      <c r="G217" s="87"/>
      <c r="H217" s="88"/>
      <c r="I217" s="88"/>
    </row>
    <row r="218" spans="1:9" ht="13">
      <c r="A218" s="48"/>
      <c r="B218" s="50"/>
      <c r="C218" s="51"/>
      <c r="D218" s="54"/>
      <c r="E218" s="87"/>
      <c r="F218" s="86"/>
      <c r="G218" s="87"/>
      <c r="H218" s="88"/>
      <c r="I218" s="88"/>
    </row>
    <row r="219" spans="1:9" ht="13">
      <c r="A219" s="48"/>
      <c r="B219" s="50"/>
      <c r="C219" s="51"/>
      <c r="D219" s="54"/>
      <c r="E219" s="87"/>
      <c r="F219" s="87"/>
      <c r="G219" s="87"/>
      <c r="H219" s="88"/>
      <c r="I219" s="88"/>
    </row>
    <row r="220" spans="1:9" ht="13">
      <c r="A220" s="48"/>
      <c r="B220" s="50"/>
      <c r="C220" s="153"/>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600-000000000000}"/>
    <hyperlink ref="B6" r:id="rId2" xr:uid="{00000000-0004-0000-6600-000001000000}"/>
    <hyperlink ref="B7" r:id="rId3" xr:uid="{00000000-0004-0000-6600-000002000000}"/>
    <hyperlink ref="B8" r:id="rId4" xr:uid="{00000000-0004-0000-6600-000003000000}"/>
    <hyperlink ref="B9" r:id="rId5" xr:uid="{00000000-0004-0000-6600-000004000000}"/>
    <hyperlink ref="B10" r:id="rId6" xr:uid="{00000000-0004-0000-6600-000005000000}"/>
    <hyperlink ref="B11" r:id="rId7" xr:uid="{00000000-0004-0000-6600-000006000000}"/>
    <hyperlink ref="B12" r:id="rId8" xr:uid="{00000000-0004-0000-6600-000007000000}"/>
    <hyperlink ref="B13" r:id="rId9" xr:uid="{00000000-0004-0000-6600-000008000000}"/>
    <hyperlink ref="B14" r:id="rId10" xr:uid="{00000000-0004-0000-6600-000009000000}"/>
    <hyperlink ref="B15" r:id="rId11" xr:uid="{00000000-0004-0000-6600-00000A000000}"/>
    <hyperlink ref="B16" r:id="rId12" xr:uid="{00000000-0004-0000-6600-00000B000000}"/>
    <hyperlink ref="B17" r:id="rId13" xr:uid="{00000000-0004-0000-6600-00000C000000}"/>
    <hyperlink ref="B18" r:id="rId14" xr:uid="{00000000-0004-0000-6600-00000D000000}"/>
    <hyperlink ref="B19" r:id="rId15" xr:uid="{00000000-0004-0000-6600-00000E000000}"/>
    <hyperlink ref="B20" r:id="rId16" xr:uid="{00000000-0004-0000-6600-00000F000000}"/>
    <hyperlink ref="B24" r:id="rId17" xr:uid="{00000000-0004-0000-6600-000010000000}"/>
    <hyperlink ref="B25" r:id="rId18" xr:uid="{00000000-0004-0000-6600-000011000000}"/>
    <hyperlink ref="B26" r:id="rId19" xr:uid="{00000000-0004-0000-6600-000012000000}"/>
    <hyperlink ref="B27" r:id="rId20" xr:uid="{00000000-0004-0000-6600-000013000000}"/>
    <hyperlink ref="B28" r:id="rId21" xr:uid="{00000000-0004-0000-6600-000014000000}"/>
    <hyperlink ref="B29" r:id="rId22" xr:uid="{00000000-0004-0000-6600-000015000000}"/>
    <hyperlink ref="B31" r:id="rId23" xr:uid="{00000000-0004-0000-6600-000016000000}"/>
    <hyperlink ref="B32" r:id="rId24" xr:uid="{00000000-0004-0000-6600-000017000000}"/>
    <hyperlink ref="B33" r:id="rId25" xr:uid="{00000000-0004-0000-6600-000018000000}"/>
    <hyperlink ref="B34" r:id="rId26" xr:uid="{00000000-0004-0000-6600-000019000000}"/>
    <hyperlink ref="B35" r:id="rId27" xr:uid="{00000000-0004-0000-6600-00001A000000}"/>
    <hyperlink ref="B36" r:id="rId28" xr:uid="{00000000-0004-0000-6600-00001B000000}"/>
    <hyperlink ref="B38" r:id="rId29" xr:uid="{00000000-0004-0000-6600-00001C000000}"/>
    <hyperlink ref="B41" r:id="rId30" xr:uid="{00000000-0004-0000-6600-00001D000000}"/>
    <hyperlink ref="B42" r:id="rId31" xr:uid="{00000000-0004-0000-6600-00001E000000}"/>
    <hyperlink ref="B43" r:id="rId32" xr:uid="{00000000-0004-0000-6600-00001F000000}"/>
    <hyperlink ref="B44" r:id="rId33" xr:uid="{00000000-0004-0000-6600-000020000000}"/>
    <hyperlink ref="B45" r:id="rId34" xr:uid="{00000000-0004-0000-6600-000021000000}"/>
    <hyperlink ref="B46" r:id="rId35" xr:uid="{00000000-0004-0000-6600-000022000000}"/>
    <hyperlink ref="B48" r:id="rId36" xr:uid="{00000000-0004-0000-6600-000023000000}"/>
    <hyperlink ref="B49" r:id="rId37" xr:uid="{00000000-0004-0000-6600-000024000000}"/>
    <hyperlink ref="B50" r:id="rId38" xr:uid="{00000000-0004-0000-6600-000025000000}"/>
    <hyperlink ref="B51" r:id="rId39" xr:uid="{00000000-0004-0000-6600-000026000000}"/>
    <hyperlink ref="B52" r:id="rId40" xr:uid="{00000000-0004-0000-6600-000027000000}"/>
    <hyperlink ref="B55" r:id="rId41" xr:uid="{00000000-0004-0000-6600-000028000000}"/>
    <hyperlink ref="B56" r:id="rId42" xr:uid="{00000000-0004-0000-6600-000029000000}"/>
    <hyperlink ref="B57" r:id="rId43" xr:uid="{00000000-0004-0000-6600-00002A000000}"/>
    <hyperlink ref="B58" r:id="rId44" xr:uid="{00000000-0004-0000-6600-00002B000000}"/>
    <hyperlink ref="B60" r:id="rId45" xr:uid="{00000000-0004-0000-6600-00002C000000}"/>
    <hyperlink ref="B61" r:id="rId46" xr:uid="{00000000-0004-0000-6600-00002D000000}"/>
    <hyperlink ref="B62" r:id="rId47" xr:uid="{00000000-0004-0000-6600-00002E000000}"/>
    <hyperlink ref="B63" r:id="rId48" xr:uid="{00000000-0004-0000-6600-00002F000000}"/>
    <hyperlink ref="B64" r:id="rId49" xr:uid="{00000000-0004-0000-6600-000030000000}"/>
    <hyperlink ref="B65" r:id="rId50" xr:uid="{00000000-0004-0000-6600-000031000000}"/>
    <hyperlink ref="B66" r:id="rId51" xr:uid="{00000000-0004-0000-6600-000032000000}"/>
    <hyperlink ref="B67" r:id="rId52" xr:uid="{00000000-0004-0000-6600-000033000000}"/>
    <hyperlink ref="B68" r:id="rId53" xr:uid="{00000000-0004-0000-6600-000034000000}"/>
    <hyperlink ref="B69" r:id="rId54" xr:uid="{00000000-0004-0000-6600-000035000000}"/>
    <hyperlink ref="B70" r:id="rId55" xr:uid="{00000000-0004-0000-6600-000036000000}"/>
    <hyperlink ref="B72" r:id="rId56" xr:uid="{00000000-0004-0000-6600-000037000000}"/>
    <hyperlink ref="B73" r:id="rId57" xr:uid="{00000000-0004-0000-6600-000038000000}"/>
    <hyperlink ref="B77" r:id="rId58" xr:uid="{00000000-0004-0000-6600-000039000000}"/>
    <hyperlink ref="B78" r:id="rId59" xr:uid="{00000000-0004-0000-6600-00003A000000}"/>
    <hyperlink ref="B79" r:id="rId60" xr:uid="{00000000-0004-0000-6600-00003B000000}"/>
    <hyperlink ref="B80" r:id="rId61" xr:uid="{00000000-0004-0000-6600-00003C000000}"/>
    <hyperlink ref="B81" r:id="rId62" xr:uid="{00000000-0004-0000-6600-00003D000000}"/>
    <hyperlink ref="B82" r:id="rId63" xr:uid="{00000000-0004-0000-6600-00003E000000}"/>
    <hyperlink ref="B83" r:id="rId64" xr:uid="{00000000-0004-0000-6600-00003F000000}"/>
    <hyperlink ref="B84" r:id="rId65" xr:uid="{00000000-0004-0000-6600-000040000000}"/>
    <hyperlink ref="B85" r:id="rId66" xr:uid="{00000000-0004-0000-6600-000041000000}"/>
    <hyperlink ref="B86" r:id="rId67" xr:uid="{00000000-0004-0000-6600-000042000000}"/>
    <hyperlink ref="B87" r:id="rId68" xr:uid="{00000000-0004-0000-6600-000043000000}"/>
    <hyperlink ref="B88" r:id="rId69" xr:uid="{00000000-0004-0000-6600-000044000000}"/>
    <hyperlink ref="B89" r:id="rId70" xr:uid="{00000000-0004-0000-6600-000045000000}"/>
    <hyperlink ref="B90" r:id="rId71" xr:uid="{00000000-0004-0000-6600-000046000000}"/>
    <hyperlink ref="B91" r:id="rId72" xr:uid="{00000000-0004-0000-6600-000047000000}"/>
    <hyperlink ref="B92" r:id="rId73" xr:uid="{00000000-0004-0000-6600-000048000000}"/>
    <hyperlink ref="B93" r:id="rId74" xr:uid="{00000000-0004-0000-6600-000049000000}"/>
    <hyperlink ref="B94" r:id="rId75" xr:uid="{00000000-0004-0000-6600-00004A000000}"/>
    <hyperlink ref="B95" r:id="rId76" xr:uid="{00000000-0004-0000-6600-00004B000000}"/>
    <hyperlink ref="B98" r:id="rId77" xr:uid="{00000000-0004-0000-6600-00004C000000}"/>
    <hyperlink ref="B99" r:id="rId78" xr:uid="{00000000-0004-0000-6600-00004D000000}"/>
    <hyperlink ref="B100" r:id="rId79" xr:uid="{00000000-0004-0000-6600-00004E000000}"/>
    <hyperlink ref="B101" r:id="rId80" xr:uid="{00000000-0004-0000-6600-00004F000000}"/>
    <hyperlink ref="B102" r:id="rId81" xr:uid="{00000000-0004-0000-6600-000050000000}"/>
    <hyperlink ref="B103" r:id="rId82" xr:uid="{00000000-0004-0000-6600-000051000000}"/>
    <hyperlink ref="B104" r:id="rId83" xr:uid="{00000000-0004-0000-6600-000052000000}"/>
    <hyperlink ref="B105" r:id="rId84" xr:uid="{00000000-0004-0000-6600-000053000000}"/>
    <hyperlink ref="B106" r:id="rId85" xr:uid="{00000000-0004-0000-6600-000054000000}"/>
    <hyperlink ref="B107" r:id="rId86" xr:uid="{00000000-0004-0000-6600-000055000000}"/>
    <hyperlink ref="B108" r:id="rId87" xr:uid="{00000000-0004-0000-6600-000056000000}"/>
    <hyperlink ref="B109" r:id="rId88" xr:uid="{00000000-0004-0000-6600-000057000000}"/>
    <hyperlink ref="B110" r:id="rId89" xr:uid="{00000000-0004-0000-6600-000058000000}"/>
    <hyperlink ref="B111" r:id="rId90" xr:uid="{00000000-0004-0000-6600-000059000000}"/>
    <hyperlink ref="B113" r:id="rId91" xr:uid="{00000000-0004-0000-6600-00005A000000}"/>
    <hyperlink ref="B115" r:id="rId92" xr:uid="{00000000-0004-0000-6600-00005B000000}"/>
    <hyperlink ref="B116" r:id="rId93" xr:uid="{00000000-0004-0000-6600-00005C000000}"/>
    <hyperlink ref="B117" r:id="rId94" xr:uid="{00000000-0004-0000-6600-00005D000000}"/>
    <hyperlink ref="B118" r:id="rId95" xr:uid="{00000000-0004-0000-6600-00005E000000}"/>
    <hyperlink ref="B119" r:id="rId96" xr:uid="{00000000-0004-0000-6600-00005F000000}"/>
    <hyperlink ref="B120" r:id="rId97" xr:uid="{00000000-0004-0000-6600-000060000000}"/>
    <hyperlink ref="B121" r:id="rId98" xr:uid="{00000000-0004-0000-6600-000061000000}"/>
    <hyperlink ref="B122" r:id="rId99" xr:uid="{00000000-0004-0000-6600-000062000000}"/>
    <hyperlink ref="B123" r:id="rId100" xr:uid="{00000000-0004-0000-6600-000063000000}"/>
    <hyperlink ref="B124" r:id="rId101" xr:uid="{00000000-0004-0000-6600-000064000000}"/>
    <hyperlink ref="B127" r:id="rId102" xr:uid="{00000000-0004-0000-6600-000065000000}"/>
    <hyperlink ref="B128" r:id="rId103" xr:uid="{00000000-0004-0000-6600-000066000000}"/>
    <hyperlink ref="B129" r:id="rId104" xr:uid="{00000000-0004-0000-6600-000067000000}"/>
    <hyperlink ref="B130" r:id="rId105" xr:uid="{00000000-0004-0000-6600-000068000000}"/>
    <hyperlink ref="B131" r:id="rId106" xr:uid="{00000000-0004-0000-6600-000069000000}"/>
    <hyperlink ref="B132" r:id="rId107" xr:uid="{00000000-0004-0000-6600-00006A000000}"/>
    <hyperlink ref="B133" r:id="rId108" xr:uid="{00000000-0004-0000-6600-00006B000000}"/>
    <hyperlink ref="B134" r:id="rId109" xr:uid="{00000000-0004-0000-6600-00006C000000}"/>
    <hyperlink ref="B135" r:id="rId110" xr:uid="{00000000-0004-0000-6600-00006D000000}"/>
    <hyperlink ref="B136" r:id="rId111" xr:uid="{00000000-0004-0000-6600-00006E000000}"/>
    <hyperlink ref="B137" r:id="rId112" xr:uid="{00000000-0004-0000-6600-00006F000000}"/>
    <hyperlink ref="B138" r:id="rId113" xr:uid="{00000000-0004-0000-6600-000070000000}"/>
    <hyperlink ref="B139" r:id="rId114" xr:uid="{00000000-0004-0000-6600-000071000000}"/>
    <hyperlink ref="B142" r:id="rId115" xr:uid="{00000000-0004-0000-6600-000072000000}"/>
    <hyperlink ref="B143" r:id="rId116" xr:uid="{00000000-0004-0000-6600-000073000000}"/>
    <hyperlink ref="B144" r:id="rId117" xr:uid="{00000000-0004-0000-6600-000074000000}"/>
    <hyperlink ref="B145" r:id="rId118" xr:uid="{00000000-0004-0000-6600-000075000000}"/>
    <hyperlink ref="B146" r:id="rId119" xr:uid="{00000000-0004-0000-6600-000076000000}"/>
    <hyperlink ref="B147" r:id="rId120" xr:uid="{00000000-0004-0000-6600-000077000000}"/>
    <hyperlink ref="B148" r:id="rId121" xr:uid="{00000000-0004-0000-6600-000078000000}"/>
    <hyperlink ref="B149" r:id="rId122" xr:uid="{00000000-0004-0000-6600-000079000000}"/>
    <hyperlink ref="B150" r:id="rId123" xr:uid="{00000000-0004-0000-6600-00007A000000}"/>
    <hyperlink ref="B151" r:id="rId124" xr:uid="{00000000-0004-0000-6600-00007B000000}"/>
    <hyperlink ref="B152" r:id="rId125" xr:uid="{00000000-0004-0000-6600-00007C000000}"/>
    <hyperlink ref="B153" r:id="rId126" xr:uid="{00000000-0004-0000-6600-00007D000000}"/>
    <hyperlink ref="B154" r:id="rId127" xr:uid="{00000000-0004-0000-6600-00007E000000}"/>
    <hyperlink ref="B155" r:id="rId128" xr:uid="{00000000-0004-0000-6600-00007F000000}"/>
    <hyperlink ref="B156" r:id="rId129" xr:uid="{00000000-0004-0000-6600-000080000000}"/>
    <hyperlink ref="B158" r:id="rId130" xr:uid="{00000000-0004-0000-6600-000081000000}"/>
    <hyperlink ref="B159" r:id="rId131" xr:uid="{00000000-0004-0000-6600-000082000000}"/>
    <hyperlink ref="B160" r:id="rId132" xr:uid="{00000000-0004-0000-6600-000083000000}"/>
    <hyperlink ref="B161" r:id="rId133" xr:uid="{00000000-0004-0000-6600-000084000000}"/>
    <hyperlink ref="B162" r:id="rId134" xr:uid="{00000000-0004-0000-6600-000085000000}"/>
    <hyperlink ref="B163" r:id="rId135" xr:uid="{00000000-0004-0000-6600-000086000000}"/>
    <hyperlink ref="B164" r:id="rId136" xr:uid="{00000000-0004-0000-6600-000087000000}"/>
    <hyperlink ref="B165" r:id="rId137" xr:uid="{00000000-0004-0000-6600-000088000000}"/>
    <hyperlink ref="B166" r:id="rId138" xr:uid="{00000000-0004-0000-6600-000089000000}"/>
    <hyperlink ref="B167" r:id="rId139" xr:uid="{00000000-0004-0000-6600-00008A000000}"/>
    <hyperlink ref="B168" r:id="rId140" xr:uid="{00000000-0004-0000-6600-00008B000000}"/>
    <hyperlink ref="B169" r:id="rId141" xr:uid="{00000000-0004-0000-6600-00008C000000}"/>
    <hyperlink ref="B170" r:id="rId142" xr:uid="{00000000-0004-0000-6600-00008D000000}"/>
    <hyperlink ref="B171" r:id="rId143" xr:uid="{00000000-0004-0000-6600-00008E000000}"/>
    <hyperlink ref="B172" r:id="rId144" xr:uid="{00000000-0004-0000-6600-00008F000000}"/>
    <hyperlink ref="B173" r:id="rId145" xr:uid="{00000000-0004-0000-6600-000090000000}"/>
    <hyperlink ref="B174" r:id="rId146" xr:uid="{00000000-0004-0000-6600-000091000000}"/>
    <hyperlink ref="B175" r:id="rId147" xr:uid="{00000000-0004-0000-6600-000092000000}"/>
    <hyperlink ref="B176" r:id="rId148" xr:uid="{00000000-0004-0000-6600-000093000000}"/>
    <hyperlink ref="B177" r:id="rId149" xr:uid="{00000000-0004-0000-6600-000094000000}"/>
    <hyperlink ref="B178" r:id="rId150" xr:uid="{00000000-0004-0000-6600-000095000000}"/>
    <hyperlink ref="B193" r:id="rId151" xr:uid="{00000000-0004-0000-6600-000096000000}"/>
    <hyperlink ref="B194" r:id="rId152" xr:uid="{00000000-0004-0000-6600-000097000000}"/>
    <hyperlink ref="B195" r:id="rId153" xr:uid="{00000000-0004-0000-6600-000098000000}"/>
    <hyperlink ref="B196" r:id="rId154" xr:uid="{00000000-0004-0000-6600-000099000000}"/>
    <hyperlink ref="B204" r:id="rId155" xr:uid="{00000000-0004-0000-6600-00009A000000}"/>
    <hyperlink ref="B205" r:id="rId156" xr:uid="{00000000-0004-0000-6600-00009B000000}"/>
    <hyperlink ref="B206" r:id="rId157" xr:uid="{00000000-0004-0000-6600-00009C000000}"/>
    <hyperlink ref="B207" r:id="rId158" xr:uid="{00000000-0004-0000-6600-00009D000000}"/>
    <hyperlink ref="B208" r:id="rId159" xr:uid="{00000000-0004-0000-6600-00009E000000}"/>
    <hyperlink ref="B209" r:id="rId160" xr:uid="{00000000-0004-0000-6600-00009F000000}"/>
    <hyperlink ref="B211" r:id="rId161" xr:uid="{00000000-0004-0000-6600-0000A0000000}"/>
    <hyperlink ref="B212" r:id="rId162" xr:uid="{00000000-0004-0000-6600-0000A1000000}"/>
    <hyperlink ref="B213" r:id="rId163" xr:uid="{00000000-0004-0000-6600-0000A2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04">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2.6640625" customWidth="1"/>
    <col min="4" max="4" width="14" customWidth="1"/>
    <col min="5" max="5" width="15.1640625" customWidth="1"/>
  </cols>
  <sheetData>
    <row r="1" spans="1:10" ht="15.75" customHeight="1">
      <c r="A1" s="131" t="s">
        <v>90</v>
      </c>
      <c r="B1" s="88"/>
      <c r="C1" s="112"/>
      <c r="D1" s="81" t="s">
        <v>181</v>
      </c>
      <c r="E1" s="87"/>
      <c r="F1" s="87"/>
      <c r="G1" s="87"/>
      <c r="H1" s="88"/>
      <c r="I1" s="88"/>
    </row>
    <row r="2" spans="1:10" ht="15.75" customHeight="1">
      <c r="A2" s="88" t="s">
        <v>182</v>
      </c>
      <c r="B2" s="139">
        <v>44057</v>
      </c>
      <c r="C2" s="112"/>
      <c r="D2" s="82">
        <f>SUM(D5:G205)</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156" t="s">
        <v>9395</v>
      </c>
      <c r="B5" s="157" t="s">
        <v>9396</v>
      </c>
      <c r="C5" s="156" t="s">
        <v>205</v>
      </c>
      <c r="D5" s="51"/>
      <c r="E5" s="86"/>
      <c r="F5" s="86"/>
      <c r="G5" s="87"/>
      <c r="H5" s="88"/>
      <c r="I5" s="88"/>
      <c r="J5" s="88"/>
    </row>
    <row r="6" spans="1:10" ht="15.75" customHeight="1">
      <c r="A6" s="156" t="s">
        <v>9397</v>
      </c>
      <c r="B6" s="157" t="s">
        <v>9398</v>
      </c>
      <c r="C6" s="156" t="s">
        <v>205</v>
      </c>
      <c r="D6" s="51"/>
      <c r="E6" s="86"/>
      <c r="F6" s="86"/>
      <c r="G6" s="87"/>
      <c r="H6" s="88"/>
      <c r="I6" s="88"/>
      <c r="J6" s="88"/>
    </row>
    <row r="7" spans="1:10" ht="15.75" customHeight="1">
      <c r="A7" s="156" t="s">
        <v>9399</v>
      </c>
      <c r="B7" s="157" t="s">
        <v>353</v>
      </c>
      <c r="C7" s="156" t="s">
        <v>205</v>
      </c>
      <c r="D7" s="51"/>
      <c r="E7" s="86"/>
      <c r="F7" s="86"/>
      <c r="G7" s="87"/>
      <c r="H7" s="88"/>
      <c r="I7" s="88"/>
    </row>
    <row r="8" spans="1:10" ht="15.75" customHeight="1">
      <c r="A8" s="156" t="s">
        <v>9400</v>
      </c>
      <c r="B8" s="157" t="s">
        <v>339</v>
      </c>
      <c r="C8" s="156" t="s">
        <v>205</v>
      </c>
      <c r="D8" s="51"/>
      <c r="E8" s="86"/>
      <c r="F8" s="86"/>
      <c r="G8" s="87"/>
      <c r="H8" s="88"/>
      <c r="I8" s="88"/>
    </row>
    <row r="9" spans="1:10" ht="15.75" customHeight="1">
      <c r="A9" s="156" t="s">
        <v>9401</v>
      </c>
      <c r="B9" s="157" t="s">
        <v>3123</v>
      </c>
      <c r="C9" s="156" t="s">
        <v>205</v>
      </c>
      <c r="D9" s="51"/>
      <c r="E9" s="86"/>
      <c r="F9" s="86"/>
      <c r="G9" s="87"/>
      <c r="H9" s="88"/>
      <c r="I9" s="88"/>
    </row>
    <row r="10" spans="1:10" ht="15.75" customHeight="1">
      <c r="A10" s="156" t="s">
        <v>9402</v>
      </c>
      <c r="B10" s="157" t="s">
        <v>4120</v>
      </c>
      <c r="C10" s="156" t="s">
        <v>205</v>
      </c>
      <c r="D10" s="51"/>
      <c r="E10" s="86"/>
      <c r="F10" s="86"/>
      <c r="G10" s="87"/>
      <c r="H10" s="88"/>
      <c r="I10" s="88"/>
    </row>
    <row r="11" spans="1:10" ht="15.75" customHeight="1">
      <c r="A11" s="156" t="s">
        <v>9403</v>
      </c>
      <c r="B11" s="157" t="s">
        <v>4121</v>
      </c>
      <c r="C11" s="156" t="s">
        <v>205</v>
      </c>
      <c r="D11" s="51"/>
      <c r="E11" s="86"/>
      <c r="F11" s="86"/>
      <c r="G11" s="87"/>
      <c r="H11" s="88"/>
      <c r="I11" s="88"/>
    </row>
    <row r="12" spans="1:10" ht="15.75" customHeight="1">
      <c r="A12" s="156" t="s">
        <v>9404</v>
      </c>
      <c r="B12" s="157" t="s">
        <v>4047</v>
      </c>
      <c r="C12" s="156" t="s">
        <v>205</v>
      </c>
      <c r="D12" s="51"/>
      <c r="E12" s="86"/>
      <c r="F12" s="86"/>
      <c r="G12" s="87"/>
      <c r="H12" s="88"/>
      <c r="I12" s="88"/>
    </row>
    <row r="13" spans="1:10" ht="15.75" customHeight="1">
      <c r="A13" s="156" t="s">
        <v>9405</v>
      </c>
      <c r="B13" s="157" t="s">
        <v>4050</v>
      </c>
      <c r="C13" s="156" t="s">
        <v>205</v>
      </c>
      <c r="D13" s="51"/>
      <c r="E13" s="86"/>
      <c r="F13" s="87"/>
      <c r="G13" s="87"/>
      <c r="H13" s="88"/>
      <c r="I13" s="88"/>
    </row>
    <row r="14" spans="1:10" ht="15.75" customHeight="1">
      <c r="A14" s="156" t="s">
        <v>9406</v>
      </c>
      <c r="B14" s="157" t="s">
        <v>4051</v>
      </c>
      <c r="C14" s="156" t="s">
        <v>205</v>
      </c>
      <c r="D14" s="51"/>
      <c r="E14" s="86"/>
      <c r="F14" s="87"/>
      <c r="G14" s="87"/>
      <c r="H14" s="88"/>
      <c r="I14" s="88"/>
    </row>
    <row r="15" spans="1:10" ht="15.75" customHeight="1">
      <c r="A15" s="156" t="s">
        <v>9407</v>
      </c>
      <c r="B15" s="157" t="s">
        <v>6205</v>
      </c>
      <c r="C15" s="156" t="s">
        <v>205</v>
      </c>
      <c r="D15" s="51"/>
      <c r="E15" s="86"/>
      <c r="F15" s="86"/>
      <c r="G15" s="87"/>
      <c r="H15" s="88"/>
      <c r="I15" s="88"/>
    </row>
    <row r="16" spans="1:10" ht="15.75" customHeight="1">
      <c r="A16" s="156" t="s">
        <v>9408</v>
      </c>
      <c r="B16" s="157" t="s">
        <v>9409</v>
      </c>
      <c r="C16" s="156" t="s">
        <v>205</v>
      </c>
      <c r="D16" s="51"/>
      <c r="E16" s="86"/>
      <c r="F16" s="86"/>
      <c r="G16" s="87"/>
      <c r="H16" s="88"/>
      <c r="I16" s="88"/>
    </row>
    <row r="17" spans="1:9" ht="15.75" customHeight="1">
      <c r="A17" s="156" t="s">
        <v>9410</v>
      </c>
      <c r="B17" s="157" t="s">
        <v>6252</v>
      </c>
      <c r="C17" s="156" t="s">
        <v>205</v>
      </c>
      <c r="F17" s="86"/>
      <c r="G17" s="87"/>
      <c r="H17" s="88"/>
      <c r="I17" s="88"/>
    </row>
    <row r="18" spans="1:9" ht="15.75" customHeight="1">
      <c r="A18" s="156" t="s">
        <v>9411</v>
      </c>
      <c r="B18" s="157" t="s">
        <v>6470</v>
      </c>
      <c r="C18" s="156" t="s">
        <v>205</v>
      </c>
      <c r="D18" s="51"/>
      <c r="E18" s="86"/>
      <c r="F18" s="86"/>
      <c r="G18" s="87"/>
      <c r="H18" s="88"/>
      <c r="I18" s="88"/>
    </row>
    <row r="19" spans="1:9" ht="15.75" customHeight="1">
      <c r="A19" s="156" t="s">
        <v>9412</v>
      </c>
      <c r="B19" s="157" t="s">
        <v>6471</v>
      </c>
      <c r="C19" s="156" t="s">
        <v>205</v>
      </c>
      <c r="D19" s="51"/>
      <c r="E19" s="86"/>
      <c r="F19" s="86"/>
      <c r="G19" s="87"/>
      <c r="H19" s="88"/>
      <c r="I19" s="88"/>
    </row>
    <row r="20" spans="1:9" ht="15.75" customHeight="1">
      <c r="A20" s="156" t="s">
        <v>9413</v>
      </c>
      <c r="B20" s="157" t="s">
        <v>6212</v>
      </c>
      <c r="C20" s="156" t="s">
        <v>205</v>
      </c>
      <c r="D20" s="51"/>
      <c r="E20" s="86"/>
      <c r="F20" s="86"/>
      <c r="G20" s="87"/>
      <c r="H20" s="88"/>
      <c r="I20" s="88"/>
    </row>
    <row r="21" spans="1:9" ht="15.75" customHeight="1">
      <c r="A21" s="156" t="s">
        <v>9414</v>
      </c>
      <c r="B21" s="158" t="s">
        <v>6535</v>
      </c>
      <c r="C21" s="156" t="s">
        <v>205</v>
      </c>
      <c r="D21" s="51"/>
      <c r="E21" s="86"/>
      <c r="F21" s="89"/>
      <c r="G21" s="87"/>
      <c r="H21" s="88"/>
      <c r="I21" s="88"/>
    </row>
    <row r="22" spans="1:9" ht="15.75" customHeight="1">
      <c r="A22" s="156" t="s">
        <v>9415</v>
      </c>
      <c r="B22" s="158" t="s">
        <v>6247</v>
      </c>
      <c r="C22" s="156" t="s">
        <v>205</v>
      </c>
      <c r="D22" s="51"/>
      <c r="E22" s="86"/>
      <c r="F22" s="87"/>
      <c r="G22" s="87"/>
      <c r="H22" s="88"/>
      <c r="I22" s="88"/>
    </row>
    <row r="23" spans="1:9" ht="15.75" customHeight="1">
      <c r="A23" s="156" t="s">
        <v>9416</v>
      </c>
      <c r="B23" s="158" t="s">
        <v>8622</v>
      </c>
      <c r="C23" s="156" t="s">
        <v>199</v>
      </c>
      <c r="D23" s="51"/>
      <c r="E23" s="51"/>
    </row>
    <row r="24" spans="1:9" ht="15.75" customHeight="1">
      <c r="A24" s="156" t="s">
        <v>9417</v>
      </c>
      <c r="B24" s="157" t="s">
        <v>9418</v>
      </c>
      <c r="C24" s="156" t="s">
        <v>199</v>
      </c>
      <c r="D24" s="51"/>
      <c r="E24" s="86"/>
      <c r="F24" s="87"/>
      <c r="G24" s="87"/>
      <c r="H24" s="88"/>
      <c r="I24" s="88"/>
    </row>
    <row r="25" spans="1:9" ht="15.75" customHeight="1">
      <c r="A25" s="156" t="s">
        <v>9419</v>
      </c>
      <c r="B25" s="157" t="s">
        <v>9420</v>
      </c>
      <c r="C25" s="156" t="s">
        <v>199</v>
      </c>
      <c r="D25" s="51"/>
      <c r="E25" s="86"/>
      <c r="F25" s="89"/>
      <c r="G25" s="87"/>
      <c r="H25" s="88"/>
      <c r="I25" s="88"/>
    </row>
    <row r="26" spans="1:9" ht="15.75" customHeight="1">
      <c r="A26" s="156" t="s">
        <v>9421</v>
      </c>
      <c r="B26" s="157" t="s">
        <v>1190</v>
      </c>
      <c r="C26" s="156" t="s">
        <v>199</v>
      </c>
      <c r="D26" s="51"/>
      <c r="E26" s="86"/>
      <c r="F26" s="86"/>
      <c r="G26" s="87"/>
      <c r="H26" s="88"/>
      <c r="I26" s="88"/>
    </row>
    <row r="27" spans="1:9" ht="15.75" customHeight="1">
      <c r="A27" s="156" t="s">
        <v>9422</v>
      </c>
      <c r="B27" s="157" t="s">
        <v>1191</v>
      </c>
      <c r="C27" s="156" t="s">
        <v>199</v>
      </c>
      <c r="D27" s="51"/>
      <c r="E27" s="86"/>
      <c r="F27" s="89"/>
      <c r="G27" s="87"/>
      <c r="H27" s="88"/>
      <c r="I27" s="88"/>
    </row>
    <row r="28" spans="1:9" ht="15.75" customHeight="1">
      <c r="A28" s="156" t="s">
        <v>9423</v>
      </c>
      <c r="B28" s="157" t="s">
        <v>1212</v>
      </c>
      <c r="C28" s="156" t="s">
        <v>199</v>
      </c>
      <c r="D28" s="51"/>
      <c r="E28" s="86"/>
      <c r="F28" s="86"/>
      <c r="G28" s="87"/>
      <c r="H28" s="88"/>
      <c r="I28" s="88"/>
    </row>
    <row r="29" spans="1:9" ht="15.75" customHeight="1">
      <c r="A29" s="156" t="s">
        <v>9424</v>
      </c>
      <c r="B29" s="157" t="s">
        <v>3377</v>
      </c>
      <c r="C29" s="156" t="s">
        <v>199</v>
      </c>
      <c r="D29" s="51"/>
      <c r="E29" s="86"/>
      <c r="F29" s="87"/>
      <c r="G29" s="87"/>
      <c r="H29" s="88"/>
      <c r="I29" s="88"/>
    </row>
    <row r="30" spans="1:9" ht="15.75" customHeight="1">
      <c r="A30" s="156" t="s">
        <v>9425</v>
      </c>
      <c r="B30" s="158" t="s">
        <v>4054</v>
      </c>
      <c r="C30" s="156" t="s">
        <v>199</v>
      </c>
      <c r="D30" s="51"/>
      <c r="E30" s="86"/>
      <c r="F30" s="87"/>
      <c r="G30" s="87"/>
      <c r="H30" s="88"/>
      <c r="I30" s="88"/>
    </row>
    <row r="31" spans="1:9" ht="15.75" customHeight="1">
      <c r="A31" s="156" t="s">
        <v>9426</v>
      </c>
      <c r="B31" s="157" t="s">
        <v>4055</v>
      </c>
      <c r="C31" s="156" t="s">
        <v>199</v>
      </c>
      <c r="D31" s="51"/>
      <c r="E31" s="86"/>
      <c r="F31" s="87"/>
      <c r="G31" s="87"/>
      <c r="H31" s="88"/>
      <c r="I31" s="88"/>
    </row>
    <row r="32" spans="1:9" ht="15.75" customHeight="1">
      <c r="A32" s="156" t="s">
        <v>9427</v>
      </c>
      <c r="B32" s="157" t="s">
        <v>9190</v>
      </c>
      <c r="C32" s="156" t="s">
        <v>199</v>
      </c>
      <c r="D32" s="51"/>
      <c r="E32" s="86"/>
      <c r="F32" s="87"/>
      <c r="G32" s="87"/>
      <c r="H32" s="88"/>
      <c r="I32" s="88"/>
    </row>
    <row r="33" spans="1:9" ht="15.75" customHeight="1">
      <c r="A33" s="156" t="s">
        <v>9428</v>
      </c>
      <c r="B33" s="157" t="s">
        <v>4057</v>
      </c>
      <c r="C33" s="156" t="s">
        <v>199</v>
      </c>
      <c r="D33" s="51"/>
      <c r="E33" s="86"/>
      <c r="F33" s="87"/>
      <c r="G33" s="87"/>
      <c r="H33" s="88"/>
      <c r="I33" s="88"/>
    </row>
    <row r="34" spans="1:9" ht="15.75" customHeight="1">
      <c r="A34" s="156" t="s">
        <v>9429</v>
      </c>
      <c r="B34" s="157" t="s">
        <v>4058</v>
      </c>
      <c r="C34" s="156" t="s">
        <v>199</v>
      </c>
      <c r="D34" s="51"/>
      <c r="E34" s="86"/>
      <c r="F34" s="87"/>
      <c r="G34" s="87"/>
      <c r="H34" s="88"/>
      <c r="I34" s="88"/>
    </row>
    <row r="35" spans="1:9" ht="15.75" customHeight="1">
      <c r="A35" s="156" t="s">
        <v>9430</v>
      </c>
      <c r="B35" s="157" t="s">
        <v>5040</v>
      </c>
      <c r="C35" s="156" t="s">
        <v>199</v>
      </c>
      <c r="D35" s="51"/>
      <c r="E35" s="86"/>
      <c r="F35" s="86"/>
      <c r="G35" s="87"/>
      <c r="H35" s="88"/>
      <c r="I35" s="88"/>
    </row>
    <row r="36" spans="1:9" ht="15.75" customHeight="1">
      <c r="A36" s="156" t="s">
        <v>9431</v>
      </c>
      <c r="B36" s="157" t="s">
        <v>5041</v>
      </c>
      <c r="C36" s="156" t="s">
        <v>199</v>
      </c>
      <c r="D36" s="51"/>
      <c r="E36" s="86"/>
      <c r="F36" s="87"/>
      <c r="G36" s="87"/>
      <c r="H36" s="88"/>
      <c r="I36" s="88"/>
    </row>
    <row r="37" spans="1:9" ht="15.75" customHeight="1">
      <c r="A37" s="156" t="s">
        <v>9432</v>
      </c>
      <c r="B37" s="158" t="s">
        <v>9433</v>
      </c>
      <c r="C37" s="156" t="s">
        <v>199</v>
      </c>
      <c r="D37" s="51"/>
      <c r="E37" s="89"/>
      <c r="F37" s="87"/>
      <c r="G37" s="87"/>
      <c r="H37" s="88"/>
      <c r="I37" s="88"/>
    </row>
    <row r="38" spans="1:9" ht="15.75" customHeight="1">
      <c r="A38" s="156" t="s">
        <v>9434</v>
      </c>
      <c r="B38" s="157" t="s">
        <v>9435</v>
      </c>
      <c r="C38" s="156" t="s">
        <v>199</v>
      </c>
      <c r="D38" s="51"/>
      <c r="E38" s="86"/>
      <c r="F38" s="87"/>
      <c r="G38" s="87"/>
      <c r="H38" s="88"/>
      <c r="I38" s="88"/>
    </row>
    <row r="39" spans="1:9" ht="15.75" customHeight="1">
      <c r="A39" s="156" t="s">
        <v>9436</v>
      </c>
      <c r="B39" s="158" t="s">
        <v>9177</v>
      </c>
      <c r="C39" s="156" t="s">
        <v>208</v>
      </c>
      <c r="D39" s="51"/>
      <c r="E39" s="86"/>
      <c r="F39" s="86"/>
      <c r="G39" s="87"/>
      <c r="H39" s="88"/>
      <c r="I39" s="88"/>
    </row>
    <row r="40" spans="1:9" ht="15.75" customHeight="1">
      <c r="A40" s="156" t="s">
        <v>9437</v>
      </c>
      <c r="B40" s="158" t="s">
        <v>8664</v>
      </c>
      <c r="C40" s="156" t="s">
        <v>208</v>
      </c>
      <c r="D40" s="51"/>
      <c r="E40" s="86"/>
      <c r="F40" s="87"/>
      <c r="G40" s="87"/>
      <c r="H40" s="88"/>
      <c r="I40" s="88"/>
    </row>
    <row r="41" spans="1:9" ht="15.75" customHeight="1">
      <c r="A41" s="156" t="s">
        <v>9438</v>
      </c>
      <c r="B41" s="157" t="s">
        <v>237</v>
      </c>
      <c r="C41" s="156" t="s">
        <v>208</v>
      </c>
      <c r="D41" s="51"/>
      <c r="E41" s="86"/>
      <c r="F41" s="86"/>
      <c r="G41" s="87"/>
      <c r="H41" s="88"/>
      <c r="I41" s="88"/>
    </row>
    <row r="42" spans="1:9" ht="15.75" customHeight="1">
      <c r="A42" s="156" t="s">
        <v>9439</v>
      </c>
      <c r="B42" s="157" t="s">
        <v>1873</v>
      </c>
      <c r="C42" s="156" t="s">
        <v>208</v>
      </c>
      <c r="D42" s="51"/>
      <c r="E42" s="86"/>
      <c r="F42" s="87"/>
      <c r="G42" s="87"/>
      <c r="H42" s="88"/>
      <c r="I42" s="88"/>
    </row>
    <row r="43" spans="1:9" ht="15.75" customHeight="1">
      <c r="A43" s="156" t="s">
        <v>9440</v>
      </c>
      <c r="B43" s="157" t="s">
        <v>1806</v>
      </c>
      <c r="C43" s="156" t="s">
        <v>208</v>
      </c>
      <c r="D43" s="51"/>
      <c r="E43" s="86"/>
      <c r="F43" s="86"/>
      <c r="G43" s="87"/>
      <c r="H43" s="88"/>
      <c r="I43" s="88"/>
    </row>
    <row r="44" spans="1:9" ht="15.75" customHeight="1">
      <c r="A44" s="156" t="s">
        <v>9441</v>
      </c>
      <c r="B44" s="157" t="s">
        <v>1824</v>
      </c>
      <c r="C44" s="156" t="s">
        <v>208</v>
      </c>
      <c r="D44" s="51"/>
      <c r="E44" s="86"/>
      <c r="F44" s="86"/>
      <c r="G44" s="87"/>
      <c r="H44" s="88"/>
      <c r="I44" s="88"/>
    </row>
    <row r="45" spans="1:9" ht="15.75" customHeight="1">
      <c r="A45" s="156" t="s">
        <v>9442</v>
      </c>
      <c r="B45" s="157" t="s">
        <v>4124</v>
      </c>
      <c r="C45" s="156" t="s">
        <v>208</v>
      </c>
      <c r="D45" s="51"/>
      <c r="E45" s="86"/>
      <c r="F45" s="87"/>
      <c r="G45" s="87"/>
      <c r="H45" s="88"/>
      <c r="I45" s="88"/>
    </row>
    <row r="46" spans="1:9" ht="15.75" customHeight="1">
      <c r="A46" s="156" t="s">
        <v>9443</v>
      </c>
      <c r="B46" s="157" t="s">
        <v>4125</v>
      </c>
      <c r="C46" s="156" t="s">
        <v>208</v>
      </c>
      <c r="D46" s="51"/>
      <c r="E46" s="86"/>
      <c r="F46" s="86"/>
      <c r="G46" s="87"/>
      <c r="H46" s="88"/>
      <c r="I46" s="88"/>
    </row>
    <row r="47" spans="1:9" ht="15.75" customHeight="1">
      <c r="A47" s="156" t="s">
        <v>9444</v>
      </c>
      <c r="B47" s="158" t="s">
        <v>9188</v>
      </c>
      <c r="C47" s="156" t="s">
        <v>208</v>
      </c>
      <c r="D47" s="51"/>
      <c r="E47" s="89"/>
      <c r="F47" s="87"/>
      <c r="G47" s="87"/>
      <c r="H47" s="88"/>
      <c r="I47" s="88"/>
    </row>
    <row r="48" spans="1:9" ht="15.75" customHeight="1">
      <c r="A48" s="156" t="s">
        <v>9445</v>
      </c>
      <c r="B48" s="157" t="s">
        <v>9190</v>
      </c>
      <c r="C48" s="156" t="s">
        <v>208</v>
      </c>
      <c r="D48" s="51"/>
      <c r="E48" s="86"/>
      <c r="F48" s="86"/>
      <c r="G48" s="87"/>
      <c r="H48" s="88"/>
      <c r="I48" s="88"/>
    </row>
    <row r="49" spans="1:9" ht="15.75" customHeight="1">
      <c r="A49" s="156" t="s">
        <v>9446</v>
      </c>
      <c r="B49" s="157" t="s">
        <v>4064</v>
      </c>
      <c r="C49" s="156" t="s">
        <v>208</v>
      </c>
      <c r="D49" s="51"/>
      <c r="E49" s="86"/>
      <c r="F49" s="87"/>
      <c r="G49" s="87"/>
      <c r="H49" s="88"/>
      <c r="I49" s="88"/>
    </row>
    <row r="50" spans="1:9" ht="15.75" customHeight="1">
      <c r="A50" s="156" t="s">
        <v>9447</v>
      </c>
      <c r="B50" s="157" t="s">
        <v>4065</v>
      </c>
      <c r="C50" s="156" t="s">
        <v>208</v>
      </c>
      <c r="D50" s="51"/>
      <c r="E50" s="86"/>
      <c r="F50" s="87"/>
      <c r="G50" s="87"/>
      <c r="H50" s="88"/>
      <c r="I50" s="88"/>
    </row>
    <row r="51" spans="1:9" ht="15.75" customHeight="1">
      <c r="A51" s="156" t="s">
        <v>9448</v>
      </c>
      <c r="B51" s="157" t="s">
        <v>4066</v>
      </c>
      <c r="C51" s="156" t="s">
        <v>208</v>
      </c>
      <c r="D51" s="51"/>
      <c r="E51" s="89"/>
      <c r="F51" s="87"/>
      <c r="G51" s="87"/>
      <c r="H51" s="88"/>
      <c r="I51" s="88"/>
    </row>
    <row r="52" spans="1:9" ht="15.75" customHeight="1">
      <c r="A52" s="156" t="s">
        <v>9449</v>
      </c>
      <c r="B52" s="157" t="s">
        <v>4127</v>
      </c>
      <c r="C52" s="156" t="s">
        <v>208</v>
      </c>
      <c r="D52" s="51"/>
      <c r="E52" s="86"/>
      <c r="F52" s="87"/>
      <c r="G52" s="87"/>
      <c r="H52" s="88"/>
      <c r="I52" s="88"/>
    </row>
    <row r="53" spans="1:9" ht="13">
      <c r="A53" s="156" t="s">
        <v>9450</v>
      </c>
      <c r="B53" s="158" t="s">
        <v>4128</v>
      </c>
      <c r="C53" s="156" t="s">
        <v>208</v>
      </c>
      <c r="D53" s="51"/>
      <c r="E53" s="87"/>
      <c r="F53" s="87"/>
      <c r="G53" s="87"/>
      <c r="H53" s="88"/>
      <c r="I53" s="88"/>
    </row>
    <row r="54" spans="1:9" ht="13">
      <c r="A54" s="156" t="s">
        <v>9451</v>
      </c>
      <c r="B54" s="158" t="s">
        <v>6477</v>
      </c>
      <c r="C54" s="156" t="s">
        <v>208</v>
      </c>
      <c r="D54" s="51"/>
      <c r="E54" s="86"/>
      <c r="F54" s="87"/>
      <c r="G54" s="87"/>
      <c r="H54" s="88"/>
      <c r="I54" s="88"/>
    </row>
    <row r="55" spans="1:9" ht="13">
      <c r="A55" s="156" t="s">
        <v>9452</v>
      </c>
      <c r="B55" s="157" t="s">
        <v>6485</v>
      </c>
      <c r="C55" s="156" t="s">
        <v>208</v>
      </c>
      <c r="D55" s="51"/>
      <c r="E55" s="86"/>
      <c r="F55" s="87"/>
      <c r="G55" s="87"/>
      <c r="H55" s="88"/>
      <c r="I55" s="88"/>
    </row>
    <row r="56" spans="1:9" ht="13">
      <c r="A56" s="156" t="s">
        <v>9453</v>
      </c>
      <c r="B56" s="157" t="s">
        <v>6486</v>
      </c>
      <c r="C56" s="156" t="s">
        <v>208</v>
      </c>
      <c r="D56" s="51"/>
      <c r="E56" s="86"/>
      <c r="F56" s="86"/>
      <c r="G56" s="87"/>
      <c r="H56" s="88"/>
      <c r="I56" s="88"/>
    </row>
    <row r="57" spans="1:9" ht="13">
      <c r="A57" s="156" t="s">
        <v>9454</v>
      </c>
      <c r="B57" s="157" t="s">
        <v>9455</v>
      </c>
      <c r="C57" s="156" t="s">
        <v>208</v>
      </c>
      <c r="D57" s="51"/>
      <c r="E57" s="86"/>
      <c r="F57" s="86"/>
      <c r="G57" s="87"/>
      <c r="H57" s="88"/>
      <c r="I57" s="88"/>
    </row>
    <row r="58" spans="1:9" ht="13">
      <c r="A58" s="156" t="s">
        <v>9456</v>
      </c>
      <c r="B58" s="157" t="s">
        <v>9457</v>
      </c>
      <c r="C58" s="156" t="s">
        <v>208</v>
      </c>
      <c r="D58" s="51"/>
      <c r="E58" s="86"/>
      <c r="F58" s="86"/>
      <c r="G58" s="87"/>
      <c r="H58" s="88"/>
      <c r="I58" s="88"/>
    </row>
    <row r="59" spans="1:9" ht="13">
      <c r="A59" s="156" t="s">
        <v>9458</v>
      </c>
      <c r="B59" s="158" t="s">
        <v>878</v>
      </c>
      <c r="C59" s="156" t="s">
        <v>192</v>
      </c>
      <c r="D59" s="51"/>
      <c r="E59" s="86"/>
      <c r="F59" s="87"/>
      <c r="G59" s="87"/>
      <c r="H59" s="88"/>
      <c r="I59" s="88"/>
    </row>
    <row r="60" spans="1:9" ht="13">
      <c r="A60" s="156" t="s">
        <v>9459</v>
      </c>
      <c r="B60" s="157" t="s">
        <v>824</v>
      </c>
      <c r="C60" s="156" t="s">
        <v>192</v>
      </c>
      <c r="D60" s="51"/>
      <c r="E60" s="86"/>
      <c r="F60" s="87"/>
      <c r="G60" s="87"/>
      <c r="H60" s="88"/>
      <c r="I60" s="88"/>
    </row>
    <row r="61" spans="1:9" ht="13">
      <c r="A61" s="156" t="s">
        <v>9460</v>
      </c>
      <c r="B61" s="157" t="s">
        <v>766</v>
      </c>
      <c r="C61" s="156" t="s">
        <v>192</v>
      </c>
      <c r="D61" s="51"/>
      <c r="E61" s="86"/>
      <c r="F61" s="87"/>
      <c r="G61" s="87"/>
      <c r="H61" s="88"/>
      <c r="I61" s="88"/>
    </row>
    <row r="62" spans="1:9" ht="13">
      <c r="A62" s="156" t="s">
        <v>9461</v>
      </c>
      <c r="B62" s="157" t="s">
        <v>1257</v>
      </c>
      <c r="C62" s="156" t="s">
        <v>192</v>
      </c>
      <c r="D62" s="51"/>
      <c r="E62" s="89"/>
      <c r="F62" s="86"/>
      <c r="G62" s="87"/>
      <c r="H62" s="88"/>
      <c r="I62" s="88"/>
    </row>
    <row r="63" spans="1:9" ht="13">
      <c r="A63" s="156" t="s">
        <v>9462</v>
      </c>
      <c r="B63" s="157" t="s">
        <v>1224</v>
      </c>
      <c r="C63" s="156" t="s">
        <v>192</v>
      </c>
      <c r="D63" s="51"/>
      <c r="E63" s="86"/>
      <c r="F63" s="87"/>
      <c r="G63" s="87"/>
      <c r="H63" s="88"/>
      <c r="I63" s="88"/>
    </row>
    <row r="64" spans="1:9" ht="13">
      <c r="A64" s="156" t="s">
        <v>9463</v>
      </c>
      <c r="B64" s="157" t="s">
        <v>9464</v>
      </c>
      <c r="C64" s="156" t="s">
        <v>192</v>
      </c>
      <c r="D64" s="51"/>
      <c r="E64" s="86"/>
      <c r="F64" s="87"/>
      <c r="G64" s="87"/>
      <c r="H64" s="88"/>
      <c r="I64" s="88"/>
    </row>
    <row r="65" spans="1:9" ht="13">
      <c r="A65" s="156" t="s">
        <v>9465</v>
      </c>
      <c r="B65" s="157" t="s">
        <v>6220</v>
      </c>
      <c r="C65" s="156" t="s">
        <v>192</v>
      </c>
      <c r="D65" s="51"/>
      <c r="E65" s="86"/>
      <c r="F65" s="86"/>
      <c r="G65" s="87"/>
      <c r="H65" s="88"/>
      <c r="I65" s="88"/>
    </row>
    <row r="66" spans="1:9" ht="13">
      <c r="A66" s="156" t="s">
        <v>9466</v>
      </c>
      <c r="B66" s="157" t="s">
        <v>9212</v>
      </c>
      <c r="C66" s="156" t="s">
        <v>192</v>
      </c>
      <c r="D66" s="51"/>
      <c r="E66" s="86"/>
      <c r="F66" s="86"/>
      <c r="G66" s="87"/>
      <c r="H66" s="88"/>
      <c r="I66" s="88"/>
    </row>
    <row r="67" spans="1:9" ht="13">
      <c r="A67" s="156" t="s">
        <v>9467</v>
      </c>
      <c r="B67" s="157" t="s">
        <v>9214</v>
      </c>
      <c r="C67" s="156" t="s">
        <v>192</v>
      </c>
      <c r="D67" s="51"/>
      <c r="E67" s="86"/>
      <c r="F67" s="87"/>
      <c r="G67" s="87"/>
      <c r="H67" s="88"/>
      <c r="I67" s="88"/>
    </row>
    <row r="68" spans="1:9" ht="13">
      <c r="A68" s="156" t="s">
        <v>9468</v>
      </c>
      <c r="B68" s="157" t="s">
        <v>8966</v>
      </c>
      <c r="C68" s="156" t="s">
        <v>192</v>
      </c>
      <c r="D68" s="51"/>
      <c r="E68" s="86"/>
      <c r="F68" s="86"/>
      <c r="G68" s="87"/>
      <c r="H68" s="88"/>
      <c r="I68" s="88"/>
    </row>
    <row r="69" spans="1:9" ht="13">
      <c r="A69" s="156" t="s">
        <v>9469</v>
      </c>
      <c r="B69" s="157" t="s">
        <v>9470</v>
      </c>
      <c r="C69" s="156" t="s">
        <v>192</v>
      </c>
      <c r="D69" s="51"/>
      <c r="E69" s="86"/>
      <c r="F69" s="87"/>
      <c r="G69" s="87"/>
      <c r="H69" s="88"/>
      <c r="I69" s="88"/>
    </row>
    <row r="70" spans="1:9" ht="13">
      <c r="A70" s="156" t="s">
        <v>9471</v>
      </c>
      <c r="B70" s="157" t="s">
        <v>8599</v>
      </c>
      <c r="C70" s="156" t="s">
        <v>192</v>
      </c>
      <c r="D70" s="51"/>
      <c r="E70" s="86"/>
      <c r="F70" s="86"/>
      <c r="G70" s="87"/>
      <c r="H70" s="88"/>
      <c r="I70" s="88"/>
    </row>
    <row r="71" spans="1:9" ht="13">
      <c r="A71" s="156" t="s">
        <v>9472</v>
      </c>
      <c r="B71" s="158" t="s">
        <v>200</v>
      </c>
      <c r="C71" s="156" t="s">
        <v>195</v>
      </c>
      <c r="D71" s="51"/>
      <c r="E71" s="86"/>
      <c r="F71" s="86"/>
      <c r="G71" s="87"/>
      <c r="H71" s="88"/>
      <c r="I71" s="88"/>
    </row>
    <row r="72" spans="1:9" ht="13">
      <c r="A72" s="156" t="s">
        <v>9473</v>
      </c>
      <c r="B72" s="157" t="s">
        <v>330</v>
      </c>
      <c r="C72" s="156" t="s">
        <v>195</v>
      </c>
      <c r="D72" s="51"/>
      <c r="E72" s="86"/>
      <c r="F72" s="87"/>
      <c r="G72" s="87"/>
      <c r="H72" s="88"/>
      <c r="I72" s="88"/>
    </row>
    <row r="73" spans="1:9" ht="13">
      <c r="A73" s="156" t="s">
        <v>9474</v>
      </c>
      <c r="B73" s="157" t="s">
        <v>9475</v>
      </c>
      <c r="C73" s="156" t="s">
        <v>195</v>
      </c>
      <c r="D73" s="51"/>
      <c r="E73" s="86"/>
      <c r="F73" s="87"/>
      <c r="G73" s="87"/>
      <c r="H73" s="88"/>
      <c r="I73" s="88"/>
    </row>
    <row r="74" spans="1:9" ht="13">
      <c r="A74" s="156" t="s">
        <v>9476</v>
      </c>
      <c r="B74" s="158" t="s">
        <v>891</v>
      </c>
      <c r="C74" s="156" t="s">
        <v>195</v>
      </c>
      <c r="D74" s="51"/>
      <c r="E74" s="86"/>
      <c r="F74" s="87"/>
      <c r="G74" s="87"/>
      <c r="H74" s="88"/>
      <c r="I74" s="88"/>
    </row>
    <row r="75" spans="1:9" ht="13">
      <c r="A75" s="156" t="s">
        <v>9477</v>
      </c>
      <c r="B75" s="158" t="s">
        <v>829</v>
      </c>
      <c r="C75" s="156" t="s">
        <v>195</v>
      </c>
      <c r="D75" s="51"/>
      <c r="E75" s="86"/>
      <c r="F75" s="87"/>
      <c r="G75" s="87"/>
      <c r="H75" s="88"/>
      <c r="I75" s="88"/>
    </row>
    <row r="76" spans="1:9" ht="13">
      <c r="A76" s="156" t="s">
        <v>9478</v>
      </c>
      <c r="B76" s="158" t="s">
        <v>1366</v>
      </c>
      <c r="C76" s="156" t="s">
        <v>195</v>
      </c>
      <c r="D76" s="51"/>
      <c r="E76" s="86"/>
      <c r="F76" s="87"/>
      <c r="G76" s="87"/>
      <c r="H76" s="88"/>
      <c r="I76" s="88"/>
    </row>
    <row r="77" spans="1:9" ht="13">
      <c r="A77" s="156" t="s">
        <v>9479</v>
      </c>
      <c r="B77" s="157" t="s">
        <v>4247</v>
      </c>
      <c r="C77" s="156" t="s">
        <v>195</v>
      </c>
      <c r="D77" s="51"/>
      <c r="E77" s="86"/>
      <c r="F77" s="87"/>
      <c r="G77" s="87"/>
      <c r="H77" s="88"/>
      <c r="I77" s="88"/>
    </row>
    <row r="78" spans="1:9" ht="13">
      <c r="A78" s="156" t="s">
        <v>9480</v>
      </c>
      <c r="B78" s="157" t="s">
        <v>4249</v>
      </c>
      <c r="C78" s="156" t="s">
        <v>195</v>
      </c>
      <c r="D78" s="51"/>
      <c r="E78" s="86"/>
      <c r="F78" s="87"/>
      <c r="G78" s="87"/>
      <c r="H78" s="88"/>
      <c r="I78" s="88"/>
    </row>
    <row r="79" spans="1:9" ht="13">
      <c r="A79" s="156" t="s">
        <v>9481</v>
      </c>
      <c r="B79" s="157" t="s">
        <v>4251</v>
      </c>
      <c r="C79" s="156" t="s">
        <v>195</v>
      </c>
      <c r="D79" s="51"/>
      <c r="E79" s="86"/>
      <c r="F79" s="86"/>
      <c r="G79" s="87"/>
      <c r="H79" s="88"/>
      <c r="I79" s="88"/>
    </row>
    <row r="80" spans="1:9" ht="13">
      <c r="A80" s="156" t="s">
        <v>9482</v>
      </c>
      <c r="B80" s="157" t="s">
        <v>4097</v>
      </c>
      <c r="C80" s="156" t="s">
        <v>195</v>
      </c>
      <c r="D80" s="51"/>
      <c r="E80" s="86"/>
      <c r="F80" s="86"/>
      <c r="G80" s="87"/>
      <c r="H80" s="88"/>
      <c r="I80" s="88"/>
    </row>
    <row r="81" spans="1:9" ht="13">
      <c r="A81" s="156" t="s">
        <v>9483</v>
      </c>
      <c r="B81" s="157" t="s">
        <v>4098</v>
      </c>
      <c r="C81" s="156" t="s">
        <v>195</v>
      </c>
      <c r="D81" s="51"/>
      <c r="E81" s="86"/>
      <c r="F81" s="87"/>
      <c r="G81" s="87"/>
      <c r="H81" s="88"/>
      <c r="I81" s="88"/>
    </row>
    <row r="82" spans="1:9" ht="13">
      <c r="A82" s="156" t="s">
        <v>9484</v>
      </c>
      <c r="B82" s="157" t="s">
        <v>5120</v>
      </c>
      <c r="C82" s="156" t="s">
        <v>195</v>
      </c>
      <c r="D82" s="51"/>
      <c r="E82" s="86"/>
      <c r="F82" s="87"/>
      <c r="G82" s="87"/>
      <c r="H82" s="88"/>
      <c r="I82" s="88"/>
    </row>
    <row r="83" spans="1:9" ht="13">
      <c r="A83" s="156" t="s">
        <v>9485</v>
      </c>
      <c r="B83" s="157" t="s">
        <v>6468</v>
      </c>
      <c r="C83" s="156" t="s">
        <v>195</v>
      </c>
      <c r="D83" s="51"/>
      <c r="E83" s="86"/>
      <c r="F83" s="86"/>
      <c r="G83" s="87"/>
      <c r="H83" s="88"/>
      <c r="I83" s="88"/>
    </row>
    <row r="84" spans="1:9" ht="13">
      <c r="A84" s="156" t="s">
        <v>9486</v>
      </c>
      <c r="B84" s="157" t="s">
        <v>6469</v>
      </c>
      <c r="C84" s="156" t="s">
        <v>195</v>
      </c>
      <c r="D84" s="51"/>
      <c r="E84" s="86"/>
      <c r="F84" s="87"/>
      <c r="G84" s="87"/>
      <c r="H84" s="88"/>
      <c r="I84" s="88"/>
    </row>
    <row r="85" spans="1:9" ht="13">
      <c r="A85" s="156" t="s">
        <v>9487</v>
      </c>
      <c r="B85" s="157" t="s">
        <v>6218</v>
      </c>
      <c r="C85" s="156" t="s">
        <v>195</v>
      </c>
      <c r="D85" s="51"/>
      <c r="E85" s="86"/>
      <c r="F85" s="87"/>
      <c r="G85" s="87"/>
      <c r="H85" s="88"/>
      <c r="I85" s="88"/>
    </row>
    <row r="86" spans="1:9" ht="13">
      <c r="A86" s="156" t="s">
        <v>9488</v>
      </c>
      <c r="B86" s="157" t="s">
        <v>8980</v>
      </c>
      <c r="C86" s="156" t="s">
        <v>195</v>
      </c>
      <c r="D86" s="51"/>
      <c r="E86" s="86"/>
      <c r="F86" s="87"/>
      <c r="G86" s="87"/>
      <c r="H86" s="88"/>
      <c r="I86" s="88"/>
    </row>
    <row r="87" spans="1:9" ht="13">
      <c r="A87" s="156" t="s">
        <v>9489</v>
      </c>
      <c r="B87" s="157" t="s">
        <v>8667</v>
      </c>
      <c r="C87" s="156" t="s">
        <v>195</v>
      </c>
      <c r="D87" s="51"/>
      <c r="E87" s="86"/>
      <c r="F87" s="89"/>
      <c r="G87" s="87"/>
      <c r="H87" s="88"/>
      <c r="I87" s="88"/>
    </row>
    <row r="88" spans="1:9" ht="13">
      <c r="A88" s="156" t="s">
        <v>9490</v>
      </c>
      <c r="B88" s="157" t="s">
        <v>279</v>
      </c>
      <c r="C88" s="156" t="s">
        <v>225</v>
      </c>
      <c r="D88" s="51"/>
      <c r="E88" s="86"/>
      <c r="F88" s="87"/>
      <c r="G88" s="87"/>
      <c r="H88" s="88"/>
      <c r="I88" s="88"/>
    </row>
    <row r="89" spans="1:9" ht="13">
      <c r="A89" s="156" t="s">
        <v>9491</v>
      </c>
      <c r="B89" s="157" t="s">
        <v>255</v>
      </c>
      <c r="C89" s="156" t="s">
        <v>225</v>
      </c>
      <c r="D89" s="51"/>
      <c r="E89" s="86"/>
      <c r="F89" s="86"/>
      <c r="G89" s="87"/>
      <c r="H89" s="88"/>
      <c r="I89" s="88"/>
    </row>
    <row r="90" spans="1:9" ht="13">
      <c r="A90" s="156" t="s">
        <v>9492</v>
      </c>
      <c r="B90" s="157" t="s">
        <v>955</v>
      </c>
      <c r="C90" s="156" t="s">
        <v>225</v>
      </c>
      <c r="D90" s="51"/>
      <c r="E90" s="86"/>
      <c r="F90" s="87"/>
      <c r="G90" s="87"/>
      <c r="H90" s="88"/>
      <c r="I90" s="88"/>
    </row>
    <row r="91" spans="1:9" ht="13">
      <c r="A91" s="156" t="s">
        <v>9493</v>
      </c>
      <c r="B91" s="157" t="s">
        <v>948</v>
      </c>
      <c r="C91" s="156" t="s">
        <v>225</v>
      </c>
      <c r="D91" s="51"/>
      <c r="E91" s="86"/>
      <c r="F91" s="87"/>
      <c r="G91" s="87"/>
      <c r="H91" s="88"/>
      <c r="I91" s="88"/>
    </row>
    <row r="92" spans="1:9" ht="13">
      <c r="A92" s="156" t="s">
        <v>9494</v>
      </c>
      <c r="B92" s="157" t="s">
        <v>941</v>
      </c>
      <c r="C92" s="156" t="s">
        <v>225</v>
      </c>
      <c r="D92" s="51"/>
      <c r="E92" s="86"/>
      <c r="F92" s="86"/>
      <c r="G92" s="87"/>
      <c r="H92" s="88"/>
      <c r="I92" s="88"/>
    </row>
    <row r="93" spans="1:9" ht="13">
      <c r="A93" s="156" t="s">
        <v>9495</v>
      </c>
      <c r="B93" s="157" t="s">
        <v>1461</v>
      </c>
      <c r="C93" s="156" t="s">
        <v>225</v>
      </c>
      <c r="D93" s="51"/>
      <c r="E93" s="86"/>
      <c r="F93" s="87"/>
      <c r="G93" s="87"/>
      <c r="H93" s="88"/>
      <c r="I93" s="88"/>
    </row>
    <row r="94" spans="1:9" ht="13">
      <c r="A94" s="156" t="s">
        <v>9496</v>
      </c>
      <c r="B94" s="157" t="s">
        <v>1524</v>
      </c>
      <c r="C94" s="156" t="s">
        <v>225</v>
      </c>
      <c r="D94" s="51"/>
      <c r="E94" s="86"/>
      <c r="F94" s="87"/>
      <c r="G94" s="87"/>
      <c r="H94" s="88"/>
      <c r="I94" s="88"/>
    </row>
    <row r="95" spans="1:9" ht="13">
      <c r="A95" s="156" t="s">
        <v>9497</v>
      </c>
      <c r="B95" s="157" t="s">
        <v>1200</v>
      </c>
      <c r="C95" s="156" t="s">
        <v>225</v>
      </c>
      <c r="D95" s="51"/>
      <c r="E95" s="86"/>
      <c r="F95" s="86"/>
      <c r="G95" s="87"/>
      <c r="H95" s="88"/>
      <c r="I95" s="88"/>
    </row>
    <row r="96" spans="1:9" ht="13">
      <c r="A96" s="156" t="s">
        <v>9498</v>
      </c>
      <c r="B96" s="158" t="s">
        <v>1376</v>
      </c>
      <c r="C96" s="156" t="s">
        <v>225</v>
      </c>
      <c r="D96" s="51"/>
      <c r="E96" s="86"/>
      <c r="F96" s="87"/>
      <c r="G96" s="87"/>
      <c r="H96" s="88"/>
      <c r="I96" s="88"/>
    </row>
    <row r="97" spans="1:9" ht="13">
      <c r="A97" s="156" t="s">
        <v>9499</v>
      </c>
      <c r="B97" s="158" t="s">
        <v>3136</v>
      </c>
      <c r="C97" s="156" t="s">
        <v>225</v>
      </c>
      <c r="D97" s="51"/>
      <c r="E97" s="86"/>
      <c r="F97" s="87"/>
      <c r="G97" s="87"/>
      <c r="H97" s="88"/>
      <c r="I97" s="88"/>
    </row>
    <row r="98" spans="1:9" ht="13">
      <c r="A98" s="156" t="s">
        <v>9500</v>
      </c>
      <c r="B98" s="157" t="s">
        <v>3126</v>
      </c>
      <c r="C98" s="156" t="s">
        <v>225</v>
      </c>
      <c r="D98" s="51"/>
      <c r="E98" s="86"/>
      <c r="F98" s="87"/>
      <c r="G98" s="87"/>
      <c r="H98" s="88"/>
      <c r="I98" s="88"/>
    </row>
    <row r="99" spans="1:9" ht="13">
      <c r="A99" s="156" t="s">
        <v>9501</v>
      </c>
      <c r="B99" s="157" t="s">
        <v>9502</v>
      </c>
      <c r="C99" s="156" t="s">
        <v>225</v>
      </c>
      <c r="D99" s="51"/>
      <c r="E99" s="86"/>
      <c r="F99" s="86"/>
      <c r="G99" s="87"/>
      <c r="H99" s="88"/>
      <c r="I99" s="88"/>
    </row>
    <row r="100" spans="1:9" ht="13">
      <c r="A100" s="156" t="s">
        <v>9503</v>
      </c>
      <c r="B100" s="157" t="s">
        <v>5049</v>
      </c>
      <c r="C100" s="156" t="s">
        <v>225</v>
      </c>
      <c r="D100" s="51"/>
      <c r="E100" s="86"/>
      <c r="F100" s="87"/>
      <c r="G100" s="87"/>
      <c r="H100" s="88"/>
      <c r="I100" s="88"/>
    </row>
    <row r="101" spans="1:9" ht="13">
      <c r="A101" s="156" t="s">
        <v>9504</v>
      </c>
      <c r="B101" s="157" t="s">
        <v>6490</v>
      </c>
      <c r="C101" s="156" t="s">
        <v>225</v>
      </c>
      <c r="D101" s="51"/>
      <c r="E101" s="86"/>
      <c r="F101" s="87"/>
      <c r="G101" s="87"/>
      <c r="H101" s="88"/>
      <c r="I101" s="88"/>
    </row>
    <row r="102" spans="1:9" ht="13">
      <c r="A102" s="156" t="s">
        <v>9505</v>
      </c>
      <c r="B102" s="157" t="s">
        <v>9506</v>
      </c>
      <c r="C102" s="156" t="s">
        <v>225</v>
      </c>
      <c r="D102" s="51"/>
      <c r="E102" s="87"/>
      <c r="F102" s="86"/>
      <c r="G102" s="87"/>
      <c r="H102" s="88"/>
      <c r="I102" s="88"/>
    </row>
    <row r="103" spans="1:9" ht="13">
      <c r="A103" s="156" t="s">
        <v>9507</v>
      </c>
      <c r="B103" s="157" t="s">
        <v>9508</v>
      </c>
      <c r="C103" s="156" t="s">
        <v>808</v>
      </c>
      <c r="D103" s="51"/>
      <c r="E103" s="86"/>
      <c r="F103" s="87"/>
      <c r="G103" s="87"/>
      <c r="H103" s="88"/>
      <c r="I103" s="88"/>
    </row>
    <row r="104" spans="1:9" ht="13">
      <c r="A104" s="156" t="s">
        <v>9509</v>
      </c>
      <c r="B104" s="157" t="s">
        <v>381</v>
      </c>
      <c r="C104" s="156" t="s">
        <v>808</v>
      </c>
      <c r="D104" s="51"/>
      <c r="E104" s="86"/>
      <c r="F104" s="87"/>
      <c r="G104" s="87"/>
      <c r="H104" s="88"/>
      <c r="I104" s="88"/>
    </row>
    <row r="105" spans="1:9" ht="13">
      <c r="A105" s="156" t="s">
        <v>9510</v>
      </c>
      <c r="B105" s="157" t="s">
        <v>365</v>
      </c>
      <c r="C105" s="156" t="s">
        <v>808</v>
      </c>
      <c r="D105" s="51"/>
      <c r="E105" s="86"/>
      <c r="F105" s="87"/>
      <c r="G105" s="87"/>
      <c r="H105" s="88"/>
      <c r="I105" s="88"/>
    </row>
    <row r="106" spans="1:9" ht="13">
      <c r="A106" s="156" t="s">
        <v>9511</v>
      </c>
      <c r="B106" s="157" t="s">
        <v>893</v>
      </c>
      <c r="C106" s="156" t="s">
        <v>808</v>
      </c>
      <c r="D106" s="51"/>
      <c r="E106" s="86"/>
      <c r="F106" s="87"/>
      <c r="G106" s="87"/>
      <c r="H106" s="88"/>
      <c r="I106" s="88"/>
    </row>
    <row r="107" spans="1:9" ht="13">
      <c r="A107" s="156" t="s">
        <v>9512</v>
      </c>
      <c r="B107" s="157" t="s">
        <v>814</v>
      </c>
      <c r="C107" s="156" t="s">
        <v>808</v>
      </c>
      <c r="D107" s="51"/>
      <c r="E107" s="86"/>
      <c r="F107" s="87"/>
      <c r="G107" s="87"/>
      <c r="H107" s="88"/>
      <c r="I107" s="88"/>
    </row>
    <row r="108" spans="1:9" ht="13">
      <c r="A108" s="156" t="s">
        <v>9513</v>
      </c>
      <c r="B108" s="157" t="s">
        <v>8693</v>
      </c>
      <c r="C108" s="156" t="s">
        <v>808</v>
      </c>
      <c r="D108" s="51"/>
      <c r="E108" s="86"/>
      <c r="F108" s="87"/>
      <c r="G108" s="87"/>
      <c r="H108" s="88"/>
      <c r="I108" s="88"/>
    </row>
    <row r="109" spans="1:9" ht="13">
      <c r="A109" s="156" t="s">
        <v>9514</v>
      </c>
      <c r="B109" s="157" t="s">
        <v>3059</v>
      </c>
      <c r="C109" s="156" t="s">
        <v>808</v>
      </c>
      <c r="D109" s="51"/>
      <c r="E109" s="86"/>
      <c r="F109" s="87"/>
      <c r="G109" s="87"/>
      <c r="H109" s="88"/>
      <c r="I109" s="88"/>
    </row>
    <row r="110" spans="1:9" ht="13">
      <c r="A110" s="156" t="s">
        <v>9515</v>
      </c>
      <c r="B110" s="157" t="s">
        <v>4188</v>
      </c>
      <c r="C110" s="156" t="s">
        <v>808</v>
      </c>
      <c r="D110" s="51"/>
      <c r="E110" s="86"/>
      <c r="F110" s="87"/>
      <c r="G110" s="87"/>
      <c r="H110" s="88"/>
      <c r="I110" s="88"/>
    </row>
    <row r="111" spans="1:9" ht="13">
      <c r="A111" s="156" t="s">
        <v>9516</v>
      </c>
      <c r="B111" s="157" t="s">
        <v>4445</v>
      </c>
      <c r="C111" s="156" t="s">
        <v>808</v>
      </c>
      <c r="D111" s="54"/>
      <c r="E111" s="89"/>
      <c r="F111" s="86"/>
      <c r="G111" s="87"/>
      <c r="H111" s="88"/>
      <c r="I111" s="88"/>
    </row>
    <row r="112" spans="1:9" ht="13">
      <c r="A112" s="156" t="s">
        <v>9517</v>
      </c>
      <c r="B112" s="158" t="s">
        <v>4103</v>
      </c>
      <c r="C112" s="156" t="s">
        <v>808</v>
      </c>
      <c r="D112" s="51"/>
      <c r="E112" s="86"/>
      <c r="F112" s="89"/>
      <c r="G112" s="87"/>
      <c r="H112" s="88"/>
      <c r="I112" s="88"/>
    </row>
    <row r="113" spans="1:9" ht="13">
      <c r="A113" s="156" t="s">
        <v>9518</v>
      </c>
      <c r="B113" s="157" t="s">
        <v>4104</v>
      </c>
      <c r="C113" s="156" t="s">
        <v>808</v>
      </c>
      <c r="D113" s="51"/>
      <c r="E113" s="86"/>
      <c r="F113" s="89"/>
      <c r="G113" s="87"/>
      <c r="H113" s="88"/>
      <c r="I113" s="88"/>
    </row>
    <row r="114" spans="1:9" ht="13">
      <c r="A114" s="156" t="s">
        <v>9519</v>
      </c>
      <c r="B114" s="158" t="s">
        <v>4105</v>
      </c>
      <c r="C114" s="156" t="s">
        <v>808</v>
      </c>
      <c r="D114" s="51"/>
      <c r="E114" s="86"/>
      <c r="F114" s="86"/>
      <c r="G114" s="87"/>
      <c r="H114" s="88"/>
      <c r="I114" s="88"/>
    </row>
    <row r="115" spans="1:9" ht="13">
      <c r="A115" s="156" t="s">
        <v>9520</v>
      </c>
      <c r="B115" s="157" t="s">
        <v>4845</v>
      </c>
      <c r="C115" s="156" t="s">
        <v>808</v>
      </c>
      <c r="D115" s="54"/>
      <c r="E115" s="86"/>
      <c r="F115" s="86"/>
      <c r="G115" s="87"/>
      <c r="H115" s="88"/>
      <c r="I115" s="88"/>
    </row>
    <row r="116" spans="1:9" ht="13">
      <c r="A116" s="156" t="s">
        <v>9521</v>
      </c>
      <c r="B116" s="157" t="s">
        <v>9024</v>
      </c>
      <c r="C116" s="156" t="s">
        <v>808</v>
      </c>
      <c r="D116" s="51"/>
      <c r="E116" s="87"/>
      <c r="F116" s="87"/>
      <c r="G116" s="87"/>
      <c r="H116" s="88"/>
      <c r="I116" s="88"/>
    </row>
    <row r="117" spans="1:9" ht="13">
      <c r="A117" s="156" t="s">
        <v>9522</v>
      </c>
      <c r="B117" s="157" t="s">
        <v>9026</v>
      </c>
      <c r="C117" s="156" t="s">
        <v>808</v>
      </c>
      <c r="D117" s="51"/>
      <c r="E117" s="86"/>
      <c r="F117" s="86"/>
      <c r="G117" s="87"/>
      <c r="H117" s="88"/>
      <c r="I117" s="88"/>
    </row>
    <row r="118" spans="1:9" ht="13">
      <c r="A118" s="156" t="s">
        <v>9523</v>
      </c>
      <c r="B118" s="157" t="s">
        <v>8633</v>
      </c>
      <c r="C118" s="156" t="s">
        <v>808</v>
      </c>
      <c r="D118" s="51"/>
      <c r="E118" s="86"/>
      <c r="F118" s="87"/>
      <c r="G118" s="87"/>
      <c r="H118" s="88"/>
      <c r="I118" s="88"/>
    </row>
    <row r="119" spans="1:9" ht="13">
      <c r="A119" s="156" t="s">
        <v>9524</v>
      </c>
      <c r="B119" s="157" t="s">
        <v>9525</v>
      </c>
      <c r="C119" s="156" t="s">
        <v>808</v>
      </c>
      <c r="D119" s="51"/>
      <c r="E119" s="86"/>
      <c r="F119" s="87"/>
      <c r="G119" s="87"/>
      <c r="H119" s="88"/>
      <c r="I119" s="88"/>
    </row>
    <row r="120" spans="1:9" ht="13">
      <c r="A120" s="156" t="s">
        <v>9526</v>
      </c>
      <c r="B120" s="157" t="s">
        <v>8610</v>
      </c>
      <c r="C120" s="156" t="s">
        <v>808</v>
      </c>
      <c r="D120" s="51"/>
      <c r="E120" s="86"/>
      <c r="F120" s="87"/>
      <c r="G120" s="87"/>
      <c r="H120" s="88"/>
      <c r="I120" s="88"/>
    </row>
    <row r="121" spans="1:9" ht="13">
      <c r="A121" s="156" t="s">
        <v>9527</v>
      </c>
      <c r="B121" s="157" t="s">
        <v>8612</v>
      </c>
      <c r="C121" s="156" t="s">
        <v>808</v>
      </c>
      <c r="D121" s="51"/>
      <c r="E121" s="86"/>
      <c r="F121" s="87"/>
      <c r="G121" s="87"/>
      <c r="H121" s="88"/>
      <c r="I121" s="88"/>
    </row>
    <row r="122" spans="1:9" ht="13">
      <c r="A122" s="156" t="s">
        <v>9528</v>
      </c>
      <c r="B122" s="157" t="s">
        <v>9529</v>
      </c>
      <c r="C122" s="156" t="s">
        <v>220</v>
      </c>
      <c r="D122" s="51"/>
      <c r="E122" s="86"/>
      <c r="F122" s="87"/>
      <c r="G122" s="87"/>
      <c r="H122" s="88"/>
      <c r="I122" s="88"/>
    </row>
    <row r="123" spans="1:9" ht="13">
      <c r="A123" s="156" t="s">
        <v>9530</v>
      </c>
      <c r="B123" s="157" t="s">
        <v>9531</v>
      </c>
      <c r="C123" s="156" t="s">
        <v>220</v>
      </c>
      <c r="D123" s="51"/>
      <c r="E123" s="86"/>
      <c r="F123" s="87"/>
      <c r="G123" s="87"/>
      <c r="H123" s="88"/>
      <c r="I123" s="88"/>
    </row>
    <row r="124" spans="1:9" ht="13">
      <c r="A124" s="156" t="s">
        <v>9532</v>
      </c>
      <c r="B124" s="157" t="s">
        <v>787</v>
      </c>
      <c r="C124" s="156" t="s">
        <v>220</v>
      </c>
      <c r="D124" s="51"/>
      <c r="E124" s="87"/>
      <c r="F124" s="87"/>
      <c r="G124" s="87"/>
      <c r="H124" s="88"/>
      <c r="I124" s="88"/>
    </row>
    <row r="125" spans="1:9" ht="13">
      <c r="A125" s="156" t="s">
        <v>9533</v>
      </c>
      <c r="B125" s="158" t="s">
        <v>1250</v>
      </c>
      <c r="C125" s="156" t="s">
        <v>220</v>
      </c>
      <c r="D125" s="51"/>
      <c r="E125" s="86"/>
      <c r="F125" s="87"/>
      <c r="G125" s="87"/>
      <c r="H125" s="88"/>
      <c r="I125" s="88"/>
    </row>
    <row r="126" spans="1:9" ht="13">
      <c r="A126" s="156" t="s">
        <v>9534</v>
      </c>
      <c r="B126" s="158" t="s">
        <v>1265</v>
      </c>
      <c r="C126" s="156" t="s">
        <v>220</v>
      </c>
      <c r="D126" s="51"/>
      <c r="E126" s="86"/>
      <c r="F126" s="87"/>
      <c r="G126" s="87"/>
      <c r="H126" s="88"/>
      <c r="I126" s="88"/>
    </row>
    <row r="127" spans="1:9" ht="13">
      <c r="A127" s="156" t="s">
        <v>9535</v>
      </c>
      <c r="B127" s="157" t="s">
        <v>1208</v>
      </c>
      <c r="C127" s="156" t="s">
        <v>220</v>
      </c>
      <c r="D127" s="51"/>
      <c r="E127" s="86"/>
      <c r="F127" s="87"/>
      <c r="G127" s="87"/>
      <c r="H127" s="88"/>
      <c r="I127" s="88"/>
    </row>
    <row r="128" spans="1:9" ht="13">
      <c r="A128" s="156" t="s">
        <v>9536</v>
      </c>
      <c r="B128" s="157" t="s">
        <v>4106</v>
      </c>
      <c r="C128" s="156" t="s">
        <v>220</v>
      </c>
      <c r="D128" s="51"/>
      <c r="E128" s="86"/>
      <c r="F128" s="86"/>
      <c r="G128" s="87"/>
      <c r="H128" s="88"/>
      <c r="I128" s="88"/>
    </row>
    <row r="129" spans="1:9" ht="13">
      <c r="A129" s="156" t="s">
        <v>9537</v>
      </c>
      <c r="B129" s="157" t="s">
        <v>4037</v>
      </c>
      <c r="C129" s="156" t="s">
        <v>220</v>
      </c>
      <c r="D129" s="51"/>
      <c r="E129" s="86"/>
      <c r="F129" s="86"/>
      <c r="G129" s="87"/>
      <c r="H129" s="88"/>
      <c r="I129" s="88"/>
    </row>
    <row r="130" spans="1:9" ht="13">
      <c r="A130" s="156" t="s">
        <v>9538</v>
      </c>
      <c r="B130" s="157" t="s">
        <v>4159</v>
      </c>
      <c r="C130" s="156" t="s">
        <v>220</v>
      </c>
      <c r="D130" s="51"/>
      <c r="E130" s="86"/>
      <c r="F130" s="87"/>
      <c r="G130" s="87"/>
      <c r="H130" s="88"/>
      <c r="I130" s="88"/>
    </row>
    <row r="131" spans="1:9" ht="13">
      <c r="A131" s="156" t="s">
        <v>9539</v>
      </c>
      <c r="B131" s="157" t="s">
        <v>4160</v>
      </c>
      <c r="C131" s="156" t="s">
        <v>220</v>
      </c>
      <c r="D131" s="51"/>
      <c r="E131" s="86"/>
      <c r="F131" s="87"/>
      <c r="G131" s="87"/>
      <c r="H131" s="88"/>
      <c r="I131" s="88"/>
    </row>
    <row r="132" spans="1:9" ht="13">
      <c r="A132" s="156" t="s">
        <v>9540</v>
      </c>
      <c r="B132" s="157" t="s">
        <v>9541</v>
      </c>
      <c r="C132" s="156" t="s">
        <v>220</v>
      </c>
      <c r="D132" s="51"/>
      <c r="E132" s="86"/>
      <c r="F132" s="86"/>
      <c r="G132" s="87"/>
      <c r="H132" s="88"/>
      <c r="I132" s="88"/>
    </row>
    <row r="133" spans="1:9" ht="13">
      <c r="A133" s="156" t="s">
        <v>9542</v>
      </c>
      <c r="B133" s="157" t="s">
        <v>6391</v>
      </c>
      <c r="C133" s="156" t="s">
        <v>220</v>
      </c>
      <c r="D133" s="51"/>
      <c r="E133" s="86"/>
      <c r="F133" s="87"/>
      <c r="G133" s="87"/>
      <c r="H133" s="88"/>
      <c r="I133" s="88"/>
    </row>
    <row r="134" spans="1:9" ht="13">
      <c r="A134" s="156" t="s">
        <v>9543</v>
      </c>
      <c r="B134" s="157" t="s">
        <v>8021</v>
      </c>
      <c r="C134" s="156" t="s">
        <v>220</v>
      </c>
      <c r="D134" s="51"/>
      <c r="E134" s="86"/>
      <c r="F134" s="87"/>
      <c r="G134" s="87"/>
      <c r="H134" s="88"/>
      <c r="I134" s="88"/>
    </row>
    <row r="135" spans="1:9" ht="13">
      <c r="A135" s="156" t="s">
        <v>9544</v>
      </c>
      <c r="B135" s="157" t="s">
        <v>9041</v>
      </c>
      <c r="C135" s="156" t="s">
        <v>220</v>
      </c>
      <c r="D135" s="51"/>
      <c r="E135" s="86"/>
      <c r="F135" s="87"/>
      <c r="G135" s="87"/>
      <c r="H135" s="88"/>
      <c r="I135" s="88"/>
    </row>
    <row r="136" spans="1:9" ht="13">
      <c r="A136" s="156" t="s">
        <v>9545</v>
      </c>
      <c r="B136" s="157" t="s">
        <v>9043</v>
      </c>
      <c r="C136" s="156" t="s">
        <v>220</v>
      </c>
      <c r="D136" s="51"/>
      <c r="E136" s="86"/>
      <c r="F136" s="86"/>
      <c r="G136" s="87"/>
      <c r="H136" s="88"/>
      <c r="I136" s="88"/>
    </row>
    <row r="137" spans="1:9" ht="13">
      <c r="A137" s="156" t="s">
        <v>9546</v>
      </c>
      <c r="B137" s="157" t="s">
        <v>321</v>
      </c>
      <c r="C137" s="156" t="s">
        <v>197</v>
      </c>
      <c r="D137" s="51"/>
      <c r="E137" s="86"/>
      <c r="F137" s="86"/>
      <c r="G137" s="87"/>
      <c r="H137" s="88"/>
      <c r="I137" s="88"/>
    </row>
    <row r="138" spans="1:9" ht="13">
      <c r="A138" s="156" t="s">
        <v>9547</v>
      </c>
      <c r="B138" s="157" t="s">
        <v>344</v>
      </c>
      <c r="C138" s="156" t="s">
        <v>197</v>
      </c>
      <c r="D138" s="51"/>
      <c r="E138" s="86"/>
      <c r="F138" s="87"/>
      <c r="G138" s="87"/>
      <c r="H138" s="88"/>
      <c r="I138" s="88"/>
    </row>
    <row r="139" spans="1:9" ht="13">
      <c r="A139" s="156" t="s">
        <v>9548</v>
      </c>
      <c r="B139" s="157" t="s">
        <v>886</v>
      </c>
      <c r="C139" s="156" t="s">
        <v>197</v>
      </c>
      <c r="D139" s="51"/>
      <c r="E139" s="86"/>
      <c r="F139" s="86"/>
      <c r="G139" s="87"/>
      <c r="H139" s="88"/>
      <c r="I139" s="88"/>
    </row>
    <row r="140" spans="1:9" ht="13">
      <c r="A140" s="156" t="s">
        <v>9549</v>
      </c>
      <c r="B140" s="158" t="s">
        <v>826</v>
      </c>
      <c r="C140" s="156" t="s">
        <v>197</v>
      </c>
      <c r="D140" s="51"/>
      <c r="E140" s="86"/>
      <c r="F140" s="87"/>
      <c r="G140" s="87"/>
      <c r="H140" s="88"/>
      <c r="I140" s="88"/>
    </row>
    <row r="141" spans="1:9" ht="13">
      <c r="A141" s="156" t="s">
        <v>9550</v>
      </c>
      <c r="B141" s="158" t="s">
        <v>954</v>
      </c>
      <c r="C141" s="156" t="s">
        <v>197</v>
      </c>
      <c r="D141" s="51"/>
      <c r="E141" s="86"/>
      <c r="F141" s="86"/>
      <c r="G141" s="87"/>
      <c r="H141" s="88"/>
      <c r="I141" s="88"/>
    </row>
    <row r="142" spans="1:9" ht="13">
      <c r="A142" s="156" t="s">
        <v>9551</v>
      </c>
      <c r="B142" s="157" t="s">
        <v>957</v>
      </c>
      <c r="C142" s="156" t="s">
        <v>197</v>
      </c>
      <c r="D142" s="51"/>
      <c r="E142" s="86"/>
      <c r="F142" s="86"/>
      <c r="G142" s="87"/>
      <c r="H142" s="88"/>
      <c r="I142" s="88"/>
    </row>
    <row r="143" spans="1:9" ht="13">
      <c r="A143" s="156" t="s">
        <v>9552</v>
      </c>
      <c r="B143" s="157" t="s">
        <v>944</v>
      </c>
      <c r="C143" s="156" t="s">
        <v>197</v>
      </c>
      <c r="D143" s="51"/>
      <c r="E143" s="86"/>
      <c r="F143" s="89"/>
      <c r="G143" s="87"/>
      <c r="H143" s="88"/>
      <c r="I143" s="88"/>
    </row>
    <row r="144" spans="1:9" ht="13">
      <c r="A144" s="156" t="s">
        <v>9553</v>
      </c>
      <c r="B144" s="157" t="s">
        <v>781</v>
      </c>
      <c r="C144" s="156" t="s">
        <v>197</v>
      </c>
      <c r="D144" s="51"/>
      <c r="E144" s="89"/>
      <c r="F144" s="87"/>
      <c r="G144" s="87"/>
      <c r="H144" s="88"/>
      <c r="I144" s="88"/>
    </row>
    <row r="145" spans="1:9" ht="13">
      <c r="A145" s="156" t="s">
        <v>9554</v>
      </c>
      <c r="B145" s="157" t="s">
        <v>1276</v>
      </c>
      <c r="C145" s="156" t="s">
        <v>197</v>
      </c>
      <c r="D145" s="51"/>
      <c r="E145" s="86"/>
      <c r="F145" s="86"/>
      <c r="G145" s="87"/>
      <c r="H145" s="88"/>
      <c r="I145" s="88"/>
    </row>
    <row r="146" spans="1:9" ht="13">
      <c r="A146" s="156" t="s">
        <v>9555</v>
      </c>
      <c r="B146" s="157" t="s">
        <v>1216</v>
      </c>
      <c r="C146" s="156" t="s">
        <v>197</v>
      </c>
      <c r="D146" s="51"/>
      <c r="E146" s="86"/>
      <c r="F146" s="87"/>
      <c r="G146" s="87"/>
      <c r="H146" s="88"/>
      <c r="I146" s="88"/>
    </row>
    <row r="147" spans="1:9" ht="13">
      <c r="A147" s="156" t="s">
        <v>9556</v>
      </c>
      <c r="B147" s="157" t="s">
        <v>9557</v>
      </c>
      <c r="C147" s="156" t="s">
        <v>197</v>
      </c>
      <c r="D147" s="51"/>
      <c r="E147" s="89"/>
      <c r="F147" s="87"/>
      <c r="G147" s="87"/>
      <c r="H147" s="88"/>
      <c r="I147" s="88"/>
    </row>
    <row r="148" spans="1:9" ht="13">
      <c r="A148" s="156" t="s">
        <v>9558</v>
      </c>
      <c r="B148" s="157" t="s">
        <v>9559</v>
      </c>
      <c r="C148" s="156" t="s">
        <v>197</v>
      </c>
      <c r="D148" s="51"/>
      <c r="E148" s="86"/>
      <c r="F148" s="87"/>
      <c r="G148" s="87"/>
      <c r="H148" s="88"/>
      <c r="I148" s="88"/>
    </row>
    <row r="149" spans="1:9" ht="13">
      <c r="A149" s="156" t="s">
        <v>9560</v>
      </c>
      <c r="B149" s="157" t="s">
        <v>3148</v>
      </c>
      <c r="C149" s="156" t="s">
        <v>197</v>
      </c>
      <c r="D149" s="51"/>
      <c r="E149" s="86"/>
      <c r="F149" s="86"/>
      <c r="G149" s="87"/>
      <c r="H149" s="88"/>
      <c r="I149" s="88"/>
    </row>
    <row r="150" spans="1:9" ht="13">
      <c r="A150" s="156" t="s">
        <v>9561</v>
      </c>
      <c r="B150" s="157" t="s">
        <v>3142</v>
      </c>
      <c r="C150" s="156" t="s">
        <v>197</v>
      </c>
      <c r="D150" s="51"/>
      <c r="E150" s="86"/>
      <c r="F150" s="87"/>
      <c r="G150" s="87"/>
      <c r="H150" s="88"/>
      <c r="I150" s="88"/>
    </row>
    <row r="151" spans="1:9" ht="13">
      <c r="A151" s="156" t="s">
        <v>9562</v>
      </c>
      <c r="B151" s="157" t="s">
        <v>3120</v>
      </c>
      <c r="C151" s="156" t="s">
        <v>197</v>
      </c>
      <c r="D151" s="51"/>
      <c r="E151" s="86"/>
      <c r="F151" s="87"/>
      <c r="G151" s="87"/>
      <c r="H151" s="88"/>
      <c r="I151" s="88"/>
    </row>
    <row r="152" spans="1:9" ht="13">
      <c r="A152" s="156" t="s">
        <v>9563</v>
      </c>
      <c r="B152" s="157" t="s">
        <v>4149</v>
      </c>
      <c r="C152" s="156" t="s">
        <v>197</v>
      </c>
      <c r="D152" s="51"/>
      <c r="E152" s="86"/>
      <c r="F152" s="86"/>
      <c r="G152" s="87"/>
      <c r="H152" s="88"/>
      <c r="I152" s="88"/>
    </row>
    <row r="153" spans="1:9" ht="13">
      <c r="A153" s="156" t="s">
        <v>9564</v>
      </c>
      <c r="B153" s="157" t="s">
        <v>4150</v>
      </c>
      <c r="C153" s="156" t="s">
        <v>197</v>
      </c>
      <c r="D153" s="51"/>
      <c r="E153" s="86"/>
      <c r="F153" s="87"/>
      <c r="G153" s="87"/>
      <c r="H153" s="88"/>
      <c r="I153" s="88"/>
    </row>
    <row r="154" spans="1:9" ht="13">
      <c r="A154" s="156" t="s">
        <v>9565</v>
      </c>
      <c r="B154" s="157" t="s">
        <v>5025</v>
      </c>
      <c r="C154" s="156" t="s">
        <v>197</v>
      </c>
      <c r="D154" s="51"/>
      <c r="E154" s="86"/>
      <c r="F154" s="87"/>
      <c r="G154" s="87"/>
      <c r="H154" s="88"/>
      <c r="I154" s="88"/>
    </row>
    <row r="155" spans="1:9" ht="13">
      <c r="A155" s="156" t="s">
        <v>9566</v>
      </c>
      <c r="B155" s="157" t="s">
        <v>5027</v>
      </c>
      <c r="C155" s="156" t="s">
        <v>197</v>
      </c>
      <c r="D155" s="51"/>
      <c r="E155" s="86"/>
      <c r="F155" s="86"/>
      <c r="G155" s="87"/>
      <c r="H155" s="88"/>
      <c r="I155" s="88"/>
    </row>
    <row r="156" spans="1:9" ht="13">
      <c r="A156" s="156" t="s">
        <v>9567</v>
      </c>
      <c r="B156" s="157" t="s">
        <v>9316</v>
      </c>
      <c r="C156" s="156" t="s">
        <v>197</v>
      </c>
      <c r="D156" s="51"/>
      <c r="E156" s="86"/>
      <c r="F156" s="87"/>
      <c r="G156" s="87"/>
      <c r="H156" s="88"/>
      <c r="I156" s="88"/>
    </row>
    <row r="157" spans="1:9" ht="13">
      <c r="A157" s="156" t="s">
        <v>9568</v>
      </c>
      <c r="B157" s="158" t="s">
        <v>9318</v>
      </c>
      <c r="C157" s="156" t="s">
        <v>197</v>
      </c>
      <c r="D157" s="51"/>
      <c r="E157" s="86"/>
      <c r="F157" s="86"/>
      <c r="G157" s="87"/>
      <c r="H157" s="88"/>
      <c r="I157" s="88"/>
    </row>
    <row r="158" spans="1:9" ht="13">
      <c r="A158" s="156" t="s">
        <v>9569</v>
      </c>
      <c r="B158" s="157" t="s">
        <v>9057</v>
      </c>
      <c r="C158" s="156" t="s">
        <v>197</v>
      </c>
      <c r="D158" s="51"/>
      <c r="E158" s="86"/>
      <c r="F158" s="87"/>
      <c r="G158" s="87"/>
      <c r="H158" s="88"/>
      <c r="I158" s="88"/>
    </row>
    <row r="159" spans="1:9" ht="13">
      <c r="A159" s="156" t="s">
        <v>9570</v>
      </c>
      <c r="B159" s="157" t="s">
        <v>9059</v>
      </c>
      <c r="C159" s="156" t="s">
        <v>197</v>
      </c>
      <c r="D159" s="51"/>
      <c r="E159" s="86"/>
      <c r="F159" s="89"/>
      <c r="G159" s="87"/>
      <c r="H159" s="88"/>
      <c r="I159" s="88"/>
    </row>
    <row r="160" spans="1:9" ht="13">
      <c r="A160" s="156" t="s">
        <v>9571</v>
      </c>
      <c r="B160" s="157" t="s">
        <v>9039</v>
      </c>
      <c r="C160" s="156" t="s">
        <v>197</v>
      </c>
      <c r="D160" s="51"/>
      <c r="E160" s="86"/>
      <c r="F160" s="87"/>
      <c r="G160" s="87"/>
      <c r="H160" s="88"/>
      <c r="I160" s="88"/>
    </row>
    <row r="161" spans="1:9" ht="13">
      <c r="A161" s="156" t="s">
        <v>9572</v>
      </c>
      <c r="B161" s="157" t="s">
        <v>9573</v>
      </c>
      <c r="C161" s="156" t="s">
        <v>4114</v>
      </c>
      <c r="D161" s="51"/>
      <c r="E161" s="86"/>
      <c r="F161" s="86"/>
      <c r="G161" s="87"/>
      <c r="H161" s="88"/>
      <c r="I161" s="137"/>
    </row>
    <row r="162" spans="1:9" ht="13">
      <c r="A162" s="156" t="s">
        <v>9574</v>
      </c>
      <c r="B162" s="157" t="s">
        <v>9575</v>
      </c>
      <c r="C162" s="156" t="s">
        <v>4114</v>
      </c>
      <c r="D162" s="51"/>
      <c r="E162" s="86"/>
      <c r="F162" s="87"/>
      <c r="G162" s="87"/>
      <c r="H162" s="88"/>
      <c r="I162" s="88"/>
    </row>
    <row r="163" spans="1:9" ht="13">
      <c r="A163" s="156" t="s">
        <v>9576</v>
      </c>
      <c r="B163" s="157" t="s">
        <v>9577</v>
      </c>
      <c r="C163" s="156" t="s">
        <v>1013</v>
      </c>
      <c r="D163" s="51"/>
      <c r="E163" s="86"/>
      <c r="F163" s="86"/>
      <c r="G163" s="87"/>
      <c r="H163" s="88"/>
      <c r="I163" s="88"/>
    </row>
    <row r="164" spans="1:9" ht="13">
      <c r="A164" s="156" t="s">
        <v>9578</v>
      </c>
      <c r="B164" s="157" t="s">
        <v>9579</v>
      </c>
      <c r="C164" s="156" t="s">
        <v>4114</v>
      </c>
      <c r="D164" s="51"/>
      <c r="E164" s="86"/>
      <c r="F164" s="87"/>
      <c r="G164" s="87"/>
      <c r="H164" s="88"/>
      <c r="I164" s="88"/>
    </row>
    <row r="165" spans="1:9" ht="13">
      <c r="A165" s="156" t="s">
        <v>9580</v>
      </c>
      <c r="B165" s="157" t="s">
        <v>9581</v>
      </c>
      <c r="C165" s="156" t="s">
        <v>4114</v>
      </c>
      <c r="D165" s="51"/>
      <c r="E165" s="86"/>
      <c r="F165" s="87"/>
      <c r="G165" s="87"/>
      <c r="H165" s="88"/>
      <c r="I165" s="88"/>
    </row>
    <row r="166" spans="1:9" ht="13">
      <c r="A166" s="156" t="s">
        <v>9582</v>
      </c>
      <c r="B166" s="157" t="s">
        <v>9583</v>
      </c>
      <c r="C166" s="156" t="s">
        <v>229</v>
      </c>
      <c r="D166" s="51"/>
      <c r="E166" s="86"/>
      <c r="F166" s="87"/>
      <c r="G166" s="87"/>
      <c r="H166" s="88"/>
      <c r="I166" s="88"/>
    </row>
    <row r="167" spans="1:9" ht="13">
      <c r="A167" s="156" t="s">
        <v>9584</v>
      </c>
      <c r="B167" s="157" t="s">
        <v>9585</v>
      </c>
      <c r="C167" s="156" t="s">
        <v>1013</v>
      </c>
      <c r="D167" s="51"/>
      <c r="E167" s="89"/>
      <c r="F167" s="87"/>
      <c r="G167" s="87"/>
      <c r="H167" s="88"/>
      <c r="I167" s="88"/>
    </row>
    <row r="168" spans="1:9" ht="13">
      <c r="A168" s="156" t="s">
        <v>9586</v>
      </c>
      <c r="B168" s="157" t="s">
        <v>9587</v>
      </c>
      <c r="C168" s="156" t="s">
        <v>4114</v>
      </c>
      <c r="D168" s="51"/>
      <c r="E168" s="86"/>
      <c r="F168" s="87"/>
      <c r="G168" s="87"/>
      <c r="H168" s="88"/>
      <c r="I168" s="88"/>
    </row>
    <row r="169" spans="1:9" ht="13">
      <c r="A169" s="156" t="s">
        <v>9588</v>
      </c>
      <c r="B169" s="157" t="s">
        <v>9589</v>
      </c>
      <c r="C169" s="156" t="s">
        <v>1013</v>
      </c>
      <c r="D169" s="51"/>
      <c r="E169" s="86"/>
      <c r="F169" s="87"/>
      <c r="G169" s="87"/>
      <c r="H169" s="88"/>
      <c r="I169" s="88"/>
    </row>
    <row r="170" spans="1:9" ht="13">
      <c r="A170" s="156" t="s">
        <v>9590</v>
      </c>
      <c r="B170" s="157" t="s">
        <v>9591</v>
      </c>
      <c r="C170" s="156" t="s">
        <v>1013</v>
      </c>
      <c r="D170" s="51"/>
      <c r="E170" s="86"/>
      <c r="F170" s="87"/>
      <c r="G170" s="87"/>
      <c r="H170" s="88"/>
      <c r="I170" s="88"/>
    </row>
    <row r="171" spans="1:9" ht="13">
      <c r="A171" s="156" t="s">
        <v>9592</v>
      </c>
      <c r="B171" s="157" t="s">
        <v>9593</v>
      </c>
      <c r="C171" s="156" t="s">
        <v>4114</v>
      </c>
      <c r="D171" s="51"/>
      <c r="E171" s="89"/>
      <c r="F171" s="87"/>
      <c r="G171" s="87"/>
      <c r="H171" s="88"/>
      <c r="I171" s="88"/>
    </row>
    <row r="172" spans="1:9" ht="13">
      <c r="A172" s="156" t="s">
        <v>9594</v>
      </c>
      <c r="B172" s="157" t="s">
        <v>9595</v>
      </c>
      <c r="C172" s="156" t="s">
        <v>1013</v>
      </c>
      <c r="D172" s="51"/>
      <c r="E172" s="89"/>
      <c r="F172" s="86"/>
      <c r="G172" s="87"/>
      <c r="H172" s="88"/>
      <c r="I172" s="88"/>
    </row>
    <row r="173" spans="1:9" ht="13">
      <c r="A173" s="156" t="s">
        <v>9596</v>
      </c>
      <c r="B173" s="157" t="s">
        <v>9597</v>
      </c>
      <c r="C173" s="156" t="s">
        <v>229</v>
      </c>
      <c r="D173" s="51"/>
      <c r="E173" s="86"/>
      <c r="F173" s="87"/>
      <c r="G173" s="87"/>
      <c r="H173" s="88"/>
      <c r="I173" s="88"/>
    </row>
    <row r="174" spans="1:9" ht="13">
      <c r="A174" s="156" t="s">
        <v>9598</v>
      </c>
      <c r="B174" s="157" t="s">
        <v>9599</v>
      </c>
      <c r="C174" s="156" t="s">
        <v>229</v>
      </c>
      <c r="D174" s="51"/>
      <c r="E174" s="87"/>
      <c r="F174" s="87"/>
      <c r="G174" s="87"/>
      <c r="H174" s="88"/>
      <c r="I174" s="88"/>
    </row>
    <row r="175" spans="1:9" ht="13">
      <c r="A175" s="156" t="s">
        <v>9600</v>
      </c>
      <c r="B175" s="157" t="s">
        <v>9601</v>
      </c>
      <c r="C175" s="156" t="s">
        <v>4114</v>
      </c>
      <c r="D175" s="51"/>
      <c r="E175" s="86"/>
      <c r="F175" s="87"/>
      <c r="G175" s="87"/>
      <c r="H175" s="88"/>
      <c r="I175" s="88"/>
    </row>
    <row r="176" spans="1:9" ht="13">
      <c r="A176" s="156" t="s">
        <v>9602</v>
      </c>
      <c r="B176" s="157" t="s">
        <v>9603</v>
      </c>
      <c r="C176" s="156" t="s">
        <v>4114</v>
      </c>
      <c r="D176" s="51"/>
      <c r="E176" s="86"/>
      <c r="F176" s="87"/>
      <c r="G176" s="87"/>
      <c r="H176" s="88"/>
      <c r="I176" s="88"/>
    </row>
    <row r="177" spans="1:9" ht="13">
      <c r="A177" s="156" t="s">
        <v>9604</v>
      </c>
      <c r="B177" s="157" t="s">
        <v>9605</v>
      </c>
      <c r="C177" s="156" t="s">
        <v>4114</v>
      </c>
      <c r="D177" s="51"/>
      <c r="E177" s="86"/>
      <c r="F177" s="89"/>
      <c r="G177" s="87"/>
      <c r="H177" s="88"/>
      <c r="I177" s="88"/>
    </row>
    <row r="178" spans="1:9" ht="13">
      <c r="A178" s="156" t="s">
        <v>9606</v>
      </c>
      <c r="B178" s="157" t="s">
        <v>9607</v>
      </c>
      <c r="C178" s="156" t="s">
        <v>317</v>
      </c>
      <c r="D178" s="51"/>
      <c r="E178" s="86"/>
      <c r="F178" s="87"/>
      <c r="G178" s="87"/>
      <c r="H178" s="88"/>
      <c r="I178" s="88"/>
    </row>
    <row r="179" spans="1:9" ht="13">
      <c r="A179" s="156" t="s">
        <v>9608</v>
      </c>
      <c r="B179" s="158" t="s">
        <v>9609</v>
      </c>
      <c r="C179" s="156" t="s">
        <v>317</v>
      </c>
      <c r="D179" s="51"/>
      <c r="E179" s="86"/>
      <c r="F179" s="87"/>
      <c r="G179" s="87"/>
      <c r="H179" s="88"/>
      <c r="I179" s="88"/>
    </row>
    <row r="180" spans="1:9" ht="13">
      <c r="A180" s="156" t="s">
        <v>9610</v>
      </c>
      <c r="B180" s="158" t="s">
        <v>9611</v>
      </c>
      <c r="C180" s="156" t="s">
        <v>317</v>
      </c>
      <c r="D180" s="51"/>
      <c r="E180" s="86"/>
      <c r="F180" s="87"/>
      <c r="G180" s="87"/>
      <c r="H180" s="88"/>
      <c r="I180" s="88"/>
    </row>
    <row r="181" spans="1:9" ht="13">
      <c r="A181" s="156" t="s">
        <v>9612</v>
      </c>
      <c r="B181" s="158" t="s">
        <v>9396</v>
      </c>
      <c r="C181" s="156" t="s">
        <v>205</v>
      </c>
      <c r="D181" s="51"/>
      <c r="E181" s="86"/>
      <c r="F181" s="87"/>
      <c r="G181" s="87"/>
      <c r="H181" s="88"/>
      <c r="I181" s="88"/>
    </row>
    <row r="182" spans="1:9" ht="13">
      <c r="A182" s="156" t="s">
        <v>9613</v>
      </c>
      <c r="B182" s="158" t="s">
        <v>9420</v>
      </c>
      <c r="C182" s="156" t="s">
        <v>199</v>
      </c>
      <c r="D182" s="54"/>
      <c r="E182" s="86"/>
      <c r="F182" s="87"/>
      <c r="G182" s="87"/>
      <c r="H182" s="88"/>
      <c r="I182" s="88"/>
    </row>
    <row r="183" spans="1:9" ht="13">
      <c r="A183" s="156" t="s">
        <v>9614</v>
      </c>
      <c r="B183" s="158" t="s">
        <v>9433</v>
      </c>
      <c r="C183" s="156" t="s">
        <v>199</v>
      </c>
      <c r="D183" s="54"/>
      <c r="E183" s="86"/>
      <c r="F183" s="89"/>
      <c r="G183" s="87"/>
      <c r="H183" s="88"/>
      <c r="I183" s="88"/>
    </row>
    <row r="184" spans="1:9" ht="13">
      <c r="A184" s="156" t="s">
        <v>9615</v>
      </c>
      <c r="B184" s="158" t="s">
        <v>9464</v>
      </c>
      <c r="C184" s="156" t="s">
        <v>192</v>
      </c>
      <c r="D184" s="54"/>
      <c r="E184" s="89"/>
      <c r="F184" s="87"/>
      <c r="G184" s="87"/>
      <c r="H184" s="88"/>
      <c r="I184" s="88"/>
    </row>
    <row r="185" spans="1:9" ht="13">
      <c r="A185" s="156" t="s">
        <v>9616</v>
      </c>
      <c r="B185" s="158" t="s">
        <v>9502</v>
      </c>
      <c r="C185" s="156" t="s">
        <v>225</v>
      </c>
      <c r="D185" s="54"/>
      <c r="E185" s="86"/>
      <c r="F185" s="89"/>
      <c r="G185" s="87"/>
      <c r="H185" s="88"/>
      <c r="I185" s="88"/>
    </row>
    <row r="186" spans="1:9" ht="13">
      <c r="A186" s="156" t="s">
        <v>9617</v>
      </c>
      <c r="B186" s="158" t="s">
        <v>8693</v>
      </c>
      <c r="C186" s="156" t="s">
        <v>808</v>
      </c>
      <c r="D186" s="54"/>
      <c r="E186" s="86"/>
      <c r="F186" s="89"/>
      <c r="G186" s="87"/>
      <c r="H186" s="88"/>
      <c r="I186" s="88"/>
    </row>
    <row r="187" spans="1:9" ht="13">
      <c r="A187" s="156" t="s">
        <v>9618</v>
      </c>
      <c r="B187" s="158" t="s">
        <v>9529</v>
      </c>
      <c r="C187" s="156" t="s">
        <v>220</v>
      </c>
      <c r="D187" s="51"/>
      <c r="E187" s="87"/>
      <c r="F187" s="86"/>
      <c r="G187" s="87"/>
      <c r="H187" s="88"/>
      <c r="I187" s="88"/>
    </row>
    <row r="188" spans="1:9" ht="13">
      <c r="A188" s="156" t="s">
        <v>9619</v>
      </c>
      <c r="B188" s="158" t="s">
        <v>9620</v>
      </c>
      <c r="C188" s="156" t="s">
        <v>220</v>
      </c>
      <c r="D188" s="51"/>
      <c r="E188" s="89"/>
      <c r="F188" s="87"/>
      <c r="G188" s="87"/>
      <c r="H188" s="88"/>
      <c r="I188" s="88"/>
    </row>
    <row r="189" spans="1:9" ht="13">
      <c r="A189" s="156" t="s">
        <v>9621</v>
      </c>
      <c r="B189" s="158" t="s">
        <v>9557</v>
      </c>
      <c r="C189" s="156" t="s">
        <v>197</v>
      </c>
      <c r="D189" s="51"/>
      <c r="E189" s="86"/>
      <c r="F189" s="87"/>
      <c r="G189" s="87"/>
      <c r="H189" s="88"/>
      <c r="I189" s="88"/>
    </row>
    <row r="190" spans="1:9" ht="13">
      <c r="A190" s="156" t="s">
        <v>9622</v>
      </c>
      <c r="B190" s="158" t="s">
        <v>9585</v>
      </c>
      <c r="C190" s="156" t="s">
        <v>1013</v>
      </c>
      <c r="D190" s="54"/>
      <c r="E190" s="86"/>
      <c r="F190" s="86"/>
      <c r="G190" s="87"/>
      <c r="H190" s="88"/>
      <c r="I190" s="88"/>
    </row>
    <row r="191" spans="1:9" ht="13">
      <c r="A191" s="156" t="s">
        <v>9623</v>
      </c>
      <c r="B191" s="158" t="s">
        <v>9589</v>
      </c>
      <c r="C191" s="156" t="s">
        <v>1013</v>
      </c>
      <c r="D191" s="51"/>
      <c r="E191" s="89"/>
      <c r="F191" s="87"/>
      <c r="G191" s="87"/>
      <c r="H191" s="88"/>
      <c r="I191" s="88"/>
    </row>
    <row r="192" spans="1:9" ht="13">
      <c r="A192" s="156" t="s">
        <v>9624</v>
      </c>
      <c r="B192" s="158" t="s">
        <v>9591</v>
      </c>
      <c r="C192" s="156" t="s">
        <v>1013</v>
      </c>
      <c r="D192" s="54"/>
      <c r="E192" s="89"/>
      <c r="F192" s="89"/>
      <c r="G192" s="87"/>
      <c r="H192" s="88"/>
      <c r="I192" s="88"/>
    </row>
    <row r="193" spans="1:9" ht="13">
      <c r="A193" s="156" t="s">
        <v>9625</v>
      </c>
      <c r="B193" s="157" t="s">
        <v>9595</v>
      </c>
      <c r="C193" s="156" t="s">
        <v>1013</v>
      </c>
      <c r="D193" s="54"/>
      <c r="E193" s="87"/>
      <c r="F193" s="86"/>
      <c r="G193" s="87"/>
      <c r="H193" s="88"/>
      <c r="I193" s="88"/>
    </row>
    <row r="194" spans="1:9" ht="13">
      <c r="A194" s="156" t="s">
        <v>9626</v>
      </c>
      <c r="B194" s="157" t="s">
        <v>9398</v>
      </c>
      <c r="C194" s="156" t="s">
        <v>205</v>
      </c>
      <c r="D194" s="51"/>
      <c r="E194" s="87"/>
      <c r="F194" s="89"/>
      <c r="G194" s="87"/>
      <c r="H194" s="88"/>
      <c r="I194" s="88"/>
    </row>
    <row r="195" spans="1:9" ht="13">
      <c r="A195" s="156" t="s">
        <v>9627</v>
      </c>
      <c r="B195" s="157" t="s">
        <v>9435</v>
      </c>
      <c r="C195" s="156" t="s">
        <v>199</v>
      </c>
      <c r="D195" s="54"/>
      <c r="E195" s="89"/>
      <c r="F195" s="89"/>
      <c r="G195" s="87"/>
      <c r="H195" s="88"/>
      <c r="I195" s="88"/>
    </row>
    <row r="196" spans="1:9" ht="13">
      <c r="A196" s="156" t="s">
        <v>9628</v>
      </c>
      <c r="B196" s="157" t="s">
        <v>8612</v>
      </c>
      <c r="C196" s="156" t="s">
        <v>808</v>
      </c>
      <c r="D196" s="54"/>
      <c r="E196" s="87"/>
      <c r="F196" s="87"/>
      <c r="G196" s="87"/>
      <c r="H196" s="88"/>
      <c r="I196" s="88"/>
    </row>
    <row r="197" spans="1:9" ht="13">
      <c r="A197" s="156" t="s">
        <v>9629</v>
      </c>
      <c r="B197" s="158" t="s">
        <v>9531</v>
      </c>
      <c r="C197" s="156" t="s">
        <v>220</v>
      </c>
      <c r="D197" s="54"/>
      <c r="E197" s="89"/>
      <c r="F197" s="87"/>
      <c r="G197" s="87"/>
      <c r="H197" s="88"/>
      <c r="I197" s="88"/>
    </row>
    <row r="198" spans="1:9" ht="13">
      <c r="A198" s="156" t="s">
        <v>9630</v>
      </c>
      <c r="B198" s="158" t="s">
        <v>9559</v>
      </c>
      <c r="C198" s="156" t="s">
        <v>197</v>
      </c>
      <c r="D198" s="54"/>
      <c r="E198" s="87"/>
      <c r="F198" s="87"/>
      <c r="G198" s="87"/>
      <c r="H198" s="88"/>
      <c r="I198" s="88"/>
    </row>
    <row r="199" spans="1:9" ht="13">
      <c r="A199" s="156" t="s">
        <v>9631</v>
      </c>
      <c r="B199" s="158" t="s">
        <v>9591</v>
      </c>
      <c r="C199" s="156" t="s">
        <v>1013</v>
      </c>
      <c r="D199" s="54"/>
      <c r="E199" s="89"/>
      <c r="F199" s="87"/>
      <c r="G199" s="87"/>
      <c r="H199" s="88"/>
      <c r="I199" s="88"/>
    </row>
    <row r="200" spans="1:9" ht="13">
      <c r="A200" s="156" t="s">
        <v>9632</v>
      </c>
      <c r="B200" s="158" t="s">
        <v>9595</v>
      </c>
      <c r="C200" s="156" t="s">
        <v>1013</v>
      </c>
      <c r="D200" s="54"/>
      <c r="E200" s="87"/>
      <c r="F200" s="87"/>
      <c r="G200" s="87"/>
      <c r="H200" s="88"/>
      <c r="I200" s="88"/>
    </row>
    <row r="201" spans="1:9" ht="13">
      <c r="A201" s="156" t="s">
        <v>9633</v>
      </c>
      <c r="B201" s="158" t="s">
        <v>8890</v>
      </c>
      <c r="C201" s="156" t="s">
        <v>205</v>
      </c>
      <c r="D201" s="54"/>
      <c r="E201" s="87"/>
      <c r="F201" s="89"/>
      <c r="G201" s="87"/>
      <c r="H201" s="88"/>
      <c r="I201" s="88"/>
    </row>
    <row r="202" spans="1:9" ht="13">
      <c r="A202" s="156" t="s">
        <v>9634</v>
      </c>
      <c r="B202" s="158" t="s">
        <v>8627</v>
      </c>
      <c r="C202" s="156" t="s">
        <v>225</v>
      </c>
      <c r="D202" s="5"/>
      <c r="E202" s="87"/>
      <c r="F202" s="87"/>
      <c r="G202" s="87"/>
      <c r="H202" s="88"/>
      <c r="I202" s="88"/>
    </row>
    <row r="203" spans="1:9" ht="13">
      <c r="A203" s="156" t="s">
        <v>9635</v>
      </c>
      <c r="B203" s="158" t="s">
        <v>9573</v>
      </c>
      <c r="C203" s="156" t="s">
        <v>4114</v>
      </c>
      <c r="D203" s="51"/>
      <c r="E203" s="87"/>
      <c r="F203" s="87"/>
      <c r="G203" s="87"/>
      <c r="H203" s="88"/>
      <c r="I203" s="88"/>
    </row>
    <row r="204" spans="1:9" ht="13">
      <c r="A204" s="156" t="s">
        <v>9636</v>
      </c>
      <c r="B204" s="157" t="s">
        <v>9603</v>
      </c>
      <c r="C204" s="156" t="s">
        <v>4114</v>
      </c>
      <c r="D204" s="54"/>
      <c r="E204" s="87"/>
      <c r="F204" s="86"/>
      <c r="G204" s="87"/>
      <c r="H204" s="88"/>
      <c r="I204" s="88"/>
    </row>
    <row r="205" spans="1:9" ht="13">
      <c r="A205" s="156" t="s">
        <v>9637</v>
      </c>
      <c r="B205" s="157" t="s">
        <v>9351</v>
      </c>
      <c r="C205" s="156" t="s">
        <v>317</v>
      </c>
      <c r="D205" s="54"/>
      <c r="E205" s="87"/>
      <c r="F205" s="87"/>
      <c r="G205" s="87"/>
      <c r="H205" s="88"/>
      <c r="I205" s="88"/>
    </row>
    <row r="206" spans="1:9" ht="13">
      <c r="A206" s="51"/>
      <c r="C206" s="51"/>
      <c r="D206" s="5"/>
      <c r="E206" s="87"/>
      <c r="F206" s="87"/>
      <c r="G206" s="87"/>
      <c r="H206" s="88"/>
      <c r="I206" s="88"/>
    </row>
    <row r="207" spans="1:9" ht="13">
      <c r="A207" s="51"/>
      <c r="C207" s="51"/>
      <c r="D207" s="5"/>
      <c r="E207" s="87"/>
      <c r="F207" s="87"/>
      <c r="G207" s="87"/>
      <c r="H207" s="88"/>
      <c r="I207" s="88"/>
    </row>
    <row r="208" spans="1:9" ht="13">
      <c r="A208" s="51"/>
      <c r="C208" s="51"/>
      <c r="D208" s="54"/>
      <c r="E208" s="87"/>
      <c r="F208" s="87"/>
      <c r="G208" s="87"/>
      <c r="H208" s="88"/>
      <c r="I208" s="88"/>
    </row>
    <row r="209" spans="1:9" ht="13">
      <c r="A209" s="51"/>
      <c r="C209" s="51"/>
      <c r="D209" s="54"/>
      <c r="E209" s="87"/>
      <c r="F209" s="87"/>
      <c r="G209" s="87"/>
      <c r="H209" s="88"/>
      <c r="I209" s="88"/>
    </row>
    <row r="210" spans="1:9" ht="13">
      <c r="A210" s="51"/>
      <c r="C210" s="51"/>
      <c r="D210" s="5"/>
      <c r="E210" s="87"/>
      <c r="F210" s="87"/>
      <c r="G210" s="87"/>
      <c r="H210" s="88"/>
      <c r="I210" s="88"/>
    </row>
    <row r="211" spans="1:9" ht="13">
      <c r="A211" s="51"/>
      <c r="C211" s="51"/>
      <c r="D211" s="5"/>
      <c r="E211" s="87"/>
      <c r="F211" s="87"/>
      <c r="G211" s="87"/>
      <c r="H211" s="88"/>
      <c r="I211" s="88"/>
    </row>
    <row r="212" spans="1:9" ht="13">
      <c r="A212" s="51"/>
      <c r="C212" s="51"/>
      <c r="D212" s="54"/>
      <c r="E212" s="87"/>
      <c r="F212" s="87"/>
      <c r="G212" s="87"/>
      <c r="H212" s="88"/>
      <c r="I212" s="88"/>
    </row>
    <row r="213" spans="1:9" ht="13">
      <c r="A213" s="51"/>
      <c r="C213" s="51"/>
      <c r="D213" s="54"/>
      <c r="E213" s="87"/>
      <c r="F213" s="87"/>
      <c r="G213" s="87"/>
      <c r="H213" s="88"/>
      <c r="I213" s="88"/>
    </row>
    <row r="214" spans="1:9" ht="13">
      <c r="A214" s="48"/>
      <c r="B214" s="50"/>
      <c r="C214" s="51"/>
      <c r="D214" s="5"/>
      <c r="E214" s="87"/>
      <c r="F214" s="87"/>
      <c r="G214" s="87"/>
      <c r="H214" s="88"/>
      <c r="I214" s="88"/>
    </row>
    <row r="215" spans="1:9" ht="13">
      <c r="A215" s="48"/>
      <c r="B215" s="53"/>
      <c r="C215" s="51"/>
      <c r="D215" s="54"/>
      <c r="E215" s="87"/>
      <c r="F215" s="87"/>
      <c r="G215" s="87"/>
      <c r="H215" s="88"/>
      <c r="I215" s="88"/>
    </row>
    <row r="216" spans="1:9" ht="13">
      <c r="A216" s="48"/>
      <c r="B216" s="53"/>
      <c r="C216" s="51"/>
      <c r="D216" s="5"/>
      <c r="E216" s="87"/>
      <c r="F216" s="87"/>
      <c r="G216" s="87"/>
      <c r="H216" s="88"/>
      <c r="I216" s="88"/>
    </row>
    <row r="217" spans="1:9" ht="13">
      <c r="A217" s="48"/>
      <c r="B217" s="50"/>
      <c r="C217" s="51"/>
      <c r="D217" s="5"/>
      <c r="E217" s="87"/>
      <c r="F217" s="87"/>
      <c r="G217" s="87"/>
      <c r="H217" s="88"/>
      <c r="I217" s="88"/>
    </row>
    <row r="218" spans="1:9" ht="13">
      <c r="A218" s="48"/>
      <c r="B218" s="50"/>
      <c r="C218" s="51"/>
      <c r="D218" s="54"/>
      <c r="E218" s="87"/>
      <c r="F218" s="86"/>
      <c r="G218" s="87"/>
      <c r="H218" s="88"/>
      <c r="I218" s="88"/>
    </row>
    <row r="219" spans="1:9" ht="13">
      <c r="A219" s="48"/>
      <c r="B219" s="50"/>
      <c r="C219" s="51"/>
      <c r="D219" s="54"/>
      <c r="E219" s="87"/>
      <c r="F219" s="87"/>
      <c r="G219" s="87"/>
      <c r="H219" s="88"/>
      <c r="I219" s="88"/>
    </row>
    <row r="220" spans="1:9" ht="13">
      <c r="A220" s="48"/>
      <c r="B220" s="50"/>
      <c r="C220" s="153"/>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700-000000000000}"/>
    <hyperlink ref="B6" r:id="rId2" xr:uid="{00000000-0004-0000-6700-000001000000}"/>
    <hyperlink ref="B7" r:id="rId3" xr:uid="{00000000-0004-0000-6700-000002000000}"/>
    <hyperlink ref="B8" r:id="rId4" xr:uid="{00000000-0004-0000-6700-000003000000}"/>
    <hyperlink ref="B9" r:id="rId5" xr:uid="{00000000-0004-0000-6700-000004000000}"/>
    <hyperlink ref="B10" r:id="rId6" xr:uid="{00000000-0004-0000-6700-000005000000}"/>
    <hyperlink ref="B11" r:id="rId7" xr:uid="{00000000-0004-0000-6700-000006000000}"/>
    <hyperlink ref="B12" r:id="rId8" xr:uid="{00000000-0004-0000-6700-000007000000}"/>
    <hyperlink ref="B13" r:id="rId9" xr:uid="{00000000-0004-0000-6700-000008000000}"/>
    <hyperlink ref="B14" r:id="rId10" xr:uid="{00000000-0004-0000-6700-000009000000}"/>
    <hyperlink ref="B15" r:id="rId11" xr:uid="{00000000-0004-0000-6700-00000A000000}"/>
    <hyperlink ref="B16" r:id="rId12" xr:uid="{00000000-0004-0000-6700-00000B000000}"/>
    <hyperlink ref="B17" r:id="rId13" xr:uid="{00000000-0004-0000-6700-00000C000000}"/>
    <hyperlink ref="B18" r:id="rId14" xr:uid="{00000000-0004-0000-6700-00000D000000}"/>
    <hyperlink ref="B19" r:id="rId15" xr:uid="{00000000-0004-0000-6700-00000E000000}"/>
    <hyperlink ref="B20" r:id="rId16" xr:uid="{00000000-0004-0000-6700-00000F000000}"/>
    <hyperlink ref="B21" r:id="rId17" xr:uid="{00000000-0004-0000-6700-000010000000}"/>
    <hyperlink ref="B22" r:id="rId18" xr:uid="{00000000-0004-0000-6700-000011000000}"/>
    <hyperlink ref="B23" r:id="rId19" xr:uid="{00000000-0004-0000-6700-000012000000}"/>
    <hyperlink ref="B24" r:id="rId20" xr:uid="{00000000-0004-0000-6700-000013000000}"/>
    <hyperlink ref="B25" r:id="rId21" xr:uid="{00000000-0004-0000-6700-000014000000}"/>
    <hyperlink ref="B26" r:id="rId22" xr:uid="{00000000-0004-0000-6700-000015000000}"/>
    <hyperlink ref="B27" r:id="rId23" xr:uid="{00000000-0004-0000-6700-000016000000}"/>
    <hyperlink ref="B28" r:id="rId24" xr:uid="{00000000-0004-0000-6700-000017000000}"/>
    <hyperlink ref="B29" r:id="rId25" xr:uid="{00000000-0004-0000-6700-000018000000}"/>
    <hyperlink ref="B30" r:id="rId26" xr:uid="{00000000-0004-0000-6700-000019000000}"/>
    <hyperlink ref="B31" r:id="rId27" xr:uid="{00000000-0004-0000-6700-00001A000000}"/>
    <hyperlink ref="B32" r:id="rId28" xr:uid="{00000000-0004-0000-6700-00001B000000}"/>
    <hyperlink ref="B33" r:id="rId29" xr:uid="{00000000-0004-0000-6700-00001C000000}"/>
    <hyperlink ref="B34" r:id="rId30" xr:uid="{00000000-0004-0000-6700-00001D000000}"/>
    <hyperlink ref="B35" r:id="rId31" xr:uid="{00000000-0004-0000-6700-00001E000000}"/>
    <hyperlink ref="B36" r:id="rId32" xr:uid="{00000000-0004-0000-6700-00001F000000}"/>
    <hyperlink ref="B37" r:id="rId33" xr:uid="{00000000-0004-0000-6700-000020000000}"/>
    <hyperlink ref="B38" r:id="rId34" xr:uid="{00000000-0004-0000-6700-000021000000}"/>
    <hyperlink ref="B39" r:id="rId35" xr:uid="{00000000-0004-0000-6700-000022000000}"/>
    <hyperlink ref="B40" r:id="rId36" xr:uid="{00000000-0004-0000-6700-000023000000}"/>
    <hyperlink ref="B41" r:id="rId37" xr:uid="{00000000-0004-0000-6700-000024000000}"/>
    <hyperlink ref="B42" r:id="rId38" xr:uid="{00000000-0004-0000-6700-000025000000}"/>
    <hyperlink ref="B43" r:id="rId39" xr:uid="{00000000-0004-0000-6700-000026000000}"/>
    <hyperlink ref="B44" r:id="rId40" xr:uid="{00000000-0004-0000-6700-000027000000}"/>
    <hyperlink ref="B45" r:id="rId41" xr:uid="{00000000-0004-0000-6700-000028000000}"/>
    <hyperlink ref="B46" r:id="rId42" xr:uid="{00000000-0004-0000-6700-000029000000}"/>
    <hyperlink ref="B47" r:id="rId43" xr:uid="{00000000-0004-0000-6700-00002A000000}"/>
    <hyperlink ref="B48" r:id="rId44" xr:uid="{00000000-0004-0000-6700-00002B000000}"/>
    <hyperlink ref="B49" r:id="rId45" xr:uid="{00000000-0004-0000-6700-00002C000000}"/>
    <hyperlink ref="B50" r:id="rId46" xr:uid="{00000000-0004-0000-6700-00002D000000}"/>
    <hyperlink ref="B51" r:id="rId47" xr:uid="{00000000-0004-0000-6700-00002E000000}"/>
    <hyperlink ref="B52" r:id="rId48" xr:uid="{00000000-0004-0000-6700-00002F000000}"/>
    <hyperlink ref="B53" r:id="rId49" xr:uid="{00000000-0004-0000-6700-000030000000}"/>
    <hyperlink ref="B54" r:id="rId50" xr:uid="{00000000-0004-0000-6700-000031000000}"/>
    <hyperlink ref="B55" r:id="rId51" xr:uid="{00000000-0004-0000-6700-000032000000}"/>
    <hyperlink ref="B56" r:id="rId52" xr:uid="{00000000-0004-0000-6700-000033000000}"/>
    <hyperlink ref="B57" r:id="rId53" xr:uid="{00000000-0004-0000-6700-000034000000}"/>
    <hyperlink ref="B58" r:id="rId54" xr:uid="{00000000-0004-0000-6700-000035000000}"/>
    <hyperlink ref="B59" r:id="rId55" xr:uid="{00000000-0004-0000-6700-000036000000}"/>
    <hyperlink ref="B60" r:id="rId56" xr:uid="{00000000-0004-0000-6700-000037000000}"/>
    <hyperlink ref="B61" r:id="rId57" xr:uid="{00000000-0004-0000-6700-000038000000}"/>
    <hyperlink ref="B62" r:id="rId58" xr:uid="{00000000-0004-0000-6700-000039000000}"/>
    <hyperlink ref="B63" r:id="rId59" xr:uid="{00000000-0004-0000-6700-00003A000000}"/>
    <hyperlink ref="B64" r:id="rId60" xr:uid="{00000000-0004-0000-6700-00003B000000}"/>
    <hyperlink ref="B65" r:id="rId61" xr:uid="{00000000-0004-0000-6700-00003C000000}"/>
    <hyperlink ref="B66" r:id="rId62" xr:uid="{00000000-0004-0000-6700-00003D000000}"/>
    <hyperlink ref="B67" r:id="rId63" xr:uid="{00000000-0004-0000-6700-00003E000000}"/>
    <hyperlink ref="B68" r:id="rId64" xr:uid="{00000000-0004-0000-6700-00003F000000}"/>
    <hyperlink ref="B69" r:id="rId65" xr:uid="{00000000-0004-0000-6700-000040000000}"/>
    <hyperlink ref="B70" r:id="rId66" xr:uid="{00000000-0004-0000-6700-000041000000}"/>
    <hyperlink ref="B71" r:id="rId67" xr:uid="{00000000-0004-0000-6700-000042000000}"/>
    <hyperlink ref="B72" r:id="rId68" xr:uid="{00000000-0004-0000-6700-000043000000}"/>
    <hyperlink ref="B73" r:id="rId69" xr:uid="{00000000-0004-0000-6700-000044000000}"/>
    <hyperlink ref="B74" r:id="rId70" xr:uid="{00000000-0004-0000-6700-000045000000}"/>
    <hyperlink ref="B75" r:id="rId71" xr:uid="{00000000-0004-0000-6700-000046000000}"/>
    <hyperlink ref="B76" r:id="rId72" xr:uid="{00000000-0004-0000-6700-000047000000}"/>
    <hyperlink ref="B77" r:id="rId73" xr:uid="{00000000-0004-0000-6700-000048000000}"/>
    <hyperlink ref="B78" r:id="rId74" xr:uid="{00000000-0004-0000-6700-000049000000}"/>
    <hyperlink ref="B79" r:id="rId75" xr:uid="{00000000-0004-0000-6700-00004A000000}"/>
    <hyperlink ref="B80" r:id="rId76" xr:uid="{00000000-0004-0000-6700-00004B000000}"/>
    <hyperlink ref="B81" r:id="rId77" xr:uid="{00000000-0004-0000-6700-00004C000000}"/>
    <hyperlink ref="B82" r:id="rId78" xr:uid="{00000000-0004-0000-6700-00004D000000}"/>
    <hyperlink ref="B83" r:id="rId79" xr:uid="{00000000-0004-0000-6700-00004E000000}"/>
    <hyperlink ref="B84" r:id="rId80" xr:uid="{00000000-0004-0000-6700-00004F000000}"/>
    <hyperlink ref="B85" r:id="rId81" xr:uid="{00000000-0004-0000-6700-000050000000}"/>
    <hyperlink ref="B86" r:id="rId82" xr:uid="{00000000-0004-0000-6700-000051000000}"/>
    <hyperlink ref="B87" r:id="rId83" xr:uid="{00000000-0004-0000-6700-000052000000}"/>
    <hyperlink ref="B88" r:id="rId84" xr:uid="{00000000-0004-0000-6700-000053000000}"/>
    <hyperlink ref="B89" r:id="rId85" xr:uid="{00000000-0004-0000-6700-000054000000}"/>
    <hyperlink ref="B90" r:id="rId86" xr:uid="{00000000-0004-0000-6700-000055000000}"/>
    <hyperlink ref="B91" r:id="rId87" xr:uid="{00000000-0004-0000-6700-000056000000}"/>
    <hyperlink ref="B92" r:id="rId88" xr:uid="{00000000-0004-0000-6700-000057000000}"/>
    <hyperlink ref="B93" r:id="rId89" xr:uid="{00000000-0004-0000-6700-000058000000}"/>
    <hyperlink ref="B94" r:id="rId90" xr:uid="{00000000-0004-0000-6700-000059000000}"/>
    <hyperlink ref="B95" r:id="rId91" xr:uid="{00000000-0004-0000-6700-00005A000000}"/>
    <hyperlink ref="B96" r:id="rId92" xr:uid="{00000000-0004-0000-6700-00005B000000}"/>
    <hyperlink ref="B97" r:id="rId93" xr:uid="{00000000-0004-0000-6700-00005C000000}"/>
    <hyperlink ref="B98" r:id="rId94" xr:uid="{00000000-0004-0000-6700-00005D000000}"/>
    <hyperlink ref="B99" r:id="rId95" xr:uid="{00000000-0004-0000-6700-00005E000000}"/>
    <hyperlink ref="B100" r:id="rId96" xr:uid="{00000000-0004-0000-6700-00005F000000}"/>
    <hyperlink ref="B101" r:id="rId97" xr:uid="{00000000-0004-0000-6700-000060000000}"/>
    <hyperlink ref="B102" r:id="rId98" xr:uid="{00000000-0004-0000-6700-000061000000}"/>
    <hyperlink ref="B103" r:id="rId99" xr:uid="{00000000-0004-0000-6700-000062000000}"/>
    <hyperlink ref="B104" r:id="rId100" xr:uid="{00000000-0004-0000-6700-000063000000}"/>
    <hyperlink ref="B105" r:id="rId101" xr:uid="{00000000-0004-0000-6700-000064000000}"/>
    <hyperlink ref="B106" r:id="rId102" xr:uid="{00000000-0004-0000-6700-000065000000}"/>
    <hyperlink ref="B107" r:id="rId103" xr:uid="{00000000-0004-0000-6700-000066000000}"/>
    <hyperlink ref="B108" r:id="rId104" xr:uid="{00000000-0004-0000-6700-000067000000}"/>
    <hyperlink ref="B109" r:id="rId105" xr:uid="{00000000-0004-0000-6700-000068000000}"/>
    <hyperlink ref="B110" r:id="rId106" xr:uid="{00000000-0004-0000-6700-000069000000}"/>
    <hyperlink ref="B111" r:id="rId107" xr:uid="{00000000-0004-0000-6700-00006A000000}"/>
    <hyperlink ref="B112" r:id="rId108" xr:uid="{00000000-0004-0000-6700-00006B000000}"/>
    <hyperlink ref="B113" r:id="rId109" xr:uid="{00000000-0004-0000-6700-00006C000000}"/>
    <hyperlink ref="B114" r:id="rId110" xr:uid="{00000000-0004-0000-6700-00006D000000}"/>
    <hyperlink ref="B115" r:id="rId111" xr:uid="{00000000-0004-0000-6700-00006E000000}"/>
    <hyperlink ref="B116" r:id="rId112" xr:uid="{00000000-0004-0000-6700-00006F000000}"/>
    <hyperlink ref="B117" r:id="rId113" xr:uid="{00000000-0004-0000-6700-000070000000}"/>
    <hyperlink ref="B118" r:id="rId114" xr:uid="{00000000-0004-0000-6700-000071000000}"/>
    <hyperlink ref="B119" r:id="rId115" xr:uid="{00000000-0004-0000-6700-000072000000}"/>
    <hyperlink ref="B120" r:id="rId116" xr:uid="{00000000-0004-0000-6700-000073000000}"/>
    <hyperlink ref="B121" r:id="rId117" xr:uid="{00000000-0004-0000-6700-000074000000}"/>
    <hyperlink ref="B122" r:id="rId118" xr:uid="{00000000-0004-0000-6700-000075000000}"/>
    <hyperlink ref="B123" r:id="rId119" xr:uid="{00000000-0004-0000-6700-000076000000}"/>
    <hyperlink ref="B124" r:id="rId120" xr:uid="{00000000-0004-0000-6700-000077000000}"/>
    <hyperlink ref="B125" r:id="rId121" xr:uid="{00000000-0004-0000-6700-000078000000}"/>
    <hyperlink ref="B126" r:id="rId122" xr:uid="{00000000-0004-0000-6700-000079000000}"/>
    <hyperlink ref="B127" r:id="rId123" xr:uid="{00000000-0004-0000-6700-00007A000000}"/>
    <hyperlink ref="B128" r:id="rId124" xr:uid="{00000000-0004-0000-6700-00007B000000}"/>
    <hyperlink ref="B129" r:id="rId125" xr:uid="{00000000-0004-0000-6700-00007C000000}"/>
    <hyperlink ref="B130" r:id="rId126" xr:uid="{00000000-0004-0000-6700-00007D000000}"/>
    <hyperlink ref="B131" r:id="rId127" xr:uid="{00000000-0004-0000-6700-00007E000000}"/>
    <hyperlink ref="B132" r:id="rId128" xr:uid="{00000000-0004-0000-6700-00007F000000}"/>
    <hyperlink ref="B133" r:id="rId129" xr:uid="{00000000-0004-0000-6700-000080000000}"/>
    <hyperlink ref="B134" r:id="rId130" xr:uid="{00000000-0004-0000-6700-000081000000}"/>
    <hyperlink ref="B135" r:id="rId131" xr:uid="{00000000-0004-0000-6700-000082000000}"/>
    <hyperlink ref="B136" r:id="rId132" xr:uid="{00000000-0004-0000-6700-000083000000}"/>
    <hyperlink ref="B137" r:id="rId133" xr:uid="{00000000-0004-0000-6700-000084000000}"/>
    <hyperlink ref="B138" r:id="rId134" xr:uid="{00000000-0004-0000-6700-000085000000}"/>
    <hyperlink ref="B139" r:id="rId135" xr:uid="{00000000-0004-0000-6700-000086000000}"/>
    <hyperlink ref="B140" r:id="rId136" xr:uid="{00000000-0004-0000-6700-000087000000}"/>
    <hyperlink ref="B141" r:id="rId137" xr:uid="{00000000-0004-0000-6700-000088000000}"/>
    <hyperlink ref="B142" r:id="rId138" xr:uid="{00000000-0004-0000-6700-000089000000}"/>
    <hyperlink ref="B143" r:id="rId139" xr:uid="{00000000-0004-0000-6700-00008A000000}"/>
    <hyperlink ref="B144" r:id="rId140" xr:uid="{00000000-0004-0000-6700-00008B000000}"/>
    <hyperlink ref="B145" r:id="rId141" xr:uid="{00000000-0004-0000-6700-00008C000000}"/>
    <hyperlink ref="B146" r:id="rId142" xr:uid="{00000000-0004-0000-6700-00008D000000}"/>
    <hyperlink ref="B147" r:id="rId143" xr:uid="{00000000-0004-0000-6700-00008E000000}"/>
    <hyperlink ref="B148" r:id="rId144" xr:uid="{00000000-0004-0000-6700-00008F000000}"/>
    <hyperlink ref="B149" r:id="rId145" xr:uid="{00000000-0004-0000-6700-000090000000}"/>
    <hyperlink ref="B150" r:id="rId146" xr:uid="{00000000-0004-0000-6700-000091000000}"/>
    <hyperlink ref="B151" r:id="rId147" xr:uid="{00000000-0004-0000-6700-000092000000}"/>
    <hyperlink ref="B152" r:id="rId148" xr:uid="{00000000-0004-0000-6700-000093000000}"/>
    <hyperlink ref="B153" r:id="rId149" xr:uid="{00000000-0004-0000-6700-000094000000}"/>
    <hyperlink ref="B154" r:id="rId150" xr:uid="{00000000-0004-0000-6700-000095000000}"/>
    <hyperlink ref="B155" r:id="rId151" xr:uid="{00000000-0004-0000-6700-000096000000}"/>
    <hyperlink ref="B156" r:id="rId152" xr:uid="{00000000-0004-0000-6700-000097000000}"/>
    <hyperlink ref="B157" r:id="rId153" xr:uid="{00000000-0004-0000-6700-000098000000}"/>
    <hyperlink ref="B158" r:id="rId154" xr:uid="{00000000-0004-0000-6700-000099000000}"/>
    <hyperlink ref="B159" r:id="rId155" xr:uid="{00000000-0004-0000-6700-00009A000000}"/>
    <hyperlink ref="B160" r:id="rId156" xr:uid="{00000000-0004-0000-6700-00009B000000}"/>
    <hyperlink ref="B161" r:id="rId157" xr:uid="{00000000-0004-0000-6700-00009C000000}"/>
    <hyperlink ref="B162" r:id="rId158" xr:uid="{00000000-0004-0000-6700-00009D000000}"/>
    <hyperlink ref="B163" r:id="rId159" xr:uid="{00000000-0004-0000-6700-00009E000000}"/>
    <hyperlink ref="B164" r:id="rId160" xr:uid="{00000000-0004-0000-6700-00009F000000}"/>
    <hyperlink ref="B165" r:id="rId161" xr:uid="{00000000-0004-0000-6700-0000A0000000}"/>
    <hyperlink ref="B166" r:id="rId162" xr:uid="{00000000-0004-0000-6700-0000A1000000}"/>
    <hyperlink ref="B167" r:id="rId163" xr:uid="{00000000-0004-0000-6700-0000A2000000}"/>
    <hyperlink ref="B168" r:id="rId164" xr:uid="{00000000-0004-0000-6700-0000A3000000}"/>
    <hyperlink ref="B169" r:id="rId165" xr:uid="{00000000-0004-0000-6700-0000A4000000}"/>
    <hyperlink ref="B170" r:id="rId166" xr:uid="{00000000-0004-0000-6700-0000A5000000}"/>
    <hyperlink ref="B171" r:id="rId167" xr:uid="{00000000-0004-0000-6700-0000A6000000}"/>
    <hyperlink ref="B172" r:id="rId168" xr:uid="{00000000-0004-0000-6700-0000A7000000}"/>
    <hyperlink ref="B173" r:id="rId169" xr:uid="{00000000-0004-0000-6700-0000A8000000}"/>
    <hyperlink ref="B174" r:id="rId170" xr:uid="{00000000-0004-0000-6700-0000A9000000}"/>
    <hyperlink ref="B175" r:id="rId171" xr:uid="{00000000-0004-0000-6700-0000AA000000}"/>
    <hyperlink ref="B176" r:id="rId172" xr:uid="{00000000-0004-0000-6700-0000AB000000}"/>
    <hyperlink ref="B177" r:id="rId173" xr:uid="{00000000-0004-0000-6700-0000AC000000}"/>
    <hyperlink ref="B178" r:id="rId174" xr:uid="{00000000-0004-0000-6700-0000AD000000}"/>
    <hyperlink ref="B179" r:id="rId175" xr:uid="{00000000-0004-0000-6700-0000AE000000}"/>
    <hyperlink ref="B180" r:id="rId176" xr:uid="{00000000-0004-0000-6700-0000AF000000}"/>
    <hyperlink ref="B181" r:id="rId177" xr:uid="{00000000-0004-0000-6700-0000B0000000}"/>
    <hyperlink ref="B182" r:id="rId178" xr:uid="{00000000-0004-0000-6700-0000B1000000}"/>
    <hyperlink ref="B183" r:id="rId179" xr:uid="{00000000-0004-0000-6700-0000B2000000}"/>
    <hyperlink ref="B184" r:id="rId180" xr:uid="{00000000-0004-0000-6700-0000B3000000}"/>
    <hyperlink ref="B185" r:id="rId181" xr:uid="{00000000-0004-0000-6700-0000B4000000}"/>
    <hyperlink ref="B186" r:id="rId182" xr:uid="{00000000-0004-0000-6700-0000B5000000}"/>
    <hyperlink ref="B187" r:id="rId183" xr:uid="{00000000-0004-0000-6700-0000B6000000}"/>
    <hyperlink ref="B188" r:id="rId184" xr:uid="{00000000-0004-0000-6700-0000B7000000}"/>
    <hyperlink ref="B189" r:id="rId185" xr:uid="{00000000-0004-0000-6700-0000B8000000}"/>
    <hyperlink ref="B190" r:id="rId186" xr:uid="{00000000-0004-0000-6700-0000B9000000}"/>
    <hyperlink ref="B191" r:id="rId187" xr:uid="{00000000-0004-0000-6700-0000BA000000}"/>
    <hyperlink ref="B192" r:id="rId188" xr:uid="{00000000-0004-0000-6700-0000BB000000}"/>
    <hyperlink ref="B193" r:id="rId189" xr:uid="{00000000-0004-0000-6700-0000BC000000}"/>
    <hyperlink ref="B194" r:id="rId190" xr:uid="{00000000-0004-0000-6700-0000BD000000}"/>
    <hyperlink ref="B195" r:id="rId191" xr:uid="{00000000-0004-0000-6700-0000BE000000}"/>
    <hyperlink ref="B196" r:id="rId192" xr:uid="{00000000-0004-0000-6700-0000BF000000}"/>
    <hyperlink ref="B197" r:id="rId193" xr:uid="{00000000-0004-0000-6700-0000C0000000}"/>
    <hyperlink ref="B198" r:id="rId194" xr:uid="{00000000-0004-0000-6700-0000C1000000}"/>
    <hyperlink ref="B199" r:id="rId195" xr:uid="{00000000-0004-0000-6700-0000C2000000}"/>
    <hyperlink ref="B200" r:id="rId196" xr:uid="{00000000-0004-0000-6700-0000C3000000}"/>
    <hyperlink ref="B201" r:id="rId197" xr:uid="{00000000-0004-0000-6700-0000C4000000}"/>
    <hyperlink ref="B202" r:id="rId198" xr:uid="{00000000-0004-0000-6700-0000C5000000}"/>
    <hyperlink ref="B203" r:id="rId199" xr:uid="{00000000-0004-0000-6700-0000C6000000}"/>
    <hyperlink ref="B204" r:id="rId200" xr:uid="{00000000-0004-0000-6700-0000C7000000}"/>
    <hyperlink ref="B205" r:id="rId201" xr:uid="{00000000-0004-0000-6700-0000C8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5">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17.6640625" customWidth="1"/>
    <col min="4" max="4" width="14" customWidth="1"/>
    <col min="5" max="5" width="15.1640625" customWidth="1"/>
  </cols>
  <sheetData>
    <row r="1" spans="1:10" ht="15.75" customHeight="1">
      <c r="A1" s="131" t="s">
        <v>94</v>
      </c>
      <c r="B1" s="88"/>
      <c r="C1" s="112"/>
      <c r="D1" s="81" t="s">
        <v>181</v>
      </c>
      <c r="E1" s="87"/>
      <c r="F1" s="87"/>
      <c r="G1" s="87"/>
      <c r="H1" s="88"/>
      <c r="I1" s="88"/>
    </row>
    <row r="2" spans="1:10" ht="15.75" customHeight="1">
      <c r="A2" s="88" t="s">
        <v>182</v>
      </c>
      <c r="B2" s="139">
        <v>44099</v>
      </c>
      <c r="C2" s="112"/>
      <c r="D2" s="82">
        <f>SUM(D5:G84)</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51" t="s">
        <v>9638</v>
      </c>
      <c r="B5" s="61" t="s">
        <v>8697</v>
      </c>
      <c r="C5" s="51" t="s">
        <v>205</v>
      </c>
      <c r="D5" s="54"/>
      <c r="E5" s="86"/>
      <c r="F5" s="86"/>
      <c r="G5" s="87"/>
      <c r="H5" s="88"/>
      <c r="I5" s="88"/>
      <c r="J5" s="88"/>
    </row>
    <row r="6" spans="1:10" ht="15.75" customHeight="1">
      <c r="A6" s="51" t="s">
        <v>9639</v>
      </c>
      <c r="B6" s="60" t="s">
        <v>300</v>
      </c>
      <c r="C6" s="51" t="s">
        <v>205</v>
      </c>
      <c r="D6" s="51"/>
      <c r="E6" s="86"/>
      <c r="F6" s="86"/>
      <c r="G6" s="87"/>
      <c r="H6" s="88"/>
      <c r="I6" s="88"/>
      <c r="J6" s="88"/>
    </row>
    <row r="7" spans="1:10" ht="15.75" customHeight="1">
      <c r="A7" s="51" t="s">
        <v>9640</v>
      </c>
      <c r="B7" s="60" t="s">
        <v>266</v>
      </c>
      <c r="C7" s="51" t="s">
        <v>205</v>
      </c>
      <c r="D7" s="51"/>
      <c r="E7" s="86"/>
      <c r="F7" s="86"/>
      <c r="G7" s="87"/>
      <c r="H7" s="88"/>
      <c r="I7" s="88"/>
    </row>
    <row r="8" spans="1:10" ht="15.75" customHeight="1">
      <c r="A8" s="51" t="s">
        <v>9641</v>
      </c>
      <c r="B8" s="60" t="s">
        <v>253</v>
      </c>
      <c r="C8" s="51" t="s">
        <v>205</v>
      </c>
      <c r="D8" s="51"/>
      <c r="E8" s="86"/>
      <c r="F8" s="86"/>
      <c r="G8" s="87"/>
      <c r="H8" s="88"/>
      <c r="I8" s="88"/>
    </row>
    <row r="9" spans="1:10" ht="15.75" customHeight="1">
      <c r="A9" s="51" t="s">
        <v>9642</v>
      </c>
      <c r="B9" s="61" t="s">
        <v>8672</v>
      </c>
      <c r="C9" s="51" t="s">
        <v>205</v>
      </c>
      <c r="D9" s="54"/>
      <c r="E9" s="86"/>
      <c r="F9" s="86"/>
      <c r="G9" s="87"/>
      <c r="H9" s="88"/>
      <c r="I9" s="88"/>
    </row>
    <row r="10" spans="1:10" ht="15.75" customHeight="1">
      <c r="A10" s="51" t="s">
        <v>9643</v>
      </c>
      <c r="B10" s="60" t="s">
        <v>299</v>
      </c>
      <c r="C10" s="51" t="s">
        <v>199</v>
      </c>
      <c r="D10" s="51"/>
      <c r="E10" s="86"/>
      <c r="F10" s="86"/>
      <c r="G10" s="87"/>
      <c r="H10" s="88"/>
      <c r="I10" s="88"/>
    </row>
    <row r="11" spans="1:10" ht="15.75" customHeight="1">
      <c r="A11" s="51" t="s">
        <v>9644</v>
      </c>
      <c r="B11" s="60" t="s">
        <v>4053</v>
      </c>
      <c r="C11" s="51" t="s">
        <v>199</v>
      </c>
      <c r="D11" s="54"/>
      <c r="E11" s="86"/>
      <c r="F11" s="86"/>
      <c r="G11" s="87"/>
      <c r="H11" s="88"/>
      <c r="I11" s="88"/>
    </row>
    <row r="12" spans="1:10" ht="15.75" customHeight="1">
      <c r="A12" s="51" t="s">
        <v>9645</v>
      </c>
      <c r="B12" s="61" t="s">
        <v>9646</v>
      </c>
      <c r="C12" s="51" t="s">
        <v>199</v>
      </c>
      <c r="D12" s="54"/>
      <c r="E12" s="86"/>
      <c r="F12" s="86"/>
      <c r="G12" s="87"/>
      <c r="H12" s="88"/>
      <c r="I12" s="88"/>
    </row>
    <row r="13" spans="1:10" ht="15.75" customHeight="1">
      <c r="A13" s="51" t="s">
        <v>9647</v>
      </c>
      <c r="B13" s="60" t="s">
        <v>8918</v>
      </c>
      <c r="C13" s="51" t="s">
        <v>199</v>
      </c>
      <c r="D13" s="51"/>
      <c r="E13" s="86"/>
      <c r="F13" s="87"/>
      <c r="G13" s="87"/>
      <c r="H13" s="88"/>
      <c r="I13" s="88"/>
    </row>
    <row r="14" spans="1:10" ht="15.75" customHeight="1">
      <c r="A14" s="51" t="s">
        <v>9648</v>
      </c>
      <c r="B14" s="60" t="s">
        <v>8618</v>
      </c>
      <c r="C14" s="51" t="s">
        <v>199</v>
      </c>
      <c r="D14" s="54"/>
      <c r="E14" s="86"/>
      <c r="F14" s="86"/>
      <c r="G14" s="87"/>
      <c r="H14" s="88"/>
      <c r="I14" s="88"/>
    </row>
    <row r="15" spans="1:10" ht="15.75" customHeight="1">
      <c r="A15" s="51" t="s">
        <v>9649</v>
      </c>
      <c r="B15" s="60" t="s">
        <v>1288</v>
      </c>
      <c r="C15" s="51" t="s">
        <v>208</v>
      </c>
      <c r="D15" s="51"/>
      <c r="E15" s="86"/>
      <c r="F15" s="86"/>
      <c r="G15" s="87"/>
      <c r="H15" s="88"/>
      <c r="I15" s="88"/>
    </row>
    <row r="16" spans="1:10" ht="15.75" customHeight="1">
      <c r="A16" s="51" t="s">
        <v>9650</v>
      </c>
      <c r="B16" s="60" t="s">
        <v>1246</v>
      </c>
      <c r="C16" s="51" t="s">
        <v>208</v>
      </c>
      <c r="D16" s="51"/>
      <c r="E16" s="86"/>
      <c r="F16" s="86"/>
      <c r="G16" s="87"/>
      <c r="H16" s="88"/>
      <c r="I16" s="88"/>
    </row>
    <row r="17" spans="1:9" ht="15.75" customHeight="1">
      <c r="A17" s="51" t="s">
        <v>9651</v>
      </c>
      <c r="B17" s="61" t="s">
        <v>9652</v>
      </c>
      <c r="C17" s="51" t="s">
        <v>208</v>
      </c>
      <c r="D17" s="5"/>
      <c r="F17" s="86"/>
      <c r="G17" s="87"/>
      <c r="H17" s="88"/>
      <c r="I17" s="88"/>
    </row>
    <row r="18" spans="1:9" ht="15.75" customHeight="1">
      <c r="A18" s="51" t="s">
        <v>9653</v>
      </c>
      <c r="B18" s="61" t="s">
        <v>9654</v>
      </c>
      <c r="C18" s="51" t="s">
        <v>208</v>
      </c>
      <c r="D18" s="51"/>
      <c r="E18" s="86"/>
      <c r="F18" s="86"/>
      <c r="G18" s="87"/>
      <c r="H18" s="88"/>
      <c r="I18" s="88"/>
    </row>
    <row r="19" spans="1:9" ht="15.75" customHeight="1">
      <c r="A19" s="51" t="s">
        <v>9655</v>
      </c>
      <c r="B19" s="61" t="s">
        <v>9656</v>
      </c>
      <c r="C19" s="51" t="s">
        <v>208</v>
      </c>
      <c r="D19" s="51"/>
      <c r="E19" s="86"/>
      <c r="F19" s="86"/>
      <c r="G19" s="87"/>
      <c r="H19" s="88"/>
      <c r="I19" s="88"/>
    </row>
    <row r="20" spans="1:9" ht="15.75" customHeight="1">
      <c r="A20" s="51" t="s">
        <v>9657</v>
      </c>
      <c r="B20" s="61" t="s">
        <v>8707</v>
      </c>
      <c r="C20" s="51" t="s">
        <v>195</v>
      </c>
      <c r="D20" s="54"/>
      <c r="E20" s="86"/>
      <c r="F20" s="86"/>
      <c r="G20" s="87"/>
      <c r="H20" s="88"/>
      <c r="I20" s="88"/>
    </row>
    <row r="21" spans="1:9" ht="15.75" customHeight="1">
      <c r="A21" s="51" t="s">
        <v>9658</v>
      </c>
      <c r="B21" s="61" t="s">
        <v>9659</v>
      </c>
      <c r="C21" s="51" t="s">
        <v>195</v>
      </c>
      <c r="D21" s="54"/>
      <c r="E21" s="86"/>
      <c r="F21" s="89"/>
      <c r="G21" s="87"/>
      <c r="H21" s="88"/>
      <c r="I21" s="88"/>
    </row>
    <row r="22" spans="1:9" ht="15.75" customHeight="1">
      <c r="A22" s="51" t="s">
        <v>9660</v>
      </c>
      <c r="B22" s="60" t="s">
        <v>8604</v>
      </c>
      <c r="C22" s="51" t="s">
        <v>195</v>
      </c>
      <c r="D22" s="51"/>
      <c r="E22" s="86"/>
      <c r="F22" s="87"/>
      <c r="G22" s="87"/>
      <c r="H22" s="88"/>
      <c r="I22" s="88"/>
    </row>
    <row r="23" spans="1:9" ht="15.75" customHeight="1">
      <c r="A23" s="51" t="s">
        <v>9661</v>
      </c>
      <c r="B23" s="60" t="s">
        <v>9232</v>
      </c>
      <c r="C23" s="51" t="s">
        <v>195</v>
      </c>
      <c r="D23" s="51"/>
      <c r="E23" s="51"/>
    </row>
    <row r="24" spans="1:9" ht="15.75" customHeight="1">
      <c r="A24" s="51" t="s">
        <v>9662</v>
      </c>
      <c r="B24" s="60" t="s">
        <v>9234</v>
      </c>
      <c r="C24" s="51" t="s">
        <v>195</v>
      </c>
      <c r="D24" s="51"/>
      <c r="E24" s="86"/>
      <c r="F24" s="87"/>
      <c r="G24" s="87"/>
      <c r="H24" s="88"/>
      <c r="I24" s="88"/>
    </row>
    <row r="25" spans="1:9" ht="15.75" customHeight="1">
      <c r="A25" s="51" t="s">
        <v>9663</v>
      </c>
      <c r="B25" s="61" t="s">
        <v>9226</v>
      </c>
      <c r="C25" s="51" t="s">
        <v>195</v>
      </c>
      <c r="D25" s="51"/>
      <c r="E25" s="86"/>
      <c r="F25" s="89"/>
      <c r="G25" s="87"/>
      <c r="H25" s="88"/>
      <c r="I25" s="88"/>
    </row>
    <row r="26" spans="1:9" ht="15.75" customHeight="1">
      <c r="A26" s="51" t="s">
        <v>9664</v>
      </c>
      <c r="B26" s="61" t="s">
        <v>9665</v>
      </c>
      <c r="C26" s="51" t="s">
        <v>195</v>
      </c>
      <c r="D26" s="51"/>
      <c r="E26" s="86"/>
      <c r="F26" s="86"/>
      <c r="G26" s="87"/>
      <c r="H26" s="88"/>
      <c r="I26" s="88"/>
    </row>
    <row r="27" spans="1:9" ht="15.75" customHeight="1">
      <c r="A27" s="51" t="s">
        <v>9666</v>
      </c>
      <c r="B27" s="61" t="s">
        <v>9667</v>
      </c>
      <c r="C27" s="51" t="s">
        <v>195</v>
      </c>
      <c r="D27" s="54"/>
      <c r="E27" s="86"/>
      <c r="F27" s="89"/>
      <c r="G27" s="87"/>
      <c r="H27" s="88"/>
      <c r="I27" s="88"/>
    </row>
    <row r="28" spans="1:9" ht="15.75" customHeight="1">
      <c r="A28" s="51" t="s">
        <v>9668</v>
      </c>
      <c r="B28" s="60" t="s">
        <v>284</v>
      </c>
      <c r="C28" s="51" t="s">
        <v>225</v>
      </c>
      <c r="D28" s="51"/>
      <c r="E28" s="86"/>
      <c r="F28" s="86"/>
      <c r="G28" s="87"/>
      <c r="H28" s="88"/>
      <c r="I28" s="88"/>
    </row>
    <row r="29" spans="1:9" ht="15.75" customHeight="1">
      <c r="A29" s="51" t="s">
        <v>9669</v>
      </c>
      <c r="B29" s="60" t="s">
        <v>267</v>
      </c>
      <c r="C29" s="51" t="s">
        <v>225</v>
      </c>
      <c r="D29" s="51"/>
      <c r="E29" s="86"/>
      <c r="F29" s="87"/>
      <c r="G29" s="87"/>
      <c r="H29" s="88"/>
      <c r="I29" s="88"/>
    </row>
    <row r="30" spans="1:9" ht="15.75" customHeight="1">
      <c r="A30" s="51" t="s">
        <v>9670</v>
      </c>
      <c r="B30" s="60" t="s">
        <v>230</v>
      </c>
      <c r="C30" s="51" t="s">
        <v>225</v>
      </c>
      <c r="D30" s="54"/>
      <c r="E30" s="86"/>
      <c r="F30" s="86"/>
      <c r="G30" s="87"/>
      <c r="H30" s="88"/>
      <c r="I30" s="88"/>
    </row>
    <row r="31" spans="1:9" ht="15.75" customHeight="1">
      <c r="A31" s="51" t="s">
        <v>9671</v>
      </c>
      <c r="B31" s="61" t="s">
        <v>8866</v>
      </c>
      <c r="C31" s="51" t="s">
        <v>225</v>
      </c>
      <c r="D31" s="51"/>
      <c r="E31" s="86"/>
      <c r="F31" s="87"/>
      <c r="G31" s="87"/>
      <c r="H31" s="88"/>
      <c r="I31" s="88"/>
    </row>
    <row r="32" spans="1:9" ht="15.75" customHeight="1">
      <c r="A32" s="51" t="s">
        <v>9672</v>
      </c>
      <c r="B32" s="60" t="s">
        <v>4913</v>
      </c>
      <c r="C32" s="51" t="s">
        <v>225</v>
      </c>
      <c r="D32" s="54"/>
      <c r="E32" s="86"/>
      <c r="F32" s="86"/>
      <c r="G32" s="87"/>
      <c r="H32" s="88"/>
      <c r="I32" s="88"/>
    </row>
    <row r="33" spans="1:9" ht="15.75" customHeight="1">
      <c r="A33" s="51" t="s">
        <v>9673</v>
      </c>
      <c r="B33" s="60" t="s">
        <v>6329</v>
      </c>
      <c r="C33" s="51" t="s">
        <v>225</v>
      </c>
      <c r="D33" s="51"/>
      <c r="E33" s="86"/>
      <c r="F33" s="87"/>
      <c r="G33" s="87"/>
      <c r="H33" s="88"/>
      <c r="I33" s="88"/>
    </row>
    <row r="34" spans="1:9" ht="15.75" customHeight="1">
      <c r="A34" s="51" t="s">
        <v>9674</v>
      </c>
      <c r="B34" s="60" t="s">
        <v>6310</v>
      </c>
      <c r="C34" s="51" t="s">
        <v>225</v>
      </c>
      <c r="D34" s="54"/>
      <c r="E34" s="86"/>
      <c r="F34" s="86"/>
      <c r="G34" s="87"/>
      <c r="H34" s="88"/>
      <c r="I34" s="88"/>
    </row>
    <row r="35" spans="1:9" ht="15.75" customHeight="1">
      <c r="A35" s="51" t="s">
        <v>9675</v>
      </c>
      <c r="B35" s="60" t="s">
        <v>9263</v>
      </c>
      <c r="C35" s="51" t="s">
        <v>225</v>
      </c>
      <c r="D35" s="51"/>
      <c r="E35" s="86"/>
      <c r="F35" s="86"/>
      <c r="G35" s="87"/>
      <c r="H35" s="88"/>
      <c r="I35" s="88"/>
    </row>
    <row r="36" spans="1:9" ht="15.75" customHeight="1">
      <c r="A36" s="51" t="s">
        <v>9676</v>
      </c>
      <c r="B36" s="61" t="s">
        <v>9677</v>
      </c>
      <c r="C36" s="51" t="s">
        <v>225</v>
      </c>
      <c r="D36" s="54"/>
      <c r="E36" s="86"/>
      <c r="F36" s="87"/>
      <c r="G36" s="87"/>
      <c r="H36" s="88"/>
      <c r="I36" s="88"/>
    </row>
    <row r="37" spans="1:9" ht="15.75" customHeight="1">
      <c r="A37" s="51" t="s">
        <v>9678</v>
      </c>
      <c r="B37" s="60" t="s">
        <v>379</v>
      </c>
      <c r="C37" s="51" t="s">
        <v>808</v>
      </c>
      <c r="D37" s="51"/>
      <c r="E37" s="89"/>
      <c r="F37" s="87"/>
      <c r="G37" s="87"/>
      <c r="H37" s="88"/>
      <c r="I37" s="88"/>
    </row>
    <row r="38" spans="1:9" ht="15.75" customHeight="1">
      <c r="A38" s="51" t="s">
        <v>9679</v>
      </c>
      <c r="B38" s="60" t="s">
        <v>366</v>
      </c>
      <c r="C38" s="51" t="s">
        <v>808</v>
      </c>
      <c r="D38" s="51"/>
      <c r="E38" s="86"/>
      <c r="F38" s="87"/>
      <c r="G38" s="87"/>
      <c r="H38" s="88"/>
      <c r="I38" s="88"/>
    </row>
    <row r="39" spans="1:9" ht="15.75" customHeight="1">
      <c r="A39" s="51" t="s">
        <v>9680</v>
      </c>
      <c r="B39" s="60" t="s">
        <v>9014</v>
      </c>
      <c r="C39" s="51" t="s">
        <v>808</v>
      </c>
      <c r="D39" s="51"/>
      <c r="E39" s="86"/>
      <c r="F39" s="86"/>
      <c r="G39" s="87"/>
      <c r="H39" s="88"/>
      <c r="I39" s="88"/>
    </row>
    <row r="40" spans="1:9" ht="15.75" customHeight="1">
      <c r="A40" s="51" t="s">
        <v>9681</v>
      </c>
      <c r="B40" s="60" t="s">
        <v>9016</v>
      </c>
      <c r="C40" s="51" t="s">
        <v>808</v>
      </c>
      <c r="D40" s="51"/>
      <c r="E40" s="86"/>
      <c r="F40" s="87"/>
      <c r="G40" s="87"/>
      <c r="H40" s="88"/>
      <c r="I40" s="88"/>
    </row>
    <row r="41" spans="1:9" ht="15.75" customHeight="1">
      <c r="A41" s="51" t="s">
        <v>9682</v>
      </c>
      <c r="B41" s="60" t="s">
        <v>8637</v>
      </c>
      <c r="C41" s="51" t="s">
        <v>808</v>
      </c>
      <c r="D41" s="54"/>
      <c r="E41" s="86"/>
      <c r="F41" s="86"/>
      <c r="G41" s="87"/>
      <c r="H41" s="88"/>
      <c r="I41" s="88"/>
    </row>
    <row r="42" spans="1:9" ht="15.75" customHeight="1">
      <c r="A42" s="51" t="s">
        <v>9683</v>
      </c>
      <c r="B42" s="60" t="s">
        <v>1491</v>
      </c>
      <c r="C42" s="51" t="s">
        <v>808</v>
      </c>
      <c r="D42" s="51"/>
      <c r="E42" s="86"/>
      <c r="F42" s="87"/>
      <c r="G42" s="87"/>
      <c r="H42" s="88"/>
      <c r="I42" s="88"/>
    </row>
    <row r="43" spans="1:9" ht="15.75" customHeight="1">
      <c r="A43" s="51" t="s">
        <v>9684</v>
      </c>
      <c r="B43" s="60" t="s">
        <v>4188</v>
      </c>
      <c r="C43" s="51" t="s">
        <v>808</v>
      </c>
      <c r="D43" s="51"/>
      <c r="E43" s="86"/>
      <c r="F43" s="86"/>
      <c r="G43" s="87"/>
      <c r="H43" s="88"/>
      <c r="I43" s="88"/>
    </row>
    <row r="44" spans="1:9" ht="15.75" customHeight="1">
      <c r="A44" s="51" t="s">
        <v>9685</v>
      </c>
      <c r="B44" s="60" t="s">
        <v>4445</v>
      </c>
      <c r="C44" s="51" t="s">
        <v>808</v>
      </c>
      <c r="D44" s="51"/>
      <c r="E44" s="86"/>
      <c r="F44" s="86"/>
      <c r="G44" s="87"/>
      <c r="H44" s="88"/>
      <c r="I44" s="88"/>
    </row>
    <row r="45" spans="1:9" ht="15.75" customHeight="1">
      <c r="A45" s="51" t="s">
        <v>9686</v>
      </c>
      <c r="B45" s="60" t="s">
        <v>4132</v>
      </c>
      <c r="C45" s="51" t="s">
        <v>808</v>
      </c>
      <c r="D45" s="51"/>
      <c r="E45" s="86"/>
      <c r="F45" s="87"/>
      <c r="G45" s="87"/>
      <c r="H45" s="88"/>
      <c r="I45" s="88"/>
    </row>
    <row r="46" spans="1:9" ht="15.75" customHeight="1">
      <c r="A46" s="51" t="s">
        <v>9687</v>
      </c>
      <c r="B46" s="60" t="s">
        <v>4133</v>
      </c>
      <c r="C46" s="51" t="s">
        <v>808</v>
      </c>
      <c r="D46" s="54"/>
      <c r="E46" s="86"/>
      <c r="F46" s="86"/>
      <c r="G46" s="87"/>
      <c r="H46" s="88"/>
      <c r="I46" s="88"/>
    </row>
    <row r="47" spans="1:9" ht="15.75" customHeight="1">
      <c r="A47" s="51" t="s">
        <v>9688</v>
      </c>
      <c r="B47" s="60" t="s">
        <v>4079</v>
      </c>
      <c r="C47" s="51" t="s">
        <v>808</v>
      </c>
      <c r="D47" s="51"/>
      <c r="E47" s="89"/>
      <c r="F47" s="87"/>
      <c r="G47" s="87"/>
      <c r="H47" s="88"/>
      <c r="I47" s="88"/>
    </row>
    <row r="48" spans="1:9" ht="15.75" customHeight="1">
      <c r="A48" s="51" t="s">
        <v>9689</v>
      </c>
      <c r="B48" s="60" t="s">
        <v>5011</v>
      </c>
      <c r="C48" s="51" t="s">
        <v>808</v>
      </c>
      <c r="D48" s="51"/>
      <c r="E48" s="86"/>
      <c r="F48" s="86"/>
      <c r="G48" s="87"/>
      <c r="H48" s="88"/>
      <c r="I48" s="88"/>
    </row>
    <row r="49" spans="1:9" ht="15.75" customHeight="1">
      <c r="A49" s="51" t="s">
        <v>9690</v>
      </c>
      <c r="B49" s="60" t="s">
        <v>4811</v>
      </c>
      <c r="C49" s="51" t="s">
        <v>808</v>
      </c>
      <c r="D49" s="51"/>
      <c r="E49" s="86"/>
      <c r="F49" s="87"/>
      <c r="G49" s="87"/>
      <c r="H49" s="88"/>
      <c r="I49" s="88"/>
    </row>
    <row r="50" spans="1:9" ht="15.75" customHeight="1">
      <c r="A50" s="51" t="s">
        <v>9691</v>
      </c>
      <c r="B50" s="60" t="s">
        <v>9024</v>
      </c>
      <c r="C50" s="51" t="s">
        <v>808</v>
      </c>
      <c r="D50" s="51"/>
      <c r="E50" s="86"/>
      <c r="F50" s="87"/>
      <c r="G50" s="87"/>
      <c r="H50" s="88"/>
      <c r="I50" s="88"/>
    </row>
    <row r="51" spans="1:9" ht="15.75" customHeight="1">
      <c r="A51" s="51" t="s">
        <v>9692</v>
      </c>
      <c r="B51" s="61" t="s">
        <v>9693</v>
      </c>
      <c r="C51" s="51" t="s">
        <v>220</v>
      </c>
      <c r="D51" s="51"/>
      <c r="E51" s="89"/>
      <c r="F51" s="87"/>
      <c r="G51" s="87"/>
      <c r="H51" s="88"/>
      <c r="I51" s="88"/>
    </row>
    <row r="52" spans="1:9" ht="15.75" customHeight="1">
      <c r="A52" s="51" t="s">
        <v>9694</v>
      </c>
      <c r="B52" s="60" t="s">
        <v>1587</v>
      </c>
      <c r="C52" s="51" t="s">
        <v>197</v>
      </c>
      <c r="D52" s="51"/>
      <c r="E52" s="86"/>
      <c r="F52" s="87"/>
      <c r="G52" s="87"/>
      <c r="H52" s="88"/>
      <c r="I52" s="88"/>
    </row>
    <row r="53" spans="1:9" ht="13">
      <c r="A53" s="51" t="s">
        <v>9695</v>
      </c>
      <c r="B53" s="60" t="s">
        <v>1493</v>
      </c>
      <c r="C53" s="51" t="s">
        <v>197</v>
      </c>
      <c r="D53" s="54"/>
      <c r="E53" s="86"/>
      <c r="F53" s="86"/>
      <c r="G53" s="87"/>
      <c r="H53" s="88"/>
      <c r="I53" s="88"/>
    </row>
    <row r="54" spans="1:9" ht="13">
      <c r="A54" s="51" t="s">
        <v>9696</v>
      </c>
      <c r="B54" s="60" t="s">
        <v>9068</v>
      </c>
      <c r="C54" s="51" t="s">
        <v>1013</v>
      </c>
      <c r="D54" s="51"/>
      <c r="E54" s="86"/>
      <c r="F54" s="87"/>
      <c r="G54" s="87"/>
      <c r="H54" s="88"/>
      <c r="I54" s="88"/>
    </row>
    <row r="55" spans="1:9" ht="13">
      <c r="A55" s="51" t="s">
        <v>9697</v>
      </c>
      <c r="B55" s="60" t="s">
        <v>308</v>
      </c>
      <c r="C55" s="51" t="s">
        <v>4114</v>
      </c>
      <c r="D55" s="51"/>
      <c r="E55" s="86"/>
      <c r="F55" s="87"/>
      <c r="G55" s="87"/>
      <c r="H55" s="88"/>
      <c r="I55" s="88"/>
    </row>
    <row r="56" spans="1:9" ht="13">
      <c r="A56" s="51" t="s">
        <v>9698</v>
      </c>
      <c r="B56" s="60" t="s">
        <v>2029</v>
      </c>
      <c r="C56" s="51" t="s">
        <v>4114</v>
      </c>
      <c r="D56" s="51"/>
      <c r="E56" s="86"/>
      <c r="F56" s="86"/>
      <c r="G56" s="87"/>
      <c r="H56" s="88"/>
      <c r="I56" s="88"/>
    </row>
    <row r="57" spans="1:9" ht="13">
      <c r="A57" s="51" t="s">
        <v>9699</v>
      </c>
      <c r="B57" s="60" t="s">
        <v>9079</v>
      </c>
      <c r="C57" s="51" t="s">
        <v>1013</v>
      </c>
      <c r="D57" s="51"/>
      <c r="E57" s="86"/>
      <c r="F57" s="86"/>
      <c r="G57" s="87"/>
      <c r="H57" s="88"/>
      <c r="I57" s="88"/>
    </row>
    <row r="58" spans="1:9" ht="13">
      <c r="A58" s="51" t="s">
        <v>9700</v>
      </c>
      <c r="B58" s="60" t="s">
        <v>1181</v>
      </c>
      <c r="C58" s="51" t="s">
        <v>4114</v>
      </c>
      <c r="D58" s="51"/>
      <c r="E58" s="86"/>
      <c r="F58" s="86"/>
      <c r="G58" s="87"/>
      <c r="H58" s="88"/>
      <c r="I58" s="88"/>
    </row>
    <row r="59" spans="1:9" ht="13">
      <c r="A59" s="51" t="s">
        <v>9701</v>
      </c>
      <c r="B59" s="60" t="s">
        <v>9585</v>
      </c>
      <c r="C59" s="51" t="s">
        <v>1013</v>
      </c>
      <c r="D59" s="51"/>
      <c r="E59" s="86"/>
      <c r="F59" s="87"/>
      <c r="G59" s="87"/>
      <c r="H59" s="88"/>
      <c r="I59" s="88"/>
    </row>
    <row r="60" spans="1:9" ht="13">
      <c r="A60" s="51" t="s">
        <v>9702</v>
      </c>
      <c r="B60" s="60" t="s">
        <v>8730</v>
      </c>
      <c r="C60" s="51" t="s">
        <v>1013</v>
      </c>
      <c r="D60" s="54"/>
      <c r="E60" s="86"/>
      <c r="F60" s="86"/>
      <c r="G60" s="87"/>
      <c r="H60" s="88"/>
      <c r="I60" s="88"/>
    </row>
    <row r="61" spans="1:9" ht="13">
      <c r="A61" s="51" t="s">
        <v>9703</v>
      </c>
      <c r="B61" s="60" t="s">
        <v>9334</v>
      </c>
      <c r="C61" s="51" t="s">
        <v>1013</v>
      </c>
      <c r="D61" s="51"/>
      <c r="E61" s="86"/>
      <c r="F61" s="87"/>
      <c r="G61" s="87"/>
      <c r="H61" s="88"/>
      <c r="I61" s="88"/>
    </row>
    <row r="62" spans="1:9" ht="13">
      <c r="A62" s="51" t="s">
        <v>9704</v>
      </c>
      <c r="B62" s="60" t="s">
        <v>9589</v>
      </c>
      <c r="C62" s="51" t="s">
        <v>1013</v>
      </c>
      <c r="D62" s="51"/>
      <c r="E62" s="89"/>
      <c r="F62" s="86"/>
      <c r="G62" s="87"/>
      <c r="H62" s="88"/>
      <c r="I62" s="88"/>
    </row>
    <row r="63" spans="1:9" ht="13">
      <c r="A63" s="51" t="s">
        <v>9705</v>
      </c>
      <c r="B63" s="60" t="s">
        <v>357</v>
      </c>
      <c r="C63" s="51" t="s">
        <v>4114</v>
      </c>
      <c r="D63" s="51"/>
      <c r="E63" s="86"/>
      <c r="F63" s="87"/>
      <c r="G63" s="87"/>
      <c r="H63" s="88"/>
      <c r="I63" s="88"/>
    </row>
    <row r="64" spans="1:9" ht="13">
      <c r="A64" s="51" t="s">
        <v>9706</v>
      </c>
      <c r="B64" s="60" t="s">
        <v>5109</v>
      </c>
      <c r="C64" s="51" t="s">
        <v>1013</v>
      </c>
      <c r="D64" s="51"/>
      <c r="E64" s="86"/>
      <c r="F64" s="87"/>
      <c r="G64" s="87"/>
      <c r="H64" s="88"/>
      <c r="I64" s="88"/>
    </row>
    <row r="65" spans="1:9" ht="13">
      <c r="A65" s="51" t="s">
        <v>9707</v>
      </c>
      <c r="B65" s="60" t="s">
        <v>314</v>
      </c>
      <c r="C65" s="51" t="s">
        <v>4114</v>
      </c>
      <c r="D65" s="51"/>
      <c r="E65" s="86"/>
      <c r="F65" s="86"/>
      <c r="G65" s="87"/>
      <c r="H65" s="88"/>
      <c r="I65" s="88"/>
    </row>
    <row r="66" spans="1:9" ht="13">
      <c r="A66" s="51" t="s">
        <v>9708</v>
      </c>
      <c r="B66" s="60" t="s">
        <v>8784</v>
      </c>
      <c r="C66" s="51" t="s">
        <v>1013</v>
      </c>
      <c r="D66" s="54"/>
      <c r="E66" s="86"/>
      <c r="F66" s="86"/>
      <c r="G66" s="87"/>
      <c r="H66" s="88"/>
      <c r="I66" s="88"/>
    </row>
    <row r="67" spans="1:9" ht="13">
      <c r="A67" s="51" t="s">
        <v>9709</v>
      </c>
      <c r="B67" s="60" t="s">
        <v>9099</v>
      </c>
      <c r="C67" s="51" t="s">
        <v>4114</v>
      </c>
      <c r="D67" s="51"/>
      <c r="E67" s="86"/>
      <c r="F67" s="87"/>
      <c r="G67" s="87"/>
      <c r="H67" s="88"/>
      <c r="I67" s="88"/>
    </row>
    <row r="68" spans="1:9" ht="13">
      <c r="A68" s="51" t="s">
        <v>9710</v>
      </c>
      <c r="B68" s="60" t="s">
        <v>9711</v>
      </c>
      <c r="C68" s="51" t="s">
        <v>4114</v>
      </c>
      <c r="D68" s="51"/>
      <c r="E68" s="86"/>
      <c r="F68" s="86"/>
      <c r="G68" s="87"/>
      <c r="H68" s="88"/>
      <c r="I68" s="88"/>
    </row>
    <row r="69" spans="1:9" ht="13">
      <c r="A69" s="51" t="s">
        <v>9712</v>
      </c>
      <c r="B69" s="60" t="s">
        <v>9344</v>
      </c>
      <c r="C69" s="51" t="s">
        <v>1013</v>
      </c>
      <c r="D69" s="51"/>
      <c r="E69" s="86"/>
      <c r="F69" s="87"/>
      <c r="G69" s="87"/>
      <c r="H69" s="88"/>
      <c r="I69" s="88"/>
    </row>
    <row r="70" spans="1:9" ht="13">
      <c r="A70" s="51" t="s">
        <v>9713</v>
      </c>
      <c r="B70" s="60" t="s">
        <v>9714</v>
      </c>
      <c r="C70" s="51" t="s">
        <v>4114</v>
      </c>
      <c r="D70" s="54"/>
      <c r="E70" s="86"/>
      <c r="F70" s="87"/>
      <c r="G70" s="87"/>
      <c r="H70" s="88"/>
      <c r="I70" s="88"/>
    </row>
    <row r="71" spans="1:9" ht="13">
      <c r="A71" s="51" t="s">
        <v>9715</v>
      </c>
      <c r="B71" s="60" t="s">
        <v>9103</v>
      </c>
      <c r="C71" s="51" t="s">
        <v>1013</v>
      </c>
      <c r="D71" s="51"/>
      <c r="E71" s="86"/>
      <c r="F71" s="86"/>
      <c r="G71" s="87"/>
      <c r="H71" s="88"/>
      <c r="I71" s="88"/>
    </row>
    <row r="72" spans="1:9" ht="13">
      <c r="A72" s="51" t="s">
        <v>9716</v>
      </c>
      <c r="B72" s="60" t="s">
        <v>9349</v>
      </c>
      <c r="C72" s="51" t="s">
        <v>229</v>
      </c>
      <c r="D72" s="51"/>
      <c r="E72" s="86"/>
      <c r="F72" s="87"/>
      <c r="G72" s="87"/>
      <c r="H72" s="88"/>
      <c r="I72" s="88"/>
    </row>
    <row r="73" spans="1:9" ht="13">
      <c r="A73" s="51" t="s">
        <v>9717</v>
      </c>
      <c r="B73" s="61" t="s">
        <v>9654</v>
      </c>
      <c r="C73" s="51" t="s">
        <v>208</v>
      </c>
      <c r="D73" s="54"/>
      <c r="E73" s="86"/>
      <c r="F73" s="87"/>
      <c r="G73" s="87"/>
      <c r="H73" s="88"/>
      <c r="I73" s="88"/>
    </row>
    <row r="74" spans="1:9" ht="13">
      <c r="A74" s="51" t="s">
        <v>9718</v>
      </c>
      <c r="B74" s="61" t="s">
        <v>8707</v>
      </c>
      <c r="C74" s="51" t="s">
        <v>195</v>
      </c>
      <c r="D74" s="54"/>
      <c r="E74" s="86"/>
      <c r="F74" s="87"/>
      <c r="G74" s="87"/>
      <c r="H74" s="88"/>
      <c r="I74" s="88"/>
    </row>
    <row r="75" spans="1:9" ht="13">
      <c r="A75" s="51" t="s">
        <v>9719</v>
      </c>
      <c r="B75" s="61" t="s">
        <v>9720</v>
      </c>
      <c r="C75" s="51" t="s">
        <v>195</v>
      </c>
      <c r="D75" s="51"/>
      <c r="E75" s="86"/>
      <c r="F75" s="87"/>
      <c r="G75" s="87"/>
      <c r="H75" s="88"/>
      <c r="I75" s="88"/>
    </row>
    <row r="76" spans="1:9" ht="13">
      <c r="A76" s="51" t="s">
        <v>9721</v>
      </c>
      <c r="B76" s="61" t="s">
        <v>9677</v>
      </c>
      <c r="C76" s="51" t="s">
        <v>225</v>
      </c>
      <c r="D76" s="54"/>
      <c r="E76" s="86"/>
      <c r="F76" s="87"/>
      <c r="G76" s="87"/>
      <c r="H76" s="88"/>
      <c r="I76" s="88"/>
    </row>
    <row r="77" spans="1:9" ht="13">
      <c r="A77" s="51" t="s">
        <v>9722</v>
      </c>
      <c r="B77" s="60" t="s">
        <v>9079</v>
      </c>
      <c r="C77" s="51" t="s">
        <v>1013</v>
      </c>
      <c r="D77" s="54"/>
      <c r="E77" s="86"/>
      <c r="F77" s="87"/>
      <c r="G77" s="87"/>
      <c r="H77" s="88"/>
      <c r="I77" s="88"/>
    </row>
    <row r="78" spans="1:9" ht="13">
      <c r="A78" s="51" t="s">
        <v>9723</v>
      </c>
      <c r="B78" s="61" t="s">
        <v>9418</v>
      </c>
      <c r="C78" s="51" t="s">
        <v>199</v>
      </c>
      <c r="D78" s="54"/>
      <c r="E78" s="86"/>
      <c r="F78" s="87"/>
      <c r="G78" s="87"/>
      <c r="H78" s="88"/>
      <c r="I78" s="88"/>
    </row>
    <row r="79" spans="1:9" ht="13">
      <c r="A79" s="51" t="s">
        <v>9724</v>
      </c>
      <c r="B79" s="61" t="s">
        <v>9656</v>
      </c>
      <c r="C79" s="51" t="s">
        <v>208</v>
      </c>
      <c r="D79" s="54"/>
      <c r="E79" s="86"/>
      <c r="F79" s="86"/>
      <c r="G79" s="87"/>
      <c r="H79" s="88"/>
      <c r="I79" s="88"/>
    </row>
    <row r="80" spans="1:9" ht="13">
      <c r="A80" s="51" t="s">
        <v>9725</v>
      </c>
      <c r="B80" s="61" t="s">
        <v>9659</v>
      </c>
      <c r="C80" s="51" t="s">
        <v>195</v>
      </c>
      <c r="D80" s="54"/>
      <c r="E80" s="86"/>
      <c r="F80" s="86"/>
      <c r="G80" s="87"/>
      <c r="H80" s="88"/>
      <c r="I80" s="88"/>
    </row>
    <row r="81" spans="1:9" ht="13">
      <c r="A81" s="51" t="s">
        <v>9726</v>
      </c>
      <c r="B81" s="60" t="s">
        <v>9585</v>
      </c>
      <c r="C81" s="51" t="s">
        <v>1013</v>
      </c>
      <c r="D81" s="54"/>
      <c r="E81" s="86"/>
      <c r="F81" s="87"/>
      <c r="G81" s="87"/>
      <c r="H81" s="88"/>
      <c r="I81" s="88"/>
    </row>
    <row r="82" spans="1:9" ht="13">
      <c r="A82" s="51" t="s">
        <v>9727</v>
      </c>
      <c r="B82" s="60" t="s">
        <v>9589</v>
      </c>
      <c r="C82" s="51" t="s">
        <v>1013</v>
      </c>
      <c r="D82" s="54"/>
      <c r="E82" s="86"/>
      <c r="F82" s="87"/>
      <c r="G82" s="87"/>
      <c r="H82" s="88"/>
      <c r="I82" s="88"/>
    </row>
    <row r="83" spans="1:9" ht="13">
      <c r="A83" s="51" t="s">
        <v>9728</v>
      </c>
      <c r="B83" s="61" t="s">
        <v>8622</v>
      </c>
      <c r="C83" s="51" t="s">
        <v>199</v>
      </c>
      <c r="D83" s="54"/>
      <c r="E83" s="86"/>
      <c r="F83" s="86"/>
      <c r="G83" s="87"/>
      <c r="H83" s="88"/>
      <c r="I83" s="88"/>
    </row>
    <row r="84" spans="1:9" ht="13">
      <c r="A84" s="51" t="s">
        <v>9729</v>
      </c>
      <c r="B84" s="60" t="s">
        <v>9714</v>
      </c>
      <c r="C84" s="159" t="s">
        <v>4114</v>
      </c>
      <c r="D84" s="51"/>
      <c r="E84" s="86"/>
      <c r="F84" s="87"/>
      <c r="G84" s="87"/>
      <c r="H84" s="88"/>
      <c r="I84" s="88"/>
    </row>
    <row r="85" spans="1:9" ht="13">
      <c r="A85" s="156"/>
      <c r="B85" s="157"/>
      <c r="C85" s="156"/>
      <c r="D85" s="51"/>
      <c r="E85" s="86"/>
      <c r="F85" s="87"/>
      <c r="G85" s="87"/>
      <c r="H85" s="88"/>
      <c r="I85" s="88"/>
    </row>
    <row r="86" spans="1:9" ht="13">
      <c r="A86" s="156"/>
      <c r="B86" s="157"/>
      <c r="C86" s="156"/>
      <c r="D86" s="51"/>
      <c r="E86" s="86"/>
      <c r="F86" s="87"/>
      <c r="G86" s="87"/>
      <c r="H86" s="88"/>
      <c r="I86" s="88"/>
    </row>
    <row r="87" spans="1:9" ht="13">
      <c r="A87" s="156"/>
      <c r="B87" s="157"/>
      <c r="C87" s="156"/>
      <c r="D87" s="51"/>
      <c r="E87" s="86"/>
      <c r="F87" s="89"/>
      <c r="G87" s="87"/>
      <c r="H87" s="88"/>
      <c r="I87" s="88"/>
    </row>
    <row r="88" spans="1:9" ht="13">
      <c r="A88" s="156"/>
      <c r="B88" s="157"/>
      <c r="C88" s="156"/>
      <c r="D88" s="51"/>
      <c r="E88" s="86"/>
      <c r="F88" s="87"/>
      <c r="G88" s="87"/>
      <c r="H88" s="88"/>
      <c r="I88" s="88"/>
    </row>
    <row r="89" spans="1:9" ht="13">
      <c r="A89" s="156"/>
      <c r="B89" s="157"/>
      <c r="C89" s="156"/>
      <c r="D89" s="51"/>
      <c r="E89" s="86"/>
      <c r="F89" s="86"/>
      <c r="G89" s="87"/>
      <c r="H89" s="88"/>
      <c r="I89" s="88"/>
    </row>
    <row r="90" spans="1:9" ht="13">
      <c r="A90" s="156"/>
      <c r="B90" s="157"/>
      <c r="C90" s="156"/>
      <c r="D90" s="51"/>
      <c r="E90" s="86"/>
      <c r="F90" s="87"/>
      <c r="G90" s="87"/>
      <c r="H90" s="88"/>
      <c r="I90" s="88"/>
    </row>
    <row r="91" spans="1:9" ht="13">
      <c r="A91" s="156"/>
      <c r="B91" s="157"/>
      <c r="C91" s="156"/>
      <c r="D91" s="51"/>
      <c r="E91" s="86"/>
      <c r="F91" s="87"/>
      <c r="G91" s="87"/>
      <c r="H91" s="88"/>
      <c r="I91" s="88"/>
    </row>
    <row r="92" spans="1:9" ht="13">
      <c r="A92" s="156"/>
      <c r="B92" s="157"/>
      <c r="C92" s="156"/>
      <c r="D92" s="51"/>
      <c r="E92" s="86"/>
      <c r="F92" s="86"/>
      <c r="G92" s="87"/>
      <c r="H92" s="88"/>
      <c r="I92" s="88"/>
    </row>
    <row r="93" spans="1:9" ht="13">
      <c r="A93" s="156"/>
      <c r="B93" s="157"/>
      <c r="C93" s="156"/>
      <c r="D93" s="51"/>
      <c r="E93" s="86"/>
      <c r="F93" s="87"/>
      <c r="G93" s="87"/>
      <c r="H93" s="88"/>
      <c r="I93" s="88"/>
    </row>
    <row r="94" spans="1:9" ht="13">
      <c r="A94" s="156"/>
      <c r="B94" s="157"/>
      <c r="C94" s="156"/>
      <c r="D94" s="51"/>
      <c r="E94" s="86"/>
      <c r="F94" s="87"/>
      <c r="G94" s="87"/>
      <c r="H94" s="88"/>
      <c r="I94" s="88"/>
    </row>
    <row r="95" spans="1:9" ht="13">
      <c r="A95" s="156"/>
      <c r="B95" s="157"/>
      <c r="C95" s="156"/>
      <c r="D95" s="51"/>
      <c r="E95" s="86"/>
      <c r="F95" s="86"/>
      <c r="G95" s="87"/>
      <c r="H95" s="88"/>
      <c r="I95" s="88"/>
    </row>
    <row r="96" spans="1:9" ht="13">
      <c r="A96" s="156"/>
      <c r="B96" s="158"/>
      <c r="C96" s="156"/>
      <c r="D96" s="51"/>
      <c r="E96" s="86"/>
      <c r="F96" s="87"/>
      <c r="G96" s="87"/>
      <c r="H96" s="88"/>
      <c r="I96" s="88"/>
    </row>
    <row r="97" spans="1:9" ht="13">
      <c r="A97" s="156"/>
      <c r="B97" s="158"/>
      <c r="C97" s="156"/>
      <c r="D97" s="51"/>
      <c r="E97" s="86"/>
      <c r="F97" s="87"/>
      <c r="G97" s="87"/>
      <c r="H97" s="88"/>
      <c r="I97" s="88"/>
    </row>
    <row r="98" spans="1:9" ht="13">
      <c r="A98" s="156"/>
      <c r="B98" s="157"/>
      <c r="C98" s="156"/>
      <c r="D98" s="51"/>
      <c r="E98" s="86"/>
      <c r="F98" s="87"/>
      <c r="G98" s="87"/>
      <c r="H98" s="88"/>
      <c r="I98" s="88"/>
    </row>
    <row r="99" spans="1:9" ht="13">
      <c r="A99" s="156"/>
      <c r="B99" s="157"/>
      <c r="C99" s="156"/>
      <c r="D99" s="51"/>
      <c r="E99" s="86"/>
      <c r="F99" s="86"/>
      <c r="G99" s="87"/>
      <c r="H99" s="88"/>
      <c r="I99" s="88"/>
    </row>
    <row r="100" spans="1:9" ht="13">
      <c r="A100" s="156"/>
      <c r="B100" s="157"/>
      <c r="C100" s="156"/>
      <c r="D100" s="51"/>
      <c r="E100" s="86"/>
      <c r="F100" s="87"/>
      <c r="G100" s="87"/>
      <c r="H100" s="88"/>
      <c r="I100" s="88"/>
    </row>
    <row r="101" spans="1:9" ht="13">
      <c r="A101" s="156"/>
      <c r="B101" s="157"/>
      <c r="C101" s="156"/>
      <c r="D101" s="51"/>
      <c r="E101" s="86"/>
      <c r="F101" s="87"/>
      <c r="G101" s="87"/>
      <c r="H101" s="88"/>
      <c r="I101" s="88"/>
    </row>
    <row r="102" spans="1:9" ht="13">
      <c r="A102" s="156"/>
      <c r="B102" s="157"/>
      <c r="C102" s="156"/>
      <c r="D102" s="51"/>
      <c r="E102" s="87"/>
      <c r="F102" s="86"/>
      <c r="G102" s="87"/>
      <c r="H102" s="88"/>
      <c r="I102" s="88"/>
    </row>
    <row r="103" spans="1:9" ht="13">
      <c r="A103" s="156"/>
      <c r="B103" s="157"/>
      <c r="C103" s="156"/>
      <c r="D103" s="51"/>
      <c r="E103" s="86"/>
      <c r="F103" s="87"/>
      <c r="G103" s="87"/>
      <c r="H103" s="88"/>
      <c r="I103" s="88"/>
    </row>
    <row r="104" spans="1:9" ht="13">
      <c r="A104" s="156"/>
      <c r="B104" s="157"/>
      <c r="C104" s="156"/>
      <c r="D104" s="51"/>
      <c r="E104" s="86"/>
      <c r="F104" s="87"/>
      <c r="G104" s="87"/>
      <c r="H104" s="88"/>
      <c r="I104" s="88"/>
    </row>
    <row r="105" spans="1:9" ht="13">
      <c r="A105" s="156"/>
      <c r="B105" s="157"/>
      <c r="C105" s="156"/>
      <c r="D105" s="51"/>
      <c r="E105" s="86"/>
      <c r="F105" s="87"/>
      <c r="G105" s="87"/>
      <c r="H105" s="88"/>
      <c r="I105" s="88"/>
    </row>
    <row r="106" spans="1:9" ht="13">
      <c r="A106" s="156"/>
      <c r="B106" s="157"/>
      <c r="C106" s="156"/>
      <c r="D106" s="51"/>
      <c r="E106" s="86"/>
      <c r="F106" s="87"/>
      <c r="G106" s="87"/>
      <c r="H106" s="88"/>
      <c r="I106" s="88"/>
    </row>
    <row r="107" spans="1:9" ht="13">
      <c r="A107" s="156"/>
      <c r="B107" s="157"/>
      <c r="C107" s="156"/>
      <c r="D107" s="51"/>
      <c r="E107" s="86"/>
      <c r="F107" s="87"/>
      <c r="G107" s="87"/>
      <c r="H107" s="88"/>
      <c r="I107" s="88"/>
    </row>
    <row r="108" spans="1:9" ht="13">
      <c r="A108" s="156"/>
      <c r="B108" s="157"/>
      <c r="C108" s="156"/>
      <c r="D108" s="51"/>
      <c r="E108" s="86"/>
      <c r="F108" s="87"/>
      <c r="G108" s="87"/>
      <c r="H108" s="88"/>
      <c r="I108" s="88"/>
    </row>
    <row r="109" spans="1:9" ht="13">
      <c r="A109" s="156"/>
      <c r="B109" s="157"/>
      <c r="C109" s="156"/>
      <c r="D109" s="51"/>
      <c r="E109" s="86"/>
      <c r="F109" s="87"/>
      <c r="G109" s="87"/>
      <c r="H109" s="88"/>
      <c r="I109" s="88"/>
    </row>
    <row r="110" spans="1:9" ht="13">
      <c r="A110" s="156"/>
      <c r="B110" s="157"/>
      <c r="C110" s="156"/>
      <c r="D110" s="51"/>
      <c r="E110" s="86"/>
      <c r="F110" s="87"/>
      <c r="G110" s="87"/>
      <c r="H110" s="88"/>
      <c r="I110" s="88"/>
    </row>
    <row r="111" spans="1:9" ht="13">
      <c r="A111" s="156"/>
      <c r="B111" s="157"/>
      <c r="C111" s="156"/>
      <c r="D111" s="54"/>
      <c r="E111" s="89"/>
      <c r="F111" s="86"/>
      <c r="G111" s="87"/>
      <c r="H111" s="88"/>
      <c r="I111" s="88"/>
    </row>
    <row r="112" spans="1:9" ht="13">
      <c r="A112" s="156"/>
      <c r="B112" s="158"/>
      <c r="C112" s="156"/>
      <c r="D112" s="51"/>
      <c r="E112" s="86"/>
      <c r="F112" s="89"/>
      <c r="G112" s="87"/>
      <c r="H112" s="88"/>
      <c r="I112" s="88"/>
    </row>
    <row r="113" spans="1:9" ht="13">
      <c r="A113" s="156"/>
      <c r="B113" s="157"/>
      <c r="C113" s="156"/>
      <c r="D113" s="51"/>
      <c r="E113" s="86"/>
      <c r="F113" s="89"/>
      <c r="G113" s="87"/>
      <c r="H113" s="88"/>
      <c r="I113" s="88"/>
    </row>
    <row r="114" spans="1:9" ht="13">
      <c r="A114" s="156"/>
      <c r="B114" s="158"/>
      <c r="C114" s="156"/>
      <c r="D114" s="51"/>
      <c r="E114" s="86"/>
      <c r="F114" s="86"/>
      <c r="G114" s="87"/>
      <c r="H114" s="88"/>
      <c r="I114" s="88"/>
    </row>
    <row r="115" spans="1:9" ht="13">
      <c r="A115" s="156"/>
      <c r="B115" s="157"/>
      <c r="C115" s="156"/>
      <c r="D115" s="54"/>
      <c r="E115" s="86"/>
      <c r="F115" s="86"/>
      <c r="G115" s="87"/>
      <c r="H115" s="88"/>
      <c r="I115" s="88"/>
    </row>
    <row r="116" spans="1:9" ht="13">
      <c r="A116" s="156"/>
      <c r="B116" s="157"/>
      <c r="C116" s="156"/>
      <c r="D116" s="51"/>
      <c r="E116" s="87"/>
      <c r="F116" s="87"/>
      <c r="G116" s="87"/>
      <c r="H116" s="88"/>
      <c r="I116" s="88"/>
    </row>
    <row r="117" spans="1:9" ht="13">
      <c r="A117" s="156"/>
      <c r="B117" s="157"/>
      <c r="C117" s="156"/>
      <c r="D117" s="51"/>
      <c r="E117" s="86"/>
      <c r="F117" s="86"/>
      <c r="G117" s="87"/>
      <c r="H117" s="88"/>
      <c r="I117" s="88"/>
    </row>
    <row r="118" spans="1:9" ht="13">
      <c r="A118" s="156"/>
      <c r="B118" s="157"/>
      <c r="C118" s="156"/>
      <c r="D118" s="51"/>
      <c r="E118" s="86"/>
      <c r="F118" s="87"/>
      <c r="G118" s="87"/>
      <c r="H118" s="88"/>
      <c r="I118" s="88"/>
    </row>
    <row r="119" spans="1:9" ht="13">
      <c r="A119" s="156"/>
      <c r="B119" s="157"/>
      <c r="C119" s="156"/>
      <c r="D119" s="51"/>
      <c r="E119" s="86"/>
      <c r="F119" s="87"/>
      <c r="G119" s="87"/>
      <c r="H119" s="88"/>
      <c r="I119" s="88"/>
    </row>
    <row r="120" spans="1:9" ht="13">
      <c r="A120" s="156"/>
      <c r="B120" s="157"/>
      <c r="C120" s="156"/>
      <c r="D120" s="51"/>
      <c r="E120" s="86"/>
      <c r="F120" s="87"/>
      <c r="G120" s="87"/>
      <c r="H120" s="88"/>
      <c r="I120" s="88"/>
    </row>
    <row r="121" spans="1:9" ht="13">
      <c r="A121" s="156"/>
      <c r="B121" s="157"/>
      <c r="C121" s="156"/>
      <c r="D121" s="51"/>
      <c r="E121" s="86"/>
      <c r="F121" s="87"/>
      <c r="G121" s="87"/>
      <c r="H121" s="88"/>
      <c r="I121" s="88"/>
    </row>
    <row r="122" spans="1:9" ht="13">
      <c r="A122" s="156"/>
      <c r="B122" s="157"/>
      <c r="C122" s="156"/>
      <c r="D122" s="51"/>
      <c r="E122" s="86"/>
      <c r="F122" s="87"/>
      <c r="G122" s="87"/>
      <c r="H122" s="88"/>
      <c r="I122" s="88"/>
    </row>
    <row r="123" spans="1:9" ht="13">
      <c r="A123" s="156"/>
      <c r="B123" s="157"/>
      <c r="C123" s="156"/>
      <c r="D123" s="51"/>
      <c r="E123" s="86"/>
      <c r="F123" s="87"/>
      <c r="G123" s="87"/>
      <c r="H123" s="88"/>
      <c r="I123" s="88"/>
    </row>
    <row r="124" spans="1:9" ht="13">
      <c r="A124" s="156"/>
      <c r="B124" s="157"/>
      <c r="C124" s="156"/>
      <c r="D124" s="51"/>
      <c r="E124" s="87"/>
      <c r="F124" s="87"/>
      <c r="G124" s="87"/>
      <c r="H124" s="88"/>
      <c r="I124" s="88"/>
    </row>
    <row r="125" spans="1:9" ht="13">
      <c r="A125" s="156"/>
      <c r="B125" s="158"/>
      <c r="C125" s="156"/>
      <c r="D125" s="51"/>
      <c r="E125" s="86"/>
      <c r="F125" s="87"/>
      <c r="G125" s="87"/>
      <c r="H125" s="88"/>
      <c r="I125" s="88"/>
    </row>
    <row r="126" spans="1:9" ht="13">
      <c r="A126" s="156"/>
      <c r="B126" s="158"/>
      <c r="C126" s="156"/>
      <c r="D126" s="51"/>
      <c r="E126" s="86"/>
      <c r="F126" s="87"/>
      <c r="G126" s="87"/>
      <c r="H126" s="88"/>
      <c r="I126" s="88"/>
    </row>
    <row r="127" spans="1:9" ht="13">
      <c r="A127" s="156"/>
      <c r="B127" s="157"/>
      <c r="C127" s="156"/>
      <c r="D127" s="51"/>
      <c r="E127" s="86"/>
      <c r="F127" s="87"/>
      <c r="G127" s="87"/>
      <c r="H127" s="88"/>
      <c r="I127" s="88"/>
    </row>
    <row r="128" spans="1:9" ht="13">
      <c r="A128" s="156"/>
      <c r="B128" s="157"/>
      <c r="C128" s="156"/>
      <c r="D128" s="51"/>
      <c r="E128" s="86"/>
      <c r="F128" s="86"/>
      <c r="G128" s="87"/>
      <c r="H128" s="88"/>
      <c r="I128" s="88"/>
    </row>
    <row r="129" spans="1:9" ht="13">
      <c r="A129" s="156"/>
      <c r="B129" s="157"/>
      <c r="C129" s="156"/>
      <c r="D129" s="51"/>
      <c r="E129" s="86"/>
      <c r="F129" s="86"/>
      <c r="G129" s="87"/>
      <c r="H129" s="88"/>
      <c r="I129" s="88"/>
    </row>
    <row r="130" spans="1:9" ht="13">
      <c r="A130" s="156"/>
      <c r="B130" s="157"/>
      <c r="C130" s="156"/>
      <c r="D130" s="51"/>
      <c r="E130" s="86"/>
      <c r="F130" s="87"/>
      <c r="G130" s="87"/>
      <c r="H130" s="88"/>
      <c r="I130" s="88"/>
    </row>
    <row r="131" spans="1:9" ht="13">
      <c r="A131" s="156"/>
      <c r="B131" s="157"/>
      <c r="C131" s="156"/>
      <c r="D131" s="51"/>
      <c r="E131" s="86"/>
      <c r="F131" s="87"/>
      <c r="G131" s="87"/>
      <c r="H131" s="88"/>
      <c r="I131" s="88"/>
    </row>
    <row r="132" spans="1:9" ht="13">
      <c r="A132" s="156"/>
      <c r="B132" s="157"/>
      <c r="C132" s="156"/>
      <c r="D132" s="51"/>
      <c r="E132" s="86"/>
      <c r="F132" s="86"/>
      <c r="G132" s="87"/>
      <c r="H132" s="88"/>
      <c r="I132" s="88"/>
    </row>
    <row r="133" spans="1:9" ht="13">
      <c r="A133" s="156"/>
      <c r="B133" s="157"/>
      <c r="C133" s="156"/>
      <c r="D133" s="51"/>
      <c r="E133" s="86"/>
      <c r="F133" s="87"/>
      <c r="G133" s="87"/>
      <c r="H133" s="88"/>
      <c r="I133" s="88"/>
    </row>
    <row r="134" spans="1:9" ht="13">
      <c r="A134" s="156"/>
      <c r="B134" s="157"/>
      <c r="C134" s="156"/>
      <c r="D134" s="51"/>
      <c r="E134" s="86"/>
      <c r="F134" s="87"/>
      <c r="G134" s="87"/>
      <c r="H134" s="88"/>
      <c r="I134" s="88"/>
    </row>
    <row r="135" spans="1:9" ht="13">
      <c r="A135" s="156"/>
      <c r="B135" s="157"/>
      <c r="C135" s="156"/>
      <c r="D135" s="51"/>
      <c r="E135" s="86"/>
      <c r="F135" s="87"/>
      <c r="G135" s="87"/>
      <c r="H135" s="88"/>
      <c r="I135" s="88"/>
    </row>
    <row r="136" spans="1:9" ht="13">
      <c r="A136" s="156"/>
      <c r="B136" s="157"/>
      <c r="C136" s="156"/>
      <c r="D136" s="51"/>
      <c r="E136" s="86"/>
      <c r="F136" s="86"/>
      <c r="G136" s="87"/>
      <c r="H136" s="88"/>
      <c r="I136" s="88"/>
    </row>
    <row r="137" spans="1:9" ht="13">
      <c r="A137" s="156"/>
      <c r="B137" s="157"/>
      <c r="C137" s="156"/>
      <c r="D137" s="51"/>
      <c r="E137" s="86"/>
      <c r="F137" s="87"/>
      <c r="G137" s="87"/>
      <c r="H137" s="88"/>
      <c r="I137" s="88"/>
    </row>
    <row r="138" spans="1:9" ht="13">
      <c r="A138" s="156"/>
      <c r="B138" s="157"/>
      <c r="C138" s="156"/>
      <c r="D138" s="51"/>
      <c r="E138" s="86"/>
      <c r="F138" s="87"/>
      <c r="G138" s="87"/>
      <c r="H138" s="88"/>
      <c r="I138" s="88"/>
    </row>
    <row r="139" spans="1:9" ht="13">
      <c r="A139" s="156"/>
      <c r="B139" s="157"/>
      <c r="C139" s="156"/>
      <c r="D139" s="51"/>
      <c r="E139" s="86"/>
      <c r="F139" s="86"/>
      <c r="G139" s="87"/>
      <c r="H139" s="88"/>
      <c r="I139" s="88"/>
    </row>
    <row r="140" spans="1:9" ht="13">
      <c r="A140" s="156"/>
      <c r="B140" s="158"/>
      <c r="C140" s="156"/>
      <c r="D140" s="51"/>
      <c r="E140" s="86"/>
      <c r="F140" s="87"/>
      <c r="G140" s="87"/>
      <c r="H140" s="88"/>
      <c r="I140" s="88"/>
    </row>
    <row r="141" spans="1:9" ht="13">
      <c r="A141" s="156"/>
      <c r="B141" s="158"/>
      <c r="C141" s="156"/>
      <c r="D141" s="51"/>
      <c r="E141" s="86"/>
      <c r="F141" s="86"/>
      <c r="G141" s="87"/>
      <c r="H141" s="88"/>
      <c r="I141" s="88"/>
    </row>
    <row r="142" spans="1:9" ht="13">
      <c r="A142" s="156"/>
      <c r="B142" s="157"/>
      <c r="C142" s="156"/>
      <c r="D142" s="51"/>
      <c r="E142" s="86"/>
      <c r="F142" s="86"/>
      <c r="G142" s="87"/>
      <c r="H142" s="88"/>
      <c r="I142" s="88"/>
    </row>
    <row r="143" spans="1:9" ht="13">
      <c r="A143" s="156"/>
      <c r="B143" s="157"/>
      <c r="C143" s="156"/>
      <c r="D143" s="51"/>
      <c r="E143" s="86"/>
      <c r="F143" s="89"/>
      <c r="G143" s="87"/>
      <c r="H143" s="88"/>
      <c r="I143" s="88"/>
    </row>
    <row r="144" spans="1:9" ht="13">
      <c r="A144" s="156"/>
      <c r="B144" s="157"/>
      <c r="C144" s="156"/>
      <c r="D144" s="51"/>
      <c r="E144" s="89"/>
      <c r="F144" s="87"/>
      <c r="G144" s="87"/>
      <c r="H144" s="88"/>
      <c r="I144" s="88"/>
    </row>
    <row r="145" spans="1:9" ht="13">
      <c r="A145" s="156"/>
      <c r="B145" s="157"/>
      <c r="C145" s="156"/>
      <c r="D145" s="51"/>
      <c r="E145" s="86"/>
      <c r="F145" s="86"/>
      <c r="G145" s="87"/>
      <c r="H145" s="88"/>
      <c r="I145" s="88"/>
    </row>
    <row r="146" spans="1:9" ht="13">
      <c r="A146" s="156"/>
      <c r="B146" s="157"/>
      <c r="C146" s="156"/>
      <c r="D146" s="51"/>
      <c r="E146" s="86"/>
      <c r="F146" s="87"/>
      <c r="G146" s="87"/>
      <c r="H146" s="88"/>
      <c r="I146" s="88"/>
    </row>
    <row r="147" spans="1:9" ht="13">
      <c r="A147" s="156"/>
      <c r="B147" s="157"/>
      <c r="C147" s="156"/>
      <c r="D147" s="51"/>
      <c r="E147" s="89"/>
      <c r="F147" s="87"/>
      <c r="G147" s="87"/>
      <c r="H147" s="88"/>
      <c r="I147" s="88"/>
    </row>
    <row r="148" spans="1:9" ht="13">
      <c r="A148" s="156"/>
      <c r="B148" s="157"/>
      <c r="C148" s="156"/>
      <c r="D148" s="51"/>
      <c r="E148" s="86"/>
      <c r="F148" s="87"/>
      <c r="G148" s="87"/>
      <c r="H148" s="88"/>
      <c r="I148" s="88"/>
    </row>
    <row r="149" spans="1:9" ht="13">
      <c r="A149" s="156"/>
      <c r="B149" s="157"/>
      <c r="C149" s="156"/>
      <c r="D149" s="51"/>
      <c r="E149" s="86"/>
      <c r="F149" s="86"/>
      <c r="G149" s="87"/>
      <c r="H149" s="88"/>
      <c r="I149" s="88"/>
    </row>
    <row r="150" spans="1:9" ht="13">
      <c r="A150" s="156"/>
      <c r="B150" s="157"/>
      <c r="C150" s="156"/>
      <c r="D150" s="51"/>
      <c r="E150" s="86"/>
      <c r="F150" s="87"/>
      <c r="G150" s="87"/>
      <c r="H150" s="88"/>
      <c r="I150" s="88"/>
    </row>
    <row r="151" spans="1:9" ht="13">
      <c r="A151" s="156"/>
      <c r="B151" s="157"/>
      <c r="C151" s="156"/>
      <c r="D151" s="51"/>
      <c r="E151" s="86"/>
      <c r="F151" s="87"/>
      <c r="G151" s="87"/>
      <c r="H151" s="88"/>
      <c r="I151" s="88"/>
    </row>
    <row r="152" spans="1:9" ht="13">
      <c r="A152" s="156"/>
      <c r="B152" s="157"/>
      <c r="C152" s="156"/>
      <c r="D152" s="51"/>
      <c r="E152" s="86"/>
      <c r="F152" s="86"/>
      <c r="G152" s="87"/>
      <c r="H152" s="88"/>
      <c r="I152" s="88"/>
    </row>
    <row r="153" spans="1:9" ht="13">
      <c r="A153" s="156"/>
      <c r="B153" s="157"/>
      <c r="C153" s="156"/>
      <c r="D153" s="51"/>
      <c r="E153" s="86"/>
      <c r="F153" s="87"/>
      <c r="G153" s="87"/>
      <c r="H153" s="88"/>
      <c r="I153" s="88"/>
    </row>
    <row r="154" spans="1:9" ht="13">
      <c r="A154" s="156"/>
      <c r="B154" s="157"/>
      <c r="C154" s="156"/>
      <c r="D154" s="51"/>
      <c r="E154" s="86"/>
      <c r="F154" s="87"/>
      <c r="G154" s="87"/>
      <c r="H154" s="88"/>
      <c r="I154" s="88"/>
    </row>
    <row r="155" spans="1:9" ht="13">
      <c r="A155" s="156"/>
      <c r="B155" s="157"/>
      <c r="C155" s="156"/>
      <c r="D155" s="51"/>
      <c r="E155" s="86"/>
      <c r="F155" s="86"/>
      <c r="G155" s="87"/>
      <c r="H155" s="88"/>
      <c r="I155" s="88"/>
    </row>
    <row r="156" spans="1:9" ht="13">
      <c r="A156" s="156"/>
      <c r="B156" s="157"/>
      <c r="C156" s="156"/>
      <c r="D156" s="51"/>
      <c r="E156" s="86"/>
      <c r="F156" s="87"/>
      <c r="G156" s="87"/>
      <c r="H156" s="88"/>
      <c r="I156" s="88"/>
    </row>
    <row r="157" spans="1:9" ht="13">
      <c r="A157" s="156"/>
      <c r="B157" s="158"/>
      <c r="C157" s="156"/>
      <c r="D157" s="51"/>
      <c r="E157" s="86"/>
      <c r="F157" s="86"/>
      <c r="G157" s="87"/>
      <c r="H157" s="88"/>
      <c r="I157" s="88"/>
    </row>
    <row r="158" spans="1:9" ht="13">
      <c r="A158" s="156"/>
      <c r="B158" s="157"/>
      <c r="C158" s="156"/>
      <c r="D158" s="51"/>
      <c r="E158" s="86"/>
      <c r="F158" s="87"/>
      <c r="G158" s="87"/>
      <c r="H158" s="88"/>
      <c r="I158" s="88"/>
    </row>
    <row r="159" spans="1:9" ht="13">
      <c r="A159" s="156"/>
      <c r="B159" s="157"/>
      <c r="C159" s="156"/>
      <c r="D159" s="51"/>
      <c r="E159" s="86"/>
      <c r="F159" s="89"/>
      <c r="G159" s="87"/>
      <c r="H159" s="88"/>
      <c r="I159" s="88"/>
    </row>
    <row r="160" spans="1:9" ht="13">
      <c r="A160" s="156"/>
      <c r="B160" s="157"/>
      <c r="C160" s="156"/>
      <c r="D160" s="51"/>
      <c r="E160" s="86"/>
      <c r="F160" s="87"/>
      <c r="G160" s="87"/>
      <c r="H160" s="88"/>
      <c r="I160" s="88"/>
    </row>
    <row r="161" spans="1:9" ht="13">
      <c r="A161" s="156"/>
      <c r="B161" s="157"/>
      <c r="C161" s="156"/>
      <c r="D161" s="51"/>
      <c r="E161" s="86"/>
      <c r="F161" s="86"/>
      <c r="G161" s="87"/>
      <c r="H161" s="88"/>
      <c r="I161" s="137"/>
    </row>
    <row r="162" spans="1:9" ht="13">
      <c r="A162" s="156"/>
      <c r="B162" s="157"/>
      <c r="C162" s="156"/>
      <c r="D162" s="51"/>
      <c r="E162" s="86"/>
      <c r="F162" s="87"/>
      <c r="G162" s="87"/>
      <c r="H162" s="88"/>
      <c r="I162" s="88"/>
    </row>
    <row r="163" spans="1:9" ht="13">
      <c r="A163" s="156"/>
      <c r="B163" s="157"/>
      <c r="C163" s="156"/>
      <c r="D163" s="51"/>
      <c r="E163" s="86"/>
      <c r="F163" s="86"/>
      <c r="G163" s="87"/>
      <c r="H163" s="88"/>
      <c r="I163" s="88"/>
    </row>
    <row r="164" spans="1:9" ht="13">
      <c r="A164" s="156"/>
      <c r="B164" s="157"/>
      <c r="C164" s="156"/>
      <c r="D164" s="51"/>
      <c r="E164" s="86"/>
      <c r="F164" s="87"/>
      <c r="G164" s="87"/>
      <c r="H164" s="88"/>
      <c r="I164" s="88"/>
    </row>
    <row r="165" spans="1:9" ht="13">
      <c r="A165" s="156"/>
      <c r="B165" s="157"/>
      <c r="C165" s="156"/>
      <c r="D165" s="51"/>
      <c r="E165" s="86"/>
      <c r="F165" s="87"/>
      <c r="G165" s="87"/>
      <c r="H165" s="88"/>
      <c r="I165" s="88"/>
    </row>
    <row r="166" spans="1:9" ht="13">
      <c r="A166" s="156"/>
      <c r="B166" s="157"/>
      <c r="C166" s="156"/>
      <c r="D166" s="51"/>
      <c r="E166" s="86"/>
      <c r="F166" s="87"/>
      <c r="G166" s="87"/>
      <c r="H166" s="88"/>
      <c r="I166" s="88"/>
    </row>
    <row r="167" spans="1:9" ht="13">
      <c r="A167" s="156"/>
      <c r="B167" s="157"/>
      <c r="C167" s="156"/>
      <c r="D167" s="51"/>
      <c r="E167" s="89"/>
      <c r="F167" s="87"/>
      <c r="G167" s="87"/>
      <c r="H167" s="88"/>
      <c r="I167" s="88"/>
    </row>
    <row r="168" spans="1:9" ht="13">
      <c r="A168" s="156"/>
      <c r="B168" s="157"/>
      <c r="C168" s="156"/>
      <c r="D168" s="51"/>
      <c r="E168" s="86"/>
      <c r="F168" s="87"/>
      <c r="G168" s="87"/>
      <c r="H168" s="88"/>
      <c r="I168" s="88"/>
    </row>
    <row r="169" spans="1:9" ht="13">
      <c r="A169" s="156"/>
      <c r="B169" s="157"/>
      <c r="C169" s="156"/>
      <c r="D169" s="51"/>
      <c r="E169" s="86"/>
      <c r="F169" s="87"/>
      <c r="G169" s="87"/>
      <c r="H169" s="88"/>
      <c r="I169" s="88"/>
    </row>
    <row r="170" spans="1:9" ht="13">
      <c r="A170" s="156"/>
      <c r="B170" s="157"/>
      <c r="C170" s="156"/>
      <c r="D170" s="51"/>
      <c r="E170" s="86"/>
      <c r="F170" s="87"/>
      <c r="G170" s="87"/>
      <c r="H170" s="88"/>
      <c r="I170" s="88"/>
    </row>
    <row r="171" spans="1:9" ht="13">
      <c r="A171" s="156"/>
      <c r="B171" s="157"/>
      <c r="C171" s="156"/>
      <c r="D171" s="51"/>
      <c r="E171" s="89"/>
      <c r="F171" s="87"/>
      <c r="G171" s="87"/>
      <c r="H171" s="88"/>
      <c r="I171" s="88"/>
    </row>
    <row r="172" spans="1:9" ht="13">
      <c r="A172" s="156"/>
      <c r="B172" s="157"/>
      <c r="C172" s="156"/>
      <c r="D172" s="51"/>
      <c r="E172" s="89"/>
      <c r="F172" s="86"/>
      <c r="G172" s="87"/>
      <c r="H172" s="88"/>
      <c r="I172" s="88"/>
    </row>
    <row r="173" spans="1:9" ht="13">
      <c r="A173" s="156"/>
      <c r="B173" s="157"/>
      <c r="C173" s="156"/>
      <c r="D173" s="51"/>
      <c r="E173" s="86"/>
      <c r="F173" s="87"/>
      <c r="G173" s="87"/>
      <c r="H173" s="88"/>
      <c r="I173" s="88"/>
    </row>
    <row r="174" spans="1:9" ht="13">
      <c r="A174" s="156"/>
      <c r="B174" s="157"/>
      <c r="C174" s="156"/>
      <c r="D174" s="51"/>
      <c r="E174" s="87"/>
      <c r="F174" s="87"/>
      <c r="G174" s="87"/>
      <c r="H174" s="88"/>
      <c r="I174" s="88"/>
    </row>
    <row r="175" spans="1:9" ht="13">
      <c r="A175" s="156"/>
      <c r="B175" s="157"/>
      <c r="C175" s="156"/>
      <c r="D175" s="51"/>
      <c r="E175" s="86"/>
      <c r="F175" s="87"/>
      <c r="G175" s="87"/>
      <c r="H175" s="88"/>
      <c r="I175" s="88"/>
    </row>
    <row r="176" spans="1:9" ht="13">
      <c r="A176" s="156"/>
      <c r="B176" s="157"/>
      <c r="C176" s="156"/>
      <c r="D176" s="51"/>
      <c r="E176" s="86"/>
      <c r="F176" s="87"/>
      <c r="G176" s="87"/>
      <c r="H176" s="88"/>
      <c r="I176" s="88"/>
    </row>
    <row r="177" spans="1:9" ht="13">
      <c r="A177" s="156"/>
      <c r="B177" s="157"/>
      <c r="C177" s="156"/>
      <c r="D177" s="51"/>
      <c r="E177" s="86"/>
      <c r="F177" s="89"/>
      <c r="G177" s="87"/>
      <c r="H177" s="88"/>
      <c r="I177" s="88"/>
    </row>
    <row r="178" spans="1:9" ht="13">
      <c r="A178" s="156"/>
      <c r="B178" s="157"/>
      <c r="C178" s="156"/>
      <c r="D178" s="51"/>
      <c r="E178" s="86"/>
      <c r="F178" s="87"/>
      <c r="G178" s="87"/>
      <c r="H178" s="88"/>
      <c r="I178" s="88"/>
    </row>
    <row r="179" spans="1:9" ht="13">
      <c r="A179" s="156"/>
      <c r="B179" s="158"/>
      <c r="C179" s="156"/>
      <c r="D179" s="51"/>
      <c r="E179" s="86"/>
      <c r="F179" s="87"/>
      <c r="G179" s="87"/>
      <c r="H179" s="88"/>
      <c r="I179" s="88"/>
    </row>
    <row r="180" spans="1:9" ht="13">
      <c r="A180" s="156"/>
      <c r="B180" s="158"/>
      <c r="C180" s="156"/>
      <c r="D180" s="51"/>
      <c r="E180" s="86"/>
      <c r="F180" s="87"/>
      <c r="G180" s="87"/>
      <c r="H180" s="88"/>
      <c r="I180" s="88"/>
    </row>
    <row r="181" spans="1:9" ht="13">
      <c r="A181" s="156"/>
      <c r="B181" s="158"/>
      <c r="C181" s="156"/>
      <c r="D181" s="51"/>
      <c r="E181" s="86"/>
      <c r="F181" s="87"/>
      <c r="G181" s="87"/>
      <c r="H181" s="88"/>
      <c r="I181" s="88"/>
    </row>
    <row r="182" spans="1:9" ht="13">
      <c r="A182" s="156"/>
      <c r="B182" s="158"/>
      <c r="C182" s="156"/>
      <c r="D182" s="54"/>
      <c r="E182" s="86"/>
      <c r="F182" s="87"/>
      <c r="G182" s="87"/>
      <c r="H182" s="88"/>
      <c r="I182" s="88"/>
    </row>
    <row r="183" spans="1:9" ht="13">
      <c r="A183" s="156"/>
      <c r="B183" s="158"/>
      <c r="C183" s="156"/>
      <c r="D183" s="54"/>
      <c r="E183" s="86"/>
      <c r="F183" s="89"/>
      <c r="G183" s="87"/>
      <c r="H183" s="88"/>
      <c r="I183" s="88"/>
    </row>
    <row r="184" spans="1:9" ht="13">
      <c r="A184" s="156"/>
      <c r="B184" s="158"/>
      <c r="C184" s="156"/>
      <c r="D184" s="54"/>
      <c r="E184" s="89"/>
      <c r="F184" s="87"/>
      <c r="G184" s="87"/>
      <c r="H184" s="88"/>
      <c r="I184" s="88"/>
    </row>
    <row r="185" spans="1:9" ht="13">
      <c r="A185" s="156"/>
      <c r="B185" s="158"/>
      <c r="C185" s="156"/>
      <c r="D185" s="54"/>
      <c r="E185" s="86"/>
      <c r="F185" s="89"/>
      <c r="G185" s="87"/>
      <c r="H185" s="88"/>
      <c r="I185" s="88"/>
    </row>
    <row r="186" spans="1:9" ht="13">
      <c r="A186" s="156"/>
      <c r="B186" s="158"/>
      <c r="C186" s="156"/>
      <c r="D186" s="54"/>
      <c r="E186" s="86"/>
      <c r="F186" s="89"/>
      <c r="G186" s="87"/>
      <c r="H186" s="88"/>
      <c r="I186" s="88"/>
    </row>
    <row r="187" spans="1:9" ht="13">
      <c r="A187" s="156"/>
      <c r="B187" s="158"/>
      <c r="C187" s="156"/>
      <c r="D187" s="51"/>
      <c r="E187" s="87"/>
      <c r="F187" s="86"/>
      <c r="G187" s="87"/>
      <c r="H187" s="88"/>
      <c r="I187" s="88"/>
    </row>
    <row r="188" spans="1:9" ht="13">
      <c r="A188" s="156"/>
      <c r="B188" s="158"/>
      <c r="C188" s="156"/>
      <c r="D188" s="51"/>
      <c r="E188" s="89"/>
      <c r="F188" s="87"/>
      <c r="G188" s="87"/>
      <c r="H188" s="88"/>
      <c r="I188" s="88"/>
    </row>
    <row r="189" spans="1:9" ht="13">
      <c r="A189" s="156"/>
      <c r="B189" s="158"/>
      <c r="C189" s="156"/>
      <c r="D189" s="51"/>
      <c r="E189" s="86"/>
      <c r="F189" s="87"/>
      <c r="G189" s="87"/>
      <c r="H189" s="88"/>
      <c r="I189" s="88"/>
    </row>
    <row r="190" spans="1:9" ht="13">
      <c r="A190" s="156"/>
      <c r="B190" s="158"/>
      <c r="C190" s="156"/>
      <c r="D190" s="54"/>
      <c r="E190" s="86"/>
      <c r="F190" s="86"/>
      <c r="G190" s="87"/>
      <c r="H190" s="88"/>
      <c r="I190" s="88"/>
    </row>
    <row r="191" spans="1:9" ht="13">
      <c r="A191" s="156"/>
      <c r="B191" s="158"/>
      <c r="C191" s="156"/>
      <c r="D191" s="51"/>
      <c r="E191" s="89"/>
      <c r="F191" s="87"/>
      <c r="G191" s="87"/>
      <c r="H191" s="88"/>
      <c r="I191" s="88"/>
    </row>
    <row r="192" spans="1:9" ht="13">
      <c r="A192" s="156"/>
      <c r="B192" s="158"/>
      <c r="C192" s="156"/>
      <c r="D192" s="54"/>
      <c r="E192" s="89"/>
      <c r="F192" s="89"/>
      <c r="G192" s="87"/>
      <c r="H192" s="88"/>
      <c r="I192" s="88"/>
    </row>
    <row r="193" spans="1:9" ht="13">
      <c r="A193" s="156"/>
      <c r="B193" s="157"/>
      <c r="C193" s="156"/>
      <c r="D193" s="54"/>
      <c r="E193" s="87"/>
      <c r="F193" s="86"/>
      <c r="G193" s="87"/>
      <c r="H193" s="88"/>
      <c r="I193" s="88"/>
    </row>
    <row r="194" spans="1:9" ht="13">
      <c r="A194" s="156"/>
      <c r="B194" s="157"/>
      <c r="C194" s="156"/>
      <c r="D194" s="51"/>
      <c r="E194" s="87"/>
      <c r="F194" s="89"/>
      <c r="G194" s="87"/>
      <c r="H194" s="88"/>
      <c r="I194" s="88"/>
    </row>
    <row r="195" spans="1:9" ht="13">
      <c r="A195" s="156"/>
      <c r="B195" s="157"/>
      <c r="C195" s="156"/>
      <c r="D195" s="54"/>
      <c r="E195" s="89"/>
      <c r="F195" s="89"/>
      <c r="G195" s="87"/>
      <c r="H195" s="88"/>
      <c r="I195" s="88"/>
    </row>
    <row r="196" spans="1:9" ht="13">
      <c r="A196" s="156"/>
      <c r="B196" s="157"/>
      <c r="C196" s="156"/>
      <c r="D196" s="54"/>
      <c r="E196" s="87"/>
      <c r="F196" s="87"/>
      <c r="G196" s="87"/>
      <c r="H196" s="88"/>
      <c r="I196" s="88"/>
    </row>
    <row r="197" spans="1:9" ht="13">
      <c r="A197" s="156"/>
      <c r="B197" s="158"/>
      <c r="C197" s="156"/>
      <c r="D197" s="54"/>
      <c r="E197" s="89"/>
      <c r="F197" s="87"/>
      <c r="G197" s="87"/>
      <c r="H197" s="88"/>
      <c r="I197" s="88"/>
    </row>
    <row r="198" spans="1:9" ht="13">
      <c r="A198" s="156"/>
      <c r="B198" s="158"/>
      <c r="C198" s="156"/>
      <c r="D198" s="54"/>
      <c r="E198" s="87"/>
      <c r="F198" s="87"/>
      <c r="G198" s="87"/>
      <c r="H198" s="88"/>
      <c r="I198" s="88"/>
    </row>
    <row r="199" spans="1:9" ht="13">
      <c r="A199" s="156"/>
      <c r="B199" s="158"/>
      <c r="C199" s="156"/>
      <c r="D199" s="54"/>
      <c r="E199" s="89"/>
      <c r="F199" s="87"/>
      <c r="G199" s="87"/>
      <c r="H199" s="88"/>
      <c r="I199" s="88"/>
    </row>
    <row r="200" spans="1:9" ht="13">
      <c r="A200" s="156"/>
      <c r="B200" s="158"/>
      <c r="C200" s="156"/>
      <c r="D200" s="54"/>
      <c r="E200" s="87"/>
      <c r="F200" s="87"/>
      <c r="G200" s="87"/>
      <c r="H200" s="88"/>
      <c r="I200" s="88"/>
    </row>
    <row r="201" spans="1:9" ht="13">
      <c r="A201" s="156"/>
      <c r="B201" s="158"/>
      <c r="C201" s="156"/>
      <c r="D201" s="54"/>
      <c r="E201" s="87"/>
      <c r="F201" s="89"/>
      <c r="G201" s="87"/>
      <c r="H201" s="88"/>
      <c r="I201" s="88"/>
    </row>
    <row r="202" spans="1:9" ht="13">
      <c r="A202" s="156"/>
      <c r="B202" s="158"/>
      <c r="C202" s="156"/>
      <c r="D202" s="5"/>
      <c r="E202" s="87"/>
      <c r="F202" s="87"/>
      <c r="G202" s="87"/>
      <c r="H202" s="88"/>
      <c r="I202" s="88"/>
    </row>
    <row r="203" spans="1:9" ht="13">
      <c r="A203" s="156"/>
      <c r="B203" s="158"/>
      <c r="C203" s="156"/>
      <c r="D203" s="51"/>
      <c r="E203" s="87"/>
      <c r="F203" s="87"/>
      <c r="G203" s="87"/>
      <c r="H203" s="88"/>
      <c r="I203" s="88"/>
    </row>
    <row r="204" spans="1:9" ht="13">
      <c r="A204" s="156"/>
      <c r="B204" s="157"/>
      <c r="C204" s="156"/>
      <c r="D204" s="54"/>
      <c r="E204" s="87"/>
      <c r="F204" s="86"/>
      <c r="G204" s="87"/>
      <c r="H204" s="88"/>
      <c r="I204" s="88"/>
    </row>
    <row r="205" spans="1:9" ht="13">
      <c r="A205" s="156"/>
      <c r="B205" s="157"/>
      <c r="C205" s="156"/>
      <c r="D205" s="54"/>
      <c r="E205" s="87"/>
      <c r="F205" s="87"/>
      <c r="G205" s="87"/>
      <c r="H205" s="88"/>
      <c r="I205" s="88"/>
    </row>
    <row r="206" spans="1:9" ht="13">
      <c r="A206" s="51"/>
      <c r="C206" s="51"/>
      <c r="D206" s="5"/>
      <c r="E206" s="87"/>
      <c r="F206" s="87"/>
      <c r="G206" s="87"/>
      <c r="H206" s="88"/>
      <c r="I206" s="88"/>
    </row>
    <row r="207" spans="1:9" ht="13">
      <c r="A207" s="51"/>
      <c r="C207" s="51"/>
      <c r="D207" s="5"/>
      <c r="E207" s="87"/>
      <c r="F207" s="87"/>
      <c r="G207" s="87"/>
      <c r="H207" s="88"/>
      <c r="I207" s="88"/>
    </row>
    <row r="208" spans="1:9" ht="13">
      <c r="A208" s="51"/>
      <c r="C208" s="51"/>
      <c r="D208" s="54"/>
      <c r="E208" s="87"/>
      <c r="F208" s="87"/>
      <c r="G208" s="87"/>
      <c r="H208" s="88"/>
      <c r="I208" s="88"/>
    </row>
    <row r="209" spans="1:9" ht="13">
      <c r="A209" s="51"/>
      <c r="C209" s="51"/>
      <c r="D209" s="54"/>
      <c r="E209" s="87"/>
      <c r="F209" s="87"/>
      <c r="G209" s="87"/>
      <c r="H209" s="88"/>
      <c r="I209" s="88"/>
    </row>
    <row r="210" spans="1:9" ht="13">
      <c r="A210" s="51"/>
      <c r="C210" s="51"/>
      <c r="D210" s="5"/>
      <c r="E210" s="87"/>
      <c r="F210" s="87"/>
      <c r="G210" s="87"/>
      <c r="H210" s="88"/>
      <c r="I210" s="88"/>
    </row>
    <row r="211" spans="1:9" ht="13">
      <c r="A211" s="51"/>
      <c r="C211" s="51"/>
      <c r="D211" s="5"/>
      <c r="E211" s="87"/>
      <c r="F211" s="87"/>
      <c r="G211" s="87"/>
      <c r="H211" s="88"/>
      <c r="I211" s="88"/>
    </row>
    <row r="212" spans="1:9" ht="13">
      <c r="A212" s="51"/>
      <c r="C212" s="51"/>
      <c r="D212" s="54"/>
      <c r="E212" s="87"/>
      <c r="F212" s="87"/>
      <c r="G212" s="87"/>
      <c r="H212" s="88"/>
      <c r="I212" s="88"/>
    </row>
    <row r="213" spans="1:9" ht="13">
      <c r="A213" s="51"/>
      <c r="C213" s="51"/>
      <c r="D213" s="54"/>
      <c r="E213" s="87"/>
      <c r="F213" s="87"/>
      <c r="G213" s="87"/>
      <c r="H213" s="88"/>
      <c r="I213" s="88"/>
    </row>
    <row r="214" spans="1:9" ht="13">
      <c r="A214" s="48"/>
      <c r="B214" s="50"/>
      <c r="C214" s="51"/>
      <c r="D214" s="5"/>
      <c r="E214" s="87"/>
      <c r="F214" s="87"/>
      <c r="G214" s="87"/>
      <c r="H214" s="88"/>
      <c r="I214" s="88"/>
    </row>
    <row r="215" spans="1:9" ht="13">
      <c r="A215" s="48"/>
      <c r="B215" s="53"/>
      <c r="C215" s="51"/>
      <c r="D215" s="54"/>
      <c r="E215" s="87"/>
      <c r="F215" s="87"/>
      <c r="G215" s="87"/>
      <c r="H215" s="88"/>
      <c r="I215" s="88"/>
    </row>
    <row r="216" spans="1:9" ht="13">
      <c r="A216" s="48"/>
      <c r="B216" s="53"/>
      <c r="C216" s="51"/>
      <c r="D216" s="5"/>
      <c r="E216" s="87"/>
      <c r="F216" s="87"/>
      <c r="G216" s="87"/>
      <c r="H216" s="88"/>
      <c r="I216" s="88"/>
    </row>
    <row r="217" spans="1:9" ht="13">
      <c r="A217" s="48"/>
      <c r="B217" s="50"/>
      <c r="C217" s="51"/>
      <c r="D217" s="5"/>
      <c r="E217" s="87"/>
      <c r="F217" s="87"/>
      <c r="G217" s="87"/>
      <c r="H217" s="88"/>
      <c r="I217" s="88"/>
    </row>
    <row r="218" spans="1:9" ht="13">
      <c r="A218" s="48"/>
      <c r="B218" s="50"/>
      <c r="C218" s="51"/>
      <c r="D218" s="54"/>
      <c r="E218" s="87"/>
      <c r="F218" s="86"/>
      <c r="G218" s="87"/>
      <c r="H218" s="88"/>
      <c r="I218" s="88"/>
    </row>
    <row r="219" spans="1:9" ht="13">
      <c r="A219" s="48"/>
      <c r="B219" s="50"/>
      <c r="C219" s="51"/>
      <c r="D219" s="54"/>
      <c r="E219" s="87"/>
      <c r="F219" s="87"/>
      <c r="G219" s="87"/>
      <c r="H219" s="88"/>
      <c r="I219" s="88"/>
    </row>
    <row r="220" spans="1:9" ht="13">
      <c r="A220" s="48"/>
      <c r="B220" s="50"/>
      <c r="C220" s="153"/>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800-000000000000}"/>
    <hyperlink ref="B6" r:id="rId2" xr:uid="{00000000-0004-0000-6800-000001000000}"/>
    <hyperlink ref="B7" r:id="rId3" xr:uid="{00000000-0004-0000-6800-000002000000}"/>
    <hyperlink ref="B8" r:id="rId4" xr:uid="{00000000-0004-0000-6800-000003000000}"/>
    <hyperlink ref="B9" r:id="rId5" xr:uid="{00000000-0004-0000-6800-000004000000}"/>
    <hyperlink ref="B10" r:id="rId6" xr:uid="{00000000-0004-0000-6800-000005000000}"/>
    <hyperlink ref="B11" r:id="rId7" xr:uid="{00000000-0004-0000-6800-000006000000}"/>
    <hyperlink ref="B12" r:id="rId8" xr:uid="{00000000-0004-0000-6800-000007000000}"/>
    <hyperlink ref="B13" r:id="rId9" xr:uid="{00000000-0004-0000-6800-000008000000}"/>
    <hyperlink ref="B14" r:id="rId10" xr:uid="{00000000-0004-0000-6800-000009000000}"/>
    <hyperlink ref="B15" r:id="rId11" xr:uid="{00000000-0004-0000-6800-00000A000000}"/>
    <hyperlink ref="B16" r:id="rId12" xr:uid="{00000000-0004-0000-6800-00000B000000}"/>
    <hyperlink ref="B17" r:id="rId13" xr:uid="{00000000-0004-0000-6800-00000C000000}"/>
    <hyperlink ref="B18" r:id="rId14" xr:uid="{00000000-0004-0000-6800-00000D000000}"/>
    <hyperlink ref="B19" r:id="rId15" xr:uid="{00000000-0004-0000-6800-00000E000000}"/>
    <hyperlink ref="B20" r:id="rId16" xr:uid="{00000000-0004-0000-6800-00000F000000}"/>
    <hyperlink ref="B21" r:id="rId17" xr:uid="{00000000-0004-0000-6800-000010000000}"/>
    <hyperlink ref="B22" r:id="rId18" xr:uid="{00000000-0004-0000-6800-000011000000}"/>
    <hyperlink ref="B23" r:id="rId19" xr:uid="{00000000-0004-0000-6800-000012000000}"/>
    <hyperlink ref="B24" r:id="rId20" xr:uid="{00000000-0004-0000-6800-000013000000}"/>
    <hyperlink ref="B25" r:id="rId21" xr:uid="{00000000-0004-0000-6800-000014000000}"/>
    <hyperlink ref="B26" r:id="rId22" xr:uid="{00000000-0004-0000-6800-000015000000}"/>
    <hyperlink ref="B27" r:id="rId23" xr:uid="{00000000-0004-0000-6800-000016000000}"/>
    <hyperlink ref="B28" r:id="rId24" xr:uid="{00000000-0004-0000-6800-000017000000}"/>
    <hyperlink ref="B29" r:id="rId25" xr:uid="{00000000-0004-0000-6800-000018000000}"/>
    <hyperlink ref="B30" r:id="rId26" xr:uid="{00000000-0004-0000-6800-000019000000}"/>
    <hyperlink ref="B31" r:id="rId27" xr:uid="{00000000-0004-0000-6800-00001A000000}"/>
    <hyperlink ref="B32" r:id="rId28" xr:uid="{00000000-0004-0000-6800-00001B000000}"/>
    <hyperlink ref="B33" r:id="rId29" xr:uid="{00000000-0004-0000-6800-00001C000000}"/>
    <hyperlink ref="B34" r:id="rId30" xr:uid="{00000000-0004-0000-6800-00001D000000}"/>
    <hyperlink ref="B35" r:id="rId31" xr:uid="{00000000-0004-0000-6800-00001E000000}"/>
    <hyperlink ref="B36" r:id="rId32" xr:uid="{00000000-0004-0000-6800-00001F000000}"/>
    <hyperlink ref="B37" r:id="rId33" xr:uid="{00000000-0004-0000-6800-000020000000}"/>
    <hyperlink ref="B38" r:id="rId34" xr:uid="{00000000-0004-0000-6800-000021000000}"/>
    <hyperlink ref="B39" r:id="rId35" xr:uid="{00000000-0004-0000-6800-000022000000}"/>
    <hyperlink ref="B40" r:id="rId36" xr:uid="{00000000-0004-0000-6800-000023000000}"/>
    <hyperlink ref="B41" r:id="rId37" xr:uid="{00000000-0004-0000-6800-000024000000}"/>
    <hyperlink ref="B42" r:id="rId38" xr:uid="{00000000-0004-0000-6800-000025000000}"/>
    <hyperlink ref="B43" r:id="rId39" xr:uid="{00000000-0004-0000-6800-000026000000}"/>
    <hyperlink ref="B44" r:id="rId40" xr:uid="{00000000-0004-0000-6800-000027000000}"/>
    <hyperlink ref="B45" r:id="rId41" xr:uid="{00000000-0004-0000-6800-000028000000}"/>
    <hyperlink ref="B46" r:id="rId42" xr:uid="{00000000-0004-0000-6800-000029000000}"/>
    <hyperlink ref="B47" r:id="rId43" xr:uid="{00000000-0004-0000-6800-00002A000000}"/>
    <hyperlink ref="B48" r:id="rId44" xr:uid="{00000000-0004-0000-6800-00002B000000}"/>
    <hyperlink ref="B49" r:id="rId45" xr:uid="{00000000-0004-0000-6800-00002C000000}"/>
    <hyperlink ref="B50" r:id="rId46" xr:uid="{00000000-0004-0000-6800-00002D000000}"/>
    <hyperlink ref="B51" r:id="rId47" xr:uid="{00000000-0004-0000-6800-00002E000000}"/>
    <hyperlink ref="B52" r:id="rId48" xr:uid="{00000000-0004-0000-6800-00002F000000}"/>
    <hyperlink ref="B53" r:id="rId49" xr:uid="{00000000-0004-0000-6800-000030000000}"/>
    <hyperlink ref="B54" r:id="rId50" xr:uid="{00000000-0004-0000-6800-000031000000}"/>
    <hyperlink ref="B55" r:id="rId51" xr:uid="{00000000-0004-0000-6800-000032000000}"/>
    <hyperlink ref="B56" r:id="rId52" xr:uid="{00000000-0004-0000-6800-000033000000}"/>
    <hyperlink ref="B57" r:id="rId53" xr:uid="{00000000-0004-0000-6800-000034000000}"/>
    <hyperlink ref="B58" r:id="rId54" xr:uid="{00000000-0004-0000-6800-000035000000}"/>
    <hyperlink ref="B59" r:id="rId55" xr:uid="{00000000-0004-0000-6800-000036000000}"/>
    <hyperlink ref="B60" r:id="rId56" xr:uid="{00000000-0004-0000-6800-000037000000}"/>
    <hyperlink ref="B61" r:id="rId57" xr:uid="{00000000-0004-0000-6800-000038000000}"/>
    <hyperlink ref="B62" r:id="rId58" xr:uid="{00000000-0004-0000-6800-000039000000}"/>
    <hyperlink ref="B63" r:id="rId59" xr:uid="{00000000-0004-0000-6800-00003A000000}"/>
    <hyperlink ref="B64" r:id="rId60" xr:uid="{00000000-0004-0000-6800-00003B000000}"/>
    <hyperlink ref="B65" r:id="rId61" xr:uid="{00000000-0004-0000-6800-00003C000000}"/>
    <hyperlink ref="B66" r:id="rId62" xr:uid="{00000000-0004-0000-6800-00003D000000}"/>
    <hyperlink ref="B67" r:id="rId63" xr:uid="{00000000-0004-0000-6800-00003E000000}"/>
    <hyperlink ref="B68" r:id="rId64" xr:uid="{00000000-0004-0000-6800-00003F000000}"/>
    <hyperlink ref="B69" r:id="rId65" xr:uid="{00000000-0004-0000-6800-000040000000}"/>
    <hyperlink ref="B70" r:id="rId66" xr:uid="{00000000-0004-0000-6800-000041000000}"/>
    <hyperlink ref="B71" r:id="rId67" xr:uid="{00000000-0004-0000-6800-000042000000}"/>
    <hyperlink ref="B72" r:id="rId68" xr:uid="{00000000-0004-0000-6800-000043000000}"/>
    <hyperlink ref="B73" r:id="rId69" xr:uid="{00000000-0004-0000-6800-000044000000}"/>
    <hyperlink ref="B74" r:id="rId70" xr:uid="{00000000-0004-0000-6800-000045000000}"/>
    <hyperlink ref="B75" r:id="rId71" xr:uid="{00000000-0004-0000-6800-000046000000}"/>
    <hyperlink ref="B76" r:id="rId72" xr:uid="{00000000-0004-0000-6800-000047000000}"/>
    <hyperlink ref="B77" r:id="rId73" xr:uid="{00000000-0004-0000-6800-000048000000}"/>
    <hyperlink ref="B78" r:id="rId74" xr:uid="{00000000-0004-0000-6800-000049000000}"/>
    <hyperlink ref="B79" r:id="rId75" xr:uid="{00000000-0004-0000-6800-00004A000000}"/>
    <hyperlink ref="B80" r:id="rId76" xr:uid="{00000000-0004-0000-6800-00004B000000}"/>
    <hyperlink ref="B81" r:id="rId77" xr:uid="{00000000-0004-0000-6800-00004C000000}"/>
    <hyperlink ref="B82" r:id="rId78" xr:uid="{00000000-0004-0000-6800-00004D000000}"/>
    <hyperlink ref="B83" r:id="rId79" xr:uid="{00000000-0004-0000-6800-00004E000000}"/>
    <hyperlink ref="B84" r:id="rId80" xr:uid="{00000000-0004-0000-6800-00004F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06">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0.6640625" customWidth="1"/>
    <col min="4" max="4" width="14" customWidth="1"/>
    <col min="5" max="5" width="15.1640625" customWidth="1"/>
  </cols>
  <sheetData>
    <row r="1" spans="1:10" ht="15.75" customHeight="1">
      <c r="A1" s="131" t="s">
        <v>98</v>
      </c>
      <c r="B1" s="88"/>
      <c r="C1" s="112"/>
      <c r="D1" s="81" t="s">
        <v>181</v>
      </c>
      <c r="E1" s="87"/>
      <c r="F1" s="87"/>
      <c r="G1" s="87"/>
      <c r="H1" s="88"/>
      <c r="I1" s="88"/>
    </row>
    <row r="2" spans="1:10" ht="15.75" customHeight="1">
      <c r="A2" s="88" t="s">
        <v>182</v>
      </c>
      <c r="B2" s="139">
        <v>44148</v>
      </c>
      <c r="C2" s="112"/>
      <c r="D2" s="82">
        <f>SUM(D5:G207)</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51" t="s">
        <v>9730</v>
      </c>
      <c r="B5" s="60" t="s">
        <v>300</v>
      </c>
      <c r="C5" s="51" t="s">
        <v>205</v>
      </c>
      <c r="D5" s="51"/>
      <c r="E5" s="86"/>
      <c r="F5" s="86"/>
      <c r="G5" s="87"/>
      <c r="H5" s="88"/>
      <c r="I5" s="88"/>
      <c r="J5" s="88"/>
    </row>
    <row r="6" spans="1:10" ht="15.75" customHeight="1">
      <c r="A6" s="51" t="s">
        <v>9731</v>
      </c>
      <c r="B6" s="60" t="s">
        <v>266</v>
      </c>
      <c r="C6" s="51" t="s">
        <v>205</v>
      </c>
      <c r="D6" s="51"/>
      <c r="E6" s="86"/>
      <c r="F6" s="86"/>
      <c r="G6" s="87"/>
      <c r="H6" s="88"/>
      <c r="I6" s="88"/>
      <c r="J6" s="88"/>
    </row>
    <row r="7" spans="1:10" ht="15.75" customHeight="1">
      <c r="A7" s="51" t="s">
        <v>9732</v>
      </c>
      <c r="B7" s="60" t="s">
        <v>253</v>
      </c>
      <c r="C7" s="51" t="s">
        <v>205</v>
      </c>
      <c r="D7" s="54"/>
      <c r="E7" s="86"/>
      <c r="F7" s="86"/>
      <c r="G7" s="87"/>
      <c r="H7" s="88"/>
      <c r="I7" s="88"/>
    </row>
    <row r="8" spans="1:10" ht="15.75" customHeight="1">
      <c r="A8" s="51" t="s">
        <v>9733</v>
      </c>
      <c r="B8" s="60" t="s">
        <v>348</v>
      </c>
      <c r="C8" s="51" t="s">
        <v>205</v>
      </c>
      <c r="D8" s="51"/>
      <c r="E8" s="86"/>
      <c r="F8" s="86"/>
      <c r="G8" s="87"/>
      <c r="H8" s="88"/>
      <c r="I8" s="88"/>
    </row>
    <row r="9" spans="1:10" ht="15.75" customHeight="1">
      <c r="A9" s="51" t="s">
        <v>9734</v>
      </c>
      <c r="B9" s="60" t="s">
        <v>333</v>
      </c>
      <c r="C9" s="51" t="s">
        <v>205</v>
      </c>
      <c r="D9" s="51"/>
      <c r="E9" s="86"/>
      <c r="F9" s="86"/>
      <c r="G9" s="87"/>
      <c r="H9" s="88"/>
      <c r="I9" s="88"/>
    </row>
    <row r="10" spans="1:10" ht="15.75" customHeight="1">
      <c r="A10" s="51" t="s">
        <v>9735</v>
      </c>
      <c r="B10" s="60" t="s">
        <v>946</v>
      </c>
      <c r="C10" s="51" t="s">
        <v>205</v>
      </c>
      <c r="D10" s="51"/>
      <c r="E10" s="86"/>
      <c r="F10" s="86"/>
      <c r="G10" s="87"/>
      <c r="H10" s="88"/>
      <c r="I10" s="88"/>
    </row>
    <row r="11" spans="1:10" ht="15.75" customHeight="1">
      <c r="A11" s="51" t="s">
        <v>9736</v>
      </c>
      <c r="B11" s="60" t="s">
        <v>3392</v>
      </c>
      <c r="C11" s="51" t="s">
        <v>205</v>
      </c>
      <c r="D11" s="51"/>
      <c r="E11" s="86"/>
      <c r="F11" s="86"/>
      <c r="G11" s="87"/>
      <c r="H11" s="88"/>
      <c r="I11" s="88"/>
    </row>
    <row r="12" spans="1:10" ht="15.75" customHeight="1">
      <c r="A12" s="51" t="s">
        <v>9737</v>
      </c>
      <c r="B12" s="60" t="s">
        <v>956</v>
      </c>
      <c r="C12" s="51" t="s">
        <v>205</v>
      </c>
      <c r="D12" s="51"/>
      <c r="E12" s="86"/>
      <c r="F12" s="86"/>
      <c r="G12" s="87"/>
      <c r="H12" s="88"/>
      <c r="I12" s="88"/>
    </row>
    <row r="13" spans="1:10" ht="15.75" customHeight="1">
      <c r="A13" s="51" t="s">
        <v>9738</v>
      </c>
      <c r="B13" s="60" t="s">
        <v>234</v>
      </c>
      <c r="C13" s="51" t="s">
        <v>205</v>
      </c>
      <c r="D13" s="54"/>
      <c r="E13" s="86"/>
      <c r="F13" s="86"/>
      <c r="G13" s="87"/>
      <c r="H13" s="88"/>
      <c r="I13" s="88"/>
    </row>
    <row r="14" spans="1:10" ht="15.75" customHeight="1">
      <c r="A14" s="51" t="s">
        <v>9739</v>
      </c>
      <c r="B14" s="60" t="s">
        <v>1454</v>
      </c>
      <c r="C14" s="51" t="s">
        <v>205</v>
      </c>
      <c r="D14" s="51"/>
      <c r="E14" s="86"/>
      <c r="F14" s="87"/>
      <c r="G14" s="87"/>
      <c r="H14" s="88"/>
      <c r="I14" s="88"/>
    </row>
    <row r="15" spans="1:10" ht="15.75" customHeight="1">
      <c r="A15" s="51" t="s">
        <v>9740</v>
      </c>
      <c r="B15" s="60" t="s">
        <v>1420</v>
      </c>
      <c r="C15" s="51" t="s">
        <v>205</v>
      </c>
      <c r="D15" s="51"/>
      <c r="E15" s="86"/>
      <c r="F15" s="86"/>
      <c r="G15" s="87"/>
      <c r="H15" s="88"/>
      <c r="I15" s="88"/>
    </row>
    <row r="16" spans="1:10" ht="15.75" customHeight="1">
      <c r="A16" s="51" t="s">
        <v>9741</v>
      </c>
      <c r="B16" s="60" t="s">
        <v>1374</v>
      </c>
      <c r="C16" s="51" t="s">
        <v>205</v>
      </c>
      <c r="D16" s="51"/>
      <c r="E16" s="86"/>
      <c r="F16" s="86"/>
      <c r="G16" s="87"/>
      <c r="H16" s="88"/>
      <c r="I16" s="88"/>
    </row>
    <row r="17" spans="1:9" ht="15.75" customHeight="1">
      <c r="A17" s="51" t="s">
        <v>9742</v>
      </c>
      <c r="B17" s="60" t="s">
        <v>1576</v>
      </c>
      <c r="C17" s="51" t="s">
        <v>205</v>
      </c>
      <c r="D17" s="51"/>
      <c r="E17" s="51"/>
      <c r="F17" s="86"/>
      <c r="G17" s="87"/>
      <c r="H17" s="88"/>
      <c r="I17" s="88"/>
    </row>
    <row r="18" spans="1:9" ht="15.75" customHeight="1">
      <c r="A18" s="51" t="s">
        <v>9743</v>
      </c>
      <c r="B18" s="60" t="s">
        <v>1518</v>
      </c>
      <c r="C18" s="51" t="s">
        <v>205</v>
      </c>
      <c r="D18" s="51"/>
      <c r="E18" s="86"/>
      <c r="F18" s="86"/>
      <c r="G18" s="87"/>
      <c r="H18" s="88"/>
      <c r="I18" s="88"/>
    </row>
    <row r="19" spans="1:9" ht="15.75" customHeight="1">
      <c r="A19" s="51" t="s">
        <v>9744</v>
      </c>
      <c r="B19" s="60" t="s">
        <v>3575</v>
      </c>
      <c r="C19" s="51" t="s">
        <v>205</v>
      </c>
      <c r="D19" s="54"/>
      <c r="E19" s="86"/>
      <c r="F19" s="86"/>
      <c r="G19" s="87"/>
      <c r="H19" s="88"/>
      <c r="I19" s="88"/>
    </row>
    <row r="20" spans="1:9" ht="15.75" customHeight="1">
      <c r="A20" s="51" t="s">
        <v>9745</v>
      </c>
      <c r="B20" s="60" t="s">
        <v>4683</v>
      </c>
      <c r="C20" s="51" t="s">
        <v>205</v>
      </c>
      <c r="D20" s="54"/>
      <c r="E20" s="86"/>
      <c r="F20" s="86"/>
      <c r="G20" s="87"/>
      <c r="H20" s="88"/>
      <c r="I20" s="88"/>
    </row>
    <row r="21" spans="1:9" ht="15.75" customHeight="1">
      <c r="A21" s="51" t="s">
        <v>9746</v>
      </c>
      <c r="B21" s="60" t="s">
        <v>4753</v>
      </c>
      <c r="C21" s="51" t="s">
        <v>205</v>
      </c>
      <c r="D21" s="51"/>
      <c r="E21" s="86"/>
      <c r="F21" s="89"/>
      <c r="G21" s="87"/>
      <c r="H21" s="88"/>
      <c r="I21" s="88"/>
    </row>
    <row r="22" spans="1:9" ht="15.75" customHeight="1">
      <c r="A22" s="51" t="s">
        <v>9747</v>
      </c>
      <c r="B22" s="60" t="s">
        <v>4762</v>
      </c>
      <c r="C22" s="51" t="s">
        <v>205</v>
      </c>
      <c r="D22" s="51"/>
      <c r="E22" s="86"/>
      <c r="F22" s="87"/>
      <c r="G22" s="87"/>
      <c r="H22" s="88"/>
      <c r="I22" s="88"/>
    </row>
    <row r="23" spans="1:9" ht="15.75" customHeight="1">
      <c r="A23" s="51" t="s">
        <v>9748</v>
      </c>
      <c r="B23" s="60" t="s">
        <v>6249</v>
      </c>
      <c r="C23" s="51" t="s">
        <v>205</v>
      </c>
      <c r="D23" s="51"/>
      <c r="E23" s="51"/>
    </row>
    <row r="24" spans="1:9" ht="15.75" customHeight="1">
      <c r="A24" s="51" t="s">
        <v>9749</v>
      </c>
      <c r="B24" s="61" t="s">
        <v>8662</v>
      </c>
      <c r="C24" s="51" t="s">
        <v>205</v>
      </c>
      <c r="D24" s="54"/>
      <c r="E24" s="86"/>
      <c r="F24" s="87"/>
      <c r="G24" s="87"/>
      <c r="H24" s="88"/>
      <c r="I24" s="88"/>
    </row>
    <row r="25" spans="1:9" ht="15.75" customHeight="1">
      <c r="A25" s="51" t="s">
        <v>9750</v>
      </c>
      <c r="B25" s="61" t="s">
        <v>9751</v>
      </c>
      <c r="C25" s="51" t="s">
        <v>205</v>
      </c>
      <c r="D25" s="54"/>
      <c r="E25" s="86"/>
      <c r="F25" s="89"/>
      <c r="G25" s="87"/>
      <c r="H25" s="88"/>
      <c r="I25" s="88"/>
    </row>
    <row r="26" spans="1:9" ht="15.75" customHeight="1">
      <c r="A26" s="51" t="s">
        <v>9752</v>
      </c>
      <c r="B26" s="61" t="s">
        <v>9753</v>
      </c>
      <c r="C26" s="51" t="s">
        <v>205</v>
      </c>
      <c r="D26" s="51"/>
      <c r="E26" s="86"/>
      <c r="F26" s="86"/>
      <c r="G26" s="87"/>
      <c r="H26" s="88"/>
      <c r="I26" s="88"/>
    </row>
    <row r="27" spans="1:9" ht="15.75" customHeight="1">
      <c r="A27" s="51" t="s">
        <v>9754</v>
      </c>
      <c r="B27" s="60" t="s">
        <v>278</v>
      </c>
      <c r="C27" s="51" t="s">
        <v>199</v>
      </c>
      <c r="D27" s="51"/>
      <c r="E27" s="86"/>
      <c r="F27" s="89"/>
      <c r="G27" s="87"/>
      <c r="H27" s="88"/>
      <c r="I27" s="88"/>
    </row>
    <row r="28" spans="1:9" ht="15.75" customHeight="1">
      <c r="A28" s="51" t="s">
        <v>9755</v>
      </c>
      <c r="B28" s="60" t="s">
        <v>258</v>
      </c>
      <c r="C28" s="51" t="s">
        <v>199</v>
      </c>
      <c r="D28" s="51"/>
      <c r="E28" s="86"/>
      <c r="F28" s="86"/>
      <c r="G28" s="87"/>
      <c r="H28" s="88"/>
      <c r="I28" s="88"/>
    </row>
    <row r="29" spans="1:9" ht="15.75" customHeight="1">
      <c r="A29" s="51" t="s">
        <v>9756</v>
      </c>
      <c r="B29" s="60" t="s">
        <v>243</v>
      </c>
      <c r="C29" s="51" t="s">
        <v>199</v>
      </c>
      <c r="D29" s="51"/>
      <c r="E29" s="86"/>
      <c r="F29" s="87"/>
      <c r="G29" s="87"/>
      <c r="H29" s="88"/>
      <c r="I29" s="88"/>
    </row>
    <row r="30" spans="1:9" ht="15.75" customHeight="1">
      <c r="A30" s="51" t="s">
        <v>9757</v>
      </c>
      <c r="B30" s="60" t="s">
        <v>319</v>
      </c>
      <c r="C30" s="51" t="s">
        <v>199</v>
      </c>
      <c r="D30" s="54"/>
      <c r="E30" s="86"/>
      <c r="F30" s="87"/>
      <c r="G30" s="87"/>
      <c r="H30" s="88"/>
      <c r="I30" s="88"/>
    </row>
    <row r="31" spans="1:9" ht="15.75" customHeight="1">
      <c r="A31" s="51" t="s">
        <v>9758</v>
      </c>
      <c r="B31" s="60" t="s">
        <v>980</v>
      </c>
      <c r="C31" s="51" t="s">
        <v>199</v>
      </c>
      <c r="D31" s="51"/>
      <c r="E31" s="86"/>
      <c r="F31" s="87"/>
      <c r="G31" s="87"/>
      <c r="H31" s="88"/>
      <c r="I31" s="88"/>
    </row>
    <row r="32" spans="1:9" ht="15.75" customHeight="1">
      <c r="A32" s="51" t="s">
        <v>9759</v>
      </c>
      <c r="B32" s="60" t="s">
        <v>974</v>
      </c>
      <c r="C32" s="51" t="s">
        <v>199</v>
      </c>
      <c r="D32" s="51"/>
      <c r="E32" s="86"/>
      <c r="F32" s="87"/>
      <c r="G32" s="87"/>
      <c r="H32" s="88"/>
      <c r="I32" s="88"/>
    </row>
    <row r="33" spans="1:9" ht="15.75" customHeight="1">
      <c r="A33" s="51" t="s">
        <v>9760</v>
      </c>
      <c r="B33" s="61" t="s">
        <v>9761</v>
      </c>
      <c r="C33" s="51" t="s">
        <v>199</v>
      </c>
      <c r="D33" s="54"/>
      <c r="E33" s="86"/>
      <c r="F33" s="87"/>
      <c r="G33" s="87"/>
      <c r="H33" s="88"/>
      <c r="I33" s="88"/>
    </row>
    <row r="34" spans="1:9" ht="15.75" customHeight="1">
      <c r="A34" s="51" t="s">
        <v>9762</v>
      </c>
      <c r="B34" s="60" t="s">
        <v>326</v>
      </c>
      <c r="C34" s="51" t="s">
        <v>208</v>
      </c>
      <c r="D34" s="51"/>
      <c r="E34" s="86"/>
      <c r="F34" s="87"/>
      <c r="G34" s="87"/>
      <c r="H34" s="88"/>
      <c r="I34" s="88"/>
    </row>
    <row r="35" spans="1:9" ht="15.75" customHeight="1">
      <c r="A35" s="51" t="s">
        <v>9763</v>
      </c>
      <c r="B35" s="60" t="s">
        <v>1284</v>
      </c>
      <c r="C35" s="51" t="s">
        <v>208</v>
      </c>
      <c r="D35" s="51"/>
      <c r="E35" s="86"/>
      <c r="F35" s="86"/>
      <c r="G35" s="87"/>
      <c r="H35" s="88"/>
      <c r="I35" s="88"/>
    </row>
    <row r="36" spans="1:9" ht="15.75" customHeight="1">
      <c r="A36" s="51" t="s">
        <v>9764</v>
      </c>
      <c r="B36" s="60" t="s">
        <v>1234</v>
      </c>
      <c r="C36" s="51" t="s">
        <v>208</v>
      </c>
      <c r="D36" s="54"/>
      <c r="E36" s="86"/>
      <c r="F36" s="86"/>
      <c r="G36" s="87"/>
      <c r="H36" s="88"/>
      <c r="I36" s="88"/>
    </row>
    <row r="37" spans="1:9" ht="15.75" customHeight="1">
      <c r="A37" s="51" t="s">
        <v>9765</v>
      </c>
      <c r="B37" s="60" t="s">
        <v>4031</v>
      </c>
      <c r="C37" s="51" t="s">
        <v>208</v>
      </c>
      <c r="D37" s="51"/>
      <c r="E37" s="89"/>
      <c r="F37" s="87"/>
      <c r="G37" s="87"/>
      <c r="H37" s="88"/>
      <c r="I37" s="88"/>
    </row>
    <row r="38" spans="1:9" ht="15.75" customHeight="1">
      <c r="A38" s="51" t="s">
        <v>9766</v>
      </c>
      <c r="B38" s="60" t="s">
        <v>4187</v>
      </c>
      <c r="C38" s="51" t="s">
        <v>208</v>
      </c>
      <c r="D38" s="51"/>
      <c r="E38" s="86"/>
      <c r="F38" s="87"/>
      <c r="G38" s="87"/>
      <c r="H38" s="88"/>
      <c r="I38" s="88"/>
    </row>
    <row r="39" spans="1:9" ht="15.75" customHeight="1">
      <c r="A39" s="51" t="s">
        <v>9767</v>
      </c>
      <c r="B39" s="60" t="s">
        <v>4385</v>
      </c>
      <c r="C39" s="51" t="s">
        <v>208</v>
      </c>
      <c r="D39" s="51"/>
      <c r="E39" s="86"/>
      <c r="F39" s="86"/>
      <c r="G39" s="87"/>
      <c r="H39" s="88"/>
      <c r="I39" s="88"/>
    </row>
    <row r="40" spans="1:9" ht="15.75" customHeight="1">
      <c r="A40" s="51" t="s">
        <v>9768</v>
      </c>
      <c r="B40" s="61" t="s">
        <v>9769</v>
      </c>
      <c r="C40" s="51" t="s">
        <v>208</v>
      </c>
      <c r="D40" s="51"/>
      <c r="E40" s="86"/>
      <c r="F40" s="87"/>
      <c r="G40" s="87"/>
      <c r="H40" s="88"/>
      <c r="I40" s="88"/>
    </row>
    <row r="41" spans="1:9" ht="15.75" customHeight="1">
      <c r="A41" s="51" t="s">
        <v>9770</v>
      </c>
      <c r="B41" s="61" t="s">
        <v>9771</v>
      </c>
      <c r="C41" s="51" t="s">
        <v>208</v>
      </c>
      <c r="D41" s="51"/>
      <c r="E41" s="86"/>
      <c r="F41" s="86"/>
      <c r="G41" s="87"/>
      <c r="H41" s="88"/>
      <c r="I41" s="88"/>
    </row>
    <row r="42" spans="1:9" ht="15.75" customHeight="1">
      <c r="A42" s="51" t="s">
        <v>9772</v>
      </c>
      <c r="B42" s="60" t="s">
        <v>8943</v>
      </c>
      <c r="C42" s="51" t="s">
        <v>208</v>
      </c>
      <c r="D42" s="51"/>
      <c r="E42" s="86"/>
      <c r="F42" s="87"/>
      <c r="G42" s="87"/>
      <c r="H42" s="88"/>
      <c r="I42" s="88"/>
    </row>
    <row r="43" spans="1:9" ht="15.75" customHeight="1">
      <c r="A43" s="51" t="s">
        <v>9773</v>
      </c>
      <c r="B43" s="60" t="s">
        <v>8616</v>
      </c>
      <c r="C43" s="51" t="s">
        <v>208</v>
      </c>
      <c r="D43" s="51"/>
      <c r="E43" s="86"/>
      <c r="F43" s="86"/>
      <c r="G43" s="87"/>
      <c r="H43" s="88"/>
      <c r="I43" s="88"/>
    </row>
    <row r="44" spans="1:9" ht="15.75" customHeight="1">
      <c r="A44" s="51" t="s">
        <v>9774</v>
      </c>
      <c r="B44" s="60" t="s">
        <v>8946</v>
      </c>
      <c r="C44" s="51" t="s">
        <v>208</v>
      </c>
      <c r="D44" s="51"/>
      <c r="E44" s="86"/>
      <c r="F44" s="86"/>
      <c r="G44" s="87"/>
      <c r="H44" s="88"/>
      <c r="I44" s="88"/>
    </row>
    <row r="45" spans="1:9" ht="15.75" customHeight="1">
      <c r="A45" s="51" t="s">
        <v>9775</v>
      </c>
      <c r="B45" s="60" t="s">
        <v>8685</v>
      </c>
      <c r="C45" s="51" t="s">
        <v>208</v>
      </c>
      <c r="D45" s="51"/>
      <c r="E45" s="86"/>
      <c r="F45" s="87"/>
      <c r="G45" s="87"/>
      <c r="H45" s="88"/>
      <c r="I45" s="88"/>
    </row>
    <row r="46" spans="1:9" ht="15.75" customHeight="1">
      <c r="A46" s="51" t="s">
        <v>9776</v>
      </c>
      <c r="B46" s="60" t="s">
        <v>9196</v>
      </c>
      <c r="C46" s="51" t="s">
        <v>208</v>
      </c>
      <c r="D46" s="51"/>
      <c r="E46" s="86"/>
      <c r="F46" s="86"/>
      <c r="G46" s="87"/>
      <c r="H46" s="88"/>
      <c r="I46" s="88"/>
    </row>
    <row r="47" spans="1:9" ht="15.75" customHeight="1">
      <c r="A47" s="51" t="s">
        <v>9777</v>
      </c>
      <c r="B47" s="61" t="s">
        <v>8640</v>
      </c>
      <c r="C47" s="51" t="s">
        <v>192</v>
      </c>
      <c r="D47" s="51"/>
      <c r="E47" s="89"/>
      <c r="F47" s="87"/>
      <c r="G47" s="87"/>
      <c r="H47" s="88"/>
      <c r="I47" s="88"/>
    </row>
    <row r="48" spans="1:9" ht="15.75" customHeight="1">
      <c r="A48" s="51" t="s">
        <v>9778</v>
      </c>
      <c r="B48" s="61" t="s">
        <v>8642</v>
      </c>
      <c r="C48" s="51" t="s">
        <v>192</v>
      </c>
      <c r="D48" s="51"/>
      <c r="E48" s="86"/>
      <c r="F48" s="86"/>
      <c r="G48" s="87"/>
      <c r="H48" s="88"/>
      <c r="I48" s="88"/>
    </row>
    <row r="49" spans="1:9" ht="15.75" customHeight="1">
      <c r="A49" s="51" t="s">
        <v>9779</v>
      </c>
      <c r="B49" s="60" t="s">
        <v>298</v>
      </c>
      <c r="C49" s="51" t="s">
        <v>192</v>
      </c>
      <c r="D49" s="51"/>
      <c r="E49" s="86"/>
      <c r="F49" s="87"/>
      <c r="G49" s="87"/>
      <c r="H49" s="88"/>
      <c r="I49" s="88"/>
    </row>
    <row r="50" spans="1:9" ht="15.75" customHeight="1">
      <c r="A50" s="51" t="s">
        <v>9780</v>
      </c>
      <c r="B50" s="60" t="s">
        <v>256</v>
      </c>
      <c r="C50" s="51" t="s">
        <v>192</v>
      </c>
      <c r="D50" s="54"/>
      <c r="E50" s="86"/>
      <c r="F50" s="86"/>
      <c r="G50" s="87"/>
      <c r="H50" s="88"/>
      <c r="I50" s="88"/>
    </row>
    <row r="51" spans="1:9" ht="15.75" customHeight="1">
      <c r="A51" s="51" t="s">
        <v>9781</v>
      </c>
      <c r="B51" s="60" t="s">
        <v>320</v>
      </c>
      <c r="C51" s="51" t="s">
        <v>192</v>
      </c>
      <c r="D51" s="54"/>
      <c r="E51" s="89"/>
      <c r="F51" s="87"/>
      <c r="G51" s="87"/>
      <c r="H51" s="88"/>
      <c r="I51" s="88"/>
    </row>
    <row r="52" spans="1:9" ht="15.75" customHeight="1">
      <c r="A52" s="51" t="s">
        <v>9782</v>
      </c>
      <c r="B52" s="60" t="s">
        <v>211</v>
      </c>
      <c r="C52" s="51" t="s">
        <v>192</v>
      </c>
      <c r="D52" s="54"/>
      <c r="E52" s="89"/>
      <c r="F52" s="87"/>
      <c r="G52" s="87"/>
      <c r="H52" s="88"/>
      <c r="I52" s="88"/>
    </row>
    <row r="53" spans="1:9" ht="13">
      <c r="A53" s="51" t="s">
        <v>9783</v>
      </c>
      <c r="B53" s="61" t="s">
        <v>9784</v>
      </c>
      <c r="C53" s="51" t="s">
        <v>192</v>
      </c>
      <c r="D53" s="54"/>
      <c r="E53" s="87"/>
      <c r="F53" s="87"/>
      <c r="G53" s="87"/>
      <c r="H53" s="88"/>
      <c r="I53" s="88"/>
    </row>
    <row r="54" spans="1:9" ht="13">
      <c r="A54" s="51" t="s">
        <v>9785</v>
      </c>
      <c r="B54" s="60" t="s">
        <v>972</v>
      </c>
      <c r="C54" s="51" t="s">
        <v>192</v>
      </c>
      <c r="D54" s="54"/>
      <c r="E54" s="86"/>
      <c r="F54" s="86"/>
      <c r="G54" s="87"/>
      <c r="H54" s="88"/>
      <c r="I54" s="88"/>
    </row>
    <row r="55" spans="1:9" ht="13">
      <c r="A55" s="51" t="s">
        <v>9786</v>
      </c>
      <c r="B55" s="60" t="s">
        <v>1257</v>
      </c>
      <c r="C55" s="51" t="s">
        <v>192</v>
      </c>
      <c r="D55" s="51"/>
      <c r="E55" s="86"/>
      <c r="F55" s="87"/>
      <c r="G55" s="87"/>
      <c r="H55" s="88"/>
      <c r="I55" s="88"/>
    </row>
    <row r="56" spans="1:9" ht="13">
      <c r="A56" s="51" t="s">
        <v>9787</v>
      </c>
      <c r="B56" s="60" t="s">
        <v>1224</v>
      </c>
      <c r="C56" s="51" t="s">
        <v>192</v>
      </c>
      <c r="D56" s="54"/>
      <c r="E56" s="86"/>
      <c r="F56" s="86"/>
      <c r="G56" s="87"/>
      <c r="H56" s="88"/>
      <c r="I56" s="88"/>
    </row>
    <row r="57" spans="1:9" ht="13">
      <c r="A57" s="51" t="s">
        <v>9788</v>
      </c>
      <c r="B57" s="60" t="s">
        <v>4033</v>
      </c>
      <c r="C57" s="51" t="s">
        <v>192</v>
      </c>
      <c r="D57" s="51"/>
      <c r="E57" s="86"/>
      <c r="F57" s="86"/>
      <c r="G57" s="87"/>
      <c r="H57" s="88"/>
      <c r="I57" s="88"/>
    </row>
    <row r="58" spans="1:9" ht="13">
      <c r="A58" s="51" t="s">
        <v>9789</v>
      </c>
      <c r="B58" s="60" t="s">
        <v>4071</v>
      </c>
      <c r="C58" s="51" t="s">
        <v>192</v>
      </c>
      <c r="D58" s="51"/>
      <c r="E58" s="86"/>
      <c r="F58" s="86"/>
      <c r="G58" s="87"/>
      <c r="H58" s="88"/>
      <c r="I58" s="88"/>
    </row>
    <row r="59" spans="1:9" ht="13">
      <c r="A59" s="51" t="s">
        <v>9790</v>
      </c>
      <c r="B59" s="60" t="s">
        <v>4151</v>
      </c>
      <c r="C59" s="51" t="s">
        <v>192</v>
      </c>
      <c r="D59" s="51"/>
      <c r="E59" s="86"/>
      <c r="F59" s="87"/>
      <c r="G59" s="87"/>
      <c r="H59" s="88"/>
      <c r="I59" s="88"/>
    </row>
    <row r="60" spans="1:9" ht="13">
      <c r="A60" s="51" t="s">
        <v>9791</v>
      </c>
      <c r="B60" s="60" t="s">
        <v>4152</v>
      </c>
      <c r="C60" s="51" t="s">
        <v>192</v>
      </c>
      <c r="D60" s="51"/>
      <c r="E60" s="86"/>
      <c r="F60" s="87"/>
      <c r="G60" s="87"/>
      <c r="H60" s="88"/>
      <c r="I60" s="88"/>
    </row>
    <row r="61" spans="1:9" ht="13">
      <c r="A61" s="51" t="s">
        <v>9792</v>
      </c>
      <c r="B61" s="60" t="s">
        <v>4073</v>
      </c>
      <c r="C61" s="51" t="s">
        <v>192</v>
      </c>
      <c r="D61" s="51"/>
      <c r="E61" s="86"/>
      <c r="F61" s="87"/>
      <c r="G61" s="87"/>
      <c r="H61" s="88"/>
      <c r="I61" s="88"/>
    </row>
    <row r="62" spans="1:9" ht="13">
      <c r="A62" s="51" t="s">
        <v>9793</v>
      </c>
      <c r="B62" s="60" t="s">
        <v>4074</v>
      </c>
      <c r="C62" s="51" t="s">
        <v>192</v>
      </c>
      <c r="D62" s="51"/>
      <c r="E62" s="89"/>
      <c r="F62" s="86"/>
      <c r="G62" s="87"/>
      <c r="H62" s="88"/>
      <c r="I62" s="88"/>
    </row>
    <row r="63" spans="1:9" ht="13">
      <c r="A63" s="51" t="s">
        <v>9794</v>
      </c>
      <c r="B63" s="60" t="s">
        <v>4075</v>
      </c>
      <c r="C63" s="51" t="s">
        <v>192</v>
      </c>
      <c r="D63" s="51"/>
      <c r="E63" s="86"/>
      <c r="F63" s="87"/>
      <c r="G63" s="87"/>
      <c r="H63" s="88"/>
      <c r="I63" s="88"/>
    </row>
    <row r="64" spans="1:9" ht="13">
      <c r="A64" s="51" t="s">
        <v>9795</v>
      </c>
      <c r="B64" s="60" t="s">
        <v>4129</v>
      </c>
      <c r="C64" s="51" t="s">
        <v>192</v>
      </c>
      <c r="D64" s="54"/>
      <c r="E64" s="86"/>
      <c r="F64" s="86"/>
      <c r="G64" s="87"/>
      <c r="H64" s="88"/>
      <c r="I64" s="88"/>
    </row>
    <row r="65" spans="1:9" ht="13">
      <c r="A65" s="51" t="s">
        <v>9796</v>
      </c>
      <c r="B65" s="60" t="s">
        <v>7850</v>
      </c>
      <c r="C65" s="51" t="s">
        <v>192</v>
      </c>
      <c r="D65" s="54"/>
      <c r="E65" s="86"/>
      <c r="F65" s="86"/>
      <c r="G65" s="87"/>
      <c r="H65" s="88"/>
      <c r="I65" s="88"/>
    </row>
    <row r="66" spans="1:9" ht="13">
      <c r="A66" s="51" t="s">
        <v>9797</v>
      </c>
      <c r="B66" s="60" t="s">
        <v>8966</v>
      </c>
      <c r="C66" s="51" t="s">
        <v>192</v>
      </c>
      <c r="D66" s="51"/>
      <c r="E66" s="86"/>
      <c r="F66" s="86"/>
      <c r="G66" s="87"/>
      <c r="H66" s="88"/>
      <c r="I66" s="88"/>
    </row>
    <row r="67" spans="1:9" ht="13">
      <c r="A67" s="51" t="s">
        <v>9798</v>
      </c>
      <c r="B67" s="60" t="s">
        <v>244</v>
      </c>
      <c r="C67" s="51" t="s">
        <v>195</v>
      </c>
      <c r="D67" s="51"/>
      <c r="E67" s="86"/>
      <c r="F67" s="87"/>
      <c r="G67" s="87"/>
      <c r="H67" s="88"/>
      <c r="I67" s="88"/>
    </row>
    <row r="68" spans="1:9" ht="13">
      <c r="A68" s="51" t="s">
        <v>9799</v>
      </c>
      <c r="B68" s="60" t="s">
        <v>318</v>
      </c>
      <c r="C68" s="51" t="s">
        <v>195</v>
      </c>
      <c r="D68" s="51"/>
      <c r="E68" s="86"/>
      <c r="F68" s="86"/>
      <c r="G68" s="87"/>
      <c r="H68" s="88"/>
      <c r="I68" s="88"/>
    </row>
    <row r="69" spans="1:9" ht="13">
      <c r="A69" s="51" t="s">
        <v>9800</v>
      </c>
      <c r="B69" s="60" t="s">
        <v>865</v>
      </c>
      <c r="C69" s="51" t="s">
        <v>195</v>
      </c>
      <c r="D69" s="51"/>
      <c r="E69" s="86"/>
      <c r="F69" s="87"/>
      <c r="G69" s="87"/>
      <c r="H69" s="88"/>
      <c r="I69" s="88"/>
    </row>
    <row r="70" spans="1:9" ht="13">
      <c r="A70" s="51" t="s">
        <v>9801</v>
      </c>
      <c r="B70" s="60" t="s">
        <v>1509</v>
      </c>
      <c r="C70" s="51" t="s">
        <v>195</v>
      </c>
      <c r="D70" s="51"/>
      <c r="E70" s="86"/>
      <c r="F70" s="87"/>
      <c r="G70" s="87"/>
      <c r="H70" s="88"/>
      <c r="I70" s="88"/>
    </row>
    <row r="71" spans="1:9" ht="13">
      <c r="A71" s="51" t="s">
        <v>9802</v>
      </c>
      <c r="B71" s="60" t="s">
        <v>1548</v>
      </c>
      <c r="C71" s="51" t="s">
        <v>195</v>
      </c>
      <c r="D71" s="51"/>
      <c r="E71" s="86"/>
      <c r="F71" s="86"/>
      <c r="G71" s="87"/>
      <c r="H71" s="88"/>
      <c r="I71" s="88"/>
    </row>
    <row r="72" spans="1:9" ht="13">
      <c r="A72" s="51" t="s">
        <v>9803</v>
      </c>
      <c r="B72" s="60" t="s">
        <v>1788</v>
      </c>
      <c r="C72" s="51" t="s">
        <v>195</v>
      </c>
      <c r="D72" s="51"/>
      <c r="E72" s="86"/>
      <c r="F72" s="87"/>
      <c r="G72" s="87"/>
      <c r="H72" s="88"/>
      <c r="I72" s="88"/>
    </row>
    <row r="73" spans="1:9" ht="13">
      <c r="A73" s="51" t="s">
        <v>9804</v>
      </c>
      <c r="B73" s="60" t="s">
        <v>1437</v>
      </c>
      <c r="C73" s="51" t="s">
        <v>195</v>
      </c>
      <c r="D73" s="51"/>
      <c r="E73" s="86"/>
      <c r="F73" s="87"/>
      <c r="G73" s="87"/>
      <c r="H73" s="88"/>
      <c r="I73" s="88"/>
    </row>
    <row r="74" spans="1:9" ht="13">
      <c r="A74" s="51" t="s">
        <v>9805</v>
      </c>
      <c r="B74" s="60" t="s">
        <v>1361</v>
      </c>
      <c r="C74" s="51" t="s">
        <v>195</v>
      </c>
      <c r="D74" s="51"/>
      <c r="E74" s="86"/>
      <c r="F74" s="87"/>
      <c r="G74" s="87"/>
      <c r="H74" s="88"/>
      <c r="I74" s="88"/>
    </row>
    <row r="75" spans="1:9" ht="13">
      <c r="A75" s="51" t="s">
        <v>9806</v>
      </c>
      <c r="B75" s="60" t="s">
        <v>3076</v>
      </c>
      <c r="C75" s="51" t="s">
        <v>195</v>
      </c>
      <c r="D75" s="54"/>
      <c r="E75" s="86"/>
      <c r="F75" s="86"/>
      <c r="G75" s="87"/>
      <c r="H75" s="88"/>
      <c r="I75" s="88"/>
    </row>
    <row r="76" spans="1:9" ht="13">
      <c r="A76" s="51" t="s">
        <v>9807</v>
      </c>
      <c r="B76" s="60" t="s">
        <v>1199</v>
      </c>
      <c r="C76" s="51" t="s">
        <v>195</v>
      </c>
      <c r="D76" s="51"/>
      <c r="E76" s="86"/>
      <c r="F76" s="87"/>
      <c r="G76" s="87"/>
      <c r="H76" s="88"/>
      <c r="I76" s="88"/>
    </row>
    <row r="77" spans="1:9" ht="13">
      <c r="A77" s="51" t="s">
        <v>9808</v>
      </c>
      <c r="B77" s="60" t="s">
        <v>4153</v>
      </c>
      <c r="C77" s="51" t="s">
        <v>195</v>
      </c>
      <c r="D77" s="51"/>
      <c r="E77" s="86"/>
      <c r="F77" s="87"/>
      <c r="G77" s="87"/>
      <c r="H77" s="88"/>
      <c r="I77" s="88"/>
    </row>
    <row r="78" spans="1:9" ht="13">
      <c r="A78" s="51" t="s">
        <v>9809</v>
      </c>
      <c r="B78" s="60" t="s">
        <v>4419</v>
      </c>
      <c r="C78" s="51" t="s">
        <v>195</v>
      </c>
      <c r="D78" s="51"/>
      <c r="E78" s="86"/>
      <c r="F78" s="87"/>
      <c r="G78" s="87"/>
      <c r="H78" s="88"/>
      <c r="I78" s="88"/>
    </row>
    <row r="79" spans="1:9" ht="13">
      <c r="A79" s="51" t="s">
        <v>9810</v>
      </c>
      <c r="B79" s="60" t="s">
        <v>4356</v>
      </c>
      <c r="C79" s="51" t="s">
        <v>195</v>
      </c>
      <c r="D79" s="51"/>
      <c r="E79" s="86"/>
      <c r="F79" s="86"/>
      <c r="G79" s="87"/>
      <c r="H79" s="88"/>
      <c r="I79" s="88"/>
    </row>
    <row r="80" spans="1:9" ht="13">
      <c r="A80" s="51" t="s">
        <v>9811</v>
      </c>
      <c r="B80" s="60" t="s">
        <v>4358</v>
      </c>
      <c r="C80" s="51" t="s">
        <v>195</v>
      </c>
      <c r="D80" s="51"/>
      <c r="E80" s="86"/>
      <c r="F80" s="86"/>
      <c r="G80" s="87"/>
      <c r="H80" s="88"/>
      <c r="I80" s="88"/>
    </row>
    <row r="81" spans="1:9" ht="13">
      <c r="A81" s="51" t="s">
        <v>9812</v>
      </c>
      <c r="B81" s="60" t="s">
        <v>5120</v>
      </c>
      <c r="C81" s="51" t="s">
        <v>195</v>
      </c>
      <c r="D81" s="51"/>
      <c r="E81" s="86"/>
      <c r="F81" s="87"/>
      <c r="G81" s="87"/>
      <c r="H81" s="88"/>
      <c r="I81" s="88"/>
    </row>
    <row r="82" spans="1:9" ht="13">
      <c r="A82" s="51" t="s">
        <v>9813</v>
      </c>
      <c r="B82" s="60" t="s">
        <v>4745</v>
      </c>
      <c r="C82" s="51" t="s">
        <v>195</v>
      </c>
      <c r="D82" s="54"/>
      <c r="E82" s="86"/>
      <c r="F82" s="86"/>
      <c r="G82" s="87"/>
      <c r="H82" s="88"/>
      <c r="I82" s="88"/>
    </row>
    <row r="83" spans="1:9" ht="13">
      <c r="A83" s="51" t="s">
        <v>9814</v>
      </c>
      <c r="B83" s="60" t="s">
        <v>5210</v>
      </c>
      <c r="C83" s="51" t="s">
        <v>195</v>
      </c>
      <c r="D83" s="54"/>
      <c r="E83" s="86"/>
      <c r="F83" s="86"/>
      <c r="G83" s="87"/>
      <c r="H83" s="88"/>
      <c r="I83" s="88"/>
    </row>
    <row r="84" spans="1:9" ht="13">
      <c r="A84" s="51" t="s">
        <v>9815</v>
      </c>
      <c r="B84" s="60" t="s">
        <v>9236</v>
      </c>
      <c r="C84" s="51" t="s">
        <v>195</v>
      </c>
      <c r="D84" s="51"/>
      <c r="E84" s="86"/>
      <c r="F84" s="87"/>
      <c r="G84" s="87"/>
      <c r="H84" s="88"/>
      <c r="I84" s="88"/>
    </row>
    <row r="85" spans="1:9" ht="13">
      <c r="A85" s="51" t="s">
        <v>9816</v>
      </c>
      <c r="B85" s="60" t="s">
        <v>8635</v>
      </c>
      <c r="C85" s="51" t="s">
        <v>195</v>
      </c>
      <c r="D85" s="54"/>
      <c r="E85" s="86"/>
      <c r="F85" s="87"/>
      <c r="G85" s="87"/>
      <c r="H85" s="88"/>
      <c r="I85" s="88"/>
    </row>
    <row r="86" spans="1:9" ht="13">
      <c r="A86" s="51" t="s">
        <v>9817</v>
      </c>
      <c r="B86" s="60" t="s">
        <v>8594</v>
      </c>
      <c r="C86" s="51" t="s">
        <v>195</v>
      </c>
      <c r="D86" s="54"/>
      <c r="E86" s="86"/>
      <c r="F86" s="87"/>
      <c r="G86" s="87"/>
      <c r="H86" s="88"/>
      <c r="I86" s="88"/>
    </row>
    <row r="87" spans="1:9" ht="13">
      <c r="A87" s="51" t="s">
        <v>9818</v>
      </c>
      <c r="B87" s="60" t="s">
        <v>906</v>
      </c>
      <c r="C87" s="51" t="s">
        <v>225</v>
      </c>
      <c r="D87" s="51"/>
      <c r="E87" s="86"/>
      <c r="F87" s="89"/>
      <c r="G87" s="87"/>
      <c r="H87" s="88"/>
      <c r="I87" s="88"/>
    </row>
    <row r="88" spans="1:9" ht="13">
      <c r="A88" s="51" t="s">
        <v>9819</v>
      </c>
      <c r="B88" s="60" t="s">
        <v>844</v>
      </c>
      <c r="C88" s="51" t="s">
        <v>225</v>
      </c>
      <c r="D88" s="51"/>
      <c r="E88" s="86"/>
      <c r="F88" s="87"/>
      <c r="G88" s="87"/>
      <c r="H88" s="88"/>
      <c r="I88" s="88"/>
    </row>
    <row r="89" spans="1:9" ht="13">
      <c r="A89" s="51" t="s">
        <v>9820</v>
      </c>
      <c r="B89" s="60" t="s">
        <v>888</v>
      </c>
      <c r="C89" s="51" t="s">
        <v>225</v>
      </c>
      <c r="D89" s="51"/>
      <c r="E89" s="86"/>
      <c r="F89" s="86"/>
      <c r="G89" s="87"/>
      <c r="H89" s="88"/>
      <c r="I89" s="88"/>
    </row>
    <row r="90" spans="1:9" ht="13">
      <c r="A90" s="51" t="s">
        <v>9821</v>
      </c>
      <c r="B90" s="60" t="s">
        <v>840</v>
      </c>
      <c r="C90" s="51" t="s">
        <v>225</v>
      </c>
      <c r="D90" s="51"/>
      <c r="E90" s="86"/>
      <c r="F90" s="87"/>
      <c r="G90" s="87"/>
      <c r="H90" s="88"/>
      <c r="I90" s="88"/>
    </row>
    <row r="91" spans="1:9" ht="13">
      <c r="A91" s="51" t="s">
        <v>9822</v>
      </c>
      <c r="B91" s="60" t="s">
        <v>801</v>
      </c>
      <c r="C91" s="51" t="s">
        <v>225</v>
      </c>
      <c r="D91" s="51"/>
      <c r="E91" s="86"/>
      <c r="F91" s="87"/>
      <c r="G91" s="87"/>
      <c r="H91" s="88"/>
      <c r="I91" s="88"/>
    </row>
    <row r="92" spans="1:9" ht="13">
      <c r="A92" s="51" t="s">
        <v>9823</v>
      </c>
      <c r="B92" s="60" t="s">
        <v>224</v>
      </c>
      <c r="C92" s="51" t="s">
        <v>225</v>
      </c>
      <c r="D92" s="51"/>
      <c r="E92" s="86"/>
      <c r="F92" s="86"/>
      <c r="G92" s="87"/>
      <c r="H92" s="88"/>
      <c r="I92" s="88"/>
    </row>
    <row r="93" spans="1:9" ht="13">
      <c r="A93" s="51" t="s">
        <v>9824</v>
      </c>
      <c r="B93" s="60" t="s">
        <v>2780</v>
      </c>
      <c r="C93" s="51" t="s">
        <v>225</v>
      </c>
      <c r="D93" s="54"/>
      <c r="E93" s="86"/>
      <c r="F93" s="86"/>
      <c r="G93" s="87"/>
      <c r="H93" s="88"/>
      <c r="I93" s="88"/>
    </row>
    <row r="94" spans="1:9" ht="13">
      <c r="A94" s="51" t="s">
        <v>9825</v>
      </c>
      <c r="B94" s="60" t="s">
        <v>3141</v>
      </c>
      <c r="C94" s="51" t="s">
        <v>225</v>
      </c>
      <c r="D94" s="51"/>
      <c r="E94" s="86"/>
      <c r="F94" s="87"/>
      <c r="G94" s="87"/>
      <c r="H94" s="88"/>
      <c r="I94" s="88"/>
    </row>
    <row r="95" spans="1:9" ht="13">
      <c r="A95" s="51" t="s">
        <v>9826</v>
      </c>
      <c r="B95" s="60" t="s">
        <v>4154</v>
      </c>
      <c r="C95" s="51" t="s">
        <v>225</v>
      </c>
      <c r="D95" s="51"/>
      <c r="E95" s="86"/>
      <c r="F95" s="86"/>
      <c r="G95" s="87"/>
      <c r="H95" s="88"/>
      <c r="I95" s="88"/>
    </row>
    <row r="96" spans="1:9" ht="13">
      <c r="A96" s="51" t="s">
        <v>9827</v>
      </c>
      <c r="B96" s="60" t="s">
        <v>4099</v>
      </c>
      <c r="C96" s="51" t="s">
        <v>225</v>
      </c>
      <c r="D96" s="51"/>
      <c r="E96" s="86"/>
      <c r="F96" s="87"/>
      <c r="G96" s="87"/>
      <c r="H96" s="88"/>
      <c r="I96" s="88"/>
    </row>
    <row r="97" spans="1:9" ht="13">
      <c r="A97" s="51" t="s">
        <v>9828</v>
      </c>
      <c r="B97" s="60" t="s">
        <v>4913</v>
      </c>
      <c r="C97" s="51" t="s">
        <v>225</v>
      </c>
      <c r="D97" s="54"/>
      <c r="E97" s="86"/>
      <c r="F97" s="87"/>
      <c r="G97" s="87"/>
      <c r="H97" s="88"/>
      <c r="I97" s="88"/>
    </row>
    <row r="98" spans="1:9" ht="13">
      <c r="A98" s="51" t="s">
        <v>9829</v>
      </c>
      <c r="B98" s="60" t="s">
        <v>6329</v>
      </c>
      <c r="C98" s="51" t="s">
        <v>225</v>
      </c>
      <c r="D98" s="51"/>
      <c r="E98" s="86"/>
      <c r="F98" s="87"/>
      <c r="G98" s="87"/>
      <c r="H98" s="88"/>
      <c r="I98" s="88"/>
    </row>
    <row r="99" spans="1:9" ht="13">
      <c r="A99" s="51" t="s">
        <v>9830</v>
      </c>
      <c r="B99" s="60" t="s">
        <v>6310</v>
      </c>
      <c r="C99" s="51" t="s">
        <v>225</v>
      </c>
      <c r="D99" s="54"/>
      <c r="E99" s="86"/>
      <c r="F99" s="86"/>
      <c r="G99" s="87"/>
      <c r="H99" s="88"/>
      <c r="I99" s="88"/>
    </row>
    <row r="100" spans="1:9" ht="13">
      <c r="A100" s="51" t="s">
        <v>9831</v>
      </c>
      <c r="B100" s="60" t="s">
        <v>6615</v>
      </c>
      <c r="C100" s="51" t="s">
        <v>225</v>
      </c>
      <c r="D100" s="51"/>
      <c r="E100" s="86"/>
      <c r="F100" s="87"/>
      <c r="G100" s="87"/>
      <c r="H100" s="88"/>
      <c r="I100" s="88"/>
    </row>
    <row r="101" spans="1:9" ht="13">
      <c r="A101" s="51" t="s">
        <v>9832</v>
      </c>
      <c r="B101" s="60" t="s">
        <v>6617</v>
      </c>
      <c r="C101" s="51" t="s">
        <v>225</v>
      </c>
      <c r="D101" s="51"/>
      <c r="E101" s="86"/>
      <c r="F101" s="87"/>
      <c r="G101" s="87"/>
      <c r="H101" s="88"/>
      <c r="I101" s="88"/>
    </row>
    <row r="102" spans="1:9" ht="13">
      <c r="A102" s="51" t="s">
        <v>9833</v>
      </c>
      <c r="B102" s="61" t="s">
        <v>9834</v>
      </c>
      <c r="C102" s="51" t="s">
        <v>225</v>
      </c>
      <c r="D102" s="51"/>
      <c r="E102" s="87"/>
      <c r="F102" s="86"/>
      <c r="G102" s="87"/>
      <c r="H102" s="88"/>
      <c r="I102" s="88"/>
    </row>
    <row r="103" spans="1:9" ht="13">
      <c r="A103" s="51" t="s">
        <v>9835</v>
      </c>
      <c r="B103" s="61" t="s">
        <v>9836</v>
      </c>
      <c r="C103" s="51" t="s">
        <v>225</v>
      </c>
      <c r="D103" s="51"/>
      <c r="E103" s="86"/>
      <c r="F103" s="87"/>
      <c r="G103" s="87"/>
      <c r="H103" s="88"/>
      <c r="I103" s="88"/>
    </row>
    <row r="104" spans="1:9" ht="13">
      <c r="A104" s="51" t="s">
        <v>9837</v>
      </c>
      <c r="B104" s="60" t="s">
        <v>9005</v>
      </c>
      <c r="C104" s="51" t="s">
        <v>225</v>
      </c>
      <c r="D104" s="51"/>
      <c r="E104" s="86"/>
      <c r="F104" s="87"/>
      <c r="G104" s="87"/>
      <c r="H104" s="88"/>
      <c r="I104" s="88"/>
    </row>
    <row r="105" spans="1:9" ht="13">
      <c r="A105" s="51" t="s">
        <v>9838</v>
      </c>
      <c r="B105" s="60" t="s">
        <v>9008</v>
      </c>
      <c r="C105" s="51" t="s">
        <v>225</v>
      </c>
      <c r="D105" s="51"/>
      <c r="E105" s="86"/>
      <c r="F105" s="87"/>
      <c r="G105" s="87"/>
      <c r="H105" s="88"/>
      <c r="I105" s="88"/>
    </row>
    <row r="106" spans="1:9" ht="13">
      <c r="A106" s="51" t="s">
        <v>9839</v>
      </c>
      <c r="B106" s="60" t="s">
        <v>8596</v>
      </c>
      <c r="C106" s="51" t="s">
        <v>225</v>
      </c>
      <c r="D106" s="54"/>
      <c r="E106" s="86"/>
      <c r="F106" s="86"/>
      <c r="G106" s="87"/>
      <c r="H106" s="88"/>
      <c r="I106" s="88"/>
    </row>
    <row r="107" spans="1:9" ht="13">
      <c r="A107" s="51" t="s">
        <v>9840</v>
      </c>
      <c r="B107" s="60" t="s">
        <v>1303</v>
      </c>
      <c r="C107" s="51" t="s">
        <v>808</v>
      </c>
      <c r="D107" s="51"/>
      <c r="E107" s="86"/>
      <c r="F107" s="87"/>
      <c r="G107" s="87"/>
      <c r="H107" s="88"/>
      <c r="I107" s="88"/>
    </row>
    <row r="108" spans="1:9" ht="13">
      <c r="A108" s="51" t="s">
        <v>9841</v>
      </c>
      <c r="B108" s="60" t="s">
        <v>1226</v>
      </c>
      <c r="C108" s="51" t="s">
        <v>808</v>
      </c>
      <c r="D108" s="51"/>
      <c r="E108" s="86"/>
      <c r="F108" s="87"/>
      <c r="G108" s="87"/>
      <c r="H108" s="88"/>
      <c r="I108" s="88"/>
    </row>
    <row r="109" spans="1:9" ht="13">
      <c r="A109" s="51" t="s">
        <v>9842</v>
      </c>
      <c r="B109" s="60" t="s">
        <v>1370</v>
      </c>
      <c r="C109" s="51" t="s">
        <v>808</v>
      </c>
      <c r="D109" s="51"/>
      <c r="E109" s="86"/>
      <c r="F109" s="87"/>
      <c r="G109" s="87"/>
      <c r="H109" s="88"/>
      <c r="I109" s="88"/>
    </row>
    <row r="110" spans="1:9" ht="13">
      <c r="A110" s="51" t="s">
        <v>9843</v>
      </c>
      <c r="B110" s="61" t="s">
        <v>9844</v>
      </c>
      <c r="C110" s="51" t="s">
        <v>808</v>
      </c>
      <c r="D110" s="51"/>
      <c r="E110" s="86"/>
      <c r="F110" s="87"/>
      <c r="G110" s="87"/>
      <c r="H110" s="88"/>
      <c r="I110" s="88"/>
    </row>
    <row r="111" spans="1:9" ht="13">
      <c r="A111" s="51" t="s">
        <v>9845</v>
      </c>
      <c r="B111" s="60" t="s">
        <v>4035</v>
      </c>
      <c r="C111" s="51" t="s">
        <v>808</v>
      </c>
      <c r="D111" s="51"/>
      <c r="E111" s="86"/>
      <c r="F111" s="86"/>
      <c r="G111" s="87"/>
      <c r="H111" s="88"/>
      <c r="I111" s="88"/>
    </row>
    <row r="112" spans="1:9" ht="13">
      <c r="A112" s="51" t="s">
        <v>9846</v>
      </c>
      <c r="B112" s="60" t="s">
        <v>4156</v>
      </c>
      <c r="C112" s="51" t="s">
        <v>808</v>
      </c>
      <c r="D112" s="51"/>
      <c r="E112" s="86"/>
      <c r="F112" s="89"/>
      <c r="G112" s="87"/>
      <c r="H112" s="88"/>
      <c r="I112" s="88"/>
    </row>
    <row r="113" spans="1:9" ht="13">
      <c r="A113" s="51" t="s">
        <v>9847</v>
      </c>
      <c r="B113" s="60" t="s">
        <v>4157</v>
      </c>
      <c r="C113" s="51" t="s">
        <v>808</v>
      </c>
      <c r="D113" s="54"/>
      <c r="E113" s="86"/>
      <c r="F113" s="89"/>
      <c r="G113" s="87"/>
      <c r="H113" s="88"/>
      <c r="I113" s="88"/>
    </row>
    <row r="114" spans="1:9" ht="13">
      <c r="A114" s="51" t="s">
        <v>9848</v>
      </c>
      <c r="B114" s="60" t="s">
        <v>4079</v>
      </c>
      <c r="C114" s="51" t="s">
        <v>808</v>
      </c>
      <c r="D114" s="51"/>
      <c r="E114" s="86"/>
      <c r="F114" s="86"/>
      <c r="G114" s="87"/>
      <c r="H114" s="88"/>
      <c r="I114" s="88"/>
    </row>
    <row r="115" spans="1:9" ht="13">
      <c r="A115" s="51" t="s">
        <v>9849</v>
      </c>
      <c r="B115" s="60" t="s">
        <v>4080</v>
      </c>
      <c r="C115" s="51" t="s">
        <v>808</v>
      </c>
      <c r="D115" s="51"/>
      <c r="E115" s="86"/>
      <c r="F115" s="86"/>
      <c r="G115" s="87"/>
      <c r="H115" s="88"/>
      <c r="I115" s="88"/>
    </row>
    <row r="116" spans="1:9" ht="13">
      <c r="A116" s="51" t="s">
        <v>9850</v>
      </c>
      <c r="B116" s="60" t="s">
        <v>9028</v>
      </c>
      <c r="C116" s="51" t="s">
        <v>220</v>
      </c>
      <c r="D116" s="51"/>
      <c r="E116" s="87"/>
      <c r="F116" s="87"/>
      <c r="G116" s="87"/>
      <c r="H116" s="88"/>
      <c r="I116" s="88"/>
    </row>
    <row r="117" spans="1:9" ht="13">
      <c r="A117" s="51" t="s">
        <v>9851</v>
      </c>
      <c r="B117" s="60" t="s">
        <v>9030</v>
      </c>
      <c r="C117" s="51" t="s">
        <v>220</v>
      </c>
      <c r="D117" s="51"/>
      <c r="E117" s="86"/>
      <c r="F117" s="86"/>
      <c r="G117" s="87"/>
      <c r="H117" s="88"/>
      <c r="I117" s="88"/>
    </row>
    <row r="118" spans="1:9" ht="13">
      <c r="A118" s="51" t="s">
        <v>9852</v>
      </c>
      <c r="B118" s="60" t="s">
        <v>937</v>
      </c>
      <c r="C118" s="51" t="s">
        <v>220</v>
      </c>
      <c r="D118" s="54"/>
      <c r="E118" s="86"/>
      <c r="F118" s="87"/>
      <c r="G118" s="87"/>
      <c r="H118" s="88"/>
      <c r="I118" s="88"/>
    </row>
    <row r="119" spans="1:9" ht="13">
      <c r="A119" s="51" t="s">
        <v>9853</v>
      </c>
      <c r="B119" s="61" t="s">
        <v>9854</v>
      </c>
      <c r="C119" s="51" t="s">
        <v>220</v>
      </c>
      <c r="D119" s="54"/>
      <c r="E119" s="86"/>
      <c r="F119" s="87"/>
      <c r="G119" s="87"/>
      <c r="H119" s="88"/>
      <c r="I119" s="88"/>
    </row>
    <row r="120" spans="1:9" ht="13">
      <c r="A120" s="51" t="s">
        <v>9855</v>
      </c>
      <c r="B120" s="60" t="s">
        <v>1197</v>
      </c>
      <c r="C120" s="51" t="s">
        <v>220</v>
      </c>
      <c r="D120" s="51"/>
      <c r="E120" s="86"/>
      <c r="F120" s="87"/>
      <c r="G120" s="87"/>
      <c r="H120" s="88"/>
      <c r="I120" s="88"/>
    </row>
    <row r="121" spans="1:9" ht="13">
      <c r="A121" s="51" t="s">
        <v>9856</v>
      </c>
      <c r="B121" s="60" t="s">
        <v>1198</v>
      </c>
      <c r="C121" s="51" t="s">
        <v>220</v>
      </c>
      <c r="D121" s="51"/>
      <c r="E121" s="86"/>
      <c r="F121" s="87"/>
      <c r="G121" s="87"/>
      <c r="H121" s="88"/>
      <c r="I121" s="88"/>
    </row>
    <row r="122" spans="1:9" ht="13">
      <c r="A122" s="51" t="s">
        <v>9857</v>
      </c>
      <c r="B122" s="60" t="s">
        <v>1804</v>
      </c>
      <c r="C122" s="51" t="s">
        <v>220</v>
      </c>
      <c r="D122" s="51"/>
      <c r="E122" s="86"/>
      <c r="F122" s="87"/>
      <c r="G122" s="87"/>
      <c r="H122" s="88"/>
      <c r="I122" s="88"/>
    </row>
    <row r="123" spans="1:9" ht="13">
      <c r="A123" s="51" t="s">
        <v>9858</v>
      </c>
      <c r="B123" s="60" t="s">
        <v>1196</v>
      </c>
      <c r="C123" s="51" t="s">
        <v>220</v>
      </c>
      <c r="D123" s="54"/>
      <c r="E123" s="86"/>
      <c r="F123" s="86"/>
      <c r="G123" s="87"/>
      <c r="H123" s="88"/>
      <c r="I123" s="88"/>
    </row>
    <row r="124" spans="1:9" ht="13">
      <c r="A124" s="51" t="s">
        <v>9859</v>
      </c>
      <c r="B124" s="60" t="s">
        <v>3113</v>
      </c>
      <c r="C124" s="51" t="s">
        <v>220</v>
      </c>
      <c r="D124" s="51"/>
      <c r="E124" s="86"/>
      <c r="F124" s="87"/>
      <c r="G124" s="87"/>
      <c r="H124" s="88"/>
      <c r="I124" s="88"/>
    </row>
    <row r="125" spans="1:9" ht="13">
      <c r="A125" s="51" t="s">
        <v>9860</v>
      </c>
      <c r="B125" s="60" t="s">
        <v>3062</v>
      </c>
      <c r="C125" s="51" t="s">
        <v>220</v>
      </c>
      <c r="D125" s="54"/>
      <c r="E125" s="86"/>
      <c r="F125" s="86"/>
      <c r="G125" s="87"/>
      <c r="H125" s="88"/>
      <c r="I125" s="88"/>
    </row>
    <row r="126" spans="1:9" ht="13">
      <c r="A126" s="51" t="s">
        <v>9861</v>
      </c>
      <c r="B126" s="60" t="s">
        <v>4155</v>
      </c>
      <c r="C126" s="51" t="s">
        <v>220</v>
      </c>
      <c r="D126" s="51"/>
      <c r="E126" s="86"/>
      <c r="F126" s="87"/>
      <c r="G126" s="87"/>
      <c r="H126" s="88"/>
      <c r="I126" s="88"/>
    </row>
    <row r="127" spans="1:9" ht="13">
      <c r="A127" s="51" t="s">
        <v>9862</v>
      </c>
      <c r="B127" s="60" t="s">
        <v>4134</v>
      </c>
      <c r="C127" s="51" t="s">
        <v>220</v>
      </c>
      <c r="D127" s="51"/>
      <c r="E127" s="86"/>
      <c r="F127" s="87"/>
      <c r="G127" s="87"/>
      <c r="H127" s="88"/>
      <c r="I127" s="88"/>
    </row>
    <row r="128" spans="1:9" ht="13">
      <c r="A128" s="51" t="s">
        <v>9863</v>
      </c>
      <c r="B128" s="60" t="s">
        <v>5842</v>
      </c>
      <c r="C128" s="51" t="s">
        <v>220</v>
      </c>
      <c r="D128" s="51"/>
      <c r="E128" s="86"/>
      <c r="F128" s="86"/>
      <c r="G128" s="87"/>
      <c r="H128" s="88"/>
      <c r="I128" s="88"/>
    </row>
    <row r="129" spans="1:9" ht="13">
      <c r="A129" s="51" t="s">
        <v>9864</v>
      </c>
      <c r="B129" s="60" t="s">
        <v>9035</v>
      </c>
      <c r="C129" s="51" t="s">
        <v>220</v>
      </c>
      <c r="D129" s="51"/>
      <c r="E129" s="86"/>
      <c r="F129" s="86"/>
      <c r="G129" s="87"/>
      <c r="H129" s="88"/>
      <c r="I129" s="88"/>
    </row>
    <row r="130" spans="1:9" ht="13">
      <c r="A130" s="51" t="s">
        <v>9865</v>
      </c>
      <c r="B130" s="61" t="s">
        <v>9866</v>
      </c>
      <c r="C130" s="51" t="s">
        <v>220</v>
      </c>
      <c r="D130" s="54"/>
      <c r="E130" s="86"/>
      <c r="F130" s="87"/>
      <c r="G130" s="87"/>
      <c r="H130" s="88"/>
      <c r="I130" s="88"/>
    </row>
    <row r="131" spans="1:9" ht="13">
      <c r="A131" s="51" t="s">
        <v>9867</v>
      </c>
      <c r="B131" s="61" t="s">
        <v>9868</v>
      </c>
      <c r="C131" s="51" t="s">
        <v>220</v>
      </c>
      <c r="D131" s="51"/>
      <c r="E131" s="86"/>
      <c r="F131" s="87"/>
      <c r="G131" s="87"/>
      <c r="H131" s="88"/>
      <c r="I131" s="88"/>
    </row>
    <row r="132" spans="1:9" ht="13">
      <c r="A132" s="51" t="s">
        <v>9869</v>
      </c>
      <c r="B132" s="60" t="s">
        <v>4930</v>
      </c>
      <c r="C132" s="51" t="s">
        <v>220</v>
      </c>
      <c r="D132" s="54"/>
      <c r="E132" s="86"/>
      <c r="F132" s="86"/>
      <c r="G132" s="87"/>
      <c r="H132" s="88"/>
      <c r="I132" s="88"/>
    </row>
    <row r="133" spans="1:9" ht="13">
      <c r="A133" s="51" t="s">
        <v>9870</v>
      </c>
      <c r="B133" s="60" t="s">
        <v>8587</v>
      </c>
      <c r="C133" s="51" t="s">
        <v>220</v>
      </c>
      <c r="D133" s="54"/>
      <c r="E133" s="86"/>
      <c r="F133" s="87"/>
      <c r="G133" s="87"/>
      <c r="H133" s="88"/>
      <c r="I133" s="88"/>
    </row>
    <row r="134" spans="1:9" ht="13">
      <c r="A134" s="51" t="s">
        <v>9871</v>
      </c>
      <c r="B134" s="60" t="s">
        <v>203</v>
      </c>
      <c r="C134" s="51" t="s">
        <v>197</v>
      </c>
      <c r="D134" s="51"/>
      <c r="E134" s="86"/>
      <c r="F134" s="87"/>
      <c r="G134" s="87"/>
      <c r="H134" s="88"/>
      <c r="I134" s="88"/>
    </row>
    <row r="135" spans="1:9" ht="13">
      <c r="A135" s="51" t="s">
        <v>9872</v>
      </c>
      <c r="B135" s="60" t="s">
        <v>233</v>
      </c>
      <c r="C135" s="51" t="s">
        <v>197</v>
      </c>
      <c r="D135" s="54"/>
      <c r="E135" s="86"/>
      <c r="F135" s="86"/>
      <c r="G135" s="87"/>
      <c r="H135" s="88"/>
      <c r="I135" s="88"/>
    </row>
    <row r="136" spans="1:9" ht="13">
      <c r="A136" s="51" t="s">
        <v>9873</v>
      </c>
      <c r="B136" s="60" t="s">
        <v>781</v>
      </c>
      <c r="C136" s="51" t="s">
        <v>197</v>
      </c>
      <c r="D136" s="54"/>
      <c r="E136" s="86"/>
      <c r="F136" s="86"/>
      <c r="G136" s="87"/>
      <c r="H136" s="88"/>
      <c r="I136" s="88"/>
    </row>
    <row r="137" spans="1:9" ht="13">
      <c r="A137" s="51" t="s">
        <v>9874</v>
      </c>
      <c r="B137" s="60" t="s">
        <v>1315</v>
      </c>
      <c r="C137" s="51" t="s">
        <v>197</v>
      </c>
      <c r="D137" s="51"/>
      <c r="E137" s="86"/>
      <c r="F137" s="87"/>
      <c r="G137" s="87"/>
      <c r="H137" s="88"/>
      <c r="I137" s="88"/>
    </row>
    <row r="138" spans="1:9" ht="13">
      <c r="A138" s="51" t="s">
        <v>9875</v>
      </c>
      <c r="B138" s="60" t="s">
        <v>1280</v>
      </c>
      <c r="C138" s="51" t="s">
        <v>197</v>
      </c>
      <c r="D138" s="54"/>
      <c r="E138" s="86"/>
      <c r="F138" s="87"/>
      <c r="G138" s="87"/>
      <c r="H138" s="88"/>
      <c r="I138" s="88"/>
    </row>
    <row r="139" spans="1:9" ht="13">
      <c r="A139" s="51" t="s">
        <v>9876</v>
      </c>
      <c r="B139" s="60" t="s">
        <v>1898</v>
      </c>
      <c r="C139" s="51" t="s">
        <v>197</v>
      </c>
      <c r="D139" s="51"/>
      <c r="E139" s="86"/>
      <c r="F139" s="86"/>
      <c r="G139" s="87"/>
      <c r="H139" s="88"/>
      <c r="I139" s="88"/>
    </row>
    <row r="140" spans="1:9" ht="13">
      <c r="A140" s="51" t="s">
        <v>9877</v>
      </c>
      <c r="B140" s="60" t="s">
        <v>1845</v>
      </c>
      <c r="C140" s="51" t="s">
        <v>197</v>
      </c>
      <c r="D140" s="51"/>
      <c r="E140" s="86"/>
      <c r="F140" s="87"/>
      <c r="G140" s="87"/>
      <c r="H140" s="88"/>
      <c r="I140" s="88"/>
    </row>
    <row r="141" spans="1:9" ht="13">
      <c r="A141" s="51" t="s">
        <v>9878</v>
      </c>
      <c r="B141" s="60" t="s">
        <v>1796</v>
      </c>
      <c r="C141" s="51" t="s">
        <v>197</v>
      </c>
      <c r="D141" s="51"/>
      <c r="E141" s="86"/>
      <c r="F141" s="86"/>
      <c r="G141" s="87"/>
      <c r="H141" s="88"/>
      <c r="I141" s="88"/>
    </row>
    <row r="142" spans="1:9" ht="13">
      <c r="A142" s="51" t="s">
        <v>9879</v>
      </c>
      <c r="B142" s="60" t="s">
        <v>2128</v>
      </c>
      <c r="C142" s="51" t="s">
        <v>197</v>
      </c>
      <c r="D142" s="54"/>
      <c r="E142" s="86"/>
      <c r="F142" s="86"/>
      <c r="G142" s="87"/>
      <c r="H142" s="88"/>
      <c r="I142" s="88"/>
    </row>
    <row r="143" spans="1:9" ht="13">
      <c r="A143" s="51" t="s">
        <v>9880</v>
      </c>
      <c r="B143" s="60" t="s">
        <v>3041</v>
      </c>
      <c r="C143" s="51" t="s">
        <v>197</v>
      </c>
      <c r="D143" s="51"/>
      <c r="E143" s="86"/>
      <c r="F143" s="89"/>
      <c r="G143" s="87"/>
      <c r="H143" s="88"/>
      <c r="I143" s="88"/>
    </row>
    <row r="144" spans="1:9" ht="13">
      <c r="A144" s="51" t="s">
        <v>9881</v>
      </c>
      <c r="B144" s="61" t="s">
        <v>9882</v>
      </c>
      <c r="C144" s="51" t="s">
        <v>197</v>
      </c>
      <c r="D144" s="51"/>
      <c r="E144" s="89"/>
      <c r="F144" s="87"/>
      <c r="G144" s="87"/>
      <c r="H144" s="88"/>
      <c r="I144" s="88"/>
    </row>
    <row r="145" spans="1:9" ht="13">
      <c r="A145" s="51" t="s">
        <v>9883</v>
      </c>
      <c r="B145" s="61" t="s">
        <v>9884</v>
      </c>
      <c r="C145" s="51" t="s">
        <v>197</v>
      </c>
      <c r="D145" s="54"/>
      <c r="E145" s="86"/>
      <c r="F145" s="86"/>
      <c r="G145" s="87"/>
      <c r="H145" s="88"/>
      <c r="I145" s="88"/>
    </row>
    <row r="146" spans="1:9" ht="13">
      <c r="A146" s="51" t="s">
        <v>9885</v>
      </c>
      <c r="B146" s="60" t="s">
        <v>4702</v>
      </c>
      <c r="C146" s="51" t="s">
        <v>197</v>
      </c>
      <c r="D146" s="54"/>
      <c r="E146" s="86"/>
      <c r="F146" s="87"/>
      <c r="G146" s="87"/>
      <c r="H146" s="88"/>
      <c r="I146" s="88"/>
    </row>
    <row r="147" spans="1:9" ht="13">
      <c r="A147" s="51" t="s">
        <v>9886</v>
      </c>
      <c r="B147" s="60" t="s">
        <v>6187</v>
      </c>
      <c r="C147" s="51" t="s">
        <v>197</v>
      </c>
      <c r="D147" s="51"/>
      <c r="E147" s="89"/>
      <c r="F147" s="87"/>
      <c r="G147" s="87"/>
      <c r="H147" s="88"/>
      <c r="I147" s="88"/>
    </row>
    <row r="148" spans="1:9" ht="13">
      <c r="A148" s="51" t="s">
        <v>9887</v>
      </c>
      <c r="B148" s="60" t="s">
        <v>6500</v>
      </c>
      <c r="C148" s="51" t="s">
        <v>197</v>
      </c>
      <c r="D148" s="51"/>
      <c r="E148" s="86"/>
      <c r="F148" s="87"/>
      <c r="G148" s="87"/>
      <c r="H148" s="88"/>
      <c r="I148" s="88"/>
    </row>
    <row r="149" spans="1:9" ht="13">
      <c r="A149" s="51" t="s">
        <v>9888</v>
      </c>
      <c r="B149" s="60" t="s">
        <v>6501</v>
      </c>
      <c r="C149" s="51" t="s">
        <v>197</v>
      </c>
      <c r="D149" s="51"/>
      <c r="E149" s="86"/>
      <c r="F149" s="86"/>
      <c r="G149" s="87"/>
      <c r="H149" s="88"/>
      <c r="I149" s="88"/>
    </row>
    <row r="150" spans="1:9" ht="13">
      <c r="A150" s="51" t="s">
        <v>9889</v>
      </c>
      <c r="B150" s="60" t="s">
        <v>9890</v>
      </c>
      <c r="C150" s="51" t="s">
        <v>1013</v>
      </c>
      <c r="D150" s="51"/>
      <c r="E150" s="86"/>
      <c r="F150" s="87"/>
      <c r="G150" s="87"/>
      <c r="H150" s="88"/>
      <c r="I150" s="88"/>
    </row>
    <row r="151" spans="1:9" ht="13">
      <c r="A151" s="51" t="s">
        <v>9891</v>
      </c>
      <c r="B151" s="60" t="s">
        <v>9892</v>
      </c>
      <c r="C151" s="51" t="s">
        <v>1013</v>
      </c>
      <c r="D151" s="51"/>
      <c r="E151" s="86"/>
      <c r="F151" s="87"/>
      <c r="G151" s="87"/>
      <c r="H151" s="88"/>
      <c r="I151" s="88"/>
    </row>
    <row r="152" spans="1:9" ht="13">
      <c r="A152" s="51" t="s">
        <v>9893</v>
      </c>
      <c r="B152" s="60" t="s">
        <v>9894</v>
      </c>
      <c r="C152" s="51" t="s">
        <v>1013</v>
      </c>
      <c r="D152" s="51"/>
      <c r="E152" s="86"/>
      <c r="F152" s="86"/>
      <c r="G152" s="87"/>
      <c r="H152" s="88"/>
      <c r="I152" s="88"/>
    </row>
    <row r="153" spans="1:9" ht="13">
      <c r="A153" s="51" t="s">
        <v>9895</v>
      </c>
      <c r="B153" s="60" t="s">
        <v>9896</v>
      </c>
      <c r="C153" s="51" t="s">
        <v>1013</v>
      </c>
      <c r="D153" s="51"/>
      <c r="E153" s="86"/>
      <c r="F153" s="87"/>
      <c r="G153" s="87"/>
      <c r="H153" s="88"/>
      <c r="I153" s="88"/>
    </row>
    <row r="154" spans="1:9" ht="13">
      <c r="A154" s="51" t="s">
        <v>9897</v>
      </c>
      <c r="B154" s="60" t="s">
        <v>9898</v>
      </c>
      <c r="C154" s="51" t="s">
        <v>229</v>
      </c>
      <c r="D154" s="51"/>
      <c r="E154" s="86"/>
      <c r="F154" s="87"/>
      <c r="G154" s="87"/>
      <c r="H154" s="88"/>
      <c r="I154" s="88"/>
    </row>
    <row r="155" spans="1:9" ht="13">
      <c r="A155" s="51" t="s">
        <v>9899</v>
      </c>
      <c r="B155" s="60" t="s">
        <v>9900</v>
      </c>
      <c r="C155" s="51" t="s">
        <v>4114</v>
      </c>
      <c r="D155" s="51"/>
      <c r="E155" s="86"/>
      <c r="F155" s="86"/>
      <c r="G155" s="87"/>
      <c r="H155" s="88"/>
      <c r="I155" s="88"/>
    </row>
    <row r="156" spans="1:9" ht="13">
      <c r="A156" s="51" t="s">
        <v>9901</v>
      </c>
      <c r="B156" s="60" t="s">
        <v>9902</v>
      </c>
      <c r="C156" s="51" t="s">
        <v>4114</v>
      </c>
      <c r="D156" s="51"/>
      <c r="E156" s="86"/>
      <c r="F156" s="87"/>
      <c r="G156" s="87"/>
      <c r="H156" s="88"/>
      <c r="I156" s="88"/>
    </row>
    <row r="157" spans="1:9" ht="13">
      <c r="A157" s="51" t="s">
        <v>9903</v>
      </c>
      <c r="B157" s="60" t="s">
        <v>9904</v>
      </c>
      <c r="C157" s="51" t="s">
        <v>1013</v>
      </c>
      <c r="D157" s="51"/>
      <c r="E157" s="86"/>
      <c r="F157" s="86"/>
      <c r="G157" s="87"/>
      <c r="H157" s="88"/>
      <c r="I157" s="88"/>
    </row>
    <row r="158" spans="1:9" ht="13">
      <c r="A158" s="51" t="s">
        <v>9905</v>
      </c>
      <c r="B158" s="60" t="s">
        <v>9906</v>
      </c>
      <c r="C158" s="51" t="s">
        <v>1013</v>
      </c>
      <c r="D158" s="51"/>
      <c r="E158" s="86"/>
      <c r="F158" s="86"/>
      <c r="G158" s="87"/>
      <c r="H158" s="88"/>
      <c r="I158" s="88"/>
    </row>
    <row r="159" spans="1:9" ht="13">
      <c r="A159" s="51" t="s">
        <v>9907</v>
      </c>
      <c r="B159" s="60" t="s">
        <v>9908</v>
      </c>
      <c r="C159" s="51" t="s">
        <v>4114</v>
      </c>
      <c r="D159" s="51"/>
      <c r="E159" s="86"/>
      <c r="F159" s="89"/>
      <c r="G159" s="87"/>
      <c r="H159" s="88"/>
      <c r="I159" s="88"/>
    </row>
    <row r="160" spans="1:9" ht="13">
      <c r="A160" s="51" t="s">
        <v>9909</v>
      </c>
      <c r="B160" s="60" t="s">
        <v>9910</v>
      </c>
      <c r="C160" s="51" t="s">
        <v>4114</v>
      </c>
      <c r="D160" s="51"/>
      <c r="E160" s="86"/>
      <c r="F160" s="87"/>
      <c r="G160" s="87"/>
      <c r="H160" s="88"/>
      <c r="I160" s="88"/>
    </row>
    <row r="161" spans="1:9" ht="13">
      <c r="A161" s="51" t="s">
        <v>9911</v>
      </c>
      <c r="B161" s="60" t="s">
        <v>9912</v>
      </c>
      <c r="C161" s="51" t="s">
        <v>1013</v>
      </c>
      <c r="D161" s="51"/>
      <c r="E161" s="86"/>
      <c r="F161" s="86"/>
      <c r="G161" s="87"/>
      <c r="H161" s="88"/>
      <c r="I161" s="137"/>
    </row>
    <row r="162" spans="1:9" ht="13">
      <c r="A162" s="51" t="s">
        <v>9913</v>
      </c>
      <c r="B162" s="60" t="s">
        <v>9914</v>
      </c>
      <c r="C162" s="51" t="s">
        <v>1013</v>
      </c>
      <c r="D162" s="51"/>
      <c r="E162" s="86"/>
      <c r="F162" s="87"/>
      <c r="G162" s="87"/>
      <c r="H162" s="88"/>
      <c r="I162" s="88"/>
    </row>
    <row r="163" spans="1:9" ht="13">
      <c r="A163" s="51" t="s">
        <v>9915</v>
      </c>
      <c r="B163" s="60" t="s">
        <v>4118</v>
      </c>
      <c r="C163" s="51" t="s">
        <v>4114</v>
      </c>
      <c r="D163" s="51"/>
      <c r="E163" s="86"/>
      <c r="F163" s="86"/>
      <c r="G163" s="87"/>
      <c r="H163" s="88"/>
      <c r="I163" s="88"/>
    </row>
    <row r="164" spans="1:9" ht="13">
      <c r="A164" s="51" t="s">
        <v>9916</v>
      </c>
      <c r="B164" s="60" t="s">
        <v>9917</v>
      </c>
      <c r="C164" s="51" t="s">
        <v>4114</v>
      </c>
      <c r="D164" s="51"/>
      <c r="E164" s="86"/>
      <c r="F164" s="87"/>
      <c r="G164" s="87"/>
      <c r="H164" s="88"/>
      <c r="I164" s="88"/>
    </row>
    <row r="165" spans="1:9" ht="13">
      <c r="A165" s="51" t="s">
        <v>9918</v>
      </c>
      <c r="B165" s="60" t="s">
        <v>9919</v>
      </c>
      <c r="C165" s="51" t="s">
        <v>229</v>
      </c>
      <c r="D165" s="51"/>
      <c r="E165" s="86"/>
      <c r="F165" s="87"/>
      <c r="G165" s="87"/>
      <c r="H165" s="88"/>
      <c r="I165" s="88"/>
    </row>
    <row r="166" spans="1:9" ht="13">
      <c r="A166" s="51" t="s">
        <v>9920</v>
      </c>
      <c r="B166" s="61" t="s">
        <v>9921</v>
      </c>
      <c r="C166" s="51" t="s">
        <v>317</v>
      </c>
      <c r="D166" s="51"/>
      <c r="E166" s="86"/>
      <c r="F166" s="87"/>
      <c r="G166" s="87"/>
      <c r="H166" s="88"/>
      <c r="I166" s="88"/>
    </row>
    <row r="167" spans="1:9" ht="13">
      <c r="A167" s="51" t="s">
        <v>9922</v>
      </c>
      <c r="B167" s="61" t="s">
        <v>9923</v>
      </c>
      <c r="C167" s="51" t="s">
        <v>317</v>
      </c>
      <c r="D167" s="51"/>
      <c r="E167" s="86"/>
      <c r="F167" s="87"/>
      <c r="G167" s="87"/>
      <c r="H167" s="88"/>
      <c r="I167" s="88"/>
    </row>
    <row r="168" spans="1:9" ht="13">
      <c r="A168" s="51" t="s">
        <v>9924</v>
      </c>
      <c r="B168" s="61" t="s">
        <v>9925</v>
      </c>
      <c r="C168" s="51" t="s">
        <v>317</v>
      </c>
      <c r="D168" s="51"/>
      <c r="E168" s="86"/>
      <c r="F168" s="87"/>
      <c r="G168" s="87"/>
      <c r="H168" s="88"/>
      <c r="I168" s="88"/>
    </row>
    <row r="169" spans="1:9" ht="13">
      <c r="A169" s="51" t="s">
        <v>9926</v>
      </c>
      <c r="B169" s="61" t="s">
        <v>9927</v>
      </c>
      <c r="C169" s="51" t="s">
        <v>317</v>
      </c>
      <c r="D169" s="51"/>
      <c r="E169" s="86"/>
      <c r="F169" s="87"/>
      <c r="G169" s="87"/>
      <c r="H169" s="88"/>
      <c r="I169" s="88"/>
    </row>
    <row r="170" spans="1:9" ht="13">
      <c r="A170" s="51" t="s">
        <v>9928</v>
      </c>
      <c r="B170" s="61" t="s">
        <v>8662</v>
      </c>
      <c r="C170" s="51" t="s">
        <v>195</v>
      </c>
      <c r="D170" s="51"/>
      <c r="E170" s="86"/>
      <c r="F170" s="87"/>
      <c r="G170" s="87"/>
      <c r="H170" s="88"/>
      <c r="I170" s="88"/>
    </row>
    <row r="171" spans="1:9" ht="13">
      <c r="A171" s="51" t="s">
        <v>9929</v>
      </c>
      <c r="B171" s="61" t="s">
        <v>9753</v>
      </c>
      <c r="C171" s="51" t="s">
        <v>205</v>
      </c>
      <c r="D171" s="54"/>
      <c r="E171" s="89"/>
      <c r="F171" s="87"/>
      <c r="G171" s="87"/>
      <c r="H171" s="88"/>
      <c r="I171" s="88"/>
    </row>
    <row r="172" spans="1:9" ht="13">
      <c r="A172" s="51" t="s">
        <v>9930</v>
      </c>
      <c r="B172" s="61" t="s">
        <v>9761</v>
      </c>
      <c r="C172" s="51" t="s">
        <v>199</v>
      </c>
      <c r="D172" s="54"/>
      <c r="E172" s="89"/>
      <c r="F172" s="86"/>
      <c r="G172" s="87"/>
      <c r="H172" s="88"/>
      <c r="I172" s="88"/>
    </row>
    <row r="173" spans="1:9" ht="13">
      <c r="A173" s="51" t="s">
        <v>9931</v>
      </c>
      <c r="B173" s="61" t="s">
        <v>9769</v>
      </c>
      <c r="C173" s="51" t="s">
        <v>208</v>
      </c>
      <c r="D173" s="54"/>
      <c r="E173" s="86"/>
      <c r="F173" s="87"/>
      <c r="G173" s="87"/>
      <c r="H173" s="88"/>
      <c r="I173" s="88"/>
    </row>
    <row r="174" spans="1:9" ht="13">
      <c r="A174" s="51" t="s">
        <v>9932</v>
      </c>
      <c r="B174" s="61" t="s">
        <v>8640</v>
      </c>
      <c r="C174" s="51" t="s">
        <v>192</v>
      </c>
      <c r="D174" s="54"/>
      <c r="E174" s="87"/>
      <c r="F174" s="87"/>
      <c r="G174" s="87"/>
      <c r="H174" s="88"/>
      <c r="I174" s="88"/>
    </row>
    <row r="175" spans="1:9" ht="13">
      <c r="A175" s="51" t="s">
        <v>9933</v>
      </c>
      <c r="B175" s="61" t="s">
        <v>9784</v>
      </c>
      <c r="C175" s="51" t="s">
        <v>192</v>
      </c>
      <c r="D175" s="54"/>
      <c r="E175" s="86"/>
      <c r="F175" s="87"/>
      <c r="G175" s="87"/>
      <c r="H175" s="88"/>
      <c r="I175" s="88"/>
    </row>
    <row r="176" spans="1:9" ht="13">
      <c r="A176" s="51" t="s">
        <v>9934</v>
      </c>
      <c r="B176" s="61" t="s">
        <v>8670</v>
      </c>
      <c r="C176" s="51" t="s">
        <v>195</v>
      </c>
      <c r="D176" s="51"/>
      <c r="E176" s="86"/>
      <c r="F176" s="87"/>
      <c r="G176" s="87"/>
      <c r="H176" s="88"/>
      <c r="I176" s="88"/>
    </row>
    <row r="177" spans="1:9" ht="13">
      <c r="A177" s="51" t="s">
        <v>9935</v>
      </c>
      <c r="B177" s="61" t="s">
        <v>9834</v>
      </c>
      <c r="C177" s="51" t="s">
        <v>225</v>
      </c>
      <c r="D177" s="54"/>
      <c r="E177" s="86"/>
      <c r="F177" s="89"/>
      <c r="G177" s="87"/>
      <c r="H177" s="88"/>
      <c r="I177" s="88"/>
    </row>
    <row r="178" spans="1:9" ht="13">
      <c r="A178" s="51" t="s">
        <v>9936</v>
      </c>
      <c r="B178" s="61" t="s">
        <v>8608</v>
      </c>
      <c r="C178" s="51" t="s">
        <v>225</v>
      </c>
      <c r="D178" s="54"/>
      <c r="E178" s="86"/>
      <c r="F178" s="87"/>
      <c r="G178" s="87"/>
      <c r="H178" s="88"/>
      <c r="I178" s="88"/>
    </row>
    <row r="179" spans="1:9" ht="13">
      <c r="A179" s="51" t="s">
        <v>9937</v>
      </c>
      <c r="B179" s="61" t="s">
        <v>9844</v>
      </c>
      <c r="C179" s="51" t="s">
        <v>808</v>
      </c>
      <c r="D179" s="54"/>
      <c r="E179" s="86"/>
      <c r="F179" s="87"/>
      <c r="G179" s="87"/>
      <c r="H179" s="88"/>
      <c r="I179" s="88"/>
    </row>
    <row r="180" spans="1:9" ht="13">
      <c r="A180" s="51" t="s">
        <v>9938</v>
      </c>
      <c r="B180" s="61" t="s">
        <v>9854</v>
      </c>
      <c r="C180" s="51" t="s">
        <v>220</v>
      </c>
      <c r="D180" s="54"/>
      <c r="E180" s="86"/>
      <c r="F180" s="87"/>
      <c r="G180" s="87"/>
      <c r="H180" s="88"/>
      <c r="I180" s="88"/>
    </row>
    <row r="181" spans="1:9" ht="13">
      <c r="A181" s="51" t="s">
        <v>9939</v>
      </c>
      <c r="B181" s="61" t="s">
        <v>9866</v>
      </c>
      <c r="C181" s="51" t="s">
        <v>220</v>
      </c>
      <c r="D181" s="54"/>
      <c r="E181" s="86"/>
      <c r="F181" s="87"/>
      <c r="G181" s="87"/>
      <c r="H181" s="88"/>
      <c r="I181" s="88"/>
    </row>
    <row r="182" spans="1:9" ht="13">
      <c r="A182" s="51" t="s">
        <v>9940</v>
      </c>
      <c r="B182" s="61" t="s">
        <v>9882</v>
      </c>
      <c r="C182" s="51" t="s">
        <v>197</v>
      </c>
      <c r="D182" s="54"/>
      <c r="E182" s="86"/>
      <c r="F182" s="87"/>
      <c r="G182" s="87"/>
      <c r="H182" s="88"/>
      <c r="I182" s="88"/>
    </row>
    <row r="183" spans="1:9" ht="13">
      <c r="A183" s="51" t="s">
        <v>9941</v>
      </c>
      <c r="B183" s="60" t="s">
        <v>9890</v>
      </c>
      <c r="C183" s="51" t="s">
        <v>1013</v>
      </c>
      <c r="D183" s="54"/>
      <c r="E183" s="86"/>
      <c r="F183" s="89"/>
      <c r="G183" s="87"/>
      <c r="H183" s="88"/>
      <c r="I183" s="88"/>
    </row>
    <row r="184" spans="1:9" ht="13">
      <c r="A184" s="51" t="s">
        <v>9942</v>
      </c>
      <c r="B184" s="60" t="s">
        <v>9892</v>
      </c>
      <c r="C184" s="51" t="s">
        <v>1013</v>
      </c>
      <c r="D184" s="51"/>
      <c r="E184" s="89"/>
      <c r="F184" s="87"/>
      <c r="G184" s="87"/>
      <c r="H184" s="88"/>
      <c r="I184" s="88"/>
    </row>
    <row r="185" spans="1:9" ht="13">
      <c r="A185" s="51" t="s">
        <v>9943</v>
      </c>
      <c r="B185" s="60" t="s">
        <v>9894</v>
      </c>
      <c r="C185" s="51" t="s">
        <v>1013</v>
      </c>
      <c r="D185" s="54"/>
      <c r="E185" s="86"/>
      <c r="F185" s="89"/>
      <c r="G185" s="87"/>
      <c r="H185" s="88"/>
      <c r="I185" s="88"/>
    </row>
    <row r="186" spans="1:9" ht="13">
      <c r="A186" s="51" t="s">
        <v>9944</v>
      </c>
      <c r="B186" s="60" t="s">
        <v>9906</v>
      </c>
      <c r="C186" s="51" t="s">
        <v>1013</v>
      </c>
      <c r="D186" s="54"/>
      <c r="E186" s="86"/>
      <c r="F186" s="89"/>
      <c r="G186" s="87"/>
      <c r="H186" s="88"/>
      <c r="I186" s="88"/>
    </row>
    <row r="187" spans="1:9" ht="13">
      <c r="A187" s="51" t="s">
        <v>9945</v>
      </c>
      <c r="B187" s="60" t="s">
        <v>9912</v>
      </c>
      <c r="C187" s="51" t="s">
        <v>1013</v>
      </c>
      <c r="D187" s="54"/>
      <c r="E187" s="87"/>
      <c r="F187" s="86"/>
      <c r="G187" s="87"/>
      <c r="H187" s="88"/>
      <c r="I187" s="88"/>
    </row>
    <row r="188" spans="1:9" ht="13">
      <c r="A188" s="51" t="s">
        <v>9946</v>
      </c>
      <c r="B188" s="60" t="s">
        <v>9914</v>
      </c>
      <c r="C188" s="51" t="s">
        <v>1013</v>
      </c>
      <c r="D188" s="54"/>
      <c r="E188" s="89"/>
      <c r="F188" s="87"/>
      <c r="G188" s="87"/>
      <c r="H188" s="88"/>
      <c r="I188" s="88"/>
    </row>
    <row r="189" spans="1:9" ht="13">
      <c r="A189" s="51" t="s">
        <v>9947</v>
      </c>
      <c r="B189" s="60" t="s">
        <v>5109</v>
      </c>
      <c r="C189" s="51" t="s">
        <v>1013</v>
      </c>
      <c r="D189" s="54"/>
      <c r="E189" s="86"/>
      <c r="F189" s="87"/>
      <c r="G189" s="87"/>
      <c r="H189" s="88"/>
      <c r="I189" s="88"/>
    </row>
    <row r="190" spans="1:9" ht="13">
      <c r="A190" s="51" t="s">
        <v>9948</v>
      </c>
      <c r="B190" s="61" t="s">
        <v>9751</v>
      </c>
      <c r="C190" s="51" t="s">
        <v>195</v>
      </c>
      <c r="D190" s="54"/>
      <c r="E190" s="86"/>
      <c r="F190" s="86"/>
      <c r="G190" s="87"/>
      <c r="H190" s="88"/>
      <c r="I190" s="88"/>
    </row>
    <row r="191" spans="1:9" ht="13">
      <c r="A191" s="51" t="s">
        <v>9949</v>
      </c>
      <c r="B191" s="61" t="s">
        <v>9771</v>
      </c>
      <c r="C191" s="51" t="s">
        <v>208</v>
      </c>
      <c r="D191" s="54"/>
      <c r="E191" s="89"/>
      <c r="F191" s="87"/>
      <c r="G191" s="87"/>
      <c r="H191" s="88"/>
      <c r="I191" s="88"/>
    </row>
    <row r="192" spans="1:9" ht="13">
      <c r="A192" s="51" t="s">
        <v>9950</v>
      </c>
      <c r="B192" s="61" t="s">
        <v>8642</v>
      </c>
      <c r="C192" s="51" t="s">
        <v>192</v>
      </c>
      <c r="D192" s="51"/>
      <c r="E192" s="89"/>
      <c r="F192" s="89"/>
      <c r="G192" s="87"/>
      <c r="H192" s="88"/>
      <c r="I192" s="88"/>
    </row>
    <row r="193" spans="1:9" ht="13">
      <c r="A193" s="51" t="s">
        <v>9951</v>
      </c>
      <c r="B193" s="61" t="s">
        <v>9836</v>
      </c>
      <c r="C193" s="51" t="s">
        <v>225</v>
      </c>
      <c r="D193" s="54"/>
      <c r="E193" s="87"/>
      <c r="F193" s="86"/>
      <c r="G193" s="87"/>
      <c r="H193" s="88"/>
      <c r="I193" s="88"/>
    </row>
    <row r="194" spans="1:9" ht="13">
      <c r="A194" s="51" t="s">
        <v>9952</v>
      </c>
      <c r="B194" s="61" t="s">
        <v>9868</v>
      </c>
      <c r="C194" s="51" t="s">
        <v>220</v>
      </c>
      <c r="D194" s="54"/>
      <c r="E194" s="87"/>
      <c r="F194" s="89"/>
      <c r="G194" s="87"/>
      <c r="H194" s="88"/>
      <c r="I194" s="88"/>
    </row>
    <row r="195" spans="1:9" ht="13">
      <c r="A195" s="51" t="s">
        <v>9953</v>
      </c>
      <c r="B195" s="61" t="s">
        <v>9884</v>
      </c>
      <c r="C195" s="51" t="s">
        <v>197</v>
      </c>
      <c r="D195" s="54"/>
      <c r="E195" s="89"/>
      <c r="F195" s="89"/>
      <c r="G195" s="87"/>
      <c r="H195" s="88"/>
      <c r="I195" s="88"/>
    </row>
    <row r="196" spans="1:9" ht="13">
      <c r="A196" s="51" t="s">
        <v>9954</v>
      </c>
      <c r="B196" s="60" t="s">
        <v>9890</v>
      </c>
      <c r="C196" s="51" t="s">
        <v>1013</v>
      </c>
      <c r="D196" s="51"/>
      <c r="E196" s="87"/>
      <c r="F196" s="87"/>
      <c r="G196" s="87"/>
      <c r="H196" s="88"/>
      <c r="I196" s="88"/>
    </row>
    <row r="197" spans="1:9" ht="13">
      <c r="A197" s="51" t="s">
        <v>9955</v>
      </c>
      <c r="B197" s="60" t="s">
        <v>9892</v>
      </c>
      <c r="C197" s="51" t="s">
        <v>1013</v>
      </c>
      <c r="D197" s="54"/>
      <c r="E197" s="89"/>
      <c r="F197" s="87"/>
      <c r="G197" s="87"/>
      <c r="H197" s="88"/>
      <c r="I197" s="88"/>
    </row>
    <row r="198" spans="1:9" ht="13">
      <c r="A198" s="51" t="s">
        <v>9956</v>
      </c>
      <c r="B198" s="60" t="s">
        <v>9894</v>
      </c>
      <c r="C198" s="51" t="s">
        <v>1013</v>
      </c>
      <c r="D198" s="54"/>
      <c r="E198" s="87"/>
      <c r="F198" s="87"/>
      <c r="G198" s="87"/>
      <c r="H198" s="88"/>
      <c r="I198" s="88"/>
    </row>
    <row r="199" spans="1:9" ht="13">
      <c r="A199" s="51" t="s">
        <v>9957</v>
      </c>
      <c r="B199" s="60" t="s">
        <v>9906</v>
      </c>
      <c r="C199" s="51" t="s">
        <v>1013</v>
      </c>
      <c r="D199" s="54"/>
      <c r="E199" s="89"/>
      <c r="F199" s="87"/>
      <c r="G199" s="87"/>
      <c r="H199" s="88"/>
      <c r="I199" s="88"/>
    </row>
    <row r="200" spans="1:9" ht="13">
      <c r="A200" s="51" t="s">
        <v>9958</v>
      </c>
      <c r="B200" s="60" t="s">
        <v>9912</v>
      </c>
      <c r="C200" s="51" t="s">
        <v>1013</v>
      </c>
      <c r="D200" s="54"/>
      <c r="E200" s="87"/>
      <c r="F200" s="87"/>
      <c r="G200" s="87"/>
      <c r="H200" s="88"/>
      <c r="I200" s="88"/>
    </row>
    <row r="201" spans="1:9" ht="13">
      <c r="A201" s="51" t="s">
        <v>9959</v>
      </c>
      <c r="B201" s="60" t="s">
        <v>9914</v>
      </c>
      <c r="C201" s="51" t="s">
        <v>1013</v>
      </c>
      <c r="D201" s="54"/>
      <c r="E201" s="87"/>
      <c r="F201" s="89"/>
      <c r="G201" s="87"/>
      <c r="H201" s="88"/>
      <c r="I201" s="88"/>
    </row>
    <row r="202" spans="1:9" ht="13">
      <c r="A202" s="51" t="s">
        <v>9960</v>
      </c>
      <c r="B202" s="60" t="s">
        <v>8637</v>
      </c>
      <c r="C202" s="51" t="s">
        <v>808</v>
      </c>
      <c r="D202" s="5"/>
      <c r="E202" s="87"/>
      <c r="F202" s="87"/>
      <c r="G202" s="87"/>
      <c r="H202" s="88"/>
      <c r="I202" s="88"/>
    </row>
    <row r="203" spans="1:9" ht="13">
      <c r="A203" s="51" t="s">
        <v>9961</v>
      </c>
      <c r="B203" s="60" t="s">
        <v>6505</v>
      </c>
      <c r="C203" s="51" t="s">
        <v>197</v>
      </c>
      <c r="D203" s="51"/>
      <c r="E203" s="87"/>
      <c r="F203" s="87"/>
      <c r="G203" s="87"/>
      <c r="H203" s="88"/>
      <c r="I203" s="88"/>
    </row>
    <row r="204" spans="1:9" ht="13">
      <c r="A204" s="51" t="s">
        <v>9962</v>
      </c>
      <c r="B204" s="60" t="s">
        <v>9579</v>
      </c>
      <c r="C204" s="51" t="s">
        <v>4114</v>
      </c>
      <c r="D204" s="54"/>
      <c r="E204" s="87"/>
      <c r="F204" s="86"/>
      <c r="G204" s="87"/>
      <c r="H204" s="88"/>
      <c r="I204" s="88"/>
    </row>
    <row r="205" spans="1:9" ht="13">
      <c r="A205" s="51" t="s">
        <v>9963</v>
      </c>
      <c r="B205" s="60" t="s">
        <v>9902</v>
      </c>
      <c r="C205" s="51" t="s">
        <v>4114</v>
      </c>
      <c r="D205" s="54"/>
      <c r="E205" s="87"/>
      <c r="F205" s="87"/>
      <c r="G205" s="87"/>
      <c r="H205" s="88"/>
      <c r="I205" s="88"/>
    </row>
    <row r="206" spans="1:9" ht="13">
      <c r="A206" s="51" t="s">
        <v>9964</v>
      </c>
      <c r="B206" s="60" t="s">
        <v>9908</v>
      </c>
      <c r="C206" s="51" t="s">
        <v>4114</v>
      </c>
      <c r="D206" s="5"/>
      <c r="E206" s="87"/>
      <c r="F206" s="87"/>
      <c r="G206" s="87"/>
      <c r="H206" s="88"/>
      <c r="I206" s="88"/>
    </row>
    <row r="207" spans="1:9" ht="13">
      <c r="A207" s="51" t="s">
        <v>9965</v>
      </c>
      <c r="B207" s="60" t="s">
        <v>9917</v>
      </c>
      <c r="C207" s="51" t="s">
        <v>4114</v>
      </c>
      <c r="D207" s="5"/>
      <c r="E207" s="87"/>
      <c r="F207" s="87"/>
      <c r="G207" s="87"/>
      <c r="H207" s="88"/>
      <c r="I207" s="88"/>
    </row>
    <row r="208" spans="1:9" ht="13">
      <c r="A208" s="51"/>
      <c r="C208" s="51"/>
      <c r="D208" s="54"/>
      <c r="E208" s="87"/>
      <c r="F208" s="87"/>
      <c r="G208" s="87"/>
      <c r="H208" s="88"/>
      <c r="I208" s="88"/>
    </row>
    <row r="209" spans="1:9" ht="13">
      <c r="A209" s="51"/>
      <c r="C209" s="51"/>
      <c r="D209" s="54"/>
      <c r="E209" s="87"/>
      <c r="F209" s="87"/>
      <c r="G209" s="87"/>
      <c r="H209" s="88"/>
      <c r="I209" s="88"/>
    </row>
    <row r="210" spans="1:9" ht="13">
      <c r="A210" s="51"/>
      <c r="C210" s="51"/>
      <c r="D210" s="5"/>
      <c r="E210" s="87"/>
      <c r="F210" s="87"/>
      <c r="G210" s="87"/>
      <c r="H210" s="88"/>
      <c r="I210" s="88"/>
    </row>
    <row r="211" spans="1:9" ht="13">
      <c r="A211" s="51"/>
      <c r="C211" s="51"/>
      <c r="D211" s="5"/>
      <c r="E211" s="87"/>
      <c r="F211" s="87"/>
      <c r="G211" s="87"/>
      <c r="H211" s="88"/>
      <c r="I211" s="88"/>
    </row>
    <row r="212" spans="1:9" ht="13">
      <c r="A212" s="51"/>
      <c r="C212" s="51"/>
      <c r="D212" s="54"/>
      <c r="E212" s="87"/>
      <c r="F212" s="87"/>
      <c r="G212" s="87"/>
      <c r="H212" s="88"/>
      <c r="I212" s="88"/>
    </row>
    <row r="213" spans="1:9" ht="13">
      <c r="A213" s="51"/>
      <c r="C213" s="51"/>
      <c r="D213" s="54"/>
      <c r="E213" s="87"/>
      <c r="F213" s="87"/>
      <c r="G213" s="87"/>
      <c r="H213" s="88"/>
      <c r="I213" s="88"/>
    </row>
    <row r="214" spans="1:9" ht="13">
      <c r="A214" s="48"/>
      <c r="B214" s="50"/>
      <c r="C214" s="51"/>
      <c r="D214" s="5"/>
      <c r="E214" s="87"/>
      <c r="F214" s="87"/>
      <c r="G214" s="87"/>
      <c r="H214" s="88"/>
      <c r="I214" s="88"/>
    </row>
    <row r="215" spans="1:9" ht="13">
      <c r="A215" s="48"/>
      <c r="B215" s="53"/>
      <c r="C215" s="51"/>
      <c r="D215" s="54"/>
      <c r="E215" s="87"/>
      <c r="F215" s="87"/>
      <c r="G215" s="87"/>
      <c r="H215" s="88"/>
      <c r="I215" s="88"/>
    </row>
    <row r="216" spans="1:9" ht="13">
      <c r="A216" s="48"/>
      <c r="B216" s="53"/>
      <c r="C216" s="51"/>
      <c r="D216" s="5"/>
      <c r="E216" s="87"/>
      <c r="F216" s="87"/>
      <c r="G216" s="87"/>
      <c r="H216" s="88"/>
      <c r="I216" s="88"/>
    </row>
    <row r="217" spans="1:9" ht="13">
      <c r="A217" s="48"/>
      <c r="B217" s="50"/>
      <c r="C217" s="51"/>
      <c r="D217" s="5"/>
      <c r="E217" s="87"/>
      <c r="F217" s="87"/>
      <c r="G217" s="87"/>
      <c r="H217" s="88"/>
      <c r="I217" s="88"/>
    </row>
    <row r="218" spans="1:9" ht="13">
      <c r="A218" s="48"/>
      <c r="B218" s="50"/>
      <c r="C218" s="51"/>
      <c r="D218" s="54"/>
      <c r="E218" s="87"/>
      <c r="F218" s="86"/>
      <c r="G218" s="87"/>
      <c r="H218" s="88"/>
      <c r="I218" s="88"/>
    </row>
    <row r="219" spans="1:9" ht="13">
      <c r="A219" s="48"/>
      <c r="B219" s="50"/>
      <c r="C219" s="51"/>
      <c r="D219" s="54"/>
      <c r="E219" s="87"/>
      <c r="F219" s="87"/>
      <c r="G219" s="87"/>
      <c r="H219" s="88"/>
      <c r="I219" s="88"/>
    </row>
    <row r="220" spans="1:9" ht="13">
      <c r="A220" s="48"/>
      <c r="B220" s="50"/>
      <c r="C220" s="153"/>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900-000000000000}"/>
    <hyperlink ref="B6" r:id="rId2" xr:uid="{00000000-0004-0000-6900-000001000000}"/>
    <hyperlink ref="B7" r:id="rId3" xr:uid="{00000000-0004-0000-6900-000002000000}"/>
    <hyperlink ref="B8" r:id="rId4" xr:uid="{00000000-0004-0000-6900-000003000000}"/>
    <hyperlink ref="B9" r:id="rId5" xr:uid="{00000000-0004-0000-6900-000004000000}"/>
    <hyperlink ref="B10" r:id="rId6" xr:uid="{00000000-0004-0000-6900-000005000000}"/>
    <hyperlink ref="B11" r:id="rId7" xr:uid="{00000000-0004-0000-6900-000006000000}"/>
    <hyperlink ref="B12" r:id="rId8" xr:uid="{00000000-0004-0000-6900-000007000000}"/>
    <hyperlink ref="B13" r:id="rId9" xr:uid="{00000000-0004-0000-6900-000008000000}"/>
    <hyperlink ref="B14" r:id="rId10" xr:uid="{00000000-0004-0000-6900-000009000000}"/>
    <hyperlink ref="B15" r:id="rId11" xr:uid="{00000000-0004-0000-6900-00000A000000}"/>
    <hyperlink ref="B16" r:id="rId12" xr:uid="{00000000-0004-0000-6900-00000B000000}"/>
    <hyperlink ref="B17" r:id="rId13" xr:uid="{00000000-0004-0000-6900-00000C000000}"/>
    <hyperlink ref="B18" r:id="rId14" xr:uid="{00000000-0004-0000-6900-00000D000000}"/>
    <hyperlink ref="B19" r:id="rId15" xr:uid="{00000000-0004-0000-6900-00000E000000}"/>
    <hyperlink ref="B20" r:id="rId16" xr:uid="{00000000-0004-0000-6900-00000F000000}"/>
    <hyperlink ref="B21" r:id="rId17" xr:uid="{00000000-0004-0000-6900-000010000000}"/>
    <hyperlink ref="B22" r:id="rId18" xr:uid="{00000000-0004-0000-6900-000011000000}"/>
    <hyperlink ref="B23" r:id="rId19" xr:uid="{00000000-0004-0000-6900-000012000000}"/>
    <hyperlink ref="B24" r:id="rId20" xr:uid="{00000000-0004-0000-6900-000013000000}"/>
    <hyperlink ref="B25" r:id="rId21" xr:uid="{00000000-0004-0000-6900-000014000000}"/>
    <hyperlink ref="B26" r:id="rId22" xr:uid="{00000000-0004-0000-6900-000015000000}"/>
    <hyperlink ref="B27" r:id="rId23" xr:uid="{00000000-0004-0000-6900-000016000000}"/>
    <hyperlink ref="B28" r:id="rId24" xr:uid="{00000000-0004-0000-6900-000017000000}"/>
    <hyperlink ref="B29" r:id="rId25" xr:uid="{00000000-0004-0000-6900-000018000000}"/>
    <hyperlink ref="B30" r:id="rId26" xr:uid="{00000000-0004-0000-6900-000019000000}"/>
    <hyperlink ref="B31" r:id="rId27" xr:uid="{00000000-0004-0000-6900-00001A000000}"/>
    <hyperlink ref="B32" r:id="rId28" xr:uid="{00000000-0004-0000-6900-00001B000000}"/>
    <hyperlink ref="B33" r:id="rId29" xr:uid="{00000000-0004-0000-6900-00001C000000}"/>
    <hyperlink ref="B34" r:id="rId30" xr:uid="{00000000-0004-0000-6900-00001D000000}"/>
    <hyperlink ref="B35" r:id="rId31" xr:uid="{00000000-0004-0000-6900-00001E000000}"/>
    <hyperlink ref="B36" r:id="rId32" xr:uid="{00000000-0004-0000-6900-00001F000000}"/>
    <hyperlink ref="B37" r:id="rId33" xr:uid="{00000000-0004-0000-6900-000020000000}"/>
    <hyperlink ref="B38" r:id="rId34" xr:uid="{00000000-0004-0000-6900-000021000000}"/>
    <hyperlink ref="B39" r:id="rId35" xr:uid="{00000000-0004-0000-6900-000022000000}"/>
    <hyperlink ref="B40" r:id="rId36" xr:uid="{00000000-0004-0000-6900-000023000000}"/>
    <hyperlink ref="B41" r:id="rId37" xr:uid="{00000000-0004-0000-6900-000024000000}"/>
    <hyperlink ref="B42" r:id="rId38" xr:uid="{00000000-0004-0000-6900-000025000000}"/>
    <hyperlink ref="B43" r:id="rId39" xr:uid="{00000000-0004-0000-6900-000026000000}"/>
    <hyperlink ref="B44" r:id="rId40" xr:uid="{00000000-0004-0000-6900-000027000000}"/>
    <hyperlink ref="B45" r:id="rId41" xr:uid="{00000000-0004-0000-6900-000028000000}"/>
    <hyperlink ref="B46" r:id="rId42" xr:uid="{00000000-0004-0000-6900-000029000000}"/>
    <hyperlink ref="B47" r:id="rId43" xr:uid="{00000000-0004-0000-6900-00002A000000}"/>
    <hyperlink ref="B48" r:id="rId44" xr:uid="{00000000-0004-0000-6900-00002B000000}"/>
    <hyperlink ref="B49" r:id="rId45" xr:uid="{00000000-0004-0000-6900-00002C000000}"/>
    <hyperlink ref="B50" r:id="rId46" xr:uid="{00000000-0004-0000-6900-00002D000000}"/>
    <hyperlink ref="B51" r:id="rId47" xr:uid="{00000000-0004-0000-6900-00002E000000}"/>
    <hyperlink ref="B52" r:id="rId48" xr:uid="{00000000-0004-0000-6900-00002F000000}"/>
    <hyperlink ref="B53" r:id="rId49" xr:uid="{00000000-0004-0000-6900-000030000000}"/>
    <hyperlink ref="B54" r:id="rId50" xr:uid="{00000000-0004-0000-6900-000031000000}"/>
    <hyperlink ref="B55" r:id="rId51" xr:uid="{00000000-0004-0000-6900-000032000000}"/>
    <hyperlink ref="B56" r:id="rId52" xr:uid="{00000000-0004-0000-6900-000033000000}"/>
    <hyperlink ref="B57" r:id="rId53" xr:uid="{00000000-0004-0000-6900-000034000000}"/>
    <hyperlink ref="B58" r:id="rId54" xr:uid="{00000000-0004-0000-6900-000035000000}"/>
    <hyperlink ref="B59" r:id="rId55" xr:uid="{00000000-0004-0000-6900-000036000000}"/>
    <hyperlink ref="B60" r:id="rId56" xr:uid="{00000000-0004-0000-6900-000037000000}"/>
    <hyperlink ref="B61" r:id="rId57" xr:uid="{00000000-0004-0000-6900-000038000000}"/>
    <hyperlink ref="B62" r:id="rId58" xr:uid="{00000000-0004-0000-6900-000039000000}"/>
    <hyperlink ref="B63" r:id="rId59" xr:uid="{00000000-0004-0000-6900-00003A000000}"/>
    <hyperlink ref="B64" r:id="rId60" xr:uid="{00000000-0004-0000-6900-00003B000000}"/>
    <hyperlink ref="B65" r:id="rId61" xr:uid="{00000000-0004-0000-6900-00003C000000}"/>
    <hyperlink ref="B66" r:id="rId62" xr:uid="{00000000-0004-0000-6900-00003D000000}"/>
    <hyperlink ref="B67" r:id="rId63" xr:uid="{00000000-0004-0000-6900-00003E000000}"/>
    <hyperlink ref="B68" r:id="rId64" xr:uid="{00000000-0004-0000-6900-00003F000000}"/>
    <hyperlink ref="B69" r:id="rId65" xr:uid="{00000000-0004-0000-6900-000040000000}"/>
    <hyperlink ref="B70" r:id="rId66" xr:uid="{00000000-0004-0000-6900-000041000000}"/>
    <hyperlink ref="B71" r:id="rId67" xr:uid="{00000000-0004-0000-6900-000042000000}"/>
    <hyperlink ref="B72" r:id="rId68" xr:uid="{00000000-0004-0000-6900-000043000000}"/>
    <hyperlink ref="B73" r:id="rId69" xr:uid="{00000000-0004-0000-6900-000044000000}"/>
    <hyperlink ref="B74" r:id="rId70" xr:uid="{00000000-0004-0000-6900-000045000000}"/>
    <hyperlink ref="B75" r:id="rId71" xr:uid="{00000000-0004-0000-6900-000046000000}"/>
    <hyperlink ref="B76" r:id="rId72" xr:uid="{00000000-0004-0000-6900-000047000000}"/>
    <hyperlink ref="B77" r:id="rId73" xr:uid="{00000000-0004-0000-6900-000048000000}"/>
    <hyperlink ref="B78" r:id="rId74" xr:uid="{00000000-0004-0000-6900-000049000000}"/>
    <hyperlink ref="B79" r:id="rId75" xr:uid="{00000000-0004-0000-6900-00004A000000}"/>
    <hyperlink ref="B80" r:id="rId76" xr:uid="{00000000-0004-0000-6900-00004B000000}"/>
    <hyperlink ref="B81" r:id="rId77" xr:uid="{00000000-0004-0000-6900-00004C000000}"/>
    <hyperlink ref="B82" r:id="rId78" xr:uid="{00000000-0004-0000-6900-00004D000000}"/>
    <hyperlink ref="B83" r:id="rId79" xr:uid="{00000000-0004-0000-6900-00004E000000}"/>
    <hyperlink ref="B84" r:id="rId80" xr:uid="{00000000-0004-0000-6900-00004F000000}"/>
    <hyperlink ref="B85" r:id="rId81" xr:uid="{00000000-0004-0000-6900-000050000000}"/>
    <hyperlink ref="B86" r:id="rId82" xr:uid="{00000000-0004-0000-6900-000051000000}"/>
    <hyperlink ref="B87" r:id="rId83" xr:uid="{00000000-0004-0000-6900-000052000000}"/>
    <hyperlink ref="B88" r:id="rId84" xr:uid="{00000000-0004-0000-6900-000053000000}"/>
    <hyperlink ref="B89" r:id="rId85" xr:uid="{00000000-0004-0000-6900-000054000000}"/>
    <hyperlink ref="B90" r:id="rId86" xr:uid="{00000000-0004-0000-6900-000055000000}"/>
    <hyperlink ref="B91" r:id="rId87" xr:uid="{00000000-0004-0000-6900-000056000000}"/>
    <hyperlink ref="B92" r:id="rId88" xr:uid="{00000000-0004-0000-6900-000057000000}"/>
    <hyperlink ref="B93" r:id="rId89" xr:uid="{00000000-0004-0000-6900-000058000000}"/>
    <hyperlink ref="B94" r:id="rId90" xr:uid="{00000000-0004-0000-6900-000059000000}"/>
    <hyperlink ref="B95" r:id="rId91" xr:uid="{00000000-0004-0000-6900-00005A000000}"/>
    <hyperlink ref="B96" r:id="rId92" xr:uid="{00000000-0004-0000-6900-00005B000000}"/>
    <hyperlink ref="B97" r:id="rId93" xr:uid="{00000000-0004-0000-6900-00005C000000}"/>
    <hyperlink ref="B98" r:id="rId94" xr:uid="{00000000-0004-0000-6900-00005D000000}"/>
    <hyperlink ref="B99" r:id="rId95" xr:uid="{00000000-0004-0000-6900-00005E000000}"/>
    <hyperlink ref="B100" r:id="rId96" xr:uid="{00000000-0004-0000-6900-00005F000000}"/>
    <hyperlink ref="B101" r:id="rId97" xr:uid="{00000000-0004-0000-6900-000060000000}"/>
    <hyperlink ref="B102" r:id="rId98" xr:uid="{00000000-0004-0000-6900-000061000000}"/>
    <hyperlink ref="B103" r:id="rId99" xr:uid="{00000000-0004-0000-6900-000062000000}"/>
    <hyperlink ref="B104" r:id="rId100" xr:uid="{00000000-0004-0000-6900-000063000000}"/>
    <hyperlink ref="B105" r:id="rId101" xr:uid="{00000000-0004-0000-6900-000064000000}"/>
    <hyperlink ref="B106" r:id="rId102" xr:uid="{00000000-0004-0000-6900-000065000000}"/>
    <hyperlink ref="B107" r:id="rId103" xr:uid="{00000000-0004-0000-6900-000066000000}"/>
    <hyperlink ref="B108" r:id="rId104" xr:uid="{00000000-0004-0000-6900-000067000000}"/>
    <hyperlink ref="B109" r:id="rId105" xr:uid="{00000000-0004-0000-6900-000068000000}"/>
    <hyperlink ref="B110" r:id="rId106" xr:uid="{00000000-0004-0000-6900-000069000000}"/>
    <hyperlink ref="B111" r:id="rId107" xr:uid="{00000000-0004-0000-6900-00006A000000}"/>
    <hyperlink ref="B112" r:id="rId108" xr:uid="{00000000-0004-0000-6900-00006B000000}"/>
    <hyperlink ref="B113" r:id="rId109" xr:uid="{00000000-0004-0000-6900-00006C000000}"/>
    <hyperlink ref="B114" r:id="rId110" xr:uid="{00000000-0004-0000-6900-00006D000000}"/>
    <hyperlink ref="B115" r:id="rId111" xr:uid="{00000000-0004-0000-6900-00006E000000}"/>
    <hyperlink ref="B116" r:id="rId112" xr:uid="{00000000-0004-0000-6900-00006F000000}"/>
    <hyperlink ref="B117" r:id="rId113" xr:uid="{00000000-0004-0000-6900-000070000000}"/>
    <hyperlink ref="B118" r:id="rId114" xr:uid="{00000000-0004-0000-6900-000071000000}"/>
    <hyperlink ref="B119" r:id="rId115" xr:uid="{00000000-0004-0000-6900-000072000000}"/>
    <hyperlink ref="B120" r:id="rId116" xr:uid="{00000000-0004-0000-6900-000073000000}"/>
    <hyperlink ref="B121" r:id="rId117" xr:uid="{00000000-0004-0000-6900-000074000000}"/>
    <hyperlink ref="B122" r:id="rId118" xr:uid="{00000000-0004-0000-6900-000075000000}"/>
    <hyperlink ref="B123" r:id="rId119" xr:uid="{00000000-0004-0000-6900-000076000000}"/>
    <hyperlink ref="B124" r:id="rId120" xr:uid="{00000000-0004-0000-6900-000077000000}"/>
    <hyperlink ref="B125" r:id="rId121" xr:uid="{00000000-0004-0000-6900-000078000000}"/>
    <hyperlink ref="B126" r:id="rId122" xr:uid="{00000000-0004-0000-6900-000079000000}"/>
    <hyperlink ref="B127" r:id="rId123" xr:uid="{00000000-0004-0000-6900-00007A000000}"/>
    <hyperlink ref="B128" r:id="rId124" xr:uid="{00000000-0004-0000-6900-00007B000000}"/>
    <hyperlink ref="B129" r:id="rId125" xr:uid="{00000000-0004-0000-6900-00007C000000}"/>
    <hyperlink ref="B130" r:id="rId126" xr:uid="{00000000-0004-0000-6900-00007D000000}"/>
    <hyperlink ref="B131" r:id="rId127" xr:uid="{00000000-0004-0000-6900-00007E000000}"/>
    <hyperlink ref="B132" r:id="rId128" xr:uid="{00000000-0004-0000-6900-00007F000000}"/>
    <hyperlink ref="B133" r:id="rId129" xr:uid="{00000000-0004-0000-6900-000080000000}"/>
    <hyperlink ref="B134" r:id="rId130" xr:uid="{00000000-0004-0000-6900-000081000000}"/>
    <hyperlink ref="B135" r:id="rId131" xr:uid="{00000000-0004-0000-6900-000082000000}"/>
    <hyperlink ref="B136" r:id="rId132" xr:uid="{00000000-0004-0000-6900-000083000000}"/>
    <hyperlink ref="B137" r:id="rId133" xr:uid="{00000000-0004-0000-6900-000084000000}"/>
    <hyperlink ref="B138" r:id="rId134" xr:uid="{00000000-0004-0000-6900-000085000000}"/>
    <hyperlink ref="B139" r:id="rId135" xr:uid="{00000000-0004-0000-6900-000086000000}"/>
    <hyperlink ref="B140" r:id="rId136" xr:uid="{00000000-0004-0000-6900-000087000000}"/>
    <hyperlink ref="B141" r:id="rId137" xr:uid="{00000000-0004-0000-6900-000088000000}"/>
    <hyperlink ref="B142" r:id="rId138" xr:uid="{00000000-0004-0000-6900-000089000000}"/>
    <hyperlink ref="B143" r:id="rId139" xr:uid="{00000000-0004-0000-6900-00008A000000}"/>
    <hyperlink ref="B144" r:id="rId140" xr:uid="{00000000-0004-0000-6900-00008B000000}"/>
    <hyperlink ref="B145" r:id="rId141" xr:uid="{00000000-0004-0000-6900-00008C000000}"/>
    <hyperlink ref="B146" r:id="rId142" xr:uid="{00000000-0004-0000-6900-00008D000000}"/>
    <hyperlink ref="B147" r:id="rId143" xr:uid="{00000000-0004-0000-6900-00008E000000}"/>
    <hyperlink ref="B148" r:id="rId144" xr:uid="{00000000-0004-0000-6900-00008F000000}"/>
    <hyperlink ref="B149" r:id="rId145" xr:uid="{00000000-0004-0000-6900-000090000000}"/>
    <hyperlink ref="B150" r:id="rId146" xr:uid="{00000000-0004-0000-6900-000091000000}"/>
    <hyperlink ref="B151" r:id="rId147" xr:uid="{00000000-0004-0000-6900-000092000000}"/>
    <hyperlink ref="B152" r:id="rId148" xr:uid="{00000000-0004-0000-6900-000093000000}"/>
    <hyperlink ref="B153" r:id="rId149" xr:uid="{00000000-0004-0000-6900-000094000000}"/>
    <hyperlink ref="B154" r:id="rId150" xr:uid="{00000000-0004-0000-6900-000095000000}"/>
    <hyperlink ref="B155" r:id="rId151" xr:uid="{00000000-0004-0000-6900-000096000000}"/>
    <hyperlink ref="B156" r:id="rId152" xr:uid="{00000000-0004-0000-6900-000097000000}"/>
    <hyperlink ref="B157" r:id="rId153" xr:uid="{00000000-0004-0000-6900-000098000000}"/>
    <hyperlink ref="B158" r:id="rId154" xr:uid="{00000000-0004-0000-6900-000099000000}"/>
    <hyperlink ref="B159" r:id="rId155" xr:uid="{00000000-0004-0000-6900-00009A000000}"/>
    <hyperlink ref="B160" r:id="rId156" xr:uid="{00000000-0004-0000-6900-00009B000000}"/>
    <hyperlink ref="B161" r:id="rId157" xr:uid="{00000000-0004-0000-6900-00009C000000}"/>
    <hyperlink ref="B162" r:id="rId158" xr:uid="{00000000-0004-0000-6900-00009D000000}"/>
    <hyperlink ref="B163" r:id="rId159" xr:uid="{00000000-0004-0000-6900-00009E000000}"/>
    <hyperlink ref="B164" r:id="rId160" xr:uid="{00000000-0004-0000-6900-00009F000000}"/>
    <hyperlink ref="B165" r:id="rId161" xr:uid="{00000000-0004-0000-6900-0000A0000000}"/>
    <hyperlink ref="B166" r:id="rId162" xr:uid="{00000000-0004-0000-6900-0000A1000000}"/>
    <hyperlink ref="B167" r:id="rId163" xr:uid="{00000000-0004-0000-6900-0000A2000000}"/>
    <hyperlink ref="B168" r:id="rId164" xr:uid="{00000000-0004-0000-6900-0000A3000000}"/>
    <hyperlink ref="B169" r:id="rId165" xr:uid="{00000000-0004-0000-6900-0000A4000000}"/>
    <hyperlink ref="B170" r:id="rId166" xr:uid="{00000000-0004-0000-6900-0000A5000000}"/>
    <hyperlink ref="B171" r:id="rId167" xr:uid="{00000000-0004-0000-6900-0000A6000000}"/>
    <hyperlink ref="B172" r:id="rId168" xr:uid="{00000000-0004-0000-6900-0000A7000000}"/>
    <hyperlink ref="B173" r:id="rId169" xr:uid="{00000000-0004-0000-6900-0000A8000000}"/>
    <hyperlink ref="B174" r:id="rId170" xr:uid="{00000000-0004-0000-6900-0000A9000000}"/>
    <hyperlink ref="B175" r:id="rId171" xr:uid="{00000000-0004-0000-6900-0000AA000000}"/>
    <hyperlink ref="B176" r:id="rId172" xr:uid="{00000000-0004-0000-6900-0000AB000000}"/>
    <hyperlink ref="B177" r:id="rId173" xr:uid="{00000000-0004-0000-6900-0000AC000000}"/>
    <hyperlink ref="B178" r:id="rId174" xr:uid="{00000000-0004-0000-6900-0000AD000000}"/>
    <hyperlink ref="B179" r:id="rId175" xr:uid="{00000000-0004-0000-6900-0000AE000000}"/>
    <hyperlink ref="B180" r:id="rId176" xr:uid="{00000000-0004-0000-6900-0000AF000000}"/>
    <hyperlink ref="B181" r:id="rId177" xr:uid="{00000000-0004-0000-6900-0000B0000000}"/>
    <hyperlink ref="B182" r:id="rId178" xr:uid="{00000000-0004-0000-6900-0000B1000000}"/>
    <hyperlink ref="B183" r:id="rId179" xr:uid="{00000000-0004-0000-6900-0000B2000000}"/>
    <hyperlink ref="B184" r:id="rId180" xr:uid="{00000000-0004-0000-6900-0000B3000000}"/>
    <hyperlink ref="B185" r:id="rId181" xr:uid="{00000000-0004-0000-6900-0000B4000000}"/>
    <hyperlink ref="B186" r:id="rId182" xr:uid="{00000000-0004-0000-6900-0000B5000000}"/>
    <hyperlink ref="B187" r:id="rId183" xr:uid="{00000000-0004-0000-6900-0000B6000000}"/>
    <hyperlink ref="B188" r:id="rId184" xr:uid="{00000000-0004-0000-6900-0000B7000000}"/>
    <hyperlink ref="B189" r:id="rId185" xr:uid="{00000000-0004-0000-6900-0000B8000000}"/>
    <hyperlink ref="B190" r:id="rId186" xr:uid="{00000000-0004-0000-6900-0000B9000000}"/>
    <hyperlink ref="B191" r:id="rId187" xr:uid="{00000000-0004-0000-6900-0000BA000000}"/>
    <hyperlink ref="B192" r:id="rId188" xr:uid="{00000000-0004-0000-6900-0000BB000000}"/>
    <hyperlink ref="B193" r:id="rId189" xr:uid="{00000000-0004-0000-6900-0000BC000000}"/>
    <hyperlink ref="B194" r:id="rId190" xr:uid="{00000000-0004-0000-6900-0000BD000000}"/>
    <hyperlink ref="B195" r:id="rId191" xr:uid="{00000000-0004-0000-6900-0000BE000000}"/>
    <hyperlink ref="B196" r:id="rId192" xr:uid="{00000000-0004-0000-6900-0000BF000000}"/>
    <hyperlink ref="B197" r:id="rId193" xr:uid="{00000000-0004-0000-6900-0000C0000000}"/>
    <hyperlink ref="B198" r:id="rId194" xr:uid="{00000000-0004-0000-6900-0000C1000000}"/>
    <hyperlink ref="B199" r:id="rId195" xr:uid="{00000000-0004-0000-6900-0000C2000000}"/>
    <hyperlink ref="B200" r:id="rId196" xr:uid="{00000000-0004-0000-6900-0000C3000000}"/>
    <hyperlink ref="B201" r:id="rId197" xr:uid="{00000000-0004-0000-6900-0000C4000000}"/>
    <hyperlink ref="B202" r:id="rId198" xr:uid="{00000000-0004-0000-6900-0000C5000000}"/>
    <hyperlink ref="B203" r:id="rId199" xr:uid="{00000000-0004-0000-6900-0000C6000000}"/>
    <hyperlink ref="B204" r:id="rId200" xr:uid="{00000000-0004-0000-6900-0000C7000000}"/>
    <hyperlink ref="B205" r:id="rId201" xr:uid="{00000000-0004-0000-6900-0000C8000000}"/>
    <hyperlink ref="B206" r:id="rId202" xr:uid="{00000000-0004-0000-6900-0000C9000000}"/>
    <hyperlink ref="B207" r:id="rId203" xr:uid="{00000000-0004-0000-6900-0000CA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07">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0.6640625" customWidth="1"/>
    <col min="4" max="4" width="14" customWidth="1"/>
    <col min="5" max="5" width="15.1640625" customWidth="1"/>
  </cols>
  <sheetData>
    <row r="1" spans="1:10" ht="15.75" customHeight="1">
      <c r="A1" s="160" t="s">
        <v>9966</v>
      </c>
      <c r="B1" s="35"/>
      <c r="C1" s="161"/>
      <c r="D1" s="162" t="s">
        <v>181</v>
      </c>
      <c r="E1" s="35"/>
      <c r="F1" s="35"/>
      <c r="G1" s="35"/>
      <c r="H1" s="35"/>
      <c r="I1" s="88"/>
    </row>
    <row r="2" spans="1:10" ht="15.75" customHeight="1">
      <c r="A2" s="35" t="s">
        <v>182</v>
      </c>
      <c r="B2" s="163">
        <v>44236</v>
      </c>
      <c r="C2" s="161"/>
      <c r="D2" s="164">
        <f>SUM(D5:G29)</f>
        <v>0</v>
      </c>
      <c r="E2" s="35"/>
      <c r="F2" s="35"/>
      <c r="G2" s="35"/>
      <c r="H2" s="35"/>
      <c r="I2" s="88"/>
    </row>
    <row r="3" spans="1:10" ht="15.75" customHeight="1">
      <c r="A3" s="35"/>
      <c r="B3" s="35"/>
      <c r="C3" s="161"/>
      <c r="D3" s="35"/>
      <c r="E3" s="35"/>
      <c r="F3" s="35"/>
      <c r="G3" s="35"/>
      <c r="H3" s="35"/>
      <c r="I3" s="88"/>
    </row>
    <row r="4" spans="1:10" ht="15.75" customHeight="1">
      <c r="A4" s="165" t="s">
        <v>183</v>
      </c>
      <c r="B4" s="165" t="s">
        <v>184</v>
      </c>
      <c r="C4" s="165" t="s">
        <v>185</v>
      </c>
      <c r="D4" s="166" t="s">
        <v>186</v>
      </c>
      <c r="E4" s="167" t="s">
        <v>187</v>
      </c>
      <c r="F4" s="167" t="s">
        <v>188</v>
      </c>
      <c r="G4" s="168" t="s">
        <v>189</v>
      </c>
      <c r="H4" s="167" t="s">
        <v>190</v>
      </c>
      <c r="I4" s="85"/>
    </row>
    <row r="5" spans="1:10" ht="15.75" customHeight="1">
      <c r="A5" s="169">
        <v>44221</v>
      </c>
      <c r="B5" s="148" t="s">
        <v>276</v>
      </c>
      <c r="C5" s="147" t="s">
        <v>205</v>
      </c>
      <c r="D5" s="147"/>
      <c r="E5" s="170"/>
      <c r="F5" s="170"/>
      <c r="G5" s="35"/>
      <c r="H5" s="35"/>
      <c r="I5" s="88"/>
      <c r="J5" s="88"/>
    </row>
    <row r="6" spans="1:10" ht="15.75" customHeight="1">
      <c r="A6" s="169">
        <v>44252</v>
      </c>
      <c r="B6" s="148" t="s">
        <v>857</v>
      </c>
      <c r="C6" s="147" t="s">
        <v>205</v>
      </c>
      <c r="D6" s="147"/>
      <c r="E6" s="170"/>
      <c r="F6" s="170"/>
      <c r="G6" s="35"/>
      <c r="H6" s="35"/>
      <c r="I6" s="88"/>
      <c r="J6" s="88"/>
    </row>
    <row r="7" spans="1:10" ht="15.75" customHeight="1">
      <c r="A7" s="169">
        <v>44280</v>
      </c>
      <c r="B7" s="148" t="s">
        <v>1187</v>
      </c>
      <c r="C7" s="147" t="s">
        <v>205</v>
      </c>
      <c r="D7" s="147"/>
      <c r="E7" s="170"/>
      <c r="F7" s="170"/>
      <c r="G7" s="35"/>
      <c r="H7" s="35"/>
      <c r="I7" s="88"/>
    </row>
    <row r="8" spans="1:10" ht="15.75" customHeight="1">
      <c r="A8" s="169">
        <v>44311</v>
      </c>
      <c r="B8" s="148" t="s">
        <v>3016</v>
      </c>
      <c r="C8" s="147" t="s">
        <v>205</v>
      </c>
      <c r="D8" s="147"/>
      <c r="E8" s="170"/>
      <c r="F8" s="170"/>
      <c r="G8" s="35"/>
      <c r="H8" s="35"/>
      <c r="I8" s="88"/>
    </row>
    <row r="9" spans="1:10" ht="15.75" customHeight="1">
      <c r="A9" s="169">
        <v>44341</v>
      </c>
      <c r="B9" s="148" t="s">
        <v>4028</v>
      </c>
      <c r="C9" s="147" t="s">
        <v>205</v>
      </c>
      <c r="D9" s="147"/>
      <c r="E9" s="170"/>
      <c r="F9" s="170"/>
      <c r="G9" s="35"/>
      <c r="H9" s="35"/>
      <c r="I9" s="88"/>
    </row>
    <row r="10" spans="1:10" ht="15.75" customHeight="1">
      <c r="A10" s="169">
        <v>44372</v>
      </c>
      <c r="B10" s="148" t="s">
        <v>4736</v>
      </c>
      <c r="C10" s="147" t="s">
        <v>205</v>
      </c>
      <c r="D10" s="147"/>
      <c r="E10" s="170"/>
      <c r="F10" s="170"/>
      <c r="G10" s="35"/>
      <c r="H10" s="35"/>
      <c r="I10" s="88"/>
    </row>
    <row r="11" spans="1:10" ht="15.75" customHeight="1">
      <c r="A11" s="169">
        <v>44402</v>
      </c>
      <c r="B11" s="148" t="s">
        <v>6205</v>
      </c>
      <c r="C11" s="147" t="s">
        <v>205</v>
      </c>
      <c r="D11" s="147"/>
      <c r="E11" s="170"/>
      <c r="F11" s="170"/>
      <c r="G11" s="35"/>
      <c r="H11" s="35"/>
      <c r="I11" s="88"/>
    </row>
    <row r="12" spans="1:10" ht="15.75" customHeight="1">
      <c r="A12" s="169">
        <v>44433</v>
      </c>
      <c r="B12" s="148" t="s">
        <v>8544</v>
      </c>
      <c r="C12" s="147" t="s">
        <v>205</v>
      </c>
      <c r="D12" s="147"/>
      <c r="E12" s="170"/>
      <c r="F12" s="170"/>
      <c r="G12" s="35"/>
      <c r="H12" s="35"/>
      <c r="I12" s="88"/>
    </row>
    <row r="13" spans="1:10" ht="15.75" customHeight="1">
      <c r="A13" s="169">
        <v>44464</v>
      </c>
      <c r="B13" s="148" t="s">
        <v>278</v>
      </c>
      <c r="C13" s="147" t="s">
        <v>199</v>
      </c>
      <c r="D13" s="147"/>
      <c r="E13" s="170"/>
      <c r="F13" s="170"/>
      <c r="G13" s="35"/>
      <c r="H13" s="35"/>
      <c r="I13" s="88"/>
    </row>
    <row r="14" spans="1:10" ht="15.75" customHeight="1">
      <c r="A14" s="169">
        <v>44494</v>
      </c>
      <c r="B14" s="148" t="s">
        <v>862</v>
      </c>
      <c r="C14" s="147" t="s">
        <v>199</v>
      </c>
      <c r="D14" s="147"/>
      <c r="E14" s="170"/>
      <c r="F14" s="35"/>
      <c r="G14" s="35"/>
      <c r="H14" s="35"/>
      <c r="I14" s="88"/>
    </row>
    <row r="15" spans="1:10" ht="15.75" customHeight="1">
      <c r="A15" s="169">
        <v>44525</v>
      </c>
      <c r="B15" s="148" t="s">
        <v>1190</v>
      </c>
      <c r="C15" s="147" t="s">
        <v>199</v>
      </c>
      <c r="D15" s="147"/>
      <c r="E15" s="170"/>
      <c r="F15" s="170"/>
      <c r="G15" s="35"/>
      <c r="H15" s="35"/>
      <c r="I15" s="88"/>
    </row>
    <row r="16" spans="1:10" ht="15.75" customHeight="1">
      <c r="A16" s="169">
        <v>44555</v>
      </c>
      <c r="B16" s="148" t="s">
        <v>3018</v>
      </c>
      <c r="C16" s="147" t="s">
        <v>199</v>
      </c>
      <c r="D16" s="147"/>
      <c r="E16" s="170"/>
      <c r="F16" s="170"/>
      <c r="G16" s="35"/>
      <c r="H16" s="35"/>
      <c r="I16" s="88"/>
    </row>
    <row r="17" spans="1:9" ht="15.75" customHeight="1">
      <c r="A17" s="147" t="s">
        <v>9967</v>
      </c>
      <c r="B17" s="148" t="s">
        <v>4030</v>
      </c>
      <c r="C17" s="147" t="s">
        <v>199</v>
      </c>
      <c r="D17" s="147"/>
      <c r="E17" s="147"/>
      <c r="F17" s="170"/>
      <c r="G17" s="35"/>
      <c r="H17" s="35"/>
      <c r="I17" s="88"/>
    </row>
    <row r="18" spans="1:9" ht="15.75" customHeight="1">
      <c r="A18" s="147" t="s">
        <v>9968</v>
      </c>
      <c r="B18" s="148" t="s">
        <v>4738</v>
      </c>
      <c r="C18" s="147" t="s">
        <v>199</v>
      </c>
      <c r="D18" s="147"/>
      <c r="E18" s="170"/>
      <c r="F18" s="170"/>
      <c r="G18" s="35"/>
      <c r="H18" s="35"/>
      <c r="I18" s="88"/>
    </row>
    <row r="19" spans="1:9" ht="15.75" customHeight="1">
      <c r="A19" s="147" t="s">
        <v>9969</v>
      </c>
      <c r="B19" s="148" t="s">
        <v>6189</v>
      </c>
      <c r="C19" s="147" t="s">
        <v>199</v>
      </c>
      <c r="D19" s="147"/>
      <c r="E19" s="170"/>
      <c r="F19" s="170"/>
      <c r="G19" s="35"/>
      <c r="H19" s="35"/>
      <c r="I19" s="88"/>
    </row>
    <row r="20" spans="1:9" ht="15.75" customHeight="1">
      <c r="A20" s="147" t="s">
        <v>9970</v>
      </c>
      <c r="B20" s="148" t="s">
        <v>8546</v>
      </c>
      <c r="C20" s="147" t="s">
        <v>199</v>
      </c>
      <c r="D20" s="147"/>
      <c r="E20" s="170"/>
      <c r="F20" s="170"/>
      <c r="G20" s="35"/>
      <c r="H20" s="35"/>
      <c r="I20" s="88"/>
    </row>
    <row r="21" spans="1:9" ht="15.75" customHeight="1">
      <c r="A21" s="147" t="s">
        <v>9971</v>
      </c>
      <c r="B21" s="148" t="s">
        <v>294</v>
      </c>
      <c r="C21" s="147" t="s">
        <v>208</v>
      </c>
      <c r="D21" s="147"/>
      <c r="E21" s="170"/>
      <c r="F21" s="170"/>
      <c r="G21" s="35"/>
      <c r="H21" s="35"/>
      <c r="I21" s="88"/>
    </row>
    <row r="22" spans="1:9" ht="15.75" customHeight="1">
      <c r="A22" s="147" t="s">
        <v>9972</v>
      </c>
      <c r="B22" s="148" t="s">
        <v>903</v>
      </c>
      <c r="C22" s="147" t="s">
        <v>208</v>
      </c>
      <c r="D22" s="147"/>
      <c r="E22" s="170"/>
      <c r="F22" s="35"/>
      <c r="G22" s="35"/>
      <c r="H22" s="35"/>
      <c r="I22" s="88"/>
    </row>
    <row r="23" spans="1:9" ht="15.75" customHeight="1">
      <c r="A23" s="147" t="s">
        <v>9973</v>
      </c>
      <c r="B23" s="148" t="s">
        <v>1189</v>
      </c>
      <c r="C23" s="147" t="s">
        <v>208</v>
      </c>
      <c r="D23" s="147"/>
      <c r="E23" s="147"/>
      <c r="F23" s="35"/>
      <c r="G23" s="35"/>
      <c r="H23" s="35"/>
    </row>
    <row r="24" spans="1:9" ht="15.75" customHeight="1">
      <c r="A24" s="147" t="s">
        <v>9974</v>
      </c>
      <c r="B24" s="148" t="s">
        <v>3020</v>
      </c>
      <c r="C24" s="147" t="s">
        <v>208</v>
      </c>
      <c r="D24" s="147"/>
      <c r="E24" s="170"/>
      <c r="F24" s="35"/>
      <c r="G24" s="35"/>
      <c r="H24" s="35"/>
      <c r="I24" s="88"/>
    </row>
    <row r="25" spans="1:9" ht="15.75" customHeight="1">
      <c r="A25" s="147" t="s">
        <v>9975</v>
      </c>
      <c r="B25" s="148" t="s">
        <v>4031</v>
      </c>
      <c r="C25" s="147" t="s">
        <v>208</v>
      </c>
      <c r="D25" s="147"/>
      <c r="E25" s="170"/>
      <c r="F25" s="170"/>
      <c r="G25" s="35"/>
      <c r="H25" s="35"/>
      <c r="I25" s="88"/>
    </row>
    <row r="26" spans="1:9" ht="15.75" customHeight="1">
      <c r="A26" s="147" t="s">
        <v>9976</v>
      </c>
      <c r="B26" s="148" t="s">
        <v>4740</v>
      </c>
      <c r="C26" s="147" t="s">
        <v>208</v>
      </c>
      <c r="D26" s="147"/>
      <c r="E26" s="170"/>
      <c r="F26" s="170"/>
      <c r="G26" s="35"/>
      <c r="H26" s="35"/>
      <c r="I26" s="88"/>
    </row>
    <row r="27" spans="1:9" ht="15.75" customHeight="1">
      <c r="A27" s="147" t="s">
        <v>9977</v>
      </c>
      <c r="B27" s="148" t="s">
        <v>6208</v>
      </c>
      <c r="C27" s="147" t="s">
        <v>208</v>
      </c>
      <c r="D27" s="147"/>
      <c r="E27" s="170"/>
      <c r="F27" s="170"/>
      <c r="G27" s="35"/>
      <c r="H27" s="35"/>
      <c r="I27" s="88"/>
    </row>
    <row r="28" spans="1:9" ht="15.75" customHeight="1">
      <c r="A28" s="147" t="s">
        <v>9978</v>
      </c>
      <c r="B28" s="148" t="s">
        <v>8548</v>
      </c>
      <c r="C28" s="147" t="s">
        <v>208</v>
      </c>
      <c r="D28" s="147"/>
      <c r="E28" s="170"/>
      <c r="F28" s="170"/>
      <c r="G28" s="35"/>
      <c r="H28" s="35"/>
      <c r="I28" s="88"/>
    </row>
    <row r="29" spans="1:9" ht="15.75" customHeight="1">
      <c r="A29" s="147" t="s">
        <v>9979</v>
      </c>
      <c r="B29" s="148" t="s">
        <v>191</v>
      </c>
      <c r="C29" s="147" t="s">
        <v>192</v>
      </c>
      <c r="D29" s="147"/>
      <c r="E29" s="170"/>
      <c r="F29" s="35"/>
      <c r="G29" s="35"/>
      <c r="H29" s="35"/>
      <c r="I29" s="88"/>
    </row>
    <row r="30" spans="1:9" ht="15.75" customHeight="1">
      <c r="A30" s="51"/>
      <c r="C30" s="51"/>
      <c r="D30" s="54"/>
      <c r="E30" s="86"/>
      <c r="F30" s="87"/>
      <c r="G30" s="87"/>
      <c r="H30" s="88"/>
      <c r="I30" s="88"/>
    </row>
    <row r="31" spans="1:9" ht="15.75" customHeight="1">
      <c r="A31" s="51"/>
      <c r="C31" s="51"/>
      <c r="D31" s="51"/>
      <c r="E31" s="86"/>
      <c r="F31" s="87"/>
      <c r="G31" s="87"/>
      <c r="H31" s="88"/>
      <c r="I31" s="88"/>
    </row>
    <row r="32" spans="1:9" ht="15.75" customHeight="1">
      <c r="A32" s="51"/>
      <c r="C32" s="51"/>
      <c r="D32" s="51"/>
      <c r="E32" s="86"/>
      <c r="F32" s="87"/>
      <c r="G32" s="87"/>
      <c r="H32" s="88"/>
      <c r="I32" s="88"/>
    </row>
    <row r="33" spans="1:9" ht="15.75" customHeight="1">
      <c r="A33" s="51"/>
      <c r="B33" s="61"/>
      <c r="C33" s="51"/>
      <c r="D33" s="54"/>
      <c r="E33" s="86"/>
      <c r="F33" s="87"/>
      <c r="G33" s="87"/>
      <c r="H33" s="88"/>
      <c r="I33" s="88"/>
    </row>
    <row r="34" spans="1:9" ht="15.75" customHeight="1">
      <c r="A34" s="51"/>
      <c r="C34" s="51"/>
      <c r="D34" s="51"/>
      <c r="E34" s="86"/>
      <c r="F34" s="87"/>
      <c r="G34" s="87"/>
      <c r="H34" s="88"/>
      <c r="I34" s="88"/>
    </row>
    <row r="35" spans="1:9" ht="15.75" customHeight="1">
      <c r="A35" s="51"/>
      <c r="C35" s="51"/>
      <c r="D35" s="51"/>
      <c r="E35" s="86"/>
      <c r="F35" s="86"/>
      <c r="G35" s="87"/>
      <c r="H35" s="88"/>
      <c r="I35" s="88"/>
    </row>
    <row r="36" spans="1:9" ht="15.75" customHeight="1">
      <c r="A36" s="51"/>
      <c r="C36" s="51"/>
      <c r="D36" s="54"/>
      <c r="E36" s="86"/>
      <c r="F36" s="86"/>
      <c r="G36" s="87"/>
      <c r="H36" s="88"/>
      <c r="I36" s="88"/>
    </row>
    <row r="37" spans="1:9" ht="15.75" customHeight="1">
      <c r="A37" s="51"/>
      <c r="C37" s="51"/>
      <c r="D37" s="51"/>
      <c r="E37" s="89"/>
      <c r="F37" s="87"/>
      <c r="G37" s="87"/>
      <c r="H37" s="88"/>
      <c r="I37" s="88"/>
    </row>
    <row r="38" spans="1:9" ht="15.75" customHeight="1">
      <c r="A38" s="51"/>
      <c r="C38" s="51"/>
      <c r="D38" s="51"/>
      <c r="E38" s="86"/>
      <c r="F38" s="87"/>
      <c r="G38" s="87"/>
      <c r="H38" s="88"/>
      <c r="I38" s="88"/>
    </row>
    <row r="39" spans="1:9" ht="15.75" customHeight="1">
      <c r="A39" s="51"/>
      <c r="C39" s="51"/>
      <c r="D39" s="51"/>
      <c r="E39" s="86"/>
      <c r="F39" s="86"/>
      <c r="G39" s="87"/>
      <c r="H39" s="88"/>
      <c r="I39" s="88"/>
    </row>
    <row r="40" spans="1:9" ht="15.75" customHeight="1">
      <c r="A40" s="51"/>
      <c r="B40" s="61"/>
      <c r="C40" s="51"/>
      <c r="D40" s="51"/>
      <c r="E40" s="86"/>
      <c r="F40" s="87"/>
      <c r="G40" s="87"/>
      <c r="H40" s="88"/>
      <c r="I40" s="88"/>
    </row>
    <row r="41" spans="1:9" ht="15.75" customHeight="1">
      <c r="A41" s="51"/>
      <c r="B41" s="61"/>
      <c r="C41" s="51"/>
      <c r="D41" s="51"/>
      <c r="E41" s="86"/>
      <c r="F41" s="86"/>
      <c r="G41" s="87"/>
      <c r="H41" s="88"/>
      <c r="I41" s="88"/>
    </row>
    <row r="42" spans="1:9" ht="15.75" customHeight="1">
      <c r="A42" s="51"/>
      <c r="C42" s="51"/>
      <c r="D42" s="51"/>
      <c r="E42" s="86"/>
      <c r="F42" s="87"/>
      <c r="G42" s="87"/>
      <c r="H42" s="88"/>
      <c r="I42" s="88"/>
    </row>
    <row r="43" spans="1:9" ht="15.75" customHeight="1">
      <c r="A43" s="51"/>
      <c r="C43" s="51"/>
      <c r="D43" s="51"/>
      <c r="E43" s="86"/>
      <c r="F43" s="86"/>
      <c r="G43" s="87"/>
      <c r="H43" s="88"/>
      <c r="I43" s="88"/>
    </row>
    <row r="44" spans="1:9" ht="15.75" customHeight="1">
      <c r="A44" s="51"/>
      <c r="C44" s="51"/>
      <c r="D44" s="51"/>
      <c r="E44" s="86"/>
      <c r="F44" s="86"/>
      <c r="G44" s="87"/>
      <c r="H44" s="88"/>
      <c r="I44" s="88"/>
    </row>
    <row r="45" spans="1:9" ht="15.75" customHeight="1">
      <c r="A45" s="51"/>
      <c r="C45" s="51"/>
      <c r="D45" s="51"/>
      <c r="E45" s="86"/>
      <c r="F45" s="87"/>
      <c r="G45" s="87"/>
      <c r="H45" s="88"/>
      <c r="I45" s="88"/>
    </row>
    <row r="46" spans="1:9" ht="15.75" customHeight="1">
      <c r="A46" s="51"/>
      <c r="C46" s="51"/>
      <c r="D46" s="51"/>
      <c r="E46" s="86"/>
      <c r="F46" s="86"/>
      <c r="G46" s="87"/>
      <c r="H46" s="88"/>
      <c r="I46" s="88"/>
    </row>
    <row r="47" spans="1:9" ht="15.75" customHeight="1">
      <c r="A47" s="51"/>
      <c r="B47" s="61"/>
      <c r="C47" s="51"/>
      <c r="D47" s="51"/>
      <c r="E47" s="89"/>
      <c r="F47" s="87"/>
      <c r="G47" s="87"/>
      <c r="H47" s="88"/>
      <c r="I47" s="88"/>
    </row>
    <row r="48" spans="1:9" ht="15.75" customHeight="1">
      <c r="A48" s="51"/>
      <c r="B48" s="61"/>
      <c r="C48" s="51"/>
      <c r="D48" s="51"/>
      <c r="E48" s="86"/>
      <c r="F48" s="86"/>
      <c r="G48" s="87"/>
      <c r="H48" s="88"/>
      <c r="I48" s="88"/>
    </row>
    <row r="49" spans="1:9" ht="15.75" customHeight="1">
      <c r="A49" s="51"/>
      <c r="C49" s="51"/>
      <c r="D49" s="51"/>
      <c r="E49" s="86"/>
      <c r="F49" s="87"/>
      <c r="G49" s="87"/>
      <c r="H49" s="88"/>
      <c r="I49" s="88"/>
    </row>
    <row r="50" spans="1:9" ht="15.75" customHeight="1">
      <c r="A50" s="51"/>
      <c r="C50" s="51"/>
      <c r="D50" s="54"/>
      <c r="E50" s="86"/>
      <c r="F50" s="86"/>
      <c r="G50" s="87"/>
      <c r="H50" s="88"/>
      <c r="I50" s="88"/>
    </row>
    <row r="51" spans="1:9" ht="15.75" customHeight="1">
      <c r="A51" s="51"/>
      <c r="C51" s="51"/>
      <c r="D51" s="54"/>
      <c r="E51" s="89"/>
      <c r="F51" s="87"/>
      <c r="G51" s="87"/>
      <c r="H51" s="88"/>
      <c r="I51" s="88"/>
    </row>
    <row r="52" spans="1:9" ht="15.75" customHeight="1">
      <c r="A52" s="51"/>
      <c r="C52" s="51"/>
      <c r="D52" s="54"/>
      <c r="E52" s="89"/>
      <c r="F52" s="87"/>
      <c r="G52" s="87"/>
      <c r="H52" s="88"/>
      <c r="I52" s="88"/>
    </row>
    <row r="53" spans="1:9" ht="13">
      <c r="A53" s="51"/>
      <c r="B53" s="61"/>
      <c r="C53" s="51"/>
      <c r="D53" s="54"/>
      <c r="E53" s="87"/>
      <c r="F53" s="87"/>
      <c r="G53" s="87"/>
      <c r="H53" s="88"/>
      <c r="I53" s="88"/>
    </row>
    <row r="54" spans="1:9" ht="13">
      <c r="A54" s="51"/>
      <c r="C54" s="51"/>
      <c r="D54" s="54"/>
      <c r="E54" s="86"/>
      <c r="F54" s="86"/>
      <c r="G54" s="87"/>
      <c r="H54" s="88"/>
      <c r="I54" s="88"/>
    </row>
    <row r="55" spans="1:9" ht="13">
      <c r="A55" s="51"/>
      <c r="C55" s="51"/>
      <c r="D55" s="51"/>
      <c r="E55" s="86"/>
      <c r="F55" s="87"/>
      <c r="G55" s="87"/>
      <c r="H55" s="88"/>
      <c r="I55" s="88"/>
    </row>
    <row r="56" spans="1:9" ht="13">
      <c r="A56" s="51"/>
      <c r="C56" s="51"/>
      <c r="D56" s="54"/>
      <c r="E56" s="86"/>
      <c r="F56" s="86"/>
      <c r="G56" s="87"/>
      <c r="H56" s="88"/>
      <c r="I56" s="88"/>
    </row>
    <row r="57" spans="1:9" ht="13">
      <c r="A57" s="51"/>
      <c r="C57" s="51"/>
      <c r="D57" s="51"/>
      <c r="E57" s="86"/>
      <c r="F57" s="86"/>
      <c r="G57" s="87"/>
      <c r="H57" s="88"/>
      <c r="I57" s="88"/>
    </row>
    <row r="58" spans="1:9" ht="13">
      <c r="A58" s="51"/>
      <c r="C58" s="51"/>
      <c r="D58" s="51"/>
      <c r="E58" s="86"/>
      <c r="F58" s="86"/>
      <c r="G58" s="87"/>
      <c r="H58" s="88"/>
      <c r="I58" s="88"/>
    </row>
    <row r="59" spans="1:9" ht="13">
      <c r="A59" s="51"/>
      <c r="C59" s="51"/>
      <c r="D59" s="51"/>
      <c r="E59" s="86"/>
      <c r="F59" s="87"/>
      <c r="G59" s="87"/>
      <c r="H59" s="88"/>
      <c r="I59" s="88"/>
    </row>
    <row r="60" spans="1:9" ht="13">
      <c r="A60" s="51"/>
      <c r="C60" s="51"/>
      <c r="D60" s="51"/>
      <c r="E60" s="86"/>
      <c r="F60" s="87"/>
      <c r="G60" s="87"/>
      <c r="H60" s="88"/>
      <c r="I60" s="88"/>
    </row>
    <row r="61" spans="1:9" ht="13">
      <c r="A61" s="51"/>
      <c r="C61" s="51"/>
      <c r="D61" s="51"/>
      <c r="E61" s="86"/>
      <c r="F61" s="87"/>
      <c r="G61" s="87"/>
      <c r="H61" s="88"/>
      <c r="I61" s="88"/>
    </row>
    <row r="62" spans="1:9" ht="13">
      <c r="A62" s="51"/>
      <c r="C62" s="51"/>
      <c r="D62" s="51"/>
      <c r="E62" s="89"/>
      <c r="F62" s="86"/>
      <c r="G62" s="87"/>
      <c r="H62" s="88"/>
      <c r="I62" s="88"/>
    </row>
    <row r="63" spans="1:9" ht="13">
      <c r="A63" s="51"/>
      <c r="C63" s="51"/>
      <c r="D63" s="51"/>
      <c r="E63" s="86"/>
      <c r="F63" s="87"/>
      <c r="G63" s="87"/>
      <c r="H63" s="88"/>
      <c r="I63" s="88"/>
    </row>
    <row r="64" spans="1:9" ht="13">
      <c r="A64" s="51"/>
      <c r="C64" s="51"/>
      <c r="D64" s="54"/>
      <c r="E64" s="86"/>
      <c r="F64" s="86"/>
      <c r="G64" s="87"/>
      <c r="H64" s="88"/>
      <c r="I64" s="88"/>
    </row>
    <row r="65" spans="1:9" ht="13">
      <c r="A65" s="51"/>
      <c r="C65" s="51"/>
      <c r="D65" s="54"/>
      <c r="E65" s="86"/>
      <c r="F65" s="86"/>
      <c r="G65" s="87"/>
      <c r="H65" s="88"/>
      <c r="I65" s="88"/>
    </row>
    <row r="66" spans="1:9" ht="13">
      <c r="A66" s="51"/>
      <c r="C66" s="51"/>
      <c r="D66" s="51"/>
      <c r="E66" s="86"/>
      <c r="F66" s="86"/>
      <c r="G66" s="87"/>
      <c r="H66" s="88"/>
      <c r="I66" s="88"/>
    </row>
    <row r="67" spans="1:9" ht="13">
      <c r="A67" s="51"/>
      <c r="C67" s="51"/>
      <c r="D67" s="51"/>
      <c r="E67" s="86"/>
      <c r="F67" s="87"/>
      <c r="G67" s="87"/>
      <c r="H67" s="88"/>
      <c r="I67" s="88"/>
    </row>
    <row r="68" spans="1:9" ht="13">
      <c r="A68" s="51"/>
      <c r="C68" s="51"/>
      <c r="D68" s="51"/>
      <c r="E68" s="86"/>
      <c r="F68" s="86"/>
      <c r="G68" s="87"/>
      <c r="H68" s="88"/>
      <c r="I68" s="88"/>
    </row>
    <row r="69" spans="1:9" ht="13">
      <c r="A69" s="51"/>
      <c r="C69" s="51"/>
      <c r="D69" s="51"/>
      <c r="E69" s="86"/>
      <c r="F69" s="87"/>
      <c r="G69" s="87"/>
      <c r="H69" s="88"/>
      <c r="I69" s="88"/>
    </row>
    <row r="70" spans="1:9" ht="13">
      <c r="A70" s="51"/>
      <c r="C70" s="51"/>
      <c r="D70" s="51"/>
      <c r="E70" s="86"/>
      <c r="F70" s="87"/>
      <c r="G70" s="87"/>
      <c r="H70" s="88"/>
      <c r="I70" s="88"/>
    </row>
    <row r="71" spans="1:9" ht="13">
      <c r="A71" s="51"/>
      <c r="C71" s="51"/>
      <c r="D71" s="51"/>
      <c r="E71" s="86"/>
      <c r="F71" s="86"/>
      <c r="G71" s="87"/>
      <c r="H71" s="88"/>
      <c r="I71" s="88"/>
    </row>
    <row r="72" spans="1:9" ht="13">
      <c r="A72" s="51"/>
      <c r="C72" s="51"/>
      <c r="D72" s="51"/>
      <c r="E72" s="86"/>
      <c r="F72" s="87"/>
      <c r="G72" s="87"/>
      <c r="H72" s="88"/>
      <c r="I72" s="88"/>
    </row>
    <row r="73" spans="1:9" ht="13">
      <c r="A73" s="51"/>
      <c r="C73" s="51"/>
      <c r="D73" s="51"/>
      <c r="E73" s="86"/>
      <c r="F73" s="87"/>
      <c r="G73" s="87"/>
      <c r="H73" s="88"/>
      <c r="I73" s="88"/>
    </row>
    <row r="74" spans="1:9" ht="13">
      <c r="A74" s="51"/>
      <c r="C74" s="51"/>
      <c r="D74" s="51"/>
      <c r="E74" s="86"/>
      <c r="F74" s="87"/>
      <c r="G74" s="87"/>
      <c r="H74" s="88"/>
      <c r="I74" s="88"/>
    </row>
    <row r="75" spans="1:9" ht="13">
      <c r="A75" s="51"/>
      <c r="C75" s="51"/>
      <c r="D75" s="54"/>
      <c r="E75" s="86"/>
      <c r="F75" s="86"/>
      <c r="G75" s="87"/>
      <c r="H75" s="88"/>
      <c r="I75" s="88"/>
    </row>
    <row r="76" spans="1:9" ht="13">
      <c r="A76" s="51"/>
      <c r="C76" s="51"/>
      <c r="D76" s="51"/>
      <c r="E76" s="86"/>
      <c r="F76" s="87"/>
      <c r="G76" s="87"/>
      <c r="H76" s="88"/>
      <c r="I76" s="88"/>
    </row>
    <row r="77" spans="1:9" ht="13">
      <c r="A77" s="51"/>
      <c r="C77" s="51"/>
      <c r="D77" s="51"/>
      <c r="E77" s="86"/>
      <c r="F77" s="87"/>
      <c r="G77" s="87"/>
      <c r="H77" s="88"/>
      <c r="I77" s="88"/>
    </row>
    <row r="78" spans="1:9" ht="13">
      <c r="A78" s="51"/>
      <c r="C78" s="51"/>
      <c r="D78" s="51"/>
      <c r="E78" s="86"/>
      <c r="F78" s="87"/>
      <c r="G78" s="87"/>
      <c r="H78" s="88"/>
      <c r="I78" s="88"/>
    </row>
    <row r="79" spans="1:9" ht="13">
      <c r="A79" s="51"/>
      <c r="C79" s="51"/>
      <c r="D79" s="51"/>
      <c r="E79" s="86"/>
      <c r="F79" s="86"/>
      <c r="G79" s="87"/>
      <c r="H79" s="88"/>
      <c r="I79" s="88"/>
    </row>
    <row r="80" spans="1:9" ht="13">
      <c r="A80" s="51"/>
      <c r="C80" s="51"/>
      <c r="D80" s="51"/>
      <c r="E80" s="86"/>
      <c r="F80" s="86"/>
      <c r="G80" s="87"/>
      <c r="H80" s="88"/>
      <c r="I80" s="88"/>
    </row>
    <row r="81" spans="1:9" ht="13">
      <c r="A81" s="51"/>
      <c r="C81" s="51"/>
      <c r="D81" s="51"/>
      <c r="E81" s="86"/>
      <c r="F81" s="87"/>
      <c r="G81" s="87"/>
      <c r="H81" s="88"/>
      <c r="I81" s="88"/>
    </row>
    <row r="82" spans="1:9" ht="13">
      <c r="A82" s="51"/>
      <c r="C82" s="51"/>
      <c r="D82" s="54"/>
      <c r="E82" s="86"/>
      <c r="F82" s="86"/>
      <c r="G82" s="87"/>
      <c r="H82" s="88"/>
      <c r="I82" s="88"/>
    </row>
    <row r="83" spans="1:9" ht="13">
      <c r="A83" s="51"/>
      <c r="C83" s="51"/>
      <c r="D83" s="54"/>
      <c r="E83" s="86"/>
      <c r="F83" s="86"/>
      <c r="G83" s="87"/>
      <c r="H83" s="88"/>
      <c r="I83" s="88"/>
    </row>
    <row r="84" spans="1:9" ht="13">
      <c r="A84" s="51"/>
      <c r="C84" s="51"/>
      <c r="D84" s="51"/>
      <c r="E84" s="86"/>
      <c r="F84" s="87"/>
      <c r="G84" s="87"/>
      <c r="H84" s="88"/>
      <c r="I84" s="88"/>
    </row>
    <row r="85" spans="1:9" ht="13">
      <c r="A85" s="51"/>
      <c r="C85" s="51"/>
      <c r="D85" s="54"/>
      <c r="E85" s="86"/>
      <c r="F85" s="87"/>
      <c r="G85" s="87"/>
      <c r="H85" s="88"/>
      <c r="I85" s="88"/>
    </row>
    <row r="86" spans="1:9" ht="13">
      <c r="A86" s="51"/>
      <c r="C86" s="51"/>
      <c r="D86" s="54"/>
      <c r="E86" s="86"/>
      <c r="F86" s="87"/>
      <c r="G86" s="87"/>
      <c r="H86" s="88"/>
      <c r="I86" s="88"/>
    </row>
    <row r="87" spans="1:9" ht="13">
      <c r="A87" s="51"/>
      <c r="C87" s="51"/>
      <c r="D87" s="51"/>
      <c r="E87" s="86"/>
      <c r="F87" s="89"/>
      <c r="G87" s="87"/>
      <c r="H87" s="88"/>
      <c r="I87" s="88"/>
    </row>
    <row r="88" spans="1:9" ht="13">
      <c r="A88" s="51"/>
      <c r="C88" s="51"/>
      <c r="D88" s="51"/>
      <c r="E88" s="86"/>
      <c r="F88" s="87"/>
      <c r="G88" s="87"/>
      <c r="H88" s="88"/>
      <c r="I88" s="88"/>
    </row>
    <row r="89" spans="1:9" ht="13">
      <c r="A89" s="51"/>
      <c r="C89" s="51"/>
      <c r="D89" s="51"/>
      <c r="E89" s="86"/>
      <c r="F89" s="86"/>
      <c r="G89" s="87"/>
      <c r="H89" s="88"/>
      <c r="I89" s="88"/>
    </row>
    <row r="90" spans="1:9" ht="13">
      <c r="A90" s="51"/>
      <c r="C90" s="51"/>
      <c r="D90" s="51"/>
      <c r="E90" s="86"/>
      <c r="F90" s="87"/>
      <c r="G90" s="87"/>
      <c r="H90" s="88"/>
      <c r="I90" s="88"/>
    </row>
    <row r="91" spans="1:9" ht="13">
      <c r="A91" s="51"/>
      <c r="C91" s="51"/>
      <c r="D91" s="51"/>
      <c r="E91" s="86"/>
      <c r="F91" s="87"/>
      <c r="G91" s="87"/>
      <c r="H91" s="88"/>
      <c r="I91" s="88"/>
    </row>
    <row r="92" spans="1:9" ht="13">
      <c r="A92" s="51"/>
      <c r="C92" s="51"/>
      <c r="D92" s="51"/>
      <c r="E92" s="86"/>
      <c r="F92" s="86"/>
      <c r="G92" s="87"/>
      <c r="H92" s="88"/>
      <c r="I92" s="88"/>
    </row>
    <row r="93" spans="1:9" ht="13">
      <c r="A93" s="51"/>
      <c r="C93" s="51"/>
      <c r="D93" s="54"/>
      <c r="E93" s="86"/>
      <c r="F93" s="86"/>
      <c r="G93" s="87"/>
      <c r="H93" s="88"/>
      <c r="I93" s="88"/>
    </row>
    <row r="94" spans="1:9" ht="13">
      <c r="A94" s="51"/>
      <c r="C94" s="51"/>
      <c r="D94" s="51"/>
      <c r="E94" s="86"/>
      <c r="F94" s="87"/>
      <c r="G94" s="87"/>
      <c r="H94" s="88"/>
      <c r="I94" s="88"/>
    </row>
    <row r="95" spans="1:9" ht="13">
      <c r="A95" s="51"/>
      <c r="C95" s="51"/>
      <c r="D95" s="51"/>
      <c r="E95" s="86"/>
      <c r="F95" s="86"/>
      <c r="G95" s="87"/>
      <c r="H95" s="88"/>
      <c r="I95" s="88"/>
    </row>
    <row r="96" spans="1:9" ht="13">
      <c r="A96" s="51"/>
      <c r="C96" s="51"/>
      <c r="D96" s="51"/>
      <c r="E96" s="86"/>
      <c r="F96" s="87"/>
      <c r="G96" s="87"/>
      <c r="H96" s="88"/>
      <c r="I96" s="88"/>
    </row>
    <row r="97" spans="1:9" ht="13">
      <c r="A97" s="51"/>
      <c r="C97" s="51"/>
      <c r="D97" s="54"/>
      <c r="E97" s="86"/>
      <c r="F97" s="87"/>
      <c r="G97" s="87"/>
      <c r="H97" s="88"/>
      <c r="I97" s="88"/>
    </row>
    <row r="98" spans="1:9" ht="13">
      <c r="A98" s="51"/>
      <c r="C98" s="51"/>
      <c r="D98" s="51"/>
      <c r="E98" s="86"/>
      <c r="F98" s="87"/>
      <c r="G98" s="87"/>
      <c r="H98" s="88"/>
      <c r="I98" s="88"/>
    </row>
    <row r="99" spans="1:9" ht="13">
      <c r="A99" s="51"/>
      <c r="C99" s="51"/>
      <c r="D99" s="54"/>
      <c r="E99" s="86"/>
      <c r="F99" s="86"/>
      <c r="G99" s="87"/>
      <c r="H99" s="88"/>
      <c r="I99" s="88"/>
    </row>
    <row r="100" spans="1:9" ht="13">
      <c r="A100" s="51"/>
      <c r="C100" s="51"/>
      <c r="D100" s="51"/>
      <c r="E100" s="86"/>
      <c r="F100" s="87"/>
      <c r="G100" s="87"/>
      <c r="H100" s="88"/>
      <c r="I100" s="88"/>
    </row>
    <row r="101" spans="1:9" ht="13">
      <c r="A101" s="51"/>
      <c r="C101" s="51"/>
      <c r="D101" s="51"/>
      <c r="E101" s="86"/>
      <c r="F101" s="87"/>
      <c r="G101" s="87"/>
      <c r="H101" s="88"/>
      <c r="I101" s="88"/>
    </row>
    <row r="102" spans="1:9" ht="13">
      <c r="A102" s="51"/>
      <c r="B102" s="61"/>
      <c r="C102" s="51"/>
      <c r="D102" s="51"/>
      <c r="E102" s="87"/>
      <c r="F102" s="86"/>
      <c r="G102" s="87"/>
      <c r="H102" s="88"/>
      <c r="I102" s="88"/>
    </row>
    <row r="103" spans="1:9" ht="13">
      <c r="A103" s="51"/>
      <c r="B103" s="61"/>
      <c r="C103" s="51"/>
      <c r="D103" s="51"/>
      <c r="E103" s="86"/>
      <c r="F103" s="87"/>
      <c r="G103" s="87"/>
      <c r="H103" s="88"/>
      <c r="I103" s="88"/>
    </row>
    <row r="104" spans="1:9" ht="13">
      <c r="A104" s="51"/>
      <c r="C104" s="51"/>
      <c r="D104" s="51"/>
      <c r="E104" s="86"/>
      <c r="F104" s="87"/>
      <c r="G104" s="87"/>
      <c r="H104" s="88"/>
      <c r="I104" s="88"/>
    </row>
    <row r="105" spans="1:9" ht="13">
      <c r="A105" s="51"/>
      <c r="C105" s="51"/>
      <c r="D105" s="51"/>
      <c r="E105" s="86"/>
      <c r="F105" s="87"/>
      <c r="G105" s="87"/>
      <c r="H105" s="88"/>
      <c r="I105" s="88"/>
    </row>
    <row r="106" spans="1:9" ht="13">
      <c r="A106" s="51"/>
      <c r="C106" s="51"/>
      <c r="D106" s="54"/>
      <c r="E106" s="86"/>
      <c r="F106" s="86"/>
      <c r="G106" s="87"/>
      <c r="H106" s="88"/>
      <c r="I106" s="88"/>
    </row>
    <row r="107" spans="1:9" ht="13">
      <c r="A107" s="51"/>
      <c r="C107" s="51"/>
      <c r="D107" s="51"/>
      <c r="E107" s="86"/>
      <c r="F107" s="87"/>
      <c r="G107" s="87"/>
      <c r="H107" s="88"/>
      <c r="I107" s="88"/>
    </row>
    <row r="108" spans="1:9" ht="13">
      <c r="A108" s="51"/>
      <c r="C108" s="51"/>
      <c r="D108" s="51"/>
      <c r="E108" s="86"/>
      <c r="F108" s="87"/>
      <c r="G108" s="87"/>
      <c r="H108" s="88"/>
      <c r="I108" s="88"/>
    </row>
    <row r="109" spans="1:9" ht="13">
      <c r="A109" s="51"/>
      <c r="C109" s="51"/>
      <c r="D109" s="51"/>
      <c r="E109" s="86"/>
      <c r="F109" s="87"/>
      <c r="G109" s="87"/>
      <c r="H109" s="88"/>
      <c r="I109" s="88"/>
    </row>
    <row r="110" spans="1:9" ht="13">
      <c r="A110" s="51"/>
      <c r="B110" s="61"/>
      <c r="C110" s="51"/>
      <c r="D110" s="51"/>
      <c r="E110" s="86"/>
      <c r="F110" s="87"/>
      <c r="G110" s="87"/>
      <c r="H110" s="88"/>
      <c r="I110" s="88"/>
    </row>
    <row r="111" spans="1:9" ht="13">
      <c r="A111" s="51"/>
      <c r="C111" s="51"/>
      <c r="D111" s="51"/>
      <c r="E111" s="86"/>
      <c r="F111" s="86"/>
      <c r="G111" s="87"/>
      <c r="H111" s="88"/>
      <c r="I111" s="88"/>
    </row>
    <row r="112" spans="1:9" ht="13">
      <c r="A112" s="51"/>
      <c r="C112" s="51"/>
      <c r="D112" s="51"/>
      <c r="E112" s="86"/>
      <c r="F112" s="89"/>
      <c r="G112" s="87"/>
      <c r="H112" s="88"/>
      <c r="I112" s="88"/>
    </row>
    <row r="113" spans="1:9" ht="13">
      <c r="A113" s="51"/>
      <c r="C113" s="51"/>
      <c r="D113" s="54"/>
      <c r="E113" s="86"/>
      <c r="F113" s="89"/>
      <c r="G113" s="87"/>
      <c r="H113" s="88"/>
      <c r="I113" s="88"/>
    </row>
    <row r="114" spans="1:9" ht="13">
      <c r="A114" s="51"/>
      <c r="C114" s="51"/>
      <c r="D114" s="51"/>
      <c r="E114" s="86"/>
      <c r="F114" s="86"/>
      <c r="G114" s="87"/>
      <c r="H114" s="88"/>
      <c r="I114" s="88"/>
    </row>
    <row r="115" spans="1:9" ht="13">
      <c r="A115" s="51"/>
      <c r="C115" s="51"/>
      <c r="D115" s="51"/>
      <c r="E115" s="86"/>
      <c r="F115" s="86"/>
      <c r="G115" s="87"/>
      <c r="H115" s="88"/>
      <c r="I115" s="88"/>
    </row>
    <row r="116" spans="1:9" ht="13">
      <c r="A116" s="51"/>
      <c r="C116" s="51"/>
      <c r="D116" s="51"/>
      <c r="E116" s="87"/>
      <c r="F116" s="87"/>
      <c r="G116" s="87"/>
      <c r="H116" s="88"/>
      <c r="I116" s="88"/>
    </row>
    <row r="117" spans="1:9" ht="13">
      <c r="A117" s="51"/>
      <c r="C117" s="51"/>
      <c r="D117" s="51"/>
      <c r="E117" s="86"/>
      <c r="F117" s="86"/>
      <c r="G117" s="87"/>
      <c r="H117" s="88"/>
      <c r="I117" s="88"/>
    </row>
    <row r="118" spans="1:9" ht="13">
      <c r="A118" s="51"/>
      <c r="C118" s="51"/>
      <c r="D118" s="54"/>
      <c r="E118" s="86"/>
      <c r="F118" s="87"/>
      <c r="G118" s="87"/>
      <c r="H118" s="88"/>
      <c r="I118" s="88"/>
    </row>
    <row r="119" spans="1:9" ht="13">
      <c r="A119" s="51"/>
      <c r="B119" s="61"/>
      <c r="C119" s="51"/>
      <c r="D119" s="54"/>
      <c r="E119" s="86"/>
      <c r="F119" s="87"/>
      <c r="G119" s="87"/>
      <c r="H119" s="88"/>
      <c r="I119" s="88"/>
    </row>
    <row r="120" spans="1:9" ht="13">
      <c r="A120" s="51"/>
      <c r="C120" s="51"/>
      <c r="D120" s="51"/>
      <c r="E120" s="86"/>
      <c r="F120" s="87"/>
      <c r="G120" s="87"/>
      <c r="H120" s="88"/>
      <c r="I120" s="88"/>
    </row>
    <row r="121" spans="1:9" ht="13">
      <c r="A121" s="51"/>
      <c r="C121" s="51"/>
      <c r="D121" s="51"/>
      <c r="E121" s="86"/>
      <c r="F121" s="87"/>
      <c r="G121" s="87"/>
      <c r="H121" s="88"/>
      <c r="I121" s="88"/>
    </row>
    <row r="122" spans="1:9" ht="13">
      <c r="A122" s="51"/>
      <c r="C122" s="51"/>
      <c r="D122" s="51"/>
      <c r="E122" s="86"/>
      <c r="F122" s="87"/>
      <c r="G122" s="87"/>
      <c r="H122" s="88"/>
      <c r="I122" s="88"/>
    </row>
    <row r="123" spans="1:9" ht="13">
      <c r="A123" s="51"/>
      <c r="C123" s="51"/>
      <c r="D123" s="54"/>
      <c r="E123" s="86"/>
      <c r="F123" s="86"/>
      <c r="G123" s="87"/>
      <c r="H123" s="88"/>
      <c r="I123" s="88"/>
    </row>
    <row r="124" spans="1:9" ht="13">
      <c r="A124" s="51"/>
      <c r="C124" s="51"/>
      <c r="D124" s="51"/>
      <c r="E124" s="86"/>
      <c r="F124" s="87"/>
      <c r="G124" s="87"/>
      <c r="H124" s="88"/>
      <c r="I124" s="88"/>
    </row>
    <row r="125" spans="1:9" ht="13">
      <c r="A125" s="51"/>
      <c r="C125" s="51"/>
      <c r="D125" s="54"/>
      <c r="E125" s="86"/>
      <c r="F125" s="86"/>
      <c r="G125" s="87"/>
      <c r="H125" s="88"/>
      <c r="I125" s="88"/>
    </row>
    <row r="126" spans="1:9" ht="13">
      <c r="A126" s="51"/>
      <c r="C126" s="51"/>
      <c r="D126" s="51"/>
      <c r="E126" s="86"/>
      <c r="F126" s="87"/>
      <c r="G126" s="87"/>
      <c r="H126" s="88"/>
      <c r="I126" s="88"/>
    </row>
    <row r="127" spans="1:9" ht="13">
      <c r="A127" s="51"/>
      <c r="C127" s="51"/>
      <c r="D127" s="51"/>
      <c r="E127" s="86"/>
      <c r="F127" s="87"/>
      <c r="G127" s="87"/>
      <c r="H127" s="88"/>
      <c r="I127" s="88"/>
    </row>
    <row r="128" spans="1:9" ht="13">
      <c r="A128" s="51"/>
      <c r="C128" s="51"/>
      <c r="D128" s="51"/>
      <c r="E128" s="86"/>
      <c r="F128" s="86"/>
      <c r="G128" s="87"/>
      <c r="H128" s="88"/>
      <c r="I128" s="88"/>
    </row>
    <row r="129" spans="1:9" ht="13">
      <c r="A129" s="51"/>
      <c r="C129" s="51"/>
      <c r="D129" s="51"/>
      <c r="E129" s="86"/>
      <c r="F129" s="86"/>
      <c r="G129" s="87"/>
      <c r="H129" s="88"/>
      <c r="I129" s="88"/>
    </row>
    <row r="130" spans="1:9" ht="13">
      <c r="A130" s="51"/>
      <c r="B130" s="61"/>
      <c r="C130" s="51"/>
      <c r="D130" s="54"/>
      <c r="E130" s="86"/>
      <c r="F130" s="87"/>
      <c r="G130" s="87"/>
      <c r="H130" s="88"/>
      <c r="I130" s="88"/>
    </row>
    <row r="131" spans="1:9" ht="13">
      <c r="A131" s="51"/>
      <c r="B131" s="61"/>
      <c r="C131" s="51"/>
      <c r="D131" s="51"/>
      <c r="E131" s="86"/>
      <c r="F131" s="87"/>
      <c r="G131" s="87"/>
      <c r="H131" s="88"/>
      <c r="I131" s="88"/>
    </row>
    <row r="132" spans="1:9" ht="13">
      <c r="A132" s="51"/>
      <c r="C132" s="51"/>
      <c r="D132" s="54"/>
      <c r="E132" s="86"/>
      <c r="F132" s="86"/>
      <c r="G132" s="87"/>
      <c r="H132" s="88"/>
      <c r="I132" s="88"/>
    </row>
    <row r="133" spans="1:9" ht="13">
      <c r="A133" s="51"/>
      <c r="C133" s="51"/>
      <c r="D133" s="54"/>
      <c r="E133" s="86"/>
      <c r="F133" s="87"/>
      <c r="G133" s="87"/>
      <c r="H133" s="88"/>
      <c r="I133" s="88"/>
    </row>
    <row r="134" spans="1:9" ht="13">
      <c r="A134" s="51"/>
      <c r="C134" s="51"/>
      <c r="D134" s="51"/>
      <c r="E134" s="86"/>
      <c r="F134" s="87"/>
      <c r="G134" s="87"/>
      <c r="H134" s="88"/>
      <c r="I134" s="88"/>
    </row>
    <row r="135" spans="1:9" ht="13">
      <c r="A135" s="51"/>
      <c r="C135" s="51"/>
      <c r="D135" s="54"/>
      <c r="E135" s="86"/>
      <c r="F135" s="86"/>
      <c r="G135" s="87"/>
      <c r="H135" s="88"/>
      <c r="I135" s="88"/>
    </row>
    <row r="136" spans="1:9" ht="13">
      <c r="A136" s="51"/>
      <c r="C136" s="51"/>
      <c r="D136" s="54"/>
      <c r="E136" s="86"/>
      <c r="F136" s="86"/>
      <c r="G136" s="87"/>
      <c r="H136" s="88"/>
      <c r="I136" s="88"/>
    </row>
    <row r="137" spans="1:9" ht="13">
      <c r="A137" s="51"/>
      <c r="C137" s="51"/>
      <c r="D137" s="51"/>
      <c r="E137" s="86"/>
      <c r="F137" s="87"/>
      <c r="G137" s="87"/>
      <c r="H137" s="88"/>
      <c r="I137" s="88"/>
    </row>
    <row r="138" spans="1:9" ht="13">
      <c r="A138" s="51"/>
      <c r="C138" s="51"/>
      <c r="D138" s="54"/>
      <c r="E138" s="86"/>
      <c r="F138" s="87"/>
      <c r="G138" s="87"/>
      <c r="H138" s="88"/>
      <c r="I138" s="88"/>
    </row>
    <row r="139" spans="1:9" ht="13">
      <c r="A139" s="51"/>
      <c r="C139" s="51"/>
      <c r="D139" s="51"/>
      <c r="E139" s="86"/>
      <c r="F139" s="86"/>
      <c r="G139" s="87"/>
      <c r="H139" s="88"/>
      <c r="I139" s="88"/>
    </row>
    <row r="140" spans="1:9" ht="13">
      <c r="A140" s="51"/>
      <c r="C140" s="51"/>
      <c r="D140" s="51"/>
      <c r="E140" s="86"/>
      <c r="F140" s="87"/>
      <c r="G140" s="87"/>
      <c r="H140" s="88"/>
      <c r="I140" s="88"/>
    </row>
    <row r="141" spans="1:9" ht="13">
      <c r="A141" s="51"/>
      <c r="C141" s="51"/>
      <c r="D141" s="51"/>
      <c r="E141" s="86"/>
      <c r="F141" s="86"/>
      <c r="G141" s="87"/>
      <c r="H141" s="88"/>
      <c r="I141" s="88"/>
    </row>
    <row r="142" spans="1:9" ht="13">
      <c r="A142" s="51"/>
      <c r="C142" s="51"/>
      <c r="D142" s="54"/>
      <c r="E142" s="86"/>
      <c r="F142" s="86"/>
      <c r="G142" s="87"/>
      <c r="H142" s="88"/>
      <c r="I142" s="88"/>
    </row>
    <row r="143" spans="1:9" ht="13">
      <c r="A143" s="51"/>
      <c r="C143" s="51"/>
      <c r="D143" s="51"/>
      <c r="E143" s="86"/>
      <c r="F143" s="89"/>
      <c r="G143" s="87"/>
      <c r="H143" s="88"/>
      <c r="I143" s="88"/>
    </row>
    <row r="144" spans="1:9" ht="13">
      <c r="A144" s="51"/>
      <c r="B144" s="61"/>
      <c r="C144" s="51"/>
      <c r="D144" s="51"/>
      <c r="E144" s="89"/>
      <c r="F144" s="87"/>
      <c r="G144" s="87"/>
      <c r="H144" s="88"/>
      <c r="I144" s="88"/>
    </row>
    <row r="145" spans="1:9" ht="13">
      <c r="A145" s="51"/>
      <c r="B145" s="61"/>
      <c r="C145" s="51"/>
      <c r="D145" s="54"/>
      <c r="E145" s="86"/>
      <c r="F145" s="86"/>
      <c r="G145" s="87"/>
      <c r="H145" s="88"/>
      <c r="I145" s="88"/>
    </row>
    <row r="146" spans="1:9" ht="13">
      <c r="A146" s="51"/>
      <c r="C146" s="51"/>
      <c r="D146" s="54"/>
      <c r="E146" s="86"/>
      <c r="F146" s="87"/>
      <c r="G146" s="87"/>
      <c r="H146" s="88"/>
      <c r="I146" s="88"/>
    </row>
    <row r="147" spans="1:9" ht="13">
      <c r="A147" s="51"/>
      <c r="C147" s="51"/>
      <c r="D147" s="51"/>
      <c r="E147" s="89"/>
      <c r="F147" s="87"/>
      <c r="G147" s="87"/>
      <c r="H147" s="88"/>
      <c r="I147" s="88"/>
    </row>
    <row r="148" spans="1:9" ht="13">
      <c r="A148" s="51"/>
      <c r="C148" s="51"/>
      <c r="D148" s="51"/>
      <c r="E148" s="86"/>
      <c r="F148" s="87"/>
      <c r="G148" s="87"/>
      <c r="H148" s="88"/>
      <c r="I148" s="88"/>
    </row>
    <row r="149" spans="1:9" ht="13">
      <c r="A149" s="51"/>
      <c r="C149" s="51"/>
      <c r="D149" s="51"/>
      <c r="E149" s="86"/>
      <c r="F149" s="86"/>
      <c r="G149" s="87"/>
      <c r="H149" s="88"/>
      <c r="I149" s="88"/>
    </row>
    <row r="150" spans="1:9" ht="13">
      <c r="A150" s="51"/>
      <c r="C150" s="51"/>
      <c r="D150" s="51"/>
      <c r="E150" s="86"/>
      <c r="F150" s="87"/>
      <c r="G150" s="87"/>
      <c r="H150" s="88"/>
      <c r="I150" s="88"/>
    </row>
    <row r="151" spans="1:9" ht="13">
      <c r="A151" s="51"/>
      <c r="C151" s="51"/>
      <c r="D151" s="51"/>
      <c r="E151" s="86"/>
      <c r="F151" s="87"/>
      <c r="G151" s="87"/>
      <c r="H151" s="88"/>
      <c r="I151" s="88"/>
    </row>
    <row r="152" spans="1:9" ht="13">
      <c r="A152" s="51"/>
      <c r="C152" s="51"/>
      <c r="D152" s="51"/>
      <c r="E152" s="86"/>
      <c r="F152" s="86"/>
      <c r="G152" s="87"/>
      <c r="H152" s="88"/>
      <c r="I152" s="88"/>
    </row>
    <row r="153" spans="1:9" ht="13">
      <c r="A153" s="51"/>
      <c r="C153" s="51"/>
      <c r="D153" s="51"/>
      <c r="E153" s="86"/>
      <c r="F153" s="87"/>
      <c r="G153" s="87"/>
      <c r="H153" s="88"/>
      <c r="I153" s="88"/>
    </row>
    <row r="154" spans="1:9" ht="13">
      <c r="A154" s="51"/>
      <c r="C154" s="51"/>
      <c r="D154" s="51"/>
      <c r="E154" s="86"/>
      <c r="F154" s="87"/>
      <c r="G154" s="87"/>
      <c r="H154" s="88"/>
      <c r="I154" s="88"/>
    </row>
    <row r="155" spans="1:9" ht="13">
      <c r="A155" s="51"/>
      <c r="C155" s="51"/>
      <c r="D155" s="51"/>
      <c r="E155" s="86"/>
      <c r="F155" s="86"/>
      <c r="G155" s="87"/>
      <c r="H155" s="88"/>
      <c r="I155" s="88"/>
    </row>
    <row r="156" spans="1:9" ht="13">
      <c r="A156" s="51"/>
      <c r="C156" s="51"/>
      <c r="D156" s="51"/>
      <c r="E156" s="86"/>
      <c r="F156" s="87"/>
      <c r="G156" s="87"/>
      <c r="H156" s="88"/>
      <c r="I156" s="88"/>
    </row>
    <row r="157" spans="1:9" ht="13">
      <c r="A157" s="51"/>
      <c r="C157" s="51"/>
      <c r="D157" s="51"/>
      <c r="E157" s="86"/>
      <c r="F157" s="86"/>
      <c r="G157" s="87"/>
      <c r="H157" s="88"/>
      <c r="I157" s="88"/>
    </row>
    <row r="158" spans="1:9" ht="13">
      <c r="A158" s="51"/>
      <c r="C158" s="51"/>
      <c r="D158" s="51"/>
      <c r="E158" s="86"/>
      <c r="F158" s="86"/>
      <c r="G158" s="87"/>
      <c r="H158" s="88"/>
      <c r="I158" s="88"/>
    </row>
    <row r="159" spans="1:9" ht="13">
      <c r="A159" s="51"/>
      <c r="C159" s="51"/>
      <c r="D159" s="51"/>
      <c r="E159" s="86"/>
      <c r="F159" s="89"/>
      <c r="G159" s="87"/>
      <c r="H159" s="88"/>
      <c r="I159" s="88"/>
    </row>
    <row r="160" spans="1:9" ht="13">
      <c r="A160" s="51"/>
      <c r="C160" s="51"/>
      <c r="D160" s="51"/>
      <c r="E160" s="86"/>
      <c r="F160" s="87"/>
      <c r="G160" s="87"/>
      <c r="H160" s="88"/>
      <c r="I160" s="88"/>
    </row>
    <row r="161" spans="1:9" ht="13">
      <c r="A161" s="51"/>
      <c r="C161" s="51"/>
      <c r="D161" s="51"/>
      <c r="E161" s="86"/>
      <c r="F161" s="86"/>
      <c r="G161" s="87"/>
      <c r="H161" s="88"/>
      <c r="I161" s="137"/>
    </row>
    <row r="162" spans="1:9" ht="13">
      <c r="A162" s="51"/>
      <c r="C162" s="51"/>
      <c r="D162" s="51"/>
      <c r="E162" s="86"/>
      <c r="F162" s="87"/>
      <c r="G162" s="87"/>
      <c r="H162" s="88"/>
      <c r="I162" s="88"/>
    </row>
    <row r="163" spans="1:9" ht="13">
      <c r="A163" s="51"/>
      <c r="C163" s="51"/>
      <c r="D163" s="51"/>
      <c r="E163" s="86"/>
      <c r="F163" s="86"/>
      <c r="G163" s="87"/>
      <c r="H163" s="88"/>
      <c r="I163" s="88"/>
    </row>
    <row r="164" spans="1:9" ht="13">
      <c r="A164" s="51"/>
      <c r="C164" s="51"/>
      <c r="D164" s="51"/>
      <c r="E164" s="86"/>
      <c r="F164" s="87"/>
      <c r="G164" s="87"/>
      <c r="H164" s="88"/>
      <c r="I164" s="88"/>
    </row>
    <row r="165" spans="1:9" ht="13">
      <c r="A165" s="51"/>
      <c r="C165" s="51"/>
      <c r="D165" s="51"/>
      <c r="E165" s="86"/>
      <c r="F165" s="87"/>
      <c r="G165" s="87"/>
      <c r="H165" s="88"/>
      <c r="I165" s="88"/>
    </row>
    <row r="166" spans="1:9" ht="13">
      <c r="A166" s="51"/>
      <c r="B166" s="61"/>
      <c r="C166" s="51"/>
      <c r="D166" s="51"/>
      <c r="E166" s="86"/>
      <c r="F166" s="87"/>
      <c r="G166" s="87"/>
      <c r="H166" s="88"/>
      <c r="I166" s="88"/>
    </row>
    <row r="167" spans="1:9" ht="13">
      <c r="A167" s="51"/>
      <c r="B167" s="61"/>
      <c r="C167" s="51"/>
      <c r="D167" s="51"/>
      <c r="E167" s="86"/>
      <c r="F167" s="87"/>
      <c r="G167" s="87"/>
      <c r="H167" s="88"/>
      <c r="I167" s="88"/>
    </row>
    <row r="168" spans="1:9" ht="13">
      <c r="A168" s="51"/>
      <c r="B168" s="61"/>
      <c r="C168" s="51"/>
      <c r="D168" s="51"/>
      <c r="E168" s="86"/>
      <c r="F168" s="87"/>
      <c r="G168" s="87"/>
      <c r="H168" s="88"/>
      <c r="I168" s="88"/>
    </row>
    <row r="169" spans="1:9" ht="13">
      <c r="A169" s="51"/>
      <c r="B169" s="61"/>
      <c r="C169" s="51"/>
      <c r="D169" s="51"/>
      <c r="E169" s="86"/>
      <c r="F169" s="87"/>
      <c r="G169" s="87"/>
      <c r="H169" s="88"/>
      <c r="I169" s="88"/>
    </row>
    <row r="170" spans="1:9" ht="13">
      <c r="A170" s="51"/>
      <c r="B170" s="61"/>
      <c r="C170" s="51"/>
      <c r="D170" s="51"/>
      <c r="E170" s="86"/>
      <c r="F170" s="87"/>
      <c r="G170" s="87"/>
      <c r="H170" s="88"/>
      <c r="I170" s="88"/>
    </row>
    <row r="171" spans="1:9" ht="13">
      <c r="A171" s="51"/>
      <c r="B171" s="61"/>
      <c r="C171" s="51"/>
      <c r="D171" s="54"/>
      <c r="E171" s="89"/>
      <c r="F171" s="87"/>
      <c r="G171" s="87"/>
      <c r="H171" s="88"/>
      <c r="I171" s="88"/>
    </row>
    <row r="172" spans="1:9" ht="13">
      <c r="A172" s="51"/>
      <c r="B172" s="61"/>
      <c r="C172" s="51"/>
      <c r="D172" s="54"/>
      <c r="E172" s="89"/>
      <c r="F172" s="86"/>
      <c r="G172" s="87"/>
      <c r="H172" s="88"/>
      <c r="I172" s="88"/>
    </row>
    <row r="173" spans="1:9" ht="13">
      <c r="A173" s="51"/>
      <c r="B173" s="61"/>
      <c r="C173" s="51"/>
      <c r="D173" s="54"/>
      <c r="E173" s="86"/>
      <c r="F173" s="87"/>
      <c r="G173" s="87"/>
      <c r="H173" s="88"/>
      <c r="I173" s="88"/>
    </row>
    <row r="174" spans="1:9" ht="13">
      <c r="A174" s="51"/>
      <c r="B174" s="61"/>
      <c r="C174" s="51"/>
      <c r="D174" s="54"/>
      <c r="E174" s="87"/>
      <c r="F174" s="87"/>
      <c r="G174" s="87"/>
      <c r="H174" s="88"/>
      <c r="I174" s="88"/>
    </row>
    <row r="175" spans="1:9" ht="13">
      <c r="A175" s="51"/>
      <c r="B175" s="61"/>
      <c r="C175" s="51"/>
      <c r="D175" s="54"/>
      <c r="E175" s="86"/>
      <c r="F175" s="87"/>
      <c r="G175" s="87"/>
      <c r="H175" s="88"/>
      <c r="I175" s="88"/>
    </row>
    <row r="176" spans="1:9" ht="13">
      <c r="A176" s="51"/>
      <c r="B176" s="61"/>
      <c r="C176" s="51"/>
      <c r="D176" s="51"/>
      <c r="E176" s="86"/>
      <c r="F176" s="87"/>
      <c r="G176" s="87"/>
      <c r="H176" s="88"/>
      <c r="I176" s="88"/>
    </row>
    <row r="177" spans="1:9" ht="13">
      <c r="A177" s="51"/>
      <c r="B177" s="61"/>
      <c r="C177" s="51"/>
      <c r="D177" s="54"/>
      <c r="E177" s="86"/>
      <c r="F177" s="89"/>
      <c r="G177" s="87"/>
      <c r="H177" s="88"/>
      <c r="I177" s="88"/>
    </row>
    <row r="178" spans="1:9" ht="13">
      <c r="A178" s="51"/>
      <c r="B178" s="61"/>
      <c r="C178" s="51"/>
      <c r="D178" s="54"/>
      <c r="E178" s="86"/>
      <c r="F178" s="87"/>
      <c r="G178" s="87"/>
      <c r="H178" s="88"/>
      <c r="I178" s="88"/>
    </row>
    <row r="179" spans="1:9" ht="13">
      <c r="A179" s="51"/>
      <c r="B179" s="61"/>
      <c r="C179" s="51"/>
      <c r="D179" s="54"/>
      <c r="E179" s="86"/>
      <c r="F179" s="87"/>
      <c r="G179" s="87"/>
      <c r="H179" s="88"/>
      <c r="I179" s="88"/>
    </row>
    <row r="180" spans="1:9" ht="13">
      <c r="A180" s="51"/>
      <c r="B180" s="61"/>
      <c r="C180" s="51"/>
      <c r="D180" s="54"/>
      <c r="E180" s="86"/>
      <c r="F180" s="87"/>
      <c r="G180" s="87"/>
      <c r="H180" s="88"/>
      <c r="I180" s="88"/>
    </row>
    <row r="181" spans="1:9" ht="13">
      <c r="A181" s="51"/>
      <c r="B181" s="61"/>
      <c r="C181" s="51"/>
      <c r="D181" s="54"/>
      <c r="E181" s="86"/>
      <c r="F181" s="87"/>
      <c r="G181" s="87"/>
      <c r="H181" s="88"/>
      <c r="I181" s="88"/>
    </row>
    <row r="182" spans="1:9" ht="13">
      <c r="A182" s="51"/>
      <c r="B182" s="61"/>
      <c r="C182" s="51"/>
      <c r="D182" s="54"/>
      <c r="E182" s="86"/>
      <c r="F182" s="87"/>
      <c r="G182" s="87"/>
      <c r="H182" s="88"/>
      <c r="I182" s="88"/>
    </row>
    <row r="183" spans="1:9" ht="13">
      <c r="A183" s="51"/>
      <c r="C183" s="51"/>
      <c r="D183" s="54"/>
      <c r="E183" s="86"/>
      <c r="F183" s="89"/>
      <c r="G183" s="87"/>
      <c r="H183" s="88"/>
      <c r="I183" s="88"/>
    </row>
    <row r="184" spans="1:9" ht="13">
      <c r="A184" s="51"/>
      <c r="C184" s="51"/>
      <c r="D184" s="51"/>
      <c r="E184" s="89"/>
      <c r="F184" s="87"/>
      <c r="G184" s="87"/>
      <c r="H184" s="88"/>
      <c r="I184" s="88"/>
    </row>
    <row r="185" spans="1:9" ht="13">
      <c r="A185" s="51"/>
      <c r="C185" s="51"/>
      <c r="D185" s="54"/>
      <c r="E185" s="86"/>
      <c r="F185" s="89"/>
      <c r="G185" s="87"/>
      <c r="H185" s="88"/>
      <c r="I185" s="88"/>
    </row>
    <row r="186" spans="1:9" ht="13">
      <c r="A186" s="51"/>
      <c r="C186" s="51"/>
      <c r="D186" s="54"/>
      <c r="E186" s="86"/>
      <c r="F186" s="89"/>
      <c r="G186" s="87"/>
      <c r="H186" s="88"/>
      <c r="I186" s="88"/>
    </row>
    <row r="187" spans="1:9" ht="13">
      <c r="A187" s="51"/>
      <c r="C187" s="51"/>
      <c r="D187" s="54"/>
      <c r="E187" s="87"/>
      <c r="F187" s="86"/>
      <c r="G187" s="87"/>
      <c r="H187" s="88"/>
      <c r="I187" s="88"/>
    </row>
    <row r="188" spans="1:9" ht="13">
      <c r="A188" s="51"/>
      <c r="C188" s="51"/>
      <c r="D188" s="54"/>
      <c r="E188" s="89"/>
      <c r="F188" s="87"/>
      <c r="G188" s="87"/>
      <c r="H188" s="88"/>
      <c r="I188" s="88"/>
    </row>
    <row r="189" spans="1:9" ht="13">
      <c r="A189" s="51"/>
      <c r="C189" s="51"/>
      <c r="D189" s="54"/>
      <c r="E189" s="86"/>
      <c r="F189" s="87"/>
      <c r="G189" s="87"/>
      <c r="H189" s="88"/>
      <c r="I189" s="88"/>
    </row>
    <row r="190" spans="1:9" ht="13">
      <c r="A190" s="51"/>
      <c r="B190" s="61"/>
      <c r="C190" s="51"/>
      <c r="D190" s="54"/>
      <c r="E190" s="86"/>
      <c r="F190" s="86"/>
      <c r="G190" s="87"/>
      <c r="H190" s="88"/>
      <c r="I190" s="88"/>
    </row>
    <row r="191" spans="1:9" ht="13">
      <c r="A191" s="51"/>
      <c r="B191" s="61"/>
      <c r="C191" s="51"/>
      <c r="D191" s="54"/>
      <c r="E191" s="89"/>
      <c r="F191" s="87"/>
      <c r="G191" s="87"/>
      <c r="H191" s="88"/>
      <c r="I191" s="88"/>
    </row>
    <row r="192" spans="1:9" ht="13">
      <c r="A192" s="51"/>
      <c r="B192" s="61"/>
      <c r="C192" s="51"/>
      <c r="D192" s="51"/>
      <c r="E192" s="89"/>
      <c r="F192" s="89"/>
      <c r="G192" s="87"/>
      <c r="H192" s="88"/>
      <c r="I192" s="88"/>
    </row>
    <row r="193" spans="1:9" ht="13">
      <c r="A193" s="51"/>
      <c r="B193" s="61"/>
      <c r="C193" s="51"/>
      <c r="D193" s="54"/>
      <c r="E193" s="87"/>
      <c r="F193" s="86"/>
      <c r="G193" s="87"/>
      <c r="H193" s="88"/>
      <c r="I193" s="88"/>
    </row>
    <row r="194" spans="1:9" ht="13">
      <c r="A194" s="51"/>
      <c r="B194" s="61"/>
      <c r="C194" s="51"/>
      <c r="D194" s="54"/>
      <c r="E194" s="87"/>
      <c r="F194" s="89"/>
      <c r="G194" s="87"/>
      <c r="H194" s="88"/>
      <c r="I194" s="88"/>
    </row>
    <row r="195" spans="1:9" ht="13">
      <c r="A195" s="51"/>
      <c r="B195" s="61"/>
      <c r="C195" s="51"/>
      <c r="D195" s="54"/>
      <c r="E195" s="89"/>
      <c r="F195" s="89"/>
      <c r="G195" s="87"/>
      <c r="H195" s="88"/>
      <c r="I195" s="88"/>
    </row>
    <row r="196" spans="1:9" ht="13">
      <c r="A196" s="51"/>
      <c r="C196" s="51"/>
      <c r="D196" s="51"/>
      <c r="E196" s="87"/>
      <c r="F196" s="87"/>
      <c r="G196" s="87"/>
      <c r="H196" s="88"/>
      <c r="I196" s="88"/>
    </row>
    <row r="197" spans="1:9" ht="13">
      <c r="A197" s="51"/>
      <c r="C197" s="51"/>
      <c r="D197" s="54"/>
      <c r="E197" s="89"/>
      <c r="F197" s="87"/>
      <c r="G197" s="87"/>
      <c r="H197" s="88"/>
      <c r="I197" s="88"/>
    </row>
    <row r="198" spans="1:9" ht="13">
      <c r="A198" s="51"/>
      <c r="C198" s="51"/>
      <c r="D198" s="54"/>
      <c r="E198" s="87"/>
      <c r="F198" s="87"/>
      <c r="G198" s="87"/>
      <c r="H198" s="88"/>
      <c r="I198" s="88"/>
    </row>
    <row r="199" spans="1:9" ht="13">
      <c r="A199" s="51"/>
      <c r="C199" s="51"/>
      <c r="D199" s="54"/>
      <c r="E199" s="89"/>
      <c r="F199" s="87"/>
      <c r="G199" s="87"/>
      <c r="H199" s="88"/>
      <c r="I199" s="88"/>
    </row>
    <row r="200" spans="1:9" ht="13">
      <c r="A200" s="51"/>
      <c r="C200" s="51"/>
      <c r="D200" s="54"/>
      <c r="E200" s="87"/>
      <c r="F200" s="87"/>
      <c r="G200" s="87"/>
      <c r="H200" s="88"/>
      <c r="I200" s="88"/>
    </row>
    <row r="201" spans="1:9" ht="13">
      <c r="A201" s="51"/>
      <c r="C201" s="51"/>
      <c r="D201" s="54"/>
      <c r="E201" s="87"/>
      <c r="F201" s="89"/>
      <c r="G201" s="87"/>
      <c r="H201" s="88"/>
      <c r="I201" s="88"/>
    </row>
    <row r="202" spans="1:9" ht="13">
      <c r="A202" s="51"/>
      <c r="C202" s="51"/>
      <c r="D202" s="5"/>
      <c r="E202" s="87"/>
      <c r="F202" s="87"/>
      <c r="G202" s="87"/>
      <c r="H202" s="88"/>
      <c r="I202" s="88"/>
    </row>
    <row r="203" spans="1:9" ht="13">
      <c r="A203" s="51"/>
      <c r="C203" s="51"/>
      <c r="D203" s="51"/>
      <c r="E203" s="87"/>
      <c r="F203" s="87"/>
      <c r="G203" s="87"/>
      <c r="H203" s="88"/>
      <c r="I203" s="88"/>
    </row>
    <row r="204" spans="1:9" ht="13">
      <c r="A204" s="51"/>
      <c r="C204" s="51"/>
      <c r="D204" s="54"/>
      <c r="E204" s="87"/>
      <c r="F204" s="86"/>
      <c r="G204" s="87"/>
      <c r="H204" s="88"/>
      <c r="I204" s="88"/>
    </row>
    <row r="205" spans="1:9" ht="13">
      <c r="A205" s="51"/>
      <c r="C205" s="51"/>
      <c r="D205" s="54"/>
      <c r="E205" s="87"/>
      <c r="F205" s="87"/>
      <c r="G205" s="87"/>
      <c r="H205" s="88"/>
      <c r="I205" s="88"/>
    </row>
    <row r="206" spans="1:9" ht="13">
      <c r="A206" s="51"/>
      <c r="C206" s="51"/>
      <c r="D206" s="5"/>
      <c r="E206" s="87"/>
      <c r="F206" s="87"/>
      <c r="G206" s="87"/>
      <c r="H206" s="88"/>
      <c r="I206" s="88"/>
    </row>
    <row r="207" spans="1:9" ht="13">
      <c r="A207" s="51"/>
      <c r="C207" s="51"/>
      <c r="D207" s="5"/>
      <c r="E207" s="87"/>
      <c r="F207" s="87"/>
      <c r="G207" s="87"/>
      <c r="H207" s="88"/>
      <c r="I207" s="88"/>
    </row>
    <row r="208" spans="1:9" ht="13">
      <c r="A208" s="51"/>
      <c r="C208" s="51"/>
      <c r="D208" s="54"/>
      <c r="E208" s="87"/>
      <c r="F208" s="87"/>
      <c r="G208" s="87"/>
      <c r="H208" s="88"/>
      <c r="I208" s="88"/>
    </row>
    <row r="209" spans="1:9" ht="13">
      <c r="A209" s="51"/>
      <c r="C209" s="51"/>
      <c r="D209" s="54"/>
      <c r="E209" s="87"/>
      <c r="F209" s="87"/>
      <c r="G209" s="87"/>
      <c r="H209" s="88"/>
      <c r="I209" s="88"/>
    </row>
    <row r="210" spans="1:9" ht="13">
      <c r="A210" s="51"/>
      <c r="C210" s="51"/>
      <c r="D210" s="5"/>
      <c r="E210" s="87"/>
      <c r="F210" s="87"/>
      <c r="G210" s="87"/>
      <c r="H210" s="88"/>
      <c r="I210" s="88"/>
    </row>
    <row r="211" spans="1:9" ht="13">
      <c r="A211" s="51"/>
      <c r="C211" s="51"/>
      <c r="D211" s="5"/>
      <c r="E211" s="87"/>
      <c r="F211" s="87"/>
      <c r="G211" s="87"/>
      <c r="H211" s="88"/>
      <c r="I211" s="88"/>
    </row>
    <row r="212" spans="1:9" ht="13">
      <c r="A212" s="51"/>
      <c r="C212" s="51"/>
      <c r="D212" s="54"/>
      <c r="E212" s="87"/>
      <c r="F212" s="87"/>
      <c r="G212" s="87"/>
      <c r="H212" s="88"/>
      <c r="I212" s="88"/>
    </row>
    <row r="213" spans="1:9" ht="13">
      <c r="A213" s="51"/>
      <c r="C213" s="51"/>
      <c r="D213" s="54"/>
      <c r="E213" s="87"/>
      <c r="F213" s="87"/>
      <c r="G213" s="87"/>
      <c r="H213" s="88"/>
      <c r="I213" s="88"/>
    </row>
    <row r="214" spans="1:9" ht="13">
      <c r="A214" s="48"/>
      <c r="B214" s="50"/>
      <c r="C214" s="51"/>
      <c r="D214" s="5"/>
      <c r="E214" s="87"/>
      <c r="F214" s="87"/>
      <c r="G214" s="87"/>
      <c r="H214" s="88"/>
      <c r="I214" s="88"/>
    </row>
    <row r="215" spans="1:9" ht="13">
      <c r="A215" s="48"/>
      <c r="B215" s="53"/>
      <c r="C215" s="51"/>
      <c r="D215" s="54"/>
      <c r="E215" s="87"/>
      <c r="F215" s="87"/>
      <c r="G215" s="87"/>
      <c r="H215" s="88"/>
      <c r="I215" s="88"/>
    </row>
    <row r="216" spans="1:9" ht="13">
      <c r="A216" s="48"/>
      <c r="B216" s="53"/>
      <c r="C216" s="51"/>
      <c r="D216" s="5"/>
      <c r="E216" s="87"/>
      <c r="F216" s="87"/>
      <c r="G216" s="87"/>
      <c r="H216" s="88"/>
      <c r="I216" s="88"/>
    </row>
    <row r="217" spans="1:9" ht="13">
      <c r="A217" s="48"/>
      <c r="B217" s="50"/>
      <c r="C217" s="51"/>
      <c r="D217" s="5"/>
      <c r="E217" s="87"/>
      <c r="F217" s="87"/>
      <c r="G217" s="87"/>
      <c r="H217" s="88"/>
      <c r="I217" s="88"/>
    </row>
    <row r="218" spans="1:9" ht="13">
      <c r="A218" s="48"/>
      <c r="B218" s="50"/>
      <c r="C218" s="51"/>
      <c r="D218" s="54"/>
      <c r="E218" s="87"/>
      <c r="F218" s="86"/>
      <c r="G218" s="87"/>
      <c r="H218" s="88"/>
      <c r="I218" s="88"/>
    </row>
    <row r="219" spans="1:9" ht="13">
      <c r="A219" s="48"/>
      <c r="B219" s="50"/>
      <c r="C219" s="51"/>
      <c r="D219" s="54"/>
      <c r="E219" s="87"/>
      <c r="F219" s="87"/>
      <c r="G219" s="87"/>
      <c r="H219" s="88"/>
      <c r="I219" s="88"/>
    </row>
    <row r="220" spans="1:9" ht="13">
      <c r="A220" s="48"/>
      <c r="B220" s="50"/>
      <c r="C220" s="153"/>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A00-000000000000}"/>
    <hyperlink ref="B6" r:id="rId2" xr:uid="{00000000-0004-0000-6A00-000001000000}"/>
    <hyperlink ref="B7" r:id="rId3" xr:uid="{00000000-0004-0000-6A00-000002000000}"/>
    <hyperlink ref="B8" r:id="rId4" xr:uid="{00000000-0004-0000-6A00-000003000000}"/>
    <hyperlink ref="B9" r:id="rId5" xr:uid="{00000000-0004-0000-6A00-000004000000}"/>
    <hyperlink ref="B10" r:id="rId6" xr:uid="{00000000-0004-0000-6A00-000005000000}"/>
    <hyperlink ref="B11" r:id="rId7" xr:uid="{00000000-0004-0000-6A00-000006000000}"/>
    <hyperlink ref="B12" r:id="rId8" xr:uid="{00000000-0004-0000-6A00-000007000000}"/>
    <hyperlink ref="B13" r:id="rId9" xr:uid="{00000000-0004-0000-6A00-000008000000}"/>
    <hyperlink ref="B14" r:id="rId10" xr:uid="{00000000-0004-0000-6A00-000009000000}"/>
    <hyperlink ref="B15" r:id="rId11" xr:uid="{00000000-0004-0000-6A00-00000A000000}"/>
    <hyperlink ref="B16" r:id="rId12" xr:uid="{00000000-0004-0000-6A00-00000B000000}"/>
    <hyperlink ref="B17" r:id="rId13" xr:uid="{00000000-0004-0000-6A00-00000C000000}"/>
    <hyperlink ref="B18" r:id="rId14" xr:uid="{00000000-0004-0000-6A00-00000D000000}"/>
    <hyperlink ref="B19" r:id="rId15" xr:uid="{00000000-0004-0000-6A00-00000E000000}"/>
    <hyperlink ref="B20" r:id="rId16" xr:uid="{00000000-0004-0000-6A00-00000F000000}"/>
    <hyperlink ref="B21" r:id="rId17" xr:uid="{00000000-0004-0000-6A00-000010000000}"/>
    <hyperlink ref="B22" r:id="rId18" xr:uid="{00000000-0004-0000-6A00-000011000000}"/>
    <hyperlink ref="B23" r:id="rId19" xr:uid="{00000000-0004-0000-6A00-000012000000}"/>
    <hyperlink ref="B24" r:id="rId20" xr:uid="{00000000-0004-0000-6A00-000013000000}"/>
    <hyperlink ref="B25" r:id="rId21" xr:uid="{00000000-0004-0000-6A00-000014000000}"/>
    <hyperlink ref="B26" r:id="rId22" xr:uid="{00000000-0004-0000-6A00-000015000000}"/>
    <hyperlink ref="B27" r:id="rId23" xr:uid="{00000000-0004-0000-6A00-000016000000}"/>
    <hyperlink ref="B28" r:id="rId24" xr:uid="{00000000-0004-0000-6A00-000017000000}"/>
    <hyperlink ref="B29" r:id="rId25" xr:uid="{00000000-0004-0000-6A00-000018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08">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16.6640625" customWidth="1"/>
    <col min="4" max="4" width="14" customWidth="1"/>
    <col min="5" max="5" width="15.1640625" customWidth="1"/>
  </cols>
  <sheetData>
    <row r="1" spans="1:10" ht="15.75" customHeight="1">
      <c r="A1" s="131" t="s">
        <v>106</v>
      </c>
      <c r="B1" s="88"/>
      <c r="C1" s="112"/>
      <c r="D1" s="81" t="s">
        <v>181</v>
      </c>
      <c r="E1" s="87"/>
      <c r="F1" s="87"/>
      <c r="G1" s="87"/>
      <c r="H1" s="88"/>
      <c r="I1" s="88"/>
    </row>
    <row r="2" spans="1:10" ht="15.75" customHeight="1">
      <c r="A2" s="88" t="s">
        <v>182</v>
      </c>
      <c r="B2" s="139">
        <v>44246</v>
      </c>
      <c r="C2" s="112"/>
      <c r="D2" s="82">
        <f>SUM(D5:G201)</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51" t="s">
        <v>9980</v>
      </c>
      <c r="B5" s="60" t="s">
        <v>946</v>
      </c>
      <c r="C5" s="51" t="s">
        <v>205</v>
      </c>
      <c r="D5" s="54"/>
      <c r="E5" s="86"/>
      <c r="F5" s="86"/>
      <c r="G5" s="87"/>
      <c r="H5" s="88"/>
      <c r="I5" s="88"/>
      <c r="J5" s="88"/>
    </row>
    <row r="6" spans="1:10" ht="15.75" customHeight="1">
      <c r="A6" s="51" t="s">
        <v>9981</v>
      </c>
      <c r="B6" s="60" t="s">
        <v>3392</v>
      </c>
      <c r="C6" s="51" t="s">
        <v>205</v>
      </c>
      <c r="D6" s="54"/>
      <c r="E6" s="86"/>
      <c r="F6" s="86"/>
      <c r="G6" s="87"/>
      <c r="H6" s="88"/>
      <c r="I6" s="88"/>
      <c r="J6" s="88"/>
    </row>
    <row r="7" spans="1:10" ht="15.75" customHeight="1">
      <c r="A7" s="51" t="s">
        <v>9982</v>
      </c>
      <c r="B7" s="60" t="s">
        <v>234</v>
      </c>
      <c r="C7" s="51" t="s">
        <v>205</v>
      </c>
      <c r="D7" s="54"/>
      <c r="E7" s="86"/>
      <c r="F7" s="86"/>
      <c r="G7" s="87"/>
      <c r="H7" s="88"/>
      <c r="I7" s="88"/>
    </row>
    <row r="8" spans="1:10" ht="15.75" customHeight="1">
      <c r="A8" s="51" t="s">
        <v>9983</v>
      </c>
      <c r="B8" s="60" t="s">
        <v>1432</v>
      </c>
      <c r="C8" s="51" t="s">
        <v>205</v>
      </c>
      <c r="D8" s="54"/>
      <c r="E8" s="86"/>
      <c r="F8" s="86"/>
      <c r="G8" s="87"/>
      <c r="H8" s="88"/>
      <c r="I8" s="88"/>
    </row>
    <row r="9" spans="1:10" ht="15.75" customHeight="1">
      <c r="A9" s="51" t="s">
        <v>9984</v>
      </c>
      <c r="B9" s="60" t="s">
        <v>1830</v>
      </c>
      <c r="C9" s="51" t="s">
        <v>205</v>
      </c>
      <c r="D9" s="54"/>
      <c r="E9" s="86"/>
      <c r="F9" s="86"/>
      <c r="G9" s="87"/>
      <c r="H9" s="88"/>
      <c r="I9" s="88"/>
    </row>
    <row r="10" spans="1:10" ht="15.75" customHeight="1">
      <c r="A10" s="51" t="s">
        <v>9985</v>
      </c>
      <c r="B10" s="60" t="s">
        <v>6205</v>
      </c>
      <c r="C10" s="51" t="s">
        <v>205</v>
      </c>
      <c r="D10" s="54"/>
      <c r="E10" s="86"/>
      <c r="F10" s="86"/>
      <c r="G10" s="87"/>
      <c r="H10" s="88"/>
      <c r="I10" s="88"/>
    </row>
    <row r="11" spans="1:10" ht="15.75" customHeight="1">
      <c r="A11" s="51" t="s">
        <v>9986</v>
      </c>
      <c r="B11" s="60" t="s">
        <v>6465</v>
      </c>
      <c r="C11" s="51" t="s">
        <v>205</v>
      </c>
      <c r="D11" s="54"/>
      <c r="E11" s="86"/>
      <c r="F11" s="86"/>
      <c r="G11" s="87"/>
      <c r="H11" s="88"/>
      <c r="I11" s="88"/>
    </row>
    <row r="12" spans="1:10" ht="15.75" customHeight="1">
      <c r="A12" s="51" t="s">
        <v>9987</v>
      </c>
      <c r="B12" s="60" t="s">
        <v>6252</v>
      </c>
      <c r="C12" s="51" t="s">
        <v>205</v>
      </c>
      <c r="D12" s="54"/>
      <c r="E12" s="86"/>
      <c r="F12" s="86"/>
      <c r="G12" s="87"/>
      <c r="H12" s="88"/>
      <c r="I12" s="88"/>
    </row>
    <row r="13" spans="1:10" ht="15.75" customHeight="1">
      <c r="A13" s="51" t="s">
        <v>9988</v>
      </c>
      <c r="B13" s="61" t="s">
        <v>9989</v>
      </c>
      <c r="C13" s="51" t="s">
        <v>205</v>
      </c>
      <c r="D13" s="54"/>
      <c r="E13" s="86"/>
      <c r="F13" s="86"/>
      <c r="G13" s="87"/>
      <c r="H13" s="88"/>
      <c r="I13" s="88"/>
    </row>
    <row r="14" spans="1:10" ht="15.75" customHeight="1">
      <c r="A14" s="51" t="s">
        <v>9990</v>
      </c>
      <c r="B14" s="61" t="s">
        <v>9991</v>
      </c>
      <c r="C14" s="51" t="s">
        <v>205</v>
      </c>
      <c r="D14" s="54"/>
      <c r="E14" s="86"/>
      <c r="F14" s="87"/>
      <c r="G14" s="87"/>
      <c r="H14" s="88"/>
      <c r="I14" s="88"/>
    </row>
    <row r="15" spans="1:10" ht="15.75" customHeight="1">
      <c r="A15" s="51" t="s">
        <v>9992</v>
      </c>
      <c r="B15" s="60" t="s">
        <v>8544</v>
      </c>
      <c r="C15" s="51" t="s">
        <v>205</v>
      </c>
      <c r="D15" s="54"/>
      <c r="E15" s="86"/>
      <c r="F15" s="86"/>
      <c r="G15" s="87"/>
      <c r="H15" s="88"/>
      <c r="I15" s="88"/>
    </row>
    <row r="16" spans="1:10" ht="15.75" customHeight="1">
      <c r="A16" s="51" t="s">
        <v>9993</v>
      </c>
      <c r="B16" s="60" t="s">
        <v>8887</v>
      </c>
      <c r="C16" s="51" t="s">
        <v>205</v>
      </c>
      <c r="D16" s="54"/>
      <c r="E16" s="86"/>
      <c r="F16" s="86"/>
      <c r="G16" s="87"/>
      <c r="H16" s="88"/>
      <c r="I16" s="88"/>
    </row>
    <row r="17" spans="1:9" ht="15.75" customHeight="1">
      <c r="A17" s="51" t="s">
        <v>9994</v>
      </c>
      <c r="B17" s="60" t="s">
        <v>8890</v>
      </c>
      <c r="C17" s="51" t="s">
        <v>205</v>
      </c>
      <c r="D17" s="54"/>
      <c r="E17" s="51"/>
      <c r="F17" s="86"/>
      <c r="G17" s="87"/>
      <c r="H17" s="88"/>
      <c r="I17" s="88"/>
    </row>
    <row r="18" spans="1:9" ht="15.75" customHeight="1">
      <c r="A18" s="51" t="s">
        <v>9995</v>
      </c>
      <c r="B18" s="60" t="s">
        <v>8558</v>
      </c>
      <c r="C18" s="51" t="s">
        <v>205</v>
      </c>
      <c r="D18" s="54"/>
      <c r="E18" s="86"/>
      <c r="F18" s="86"/>
      <c r="G18" s="87"/>
      <c r="H18" s="88"/>
      <c r="I18" s="88"/>
    </row>
    <row r="19" spans="1:9" ht="15.75" customHeight="1">
      <c r="A19" s="51" t="s">
        <v>9996</v>
      </c>
      <c r="B19" s="60" t="s">
        <v>8614</v>
      </c>
      <c r="C19" s="51" t="s">
        <v>205</v>
      </c>
      <c r="D19" s="54"/>
      <c r="E19" s="86"/>
      <c r="F19" s="86"/>
      <c r="G19" s="87"/>
      <c r="H19" s="88"/>
      <c r="I19" s="88"/>
    </row>
    <row r="20" spans="1:9" ht="15.75" customHeight="1">
      <c r="A20" s="51" t="s">
        <v>9997</v>
      </c>
      <c r="B20" s="60" t="s">
        <v>9998</v>
      </c>
      <c r="C20" s="51" t="s">
        <v>205</v>
      </c>
      <c r="D20" s="54"/>
      <c r="E20" s="86"/>
      <c r="F20" s="86"/>
      <c r="G20" s="87"/>
      <c r="H20" s="88"/>
      <c r="I20" s="88"/>
    </row>
    <row r="21" spans="1:9" ht="15.75" customHeight="1">
      <c r="A21" s="51" t="s">
        <v>9999</v>
      </c>
      <c r="B21" s="60" t="s">
        <v>4123</v>
      </c>
      <c r="C21" s="51" t="s">
        <v>199</v>
      </c>
      <c r="D21" s="54"/>
      <c r="E21" s="86"/>
      <c r="F21" s="89"/>
      <c r="G21" s="87"/>
      <c r="H21" s="88"/>
      <c r="I21" s="88"/>
    </row>
    <row r="22" spans="1:9" ht="15.75" customHeight="1">
      <c r="A22" s="51" t="s">
        <v>10000</v>
      </c>
      <c r="B22" s="61" t="s">
        <v>8568</v>
      </c>
      <c r="C22" s="51" t="s">
        <v>199</v>
      </c>
      <c r="D22" s="54"/>
      <c r="E22" s="86"/>
      <c r="F22" s="87"/>
      <c r="G22" s="87"/>
      <c r="H22" s="88"/>
      <c r="I22" s="88"/>
    </row>
    <row r="23" spans="1:9" ht="15.75" customHeight="1">
      <c r="A23" s="51" t="s">
        <v>10001</v>
      </c>
      <c r="B23" s="61" t="s">
        <v>10002</v>
      </c>
      <c r="C23" s="51" t="s">
        <v>199</v>
      </c>
      <c r="D23" s="54"/>
      <c r="E23" s="51"/>
    </row>
    <row r="24" spans="1:9" ht="15.75" customHeight="1">
      <c r="A24" s="51" t="s">
        <v>10003</v>
      </c>
      <c r="B24" s="60" t="s">
        <v>382</v>
      </c>
      <c r="C24" s="51" t="s">
        <v>208</v>
      </c>
      <c r="D24" s="54"/>
      <c r="E24" s="86"/>
      <c r="F24" s="87"/>
      <c r="G24" s="87"/>
      <c r="H24" s="88"/>
      <c r="I24" s="88"/>
    </row>
    <row r="25" spans="1:9" ht="15.75" customHeight="1">
      <c r="A25" s="51" t="s">
        <v>10004</v>
      </c>
      <c r="B25" s="60" t="s">
        <v>2236</v>
      </c>
      <c r="C25" s="51" t="s">
        <v>208</v>
      </c>
      <c r="D25" s="54"/>
      <c r="E25" s="86"/>
      <c r="F25" s="89"/>
      <c r="G25" s="87"/>
      <c r="H25" s="88"/>
      <c r="I25" s="88"/>
    </row>
    <row r="26" spans="1:9" ht="15.75" customHeight="1">
      <c r="A26" s="51" t="s">
        <v>10005</v>
      </c>
      <c r="B26" s="60" t="s">
        <v>3039</v>
      </c>
      <c r="C26" s="51" t="s">
        <v>208</v>
      </c>
      <c r="D26" s="54"/>
      <c r="E26" s="86"/>
      <c r="F26" s="86"/>
      <c r="G26" s="87"/>
      <c r="H26" s="88"/>
      <c r="I26" s="88"/>
    </row>
    <row r="27" spans="1:9" ht="15.75" customHeight="1">
      <c r="A27" s="51" t="s">
        <v>10006</v>
      </c>
      <c r="B27" s="60" t="s">
        <v>3125</v>
      </c>
      <c r="C27" s="51" t="s">
        <v>208</v>
      </c>
      <c r="D27" s="54"/>
      <c r="E27" s="86"/>
      <c r="F27" s="89"/>
      <c r="G27" s="87"/>
      <c r="H27" s="88"/>
      <c r="I27" s="88"/>
    </row>
    <row r="28" spans="1:9" ht="15.75" customHeight="1">
      <c r="A28" s="51" t="s">
        <v>10007</v>
      </c>
      <c r="B28" s="60" t="s">
        <v>3115</v>
      </c>
      <c r="C28" s="51" t="s">
        <v>208</v>
      </c>
      <c r="D28" s="54"/>
      <c r="E28" s="86"/>
      <c r="F28" s="86"/>
      <c r="G28" s="87"/>
      <c r="H28" s="88"/>
      <c r="I28" s="88"/>
    </row>
    <row r="29" spans="1:9" ht="15.75" customHeight="1">
      <c r="A29" s="51" t="s">
        <v>10008</v>
      </c>
      <c r="B29" s="60" t="s">
        <v>4928</v>
      </c>
      <c r="C29" s="51" t="s">
        <v>208</v>
      </c>
      <c r="D29" s="54"/>
      <c r="E29" s="86"/>
      <c r="F29" s="87"/>
      <c r="G29" s="87"/>
      <c r="H29" s="88"/>
      <c r="I29" s="88"/>
    </row>
    <row r="30" spans="1:9" ht="15.75" customHeight="1">
      <c r="A30" s="51" t="s">
        <v>10009</v>
      </c>
      <c r="B30" s="60" t="s">
        <v>8943</v>
      </c>
      <c r="C30" s="51" t="s">
        <v>208</v>
      </c>
      <c r="D30" s="54"/>
      <c r="E30" s="86"/>
      <c r="F30" s="87"/>
      <c r="G30" s="87"/>
      <c r="H30" s="88"/>
      <c r="I30" s="88"/>
    </row>
    <row r="31" spans="1:9" ht="15.75" customHeight="1">
      <c r="A31" s="51" t="s">
        <v>10010</v>
      </c>
      <c r="B31" s="60" t="s">
        <v>8616</v>
      </c>
      <c r="C31" s="51" t="s">
        <v>208</v>
      </c>
      <c r="D31" s="54"/>
      <c r="E31" s="86"/>
      <c r="F31" s="87"/>
      <c r="G31" s="87"/>
      <c r="H31" s="88"/>
      <c r="I31" s="88"/>
    </row>
    <row r="32" spans="1:9" ht="15.75" customHeight="1">
      <c r="A32" s="51" t="s">
        <v>10011</v>
      </c>
      <c r="B32" s="60" t="s">
        <v>8946</v>
      </c>
      <c r="C32" s="51" t="s">
        <v>208</v>
      </c>
      <c r="D32" s="54"/>
      <c r="E32" s="86"/>
      <c r="F32" s="87"/>
      <c r="G32" s="87"/>
      <c r="H32" s="88"/>
      <c r="I32" s="88"/>
    </row>
    <row r="33" spans="1:9" ht="15.75" customHeight="1">
      <c r="A33" s="51" t="s">
        <v>10012</v>
      </c>
      <c r="B33" s="60" t="s">
        <v>8948</v>
      </c>
      <c r="C33" s="51" t="s">
        <v>208</v>
      </c>
      <c r="D33" s="54"/>
      <c r="E33" s="86"/>
      <c r="F33" s="87"/>
      <c r="G33" s="87"/>
      <c r="H33" s="88"/>
      <c r="I33" s="88"/>
    </row>
    <row r="34" spans="1:9" ht="15.75" customHeight="1">
      <c r="A34" s="51" t="s">
        <v>10013</v>
      </c>
      <c r="B34" s="60" t="s">
        <v>8950</v>
      </c>
      <c r="C34" s="51" t="s">
        <v>208</v>
      </c>
      <c r="D34" s="54"/>
      <c r="E34" s="86"/>
      <c r="F34" s="87"/>
      <c r="G34" s="87"/>
      <c r="H34" s="88"/>
      <c r="I34" s="88"/>
    </row>
    <row r="35" spans="1:9" ht="15.75" customHeight="1">
      <c r="A35" s="51" t="s">
        <v>10014</v>
      </c>
      <c r="B35" s="60" t="s">
        <v>3043</v>
      </c>
      <c r="C35" s="51" t="s">
        <v>192</v>
      </c>
      <c r="D35" s="54"/>
      <c r="E35" s="86"/>
      <c r="F35" s="86"/>
      <c r="G35" s="87"/>
      <c r="H35" s="88"/>
      <c r="I35" s="88"/>
    </row>
    <row r="36" spans="1:9" ht="15.75" customHeight="1">
      <c r="A36" s="51" t="s">
        <v>10015</v>
      </c>
      <c r="B36" s="60" t="s">
        <v>3137</v>
      </c>
      <c r="C36" s="51" t="s">
        <v>192</v>
      </c>
      <c r="D36" s="54"/>
      <c r="E36" s="86"/>
      <c r="F36" s="86"/>
      <c r="G36" s="87"/>
      <c r="H36" s="88"/>
      <c r="I36" s="88"/>
    </row>
    <row r="37" spans="1:9" ht="15.75" customHeight="1">
      <c r="A37" s="51" t="s">
        <v>10016</v>
      </c>
      <c r="B37" s="60" t="s">
        <v>3114</v>
      </c>
      <c r="C37" s="51" t="s">
        <v>192</v>
      </c>
      <c r="D37" s="54"/>
      <c r="E37" s="89"/>
      <c r="F37" s="87"/>
      <c r="G37" s="87"/>
      <c r="H37" s="88"/>
      <c r="I37" s="88"/>
    </row>
    <row r="38" spans="1:9" ht="15.75" customHeight="1">
      <c r="A38" s="51" t="s">
        <v>10017</v>
      </c>
      <c r="B38" s="60" t="s">
        <v>3338</v>
      </c>
      <c r="C38" s="51" t="s">
        <v>192</v>
      </c>
      <c r="D38" s="54"/>
      <c r="E38" s="86"/>
      <c r="F38" s="87"/>
      <c r="G38" s="87"/>
      <c r="H38" s="88"/>
      <c r="I38" s="88"/>
    </row>
    <row r="39" spans="1:9" ht="15.75" customHeight="1">
      <c r="A39" s="51" t="s">
        <v>10018</v>
      </c>
      <c r="B39" s="60" t="s">
        <v>8562</v>
      </c>
      <c r="C39" s="51" t="s">
        <v>192</v>
      </c>
      <c r="D39" s="54"/>
      <c r="E39" s="86"/>
      <c r="F39" s="86"/>
      <c r="G39" s="87"/>
      <c r="H39" s="88"/>
      <c r="I39" s="88"/>
    </row>
    <row r="40" spans="1:9" ht="15.75" customHeight="1">
      <c r="A40" s="51" t="s">
        <v>10019</v>
      </c>
      <c r="B40" s="60" t="s">
        <v>8562</v>
      </c>
      <c r="C40" s="51" t="s">
        <v>192</v>
      </c>
      <c r="D40" s="54"/>
      <c r="E40" s="86"/>
      <c r="F40" s="87"/>
      <c r="G40" s="87"/>
      <c r="H40" s="88"/>
      <c r="I40" s="88"/>
    </row>
    <row r="41" spans="1:9" ht="15.75" customHeight="1">
      <c r="A41" s="51" t="s">
        <v>10020</v>
      </c>
      <c r="B41" s="61" t="s">
        <v>8631</v>
      </c>
      <c r="C41" s="51" t="s">
        <v>192</v>
      </c>
      <c r="D41" s="54"/>
      <c r="E41" s="86"/>
      <c r="F41" s="86"/>
      <c r="G41" s="87"/>
      <c r="H41" s="88"/>
      <c r="I41" s="88"/>
    </row>
    <row r="42" spans="1:9" ht="15.75" customHeight="1">
      <c r="A42" s="51" t="s">
        <v>10021</v>
      </c>
      <c r="B42" s="61" t="s">
        <v>10022</v>
      </c>
      <c r="C42" s="51" t="s">
        <v>192</v>
      </c>
      <c r="D42" s="54"/>
      <c r="E42" s="86"/>
      <c r="F42" s="87"/>
      <c r="G42" s="87"/>
      <c r="H42" s="88"/>
      <c r="I42" s="88"/>
    </row>
    <row r="43" spans="1:9" ht="15.75" customHeight="1">
      <c r="A43" s="51" t="s">
        <v>10023</v>
      </c>
      <c r="B43" s="61" t="s">
        <v>10024</v>
      </c>
      <c r="C43" s="51" t="s">
        <v>195</v>
      </c>
      <c r="D43" s="54"/>
      <c r="E43" s="86"/>
      <c r="F43" s="86"/>
      <c r="G43" s="87"/>
      <c r="H43" s="88"/>
      <c r="I43" s="88"/>
    </row>
    <row r="44" spans="1:9" ht="15.75" customHeight="1">
      <c r="A44" s="51" t="s">
        <v>10025</v>
      </c>
      <c r="B44" s="60" t="s">
        <v>1461</v>
      </c>
      <c r="C44" s="51" t="s">
        <v>225</v>
      </c>
      <c r="D44" s="54"/>
      <c r="E44" s="86"/>
      <c r="F44" s="86"/>
      <c r="G44" s="87"/>
      <c r="H44" s="88"/>
      <c r="I44" s="88"/>
    </row>
    <row r="45" spans="1:9" ht="15.75" customHeight="1">
      <c r="A45" s="51" t="s">
        <v>10026</v>
      </c>
      <c r="B45" s="60" t="s">
        <v>283</v>
      </c>
      <c r="C45" s="51" t="s">
        <v>808</v>
      </c>
      <c r="D45" s="54"/>
      <c r="E45" s="86"/>
      <c r="F45" s="87"/>
      <c r="G45" s="87"/>
      <c r="H45" s="88"/>
      <c r="I45" s="88"/>
    </row>
    <row r="46" spans="1:9" ht="15.75" customHeight="1">
      <c r="A46" s="51" t="s">
        <v>10027</v>
      </c>
      <c r="B46" s="60" t="s">
        <v>9274</v>
      </c>
      <c r="C46" s="51" t="s">
        <v>808</v>
      </c>
      <c r="D46" s="54"/>
      <c r="E46" s="86"/>
      <c r="F46" s="86"/>
      <c r="G46" s="87"/>
      <c r="H46" s="88"/>
      <c r="I46" s="88"/>
    </row>
    <row r="47" spans="1:9" ht="15.75" customHeight="1">
      <c r="A47" s="51" t="s">
        <v>10028</v>
      </c>
      <c r="B47" s="60" t="s">
        <v>893</v>
      </c>
      <c r="C47" s="51" t="s">
        <v>808</v>
      </c>
      <c r="D47" s="54"/>
      <c r="E47" s="89"/>
      <c r="F47" s="87"/>
      <c r="G47" s="87"/>
      <c r="H47" s="88"/>
      <c r="I47" s="88"/>
    </row>
    <row r="48" spans="1:9" ht="15.75" customHeight="1">
      <c r="A48" s="51" t="s">
        <v>10029</v>
      </c>
      <c r="B48" s="61" t="s">
        <v>8693</v>
      </c>
      <c r="C48" s="51" t="s">
        <v>808</v>
      </c>
      <c r="D48" s="54"/>
      <c r="E48" s="86"/>
      <c r="F48" s="86"/>
      <c r="G48" s="87"/>
      <c r="H48" s="88"/>
      <c r="I48" s="88"/>
    </row>
    <row r="49" spans="1:9" ht="15.75" customHeight="1">
      <c r="A49" s="51" t="s">
        <v>10030</v>
      </c>
      <c r="B49" s="61" t="s">
        <v>8695</v>
      </c>
      <c r="C49" s="51" t="s">
        <v>808</v>
      </c>
      <c r="D49" s="54"/>
      <c r="E49" s="86"/>
      <c r="F49" s="87"/>
      <c r="G49" s="87"/>
      <c r="H49" s="88"/>
      <c r="I49" s="88"/>
    </row>
    <row r="50" spans="1:9" ht="15.75" customHeight="1">
      <c r="A50" s="51" t="s">
        <v>10031</v>
      </c>
      <c r="B50" s="60" t="s">
        <v>4747</v>
      </c>
      <c r="C50" s="51" t="s">
        <v>808</v>
      </c>
      <c r="D50" s="54"/>
      <c r="E50" s="86"/>
      <c r="F50" s="86"/>
      <c r="G50" s="87"/>
      <c r="H50" s="88"/>
      <c r="I50" s="88"/>
    </row>
    <row r="51" spans="1:9" ht="15.75" customHeight="1">
      <c r="A51" s="51" t="s">
        <v>10032</v>
      </c>
      <c r="B51" s="60" t="s">
        <v>9024</v>
      </c>
      <c r="C51" s="51" t="s">
        <v>808</v>
      </c>
      <c r="D51" s="54"/>
      <c r="E51" s="89"/>
      <c r="F51" s="87"/>
      <c r="G51" s="87"/>
      <c r="H51" s="88"/>
      <c r="I51" s="88"/>
    </row>
    <row r="52" spans="1:9" ht="15.75" customHeight="1">
      <c r="A52" s="51" t="s">
        <v>10033</v>
      </c>
      <c r="B52" s="60" t="s">
        <v>9026</v>
      </c>
      <c r="C52" s="51" t="s">
        <v>808</v>
      </c>
      <c r="D52" s="54"/>
      <c r="E52" s="89"/>
      <c r="F52" s="87"/>
      <c r="G52" s="87"/>
      <c r="H52" s="88"/>
      <c r="I52" s="88"/>
    </row>
    <row r="53" spans="1:9" ht="13">
      <c r="A53" s="51" t="s">
        <v>10034</v>
      </c>
      <c r="B53" s="60" t="s">
        <v>9041</v>
      </c>
      <c r="C53" s="51" t="s">
        <v>220</v>
      </c>
      <c r="D53" s="54"/>
      <c r="E53" s="87"/>
      <c r="F53" s="87"/>
      <c r="G53" s="87"/>
      <c r="H53" s="88"/>
      <c r="I53" s="88"/>
    </row>
    <row r="54" spans="1:9" ht="13">
      <c r="A54" s="51" t="s">
        <v>10035</v>
      </c>
      <c r="B54" s="61" t="s">
        <v>10036</v>
      </c>
      <c r="C54" s="51" t="s">
        <v>197</v>
      </c>
      <c r="D54" s="54"/>
      <c r="E54" s="86"/>
      <c r="F54" s="86"/>
      <c r="G54" s="87"/>
      <c r="H54" s="88"/>
      <c r="I54" s="88"/>
    </row>
    <row r="55" spans="1:9" ht="13">
      <c r="A55" s="51" t="s">
        <v>10037</v>
      </c>
      <c r="B55" s="61" t="s">
        <v>10038</v>
      </c>
      <c r="C55" s="51" t="s">
        <v>197</v>
      </c>
      <c r="D55" s="54"/>
      <c r="E55" s="86"/>
      <c r="F55" s="87"/>
      <c r="G55" s="87"/>
      <c r="H55" s="88"/>
      <c r="I55" s="88"/>
    </row>
    <row r="56" spans="1:9" ht="13">
      <c r="A56" s="51" t="s">
        <v>10039</v>
      </c>
      <c r="B56" s="60" t="s">
        <v>203</v>
      </c>
      <c r="C56" s="51" t="s">
        <v>197</v>
      </c>
      <c r="D56" s="54"/>
      <c r="E56" s="86"/>
      <c r="F56" s="86"/>
      <c r="G56" s="87"/>
      <c r="H56" s="88"/>
      <c r="I56" s="88"/>
    </row>
    <row r="57" spans="1:9" ht="13">
      <c r="A57" s="51" t="s">
        <v>10040</v>
      </c>
      <c r="B57" s="61" t="s">
        <v>10041</v>
      </c>
      <c r="C57" s="51" t="s">
        <v>197</v>
      </c>
      <c r="D57" s="54"/>
      <c r="E57" s="86"/>
      <c r="F57" s="86"/>
      <c r="G57" s="87"/>
      <c r="H57" s="88"/>
      <c r="I57" s="88"/>
    </row>
    <row r="58" spans="1:9" ht="13">
      <c r="A58" s="51" t="s">
        <v>10042</v>
      </c>
      <c r="B58" s="61" t="s">
        <v>8676</v>
      </c>
      <c r="C58" s="51" t="s">
        <v>197</v>
      </c>
      <c r="D58" s="54"/>
      <c r="E58" s="86"/>
      <c r="F58" s="86"/>
      <c r="G58" s="87"/>
      <c r="H58" s="88"/>
      <c r="I58" s="88"/>
    </row>
    <row r="59" spans="1:9" ht="13">
      <c r="A59" s="51" t="s">
        <v>10043</v>
      </c>
      <c r="B59" s="61" t="s">
        <v>10044</v>
      </c>
      <c r="C59" s="51" t="s">
        <v>197</v>
      </c>
      <c r="D59" s="54"/>
      <c r="E59" s="86"/>
      <c r="F59" s="87"/>
      <c r="G59" s="87"/>
      <c r="H59" s="88"/>
      <c r="I59" s="88"/>
    </row>
    <row r="60" spans="1:9" ht="13">
      <c r="A60" s="51" t="s">
        <v>10045</v>
      </c>
      <c r="B60" s="60" t="s">
        <v>9239</v>
      </c>
      <c r="C60" s="51" t="s">
        <v>197</v>
      </c>
      <c r="D60" s="54"/>
      <c r="E60" s="86"/>
      <c r="F60" s="87"/>
      <c r="G60" s="87"/>
      <c r="H60" s="88"/>
      <c r="I60" s="88"/>
    </row>
    <row r="61" spans="1:9" ht="13">
      <c r="A61" s="51" t="s">
        <v>10046</v>
      </c>
      <c r="B61" s="60" t="s">
        <v>10047</v>
      </c>
      <c r="C61" s="51" t="s">
        <v>1013</v>
      </c>
      <c r="D61" s="54"/>
      <c r="E61" s="86"/>
      <c r="F61" s="87"/>
      <c r="G61" s="87"/>
      <c r="H61" s="88"/>
      <c r="I61" s="88"/>
    </row>
    <row r="62" spans="1:9" ht="13">
      <c r="A62" s="51" t="s">
        <v>10048</v>
      </c>
      <c r="B62" s="60" t="s">
        <v>10049</v>
      </c>
      <c r="C62" s="51" t="s">
        <v>1013</v>
      </c>
      <c r="D62" s="54"/>
      <c r="E62" s="89"/>
      <c r="F62" s="86"/>
      <c r="G62" s="87"/>
      <c r="H62" s="88"/>
      <c r="I62" s="88"/>
    </row>
    <row r="63" spans="1:9" ht="13">
      <c r="A63" s="51" t="s">
        <v>10050</v>
      </c>
      <c r="B63" s="60" t="s">
        <v>10051</v>
      </c>
      <c r="C63" s="51" t="s">
        <v>1013</v>
      </c>
      <c r="D63" s="54"/>
      <c r="E63" s="86"/>
      <c r="F63" s="87"/>
      <c r="G63" s="87"/>
      <c r="H63" s="88"/>
      <c r="I63" s="88"/>
    </row>
    <row r="64" spans="1:9" ht="13">
      <c r="A64" s="51" t="s">
        <v>10052</v>
      </c>
      <c r="B64" s="60" t="s">
        <v>8784</v>
      </c>
      <c r="C64" s="51" t="s">
        <v>1013</v>
      </c>
      <c r="D64" s="54"/>
      <c r="E64" s="86"/>
      <c r="F64" s="86"/>
      <c r="G64" s="87"/>
      <c r="H64" s="88"/>
      <c r="I64" s="88"/>
    </row>
    <row r="65" spans="1:9" ht="13">
      <c r="A65" s="51" t="s">
        <v>10053</v>
      </c>
      <c r="B65" s="60" t="s">
        <v>10054</v>
      </c>
      <c r="C65" s="51" t="s">
        <v>4114</v>
      </c>
      <c r="D65" s="54"/>
      <c r="E65" s="86"/>
      <c r="F65" s="86"/>
      <c r="G65" s="87"/>
      <c r="H65" s="88"/>
      <c r="I65" s="88"/>
    </row>
    <row r="66" spans="1:9" ht="13">
      <c r="A66" s="51" t="s">
        <v>10055</v>
      </c>
      <c r="B66" s="60" t="s">
        <v>10056</v>
      </c>
      <c r="C66" s="51" t="s">
        <v>4114</v>
      </c>
      <c r="D66" s="54"/>
      <c r="E66" s="86"/>
      <c r="F66" s="86"/>
      <c r="G66" s="87"/>
      <c r="H66" s="88"/>
      <c r="I66" s="88"/>
    </row>
    <row r="67" spans="1:9" ht="13">
      <c r="A67" s="51" t="s">
        <v>10057</v>
      </c>
      <c r="B67" s="60" t="s">
        <v>10058</v>
      </c>
      <c r="C67" s="51" t="s">
        <v>4114</v>
      </c>
      <c r="D67" s="54"/>
      <c r="E67" s="86"/>
      <c r="F67" s="87"/>
      <c r="G67" s="87"/>
      <c r="H67" s="88"/>
      <c r="I67" s="88"/>
    </row>
    <row r="68" spans="1:9" ht="13">
      <c r="A68" s="51" t="s">
        <v>10059</v>
      </c>
      <c r="B68" s="61" t="s">
        <v>9665</v>
      </c>
      <c r="C68" s="51" t="s">
        <v>195</v>
      </c>
      <c r="D68" s="54"/>
      <c r="E68" s="86"/>
      <c r="F68" s="86"/>
      <c r="G68" s="87"/>
      <c r="H68" s="88"/>
      <c r="I68" s="88"/>
    </row>
    <row r="69" spans="1:9" ht="13">
      <c r="A69" s="51" t="s">
        <v>10060</v>
      </c>
      <c r="B69" s="60" t="s">
        <v>10047</v>
      </c>
      <c r="C69" s="51" t="s">
        <v>1013</v>
      </c>
      <c r="D69" s="54"/>
      <c r="E69" s="86"/>
      <c r="F69" s="87"/>
      <c r="G69" s="87"/>
      <c r="H69" s="88"/>
      <c r="I69" s="88"/>
    </row>
    <row r="70" spans="1:9" ht="13">
      <c r="A70" s="51" t="s">
        <v>10061</v>
      </c>
      <c r="B70" s="60" t="s">
        <v>9577</v>
      </c>
      <c r="C70" s="51" t="s">
        <v>1013</v>
      </c>
      <c r="D70" s="54"/>
      <c r="E70" s="86"/>
      <c r="F70" s="87"/>
      <c r="G70" s="87"/>
      <c r="H70" s="88"/>
      <c r="I70" s="88"/>
    </row>
    <row r="71" spans="1:9" ht="13">
      <c r="A71" s="51" t="s">
        <v>10062</v>
      </c>
      <c r="B71" s="60" t="s">
        <v>9896</v>
      </c>
      <c r="C71" s="51" t="s">
        <v>1013</v>
      </c>
      <c r="D71" s="54"/>
      <c r="E71" s="86"/>
      <c r="F71" s="86"/>
      <c r="G71" s="87"/>
      <c r="H71" s="88"/>
      <c r="I71" s="88"/>
    </row>
    <row r="72" spans="1:9" ht="13">
      <c r="A72" s="51" t="s">
        <v>10063</v>
      </c>
      <c r="B72" s="60" t="s">
        <v>10051</v>
      </c>
      <c r="C72" s="51" t="s">
        <v>1013</v>
      </c>
      <c r="D72" s="54"/>
      <c r="E72" s="86"/>
      <c r="F72" s="87"/>
      <c r="G72" s="87"/>
      <c r="H72" s="88"/>
      <c r="I72" s="88"/>
    </row>
    <row r="73" spans="1:9" ht="13">
      <c r="A73" s="51" t="s">
        <v>10064</v>
      </c>
      <c r="B73" s="60" t="s">
        <v>9589</v>
      </c>
      <c r="C73" s="51" t="s">
        <v>1013</v>
      </c>
      <c r="D73" s="54"/>
      <c r="E73" s="86"/>
      <c r="F73" s="87"/>
      <c r="G73" s="87"/>
      <c r="H73" s="88"/>
      <c r="I73" s="88"/>
    </row>
    <row r="74" spans="1:9" ht="13">
      <c r="A74" s="51" t="s">
        <v>10065</v>
      </c>
      <c r="B74" s="60" t="s">
        <v>9090</v>
      </c>
      <c r="C74" s="51" t="s">
        <v>1013</v>
      </c>
      <c r="D74" s="54"/>
      <c r="E74" s="86"/>
      <c r="F74" s="87"/>
      <c r="G74" s="87"/>
      <c r="H74" s="88"/>
      <c r="I74" s="88"/>
    </row>
    <row r="75" spans="1:9" ht="13">
      <c r="A75" s="51" t="s">
        <v>10066</v>
      </c>
      <c r="B75" s="60" t="s">
        <v>9595</v>
      </c>
      <c r="C75" s="51" t="s">
        <v>1013</v>
      </c>
      <c r="D75" s="54"/>
      <c r="E75" s="86"/>
      <c r="F75" s="86"/>
      <c r="G75" s="87"/>
      <c r="H75" s="88"/>
      <c r="I75" s="88"/>
    </row>
    <row r="76" spans="1:9" ht="13">
      <c r="A76" s="51" t="s">
        <v>10067</v>
      </c>
      <c r="B76" s="60" t="s">
        <v>4500</v>
      </c>
      <c r="C76" s="51" t="s">
        <v>1013</v>
      </c>
      <c r="D76" s="54"/>
      <c r="E76" s="86"/>
      <c r="F76" s="87"/>
      <c r="G76" s="87"/>
      <c r="H76" s="88"/>
      <c r="I76" s="88"/>
    </row>
    <row r="77" spans="1:9" ht="13">
      <c r="A77" s="51" t="s">
        <v>10068</v>
      </c>
      <c r="B77" s="61" t="s">
        <v>9667</v>
      </c>
      <c r="C77" s="51" t="s">
        <v>195</v>
      </c>
      <c r="D77" s="51"/>
      <c r="E77" s="86"/>
      <c r="F77" s="87"/>
      <c r="G77" s="87"/>
      <c r="H77" s="88"/>
      <c r="I77" s="88"/>
    </row>
    <row r="78" spans="1:9" ht="13">
      <c r="A78" s="51"/>
      <c r="C78" s="51"/>
      <c r="D78" s="51"/>
      <c r="E78" s="86"/>
      <c r="F78" s="87"/>
      <c r="G78" s="87"/>
      <c r="H78" s="88"/>
      <c r="I78" s="88"/>
    </row>
    <row r="79" spans="1:9" ht="13">
      <c r="A79" s="44" t="s">
        <v>8410</v>
      </c>
      <c r="C79" s="51"/>
      <c r="D79" s="51"/>
      <c r="E79" s="86"/>
      <c r="F79" s="86"/>
      <c r="G79" s="87"/>
      <c r="H79" s="88"/>
      <c r="I79" s="88"/>
    </row>
    <row r="80" spans="1:9" ht="13">
      <c r="A80" s="51" t="s">
        <v>10069</v>
      </c>
      <c r="B80" s="60" t="s">
        <v>6205</v>
      </c>
      <c r="C80" s="51" t="s">
        <v>205</v>
      </c>
      <c r="D80" s="54"/>
      <c r="E80" s="86"/>
      <c r="F80" s="86"/>
      <c r="G80" s="87"/>
      <c r="H80" s="88"/>
      <c r="I80" s="88"/>
    </row>
    <row r="81" spans="1:9" ht="13">
      <c r="A81" s="51" t="s">
        <v>10070</v>
      </c>
      <c r="B81" s="60" t="s">
        <v>6465</v>
      </c>
      <c r="C81" s="51" t="s">
        <v>205</v>
      </c>
      <c r="D81" s="54"/>
      <c r="E81" s="86"/>
      <c r="F81" s="87"/>
      <c r="G81" s="87"/>
      <c r="H81" s="88"/>
      <c r="I81" s="88"/>
    </row>
    <row r="82" spans="1:9" ht="13">
      <c r="A82" s="51" t="s">
        <v>10071</v>
      </c>
      <c r="B82" s="60" t="s">
        <v>6252</v>
      </c>
      <c r="C82" s="51" t="s">
        <v>205</v>
      </c>
      <c r="D82" s="54"/>
      <c r="E82" s="86"/>
      <c r="F82" s="86"/>
      <c r="G82" s="87"/>
      <c r="H82" s="88"/>
      <c r="I82" s="88"/>
    </row>
    <row r="83" spans="1:9" ht="13">
      <c r="A83" s="51" t="s">
        <v>10072</v>
      </c>
      <c r="B83" s="60" t="s">
        <v>8544</v>
      </c>
      <c r="C83" s="51" t="s">
        <v>205</v>
      </c>
      <c r="D83" s="54"/>
      <c r="E83" s="86"/>
      <c r="F83" s="86"/>
      <c r="G83" s="87"/>
      <c r="H83" s="88"/>
      <c r="I83" s="88"/>
    </row>
    <row r="84" spans="1:9" ht="13">
      <c r="A84" s="51" t="s">
        <v>10073</v>
      </c>
      <c r="B84" s="60" t="s">
        <v>8887</v>
      </c>
      <c r="C84" s="51" t="s">
        <v>205</v>
      </c>
      <c r="D84" s="54"/>
      <c r="E84" s="86"/>
      <c r="F84" s="87"/>
      <c r="G84" s="87"/>
      <c r="H84" s="88"/>
      <c r="I84" s="88"/>
    </row>
    <row r="85" spans="1:9" ht="13">
      <c r="A85" s="51" t="s">
        <v>10074</v>
      </c>
      <c r="B85" s="60" t="s">
        <v>8890</v>
      </c>
      <c r="C85" s="51" t="s">
        <v>205</v>
      </c>
      <c r="D85" s="54"/>
      <c r="E85" s="86"/>
      <c r="F85" s="87"/>
      <c r="G85" s="87"/>
      <c r="H85" s="88"/>
      <c r="I85" s="88"/>
    </row>
    <row r="86" spans="1:9" ht="13">
      <c r="A86" s="51" t="s">
        <v>10075</v>
      </c>
      <c r="B86" s="60" t="s">
        <v>8893</v>
      </c>
      <c r="C86" s="51" t="s">
        <v>205</v>
      </c>
      <c r="D86" s="54"/>
      <c r="E86" s="86"/>
      <c r="F86" s="87"/>
      <c r="G86" s="87"/>
      <c r="H86" s="88"/>
      <c r="I86" s="88"/>
    </row>
    <row r="87" spans="1:9" ht="13">
      <c r="A87" s="51" t="s">
        <v>10076</v>
      </c>
      <c r="B87" s="60" t="s">
        <v>8896</v>
      </c>
      <c r="C87" s="51" t="s">
        <v>205</v>
      </c>
      <c r="D87" s="54"/>
      <c r="E87" s="86"/>
      <c r="F87" s="89"/>
      <c r="G87" s="87"/>
      <c r="H87" s="88"/>
      <c r="I87" s="88"/>
    </row>
    <row r="88" spans="1:9" ht="13">
      <c r="A88" s="51" t="s">
        <v>10077</v>
      </c>
      <c r="B88" s="60" t="s">
        <v>8898</v>
      </c>
      <c r="C88" s="51" t="s">
        <v>205</v>
      </c>
      <c r="D88" s="54"/>
      <c r="E88" s="86"/>
      <c r="F88" s="87"/>
      <c r="G88" s="87"/>
      <c r="H88" s="88"/>
      <c r="I88" s="88"/>
    </row>
    <row r="89" spans="1:9" ht="13">
      <c r="A89" s="51" t="s">
        <v>10078</v>
      </c>
      <c r="B89" s="60" t="s">
        <v>8558</v>
      </c>
      <c r="C89" s="51" t="s">
        <v>205</v>
      </c>
      <c r="D89" s="54"/>
      <c r="E89" s="86"/>
      <c r="F89" s="86"/>
      <c r="G89" s="87"/>
      <c r="H89" s="88"/>
      <c r="I89" s="88"/>
    </row>
    <row r="90" spans="1:9" ht="13">
      <c r="A90" s="51" t="s">
        <v>10079</v>
      </c>
      <c r="B90" s="60" t="s">
        <v>8614</v>
      </c>
      <c r="C90" s="51" t="s">
        <v>205</v>
      </c>
      <c r="D90" s="54"/>
      <c r="E90" s="86"/>
      <c r="F90" s="87"/>
      <c r="G90" s="87"/>
      <c r="H90" s="88"/>
      <c r="I90" s="88"/>
    </row>
    <row r="91" spans="1:9" ht="13">
      <c r="A91" s="51" t="s">
        <v>10080</v>
      </c>
      <c r="B91" s="60" t="s">
        <v>9158</v>
      </c>
      <c r="C91" s="51" t="s">
        <v>205</v>
      </c>
      <c r="D91" s="54"/>
      <c r="E91" s="86"/>
      <c r="F91" s="87"/>
      <c r="G91" s="87"/>
      <c r="H91" s="88"/>
      <c r="I91" s="88"/>
    </row>
    <row r="92" spans="1:9" ht="13">
      <c r="A92" s="51" t="s">
        <v>10081</v>
      </c>
      <c r="B92" s="60" t="s">
        <v>8832</v>
      </c>
      <c r="C92" s="51" t="s">
        <v>205</v>
      </c>
      <c r="D92" s="54"/>
      <c r="E92" s="86"/>
      <c r="F92" s="86"/>
      <c r="G92" s="87"/>
      <c r="H92" s="88"/>
      <c r="I92" s="88"/>
    </row>
    <row r="93" spans="1:9" ht="13">
      <c r="A93" s="51" t="s">
        <v>10082</v>
      </c>
      <c r="B93" s="60" t="s">
        <v>9162</v>
      </c>
      <c r="C93" s="51" t="s">
        <v>205</v>
      </c>
      <c r="D93" s="54"/>
      <c r="E93" s="86"/>
      <c r="F93" s="86"/>
      <c r="G93" s="87"/>
      <c r="H93" s="88"/>
      <c r="I93" s="88"/>
    </row>
    <row r="94" spans="1:9" ht="13">
      <c r="A94" s="51" t="s">
        <v>10083</v>
      </c>
      <c r="B94" s="60" t="s">
        <v>8546</v>
      </c>
      <c r="C94" s="51" t="s">
        <v>199</v>
      </c>
      <c r="D94" s="54"/>
      <c r="E94" s="86"/>
      <c r="F94" s="87"/>
      <c r="G94" s="87"/>
      <c r="H94" s="88"/>
      <c r="I94" s="88"/>
    </row>
    <row r="95" spans="1:9" ht="13">
      <c r="A95" s="51" t="s">
        <v>10084</v>
      </c>
      <c r="B95" s="60" t="s">
        <v>8912</v>
      </c>
      <c r="C95" s="51" t="s">
        <v>199</v>
      </c>
      <c r="D95" s="54"/>
      <c r="E95" s="86"/>
      <c r="F95" s="86"/>
      <c r="G95" s="87"/>
      <c r="H95" s="88"/>
      <c r="I95" s="88"/>
    </row>
    <row r="96" spans="1:9" ht="13">
      <c r="A96" s="51" t="s">
        <v>10085</v>
      </c>
      <c r="B96" s="60" t="s">
        <v>8720</v>
      </c>
      <c r="C96" s="51" t="s">
        <v>199</v>
      </c>
      <c r="D96" s="54"/>
      <c r="E96" s="86"/>
      <c r="F96" s="87"/>
      <c r="G96" s="87"/>
      <c r="H96" s="88"/>
      <c r="I96" s="88"/>
    </row>
    <row r="97" spans="1:9" ht="13">
      <c r="A97" s="51" t="s">
        <v>10086</v>
      </c>
      <c r="B97" s="60" t="s">
        <v>8918</v>
      </c>
      <c r="C97" s="51" t="s">
        <v>199</v>
      </c>
      <c r="D97" s="54"/>
      <c r="E97" s="86"/>
      <c r="F97" s="87"/>
      <c r="G97" s="87"/>
      <c r="H97" s="88"/>
      <c r="I97" s="88"/>
    </row>
    <row r="98" spans="1:9" ht="13">
      <c r="A98" s="51" t="s">
        <v>10087</v>
      </c>
      <c r="B98" s="60" t="s">
        <v>8618</v>
      </c>
      <c r="C98" s="51" t="s">
        <v>199</v>
      </c>
      <c r="D98" s="54"/>
      <c r="E98" s="86"/>
      <c r="F98" s="87"/>
      <c r="G98" s="87"/>
      <c r="H98" s="88"/>
      <c r="I98" s="88"/>
    </row>
    <row r="99" spans="1:9" ht="13">
      <c r="A99" s="51" t="s">
        <v>10088</v>
      </c>
      <c r="B99" s="60" t="s">
        <v>9177</v>
      </c>
      <c r="C99" s="51" t="s">
        <v>208</v>
      </c>
      <c r="D99" s="54"/>
      <c r="E99" s="86"/>
      <c r="F99" s="86"/>
      <c r="G99" s="87"/>
      <c r="H99" s="88"/>
      <c r="I99" s="88"/>
    </row>
    <row r="100" spans="1:9" ht="13">
      <c r="A100" s="51" t="s">
        <v>10089</v>
      </c>
      <c r="B100" s="60" t="s">
        <v>8664</v>
      </c>
      <c r="C100" s="51" t="s">
        <v>208</v>
      </c>
      <c r="D100" s="54"/>
      <c r="E100" s="86"/>
      <c r="F100" s="87"/>
      <c r="G100" s="87"/>
      <c r="H100" s="88"/>
      <c r="I100" s="88"/>
    </row>
    <row r="101" spans="1:9" ht="13">
      <c r="A101" s="51" t="s">
        <v>10090</v>
      </c>
      <c r="B101" s="60" t="s">
        <v>237</v>
      </c>
      <c r="C101" s="51" t="s">
        <v>208</v>
      </c>
      <c r="D101" s="54"/>
      <c r="E101" s="86"/>
      <c r="F101" s="87"/>
      <c r="G101" s="87"/>
      <c r="H101" s="88"/>
      <c r="I101" s="88"/>
    </row>
    <row r="102" spans="1:9" ht="13">
      <c r="A102" s="51" t="s">
        <v>10091</v>
      </c>
      <c r="B102" s="60" t="s">
        <v>9188</v>
      </c>
      <c r="C102" s="51" t="s">
        <v>208</v>
      </c>
      <c r="D102" s="54"/>
      <c r="E102" s="87"/>
      <c r="F102" s="86"/>
      <c r="G102" s="87"/>
      <c r="H102" s="88"/>
      <c r="I102" s="88"/>
    </row>
    <row r="103" spans="1:9" ht="13">
      <c r="A103" s="51" t="s">
        <v>10092</v>
      </c>
      <c r="B103" s="60" t="s">
        <v>9190</v>
      </c>
      <c r="C103" s="51" t="s">
        <v>208</v>
      </c>
      <c r="D103" s="54"/>
      <c r="E103" s="86"/>
      <c r="F103" s="87"/>
      <c r="G103" s="87"/>
      <c r="H103" s="88"/>
      <c r="I103" s="88"/>
    </row>
    <row r="104" spans="1:9" ht="13">
      <c r="A104" s="51" t="s">
        <v>10093</v>
      </c>
      <c r="B104" s="60" t="s">
        <v>8548</v>
      </c>
      <c r="C104" s="51" t="s">
        <v>208</v>
      </c>
      <c r="D104" s="54"/>
      <c r="E104" s="86"/>
      <c r="F104" s="87"/>
      <c r="G104" s="87"/>
      <c r="H104" s="88"/>
      <c r="I104" s="88"/>
    </row>
    <row r="105" spans="1:9" ht="13">
      <c r="A105" s="51" t="s">
        <v>10094</v>
      </c>
      <c r="B105" s="60" t="s">
        <v>8938</v>
      </c>
      <c r="C105" s="51" t="s">
        <v>208</v>
      </c>
      <c r="D105" s="54"/>
      <c r="E105" s="86"/>
      <c r="F105" s="87"/>
      <c r="G105" s="87"/>
      <c r="H105" s="88"/>
      <c r="I105" s="88"/>
    </row>
    <row r="106" spans="1:9" ht="13">
      <c r="A106" s="51" t="s">
        <v>10095</v>
      </c>
      <c r="B106" s="60" t="s">
        <v>8722</v>
      </c>
      <c r="C106" s="51" t="s">
        <v>208</v>
      </c>
      <c r="D106" s="54"/>
      <c r="E106" s="86"/>
      <c r="F106" s="86"/>
      <c r="G106" s="87"/>
      <c r="H106" s="88"/>
      <c r="I106" s="88"/>
    </row>
    <row r="107" spans="1:9" ht="13">
      <c r="A107" s="51" t="s">
        <v>10096</v>
      </c>
      <c r="B107" s="60" t="s">
        <v>8943</v>
      </c>
      <c r="C107" s="51" t="s">
        <v>208</v>
      </c>
      <c r="D107" s="54"/>
      <c r="E107" s="86"/>
      <c r="F107" s="87"/>
      <c r="G107" s="87"/>
      <c r="H107" s="88"/>
      <c r="I107" s="88"/>
    </row>
    <row r="108" spans="1:9" ht="13">
      <c r="A108" s="51" t="s">
        <v>10097</v>
      </c>
      <c r="B108" s="60" t="s">
        <v>8616</v>
      </c>
      <c r="C108" s="51" t="s">
        <v>208</v>
      </c>
      <c r="D108" s="54"/>
      <c r="E108" s="86"/>
      <c r="F108" s="87"/>
      <c r="G108" s="87"/>
      <c r="H108" s="88"/>
      <c r="I108" s="88"/>
    </row>
    <row r="109" spans="1:9" ht="13">
      <c r="A109" s="51" t="s">
        <v>10098</v>
      </c>
      <c r="B109" s="60" t="s">
        <v>8946</v>
      </c>
      <c r="C109" s="51" t="s">
        <v>208</v>
      </c>
      <c r="D109" s="54"/>
      <c r="E109" s="86"/>
      <c r="F109" s="87"/>
      <c r="G109" s="87"/>
      <c r="H109" s="88"/>
      <c r="I109" s="88"/>
    </row>
    <row r="110" spans="1:9" ht="13">
      <c r="A110" s="51" t="s">
        <v>10099</v>
      </c>
      <c r="B110" s="60" t="s">
        <v>8685</v>
      </c>
      <c r="C110" s="51" t="s">
        <v>208</v>
      </c>
      <c r="D110" s="54"/>
      <c r="E110" s="86"/>
      <c r="F110" s="87"/>
      <c r="G110" s="87"/>
      <c r="H110" s="88"/>
      <c r="I110" s="88"/>
    </row>
    <row r="111" spans="1:9" ht="13">
      <c r="A111" s="51" t="s">
        <v>10100</v>
      </c>
      <c r="B111" s="60" t="s">
        <v>9196</v>
      </c>
      <c r="C111" s="51" t="s">
        <v>208</v>
      </c>
      <c r="D111" s="54"/>
      <c r="E111" s="86"/>
      <c r="F111" s="86"/>
      <c r="G111" s="87"/>
      <c r="H111" s="88"/>
      <c r="I111" s="88"/>
    </row>
    <row r="112" spans="1:9" ht="13">
      <c r="A112" s="51" t="s">
        <v>10101</v>
      </c>
      <c r="B112" s="60" t="s">
        <v>8948</v>
      </c>
      <c r="C112" s="51" t="s">
        <v>208</v>
      </c>
      <c r="D112" s="54"/>
      <c r="E112" s="86"/>
      <c r="F112" s="89"/>
      <c r="G112" s="87"/>
      <c r="H112" s="88"/>
      <c r="I112" s="88"/>
    </row>
    <row r="113" spans="1:9" ht="13">
      <c r="A113" s="51" t="s">
        <v>10102</v>
      </c>
      <c r="B113" s="60" t="s">
        <v>8950</v>
      </c>
      <c r="C113" s="51" t="s">
        <v>208</v>
      </c>
      <c r="D113" s="54"/>
      <c r="E113" s="86"/>
      <c r="F113" s="89"/>
      <c r="G113" s="87"/>
      <c r="H113" s="88"/>
      <c r="I113" s="88"/>
    </row>
    <row r="114" spans="1:9" ht="13">
      <c r="A114" s="51" t="s">
        <v>10103</v>
      </c>
      <c r="B114" s="60" t="s">
        <v>8743</v>
      </c>
      <c r="C114" s="51" t="s">
        <v>208</v>
      </c>
      <c r="D114" s="54"/>
      <c r="E114" s="86"/>
      <c r="F114" s="86"/>
      <c r="G114" s="87"/>
      <c r="H114" s="88"/>
      <c r="I114" s="88"/>
    </row>
    <row r="115" spans="1:9" ht="13">
      <c r="A115" s="51" t="s">
        <v>10104</v>
      </c>
      <c r="B115" s="60" t="s">
        <v>9455</v>
      </c>
      <c r="C115" s="51" t="s">
        <v>208</v>
      </c>
      <c r="D115" s="54"/>
      <c r="E115" s="86"/>
      <c r="F115" s="86"/>
      <c r="G115" s="87"/>
      <c r="H115" s="88"/>
      <c r="I115" s="88"/>
    </row>
    <row r="116" spans="1:9" ht="13">
      <c r="A116" s="51" t="s">
        <v>10105</v>
      </c>
      <c r="B116" s="60" t="s">
        <v>9457</v>
      </c>
      <c r="C116" s="51" t="s">
        <v>208</v>
      </c>
      <c r="D116" s="54"/>
      <c r="E116" s="87"/>
      <c r="F116" s="87"/>
      <c r="G116" s="87"/>
      <c r="H116" s="88"/>
      <c r="I116" s="88"/>
    </row>
    <row r="117" spans="1:9" ht="13">
      <c r="A117" s="51" t="s">
        <v>10106</v>
      </c>
      <c r="B117" s="60" t="s">
        <v>3338</v>
      </c>
      <c r="C117" s="51" t="s">
        <v>192</v>
      </c>
      <c r="D117" s="54"/>
      <c r="E117" s="86"/>
      <c r="F117" s="86"/>
      <c r="G117" s="87"/>
      <c r="H117" s="88"/>
      <c r="I117" s="88"/>
    </row>
    <row r="118" spans="1:9" ht="13">
      <c r="A118" s="51" t="s">
        <v>10107</v>
      </c>
      <c r="B118" s="60" t="s">
        <v>8960</v>
      </c>
      <c r="C118" s="51" t="s">
        <v>192</v>
      </c>
      <c r="D118" s="54"/>
      <c r="E118" s="86"/>
      <c r="F118" s="87"/>
      <c r="G118" s="87"/>
      <c r="H118" s="88"/>
      <c r="I118" s="88"/>
    </row>
    <row r="119" spans="1:9" ht="13">
      <c r="A119" s="51" t="s">
        <v>10108</v>
      </c>
      <c r="B119" s="60" t="s">
        <v>8963</v>
      </c>
      <c r="C119" s="51" t="s">
        <v>192</v>
      </c>
      <c r="D119" s="54"/>
      <c r="E119" s="86"/>
      <c r="F119" s="87"/>
      <c r="G119" s="87"/>
      <c r="H119" s="88"/>
      <c r="I119" s="88"/>
    </row>
    <row r="120" spans="1:9" ht="13">
      <c r="A120" s="51" t="s">
        <v>10109</v>
      </c>
      <c r="B120" s="60" t="s">
        <v>9212</v>
      </c>
      <c r="C120" s="51" t="s">
        <v>192</v>
      </c>
      <c r="D120" s="54"/>
      <c r="E120" s="86"/>
      <c r="F120" s="87"/>
      <c r="G120" s="87"/>
      <c r="H120" s="88"/>
      <c r="I120" s="88"/>
    </row>
    <row r="121" spans="1:9" ht="13">
      <c r="A121" s="51" t="s">
        <v>10110</v>
      </c>
      <c r="B121" s="60" t="s">
        <v>9214</v>
      </c>
      <c r="C121" s="51" t="s">
        <v>192</v>
      </c>
      <c r="D121" s="54"/>
      <c r="E121" s="86"/>
      <c r="F121" s="87"/>
      <c r="G121" s="87"/>
      <c r="H121" s="88"/>
      <c r="I121" s="88"/>
    </row>
    <row r="122" spans="1:9" ht="13">
      <c r="A122" s="51" t="s">
        <v>10111</v>
      </c>
      <c r="B122" s="60" t="s">
        <v>8966</v>
      </c>
      <c r="C122" s="51" t="s">
        <v>192</v>
      </c>
      <c r="D122" s="54"/>
      <c r="E122" s="86"/>
      <c r="F122" s="87"/>
      <c r="G122" s="87"/>
      <c r="H122" s="88"/>
      <c r="I122" s="88"/>
    </row>
    <row r="123" spans="1:9" ht="13">
      <c r="A123" s="51" t="s">
        <v>10112</v>
      </c>
      <c r="B123" s="60" t="s">
        <v>8562</v>
      </c>
      <c r="C123" s="51" t="s">
        <v>192</v>
      </c>
      <c r="D123" s="54"/>
      <c r="E123" s="86"/>
      <c r="F123" s="86"/>
      <c r="G123" s="87"/>
      <c r="H123" s="88"/>
      <c r="I123" s="88"/>
    </row>
    <row r="124" spans="1:9" ht="13">
      <c r="A124" s="51" t="s">
        <v>10113</v>
      </c>
      <c r="B124" s="60" t="s">
        <v>9470</v>
      </c>
      <c r="C124" s="51" t="s">
        <v>192</v>
      </c>
      <c r="D124" s="54"/>
      <c r="E124" s="86"/>
      <c r="F124" s="87"/>
      <c r="G124" s="87"/>
      <c r="H124" s="88"/>
      <c r="I124" s="88"/>
    </row>
    <row r="125" spans="1:9" ht="13">
      <c r="A125" s="51" t="s">
        <v>10114</v>
      </c>
      <c r="B125" s="60" t="s">
        <v>8599</v>
      </c>
      <c r="C125" s="51" t="s">
        <v>192</v>
      </c>
      <c r="D125" s="54"/>
      <c r="E125" s="86"/>
      <c r="F125" s="86"/>
      <c r="G125" s="87"/>
      <c r="H125" s="88"/>
      <c r="I125" s="88"/>
    </row>
    <row r="126" spans="1:9" ht="13">
      <c r="A126" s="51" t="s">
        <v>10115</v>
      </c>
      <c r="B126" s="60" t="s">
        <v>8564</v>
      </c>
      <c r="C126" s="51" t="s">
        <v>195</v>
      </c>
      <c r="D126" s="54"/>
      <c r="E126" s="86"/>
      <c r="F126" s="87"/>
      <c r="G126" s="87"/>
      <c r="H126" s="88"/>
      <c r="I126" s="88"/>
    </row>
    <row r="127" spans="1:9" ht="13">
      <c r="A127" s="51" t="s">
        <v>10116</v>
      </c>
      <c r="B127" s="60" t="s">
        <v>8972</v>
      </c>
      <c r="C127" s="51" t="s">
        <v>195</v>
      </c>
      <c r="D127" s="54"/>
      <c r="E127" s="86"/>
      <c r="F127" s="87"/>
      <c r="G127" s="87"/>
      <c r="H127" s="88"/>
      <c r="I127" s="88"/>
    </row>
    <row r="128" spans="1:9" ht="13">
      <c r="A128" s="51" t="s">
        <v>10117</v>
      </c>
      <c r="B128" s="60" t="s">
        <v>9224</v>
      </c>
      <c r="C128" s="51" t="s">
        <v>195</v>
      </c>
      <c r="D128" s="54"/>
      <c r="E128" s="86"/>
      <c r="F128" s="86"/>
      <c r="G128" s="87"/>
      <c r="H128" s="88"/>
      <c r="I128" s="88"/>
    </row>
    <row r="129" spans="1:9" ht="13">
      <c r="A129" s="51" t="s">
        <v>10118</v>
      </c>
      <c r="B129" s="60" t="s">
        <v>9226</v>
      </c>
      <c r="C129" s="51" t="s">
        <v>195</v>
      </c>
      <c r="D129" s="54"/>
      <c r="E129" s="86"/>
      <c r="F129" s="86"/>
      <c r="G129" s="87"/>
      <c r="H129" s="88"/>
      <c r="I129" s="88"/>
    </row>
    <row r="130" spans="1:9" ht="13">
      <c r="A130" s="51" t="s">
        <v>10119</v>
      </c>
      <c r="B130" s="60" t="s">
        <v>5120</v>
      </c>
      <c r="C130" s="51" t="s">
        <v>195</v>
      </c>
      <c r="D130" s="54"/>
      <c r="E130" s="86"/>
      <c r="F130" s="87"/>
      <c r="G130" s="87"/>
      <c r="H130" s="88"/>
      <c r="I130" s="88"/>
    </row>
    <row r="131" spans="1:9" ht="13">
      <c r="A131" s="51" t="s">
        <v>10120</v>
      </c>
      <c r="B131" s="60" t="s">
        <v>8980</v>
      </c>
      <c r="C131" s="51" t="s">
        <v>195</v>
      </c>
      <c r="D131" s="54"/>
      <c r="E131" s="86"/>
      <c r="F131" s="87"/>
      <c r="G131" s="87"/>
      <c r="H131" s="88"/>
      <c r="I131" s="88"/>
    </row>
    <row r="132" spans="1:9" ht="13">
      <c r="A132" s="51" t="s">
        <v>10121</v>
      </c>
      <c r="B132" s="60" t="s">
        <v>8667</v>
      </c>
      <c r="C132" s="51" t="s">
        <v>195</v>
      </c>
      <c r="D132" s="54"/>
      <c r="E132" s="86"/>
      <c r="F132" s="86"/>
      <c r="G132" s="87"/>
      <c r="H132" s="88"/>
      <c r="I132" s="88"/>
    </row>
    <row r="133" spans="1:9" ht="13">
      <c r="A133" s="51" t="s">
        <v>10122</v>
      </c>
      <c r="B133" s="60" t="s">
        <v>8604</v>
      </c>
      <c r="C133" s="51" t="s">
        <v>195</v>
      </c>
      <c r="D133" s="54"/>
      <c r="E133" s="86"/>
      <c r="F133" s="87"/>
      <c r="G133" s="87"/>
      <c r="H133" s="88"/>
      <c r="I133" s="88"/>
    </row>
    <row r="134" spans="1:9" ht="13">
      <c r="A134" s="51" t="s">
        <v>10123</v>
      </c>
      <c r="B134" s="60" t="s">
        <v>9232</v>
      </c>
      <c r="C134" s="51" t="s">
        <v>195</v>
      </c>
      <c r="D134" s="54"/>
      <c r="E134" s="86"/>
      <c r="F134" s="87"/>
      <c r="G134" s="87"/>
      <c r="H134" s="88"/>
      <c r="I134" s="88"/>
    </row>
    <row r="135" spans="1:9" ht="13">
      <c r="A135" s="51" t="s">
        <v>10124</v>
      </c>
      <c r="B135" s="60" t="s">
        <v>10125</v>
      </c>
      <c r="C135" s="51" t="s">
        <v>195</v>
      </c>
      <c r="D135" s="54"/>
      <c r="E135" s="86"/>
      <c r="F135" s="86"/>
      <c r="G135" s="87"/>
      <c r="H135" s="88"/>
      <c r="I135" s="88"/>
    </row>
    <row r="136" spans="1:9" ht="13">
      <c r="A136" s="51" t="s">
        <v>10126</v>
      </c>
      <c r="B136" s="60" t="s">
        <v>9236</v>
      </c>
      <c r="C136" s="51" t="s">
        <v>195</v>
      </c>
      <c r="D136" s="54"/>
      <c r="E136" s="86"/>
      <c r="F136" s="86"/>
      <c r="G136" s="87"/>
      <c r="H136" s="88"/>
      <c r="I136" s="88"/>
    </row>
    <row r="137" spans="1:9" ht="13">
      <c r="A137" s="51" t="s">
        <v>10127</v>
      </c>
      <c r="B137" s="60" t="s">
        <v>8635</v>
      </c>
      <c r="C137" s="51" t="s">
        <v>195</v>
      </c>
      <c r="D137" s="54"/>
      <c r="E137" s="86"/>
      <c r="F137" s="87"/>
      <c r="G137" s="87"/>
      <c r="H137" s="88"/>
      <c r="I137" s="88"/>
    </row>
    <row r="138" spans="1:9" ht="13">
      <c r="A138" s="51" t="s">
        <v>10128</v>
      </c>
      <c r="B138" s="60" t="s">
        <v>9239</v>
      </c>
      <c r="C138" s="51" t="s">
        <v>195</v>
      </c>
      <c r="D138" s="54"/>
      <c r="E138" s="86"/>
      <c r="F138" s="87"/>
      <c r="G138" s="87"/>
      <c r="H138" s="88"/>
      <c r="I138" s="88"/>
    </row>
    <row r="139" spans="1:9" ht="13">
      <c r="A139" s="51" t="s">
        <v>10129</v>
      </c>
      <c r="B139" s="60" t="s">
        <v>9241</v>
      </c>
      <c r="C139" s="51" t="s">
        <v>195</v>
      </c>
      <c r="D139" s="54"/>
      <c r="E139" s="86"/>
      <c r="F139" s="86"/>
      <c r="G139" s="87"/>
      <c r="H139" s="88"/>
      <c r="I139" s="88"/>
    </row>
    <row r="140" spans="1:9" ht="13">
      <c r="A140" s="51" t="s">
        <v>10130</v>
      </c>
      <c r="B140" s="60" t="s">
        <v>9243</v>
      </c>
      <c r="C140" s="51" t="s">
        <v>195</v>
      </c>
      <c r="D140" s="54"/>
      <c r="E140" s="86"/>
      <c r="F140" s="87"/>
      <c r="G140" s="87"/>
      <c r="H140" s="88"/>
      <c r="I140" s="88"/>
    </row>
    <row r="141" spans="1:9" ht="13">
      <c r="A141" s="51" t="s">
        <v>10131</v>
      </c>
      <c r="B141" s="60" t="s">
        <v>8750</v>
      </c>
      <c r="C141" s="51" t="s">
        <v>195</v>
      </c>
      <c r="D141" s="54"/>
      <c r="E141" s="86"/>
      <c r="F141" s="86"/>
      <c r="G141" s="87"/>
      <c r="H141" s="88"/>
      <c r="I141" s="88"/>
    </row>
    <row r="142" spans="1:9" ht="13">
      <c r="A142" s="51" t="s">
        <v>10132</v>
      </c>
      <c r="B142" s="60" t="s">
        <v>9248</v>
      </c>
      <c r="C142" s="51" t="s">
        <v>225</v>
      </c>
      <c r="D142" s="54"/>
      <c r="E142" s="86"/>
      <c r="F142" s="86"/>
      <c r="G142" s="87"/>
      <c r="H142" s="88"/>
      <c r="I142" s="88"/>
    </row>
    <row r="143" spans="1:9" ht="13">
      <c r="A143" s="51" t="s">
        <v>10133</v>
      </c>
      <c r="B143" s="60" t="s">
        <v>9506</v>
      </c>
      <c r="C143" s="51" t="s">
        <v>225</v>
      </c>
      <c r="D143" s="54"/>
      <c r="E143" s="86"/>
      <c r="F143" s="89"/>
      <c r="G143" s="87"/>
      <c r="H143" s="88"/>
      <c r="I143" s="88"/>
    </row>
    <row r="144" spans="1:9" ht="13">
      <c r="A144" s="51" t="s">
        <v>10134</v>
      </c>
      <c r="B144" s="60" t="s">
        <v>9257</v>
      </c>
      <c r="C144" s="51" t="s">
        <v>225</v>
      </c>
      <c r="D144" s="54"/>
      <c r="E144" s="89"/>
      <c r="F144" s="87"/>
      <c r="G144" s="87"/>
      <c r="H144" s="88"/>
      <c r="I144" s="88"/>
    </row>
    <row r="145" spans="1:9" ht="13">
      <c r="A145" s="51" t="s">
        <v>10135</v>
      </c>
      <c r="B145" s="60" t="s">
        <v>9259</v>
      </c>
      <c r="C145" s="51" t="s">
        <v>225</v>
      </c>
      <c r="D145" s="54"/>
      <c r="E145" s="86"/>
      <c r="F145" s="86"/>
      <c r="G145" s="87"/>
      <c r="H145" s="88"/>
      <c r="I145" s="88"/>
    </row>
    <row r="146" spans="1:9" ht="13">
      <c r="A146" s="51" t="s">
        <v>10136</v>
      </c>
      <c r="B146" s="60" t="s">
        <v>9263</v>
      </c>
      <c r="C146" s="51" t="s">
        <v>225</v>
      </c>
      <c r="D146" s="54"/>
      <c r="E146" s="86"/>
      <c r="F146" s="87"/>
      <c r="G146" s="87"/>
      <c r="H146" s="88"/>
      <c r="I146" s="88"/>
    </row>
    <row r="147" spans="1:9" ht="13">
      <c r="A147" s="51" t="s">
        <v>10137</v>
      </c>
      <c r="B147" s="60" t="s">
        <v>9265</v>
      </c>
      <c r="C147" s="51" t="s">
        <v>225</v>
      </c>
      <c r="D147" s="54"/>
      <c r="E147" s="89"/>
      <c r="F147" s="87"/>
      <c r="G147" s="87"/>
      <c r="H147" s="88"/>
      <c r="I147" s="88"/>
    </row>
    <row r="148" spans="1:9" ht="13">
      <c r="A148" s="51" t="s">
        <v>10138</v>
      </c>
      <c r="B148" s="60" t="s">
        <v>8627</v>
      </c>
      <c r="C148" s="51" t="s">
        <v>225</v>
      </c>
      <c r="D148" s="54"/>
      <c r="E148" s="86"/>
      <c r="F148" s="87"/>
      <c r="G148" s="87"/>
      <c r="H148" s="88"/>
      <c r="I148" s="88"/>
    </row>
    <row r="149" spans="1:9" ht="13">
      <c r="A149" s="51" t="s">
        <v>10139</v>
      </c>
      <c r="B149" s="60" t="s">
        <v>8999</v>
      </c>
      <c r="C149" s="51" t="s">
        <v>225</v>
      </c>
      <c r="D149" s="54"/>
      <c r="E149" s="86"/>
      <c r="F149" s="86"/>
      <c r="G149" s="87"/>
      <c r="H149" s="88"/>
      <c r="I149" s="88"/>
    </row>
    <row r="150" spans="1:9" ht="13">
      <c r="A150" s="51" t="s">
        <v>10140</v>
      </c>
      <c r="B150" s="60" t="s">
        <v>9002</v>
      </c>
      <c r="C150" s="51" t="s">
        <v>225</v>
      </c>
      <c r="D150" s="54"/>
      <c r="E150" s="86"/>
      <c r="F150" s="87"/>
      <c r="G150" s="87"/>
      <c r="H150" s="88"/>
      <c r="I150" s="88"/>
    </row>
    <row r="151" spans="1:9" ht="13">
      <c r="A151" s="51" t="s">
        <v>10141</v>
      </c>
      <c r="B151" s="60" t="s">
        <v>9005</v>
      </c>
      <c r="C151" s="51" t="s">
        <v>225</v>
      </c>
      <c r="D151" s="54"/>
      <c r="E151" s="86"/>
      <c r="F151" s="87"/>
      <c r="G151" s="87"/>
      <c r="H151" s="88"/>
      <c r="I151" s="88"/>
    </row>
    <row r="152" spans="1:9" ht="13">
      <c r="A152" s="51" t="s">
        <v>10142</v>
      </c>
      <c r="B152" s="60" t="s">
        <v>9008</v>
      </c>
      <c r="C152" s="51" t="s">
        <v>225</v>
      </c>
      <c r="D152" s="54"/>
      <c r="E152" s="86"/>
      <c r="F152" s="86"/>
      <c r="G152" s="87"/>
      <c r="H152" s="88"/>
      <c r="I152" s="88"/>
    </row>
    <row r="153" spans="1:9" ht="13">
      <c r="A153" s="51" t="s">
        <v>10143</v>
      </c>
      <c r="B153" s="60" t="s">
        <v>9269</v>
      </c>
      <c r="C153" s="51" t="s">
        <v>225</v>
      </c>
      <c r="D153" s="54"/>
      <c r="E153" s="86"/>
      <c r="F153" s="87"/>
      <c r="G153" s="87"/>
      <c r="H153" s="88"/>
      <c r="I153" s="88"/>
    </row>
    <row r="154" spans="1:9" ht="13">
      <c r="A154" s="51" t="s">
        <v>10144</v>
      </c>
      <c r="B154" s="60" t="s">
        <v>9010</v>
      </c>
      <c r="C154" s="51" t="s">
        <v>225</v>
      </c>
      <c r="D154" s="54"/>
      <c r="E154" s="86"/>
      <c r="F154" s="87"/>
      <c r="G154" s="87"/>
      <c r="H154" s="88"/>
      <c r="I154" s="88"/>
    </row>
    <row r="155" spans="1:9" ht="13">
      <c r="A155" s="51" t="s">
        <v>10145</v>
      </c>
      <c r="B155" s="60" t="s">
        <v>283</v>
      </c>
      <c r="C155" s="51" t="s">
        <v>808</v>
      </c>
      <c r="D155" s="54"/>
      <c r="E155" s="86"/>
      <c r="F155" s="86"/>
      <c r="G155" s="87"/>
      <c r="H155" s="88"/>
      <c r="I155" s="88"/>
    </row>
    <row r="156" spans="1:9" ht="13">
      <c r="A156" s="51" t="s">
        <v>10146</v>
      </c>
      <c r="B156" s="60" t="s">
        <v>9274</v>
      </c>
      <c r="C156" s="51" t="s">
        <v>808</v>
      </c>
      <c r="D156" s="54"/>
      <c r="E156" s="86"/>
      <c r="F156" s="87"/>
      <c r="G156" s="87"/>
      <c r="H156" s="88"/>
      <c r="I156" s="88"/>
    </row>
    <row r="157" spans="1:9" ht="13">
      <c r="A157" s="51" t="s">
        <v>10147</v>
      </c>
      <c r="B157" s="60" t="s">
        <v>9014</v>
      </c>
      <c r="C157" s="51" t="s">
        <v>808</v>
      </c>
      <c r="D157" s="54"/>
      <c r="E157" s="86"/>
      <c r="F157" s="86"/>
      <c r="G157" s="87"/>
      <c r="H157" s="88"/>
      <c r="I157" s="88"/>
    </row>
    <row r="158" spans="1:9" ht="13">
      <c r="A158" s="51" t="s">
        <v>10148</v>
      </c>
      <c r="B158" s="60" t="s">
        <v>9016</v>
      </c>
      <c r="C158" s="51" t="s">
        <v>808</v>
      </c>
      <c r="D158" s="54"/>
      <c r="E158" s="86"/>
      <c r="F158" s="86"/>
      <c r="G158" s="87"/>
      <c r="H158" s="88"/>
      <c r="I158" s="88"/>
    </row>
    <row r="159" spans="1:9" ht="13">
      <c r="A159" s="51" t="s">
        <v>10149</v>
      </c>
      <c r="B159" s="60" t="s">
        <v>8637</v>
      </c>
      <c r="C159" s="51" t="s">
        <v>808</v>
      </c>
      <c r="D159" s="54"/>
      <c r="E159" s="86"/>
      <c r="F159" s="89"/>
      <c r="G159" s="87"/>
      <c r="H159" s="88"/>
      <c r="I159" s="88"/>
    </row>
    <row r="160" spans="1:9" ht="13">
      <c r="A160" s="51" t="s">
        <v>10150</v>
      </c>
      <c r="B160" s="60" t="s">
        <v>9024</v>
      </c>
      <c r="C160" s="51" t="s">
        <v>808</v>
      </c>
      <c r="D160" s="54"/>
      <c r="E160" s="86"/>
      <c r="F160" s="87"/>
      <c r="G160" s="87"/>
      <c r="H160" s="88"/>
      <c r="I160" s="88"/>
    </row>
    <row r="161" spans="1:9" ht="13">
      <c r="A161" s="51" t="s">
        <v>10151</v>
      </c>
      <c r="B161" s="60" t="s">
        <v>9026</v>
      </c>
      <c r="C161" s="51" t="s">
        <v>808</v>
      </c>
      <c r="D161" s="54"/>
      <c r="E161" s="86"/>
      <c r="F161" s="86"/>
      <c r="G161" s="87"/>
      <c r="H161" s="88"/>
      <c r="I161" s="137"/>
    </row>
    <row r="162" spans="1:9" ht="13">
      <c r="A162" s="51" t="s">
        <v>10152</v>
      </c>
      <c r="B162" s="60" t="s">
        <v>9285</v>
      </c>
      <c r="C162" s="51" t="s">
        <v>808</v>
      </c>
      <c r="D162" s="54"/>
      <c r="E162" s="86"/>
      <c r="F162" s="87"/>
      <c r="G162" s="87"/>
      <c r="H162" s="88"/>
      <c r="I162" s="88"/>
    </row>
    <row r="163" spans="1:9" ht="13">
      <c r="A163" s="51" t="s">
        <v>10153</v>
      </c>
      <c r="B163" s="60" t="s">
        <v>9287</v>
      </c>
      <c r="C163" s="51" t="s">
        <v>808</v>
      </c>
      <c r="D163" s="54"/>
      <c r="E163" s="86"/>
      <c r="F163" s="86"/>
      <c r="G163" s="87"/>
      <c r="H163" s="88"/>
      <c r="I163" s="88"/>
    </row>
    <row r="164" spans="1:9" ht="13">
      <c r="A164" s="51" t="s">
        <v>10154</v>
      </c>
      <c r="B164" s="60" t="s">
        <v>9289</v>
      </c>
      <c r="C164" s="51" t="s">
        <v>808</v>
      </c>
      <c r="D164" s="54"/>
      <c r="E164" s="86"/>
      <c r="F164" s="87"/>
      <c r="G164" s="87"/>
      <c r="H164" s="88"/>
      <c r="I164" s="88"/>
    </row>
    <row r="165" spans="1:9" ht="13">
      <c r="A165" s="51" t="s">
        <v>10155</v>
      </c>
      <c r="B165" s="60" t="s">
        <v>9028</v>
      </c>
      <c r="C165" s="51" t="s">
        <v>220</v>
      </c>
      <c r="D165" s="54"/>
      <c r="E165" s="86"/>
      <c r="F165" s="87"/>
      <c r="G165" s="87"/>
      <c r="H165" s="88"/>
      <c r="I165" s="88"/>
    </row>
    <row r="166" spans="1:9" ht="13">
      <c r="A166" s="51" t="s">
        <v>10156</v>
      </c>
      <c r="B166" s="60" t="s">
        <v>9030</v>
      </c>
      <c r="C166" s="51" t="s">
        <v>220</v>
      </c>
      <c r="D166" s="54"/>
      <c r="E166" s="86"/>
      <c r="F166" s="87"/>
      <c r="G166" s="87"/>
      <c r="H166" s="88"/>
      <c r="I166" s="88"/>
    </row>
    <row r="167" spans="1:9" ht="13">
      <c r="A167" s="51" t="s">
        <v>10157</v>
      </c>
      <c r="B167" s="60" t="s">
        <v>9035</v>
      </c>
      <c r="C167" s="51" t="s">
        <v>220</v>
      </c>
      <c r="D167" s="54"/>
      <c r="E167" s="86"/>
      <c r="F167" s="87"/>
      <c r="G167" s="87"/>
      <c r="H167" s="88"/>
      <c r="I167" s="88"/>
    </row>
    <row r="168" spans="1:9" ht="13">
      <c r="A168" s="51" t="s">
        <v>10158</v>
      </c>
      <c r="B168" s="60" t="s">
        <v>9039</v>
      </c>
      <c r="C168" s="51" t="s">
        <v>220</v>
      </c>
      <c r="D168" s="54"/>
      <c r="E168" s="86"/>
      <c r="F168" s="87"/>
      <c r="G168" s="87"/>
      <c r="H168" s="88"/>
      <c r="I168" s="88"/>
    </row>
    <row r="169" spans="1:9" ht="13">
      <c r="A169" s="51" t="s">
        <v>10159</v>
      </c>
      <c r="B169" s="60" t="s">
        <v>9041</v>
      </c>
      <c r="C169" s="51" t="s">
        <v>220</v>
      </c>
      <c r="D169" s="54"/>
      <c r="E169" s="86"/>
      <c r="F169" s="87"/>
      <c r="G169" s="87"/>
      <c r="H169" s="88"/>
      <c r="I169" s="88"/>
    </row>
    <row r="170" spans="1:9" ht="13">
      <c r="A170" s="51" t="s">
        <v>10160</v>
      </c>
      <c r="B170" s="60" t="s">
        <v>9043</v>
      </c>
      <c r="C170" s="51" t="s">
        <v>220</v>
      </c>
      <c r="D170" s="54"/>
      <c r="E170" s="86"/>
      <c r="F170" s="87"/>
      <c r="G170" s="87"/>
      <c r="H170" s="88"/>
      <c r="I170" s="88"/>
    </row>
    <row r="171" spans="1:9" ht="13">
      <c r="A171" s="51" t="s">
        <v>10161</v>
      </c>
      <c r="B171" s="60" t="s">
        <v>8587</v>
      </c>
      <c r="C171" s="51" t="s">
        <v>220</v>
      </c>
      <c r="D171" s="54"/>
      <c r="E171" s="89"/>
      <c r="F171" s="87"/>
      <c r="G171" s="87"/>
      <c r="H171" s="88"/>
      <c r="I171" s="88"/>
    </row>
    <row r="172" spans="1:9" ht="13">
      <c r="A172" s="51" t="s">
        <v>10162</v>
      </c>
      <c r="B172" s="60" t="s">
        <v>4135</v>
      </c>
      <c r="C172" s="51" t="s">
        <v>197</v>
      </c>
      <c r="D172" s="54"/>
      <c r="E172" s="89"/>
      <c r="F172" s="86"/>
      <c r="G172" s="87"/>
      <c r="H172" s="88"/>
      <c r="I172" s="88"/>
    </row>
    <row r="173" spans="1:9" ht="13">
      <c r="A173" s="51" t="s">
        <v>10163</v>
      </c>
      <c r="B173" s="60" t="s">
        <v>4136</v>
      </c>
      <c r="C173" s="51" t="s">
        <v>197</v>
      </c>
      <c r="D173" s="54"/>
      <c r="E173" s="86"/>
      <c r="F173" s="87"/>
      <c r="G173" s="87"/>
      <c r="H173" s="88"/>
      <c r="I173" s="88"/>
    </row>
    <row r="174" spans="1:9" ht="13">
      <c r="A174" s="51" t="s">
        <v>10164</v>
      </c>
      <c r="B174" s="60" t="s">
        <v>4149</v>
      </c>
      <c r="C174" s="51" t="s">
        <v>197</v>
      </c>
      <c r="D174" s="54"/>
      <c r="E174" s="87"/>
      <c r="F174" s="87"/>
      <c r="G174" s="87"/>
      <c r="H174" s="88"/>
      <c r="I174" s="88"/>
    </row>
    <row r="175" spans="1:9" ht="13">
      <c r="A175" s="51" t="s">
        <v>10165</v>
      </c>
      <c r="B175" s="60" t="s">
        <v>4150</v>
      </c>
      <c r="C175" s="51" t="s">
        <v>197</v>
      </c>
      <c r="D175" s="54"/>
      <c r="E175" s="86"/>
      <c r="F175" s="87"/>
      <c r="G175" s="87"/>
      <c r="H175" s="88"/>
      <c r="I175" s="88"/>
    </row>
    <row r="176" spans="1:9" ht="13">
      <c r="A176" s="51" t="s">
        <v>10166</v>
      </c>
      <c r="B176" s="60" t="s">
        <v>5025</v>
      </c>
      <c r="C176" s="51" t="s">
        <v>197</v>
      </c>
      <c r="D176" s="54"/>
      <c r="E176" s="86"/>
      <c r="F176" s="87"/>
      <c r="G176" s="87"/>
      <c r="H176" s="88"/>
      <c r="I176" s="88"/>
    </row>
    <row r="177" spans="1:9" ht="13">
      <c r="A177" s="51" t="s">
        <v>10167</v>
      </c>
      <c r="B177" s="60" t="s">
        <v>6505</v>
      </c>
      <c r="C177" s="51" t="s">
        <v>197</v>
      </c>
      <c r="D177" s="54"/>
      <c r="E177" s="86"/>
      <c r="F177" s="89"/>
      <c r="G177" s="87"/>
      <c r="H177" s="88"/>
      <c r="I177" s="88"/>
    </row>
    <row r="178" spans="1:9" ht="13">
      <c r="A178" s="51" t="s">
        <v>10168</v>
      </c>
      <c r="B178" s="60" t="s">
        <v>9316</v>
      </c>
      <c r="C178" s="51" t="s">
        <v>197</v>
      </c>
      <c r="D178" s="54"/>
      <c r="E178" s="86"/>
      <c r="F178" s="87"/>
      <c r="G178" s="87"/>
      <c r="H178" s="88"/>
      <c r="I178" s="88"/>
    </row>
    <row r="179" spans="1:9" ht="13">
      <c r="A179" s="51" t="s">
        <v>10169</v>
      </c>
      <c r="B179" s="60" t="s">
        <v>9318</v>
      </c>
      <c r="C179" s="51" t="s">
        <v>197</v>
      </c>
      <c r="D179" s="54"/>
      <c r="E179" s="86"/>
      <c r="F179" s="87"/>
      <c r="G179" s="87"/>
      <c r="H179" s="88"/>
      <c r="I179" s="88"/>
    </row>
    <row r="180" spans="1:9" ht="13">
      <c r="A180" s="51" t="s">
        <v>10170</v>
      </c>
      <c r="B180" s="60" t="s">
        <v>9057</v>
      </c>
      <c r="C180" s="51" t="s">
        <v>197</v>
      </c>
      <c r="D180" s="54"/>
      <c r="E180" s="86"/>
      <c r="F180" s="87"/>
      <c r="G180" s="87"/>
      <c r="H180" s="88"/>
      <c r="I180" s="88"/>
    </row>
    <row r="181" spans="1:9" ht="13">
      <c r="A181" s="51" t="s">
        <v>10171</v>
      </c>
      <c r="B181" s="60" t="s">
        <v>9059</v>
      </c>
      <c r="C181" s="51" t="s">
        <v>197</v>
      </c>
      <c r="D181" s="54"/>
      <c r="E181" s="86"/>
      <c r="F181" s="87"/>
      <c r="G181" s="87"/>
      <c r="H181" s="88"/>
      <c r="I181" s="88"/>
    </row>
    <row r="182" spans="1:9" ht="13">
      <c r="A182" s="51" t="s">
        <v>10172</v>
      </c>
      <c r="B182" s="60" t="s">
        <v>8560</v>
      </c>
      <c r="C182" s="51" t="s">
        <v>197</v>
      </c>
      <c r="D182" s="54"/>
      <c r="E182" s="86"/>
      <c r="F182" s="87"/>
      <c r="G182" s="87"/>
      <c r="H182" s="88"/>
      <c r="I182" s="88"/>
    </row>
    <row r="183" spans="1:9" ht="13">
      <c r="A183" s="51" t="s">
        <v>10173</v>
      </c>
      <c r="B183" s="60" t="s">
        <v>9063</v>
      </c>
      <c r="C183" s="51" t="s">
        <v>197</v>
      </c>
      <c r="D183" s="54"/>
      <c r="E183" s="86"/>
      <c r="F183" s="89"/>
      <c r="G183" s="87"/>
      <c r="H183" s="88"/>
      <c r="I183" s="88"/>
    </row>
    <row r="184" spans="1:9" ht="13">
      <c r="A184" s="51" t="s">
        <v>10174</v>
      </c>
      <c r="B184" s="61" t="s">
        <v>8566</v>
      </c>
      <c r="C184" s="51" t="s">
        <v>205</v>
      </c>
      <c r="D184" s="54"/>
      <c r="E184" s="89"/>
      <c r="F184" s="87"/>
      <c r="G184" s="87"/>
      <c r="H184" s="88"/>
      <c r="I184" s="88"/>
    </row>
    <row r="185" spans="1:9" ht="13">
      <c r="A185" s="51" t="s">
        <v>10175</v>
      </c>
      <c r="B185" s="61" t="s">
        <v>10176</v>
      </c>
      <c r="C185" s="51" t="s">
        <v>205</v>
      </c>
      <c r="D185" s="54"/>
      <c r="E185" s="86"/>
      <c r="F185" s="89"/>
      <c r="G185" s="87"/>
      <c r="H185" s="88"/>
      <c r="I185" s="88"/>
    </row>
    <row r="186" spans="1:9" ht="13">
      <c r="A186" s="51" t="s">
        <v>10177</v>
      </c>
      <c r="B186" s="61" t="s">
        <v>9418</v>
      </c>
      <c r="C186" s="51" t="s">
        <v>199</v>
      </c>
      <c r="D186" s="54"/>
      <c r="E186" s="86"/>
      <c r="F186" s="89"/>
      <c r="G186" s="87"/>
      <c r="H186" s="88"/>
      <c r="I186" s="88"/>
    </row>
    <row r="187" spans="1:9" ht="13">
      <c r="A187" s="51" t="s">
        <v>10178</v>
      </c>
      <c r="B187" s="61" t="s">
        <v>9433</v>
      </c>
      <c r="C187" s="51" t="s">
        <v>199</v>
      </c>
      <c r="D187" s="54"/>
      <c r="E187" s="87"/>
      <c r="F187" s="86"/>
      <c r="G187" s="87"/>
      <c r="H187" s="88"/>
      <c r="I187" s="88"/>
    </row>
    <row r="188" spans="1:9" ht="13">
      <c r="A188" s="51" t="s">
        <v>10179</v>
      </c>
      <c r="B188" s="61" t="s">
        <v>9435</v>
      </c>
      <c r="C188" s="51" t="s">
        <v>199</v>
      </c>
      <c r="D188" s="54"/>
      <c r="E188" s="89"/>
      <c r="F188" s="87"/>
      <c r="G188" s="87"/>
      <c r="H188" s="88"/>
      <c r="I188" s="88"/>
    </row>
    <row r="189" spans="1:9" ht="13">
      <c r="A189" s="51" t="s">
        <v>10180</v>
      </c>
      <c r="B189" s="61" t="s">
        <v>10181</v>
      </c>
      <c r="C189" s="51" t="s">
        <v>208</v>
      </c>
      <c r="D189" s="54"/>
      <c r="E189" s="86"/>
      <c r="F189" s="87"/>
      <c r="G189" s="87"/>
      <c r="H189" s="88"/>
      <c r="I189" s="88"/>
    </row>
    <row r="190" spans="1:9" ht="13">
      <c r="A190" s="51" t="s">
        <v>10182</v>
      </c>
      <c r="B190" s="61" t="s">
        <v>10183</v>
      </c>
      <c r="C190" s="51" t="s">
        <v>208</v>
      </c>
      <c r="D190" s="54"/>
      <c r="E190" s="86"/>
      <c r="F190" s="86"/>
      <c r="G190" s="87"/>
      <c r="H190" s="88"/>
      <c r="I190" s="88"/>
    </row>
    <row r="191" spans="1:9" ht="13">
      <c r="A191" s="51" t="s">
        <v>10184</v>
      </c>
      <c r="B191" s="61" t="s">
        <v>8572</v>
      </c>
      <c r="C191" s="51" t="s">
        <v>192</v>
      </c>
      <c r="D191" s="54"/>
      <c r="E191" s="89"/>
      <c r="F191" s="87"/>
      <c r="G191" s="87"/>
      <c r="H191" s="88"/>
      <c r="I191" s="88"/>
    </row>
    <row r="192" spans="1:9" ht="13">
      <c r="A192" s="51" t="s">
        <v>10185</v>
      </c>
      <c r="B192" s="61" t="s">
        <v>10186</v>
      </c>
      <c r="C192" s="51" t="s">
        <v>192</v>
      </c>
      <c r="D192" s="54"/>
      <c r="E192" s="89"/>
      <c r="F192" s="89"/>
      <c r="G192" s="87"/>
      <c r="H192" s="88"/>
      <c r="I192" s="88"/>
    </row>
    <row r="193" spans="1:9" ht="13">
      <c r="A193" s="51" t="s">
        <v>10187</v>
      </c>
      <c r="B193" s="61" t="s">
        <v>10024</v>
      </c>
      <c r="C193" s="51" t="s">
        <v>195</v>
      </c>
      <c r="D193" s="54"/>
      <c r="E193" s="87"/>
      <c r="F193" s="86"/>
      <c r="G193" s="87"/>
      <c r="H193" s="88"/>
      <c r="I193" s="88"/>
    </row>
    <row r="194" spans="1:9" ht="13">
      <c r="A194" s="51" t="s">
        <v>10188</v>
      </c>
      <c r="B194" s="61" t="s">
        <v>10189</v>
      </c>
      <c r="C194" s="51" t="s">
        <v>225</v>
      </c>
      <c r="D194" s="54"/>
      <c r="E194" s="87"/>
      <c r="F194" s="89"/>
      <c r="G194" s="87"/>
      <c r="H194" s="88"/>
      <c r="I194" s="88"/>
    </row>
    <row r="195" spans="1:9" ht="13">
      <c r="A195" s="51" t="s">
        <v>10190</v>
      </c>
      <c r="B195" s="61" t="s">
        <v>8633</v>
      </c>
      <c r="C195" s="51" t="s">
        <v>808</v>
      </c>
      <c r="D195" s="54"/>
      <c r="E195" s="89"/>
      <c r="F195" s="89"/>
      <c r="G195" s="87"/>
      <c r="H195" s="88"/>
      <c r="I195" s="88"/>
    </row>
    <row r="196" spans="1:9" ht="13">
      <c r="A196" s="51" t="s">
        <v>10191</v>
      </c>
      <c r="B196" s="61" t="s">
        <v>9525</v>
      </c>
      <c r="C196" s="51" t="s">
        <v>808</v>
      </c>
      <c r="D196" s="54"/>
      <c r="E196" s="87"/>
      <c r="F196" s="87"/>
      <c r="G196" s="87"/>
      <c r="H196" s="88"/>
      <c r="I196" s="88"/>
    </row>
    <row r="197" spans="1:9" ht="13">
      <c r="A197" s="51" t="s">
        <v>10192</v>
      </c>
      <c r="B197" s="61" t="s">
        <v>10036</v>
      </c>
      <c r="C197" s="51" t="s">
        <v>197</v>
      </c>
      <c r="D197" s="54"/>
      <c r="E197" s="89"/>
      <c r="F197" s="87"/>
      <c r="G197" s="87"/>
      <c r="H197" s="88"/>
      <c r="I197" s="88"/>
    </row>
    <row r="198" spans="1:9" ht="13">
      <c r="A198" s="51" t="s">
        <v>10193</v>
      </c>
      <c r="B198" s="61" t="s">
        <v>10038</v>
      </c>
      <c r="C198" s="51" t="s">
        <v>197</v>
      </c>
      <c r="D198" s="54"/>
      <c r="E198" s="87"/>
      <c r="F198" s="87"/>
      <c r="G198" s="87"/>
      <c r="H198" s="88"/>
      <c r="I198" s="88"/>
    </row>
    <row r="199" spans="1:9" ht="13">
      <c r="A199" s="51" t="s">
        <v>10194</v>
      </c>
      <c r="B199" s="61" t="s">
        <v>8620</v>
      </c>
      <c r="C199" s="51" t="s">
        <v>197</v>
      </c>
      <c r="D199" s="54"/>
      <c r="E199" s="89"/>
      <c r="F199" s="87"/>
      <c r="G199" s="87"/>
      <c r="H199" s="88"/>
      <c r="I199" s="88"/>
    </row>
    <row r="200" spans="1:9" ht="13">
      <c r="A200" s="51" t="s">
        <v>10195</v>
      </c>
      <c r="B200" s="61" t="s">
        <v>8610</v>
      </c>
      <c r="C200" s="51" t="s">
        <v>808</v>
      </c>
      <c r="D200" s="54"/>
      <c r="E200" s="87"/>
      <c r="F200" s="87"/>
      <c r="G200" s="87"/>
      <c r="H200" s="88"/>
      <c r="I200" s="88"/>
    </row>
    <row r="201" spans="1:9" ht="13">
      <c r="A201" s="51" t="s">
        <v>10196</v>
      </c>
      <c r="B201" s="61" t="s">
        <v>8612</v>
      </c>
      <c r="C201" s="51" t="s">
        <v>808</v>
      </c>
      <c r="D201" s="54"/>
      <c r="E201" s="87"/>
      <c r="F201" s="89"/>
      <c r="G201" s="87"/>
      <c r="H201" s="88"/>
      <c r="I201" s="88"/>
    </row>
    <row r="202" spans="1:9" ht="13">
      <c r="A202" s="51"/>
      <c r="C202" s="51"/>
      <c r="D202" s="5"/>
      <c r="E202" s="87"/>
      <c r="F202" s="87"/>
      <c r="G202" s="87"/>
      <c r="H202" s="88"/>
      <c r="I202" s="88"/>
    </row>
    <row r="203" spans="1:9" ht="13">
      <c r="A203" s="51"/>
      <c r="C203" s="51"/>
      <c r="D203" s="51"/>
      <c r="E203" s="87"/>
      <c r="F203" s="87"/>
      <c r="G203" s="87"/>
      <c r="H203" s="88"/>
      <c r="I203" s="88"/>
    </row>
    <row r="204" spans="1:9" ht="13">
      <c r="A204" s="51"/>
      <c r="C204" s="51"/>
      <c r="D204" s="54"/>
      <c r="E204" s="87"/>
      <c r="F204" s="86"/>
      <c r="G204" s="87"/>
      <c r="H204" s="88"/>
      <c r="I204" s="88"/>
    </row>
    <row r="205" spans="1:9" ht="13">
      <c r="A205" s="51"/>
      <c r="C205" s="51"/>
      <c r="D205" s="54"/>
      <c r="E205" s="87"/>
      <c r="F205" s="87"/>
      <c r="G205" s="87"/>
      <c r="H205" s="88"/>
      <c r="I205" s="88"/>
    </row>
    <row r="206" spans="1:9" ht="13">
      <c r="A206" s="51"/>
      <c r="C206" s="51"/>
      <c r="D206" s="5"/>
      <c r="E206" s="87"/>
      <c r="F206" s="87"/>
      <c r="G206" s="87"/>
      <c r="H206" s="88"/>
      <c r="I206" s="88"/>
    </row>
    <row r="207" spans="1:9" ht="13">
      <c r="A207" s="51"/>
      <c r="C207" s="51"/>
      <c r="D207" s="5"/>
      <c r="E207" s="87"/>
      <c r="F207" s="87"/>
      <c r="G207" s="87"/>
      <c r="H207" s="88"/>
      <c r="I207" s="88"/>
    </row>
    <row r="208" spans="1:9" ht="13">
      <c r="A208" s="51"/>
      <c r="C208" s="51"/>
      <c r="D208" s="54"/>
      <c r="E208" s="87"/>
      <c r="F208" s="87"/>
      <c r="G208" s="87"/>
      <c r="H208" s="88"/>
      <c r="I208" s="88"/>
    </row>
    <row r="209" spans="1:9" ht="13">
      <c r="A209" s="51"/>
      <c r="C209" s="51"/>
      <c r="D209" s="54"/>
      <c r="E209" s="87"/>
      <c r="F209" s="87"/>
      <c r="G209" s="87"/>
      <c r="H209" s="88"/>
      <c r="I209" s="88"/>
    </row>
    <row r="210" spans="1:9" ht="13">
      <c r="A210" s="51"/>
      <c r="C210" s="51"/>
      <c r="D210" s="5"/>
      <c r="E210" s="87"/>
      <c r="F210" s="87"/>
      <c r="G210" s="87"/>
      <c r="H210" s="88"/>
      <c r="I210" s="88"/>
    </row>
    <row r="211" spans="1:9" ht="13">
      <c r="A211" s="51"/>
      <c r="C211" s="51"/>
      <c r="D211" s="5"/>
      <c r="E211" s="87"/>
      <c r="F211" s="87"/>
      <c r="G211" s="87"/>
      <c r="H211" s="88"/>
      <c r="I211" s="88"/>
    </row>
    <row r="212" spans="1:9" ht="13">
      <c r="A212" s="51"/>
      <c r="C212" s="51"/>
      <c r="D212" s="54"/>
      <c r="E212" s="87"/>
      <c r="F212" s="87"/>
      <c r="G212" s="87"/>
      <c r="H212" s="88"/>
      <c r="I212" s="88"/>
    </row>
    <row r="213" spans="1:9" ht="13">
      <c r="A213" s="51"/>
      <c r="C213" s="51"/>
      <c r="D213" s="54"/>
      <c r="E213" s="87"/>
      <c r="F213" s="87"/>
      <c r="G213" s="87"/>
      <c r="H213" s="88"/>
      <c r="I213" s="88"/>
    </row>
    <row r="214" spans="1:9" ht="13">
      <c r="A214" s="48"/>
      <c r="B214" s="50"/>
      <c r="C214" s="51"/>
      <c r="D214" s="5"/>
      <c r="E214" s="87"/>
      <c r="F214" s="87"/>
      <c r="G214" s="87"/>
      <c r="H214" s="88"/>
      <c r="I214" s="88"/>
    </row>
    <row r="215" spans="1:9" ht="13">
      <c r="A215" s="48"/>
      <c r="B215" s="53"/>
      <c r="C215" s="51"/>
      <c r="D215" s="54"/>
      <c r="E215" s="87"/>
      <c r="F215" s="87"/>
      <c r="G215" s="87"/>
      <c r="H215" s="88"/>
      <c r="I215" s="88"/>
    </row>
    <row r="216" spans="1:9" ht="13">
      <c r="A216" s="48"/>
      <c r="B216" s="53"/>
      <c r="C216" s="51"/>
      <c r="D216" s="5"/>
      <c r="E216" s="87"/>
      <c r="F216" s="87"/>
      <c r="G216" s="87"/>
      <c r="H216" s="88"/>
      <c r="I216" s="88"/>
    </row>
    <row r="217" spans="1:9" ht="13">
      <c r="A217" s="48"/>
      <c r="B217" s="50"/>
      <c r="C217" s="51"/>
      <c r="D217" s="5"/>
      <c r="E217" s="87"/>
      <c r="F217" s="87"/>
      <c r="G217" s="87"/>
      <c r="H217" s="88"/>
      <c r="I217" s="88"/>
    </row>
    <row r="218" spans="1:9" ht="13">
      <c r="A218" s="48"/>
      <c r="B218" s="50"/>
      <c r="C218" s="51"/>
      <c r="D218" s="54"/>
      <c r="E218" s="87"/>
      <c r="F218" s="86"/>
      <c r="G218" s="87"/>
      <c r="H218" s="88"/>
      <c r="I218" s="88"/>
    </row>
    <row r="219" spans="1:9" ht="13">
      <c r="A219" s="48"/>
      <c r="B219" s="50"/>
      <c r="C219" s="51"/>
      <c r="D219" s="54"/>
      <c r="E219" s="87"/>
      <c r="F219" s="87"/>
      <c r="G219" s="87"/>
      <c r="H219" s="88"/>
      <c r="I219" s="88"/>
    </row>
    <row r="220" spans="1:9" ht="13">
      <c r="A220" s="48"/>
      <c r="B220" s="50"/>
      <c r="C220" s="153"/>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B00-000000000000}"/>
    <hyperlink ref="B6" r:id="rId2" xr:uid="{00000000-0004-0000-6B00-000001000000}"/>
    <hyperlink ref="B7" r:id="rId3" xr:uid="{00000000-0004-0000-6B00-000002000000}"/>
    <hyperlink ref="B8" r:id="rId4" xr:uid="{00000000-0004-0000-6B00-000003000000}"/>
    <hyperlink ref="B9" r:id="rId5" xr:uid="{00000000-0004-0000-6B00-000004000000}"/>
    <hyperlink ref="B10" r:id="rId6" xr:uid="{00000000-0004-0000-6B00-000005000000}"/>
    <hyperlink ref="B11" r:id="rId7" xr:uid="{00000000-0004-0000-6B00-000006000000}"/>
    <hyperlink ref="B12" r:id="rId8" xr:uid="{00000000-0004-0000-6B00-000007000000}"/>
    <hyperlink ref="B13" r:id="rId9" xr:uid="{00000000-0004-0000-6B00-000008000000}"/>
    <hyperlink ref="B14" r:id="rId10" xr:uid="{00000000-0004-0000-6B00-000009000000}"/>
    <hyperlink ref="B15" r:id="rId11" xr:uid="{00000000-0004-0000-6B00-00000A000000}"/>
    <hyperlink ref="B16" r:id="rId12" xr:uid="{00000000-0004-0000-6B00-00000B000000}"/>
    <hyperlink ref="B17" r:id="rId13" xr:uid="{00000000-0004-0000-6B00-00000C000000}"/>
    <hyperlink ref="B18" r:id="rId14" xr:uid="{00000000-0004-0000-6B00-00000D000000}"/>
    <hyperlink ref="B19" r:id="rId15" xr:uid="{00000000-0004-0000-6B00-00000E000000}"/>
    <hyperlink ref="B20" r:id="rId16" xr:uid="{00000000-0004-0000-6B00-00000F000000}"/>
    <hyperlink ref="B21" r:id="rId17" xr:uid="{00000000-0004-0000-6B00-000010000000}"/>
    <hyperlink ref="B22" r:id="rId18" xr:uid="{00000000-0004-0000-6B00-000011000000}"/>
    <hyperlink ref="B23" r:id="rId19" xr:uid="{00000000-0004-0000-6B00-000012000000}"/>
    <hyperlink ref="B24" r:id="rId20" xr:uid="{00000000-0004-0000-6B00-000013000000}"/>
    <hyperlink ref="B25" r:id="rId21" xr:uid="{00000000-0004-0000-6B00-000014000000}"/>
    <hyperlink ref="B26" r:id="rId22" xr:uid="{00000000-0004-0000-6B00-000015000000}"/>
    <hyperlink ref="B27" r:id="rId23" xr:uid="{00000000-0004-0000-6B00-000016000000}"/>
    <hyperlink ref="B28" r:id="rId24" xr:uid="{00000000-0004-0000-6B00-000017000000}"/>
    <hyperlink ref="B29" r:id="rId25" xr:uid="{00000000-0004-0000-6B00-000018000000}"/>
    <hyperlink ref="B30" r:id="rId26" xr:uid="{00000000-0004-0000-6B00-000019000000}"/>
    <hyperlink ref="B31" r:id="rId27" xr:uid="{00000000-0004-0000-6B00-00001A000000}"/>
    <hyperlink ref="B32" r:id="rId28" xr:uid="{00000000-0004-0000-6B00-00001B000000}"/>
    <hyperlink ref="B33" r:id="rId29" xr:uid="{00000000-0004-0000-6B00-00001C000000}"/>
    <hyperlink ref="B34" r:id="rId30" xr:uid="{00000000-0004-0000-6B00-00001D000000}"/>
    <hyperlink ref="B35" r:id="rId31" xr:uid="{00000000-0004-0000-6B00-00001E000000}"/>
    <hyperlink ref="B36" r:id="rId32" xr:uid="{00000000-0004-0000-6B00-00001F000000}"/>
    <hyperlink ref="B37" r:id="rId33" xr:uid="{00000000-0004-0000-6B00-000020000000}"/>
    <hyperlink ref="B38" r:id="rId34" xr:uid="{00000000-0004-0000-6B00-000021000000}"/>
    <hyperlink ref="B39" r:id="rId35" xr:uid="{00000000-0004-0000-6B00-000022000000}"/>
    <hyperlink ref="B40" r:id="rId36" xr:uid="{00000000-0004-0000-6B00-000023000000}"/>
    <hyperlink ref="B41" r:id="rId37" xr:uid="{00000000-0004-0000-6B00-000024000000}"/>
    <hyperlink ref="B42" r:id="rId38" xr:uid="{00000000-0004-0000-6B00-000025000000}"/>
    <hyperlink ref="B43" r:id="rId39" xr:uid="{00000000-0004-0000-6B00-000026000000}"/>
    <hyperlink ref="B44" r:id="rId40" xr:uid="{00000000-0004-0000-6B00-000027000000}"/>
    <hyperlink ref="B45" r:id="rId41" xr:uid="{00000000-0004-0000-6B00-000028000000}"/>
    <hyperlink ref="B46" r:id="rId42" xr:uid="{00000000-0004-0000-6B00-000029000000}"/>
    <hyperlink ref="B47" r:id="rId43" xr:uid="{00000000-0004-0000-6B00-00002A000000}"/>
    <hyperlink ref="B48" r:id="rId44" xr:uid="{00000000-0004-0000-6B00-00002B000000}"/>
    <hyperlink ref="B49" r:id="rId45" xr:uid="{00000000-0004-0000-6B00-00002C000000}"/>
    <hyperlink ref="B50" r:id="rId46" xr:uid="{00000000-0004-0000-6B00-00002D000000}"/>
    <hyperlink ref="B51" r:id="rId47" xr:uid="{00000000-0004-0000-6B00-00002E000000}"/>
    <hyperlink ref="B52" r:id="rId48" xr:uid="{00000000-0004-0000-6B00-00002F000000}"/>
    <hyperlink ref="B53" r:id="rId49" xr:uid="{00000000-0004-0000-6B00-000030000000}"/>
    <hyperlink ref="B54" r:id="rId50" xr:uid="{00000000-0004-0000-6B00-000031000000}"/>
    <hyperlink ref="B55" r:id="rId51" xr:uid="{00000000-0004-0000-6B00-000032000000}"/>
    <hyperlink ref="B56" r:id="rId52" xr:uid="{00000000-0004-0000-6B00-000033000000}"/>
    <hyperlink ref="B57" r:id="rId53" xr:uid="{00000000-0004-0000-6B00-000034000000}"/>
    <hyperlink ref="B58" r:id="rId54" xr:uid="{00000000-0004-0000-6B00-000035000000}"/>
    <hyperlink ref="B59" r:id="rId55" xr:uid="{00000000-0004-0000-6B00-000036000000}"/>
    <hyperlink ref="B60" r:id="rId56" xr:uid="{00000000-0004-0000-6B00-000037000000}"/>
    <hyperlink ref="B61" r:id="rId57" xr:uid="{00000000-0004-0000-6B00-000038000000}"/>
    <hyperlink ref="B62" r:id="rId58" xr:uid="{00000000-0004-0000-6B00-000039000000}"/>
    <hyperlink ref="B63" r:id="rId59" xr:uid="{00000000-0004-0000-6B00-00003A000000}"/>
    <hyperlink ref="B64" r:id="rId60" xr:uid="{00000000-0004-0000-6B00-00003B000000}"/>
    <hyperlink ref="B65" r:id="rId61" xr:uid="{00000000-0004-0000-6B00-00003C000000}"/>
    <hyperlink ref="B66" r:id="rId62" xr:uid="{00000000-0004-0000-6B00-00003D000000}"/>
    <hyperlink ref="B67" r:id="rId63" xr:uid="{00000000-0004-0000-6B00-00003E000000}"/>
    <hyperlink ref="B68" r:id="rId64" xr:uid="{00000000-0004-0000-6B00-00003F000000}"/>
    <hyperlink ref="B69" r:id="rId65" xr:uid="{00000000-0004-0000-6B00-000040000000}"/>
    <hyperlink ref="B70" r:id="rId66" xr:uid="{00000000-0004-0000-6B00-000041000000}"/>
    <hyperlink ref="B71" r:id="rId67" xr:uid="{00000000-0004-0000-6B00-000042000000}"/>
    <hyperlink ref="B72" r:id="rId68" xr:uid="{00000000-0004-0000-6B00-000043000000}"/>
    <hyperlink ref="B73" r:id="rId69" xr:uid="{00000000-0004-0000-6B00-000044000000}"/>
    <hyperlink ref="B74" r:id="rId70" xr:uid="{00000000-0004-0000-6B00-000045000000}"/>
    <hyperlink ref="B75" r:id="rId71" xr:uid="{00000000-0004-0000-6B00-000046000000}"/>
    <hyperlink ref="B76" r:id="rId72" xr:uid="{00000000-0004-0000-6B00-000047000000}"/>
    <hyperlink ref="B77" r:id="rId73" xr:uid="{00000000-0004-0000-6B00-000048000000}"/>
    <hyperlink ref="B80" r:id="rId74" xr:uid="{00000000-0004-0000-6B00-000049000000}"/>
    <hyperlink ref="B81" r:id="rId75" xr:uid="{00000000-0004-0000-6B00-00004A000000}"/>
    <hyperlink ref="B82" r:id="rId76" xr:uid="{00000000-0004-0000-6B00-00004B000000}"/>
    <hyperlink ref="B83" r:id="rId77" xr:uid="{00000000-0004-0000-6B00-00004C000000}"/>
    <hyperlink ref="B84" r:id="rId78" xr:uid="{00000000-0004-0000-6B00-00004D000000}"/>
    <hyperlink ref="B85" r:id="rId79" xr:uid="{00000000-0004-0000-6B00-00004E000000}"/>
    <hyperlink ref="B86" r:id="rId80" xr:uid="{00000000-0004-0000-6B00-00004F000000}"/>
    <hyperlink ref="B87" r:id="rId81" xr:uid="{00000000-0004-0000-6B00-000050000000}"/>
    <hyperlink ref="B88" r:id="rId82" xr:uid="{00000000-0004-0000-6B00-000051000000}"/>
    <hyperlink ref="B89" r:id="rId83" xr:uid="{00000000-0004-0000-6B00-000052000000}"/>
    <hyperlink ref="B90" r:id="rId84" xr:uid="{00000000-0004-0000-6B00-000053000000}"/>
    <hyperlink ref="B91" r:id="rId85" xr:uid="{00000000-0004-0000-6B00-000054000000}"/>
    <hyperlink ref="B92" r:id="rId86" xr:uid="{00000000-0004-0000-6B00-000055000000}"/>
    <hyperlink ref="B93" r:id="rId87" xr:uid="{00000000-0004-0000-6B00-000056000000}"/>
    <hyperlink ref="B94" r:id="rId88" xr:uid="{00000000-0004-0000-6B00-000057000000}"/>
    <hyperlink ref="B95" r:id="rId89" xr:uid="{00000000-0004-0000-6B00-000058000000}"/>
    <hyperlink ref="B96" r:id="rId90" xr:uid="{00000000-0004-0000-6B00-000059000000}"/>
    <hyperlink ref="B97" r:id="rId91" xr:uid="{00000000-0004-0000-6B00-00005A000000}"/>
    <hyperlink ref="B98" r:id="rId92" xr:uid="{00000000-0004-0000-6B00-00005B000000}"/>
    <hyperlink ref="B99" r:id="rId93" xr:uid="{00000000-0004-0000-6B00-00005C000000}"/>
    <hyperlink ref="B100" r:id="rId94" xr:uid="{00000000-0004-0000-6B00-00005D000000}"/>
    <hyperlink ref="B101" r:id="rId95" xr:uid="{00000000-0004-0000-6B00-00005E000000}"/>
    <hyperlink ref="B102" r:id="rId96" xr:uid="{00000000-0004-0000-6B00-00005F000000}"/>
    <hyperlink ref="B103" r:id="rId97" xr:uid="{00000000-0004-0000-6B00-000060000000}"/>
    <hyperlink ref="B104" r:id="rId98" xr:uid="{00000000-0004-0000-6B00-000061000000}"/>
    <hyperlink ref="B105" r:id="rId99" xr:uid="{00000000-0004-0000-6B00-000062000000}"/>
    <hyperlink ref="B106" r:id="rId100" xr:uid="{00000000-0004-0000-6B00-000063000000}"/>
    <hyperlink ref="B107" r:id="rId101" xr:uid="{00000000-0004-0000-6B00-000064000000}"/>
    <hyperlink ref="B108" r:id="rId102" xr:uid="{00000000-0004-0000-6B00-000065000000}"/>
    <hyperlink ref="B109" r:id="rId103" xr:uid="{00000000-0004-0000-6B00-000066000000}"/>
    <hyperlink ref="B110" r:id="rId104" xr:uid="{00000000-0004-0000-6B00-000067000000}"/>
    <hyperlink ref="B111" r:id="rId105" xr:uid="{00000000-0004-0000-6B00-000068000000}"/>
    <hyperlink ref="B112" r:id="rId106" xr:uid="{00000000-0004-0000-6B00-000069000000}"/>
    <hyperlink ref="B113" r:id="rId107" xr:uid="{00000000-0004-0000-6B00-00006A000000}"/>
    <hyperlink ref="B114" r:id="rId108" xr:uid="{00000000-0004-0000-6B00-00006B000000}"/>
    <hyperlink ref="B115" r:id="rId109" xr:uid="{00000000-0004-0000-6B00-00006C000000}"/>
    <hyperlink ref="B116" r:id="rId110" xr:uid="{00000000-0004-0000-6B00-00006D000000}"/>
    <hyperlink ref="B117" r:id="rId111" xr:uid="{00000000-0004-0000-6B00-00006E000000}"/>
    <hyperlink ref="B118" r:id="rId112" xr:uid="{00000000-0004-0000-6B00-00006F000000}"/>
    <hyperlink ref="B119" r:id="rId113" xr:uid="{00000000-0004-0000-6B00-000070000000}"/>
    <hyperlink ref="B120" r:id="rId114" xr:uid="{00000000-0004-0000-6B00-000071000000}"/>
    <hyperlink ref="B121" r:id="rId115" xr:uid="{00000000-0004-0000-6B00-000072000000}"/>
    <hyperlink ref="B122" r:id="rId116" xr:uid="{00000000-0004-0000-6B00-000073000000}"/>
    <hyperlink ref="B123" r:id="rId117" xr:uid="{00000000-0004-0000-6B00-000074000000}"/>
    <hyperlink ref="B124" r:id="rId118" xr:uid="{00000000-0004-0000-6B00-000075000000}"/>
    <hyperlink ref="B125" r:id="rId119" xr:uid="{00000000-0004-0000-6B00-000076000000}"/>
    <hyperlink ref="B126" r:id="rId120" xr:uid="{00000000-0004-0000-6B00-000077000000}"/>
    <hyperlink ref="B127" r:id="rId121" xr:uid="{00000000-0004-0000-6B00-000078000000}"/>
    <hyperlink ref="B128" r:id="rId122" xr:uid="{00000000-0004-0000-6B00-000079000000}"/>
    <hyperlink ref="B129" r:id="rId123" xr:uid="{00000000-0004-0000-6B00-00007A000000}"/>
    <hyperlink ref="B130" r:id="rId124" xr:uid="{00000000-0004-0000-6B00-00007B000000}"/>
    <hyperlink ref="B131" r:id="rId125" xr:uid="{00000000-0004-0000-6B00-00007C000000}"/>
    <hyperlink ref="B132" r:id="rId126" xr:uid="{00000000-0004-0000-6B00-00007D000000}"/>
    <hyperlink ref="B133" r:id="rId127" xr:uid="{00000000-0004-0000-6B00-00007E000000}"/>
    <hyperlink ref="B134" r:id="rId128" xr:uid="{00000000-0004-0000-6B00-00007F000000}"/>
    <hyperlink ref="B135" r:id="rId129" xr:uid="{00000000-0004-0000-6B00-000080000000}"/>
    <hyperlink ref="B136" r:id="rId130" xr:uid="{00000000-0004-0000-6B00-000081000000}"/>
    <hyperlink ref="B137" r:id="rId131" xr:uid="{00000000-0004-0000-6B00-000082000000}"/>
    <hyperlink ref="B138" r:id="rId132" xr:uid="{00000000-0004-0000-6B00-000083000000}"/>
    <hyperlink ref="B139" r:id="rId133" xr:uid="{00000000-0004-0000-6B00-000084000000}"/>
    <hyperlink ref="B140" r:id="rId134" xr:uid="{00000000-0004-0000-6B00-000085000000}"/>
    <hyperlink ref="B141" r:id="rId135" xr:uid="{00000000-0004-0000-6B00-000086000000}"/>
    <hyperlink ref="B142" r:id="rId136" xr:uid="{00000000-0004-0000-6B00-000087000000}"/>
    <hyperlink ref="B143" r:id="rId137" xr:uid="{00000000-0004-0000-6B00-000088000000}"/>
    <hyperlink ref="B144" r:id="rId138" xr:uid="{00000000-0004-0000-6B00-000089000000}"/>
    <hyperlink ref="B145" r:id="rId139" xr:uid="{00000000-0004-0000-6B00-00008A000000}"/>
    <hyperlink ref="B146" r:id="rId140" xr:uid="{00000000-0004-0000-6B00-00008B000000}"/>
    <hyperlink ref="B147" r:id="rId141" xr:uid="{00000000-0004-0000-6B00-00008C000000}"/>
    <hyperlink ref="B148" r:id="rId142" xr:uid="{00000000-0004-0000-6B00-00008D000000}"/>
    <hyperlink ref="B149" r:id="rId143" xr:uid="{00000000-0004-0000-6B00-00008E000000}"/>
    <hyperlink ref="B150" r:id="rId144" xr:uid="{00000000-0004-0000-6B00-00008F000000}"/>
    <hyperlink ref="B151" r:id="rId145" xr:uid="{00000000-0004-0000-6B00-000090000000}"/>
    <hyperlink ref="B152" r:id="rId146" xr:uid="{00000000-0004-0000-6B00-000091000000}"/>
    <hyperlink ref="B153" r:id="rId147" xr:uid="{00000000-0004-0000-6B00-000092000000}"/>
    <hyperlink ref="B154" r:id="rId148" xr:uid="{00000000-0004-0000-6B00-000093000000}"/>
    <hyperlink ref="B155" r:id="rId149" xr:uid="{00000000-0004-0000-6B00-000094000000}"/>
    <hyperlink ref="B156" r:id="rId150" xr:uid="{00000000-0004-0000-6B00-000095000000}"/>
    <hyperlink ref="B157" r:id="rId151" xr:uid="{00000000-0004-0000-6B00-000096000000}"/>
    <hyperlink ref="B158" r:id="rId152" xr:uid="{00000000-0004-0000-6B00-000097000000}"/>
    <hyperlink ref="B159" r:id="rId153" xr:uid="{00000000-0004-0000-6B00-000098000000}"/>
    <hyperlink ref="B160" r:id="rId154" xr:uid="{00000000-0004-0000-6B00-000099000000}"/>
    <hyperlink ref="B161" r:id="rId155" xr:uid="{00000000-0004-0000-6B00-00009A000000}"/>
    <hyperlink ref="B162" r:id="rId156" xr:uid="{00000000-0004-0000-6B00-00009B000000}"/>
    <hyperlink ref="B163" r:id="rId157" xr:uid="{00000000-0004-0000-6B00-00009C000000}"/>
    <hyperlink ref="B164" r:id="rId158" xr:uid="{00000000-0004-0000-6B00-00009D000000}"/>
    <hyperlink ref="B165" r:id="rId159" xr:uid="{00000000-0004-0000-6B00-00009E000000}"/>
    <hyperlink ref="B166" r:id="rId160" xr:uid="{00000000-0004-0000-6B00-00009F000000}"/>
    <hyperlink ref="B167" r:id="rId161" xr:uid="{00000000-0004-0000-6B00-0000A0000000}"/>
    <hyperlink ref="B168" r:id="rId162" xr:uid="{00000000-0004-0000-6B00-0000A1000000}"/>
    <hyperlink ref="B169" r:id="rId163" xr:uid="{00000000-0004-0000-6B00-0000A2000000}"/>
    <hyperlink ref="B170" r:id="rId164" xr:uid="{00000000-0004-0000-6B00-0000A3000000}"/>
    <hyperlink ref="B171" r:id="rId165" xr:uid="{00000000-0004-0000-6B00-0000A4000000}"/>
    <hyperlink ref="B172" r:id="rId166" xr:uid="{00000000-0004-0000-6B00-0000A5000000}"/>
    <hyperlink ref="B173" r:id="rId167" xr:uid="{00000000-0004-0000-6B00-0000A6000000}"/>
    <hyperlink ref="B174" r:id="rId168" xr:uid="{00000000-0004-0000-6B00-0000A7000000}"/>
    <hyperlink ref="B175" r:id="rId169" xr:uid="{00000000-0004-0000-6B00-0000A8000000}"/>
    <hyperlink ref="B176" r:id="rId170" xr:uid="{00000000-0004-0000-6B00-0000A9000000}"/>
    <hyperlink ref="B177" r:id="rId171" xr:uid="{00000000-0004-0000-6B00-0000AA000000}"/>
    <hyperlink ref="B178" r:id="rId172" xr:uid="{00000000-0004-0000-6B00-0000AB000000}"/>
    <hyperlink ref="B179" r:id="rId173" xr:uid="{00000000-0004-0000-6B00-0000AC000000}"/>
    <hyperlink ref="B180" r:id="rId174" xr:uid="{00000000-0004-0000-6B00-0000AD000000}"/>
    <hyperlink ref="B181" r:id="rId175" xr:uid="{00000000-0004-0000-6B00-0000AE000000}"/>
    <hyperlink ref="B182" r:id="rId176" xr:uid="{00000000-0004-0000-6B00-0000AF000000}"/>
    <hyperlink ref="B183" r:id="rId177" xr:uid="{00000000-0004-0000-6B00-0000B0000000}"/>
    <hyperlink ref="B184" r:id="rId178" xr:uid="{00000000-0004-0000-6B00-0000B1000000}"/>
    <hyperlink ref="B185" r:id="rId179" xr:uid="{00000000-0004-0000-6B00-0000B2000000}"/>
    <hyperlink ref="B186" r:id="rId180" xr:uid="{00000000-0004-0000-6B00-0000B3000000}"/>
    <hyperlink ref="B187" r:id="rId181" xr:uid="{00000000-0004-0000-6B00-0000B4000000}"/>
    <hyperlink ref="B188" r:id="rId182" xr:uid="{00000000-0004-0000-6B00-0000B5000000}"/>
    <hyperlink ref="B189" r:id="rId183" xr:uid="{00000000-0004-0000-6B00-0000B6000000}"/>
    <hyperlink ref="B190" r:id="rId184" xr:uid="{00000000-0004-0000-6B00-0000B7000000}"/>
    <hyperlink ref="B191" r:id="rId185" xr:uid="{00000000-0004-0000-6B00-0000B8000000}"/>
    <hyperlink ref="B192" r:id="rId186" xr:uid="{00000000-0004-0000-6B00-0000B9000000}"/>
    <hyperlink ref="B193" r:id="rId187" xr:uid="{00000000-0004-0000-6B00-0000BA000000}"/>
    <hyperlink ref="B194" r:id="rId188" xr:uid="{00000000-0004-0000-6B00-0000BB000000}"/>
    <hyperlink ref="B195" r:id="rId189" xr:uid="{00000000-0004-0000-6B00-0000BC000000}"/>
    <hyperlink ref="B196" r:id="rId190" xr:uid="{00000000-0004-0000-6B00-0000BD000000}"/>
    <hyperlink ref="B197" r:id="rId191" xr:uid="{00000000-0004-0000-6B00-0000BE000000}"/>
    <hyperlink ref="B198" r:id="rId192" xr:uid="{00000000-0004-0000-6B00-0000BF000000}"/>
    <hyperlink ref="B199" r:id="rId193" xr:uid="{00000000-0004-0000-6B00-0000C0000000}"/>
    <hyperlink ref="B200" r:id="rId194" xr:uid="{00000000-0004-0000-6B00-0000C1000000}"/>
    <hyperlink ref="B201" r:id="rId195" xr:uid="{00000000-0004-0000-6B00-0000C2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09">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1.33203125" customWidth="1"/>
    <col min="4" max="4" width="14" customWidth="1"/>
    <col min="5" max="5" width="15.1640625" customWidth="1"/>
  </cols>
  <sheetData>
    <row r="1" spans="1:10" ht="15.75" customHeight="1">
      <c r="A1" s="131" t="s">
        <v>110</v>
      </c>
      <c r="B1" s="88"/>
      <c r="C1" s="112"/>
      <c r="D1" s="81" t="s">
        <v>181</v>
      </c>
      <c r="E1" s="87"/>
      <c r="F1" s="87"/>
      <c r="G1" s="87"/>
      <c r="H1" s="88"/>
      <c r="I1" s="88"/>
    </row>
    <row r="2" spans="1:10" ht="15.75" customHeight="1">
      <c r="A2" s="88" t="s">
        <v>182</v>
      </c>
      <c r="B2" s="139">
        <v>44274</v>
      </c>
      <c r="C2" s="112"/>
      <c r="D2" s="82">
        <f>SUM(D5:G187)</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51" t="s">
        <v>10197</v>
      </c>
      <c r="B5" s="60" t="s">
        <v>346</v>
      </c>
      <c r="C5" s="51" t="s">
        <v>205</v>
      </c>
      <c r="D5" s="54"/>
      <c r="E5" s="86"/>
      <c r="F5" s="86"/>
      <c r="G5" s="87"/>
      <c r="H5" s="88"/>
      <c r="I5" s="88"/>
      <c r="J5" s="88"/>
    </row>
    <row r="6" spans="1:10" ht="15.75" customHeight="1">
      <c r="A6" s="51" t="s">
        <v>10198</v>
      </c>
      <c r="B6" s="60" t="s">
        <v>345</v>
      </c>
      <c r="C6" s="51" t="s">
        <v>205</v>
      </c>
      <c r="D6" s="54"/>
      <c r="E6" s="86"/>
      <c r="F6" s="86"/>
      <c r="G6" s="87"/>
      <c r="H6" s="88"/>
      <c r="I6" s="88"/>
      <c r="J6" s="88"/>
    </row>
    <row r="7" spans="1:10" ht="15.75" customHeight="1">
      <c r="A7" s="51" t="s">
        <v>10199</v>
      </c>
      <c r="B7" s="60" t="s">
        <v>328</v>
      </c>
      <c r="C7" s="51" t="s">
        <v>205</v>
      </c>
      <c r="D7" s="54"/>
      <c r="E7" s="86"/>
      <c r="F7" s="86"/>
      <c r="G7" s="87"/>
      <c r="H7" s="88"/>
      <c r="I7" s="88"/>
    </row>
    <row r="8" spans="1:10" ht="15.75" customHeight="1">
      <c r="A8" s="51" t="s">
        <v>10200</v>
      </c>
      <c r="B8" s="60" t="s">
        <v>1432</v>
      </c>
      <c r="C8" s="51" t="s">
        <v>205</v>
      </c>
      <c r="D8" s="54"/>
      <c r="E8" s="86"/>
      <c r="F8" s="86"/>
      <c r="G8" s="87"/>
      <c r="H8" s="88"/>
      <c r="I8" s="88"/>
    </row>
    <row r="9" spans="1:10" ht="15.75" customHeight="1">
      <c r="A9" s="51" t="s">
        <v>10201</v>
      </c>
      <c r="B9" s="60" t="s">
        <v>1357</v>
      </c>
      <c r="C9" s="51" t="s">
        <v>205</v>
      </c>
      <c r="D9" s="54"/>
      <c r="E9" s="86"/>
      <c r="F9" s="86"/>
      <c r="G9" s="87"/>
      <c r="H9" s="88"/>
      <c r="I9" s="88"/>
    </row>
    <row r="10" spans="1:10" ht="15.75" customHeight="1">
      <c r="A10" s="51" t="s">
        <v>10202</v>
      </c>
      <c r="B10" s="61" t="s">
        <v>10203</v>
      </c>
      <c r="C10" s="51" t="s">
        <v>205</v>
      </c>
      <c r="D10" s="54"/>
      <c r="E10" s="86"/>
      <c r="F10" s="86"/>
      <c r="G10" s="87"/>
      <c r="H10" s="88"/>
      <c r="I10" s="88"/>
    </row>
    <row r="11" spans="1:10" ht="15.75" customHeight="1">
      <c r="A11" s="51" t="s">
        <v>10204</v>
      </c>
      <c r="B11" s="60" t="s">
        <v>3145</v>
      </c>
      <c r="C11" s="51" t="s">
        <v>205</v>
      </c>
      <c r="D11" s="54"/>
      <c r="E11" s="86"/>
      <c r="F11" s="86"/>
      <c r="G11" s="87"/>
      <c r="H11" s="88"/>
      <c r="I11" s="88"/>
    </row>
    <row r="12" spans="1:10" ht="15.75" customHeight="1">
      <c r="A12" s="51" t="s">
        <v>10205</v>
      </c>
      <c r="B12" s="60" t="s">
        <v>3133</v>
      </c>
      <c r="C12" s="51" t="s">
        <v>205</v>
      </c>
      <c r="D12" s="54"/>
      <c r="E12" s="86"/>
      <c r="F12" s="86"/>
      <c r="G12" s="87"/>
      <c r="H12" s="88"/>
      <c r="I12" s="88"/>
    </row>
    <row r="13" spans="1:10" ht="15.75" customHeight="1">
      <c r="A13" s="51" t="s">
        <v>10206</v>
      </c>
      <c r="B13" s="60" t="s">
        <v>3123</v>
      </c>
      <c r="C13" s="51" t="s">
        <v>205</v>
      </c>
      <c r="D13" s="54"/>
      <c r="E13" s="86"/>
      <c r="F13" s="86"/>
      <c r="G13" s="87"/>
      <c r="H13" s="88"/>
      <c r="I13" s="88"/>
    </row>
    <row r="14" spans="1:10" ht="15.75" customHeight="1">
      <c r="A14" s="51" t="s">
        <v>10207</v>
      </c>
      <c r="B14" s="60" t="s">
        <v>4107</v>
      </c>
      <c r="C14" s="51" t="s">
        <v>205</v>
      </c>
      <c r="D14" s="54"/>
      <c r="E14" s="86"/>
      <c r="F14" s="87"/>
      <c r="G14" s="87"/>
      <c r="H14" s="88"/>
      <c r="I14" s="88"/>
    </row>
    <row r="15" spans="1:10" ht="15.75" customHeight="1">
      <c r="A15" s="51" t="s">
        <v>10208</v>
      </c>
      <c r="B15" s="60" t="s">
        <v>5038</v>
      </c>
      <c r="C15" s="51" t="s">
        <v>205</v>
      </c>
      <c r="D15" s="54"/>
      <c r="E15" s="86"/>
      <c r="F15" s="86"/>
      <c r="G15" s="87"/>
      <c r="H15" s="88"/>
      <c r="I15" s="88"/>
    </row>
    <row r="16" spans="1:10" ht="15.75" customHeight="1">
      <c r="A16" s="51" t="s">
        <v>10209</v>
      </c>
      <c r="B16" s="60" t="s">
        <v>5039</v>
      </c>
      <c r="C16" s="51" t="s">
        <v>205</v>
      </c>
      <c r="D16" s="54"/>
      <c r="E16" s="86"/>
      <c r="F16" s="86"/>
      <c r="G16" s="87"/>
      <c r="H16" s="88"/>
      <c r="I16" s="88"/>
    </row>
    <row r="17" spans="1:9" ht="15.75" customHeight="1">
      <c r="A17" s="51" t="s">
        <v>10210</v>
      </c>
      <c r="B17" s="60" t="s">
        <v>4895</v>
      </c>
      <c r="C17" s="51" t="s">
        <v>205</v>
      </c>
      <c r="D17" s="54"/>
      <c r="E17" s="51"/>
      <c r="F17" s="86"/>
      <c r="G17" s="87"/>
      <c r="H17" s="88"/>
      <c r="I17" s="88"/>
    </row>
    <row r="18" spans="1:9" ht="15.75" customHeight="1">
      <c r="A18" s="51" t="s">
        <v>10211</v>
      </c>
      <c r="B18" s="60" t="s">
        <v>6467</v>
      </c>
      <c r="C18" s="51" t="s">
        <v>205</v>
      </c>
      <c r="D18" s="54"/>
      <c r="E18" s="86"/>
      <c r="F18" s="86"/>
      <c r="G18" s="87"/>
      <c r="H18" s="88"/>
      <c r="I18" s="88"/>
    </row>
    <row r="19" spans="1:9" ht="15.75" customHeight="1">
      <c r="A19" s="51" t="s">
        <v>10212</v>
      </c>
      <c r="B19" s="60" t="s">
        <v>6210</v>
      </c>
      <c r="C19" s="51" t="s">
        <v>205</v>
      </c>
      <c r="D19" s="54"/>
      <c r="E19" s="86"/>
      <c r="F19" s="86"/>
      <c r="G19" s="87"/>
      <c r="H19" s="88"/>
      <c r="I19" s="88"/>
    </row>
    <row r="20" spans="1:9" ht="15.75" customHeight="1">
      <c r="A20" s="51" t="s">
        <v>10213</v>
      </c>
      <c r="B20" s="60" t="s">
        <v>7569</v>
      </c>
      <c r="C20" s="51" t="s">
        <v>205</v>
      </c>
      <c r="D20" s="54"/>
      <c r="E20" s="86"/>
      <c r="F20" s="86"/>
      <c r="G20" s="87"/>
      <c r="H20" s="88"/>
      <c r="I20" s="88"/>
    </row>
    <row r="21" spans="1:9" ht="15.75" customHeight="1">
      <c r="A21" s="51" t="s">
        <v>10214</v>
      </c>
      <c r="B21" s="60" t="s">
        <v>8893</v>
      </c>
      <c r="C21" s="51" t="s">
        <v>205</v>
      </c>
      <c r="D21" s="54"/>
      <c r="E21" s="86"/>
      <c r="F21" s="89"/>
      <c r="G21" s="87"/>
      <c r="H21" s="88"/>
      <c r="I21" s="88"/>
    </row>
    <row r="22" spans="1:9" ht="15.75" customHeight="1">
      <c r="A22" s="51" t="s">
        <v>10215</v>
      </c>
      <c r="B22" s="61" t="s">
        <v>10216</v>
      </c>
      <c r="C22" s="51" t="s">
        <v>205</v>
      </c>
      <c r="D22" s="54"/>
      <c r="E22" s="86"/>
      <c r="F22" s="87"/>
      <c r="G22" s="87"/>
      <c r="H22" s="88"/>
      <c r="I22" s="88"/>
    </row>
    <row r="23" spans="1:9" ht="15.75" customHeight="1">
      <c r="A23" s="51" t="s">
        <v>10217</v>
      </c>
      <c r="B23" s="61" t="s">
        <v>10218</v>
      </c>
      <c r="C23" s="51" t="s">
        <v>205</v>
      </c>
      <c r="D23" s="54"/>
      <c r="E23" s="51"/>
    </row>
    <row r="24" spans="1:9" ht="15.75" customHeight="1">
      <c r="A24" s="51" t="s">
        <v>10219</v>
      </c>
      <c r="B24" s="60" t="s">
        <v>221</v>
      </c>
      <c r="C24" s="51" t="s">
        <v>199</v>
      </c>
      <c r="D24" s="54"/>
      <c r="E24" s="86"/>
      <c r="F24" s="87"/>
      <c r="G24" s="87"/>
      <c r="H24" s="88"/>
      <c r="I24" s="88"/>
    </row>
    <row r="25" spans="1:9" ht="15.75" customHeight="1">
      <c r="A25" s="51" t="s">
        <v>10220</v>
      </c>
      <c r="B25" s="61" t="s">
        <v>8705</v>
      </c>
      <c r="C25" s="51" t="s">
        <v>199</v>
      </c>
      <c r="D25" s="54"/>
      <c r="E25" s="86"/>
      <c r="F25" s="89"/>
      <c r="G25" s="87"/>
      <c r="H25" s="88"/>
      <c r="I25" s="88"/>
    </row>
    <row r="26" spans="1:9" ht="15.75" customHeight="1">
      <c r="A26" s="51" t="s">
        <v>10221</v>
      </c>
      <c r="B26" s="61" t="s">
        <v>10222</v>
      </c>
      <c r="C26" s="51" t="s">
        <v>199</v>
      </c>
      <c r="D26" s="54"/>
      <c r="E26" s="86"/>
      <c r="F26" s="86"/>
      <c r="G26" s="87"/>
      <c r="H26" s="88"/>
      <c r="I26" s="88"/>
    </row>
    <row r="27" spans="1:9" ht="15.75" customHeight="1">
      <c r="A27" s="51" t="s">
        <v>10223</v>
      </c>
      <c r="B27" s="60" t="s">
        <v>4030</v>
      </c>
      <c r="C27" s="51" t="s">
        <v>199</v>
      </c>
      <c r="D27" s="54"/>
      <c r="E27" s="86"/>
      <c r="F27" s="89"/>
      <c r="G27" s="87"/>
      <c r="H27" s="88"/>
      <c r="I27" s="88"/>
    </row>
    <row r="28" spans="1:9" ht="15.75" customHeight="1">
      <c r="A28" s="51" t="s">
        <v>10224</v>
      </c>
      <c r="B28" s="60" t="s">
        <v>4186</v>
      </c>
      <c r="C28" s="51" t="s">
        <v>199</v>
      </c>
      <c r="D28" s="54"/>
      <c r="E28" s="86"/>
      <c r="F28" s="86"/>
      <c r="G28" s="87"/>
      <c r="H28" s="88"/>
      <c r="I28" s="88"/>
    </row>
    <row r="29" spans="1:9" ht="15.75" customHeight="1">
      <c r="A29" s="51" t="s">
        <v>10225</v>
      </c>
      <c r="B29" s="60" t="s">
        <v>4144</v>
      </c>
      <c r="C29" s="51" t="s">
        <v>199</v>
      </c>
      <c r="D29" s="54"/>
      <c r="E29" s="86"/>
      <c r="F29" s="87"/>
      <c r="G29" s="87"/>
      <c r="H29" s="88"/>
      <c r="I29" s="88"/>
    </row>
    <row r="30" spans="1:9" ht="15.75" customHeight="1">
      <c r="A30" s="51" t="s">
        <v>10226</v>
      </c>
      <c r="B30" s="60" t="s">
        <v>4056</v>
      </c>
      <c r="C30" s="51" t="s">
        <v>199</v>
      </c>
      <c r="D30" s="54"/>
      <c r="E30" s="86"/>
      <c r="F30" s="87"/>
      <c r="G30" s="87"/>
      <c r="H30" s="88"/>
      <c r="I30" s="88"/>
    </row>
    <row r="31" spans="1:9" ht="15.75" customHeight="1">
      <c r="A31" s="51" t="s">
        <v>10227</v>
      </c>
      <c r="B31" s="60" t="s">
        <v>6366</v>
      </c>
      <c r="C31" s="51" t="s">
        <v>199</v>
      </c>
      <c r="D31" s="54"/>
      <c r="E31" s="86"/>
      <c r="F31" s="87"/>
      <c r="G31" s="87"/>
      <c r="H31" s="88"/>
      <c r="I31" s="88"/>
    </row>
    <row r="32" spans="1:9" ht="15.75" customHeight="1">
      <c r="A32" s="51" t="s">
        <v>10228</v>
      </c>
      <c r="B32" s="60" t="s">
        <v>6545</v>
      </c>
      <c r="C32" s="51" t="s">
        <v>199</v>
      </c>
      <c r="D32" s="54"/>
      <c r="E32" s="86"/>
      <c r="F32" s="87"/>
      <c r="G32" s="87"/>
      <c r="H32" s="88"/>
      <c r="I32" s="88"/>
    </row>
    <row r="33" spans="1:9" ht="15.75" customHeight="1">
      <c r="A33" s="51" t="s">
        <v>10229</v>
      </c>
      <c r="B33" s="60" t="s">
        <v>8918</v>
      </c>
      <c r="C33" s="51" t="s">
        <v>199</v>
      </c>
      <c r="D33" s="54"/>
      <c r="E33" s="86"/>
      <c r="F33" s="87"/>
      <c r="G33" s="87"/>
      <c r="H33" s="88"/>
      <c r="I33" s="88"/>
    </row>
    <row r="34" spans="1:9" ht="15.75" customHeight="1">
      <c r="A34" s="51" t="s">
        <v>10230</v>
      </c>
      <c r="B34" s="60" t="s">
        <v>8618</v>
      </c>
      <c r="C34" s="51" t="s">
        <v>199</v>
      </c>
      <c r="D34" s="54"/>
      <c r="E34" s="86"/>
      <c r="F34" s="87"/>
      <c r="G34" s="87"/>
      <c r="H34" s="88"/>
      <c r="I34" s="88"/>
    </row>
    <row r="35" spans="1:9" ht="15.75" customHeight="1">
      <c r="A35" s="51" t="s">
        <v>10231</v>
      </c>
      <c r="B35" s="60" t="s">
        <v>382</v>
      </c>
      <c r="C35" s="51" t="s">
        <v>208</v>
      </c>
      <c r="D35" s="54"/>
      <c r="E35" s="86"/>
      <c r="F35" s="86"/>
      <c r="G35" s="87"/>
      <c r="H35" s="88"/>
      <c r="I35" s="88"/>
    </row>
    <row r="36" spans="1:9" ht="15.75" customHeight="1">
      <c r="A36" s="51" t="s">
        <v>10232</v>
      </c>
      <c r="B36" s="60" t="s">
        <v>375</v>
      </c>
      <c r="C36" s="51" t="s">
        <v>208</v>
      </c>
      <c r="D36" s="54"/>
      <c r="E36" s="86"/>
      <c r="F36" s="86"/>
      <c r="G36" s="87"/>
      <c r="H36" s="88"/>
      <c r="I36" s="88"/>
    </row>
    <row r="37" spans="1:9" ht="15.75" customHeight="1">
      <c r="A37" s="51" t="s">
        <v>10233</v>
      </c>
      <c r="B37" s="60" t="s">
        <v>779</v>
      </c>
      <c r="C37" s="51" t="s">
        <v>208</v>
      </c>
      <c r="D37" s="54"/>
      <c r="E37" s="89"/>
      <c r="F37" s="87"/>
      <c r="G37" s="87"/>
      <c r="H37" s="88"/>
      <c r="I37" s="88"/>
    </row>
    <row r="38" spans="1:9" ht="15.75" customHeight="1">
      <c r="A38" s="51" t="s">
        <v>10234</v>
      </c>
      <c r="B38" s="60" t="s">
        <v>9177</v>
      </c>
      <c r="C38" s="51" t="s">
        <v>208</v>
      </c>
      <c r="D38" s="54"/>
      <c r="E38" s="86"/>
      <c r="F38" s="87"/>
      <c r="G38" s="87"/>
      <c r="H38" s="88"/>
      <c r="I38" s="88"/>
    </row>
    <row r="39" spans="1:9" ht="15.75" customHeight="1">
      <c r="A39" s="51" t="s">
        <v>10235</v>
      </c>
      <c r="B39" s="60" t="s">
        <v>8664</v>
      </c>
      <c r="C39" s="51" t="s">
        <v>208</v>
      </c>
      <c r="D39" s="54"/>
      <c r="E39" s="86"/>
      <c r="F39" s="86"/>
      <c r="G39" s="87"/>
      <c r="H39" s="88"/>
      <c r="I39" s="88"/>
    </row>
    <row r="40" spans="1:9" ht="15.75" customHeight="1">
      <c r="A40" s="51" t="s">
        <v>10236</v>
      </c>
      <c r="B40" s="60" t="s">
        <v>979</v>
      </c>
      <c r="C40" s="51" t="s">
        <v>208</v>
      </c>
      <c r="D40" s="54"/>
      <c r="E40" s="86"/>
      <c r="F40" s="87"/>
      <c r="G40" s="87"/>
      <c r="H40" s="88"/>
      <c r="I40" s="88"/>
    </row>
    <row r="41" spans="1:9" ht="15.75" customHeight="1">
      <c r="A41" s="51" t="s">
        <v>10237</v>
      </c>
      <c r="B41" s="60" t="s">
        <v>975</v>
      </c>
      <c r="C41" s="51" t="s">
        <v>208</v>
      </c>
      <c r="D41" s="54"/>
      <c r="E41" s="86"/>
      <c r="F41" s="86"/>
      <c r="G41" s="87"/>
      <c r="H41" s="88"/>
      <c r="I41" s="88"/>
    </row>
    <row r="42" spans="1:9" ht="15.75" customHeight="1">
      <c r="A42" s="51" t="s">
        <v>10238</v>
      </c>
      <c r="B42" s="60" t="s">
        <v>1561</v>
      </c>
      <c r="C42" s="51" t="s">
        <v>208</v>
      </c>
      <c r="D42" s="54"/>
      <c r="E42" s="86"/>
      <c r="F42" s="87"/>
      <c r="G42" s="87"/>
      <c r="H42" s="88"/>
      <c r="I42" s="88"/>
    </row>
    <row r="43" spans="1:9" ht="15.75" customHeight="1">
      <c r="A43" s="51" t="s">
        <v>10239</v>
      </c>
      <c r="B43" s="60" t="s">
        <v>1495</v>
      </c>
      <c r="C43" s="51" t="s">
        <v>208</v>
      </c>
      <c r="D43" s="54"/>
      <c r="E43" s="86"/>
      <c r="F43" s="86"/>
      <c r="G43" s="87"/>
      <c r="H43" s="88"/>
      <c r="I43" s="88"/>
    </row>
    <row r="44" spans="1:9" ht="15.75" customHeight="1">
      <c r="A44" s="51" t="s">
        <v>10240</v>
      </c>
      <c r="B44" s="61" t="s">
        <v>8713</v>
      </c>
      <c r="C44" s="51" t="s">
        <v>208</v>
      </c>
      <c r="D44" s="54"/>
      <c r="E44" s="86"/>
      <c r="F44" s="86"/>
      <c r="G44" s="87"/>
      <c r="H44" s="88"/>
      <c r="I44" s="88"/>
    </row>
    <row r="45" spans="1:9" ht="15.75" customHeight="1">
      <c r="A45" s="51" t="s">
        <v>10241</v>
      </c>
      <c r="B45" s="60" t="s">
        <v>4067</v>
      </c>
      <c r="C45" s="51" t="s">
        <v>208</v>
      </c>
      <c r="D45" s="54"/>
      <c r="E45" s="86"/>
      <c r="F45" s="87"/>
      <c r="G45" s="87"/>
      <c r="H45" s="88"/>
      <c r="I45" s="88"/>
    </row>
    <row r="46" spans="1:9" ht="15.75" customHeight="1">
      <c r="A46" s="51" t="s">
        <v>10242</v>
      </c>
      <c r="B46" s="60" t="s">
        <v>4068</v>
      </c>
      <c r="C46" s="51" t="s">
        <v>208</v>
      </c>
      <c r="D46" s="54"/>
      <c r="E46" s="86"/>
      <c r="F46" s="86"/>
      <c r="G46" s="87"/>
      <c r="H46" s="88"/>
      <c r="I46" s="88"/>
    </row>
    <row r="47" spans="1:9" ht="15.75" customHeight="1">
      <c r="A47" s="51" t="s">
        <v>10243</v>
      </c>
      <c r="B47" s="60" t="s">
        <v>6481</v>
      </c>
      <c r="C47" s="51" t="s">
        <v>208</v>
      </c>
      <c r="D47" s="54"/>
      <c r="E47" s="89"/>
      <c r="F47" s="87"/>
      <c r="G47" s="87"/>
      <c r="H47" s="88"/>
      <c r="I47" s="88"/>
    </row>
    <row r="48" spans="1:9" ht="15.75" customHeight="1">
      <c r="A48" s="51" t="s">
        <v>10244</v>
      </c>
      <c r="B48" s="60" t="s">
        <v>193</v>
      </c>
      <c r="C48" s="51" t="s">
        <v>192</v>
      </c>
      <c r="D48" s="54"/>
      <c r="E48" s="86"/>
      <c r="F48" s="86"/>
      <c r="G48" s="87"/>
      <c r="H48" s="88"/>
      <c r="I48" s="88"/>
    </row>
    <row r="49" spans="1:9" ht="15.75" customHeight="1">
      <c r="A49" s="51" t="s">
        <v>10245</v>
      </c>
      <c r="B49" s="60" t="s">
        <v>3110</v>
      </c>
      <c r="C49" s="51" t="s">
        <v>192</v>
      </c>
      <c r="D49" s="54"/>
      <c r="E49" s="86"/>
      <c r="F49" s="87"/>
      <c r="G49" s="87"/>
      <c r="H49" s="88"/>
      <c r="I49" s="88"/>
    </row>
    <row r="50" spans="1:9" ht="15.75" customHeight="1">
      <c r="A50" s="51" t="s">
        <v>10246</v>
      </c>
      <c r="B50" s="60" t="s">
        <v>3043</v>
      </c>
      <c r="C50" s="51" t="s">
        <v>192</v>
      </c>
      <c r="D50" s="54"/>
      <c r="E50" s="86"/>
      <c r="F50" s="86"/>
      <c r="G50" s="87"/>
      <c r="H50" s="88"/>
      <c r="I50" s="88"/>
    </row>
    <row r="51" spans="1:9" ht="15.75" customHeight="1">
      <c r="A51" s="51" t="s">
        <v>10247</v>
      </c>
      <c r="B51" s="60" t="s">
        <v>3137</v>
      </c>
      <c r="C51" s="51" t="s">
        <v>192</v>
      </c>
      <c r="D51" s="54"/>
      <c r="E51" s="89"/>
      <c r="F51" s="87"/>
      <c r="G51" s="87"/>
      <c r="H51" s="88"/>
      <c r="I51" s="88"/>
    </row>
    <row r="52" spans="1:9" ht="15.75" customHeight="1">
      <c r="A52" s="51" t="s">
        <v>10248</v>
      </c>
      <c r="B52" s="60" t="s">
        <v>3114</v>
      </c>
      <c r="C52" s="51" t="s">
        <v>192</v>
      </c>
      <c r="D52" s="54"/>
      <c r="E52" s="89"/>
      <c r="F52" s="87"/>
      <c r="G52" s="87"/>
      <c r="H52" s="88"/>
      <c r="I52" s="88"/>
    </row>
    <row r="53" spans="1:9" ht="13">
      <c r="A53" s="51" t="s">
        <v>10249</v>
      </c>
      <c r="B53" s="60" t="s">
        <v>3022</v>
      </c>
      <c r="C53" s="51" t="s">
        <v>192</v>
      </c>
      <c r="D53" s="54"/>
      <c r="E53" s="87"/>
      <c r="F53" s="87"/>
      <c r="G53" s="87"/>
      <c r="H53" s="88"/>
      <c r="I53" s="88"/>
    </row>
    <row r="54" spans="1:9" ht="13">
      <c r="A54" s="51" t="s">
        <v>10250</v>
      </c>
      <c r="B54" s="61" t="s">
        <v>10251</v>
      </c>
      <c r="C54" s="51" t="s">
        <v>192</v>
      </c>
      <c r="D54" s="54"/>
      <c r="E54" s="86"/>
      <c r="F54" s="86"/>
      <c r="G54" s="87"/>
      <c r="H54" s="88"/>
      <c r="I54" s="88"/>
    </row>
    <row r="55" spans="1:9" ht="13">
      <c r="A55" s="51" t="s">
        <v>10252</v>
      </c>
      <c r="B55" s="61" t="s">
        <v>10253</v>
      </c>
      <c r="C55" s="51" t="s">
        <v>192</v>
      </c>
      <c r="D55" s="54"/>
      <c r="E55" s="86"/>
      <c r="F55" s="87"/>
      <c r="G55" s="87"/>
      <c r="H55" s="88"/>
      <c r="I55" s="88"/>
    </row>
    <row r="56" spans="1:9" ht="13">
      <c r="A56" s="51" t="s">
        <v>10254</v>
      </c>
      <c r="B56" s="60" t="s">
        <v>8960</v>
      </c>
      <c r="C56" s="51" t="s">
        <v>192</v>
      </c>
      <c r="D56" s="54"/>
      <c r="E56" s="86"/>
      <c r="F56" s="86"/>
      <c r="G56" s="87"/>
      <c r="H56" s="88"/>
      <c r="I56" s="88"/>
    </row>
    <row r="57" spans="1:9" ht="13">
      <c r="A57" s="51" t="s">
        <v>10255</v>
      </c>
      <c r="B57" s="60" t="s">
        <v>8963</v>
      </c>
      <c r="C57" s="51" t="s">
        <v>192</v>
      </c>
      <c r="D57" s="54"/>
      <c r="E57" s="86"/>
      <c r="F57" s="86"/>
      <c r="G57" s="87"/>
      <c r="H57" s="88"/>
      <c r="I57" s="88"/>
    </row>
    <row r="58" spans="1:9" ht="13">
      <c r="A58" s="51" t="s">
        <v>10256</v>
      </c>
      <c r="B58" s="60" t="s">
        <v>8740</v>
      </c>
      <c r="C58" s="51" t="s">
        <v>195</v>
      </c>
      <c r="D58" s="54"/>
      <c r="E58" s="86"/>
      <c r="F58" s="86"/>
      <c r="G58" s="87"/>
      <c r="H58" s="88"/>
      <c r="I58" s="88"/>
    </row>
    <row r="59" spans="1:9" ht="13">
      <c r="A59" s="51" t="s">
        <v>10257</v>
      </c>
      <c r="B59" s="60" t="s">
        <v>1584</v>
      </c>
      <c r="C59" s="51" t="s">
        <v>195</v>
      </c>
      <c r="D59" s="54"/>
      <c r="E59" s="86"/>
      <c r="F59" s="87"/>
      <c r="G59" s="87"/>
      <c r="H59" s="88"/>
      <c r="I59" s="88"/>
    </row>
    <row r="60" spans="1:9" ht="13">
      <c r="A60" s="51" t="s">
        <v>10258</v>
      </c>
      <c r="B60" s="60" t="s">
        <v>1499</v>
      </c>
      <c r="C60" s="51" t="s">
        <v>195</v>
      </c>
      <c r="D60" s="54"/>
      <c r="E60" s="86"/>
      <c r="F60" s="87"/>
      <c r="G60" s="87"/>
      <c r="H60" s="88"/>
      <c r="I60" s="88"/>
    </row>
    <row r="61" spans="1:9" ht="13">
      <c r="A61" s="51" t="s">
        <v>10259</v>
      </c>
      <c r="B61" s="60" t="s">
        <v>1400</v>
      </c>
      <c r="C61" s="51" t="s">
        <v>195</v>
      </c>
      <c r="D61" s="54"/>
      <c r="E61" s="86"/>
      <c r="F61" s="87"/>
      <c r="G61" s="87"/>
      <c r="H61" s="88"/>
      <c r="I61" s="88"/>
    </row>
    <row r="62" spans="1:9" ht="13">
      <c r="A62" s="51" t="s">
        <v>10260</v>
      </c>
      <c r="B62" s="60" t="s">
        <v>1790</v>
      </c>
      <c r="C62" s="51" t="s">
        <v>195</v>
      </c>
      <c r="D62" s="54"/>
      <c r="E62" s="89"/>
      <c r="F62" s="86"/>
      <c r="G62" s="87"/>
      <c r="H62" s="88"/>
      <c r="I62" s="88"/>
    </row>
    <row r="63" spans="1:9" ht="13">
      <c r="A63" s="51" t="s">
        <v>10261</v>
      </c>
      <c r="B63" s="60" t="s">
        <v>1199</v>
      </c>
      <c r="C63" s="51" t="s">
        <v>195</v>
      </c>
      <c r="D63" s="54"/>
      <c r="E63" s="86"/>
      <c r="F63" s="87"/>
      <c r="G63" s="87"/>
      <c r="H63" s="88"/>
      <c r="I63" s="88"/>
    </row>
    <row r="64" spans="1:9" ht="13">
      <c r="A64" s="51" t="s">
        <v>10262</v>
      </c>
      <c r="B64" s="60" t="s">
        <v>5094</v>
      </c>
      <c r="C64" s="51" t="s">
        <v>195</v>
      </c>
      <c r="D64" s="54"/>
      <c r="E64" s="86"/>
      <c r="F64" s="86"/>
      <c r="G64" s="87"/>
      <c r="H64" s="88"/>
      <c r="I64" s="88"/>
    </row>
    <row r="65" spans="1:9" ht="13">
      <c r="A65" s="51" t="s">
        <v>10263</v>
      </c>
      <c r="B65" s="60" t="s">
        <v>4799</v>
      </c>
      <c r="C65" s="51" t="s">
        <v>195</v>
      </c>
      <c r="D65" s="54"/>
      <c r="E65" s="86"/>
      <c r="F65" s="86"/>
      <c r="G65" s="87"/>
      <c r="H65" s="88"/>
      <c r="I65" s="88"/>
    </row>
    <row r="66" spans="1:9" ht="13">
      <c r="A66" s="51" t="s">
        <v>10264</v>
      </c>
      <c r="B66" s="61" t="s">
        <v>10265</v>
      </c>
      <c r="C66" s="51" t="s">
        <v>195</v>
      </c>
      <c r="D66" s="54"/>
      <c r="E66" s="86"/>
      <c r="F66" s="86"/>
      <c r="G66" s="87"/>
      <c r="H66" s="88"/>
      <c r="I66" s="88"/>
    </row>
    <row r="67" spans="1:9" ht="13">
      <c r="A67" s="51" t="s">
        <v>10266</v>
      </c>
      <c r="B67" s="61" t="s">
        <v>10267</v>
      </c>
      <c r="C67" s="51" t="s">
        <v>195</v>
      </c>
      <c r="D67" s="54"/>
      <c r="E67" s="86"/>
      <c r="F67" s="87"/>
      <c r="G67" s="87"/>
      <c r="H67" s="88"/>
      <c r="I67" s="88"/>
    </row>
    <row r="68" spans="1:9" ht="13">
      <c r="A68" s="51" t="s">
        <v>10268</v>
      </c>
      <c r="B68" s="60" t="s">
        <v>8896</v>
      </c>
      <c r="C68" s="51" t="s">
        <v>195</v>
      </c>
      <c r="D68" s="54"/>
      <c r="E68" s="86"/>
      <c r="F68" s="86"/>
      <c r="G68" s="87"/>
      <c r="H68" s="88"/>
      <c r="I68" s="88"/>
    </row>
    <row r="69" spans="1:9" ht="13">
      <c r="A69" s="51" t="s">
        <v>10269</v>
      </c>
      <c r="B69" s="60" t="s">
        <v>8898</v>
      </c>
      <c r="C69" s="51" t="s">
        <v>195</v>
      </c>
      <c r="D69" s="54"/>
      <c r="E69" s="86"/>
      <c r="F69" s="87"/>
      <c r="G69" s="87"/>
      <c r="H69" s="88"/>
      <c r="I69" s="88"/>
    </row>
    <row r="70" spans="1:9" ht="13">
      <c r="A70" s="51" t="s">
        <v>10270</v>
      </c>
      <c r="B70" s="60" t="s">
        <v>350</v>
      </c>
      <c r="C70" s="51" t="s">
        <v>225</v>
      </c>
      <c r="D70" s="54"/>
      <c r="E70" s="86"/>
      <c r="F70" s="87"/>
      <c r="G70" s="87"/>
      <c r="H70" s="88"/>
      <c r="I70" s="88"/>
    </row>
    <row r="71" spans="1:9" ht="13">
      <c r="A71" s="51" t="s">
        <v>10271</v>
      </c>
      <c r="B71" s="60" t="s">
        <v>341</v>
      </c>
      <c r="C71" s="51" t="s">
        <v>225</v>
      </c>
      <c r="D71" s="54"/>
      <c r="E71" s="86"/>
      <c r="F71" s="86"/>
      <c r="G71" s="87"/>
      <c r="H71" s="88"/>
      <c r="I71" s="88"/>
    </row>
    <row r="72" spans="1:9" ht="13">
      <c r="A72" s="51" t="s">
        <v>10272</v>
      </c>
      <c r="B72" s="60" t="s">
        <v>288</v>
      </c>
      <c r="C72" s="51" t="s">
        <v>225</v>
      </c>
      <c r="D72" s="54"/>
      <c r="E72" s="86"/>
      <c r="F72" s="87"/>
      <c r="G72" s="87"/>
      <c r="H72" s="88"/>
      <c r="I72" s="88"/>
    </row>
    <row r="73" spans="1:9" ht="13">
      <c r="A73" s="51" t="s">
        <v>10273</v>
      </c>
      <c r="B73" s="60" t="s">
        <v>347</v>
      </c>
      <c r="C73" s="51" t="s">
        <v>225</v>
      </c>
      <c r="D73" s="54"/>
      <c r="E73" s="86"/>
      <c r="F73" s="87"/>
      <c r="G73" s="87"/>
      <c r="H73" s="88"/>
      <c r="I73" s="88"/>
    </row>
    <row r="74" spans="1:9" ht="13">
      <c r="A74" s="51" t="s">
        <v>10274</v>
      </c>
      <c r="B74" s="60" t="s">
        <v>337</v>
      </c>
      <c r="C74" s="51" t="s">
        <v>225</v>
      </c>
      <c r="D74" s="54"/>
      <c r="E74" s="86"/>
      <c r="F74" s="87"/>
      <c r="G74" s="87"/>
      <c r="H74" s="88"/>
      <c r="I74" s="88"/>
    </row>
    <row r="75" spans="1:9" ht="13">
      <c r="A75" s="51" t="s">
        <v>10275</v>
      </c>
      <c r="B75" s="60" t="s">
        <v>867</v>
      </c>
      <c r="C75" s="51" t="s">
        <v>225</v>
      </c>
      <c r="D75" s="54"/>
      <c r="E75" s="86"/>
      <c r="F75" s="86"/>
      <c r="G75" s="87"/>
      <c r="H75" s="88"/>
      <c r="I75" s="88"/>
    </row>
    <row r="76" spans="1:9" ht="13">
      <c r="A76" s="51" t="s">
        <v>10276</v>
      </c>
      <c r="B76" s="60" t="s">
        <v>3082</v>
      </c>
      <c r="C76" s="51" t="s">
        <v>225</v>
      </c>
      <c r="D76" s="54"/>
      <c r="E76" s="86"/>
      <c r="F76" s="87"/>
      <c r="G76" s="87"/>
      <c r="H76" s="88"/>
      <c r="I76" s="88"/>
    </row>
    <row r="77" spans="1:9" ht="13">
      <c r="A77" s="51" t="s">
        <v>10277</v>
      </c>
      <c r="B77" s="60" t="s">
        <v>4090</v>
      </c>
      <c r="C77" s="51" t="s">
        <v>225</v>
      </c>
      <c r="D77" s="54"/>
      <c r="E77" s="86"/>
      <c r="F77" s="87"/>
      <c r="G77" s="87"/>
      <c r="H77" s="88"/>
      <c r="I77" s="88"/>
    </row>
    <row r="78" spans="1:9" ht="13">
      <c r="A78" s="51" t="s">
        <v>10278</v>
      </c>
      <c r="B78" s="60" t="s">
        <v>4091</v>
      </c>
      <c r="C78" s="51" t="s">
        <v>225</v>
      </c>
      <c r="D78" s="54"/>
      <c r="E78" s="86"/>
      <c r="F78" s="87"/>
      <c r="G78" s="87"/>
      <c r="H78" s="88"/>
      <c r="I78" s="88"/>
    </row>
    <row r="79" spans="1:9" ht="13">
      <c r="A79" s="51" t="s">
        <v>10279</v>
      </c>
      <c r="B79" s="60" t="s">
        <v>4092</v>
      </c>
      <c r="C79" s="51" t="s">
        <v>225</v>
      </c>
      <c r="D79" s="54"/>
      <c r="E79" s="86"/>
      <c r="F79" s="86"/>
      <c r="G79" s="87"/>
      <c r="H79" s="88"/>
      <c r="I79" s="88"/>
    </row>
    <row r="80" spans="1:9" ht="13">
      <c r="A80" s="51" t="s">
        <v>10280</v>
      </c>
      <c r="B80" s="60" t="s">
        <v>4095</v>
      </c>
      <c r="C80" s="51" t="s">
        <v>225</v>
      </c>
      <c r="D80" s="54"/>
      <c r="E80" s="86"/>
      <c r="F80" s="86"/>
      <c r="G80" s="87"/>
      <c r="H80" s="88"/>
      <c r="I80" s="88"/>
    </row>
    <row r="81" spans="1:9" ht="13">
      <c r="A81" s="51" t="s">
        <v>10281</v>
      </c>
      <c r="B81" s="60" t="s">
        <v>4096</v>
      </c>
      <c r="C81" s="51" t="s">
        <v>225</v>
      </c>
      <c r="D81" s="54"/>
      <c r="E81" s="86"/>
      <c r="F81" s="87"/>
      <c r="G81" s="87"/>
      <c r="H81" s="88"/>
      <c r="I81" s="88"/>
    </row>
    <row r="82" spans="1:9" ht="13">
      <c r="A82" s="51" t="s">
        <v>10282</v>
      </c>
      <c r="B82" s="60" t="s">
        <v>9263</v>
      </c>
      <c r="C82" s="51" t="s">
        <v>225</v>
      </c>
      <c r="D82" s="54"/>
      <c r="E82" s="86"/>
      <c r="F82" s="86"/>
      <c r="G82" s="87"/>
      <c r="H82" s="88"/>
      <c r="I82" s="88"/>
    </row>
    <row r="83" spans="1:9" ht="13">
      <c r="A83" s="51" t="s">
        <v>10283</v>
      </c>
      <c r="B83" s="60" t="s">
        <v>9265</v>
      </c>
      <c r="C83" s="51" t="s">
        <v>225</v>
      </c>
      <c r="D83" s="54"/>
      <c r="E83" s="86"/>
      <c r="F83" s="86"/>
      <c r="G83" s="87"/>
      <c r="H83" s="88"/>
      <c r="I83" s="88"/>
    </row>
    <row r="84" spans="1:9" ht="13">
      <c r="A84" s="51" t="s">
        <v>10284</v>
      </c>
      <c r="B84" s="60" t="s">
        <v>8627</v>
      </c>
      <c r="C84" s="51" t="s">
        <v>225</v>
      </c>
      <c r="D84" s="54"/>
      <c r="E84" s="86"/>
      <c r="F84" s="87"/>
      <c r="G84" s="87"/>
      <c r="H84" s="88"/>
      <c r="I84" s="88"/>
    </row>
    <row r="85" spans="1:9" ht="13">
      <c r="A85" s="51" t="s">
        <v>10285</v>
      </c>
      <c r="B85" s="60" t="s">
        <v>8999</v>
      </c>
      <c r="C85" s="51" t="s">
        <v>225</v>
      </c>
      <c r="D85" s="54"/>
      <c r="E85" s="86"/>
      <c r="F85" s="87"/>
      <c r="G85" s="87"/>
      <c r="H85" s="88"/>
      <c r="I85" s="88"/>
    </row>
    <row r="86" spans="1:9" ht="13">
      <c r="A86" s="51" t="s">
        <v>10286</v>
      </c>
      <c r="B86" s="60" t="s">
        <v>9002</v>
      </c>
      <c r="C86" s="51" t="s">
        <v>225</v>
      </c>
      <c r="D86" s="54"/>
      <c r="E86" s="86"/>
      <c r="F86" s="87"/>
      <c r="G86" s="87"/>
      <c r="H86" s="88"/>
      <c r="I86" s="88"/>
    </row>
    <row r="87" spans="1:9" ht="13">
      <c r="A87" s="51" t="s">
        <v>10287</v>
      </c>
      <c r="B87" s="60" t="s">
        <v>9269</v>
      </c>
      <c r="C87" s="51" t="s">
        <v>225</v>
      </c>
      <c r="D87" s="54"/>
      <c r="E87" s="86"/>
      <c r="F87" s="89"/>
      <c r="G87" s="87"/>
      <c r="H87" s="88"/>
      <c r="I87" s="88"/>
    </row>
    <row r="88" spans="1:9" ht="13">
      <c r="A88" s="51" t="s">
        <v>10288</v>
      </c>
      <c r="B88" s="60" t="s">
        <v>9010</v>
      </c>
      <c r="C88" s="51" t="s">
        <v>225</v>
      </c>
      <c r="D88" s="54"/>
      <c r="E88" s="86"/>
      <c r="F88" s="87"/>
      <c r="G88" s="87"/>
      <c r="H88" s="88"/>
      <c r="I88" s="88"/>
    </row>
    <row r="89" spans="1:9" ht="13">
      <c r="A89" s="51" t="s">
        <v>10289</v>
      </c>
      <c r="B89" s="61" t="s">
        <v>8709</v>
      </c>
      <c r="C89" s="51" t="s">
        <v>225</v>
      </c>
      <c r="D89" s="54"/>
      <c r="E89" s="86"/>
      <c r="F89" s="86"/>
      <c r="G89" s="87"/>
      <c r="H89" s="88"/>
      <c r="I89" s="88"/>
    </row>
    <row r="90" spans="1:9" ht="13">
      <c r="A90" s="51" t="s">
        <v>10290</v>
      </c>
      <c r="B90" s="61" t="s">
        <v>10291</v>
      </c>
      <c r="C90" s="51" t="s">
        <v>225</v>
      </c>
      <c r="D90" s="54"/>
      <c r="E90" s="86"/>
      <c r="F90" s="87"/>
      <c r="G90" s="87"/>
      <c r="H90" s="88"/>
      <c r="I90" s="88"/>
    </row>
    <row r="91" spans="1:9" ht="13">
      <c r="A91" s="51" t="s">
        <v>10292</v>
      </c>
      <c r="B91" s="61" t="s">
        <v>8711</v>
      </c>
      <c r="C91" s="51" t="s">
        <v>225</v>
      </c>
      <c r="D91" s="54"/>
      <c r="E91" s="86"/>
      <c r="F91" s="87"/>
      <c r="G91" s="87"/>
      <c r="H91" s="88"/>
      <c r="I91" s="88"/>
    </row>
    <row r="92" spans="1:9" ht="13">
      <c r="A92" s="51" t="s">
        <v>10293</v>
      </c>
      <c r="B92" s="61" t="s">
        <v>10294</v>
      </c>
      <c r="C92" s="51" t="s">
        <v>225</v>
      </c>
      <c r="D92" s="54"/>
      <c r="E92" s="86"/>
      <c r="F92" s="86"/>
      <c r="G92" s="87"/>
      <c r="H92" s="88"/>
      <c r="I92" s="88"/>
    </row>
    <row r="93" spans="1:9" ht="13">
      <c r="A93" s="51" t="s">
        <v>10295</v>
      </c>
      <c r="B93" s="60" t="s">
        <v>389</v>
      </c>
      <c r="C93" s="51" t="s">
        <v>808</v>
      </c>
      <c r="D93" s="54"/>
      <c r="E93" s="86"/>
      <c r="F93" s="86"/>
      <c r="G93" s="87"/>
      <c r="H93" s="88"/>
      <c r="I93" s="88"/>
    </row>
    <row r="94" spans="1:9" ht="13">
      <c r="A94" s="51" t="s">
        <v>10296</v>
      </c>
      <c r="B94" s="60" t="s">
        <v>368</v>
      </c>
      <c r="C94" s="51" t="s">
        <v>808</v>
      </c>
      <c r="D94" s="54"/>
      <c r="E94" s="86"/>
      <c r="F94" s="87"/>
      <c r="G94" s="87"/>
      <c r="H94" s="88"/>
      <c r="I94" s="88"/>
    </row>
    <row r="95" spans="1:9" ht="13">
      <c r="A95" s="51" t="s">
        <v>10297</v>
      </c>
      <c r="B95" s="60" t="s">
        <v>969</v>
      </c>
      <c r="C95" s="51" t="s">
        <v>808</v>
      </c>
      <c r="D95" s="54"/>
      <c r="E95" s="86"/>
      <c r="F95" s="86"/>
      <c r="G95" s="87"/>
      <c r="H95" s="88"/>
      <c r="I95" s="88"/>
    </row>
    <row r="96" spans="1:9" ht="13">
      <c r="A96" s="51" t="s">
        <v>10298</v>
      </c>
      <c r="B96" s="60" t="s">
        <v>10299</v>
      </c>
      <c r="C96" s="51" t="s">
        <v>808</v>
      </c>
      <c r="D96" s="54"/>
      <c r="E96" s="86"/>
      <c r="F96" s="87"/>
      <c r="G96" s="87"/>
      <c r="H96" s="88"/>
      <c r="I96" s="88"/>
    </row>
    <row r="97" spans="1:9" ht="13">
      <c r="A97" s="51" t="s">
        <v>10300</v>
      </c>
      <c r="B97" s="60" t="s">
        <v>807</v>
      </c>
      <c r="C97" s="51" t="s">
        <v>808</v>
      </c>
      <c r="D97" s="54"/>
      <c r="E97" s="86"/>
      <c r="F97" s="87"/>
      <c r="G97" s="87"/>
      <c r="H97" s="88"/>
      <c r="I97" s="88"/>
    </row>
    <row r="98" spans="1:9" ht="13">
      <c r="A98" s="51" t="s">
        <v>10301</v>
      </c>
      <c r="B98" s="60" t="s">
        <v>3169</v>
      </c>
      <c r="C98" s="51" t="s">
        <v>808</v>
      </c>
      <c r="D98" s="54"/>
      <c r="E98" s="86"/>
      <c r="F98" s="87"/>
      <c r="G98" s="87"/>
      <c r="H98" s="88"/>
      <c r="I98" s="88"/>
    </row>
    <row r="99" spans="1:9" ht="13">
      <c r="A99" s="51" t="s">
        <v>10302</v>
      </c>
      <c r="B99" s="60" t="s">
        <v>939</v>
      </c>
      <c r="C99" s="51" t="s">
        <v>808</v>
      </c>
      <c r="D99" s="54"/>
      <c r="E99" s="86"/>
      <c r="F99" s="86"/>
      <c r="G99" s="87"/>
      <c r="H99" s="88"/>
      <c r="I99" s="88"/>
    </row>
    <row r="100" spans="1:9" ht="13">
      <c r="A100" s="51" t="s">
        <v>10303</v>
      </c>
      <c r="B100" s="60" t="s">
        <v>938</v>
      </c>
      <c r="C100" s="51" t="s">
        <v>808</v>
      </c>
      <c r="D100" s="54"/>
      <c r="E100" s="86"/>
      <c r="F100" s="87"/>
      <c r="G100" s="87"/>
      <c r="H100" s="88"/>
      <c r="I100" s="88"/>
    </row>
    <row r="101" spans="1:9" ht="13">
      <c r="A101" s="51" t="s">
        <v>10304</v>
      </c>
      <c r="B101" s="61" t="s">
        <v>8715</v>
      </c>
      <c r="C101" s="51" t="s">
        <v>808</v>
      </c>
      <c r="D101" s="54"/>
      <c r="E101" s="86"/>
      <c r="F101" s="87"/>
      <c r="G101" s="87"/>
      <c r="H101" s="88"/>
      <c r="I101" s="88"/>
    </row>
    <row r="102" spans="1:9" ht="13">
      <c r="A102" s="51" t="s">
        <v>10305</v>
      </c>
      <c r="B102" s="60" t="s">
        <v>8562</v>
      </c>
      <c r="C102" s="51" t="s">
        <v>808</v>
      </c>
      <c r="D102" s="54"/>
      <c r="E102" s="87"/>
      <c r="F102" s="86"/>
      <c r="G102" s="87"/>
      <c r="H102" s="88"/>
      <c r="I102" s="88"/>
    </row>
    <row r="103" spans="1:9" ht="13">
      <c r="A103" s="51" t="s">
        <v>10306</v>
      </c>
      <c r="B103" s="60" t="s">
        <v>791</v>
      </c>
      <c r="C103" s="51" t="s">
        <v>220</v>
      </c>
      <c r="D103" s="54"/>
      <c r="E103" s="86"/>
      <c r="F103" s="87"/>
      <c r="G103" s="87"/>
      <c r="H103" s="88"/>
      <c r="I103" s="88"/>
    </row>
    <row r="104" spans="1:9" ht="13">
      <c r="A104" s="51" t="s">
        <v>10307</v>
      </c>
      <c r="B104" s="60" t="s">
        <v>1368</v>
      </c>
      <c r="C104" s="51" t="s">
        <v>220</v>
      </c>
      <c r="D104" s="54"/>
      <c r="E104" s="86"/>
      <c r="F104" s="87"/>
      <c r="G104" s="87"/>
      <c r="H104" s="88"/>
      <c r="I104" s="88"/>
    </row>
    <row r="105" spans="1:9" ht="13">
      <c r="A105" s="51" t="s">
        <v>10308</v>
      </c>
      <c r="B105" s="60" t="s">
        <v>3245</v>
      </c>
      <c r="C105" s="51" t="s">
        <v>220</v>
      </c>
      <c r="D105" s="54"/>
      <c r="E105" s="86"/>
      <c r="F105" s="87"/>
      <c r="G105" s="87"/>
      <c r="H105" s="88"/>
      <c r="I105" s="88"/>
    </row>
    <row r="106" spans="1:9" ht="13">
      <c r="A106" s="51" t="s">
        <v>10309</v>
      </c>
      <c r="B106" s="60" t="s">
        <v>3163</v>
      </c>
      <c r="C106" s="51" t="s">
        <v>220</v>
      </c>
      <c r="D106" s="54"/>
      <c r="E106" s="86"/>
      <c r="F106" s="86"/>
      <c r="G106" s="87"/>
      <c r="H106" s="88"/>
      <c r="I106" s="88"/>
    </row>
    <row r="107" spans="1:9" ht="13">
      <c r="A107" s="51" t="s">
        <v>10310</v>
      </c>
      <c r="B107" s="60" t="s">
        <v>4101</v>
      </c>
      <c r="C107" s="51" t="s">
        <v>220</v>
      </c>
      <c r="D107" s="54"/>
      <c r="E107" s="86"/>
      <c r="F107" s="87"/>
      <c r="G107" s="87"/>
      <c r="H107" s="88"/>
      <c r="I107" s="88"/>
    </row>
    <row r="108" spans="1:9" ht="13">
      <c r="A108" s="51" t="s">
        <v>10311</v>
      </c>
      <c r="B108" s="60" t="s">
        <v>4102</v>
      </c>
      <c r="C108" s="51" t="s">
        <v>220</v>
      </c>
      <c r="D108" s="54"/>
      <c r="E108" s="86"/>
      <c r="F108" s="87"/>
      <c r="G108" s="87"/>
      <c r="H108" s="88"/>
      <c r="I108" s="88"/>
    </row>
    <row r="109" spans="1:9" ht="13">
      <c r="A109" s="51" t="s">
        <v>10312</v>
      </c>
      <c r="B109" s="60" t="s">
        <v>4755</v>
      </c>
      <c r="C109" s="51" t="s">
        <v>220</v>
      </c>
      <c r="D109" s="54"/>
      <c r="E109" s="86"/>
      <c r="F109" s="87"/>
      <c r="G109" s="87"/>
      <c r="H109" s="88"/>
      <c r="I109" s="88"/>
    </row>
    <row r="110" spans="1:9" ht="13">
      <c r="A110" s="51" t="s">
        <v>10313</v>
      </c>
      <c r="B110" s="60" t="s">
        <v>5045</v>
      </c>
      <c r="C110" s="51" t="s">
        <v>220</v>
      </c>
      <c r="D110" s="54"/>
      <c r="E110" s="86"/>
      <c r="F110" s="87"/>
      <c r="G110" s="87"/>
      <c r="H110" s="88"/>
      <c r="I110" s="88"/>
    </row>
    <row r="111" spans="1:9" ht="13">
      <c r="A111" s="51" t="s">
        <v>10314</v>
      </c>
      <c r="B111" s="60" t="s">
        <v>5046</v>
      </c>
      <c r="C111" s="51" t="s">
        <v>220</v>
      </c>
      <c r="D111" s="54"/>
      <c r="E111" s="86"/>
      <c r="F111" s="86"/>
      <c r="G111" s="87"/>
      <c r="H111" s="88"/>
      <c r="I111" s="88"/>
    </row>
    <row r="112" spans="1:9" ht="13">
      <c r="A112" s="51" t="s">
        <v>10315</v>
      </c>
      <c r="B112" s="60" t="s">
        <v>5046</v>
      </c>
      <c r="C112" s="51" t="s">
        <v>220</v>
      </c>
      <c r="D112" s="54"/>
      <c r="E112" s="86"/>
      <c r="F112" s="89"/>
      <c r="G112" s="87"/>
      <c r="H112" s="88"/>
      <c r="I112" s="88"/>
    </row>
    <row r="113" spans="1:9" ht="13">
      <c r="A113" s="51" t="s">
        <v>10316</v>
      </c>
      <c r="B113" s="61" t="s">
        <v>8849</v>
      </c>
      <c r="C113" s="51" t="s">
        <v>220</v>
      </c>
      <c r="D113" s="54"/>
      <c r="E113" s="86"/>
      <c r="F113" s="89"/>
      <c r="G113" s="87"/>
      <c r="H113" s="88"/>
      <c r="I113" s="88"/>
    </row>
    <row r="114" spans="1:9" ht="13">
      <c r="A114" s="51" t="s">
        <v>10317</v>
      </c>
      <c r="B114" s="61" t="s">
        <v>10318</v>
      </c>
      <c r="C114" s="51" t="s">
        <v>220</v>
      </c>
      <c r="D114" s="54"/>
      <c r="E114" s="86"/>
      <c r="F114" s="86"/>
      <c r="G114" s="87"/>
      <c r="H114" s="88"/>
      <c r="I114" s="88"/>
    </row>
    <row r="115" spans="1:9" ht="13">
      <c r="A115" s="51" t="s">
        <v>10319</v>
      </c>
      <c r="B115" s="60" t="s">
        <v>355</v>
      </c>
      <c r="C115" s="51" t="s">
        <v>197</v>
      </c>
      <c r="D115" s="54"/>
      <c r="E115" s="86"/>
      <c r="F115" s="86"/>
      <c r="G115" s="87"/>
      <c r="H115" s="88"/>
      <c r="I115" s="88"/>
    </row>
    <row r="116" spans="1:9" ht="13">
      <c r="A116" s="51" t="s">
        <v>10320</v>
      </c>
      <c r="B116" s="60" t="s">
        <v>334</v>
      </c>
      <c r="C116" s="51" t="s">
        <v>197</v>
      </c>
      <c r="D116" s="54"/>
      <c r="E116" s="87"/>
      <c r="F116" s="87"/>
      <c r="G116" s="87"/>
      <c r="H116" s="88"/>
      <c r="I116" s="88"/>
    </row>
    <row r="117" spans="1:9" ht="13">
      <c r="A117" s="51" t="s">
        <v>10321</v>
      </c>
      <c r="B117" s="60" t="s">
        <v>336</v>
      </c>
      <c r="C117" s="51" t="s">
        <v>197</v>
      </c>
      <c r="D117" s="54"/>
      <c r="E117" s="86"/>
      <c r="F117" s="86"/>
      <c r="G117" s="87"/>
      <c r="H117" s="88"/>
      <c r="I117" s="88"/>
    </row>
    <row r="118" spans="1:9" ht="13">
      <c r="A118" s="51" t="s">
        <v>10322</v>
      </c>
      <c r="B118" s="60" t="s">
        <v>3317</v>
      </c>
      <c r="C118" s="51" t="s">
        <v>197</v>
      </c>
      <c r="D118" s="54"/>
      <c r="E118" s="86"/>
      <c r="F118" s="87"/>
      <c r="G118" s="87"/>
      <c r="H118" s="88"/>
      <c r="I118" s="88"/>
    </row>
    <row r="119" spans="1:9" ht="13">
      <c r="A119" s="51" t="s">
        <v>10323</v>
      </c>
      <c r="B119" s="60" t="s">
        <v>3057</v>
      </c>
      <c r="C119" s="51" t="s">
        <v>197</v>
      </c>
      <c r="D119" s="54"/>
      <c r="E119" s="86"/>
      <c r="F119" s="87"/>
      <c r="G119" s="87"/>
      <c r="H119" s="88"/>
      <c r="I119" s="88"/>
    </row>
    <row r="120" spans="1:9" ht="13">
      <c r="A120" s="51" t="s">
        <v>10324</v>
      </c>
      <c r="B120" s="60" t="s">
        <v>3129</v>
      </c>
      <c r="C120" s="51" t="s">
        <v>197</v>
      </c>
      <c r="D120" s="54"/>
      <c r="E120" s="86"/>
      <c r="F120" s="87"/>
      <c r="G120" s="87"/>
      <c r="H120" s="88"/>
      <c r="I120" s="88"/>
    </row>
    <row r="121" spans="1:9" ht="13">
      <c r="A121" s="51" t="s">
        <v>10325</v>
      </c>
      <c r="B121" s="61" t="s">
        <v>10326</v>
      </c>
      <c r="C121" s="51" t="s">
        <v>197</v>
      </c>
      <c r="D121" s="54"/>
      <c r="E121" s="86"/>
      <c r="F121" s="87"/>
      <c r="G121" s="87"/>
      <c r="H121" s="88"/>
      <c r="I121" s="88"/>
    </row>
    <row r="122" spans="1:9" ht="13">
      <c r="A122" s="51" t="s">
        <v>10327</v>
      </c>
      <c r="B122" s="60" t="s">
        <v>4314</v>
      </c>
      <c r="C122" s="51" t="s">
        <v>197</v>
      </c>
      <c r="D122" s="54"/>
      <c r="E122" s="86"/>
      <c r="F122" s="87"/>
      <c r="G122" s="87"/>
      <c r="H122" s="88"/>
      <c r="I122" s="88"/>
    </row>
    <row r="123" spans="1:9" ht="13">
      <c r="A123" s="51" t="s">
        <v>10328</v>
      </c>
      <c r="B123" s="60" t="s">
        <v>6643</v>
      </c>
      <c r="C123" s="51" t="s">
        <v>197</v>
      </c>
      <c r="D123" s="54"/>
      <c r="E123" s="86"/>
      <c r="F123" s="86"/>
      <c r="G123" s="87"/>
      <c r="H123" s="88"/>
      <c r="I123" s="88"/>
    </row>
    <row r="124" spans="1:9" ht="13">
      <c r="A124" s="51" t="s">
        <v>10329</v>
      </c>
      <c r="B124" s="60" t="s">
        <v>9239</v>
      </c>
      <c r="C124" s="51" t="s">
        <v>197</v>
      </c>
      <c r="D124" s="54"/>
      <c r="E124" s="86"/>
      <c r="F124" s="87"/>
      <c r="G124" s="87"/>
      <c r="H124" s="88"/>
      <c r="I124" s="88"/>
    </row>
    <row r="125" spans="1:9" ht="13">
      <c r="A125" s="51" t="s">
        <v>10330</v>
      </c>
      <c r="B125" s="60" t="s">
        <v>10331</v>
      </c>
      <c r="C125" s="51" t="s">
        <v>1013</v>
      </c>
      <c r="D125" s="54"/>
      <c r="E125" s="86"/>
      <c r="F125" s="86"/>
      <c r="G125" s="87"/>
      <c r="H125" s="88"/>
      <c r="I125" s="88"/>
    </row>
    <row r="126" spans="1:9" ht="13">
      <c r="A126" s="51" t="s">
        <v>10332</v>
      </c>
      <c r="B126" s="60" t="s">
        <v>10333</v>
      </c>
      <c r="C126" s="51" t="s">
        <v>4114</v>
      </c>
      <c r="D126" s="54"/>
      <c r="E126" s="86"/>
      <c r="F126" s="87"/>
      <c r="G126" s="87"/>
      <c r="H126" s="88"/>
      <c r="I126" s="88"/>
    </row>
    <row r="127" spans="1:9" ht="13">
      <c r="A127" s="51" t="s">
        <v>10334</v>
      </c>
      <c r="B127" s="60" t="s">
        <v>10335</v>
      </c>
      <c r="C127" s="51" t="s">
        <v>1013</v>
      </c>
      <c r="D127" s="54"/>
      <c r="E127" s="86"/>
      <c r="F127" s="87"/>
      <c r="G127" s="87"/>
      <c r="H127" s="88"/>
      <c r="I127" s="88"/>
    </row>
    <row r="128" spans="1:9" ht="13">
      <c r="A128" s="51" t="s">
        <v>10336</v>
      </c>
      <c r="B128" s="60" t="s">
        <v>5548</v>
      </c>
      <c r="C128" s="51" t="s">
        <v>4114</v>
      </c>
      <c r="D128" s="54"/>
      <c r="E128" s="86"/>
      <c r="F128" s="86"/>
      <c r="G128" s="87"/>
      <c r="H128" s="88"/>
      <c r="I128" s="88"/>
    </row>
    <row r="129" spans="1:9" ht="13">
      <c r="A129" s="51" t="s">
        <v>10337</v>
      </c>
      <c r="B129" s="60" t="s">
        <v>4654</v>
      </c>
      <c r="C129" s="51" t="s">
        <v>4114</v>
      </c>
      <c r="D129" s="54"/>
      <c r="E129" s="86"/>
      <c r="F129" s="86"/>
      <c r="G129" s="87"/>
      <c r="H129" s="88"/>
      <c r="I129" s="88"/>
    </row>
    <row r="130" spans="1:9" ht="13">
      <c r="A130" s="51" t="s">
        <v>10338</v>
      </c>
      <c r="B130" s="60" t="s">
        <v>4138</v>
      </c>
      <c r="C130" s="51" t="s">
        <v>4114</v>
      </c>
      <c r="D130" s="54"/>
      <c r="E130" s="86"/>
      <c r="F130" s="87"/>
      <c r="G130" s="87"/>
      <c r="H130" s="88"/>
      <c r="I130" s="88"/>
    </row>
    <row r="131" spans="1:9" ht="13">
      <c r="A131" s="51" t="s">
        <v>10339</v>
      </c>
      <c r="B131" s="60" t="s">
        <v>10340</v>
      </c>
      <c r="C131" s="51" t="s">
        <v>4114</v>
      </c>
      <c r="D131" s="54"/>
      <c r="E131" s="86"/>
      <c r="F131" s="87"/>
      <c r="G131" s="87"/>
      <c r="H131" s="88"/>
      <c r="I131" s="88"/>
    </row>
    <row r="132" spans="1:9" ht="13">
      <c r="A132" s="51" t="s">
        <v>10341</v>
      </c>
      <c r="B132" s="60" t="s">
        <v>10342</v>
      </c>
      <c r="C132" s="51" t="s">
        <v>1013</v>
      </c>
      <c r="D132" s="54"/>
      <c r="E132" s="86"/>
      <c r="F132" s="86"/>
      <c r="G132" s="87"/>
      <c r="H132" s="88"/>
      <c r="I132" s="88"/>
    </row>
    <row r="133" spans="1:9" ht="13">
      <c r="A133" s="51" t="s">
        <v>10343</v>
      </c>
      <c r="B133" s="60" t="s">
        <v>4140</v>
      </c>
      <c r="C133" s="51" t="s">
        <v>4114</v>
      </c>
      <c r="D133" s="54"/>
      <c r="E133" s="86"/>
      <c r="F133" s="87"/>
      <c r="G133" s="87"/>
      <c r="H133" s="88"/>
      <c r="I133" s="88"/>
    </row>
    <row r="134" spans="1:9" ht="13">
      <c r="A134" s="51" t="s">
        <v>10344</v>
      </c>
      <c r="B134" s="60" t="s">
        <v>10345</v>
      </c>
      <c r="C134" s="51" t="s">
        <v>1013</v>
      </c>
      <c r="D134" s="54"/>
      <c r="E134" s="86"/>
      <c r="F134" s="87"/>
      <c r="G134" s="87"/>
      <c r="H134" s="88"/>
      <c r="I134" s="88"/>
    </row>
    <row r="135" spans="1:9" ht="13">
      <c r="A135" s="51" t="s">
        <v>10346</v>
      </c>
      <c r="B135" s="60" t="s">
        <v>10347</v>
      </c>
      <c r="C135" s="51" t="s">
        <v>4114</v>
      </c>
      <c r="D135" s="54"/>
      <c r="E135" s="86"/>
      <c r="F135" s="86"/>
      <c r="G135" s="87"/>
      <c r="H135" s="88"/>
      <c r="I135" s="88"/>
    </row>
    <row r="136" spans="1:9" ht="13">
      <c r="A136" s="51" t="s">
        <v>10348</v>
      </c>
      <c r="B136" s="60" t="s">
        <v>10349</v>
      </c>
      <c r="C136" s="51" t="s">
        <v>1013</v>
      </c>
      <c r="D136" s="54"/>
      <c r="E136" s="86"/>
      <c r="F136" s="86"/>
      <c r="G136" s="87"/>
      <c r="H136" s="88"/>
      <c r="I136" s="88"/>
    </row>
    <row r="137" spans="1:9" ht="13">
      <c r="A137" s="51" t="s">
        <v>10350</v>
      </c>
      <c r="B137" s="60" t="s">
        <v>10351</v>
      </c>
      <c r="C137" s="51" t="s">
        <v>4114</v>
      </c>
      <c r="D137" s="54"/>
      <c r="E137" s="86"/>
      <c r="F137" s="87"/>
      <c r="G137" s="87"/>
      <c r="H137" s="88"/>
      <c r="I137" s="88"/>
    </row>
    <row r="138" spans="1:9" ht="13">
      <c r="A138" s="51" t="s">
        <v>10352</v>
      </c>
      <c r="B138" s="60" t="s">
        <v>10353</v>
      </c>
      <c r="C138" s="51" t="s">
        <v>1013</v>
      </c>
      <c r="D138" s="54"/>
      <c r="E138" s="86"/>
      <c r="F138" s="87"/>
      <c r="G138" s="87"/>
      <c r="H138" s="88"/>
      <c r="I138" s="88"/>
    </row>
    <row r="139" spans="1:9" ht="13">
      <c r="A139" s="51" t="s">
        <v>10354</v>
      </c>
      <c r="B139" s="60" t="s">
        <v>10355</v>
      </c>
      <c r="C139" s="51" t="s">
        <v>1013</v>
      </c>
      <c r="D139" s="54"/>
      <c r="E139" s="86"/>
      <c r="F139" s="86"/>
      <c r="G139" s="87"/>
      <c r="H139" s="88"/>
      <c r="I139" s="88"/>
    </row>
    <row r="140" spans="1:9" ht="13">
      <c r="A140" s="51" t="s">
        <v>10356</v>
      </c>
      <c r="B140" s="60" t="s">
        <v>10357</v>
      </c>
      <c r="C140" s="51" t="s">
        <v>4114</v>
      </c>
      <c r="D140" s="54"/>
      <c r="E140" s="86"/>
      <c r="F140" s="87"/>
      <c r="G140" s="87"/>
      <c r="H140" s="88"/>
      <c r="I140" s="88"/>
    </row>
    <row r="141" spans="1:9" ht="13">
      <c r="A141" s="51" t="s">
        <v>10358</v>
      </c>
      <c r="B141" s="60" t="s">
        <v>10359</v>
      </c>
      <c r="C141" s="51" t="s">
        <v>229</v>
      </c>
      <c r="D141" s="54"/>
      <c r="E141" s="86"/>
      <c r="F141" s="86"/>
      <c r="G141" s="87"/>
      <c r="H141" s="88"/>
      <c r="I141" s="88"/>
    </row>
    <row r="142" spans="1:9" ht="13">
      <c r="A142" s="51" t="s">
        <v>10360</v>
      </c>
      <c r="B142" s="60" t="s">
        <v>10361</v>
      </c>
      <c r="C142" s="51" t="s">
        <v>229</v>
      </c>
      <c r="D142" s="54"/>
      <c r="E142" s="86"/>
      <c r="F142" s="86"/>
      <c r="G142" s="87"/>
      <c r="H142" s="88"/>
      <c r="I142" s="88"/>
    </row>
    <row r="143" spans="1:9" ht="13">
      <c r="A143" s="51" t="s">
        <v>10362</v>
      </c>
      <c r="B143" s="60" t="s">
        <v>10363</v>
      </c>
      <c r="C143" s="51" t="s">
        <v>4114</v>
      </c>
      <c r="D143" s="54"/>
      <c r="E143" s="86"/>
      <c r="F143" s="89"/>
      <c r="G143" s="87"/>
      <c r="H143" s="88"/>
      <c r="I143" s="88"/>
    </row>
    <row r="144" spans="1:9" ht="13">
      <c r="A144" s="51" t="s">
        <v>10364</v>
      </c>
      <c r="B144" s="60" t="s">
        <v>10365</v>
      </c>
      <c r="C144" s="51" t="s">
        <v>317</v>
      </c>
      <c r="D144" s="54"/>
      <c r="E144" s="89"/>
      <c r="F144" s="87"/>
      <c r="G144" s="87"/>
      <c r="H144" s="88"/>
      <c r="I144" s="88"/>
    </row>
    <row r="145" spans="1:9" ht="13">
      <c r="A145" s="51" t="s">
        <v>10366</v>
      </c>
      <c r="B145" s="60" t="s">
        <v>10367</v>
      </c>
      <c r="C145" s="51" t="s">
        <v>317</v>
      </c>
      <c r="D145" s="54"/>
      <c r="E145" s="86"/>
      <c r="F145" s="86"/>
      <c r="G145" s="87"/>
      <c r="H145" s="88"/>
      <c r="I145" s="88"/>
    </row>
    <row r="146" spans="1:9" ht="13">
      <c r="A146" s="51" t="s">
        <v>10368</v>
      </c>
      <c r="B146" s="61" t="s">
        <v>10203</v>
      </c>
      <c r="C146" s="51" t="s">
        <v>205</v>
      </c>
      <c r="D146" s="54"/>
      <c r="E146" s="86"/>
      <c r="F146" s="87"/>
      <c r="G146" s="87"/>
      <c r="H146" s="88"/>
      <c r="I146" s="88"/>
    </row>
    <row r="147" spans="1:9" ht="13">
      <c r="A147" s="51" t="s">
        <v>10369</v>
      </c>
      <c r="B147" s="61" t="s">
        <v>10216</v>
      </c>
      <c r="C147" s="51" t="s">
        <v>205</v>
      </c>
      <c r="D147" s="54"/>
      <c r="E147" s="89"/>
      <c r="F147" s="87"/>
      <c r="G147" s="87"/>
      <c r="H147" s="88"/>
      <c r="I147" s="88"/>
    </row>
    <row r="148" spans="1:9" ht="13">
      <c r="A148" s="51" t="s">
        <v>10370</v>
      </c>
      <c r="B148" s="61" t="s">
        <v>8705</v>
      </c>
      <c r="C148" s="51" t="s">
        <v>199</v>
      </c>
      <c r="D148" s="54"/>
      <c r="E148" s="86"/>
      <c r="F148" s="87"/>
      <c r="G148" s="87"/>
      <c r="H148" s="88"/>
      <c r="I148" s="88"/>
    </row>
    <row r="149" spans="1:9" ht="13">
      <c r="A149" s="51" t="s">
        <v>10371</v>
      </c>
      <c r="B149" s="61" t="s">
        <v>8713</v>
      </c>
      <c r="C149" s="51" t="s">
        <v>208</v>
      </c>
      <c r="D149" s="54"/>
      <c r="E149" s="86"/>
      <c r="F149" s="86"/>
      <c r="G149" s="87"/>
      <c r="H149" s="88"/>
      <c r="I149" s="88"/>
    </row>
    <row r="150" spans="1:9" ht="13">
      <c r="A150" s="51" t="s">
        <v>10372</v>
      </c>
      <c r="B150" s="61" t="s">
        <v>8713</v>
      </c>
      <c r="C150" s="51" t="s">
        <v>208</v>
      </c>
      <c r="D150" s="54"/>
      <c r="E150" s="86"/>
      <c r="F150" s="87"/>
      <c r="G150" s="87"/>
      <c r="H150" s="88"/>
      <c r="I150" s="88"/>
    </row>
    <row r="151" spans="1:9" ht="13">
      <c r="A151" s="51" t="s">
        <v>10373</v>
      </c>
      <c r="B151" s="61" t="s">
        <v>10251</v>
      </c>
      <c r="C151" s="51" t="s">
        <v>192</v>
      </c>
      <c r="D151" s="54"/>
      <c r="E151" s="86"/>
      <c r="F151" s="87"/>
      <c r="G151" s="87"/>
      <c r="H151" s="88"/>
      <c r="I151" s="88"/>
    </row>
    <row r="152" spans="1:9" ht="13">
      <c r="A152" s="51" t="s">
        <v>10374</v>
      </c>
      <c r="B152" s="61" t="s">
        <v>10265</v>
      </c>
      <c r="C152" s="51" t="s">
        <v>195</v>
      </c>
      <c r="D152" s="54"/>
      <c r="E152" s="86"/>
      <c r="F152" s="86"/>
      <c r="G152" s="87"/>
      <c r="H152" s="88"/>
      <c r="I152" s="88"/>
    </row>
    <row r="153" spans="1:9" ht="13">
      <c r="A153" s="51" t="s">
        <v>10375</v>
      </c>
      <c r="B153" s="61" t="s">
        <v>10267</v>
      </c>
      <c r="C153" s="51" t="s">
        <v>195</v>
      </c>
      <c r="D153" s="54"/>
      <c r="E153" s="86"/>
      <c r="F153" s="87"/>
      <c r="G153" s="87"/>
      <c r="H153" s="88"/>
      <c r="I153" s="88"/>
    </row>
    <row r="154" spans="1:9" ht="13">
      <c r="A154" s="51" t="s">
        <v>10376</v>
      </c>
      <c r="B154" s="61" t="s">
        <v>8709</v>
      </c>
      <c r="C154" s="51" t="s">
        <v>225</v>
      </c>
      <c r="D154" s="54"/>
      <c r="E154" s="86"/>
      <c r="F154" s="87"/>
      <c r="G154" s="87"/>
      <c r="H154" s="88"/>
      <c r="I154" s="88"/>
    </row>
    <row r="155" spans="1:9" ht="13">
      <c r="A155" s="51" t="s">
        <v>10377</v>
      </c>
      <c r="B155" s="61" t="s">
        <v>8709</v>
      </c>
      <c r="C155" s="51" t="s">
        <v>225</v>
      </c>
      <c r="D155" s="54"/>
      <c r="E155" s="86"/>
      <c r="F155" s="86"/>
      <c r="G155" s="87"/>
      <c r="H155" s="88"/>
      <c r="I155" s="88"/>
    </row>
    <row r="156" spans="1:9" ht="13">
      <c r="A156" s="51" t="s">
        <v>10378</v>
      </c>
      <c r="B156" s="61" t="s">
        <v>8711</v>
      </c>
      <c r="C156" s="51" t="s">
        <v>225</v>
      </c>
      <c r="D156" s="54"/>
      <c r="E156" s="86"/>
      <c r="F156" s="87"/>
      <c r="G156" s="87"/>
      <c r="H156" s="88"/>
      <c r="I156" s="88"/>
    </row>
    <row r="157" spans="1:9" ht="13">
      <c r="A157" s="51" t="s">
        <v>10379</v>
      </c>
      <c r="B157" s="61" t="s">
        <v>8711</v>
      </c>
      <c r="C157" s="51" t="s">
        <v>225</v>
      </c>
      <c r="D157" s="54"/>
      <c r="E157" s="86"/>
      <c r="F157" s="86"/>
      <c r="G157" s="87"/>
      <c r="H157" s="88"/>
      <c r="I157" s="88"/>
    </row>
    <row r="158" spans="1:9" ht="13">
      <c r="A158" s="51" t="s">
        <v>10380</v>
      </c>
      <c r="B158" s="61" t="s">
        <v>8715</v>
      </c>
      <c r="C158" s="51" t="s">
        <v>808</v>
      </c>
      <c r="D158" s="54"/>
      <c r="E158" s="86"/>
      <c r="F158" s="86"/>
      <c r="G158" s="87"/>
      <c r="H158" s="88"/>
      <c r="I158" s="88"/>
    </row>
    <row r="159" spans="1:9" ht="13">
      <c r="A159" s="51" t="s">
        <v>10381</v>
      </c>
      <c r="B159" s="61" t="s">
        <v>8715</v>
      </c>
      <c r="C159" s="51" t="s">
        <v>808</v>
      </c>
      <c r="D159" s="54"/>
      <c r="E159" s="86"/>
      <c r="F159" s="89"/>
      <c r="G159" s="87"/>
      <c r="H159" s="88"/>
      <c r="I159" s="88"/>
    </row>
    <row r="160" spans="1:9" ht="13">
      <c r="A160" s="51" t="s">
        <v>10382</v>
      </c>
      <c r="B160" s="61" t="s">
        <v>8849</v>
      </c>
      <c r="C160" s="51" t="s">
        <v>220</v>
      </c>
      <c r="D160" s="54"/>
      <c r="E160" s="86"/>
      <c r="F160" s="87"/>
      <c r="G160" s="87"/>
      <c r="H160" s="88"/>
      <c r="I160" s="88"/>
    </row>
    <row r="161" spans="1:9" ht="13">
      <c r="A161" s="51" t="s">
        <v>10383</v>
      </c>
      <c r="B161" s="61" t="s">
        <v>10326</v>
      </c>
      <c r="C161" s="51" t="s">
        <v>197</v>
      </c>
      <c r="D161" s="54"/>
      <c r="E161" s="86"/>
      <c r="F161" s="86"/>
      <c r="G161" s="87"/>
      <c r="H161" s="88"/>
      <c r="I161" s="137"/>
    </row>
    <row r="162" spans="1:9" ht="13">
      <c r="A162" s="51" t="s">
        <v>10384</v>
      </c>
      <c r="B162" s="60" t="s">
        <v>10331</v>
      </c>
      <c r="C162" s="51" t="s">
        <v>1013</v>
      </c>
      <c r="D162" s="54"/>
      <c r="E162" s="86"/>
      <c r="F162" s="87"/>
      <c r="G162" s="87"/>
      <c r="H162" s="88"/>
      <c r="I162" s="88"/>
    </row>
    <row r="163" spans="1:9" ht="13">
      <c r="A163" s="51" t="s">
        <v>10385</v>
      </c>
      <c r="B163" s="60" t="s">
        <v>10335</v>
      </c>
      <c r="C163" s="51" t="s">
        <v>1013</v>
      </c>
      <c r="D163" s="54"/>
      <c r="E163" s="86"/>
      <c r="F163" s="86"/>
      <c r="G163" s="87"/>
      <c r="H163" s="88"/>
      <c r="I163" s="88"/>
    </row>
    <row r="164" spans="1:9" ht="13">
      <c r="A164" s="51" t="s">
        <v>10386</v>
      </c>
      <c r="B164" s="60" t="s">
        <v>10342</v>
      </c>
      <c r="C164" s="51" t="s">
        <v>1013</v>
      </c>
      <c r="D164" s="54"/>
      <c r="E164" s="86"/>
      <c r="F164" s="87"/>
      <c r="G164" s="87"/>
      <c r="H164" s="88"/>
      <c r="I164" s="88"/>
    </row>
    <row r="165" spans="1:9" ht="13">
      <c r="A165" s="51" t="s">
        <v>10387</v>
      </c>
      <c r="B165" s="60" t="s">
        <v>10345</v>
      </c>
      <c r="C165" s="51" t="s">
        <v>1013</v>
      </c>
      <c r="D165" s="54"/>
      <c r="E165" s="86"/>
      <c r="F165" s="87"/>
      <c r="G165" s="87"/>
      <c r="H165" s="88"/>
      <c r="I165" s="88"/>
    </row>
    <row r="166" spans="1:9" ht="13">
      <c r="A166" s="51" t="s">
        <v>10388</v>
      </c>
      <c r="B166" s="60" t="s">
        <v>10349</v>
      </c>
      <c r="C166" s="51" t="s">
        <v>1013</v>
      </c>
      <c r="D166" s="54"/>
      <c r="E166" s="86"/>
      <c r="F166" s="87"/>
      <c r="G166" s="87"/>
      <c r="H166" s="88"/>
      <c r="I166" s="88"/>
    </row>
    <row r="167" spans="1:9" ht="13">
      <c r="A167" s="51" t="s">
        <v>10389</v>
      </c>
      <c r="B167" s="60" t="s">
        <v>10353</v>
      </c>
      <c r="C167" s="51" t="s">
        <v>1013</v>
      </c>
      <c r="D167" s="54"/>
      <c r="E167" s="86"/>
      <c r="F167" s="87"/>
      <c r="G167" s="87"/>
      <c r="H167" s="88"/>
      <c r="I167" s="88"/>
    </row>
    <row r="168" spans="1:9" ht="13">
      <c r="A168" s="51" t="s">
        <v>10390</v>
      </c>
      <c r="B168" s="61" t="s">
        <v>10218</v>
      </c>
      <c r="C168" s="51" t="s">
        <v>205</v>
      </c>
      <c r="D168" s="54"/>
      <c r="E168" s="86"/>
      <c r="F168" s="87"/>
      <c r="G168" s="87"/>
      <c r="H168" s="88"/>
      <c r="I168" s="88"/>
    </row>
    <row r="169" spans="1:9" ht="13">
      <c r="A169" s="51" t="s">
        <v>10391</v>
      </c>
      <c r="B169" s="61" t="s">
        <v>10222</v>
      </c>
      <c r="C169" s="51" t="s">
        <v>199</v>
      </c>
      <c r="D169" s="54"/>
      <c r="E169" s="86"/>
      <c r="F169" s="87"/>
      <c r="G169" s="87"/>
      <c r="H169" s="88"/>
      <c r="I169" s="88"/>
    </row>
    <row r="170" spans="1:9" ht="13">
      <c r="A170" s="51" t="s">
        <v>10392</v>
      </c>
      <c r="B170" s="61" t="s">
        <v>10253</v>
      </c>
      <c r="C170" s="51" t="s">
        <v>192</v>
      </c>
      <c r="D170" s="54"/>
      <c r="E170" s="86"/>
      <c r="F170" s="87"/>
      <c r="G170" s="87"/>
      <c r="H170" s="88"/>
      <c r="I170" s="88"/>
    </row>
    <row r="171" spans="1:9" ht="13">
      <c r="A171" s="51" t="s">
        <v>10393</v>
      </c>
      <c r="B171" s="61" t="s">
        <v>10291</v>
      </c>
      <c r="C171" s="51" t="s">
        <v>225</v>
      </c>
      <c r="D171" s="54"/>
      <c r="E171" s="89"/>
      <c r="F171" s="87"/>
      <c r="G171" s="87"/>
      <c r="H171" s="88"/>
      <c r="I171" s="88"/>
    </row>
    <row r="172" spans="1:9" ht="13">
      <c r="A172" s="51" t="s">
        <v>10394</v>
      </c>
      <c r="B172" s="61" t="s">
        <v>10291</v>
      </c>
      <c r="C172" s="51" t="s">
        <v>225</v>
      </c>
      <c r="D172" s="54"/>
      <c r="E172" s="89"/>
      <c r="F172" s="86"/>
      <c r="G172" s="87"/>
      <c r="H172" s="88"/>
      <c r="I172" s="88"/>
    </row>
    <row r="173" spans="1:9" ht="13">
      <c r="A173" s="51" t="s">
        <v>10395</v>
      </c>
      <c r="B173" s="61" t="s">
        <v>10294</v>
      </c>
      <c r="C173" s="51" t="s">
        <v>225</v>
      </c>
      <c r="D173" s="54"/>
      <c r="E173" s="86"/>
      <c r="F173" s="87"/>
      <c r="G173" s="87"/>
      <c r="H173" s="88"/>
      <c r="I173" s="88"/>
    </row>
    <row r="174" spans="1:9" ht="13">
      <c r="A174" s="51" t="s">
        <v>10396</v>
      </c>
      <c r="B174" s="61" t="s">
        <v>10294</v>
      </c>
      <c r="C174" s="51" t="s">
        <v>225</v>
      </c>
      <c r="D174" s="54"/>
      <c r="E174" s="87"/>
      <c r="F174" s="87"/>
      <c r="G174" s="87"/>
      <c r="H174" s="88"/>
      <c r="I174" s="88"/>
    </row>
    <row r="175" spans="1:9" ht="13">
      <c r="A175" s="51" t="s">
        <v>10397</v>
      </c>
      <c r="B175" s="61" t="s">
        <v>10318</v>
      </c>
      <c r="C175" s="51" t="s">
        <v>220</v>
      </c>
      <c r="D175" s="54"/>
      <c r="E175" s="86"/>
      <c r="F175" s="87"/>
      <c r="G175" s="87"/>
      <c r="H175" s="88"/>
      <c r="I175" s="88"/>
    </row>
    <row r="176" spans="1:9" ht="13">
      <c r="A176" s="51" t="s">
        <v>10398</v>
      </c>
      <c r="B176" s="60" t="s">
        <v>10331</v>
      </c>
      <c r="C176" s="51" t="s">
        <v>1013</v>
      </c>
      <c r="D176" s="54"/>
      <c r="E176" s="86"/>
      <c r="F176" s="87"/>
      <c r="G176" s="87"/>
      <c r="H176" s="88"/>
      <c r="I176" s="88"/>
    </row>
    <row r="177" spans="1:9" ht="13">
      <c r="A177" s="51" t="s">
        <v>10399</v>
      </c>
      <c r="B177" s="60" t="s">
        <v>10335</v>
      </c>
      <c r="C177" s="51" t="s">
        <v>1013</v>
      </c>
      <c r="D177" s="54"/>
      <c r="E177" s="86"/>
      <c r="F177" s="89"/>
      <c r="G177" s="87"/>
      <c r="H177" s="88"/>
      <c r="I177" s="88"/>
    </row>
    <row r="178" spans="1:9" ht="13">
      <c r="A178" s="51" t="s">
        <v>10400</v>
      </c>
      <c r="B178" s="60" t="s">
        <v>10342</v>
      </c>
      <c r="C178" s="51" t="s">
        <v>1013</v>
      </c>
      <c r="D178" s="54"/>
      <c r="E178" s="86"/>
      <c r="F178" s="87"/>
      <c r="G178" s="87"/>
      <c r="H178" s="88"/>
      <c r="I178" s="88"/>
    </row>
    <row r="179" spans="1:9" ht="13">
      <c r="A179" s="51" t="s">
        <v>10401</v>
      </c>
      <c r="B179" s="60" t="s">
        <v>10345</v>
      </c>
      <c r="C179" s="51" t="s">
        <v>1013</v>
      </c>
      <c r="D179" s="54"/>
      <c r="E179" s="86"/>
      <c r="F179" s="87"/>
      <c r="G179" s="87"/>
      <c r="H179" s="88"/>
      <c r="I179" s="88"/>
    </row>
    <row r="180" spans="1:9" ht="13">
      <c r="A180" s="51" t="s">
        <v>10402</v>
      </c>
      <c r="B180" s="60" t="s">
        <v>10349</v>
      </c>
      <c r="C180" s="51" t="s">
        <v>1013</v>
      </c>
      <c r="D180" s="54"/>
      <c r="E180" s="86"/>
      <c r="F180" s="87"/>
      <c r="G180" s="87"/>
      <c r="H180" s="88"/>
      <c r="I180" s="88"/>
    </row>
    <row r="181" spans="1:9" ht="13">
      <c r="A181" s="51" t="s">
        <v>10403</v>
      </c>
      <c r="B181" s="60" t="s">
        <v>10353</v>
      </c>
      <c r="C181" s="51" t="s">
        <v>1013</v>
      </c>
      <c r="D181" s="54"/>
      <c r="E181" s="86"/>
      <c r="F181" s="87"/>
      <c r="G181" s="87"/>
      <c r="H181" s="88"/>
      <c r="I181" s="88"/>
    </row>
    <row r="182" spans="1:9" ht="13">
      <c r="A182" s="51" t="s">
        <v>10404</v>
      </c>
      <c r="B182" s="60" t="s">
        <v>975</v>
      </c>
      <c r="C182" s="51" t="s">
        <v>208</v>
      </c>
      <c r="D182" s="54"/>
      <c r="E182" s="86"/>
      <c r="F182" s="87"/>
      <c r="G182" s="87"/>
      <c r="H182" s="88"/>
      <c r="I182" s="88"/>
    </row>
    <row r="183" spans="1:9" ht="13">
      <c r="A183" s="51" t="s">
        <v>10405</v>
      </c>
      <c r="B183" s="60" t="s">
        <v>938</v>
      </c>
      <c r="C183" s="51" t="s">
        <v>808</v>
      </c>
      <c r="D183" s="54"/>
      <c r="E183" s="86"/>
      <c r="F183" s="89"/>
      <c r="G183" s="87"/>
      <c r="H183" s="88"/>
      <c r="I183" s="88"/>
    </row>
    <row r="184" spans="1:9" ht="13">
      <c r="A184" s="51" t="s">
        <v>10406</v>
      </c>
      <c r="B184" s="60" t="s">
        <v>4138</v>
      </c>
      <c r="C184" s="51" t="s">
        <v>4114</v>
      </c>
      <c r="D184" s="54"/>
      <c r="E184" s="89"/>
      <c r="F184" s="87"/>
      <c r="G184" s="87"/>
      <c r="H184" s="88"/>
      <c r="I184" s="88"/>
    </row>
    <row r="185" spans="1:9" ht="13">
      <c r="A185" s="51" t="s">
        <v>10407</v>
      </c>
      <c r="B185" s="60" t="s">
        <v>4140</v>
      </c>
      <c r="C185" s="51" t="s">
        <v>4114</v>
      </c>
      <c r="D185" s="54"/>
      <c r="E185" s="86"/>
      <c r="F185" s="89"/>
      <c r="G185" s="87"/>
      <c r="H185" s="88"/>
      <c r="I185" s="88"/>
    </row>
    <row r="186" spans="1:9" ht="13">
      <c r="A186" s="51" t="s">
        <v>10408</v>
      </c>
      <c r="B186" s="60" t="s">
        <v>10365</v>
      </c>
      <c r="C186" s="51" t="s">
        <v>317</v>
      </c>
      <c r="D186" s="54"/>
      <c r="E186" s="86"/>
      <c r="F186" s="89"/>
      <c r="G186" s="87"/>
      <c r="H186" s="88"/>
      <c r="I186" s="88"/>
    </row>
    <row r="187" spans="1:9" ht="13">
      <c r="A187" s="51" t="s">
        <v>10409</v>
      </c>
      <c r="B187" s="60" t="s">
        <v>10367</v>
      </c>
      <c r="C187" s="51" t="s">
        <v>317</v>
      </c>
      <c r="D187" s="54"/>
      <c r="E187" s="87"/>
      <c r="F187" s="86"/>
      <c r="G187" s="87"/>
      <c r="H187" s="88"/>
      <c r="I187" s="88"/>
    </row>
    <row r="188" spans="1:9" ht="13">
      <c r="A188" s="51"/>
      <c r="B188" s="61"/>
      <c r="C188" s="51"/>
      <c r="D188" s="54"/>
      <c r="E188" s="89"/>
      <c r="F188" s="87"/>
      <c r="G188" s="87"/>
      <c r="H188" s="88"/>
      <c r="I188" s="88"/>
    </row>
    <row r="189" spans="1:9" ht="13">
      <c r="A189" s="51"/>
      <c r="B189" s="61"/>
      <c r="C189" s="51"/>
      <c r="D189" s="54"/>
      <c r="E189" s="86"/>
      <c r="F189" s="87"/>
      <c r="G189" s="87"/>
      <c r="H189" s="88"/>
      <c r="I189" s="88"/>
    </row>
    <row r="190" spans="1:9" ht="13">
      <c r="A190" s="51"/>
      <c r="B190" s="61"/>
      <c r="C190" s="51"/>
      <c r="D190" s="54"/>
      <c r="E190" s="86"/>
      <c r="F190" s="86"/>
      <c r="G190" s="87"/>
      <c r="H190" s="88"/>
      <c r="I190" s="88"/>
    </row>
    <row r="191" spans="1:9" ht="13">
      <c r="A191" s="51"/>
      <c r="B191" s="61"/>
      <c r="C191" s="51"/>
      <c r="D191" s="54"/>
      <c r="E191" s="89"/>
      <c r="F191" s="87"/>
      <c r="G191" s="87"/>
      <c r="H191" s="88"/>
      <c r="I191" s="88"/>
    </row>
    <row r="192" spans="1:9" ht="13">
      <c r="A192" s="51"/>
      <c r="B192" s="61"/>
      <c r="C192" s="51"/>
      <c r="D192" s="54"/>
      <c r="E192" s="89"/>
      <c r="F192" s="89"/>
      <c r="G192" s="87"/>
      <c r="H192" s="88"/>
      <c r="I192" s="88"/>
    </row>
    <row r="193" spans="1:9" ht="13">
      <c r="A193" s="51"/>
      <c r="B193" s="61"/>
      <c r="C193" s="51"/>
      <c r="D193" s="54"/>
      <c r="E193" s="87"/>
      <c r="F193" s="86"/>
      <c r="G193" s="87"/>
      <c r="H193" s="88"/>
      <c r="I193" s="88"/>
    </row>
    <row r="194" spans="1:9" ht="13">
      <c r="A194" s="51"/>
      <c r="B194" s="61"/>
      <c r="C194" s="51"/>
      <c r="D194" s="54"/>
      <c r="E194" s="87"/>
      <c r="F194" s="89"/>
      <c r="G194" s="87"/>
      <c r="H194" s="88"/>
      <c r="I194" s="88"/>
    </row>
    <row r="195" spans="1:9" ht="13">
      <c r="A195" s="51"/>
      <c r="B195" s="61"/>
      <c r="C195" s="51"/>
      <c r="D195" s="54"/>
      <c r="E195" s="89"/>
      <c r="F195" s="89"/>
      <c r="G195" s="87"/>
      <c r="H195" s="88"/>
      <c r="I195" s="88"/>
    </row>
    <row r="196" spans="1:9" ht="13">
      <c r="A196" s="51"/>
      <c r="B196" s="61"/>
      <c r="C196" s="51"/>
      <c r="D196" s="54"/>
      <c r="E196" s="87"/>
      <c r="F196" s="87"/>
      <c r="G196" s="87"/>
      <c r="H196" s="88"/>
      <c r="I196" s="88"/>
    </row>
    <row r="197" spans="1:9" ht="13">
      <c r="A197" s="51"/>
      <c r="B197" s="61"/>
      <c r="C197" s="51"/>
      <c r="D197" s="54"/>
      <c r="E197" s="89"/>
      <c r="F197" s="87"/>
      <c r="G197" s="87"/>
      <c r="H197" s="88"/>
      <c r="I197" s="88"/>
    </row>
    <row r="198" spans="1:9" ht="13">
      <c r="A198" s="51"/>
      <c r="B198" s="61"/>
      <c r="C198" s="51"/>
      <c r="D198" s="54"/>
      <c r="E198" s="87"/>
      <c r="F198" s="87"/>
      <c r="G198" s="87"/>
      <c r="H198" s="88"/>
      <c r="I198" s="88"/>
    </row>
    <row r="199" spans="1:9" ht="13">
      <c r="A199" s="51"/>
      <c r="B199" s="61"/>
      <c r="C199" s="51"/>
      <c r="D199" s="54"/>
      <c r="E199" s="89"/>
      <c r="F199" s="87"/>
      <c r="G199" s="87"/>
      <c r="H199" s="88"/>
      <c r="I199" s="88"/>
    </row>
    <row r="200" spans="1:9" ht="13">
      <c r="A200" s="51"/>
      <c r="B200" s="61"/>
      <c r="C200" s="51"/>
      <c r="D200" s="54"/>
      <c r="E200" s="87"/>
      <c r="F200" s="87"/>
      <c r="G200" s="87"/>
      <c r="H200" s="88"/>
      <c r="I200" s="88"/>
    </row>
    <row r="201" spans="1:9" ht="13">
      <c r="A201" s="51"/>
      <c r="B201" s="61"/>
      <c r="C201" s="51"/>
      <c r="D201" s="54"/>
      <c r="E201" s="87"/>
      <c r="F201" s="89"/>
      <c r="G201" s="87"/>
      <c r="H201" s="88"/>
      <c r="I201" s="88"/>
    </row>
    <row r="202" spans="1:9" ht="13">
      <c r="A202" s="51"/>
      <c r="C202" s="51"/>
      <c r="D202" s="5"/>
      <c r="E202" s="87"/>
      <c r="F202" s="87"/>
      <c r="G202" s="87"/>
      <c r="H202" s="88"/>
      <c r="I202" s="88"/>
    </row>
    <row r="203" spans="1:9" ht="13">
      <c r="A203" s="51"/>
      <c r="C203" s="51"/>
      <c r="D203" s="51"/>
      <c r="E203" s="87"/>
      <c r="F203" s="87"/>
      <c r="G203" s="87"/>
      <c r="H203" s="88"/>
      <c r="I203" s="88"/>
    </row>
    <row r="204" spans="1:9" ht="13">
      <c r="A204" s="51"/>
      <c r="C204" s="51"/>
      <c r="D204" s="54"/>
      <c r="E204" s="87"/>
      <c r="F204" s="86"/>
      <c r="G204" s="87"/>
      <c r="H204" s="88"/>
      <c r="I204" s="88"/>
    </row>
    <row r="205" spans="1:9" ht="13">
      <c r="A205" s="51"/>
      <c r="C205" s="51"/>
      <c r="D205" s="54"/>
      <c r="E205" s="87"/>
      <c r="F205" s="87"/>
      <c r="G205" s="87"/>
      <c r="H205" s="88"/>
      <c r="I205" s="88"/>
    </row>
    <row r="206" spans="1:9" ht="13">
      <c r="A206" s="51"/>
      <c r="C206" s="51"/>
      <c r="D206" s="5"/>
      <c r="E206" s="87"/>
      <c r="F206" s="87"/>
      <c r="G206" s="87"/>
      <c r="H206" s="88"/>
      <c r="I206" s="88"/>
    </row>
    <row r="207" spans="1:9" ht="13">
      <c r="A207" s="51"/>
      <c r="C207" s="51"/>
      <c r="D207" s="5"/>
      <c r="E207" s="87"/>
      <c r="F207" s="87"/>
      <c r="G207" s="87"/>
      <c r="H207" s="88"/>
      <c r="I207" s="88"/>
    </row>
    <row r="208" spans="1:9" ht="13">
      <c r="A208" s="51"/>
      <c r="C208" s="51"/>
      <c r="D208" s="54"/>
      <c r="E208" s="87"/>
      <c r="F208" s="87"/>
      <c r="G208" s="87"/>
      <c r="H208" s="88"/>
      <c r="I208" s="88"/>
    </row>
    <row r="209" spans="1:9" ht="13">
      <c r="A209" s="51"/>
      <c r="C209" s="51"/>
      <c r="D209" s="54"/>
      <c r="E209" s="87"/>
      <c r="F209" s="87"/>
      <c r="G209" s="87"/>
      <c r="H209" s="88"/>
      <c r="I209" s="88"/>
    </row>
    <row r="210" spans="1:9" ht="13">
      <c r="A210" s="51"/>
      <c r="C210" s="51"/>
      <c r="D210" s="5"/>
      <c r="E210" s="87"/>
      <c r="F210" s="87"/>
      <c r="G210" s="87"/>
      <c r="H210" s="88"/>
      <c r="I210" s="88"/>
    </row>
    <row r="211" spans="1:9" ht="13">
      <c r="A211" s="51"/>
      <c r="C211" s="51"/>
      <c r="D211" s="5"/>
      <c r="E211" s="87"/>
      <c r="F211" s="87"/>
      <c r="G211" s="87"/>
      <c r="H211" s="88"/>
      <c r="I211" s="88"/>
    </row>
    <row r="212" spans="1:9" ht="13">
      <c r="A212" s="51"/>
      <c r="C212" s="51"/>
      <c r="D212" s="54"/>
      <c r="E212" s="87"/>
      <c r="F212" s="87"/>
      <c r="G212" s="87"/>
      <c r="H212" s="88"/>
      <c r="I212" s="88"/>
    </row>
    <row r="213" spans="1:9" ht="13">
      <c r="A213" s="51"/>
      <c r="C213" s="51"/>
      <c r="D213" s="54"/>
      <c r="E213" s="87"/>
      <c r="F213" s="87"/>
      <c r="G213" s="87"/>
      <c r="H213" s="88"/>
      <c r="I213" s="88"/>
    </row>
    <row r="214" spans="1:9" ht="13">
      <c r="A214" s="48"/>
      <c r="B214" s="50"/>
      <c r="C214" s="51"/>
      <c r="D214" s="5"/>
      <c r="E214" s="87"/>
      <c r="F214" s="87"/>
      <c r="G214" s="87"/>
      <c r="H214" s="88"/>
      <c r="I214" s="88"/>
    </row>
    <row r="215" spans="1:9" ht="13">
      <c r="A215" s="48"/>
      <c r="B215" s="53"/>
      <c r="C215" s="51"/>
      <c r="D215" s="54"/>
      <c r="E215" s="87"/>
      <c r="F215" s="87"/>
      <c r="G215" s="87"/>
      <c r="H215" s="88"/>
      <c r="I215" s="88"/>
    </row>
    <row r="216" spans="1:9" ht="13">
      <c r="A216" s="48"/>
      <c r="B216" s="53"/>
      <c r="C216" s="51"/>
      <c r="D216" s="5"/>
      <c r="E216" s="87"/>
      <c r="F216" s="87"/>
      <c r="G216" s="87"/>
      <c r="H216" s="88"/>
      <c r="I216" s="88"/>
    </row>
    <row r="217" spans="1:9" ht="13">
      <c r="A217" s="48"/>
      <c r="B217" s="50"/>
      <c r="C217" s="51"/>
      <c r="D217" s="5"/>
      <c r="E217" s="87"/>
      <c r="F217" s="87"/>
      <c r="G217" s="87"/>
      <c r="H217" s="88"/>
      <c r="I217" s="88"/>
    </row>
    <row r="218" spans="1:9" ht="13">
      <c r="A218" s="48"/>
      <c r="B218" s="50"/>
      <c r="C218" s="51"/>
      <c r="D218" s="54"/>
      <c r="E218" s="87"/>
      <c r="F218" s="86"/>
      <c r="G218" s="87"/>
      <c r="H218" s="88"/>
      <c r="I218" s="88"/>
    </row>
    <row r="219" spans="1:9" ht="13">
      <c r="A219" s="48"/>
      <c r="B219" s="50"/>
      <c r="C219" s="51"/>
      <c r="D219" s="54"/>
      <c r="E219" s="87"/>
      <c r="F219" s="87"/>
      <c r="G219" s="87"/>
      <c r="H219" s="88"/>
      <c r="I219" s="88"/>
    </row>
    <row r="220" spans="1:9" ht="13">
      <c r="A220" s="48"/>
      <c r="B220" s="50"/>
      <c r="C220" s="153"/>
      <c r="D220" s="87"/>
      <c r="E220" s="87"/>
      <c r="F220" s="87"/>
      <c r="G220" s="87"/>
      <c r="H220" s="88"/>
      <c r="I220" s="88"/>
    </row>
    <row r="221" spans="1:9" ht="13">
      <c r="A221" s="112"/>
      <c r="B221" s="111"/>
      <c r="C221" s="154"/>
      <c r="D221" s="87"/>
      <c r="E221" s="87"/>
      <c r="F221" s="87"/>
      <c r="G221" s="87"/>
      <c r="H221" s="88"/>
      <c r="I221" s="88"/>
    </row>
    <row r="222" spans="1:9" ht="13">
      <c r="A222" s="112"/>
      <c r="B222" s="111"/>
      <c r="C222" s="154"/>
      <c r="D222" s="87"/>
      <c r="E222" s="87"/>
      <c r="F222" s="87"/>
      <c r="G222" s="87"/>
      <c r="H222" s="88"/>
      <c r="I222" s="88"/>
    </row>
    <row r="223" spans="1:9" ht="13">
      <c r="A223" s="112"/>
      <c r="B223" s="111"/>
      <c r="C223" s="154"/>
      <c r="D223" s="87"/>
      <c r="E223" s="87"/>
      <c r="F223" s="87"/>
      <c r="G223" s="87"/>
      <c r="H223" s="88"/>
      <c r="I223" s="88"/>
    </row>
    <row r="224" spans="1:9" ht="13">
      <c r="A224" s="112"/>
      <c r="B224" s="111"/>
      <c r="C224" s="154"/>
      <c r="D224" s="87"/>
      <c r="E224" s="87"/>
      <c r="F224" s="87"/>
      <c r="G224" s="87"/>
      <c r="H224" s="88"/>
      <c r="I224" s="88"/>
    </row>
    <row r="225" spans="1:9" ht="13">
      <c r="A225" s="112"/>
      <c r="B225" s="111"/>
      <c r="C225" s="154"/>
      <c r="D225" s="86"/>
      <c r="E225" s="87"/>
      <c r="F225" s="87"/>
      <c r="G225" s="87"/>
      <c r="H225" s="88"/>
      <c r="I225" s="88"/>
    </row>
    <row r="226" spans="1:9" ht="13">
      <c r="A226" s="112"/>
      <c r="B226" s="111"/>
      <c r="C226" s="154"/>
      <c r="D226" s="87"/>
      <c r="E226" s="87"/>
      <c r="F226" s="87"/>
      <c r="G226" s="87"/>
      <c r="H226" s="88"/>
      <c r="I226" s="88"/>
    </row>
    <row r="227" spans="1:9" ht="13">
      <c r="A227" s="112"/>
      <c r="B227" s="111"/>
      <c r="C227" s="154"/>
      <c r="D227" s="87"/>
      <c r="E227" s="87"/>
      <c r="F227" s="87"/>
      <c r="G227" s="87"/>
      <c r="H227" s="88"/>
      <c r="I227" s="88"/>
    </row>
    <row r="228" spans="1:9" ht="13">
      <c r="A228" s="112"/>
      <c r="B228" s="111"/>
      <c r="C228" s="154"/>
      <c r="D228" s="87"/>
      <c r="E228" s="87"/>
      <c r="F228" s="87"/>
      <c r="G228" s="87"/>
      <c r="H228" s="88"/>
      <c r="I228" s="88"/>
    </row>
    <row r="229" spans="1:9" ht="13">
      <c r="A229" s="112"/>
      <c r="B229" s="111"/>
      <c r="C229" s="154"/>
      <c r="D229" s="87"/>
      <c r="E229" s="87"/>
      <c r="F229" s="87"/>
      <c r="G229" s="87"/>
      <c r="H229" s="88"/>
      <c r="I229" s="88"/>
    </row>
    <row r="230" spans="1:9" ht="13">
      <c r="A230" s="112"/>
      <c r="B230" s="111"/>
      <c r="C230" s="154"/>
      <c r="D230" s="87"/>
      <c r="E230" s="87"/>
      <c r="F230" s="87"/>
      <c r="G230" s="87"/>
      <c r="H230" s="88"/>
      <c r="I230" s="88"/>
    </row>
    <row r="231" spans="1:9" ht="13">
      <c r="A231" s="112"/>
      <c r="B231" s="111"/>
      <c r="C231" s="154"/>
      <c r="D231" s="87"/>
      <c r="E231" s="87"/>
      <c r="F231" s="87"/>
      <c r="G231" s="87"/>
      <c r="H231" s="88"/>
      <c r="I231" s="88"/>
    </row>
    <row r="232" spans="1:9" ht="13">
      <c r="A232" s="112"/>
      <c r="B232" s="111"/>
      <c r="C232" s="154"/>
      <c r="D232" s="87"/>
      <c r="E232" s="87"/>
      <c r="F232" s="87"/>
      <c r="G232" s="87"/>
      <c r="H232" s="88"/>
      <c r="I232" s="88"/>
    </row>
    <row r="233" spans="1:9" ht="13">
      <c r="A233" s="112"/>
      <c r="B233" s="111"/>
      <c r="C233" s="154"/>
      <c r="D233" s="87"/>
      <c r="E233" s="87"/>
      <c r="F233" s="87"/>
      <c r="G233" s="87"/>
      <c r="H233" s="88"/>
      <c r="I233" s="88"/>
    </row>
    <row r="234" spans="1:9" ht="13">
      <c r="A234" s="112"/>
      <c r="B234" s="111"/>
      <c r="C234" s="136"/>
      <c r="D234" s="107"/>
      <c r="E234" s="112"/>
      <c r="F234" s="87"/>
      <c r="G234" s="87"/>
      <c r="H234" s="88"/>
      <c r="I234" s="88"/>
    </row>
    <row r="235" spans="1:9" ht="13">
      <c r="A235" s="112"/>
      <c r="B235" s="111"/>
      <c r="C235" s="136"/>
      <c r="D235" s="112"/>
      <c r="E235" s="112"/>
      <c r="F235" s="87"/>
      <c r="G235" s="87"/>
      <c r="H235" s="88"/>
      <c r="I235" s="88"/>
    </row>
    <row r="236" spans="1:9" ht="13">
      <c r="A236" s="112"/>
      <c r="B236" s="111"/>
      <c r="C236" s="136"/>
      <c r="D236" s="112"/>
      <c r="E236" s="112"/>
      <c r="F236" s="87"/>
      <c r="G236" s="87"/>
      <c r="H236" s="88"/>
      <c r="I236" s="88"/>
    </row>
    <row r="237" spans="1:9" ht="13">
      <c r="A237" s="112"/>
      <c r="B237" s="111"/>
      <c r="C237" s="136"/>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C00-000000000000}"/>
    <hyperlink ref="B6" r:id="rId2" xr:uid="{00000000-0004-0000-6C00-000001000000}"/>
    <hyperlink ref="B7" r:id="rId3" xr:uid="{00000000-0004-0000-6C00-000002000000}"/>
    <hyperlink ref="B8" r:id="rId4" xr:uid="{00000000-0004-0000-6C00-000003000000}"/>
    <hyperlink ref="B9" r:id="rId5" xr:uid="{00000000-0004-0000-6C00-000004000000}"/>
    <hyperlink ref="B10" r:id="rId6" xr:uid="{00000000-0004-0000-6C00-000005000000}"/>
    <hyperlink ref="B11" r:id="rId7" xr:uid="{00000000-0004-0000-6C00-000006000000}"/>
    <hyperlink ref="B12" r:id="rId8" xr:uid="{00000000-0004-0000-6C00-000007000000}"/>
    <hyperlink ref="B13" r:id="rId9" xr:uid="{00000000-0004-0000-6C00-000008000000}"/>
    <hyperlink ref="B14" r:id="rId10" xr:uid="{00000000-0004-0000-6C00-000009000000}"/>
    <hyperlink ref="B15" r:id="rId11" xr:uid="{00000000-0004-0000-6C00-00000A000000}"/>
    <hyperlink ref="B16" r:id="rId12" xr:uid="{00000000-0004-0000-6C00-00000B000000}"/>
    <hyperlink ref="B17" r:id="rId13" xr:uid="{00000000-0004-0000-6C00-00000C000000}"/>
    <hyperlink ref="B18" r:id="rId14" xr:uid="{00000000-0004-0000-6C00-00000D000000}"/>
    <hyperlink ref="B19" r:id="rId15" xr:uid="{00000000-0004-0000-6C00-00000E000000}"/>
    <hyperlink ref="B20" r:id="rId16" xr:uid="{00000000-0004-0000-6C00-00000F000000}"/>
    <hyperlink ref="B21" r:id="rId17" xr:uid="{00000000-0004-0000-6C00-000010000000}"/>
    <hyperlink ref="B22" r:id="rId18" xr:uid="{00000000-0004-0000-6C00-000011000000}"/>
    <hyperlink ref="B23" r:id="rId19" xr:uid="{00000000-0004-0000-6C00-000012000000}"/>
    <hyperlink ref="B24" r:id="rId20" xr:uid="{00000000-0004-0000-6C00-000013000000}"/>
    <hyperlink ref="B25" r:id="rId21" xr:uid="{00000000-0004-0000-6C00-000014000000}"/>
    <hyperlink ref="B26" r:id="rId22" xr:uid="{00000000-0004-0000-6C00-000015000000}"/>
    <hyperlink ref="B27" r:id="rId23" xr:uid="{00000000-0004-0000-6C00-000016000000}"/>
    <hyperlink ref="B28" r:id="rId24" xr:uid="{00000000-0004-0000-6C00-000017000000}"/>
    <hyperlink ref="B29" r:id="rId25" xr:uid="{00000000-0004-0000-6C00-000018000000}"/>
    <hyperlink ref="B30" r:id="rId26" xr:uid="{00000000-0004-0000-6C00-000019000000}"/>
    <hyperlink ref="B31" r:id="rId27" xr:uid="{00000000-0004-0000-6C00-00001A000000}"/>
    <hyperlink ref="B32" r:id="rId28" xr:uid="{00000000-0004-0000-6C00-00001B000000}"/>
    <hyperlink ref="B33" r:id="rId29" xr:uid="{00000000-0004-0000-6C00-00001C000000}"/>
    <hyperlink ref="B34" r:id="rId30" xr:uid="{00000000-0004-0000-6C00-00001D000000}"/>
    <hyperlink ref="B35" r:id="rId31" xr:uid="{00000000-0004-0000-6C00-00001E000000}"/>
    <hyperlink ref="B36" r:id="rId32" xr:uid="{00000000-0004-0000-6C00-00001F000000}"/>
    <hyperlink ref="B37" r:id="rId33" xr:uid="{00000000-0004-0000-6C00-000020000000}"/>
    <hyperlink ref="B38" r:id="rId34" xr:uid="{00000000-0004-0000-6C00-000021000000}"/>
    <hyperlink ref="B39" r:id="rId35" xr:uid="{00000000-0004-0000-6C00-000022000000}"/>
    <hyperlink ref="B40" r:id="rId36" xr:uid="{00000000-0004-0000-6C00-000023000000}"/>
    <hyperlink ref="B41" r:id="rId37" xr:uid="{00000000-0004-0000-6C00-000024000000}"/>
    <hyperlink ref="B42" r:id="rId38" xr:uid="{00000000-0004-0000-6C00-000025000000}"/>
    <hyperlink ref="B43" r:id="rId39" xr:uid="{00000000-0004-0000-6C00-000026000000}"/>
    <hyperlink ref="B44" r:id="rId40" xr:uid="{00000000-0004-0000-6C00-000027000000}"/>
    <hyperlink ref="B45" r:id="rId41" xr:uid="{00000000-0004-0000-6C00-000028000000}"/>
    <hyperlink ref="B46" r:id="rId42" xr:uid="{00000000-0004-0000-6C00-000029000000}"/>
    <hyperlink ref="B47" r:id="rId43" xr:uid="{00000000-0004-0000-6C00-00002A000000}"/>
    <hyperlink ref="B48" r:id="rId44" xr:uid="{00000000-0004-0000-6C00-00002B000000}"/>
    <hyperlink ref="B49" r:id="rId45" xr:uid="{00000000-0004-0000-6C00-00002C000000}"/>
    <hyperlink ref="B50" r:id="rId46" xr:uid="{00000000-0004-0000-6C00-00002D000000}"/>
    <hyperlink ref="B51" r:id="rId47" xr:uid="{00000000-0004-0000-6C00-00002E000000}"/>
    <hyperlink ref="B52" r:id="rId48" xr:uid="{00000000-0004-0000-6C00-00002F000000}"/>
    <hyperlink ref="B53" r:id="rId49" xr:uid="{00000000-0004-0000-6C00-000030000000}"/>
    <hyperlink ref="B54" r:id="rId50" xr:uid="{00000000-0004-0000-6C00-000031000000}"/>
    <hyperlink ref="B55" r:id="rId51" xr:uid="{00000000-0004-0000-6C00-000032000000}"/>
    <hyperlink ref="B56" r:id="rId52" xr:uid="{00000000-0004-0000-6C00-000033000000}"/>
    <hyperlink ref="B57" r:id="rId53" xr:uid="{00000000-0004-0000-6C00-000034000000}"/>
    <hyperlink ref="B58" r:id="rId54" xr:uid="{00000000-0004-0000-6C00-000035000000}"/>
    <hyperlink ref="B59" r:id="rId55" xr:uid="{00000000-0004-0000-6C00-000036000000}"/>
    <hyperlink ref="B60" r:id="rId56" xr:uid="{00000000-0004-0000-6C00-000037000000}"/>
    <hyperlink ref="B61" r:id="rId57" xr:uid="{00000000-0004-0000-6C00-000038000000}"/>
    <hyperlink ref="B62" r:id="rId58" xr:uid="{00000000-0004-0000-6C00-000039000000}"/>
    <hyperlink ref="B63" r:id="rId59" xr:uid="{00000000-0004-0000-6C00-00003A000000}"/>
    <hyperlink ref="B64" r:id="rId60" xr:uid="{00000000-0004-0000-6C00-00003B000000}"/>
    <hyperlink ref="B65" r:id="rId61" xr:uid="{00000000-0004-0000-6C00-00003C000000}"/>
    <hyperlink ref="B66" r:id="rId62" xr:uid="{00000000-0004-0000-6C00-00003D000000}"/>
    <hyperlink ref="B67" r:id="rId63" xr:uid="{00000000-0004-0000-6C00-00003E000000}"/>
    <hyperlink ref="B68" r:id="rId64" xr:uid="{00000000-0004-0000-6C00-00003F000000}"/>
    <hyperlink ref="B69" r:id="rId65" xr:uid="{00000000-0004-0000-6C00-000040000000}"/>
    <hyperlink ref="B70" r:id="rId66" xr:uid="{00000000-0004-0000-6C00-000041000000}"/>
    <hyperlink ref="B71" r:id="rId67" xr:uid="{00000000-0004-0000-6C00-000042000000}"/>
    <hyperlink ref="B72" r:id="rId68" xr:uid="{00000000-0004-0000-6C00-000043000000}"/>
    <hyperlink ref="B73" r:id="rId69" xr:uid="{00000000-0004-0000-6C00-000044000000}"/>
    <hyperlink ref="B74" r:id="rId70" xr:uid="{00000000-0004-0000-6C00-000045000000}"/>
    <hyperlink ref="B75" r:id="rId71" xr:uid="{00000000-0004-0000-6C00-000046000000}"/>
    <hyperlink ref="B76" r:id="rId72" xr:uid="{00000000-0004-0000-6C00-000047000000}"/>
    <hyperlink ref="B77" r:id="rId73" xr:uid="{00000000-0004-0000-6C00-000048000000}"/>
    <hyperlink ref="B78" r:id="rId74" xr:uid="{00000000-0004-0000-6C00-000049000000}"/>
    <hyperlink ref="B79" r:id="rId75" xr:uid="{00000000-0004-0000-6C00-00004A000000}"/>
    <hyperlink ref="B80" r:id="rId76" xr:uid="{00000000-0004-0000-6C00-00004B000000}"/>
    <hyperlink ref="B81" r:id="rId77" xr:uid="{00000000-0004-0000-6C00-00004C000000}"/>
    <hyperlink ref="B82" r:id="rId78" xr:uid="{00000000-0004-0000-6C00-00004D000000}"/>
    <hyperlink ref="B83" r:id="rId79" xr:uid="{00000000-0004-0000-6C00-00004E000000}"/>
    <hyperlink ref="B84" r:id="rId80" xr:uid="{00000000-0004-0000-6C00-00004F000000}"/>
    <hyperlink ref="B85" r:id="rId81" xr:uid="{00000000-0004-0000-6C00-000050000000}"/>
    <hyperlink ref="B86" r:id="rId82" xr:uid="{00000000-0004-0000-6C00-000051000000}"/>
    <hyperlink ref="B87" r:id="rId83" xr:uid="{00000000-0004-0000-6C00-000052000000}"/>
    <hyperlink ref="B88" r:id="rId84" xr:uid="{00000000-0004-0000-6C00-000053000000}"/>
    <hyperlink ref="B89" r:id="rId85" xr:uid="{00000000-0004-0000-6C00-000054000000}"/>
    <hyperlink ref="B90" r:id="rId86" xr:uid="{00000000-0004-0000-6C00-000055000000}"/>
    <hyperlink ref="B91" r:id="rId87" xr:uid="{00000000-0004-0000-6C00-000056000000}"/>
    <hyperlink ref="B92" r:id="rId88" xr:uid="{00000000-0004-0000-6C00-000057000000}"/>
    <hyperlink ref="B93" r:id="rId89" xr:uid="{00000000-0004-0000-6C00-000058000000}"/>
    <hyperlink ref="B94" r:id="rId90" xr:uid="{00000000-0004-0000-6C00-000059000000}"/>
    <hyperlink ref="B95" r:id="rId91" xr:uid="{00000000-0004-0000-6C00-00005A000000}"/>
    <hyperlink ref="B96" r:id="rId92" xr:uid="{00000000-0004-0000-6C00-00005B000000}"/>
    <hyperlink ref="B97" r:id="rId93" xr:uid="{00000000-0004-0000-6C00-00005C000000}"/>
    <hyperlink ref="B98" r:id="rId94" xr:uid="{00000000-0004-0000-6C00-00005D000000}"/>
    <hyperlink ref="B99" r:id="rId95" xr:uid="{00000000-0004-0000-6C00-00005E000000}"/>
    <hyperlink ref="B100" r:id="rId96" xr:uid="{00000000-0004-0000-6C00-00005F000000}"/>
    <hyperlink ref="B101" r:id="rId97" xr:uid="{00000000-0004-0000-6C00-000060000000}"/>
    <hyperlink ref="B102" r:id="rId98" xr:uid="{00000000-0004-0000-6C00-000061000000}"/>
    <hyperlink ref="B103" r:id="rId99" xr:uid="{00000000-0004-0000-6C00-000062000000}"/>
    <hyperlink ref="B104" r:id="rId100" xr:uid="{00000000-0004-0000-6C00-000063000000}"/>
    <hyperlink ref="B105" r:id="rId101" xr:uid="{00000000-0004-0000-6C00-000064000000}"/>
    <hyperlink ref="B106" r:id="rId102" xr:uid="{00000000-0004-0000-6C00-000065000000}"/>
    <hyperlink ref="B107" r:id="rId103" xr:uid="{00000000-0004-0000-6C00-000066000000}"/>
    <hyperlink ref="B108" r:id="rId104" xr:uid="{00000000-0004-0000-6C00-000067000000}"/>
    <hyperlink ref="B109" r:id="rId105" xr:uid="{00000000-0004-0000-6C00-000068000000}"/>
    <hyperlink ref="B110" r:id="rId106" xr:uid="{00000000-0004-0000-6C00-000069000000}"/>
    <hyperlink ref="B111" r:id="rId107" xr:uid="{00000000-0004-0000-6C00-00006A000000}"/>
    <hyperlink ref="B112" r:id="rId108" xr:uid="{00000000-0004-0000-6C00-00006B000000}"/>
    <hyperlink ref="B113" r:id="rId109" xr:uid="{00000000-0004-0000-6C00-00006C000000}"/>
    <hyperlink ref="B114" r:id="rId110" xr:uid="{00000000-0004-0000-6C00-00006D000000}"/>
    <hyperlink ref="B115" r:id="rId111" xr:uid="{00000000-0004-0000-6C00-00006E000000}"/>
    <hyperlink ref="B116" r:id="rId112" xr:uid="{00000000-0004-0000-6C00-00006F000000}"/>
    <hyperlink ref="B117" r:id="rId113" xr:uid="{00000000-0004-0000-6C00-000070000000}"/>
    <hyperlink ref="B118" r:id="rId114" xr:uid="{00000000-0004-0000-6C00-000071000000}"/>
    <hyperlink ref="B119" r:id="rId115" xr:uid="{00000000-0004-0000-6C00-000072000000}"/>
    <hyperlink ref="B120" r:id="rId116" xr:uid="{00000000-0004-0000-6C00-000073000000}"/>
    <hyperlink ref="B121" r:id="rId117" xr:uid="{00000000-0004-0000-6C00-000074000000}"/>
    <hyperlink ref="B122" r:id="rId118" xr:uid="{00000000-0004-0000-6C00-000075000000}"/>
    <hyperlink ref="B123" r:id="rId119" xr:uid="{00000000-0004-0000-6C00-000076000000}"/>
    <hyperlink ref="B124" r:id="rId120" xr:uid="{00000000-0004-0000-6C00-000077000000}"/>
    <hyperlink ref="B125" r:id="rId121" xr:uid="{00000000-0004-0000-6C00-000078000000}"/>
    <hyperlink ref="B126" r:id="rId122" xr:uid="{00000000-0004-0000-6C00-000079000000}"/>
    <hyperlink ref="B127" r:id="rId123" xr:uid="{00000000-0004-0000-6C00-00007A000000}"/>
    <hyperlink ref="B128" r:id="rId124" xr:uid="{00000000-0004-0000-6C00-00007B000000}"/>
    <hyperlink ref="B129" r:id="rId125" xr:uid="{00000000-0004-0000-6C00-00007C000000}"/>
    <hyperlink ref="B130" r:id="rId126" xr:uid="{00000000-0004-0000-6C00-00007D000000}"/>
    <hyperlink ref="B131" r:id="rId127" xr:uid="{00000000-0004-0000-6C00-00007E000000}"/>
    <hyperlink ref="B132" r:id="rId128" xr:uid="{00000000-0004-0000-6C00-00007F000000}"/>
    <hyperlink ref="B133" r:id="rId129" xr:uid="{00000000-0004-0000-6C00-000080000000}"/>
    <hyperlink ref="B134" r:id="rId130" xr:uid="{00000000-0004-0000-6C00-000081000000}"/>
    <hyperlink ref="B135" r:id="rId131" xr:uid="{00000000-0004-0000-6C00-000082000000}"/>
    <hyperlink ref="B136" r:id="rId132" xr:uid="{00000000-0004-0000-6C00-000083000000}"/>
    <hyperlink ref="B137" r:id="rId133" xr:uid="{00000000-0004-0000-6C00-000084000000}"/>
    <hyperlink ref="B138" r:id="rId134" xr:uid="{00000000-0004-0000-6C00-000085000000}"/>
    <hyperlink ref="B139" r:id="rId135" xr:uid="{00000000-0004-0000-6C00-000086000000}"/>
    <hyperlink ref="B140" r:id="rId136" xr:uid="{00000000-0004-0000-6C00-000087000000}"/>
    <hyperlink ref="B141" r:id="rId137" xr:uid="{00000000-0004-0000-6C00-000088000000}"/>
    <hyperlink ref="B142" r:id="rId138" xr:uid="{00000000-0004-0000-6C00-000089000000}"/>
    <hyperlink ref="B143" r:id="rId139" xr:uid="{00000000-0004-0000-6C00-00008A000000}"/>
    <hyperlink ref="B144" r:id="rId140" xr:uid="{00000000-0004-0000-6C00-00008B000000}"/>
    <hyperlink ref="B145" r:id="rId141" xr:uid="{00000000-0004-0000-6C00-00008C000000}"/>
    <hyperlink ref="B146" r:id="rId142" xr:uid="{00000000-0004-0000-6C00-00008D000000}"/>
    <hyperlink ref="B147" r:id="rId143" xr:uid="{00000000-0004-0000-6C00-00008E000000}"/>
    <hyperlink ref="B148" r:id="rId144" xr:uid="{00000000-0004-0000-6C00-00008F000000}"/>
    <hyperlink ref="B149" r:id="rId145" xr:uid="{00000000-0004-0000-6C00-000090000000}"/>
    <hyperlink ref="B150" r:id="rId146" xr:uid="{00000000-0004-0000-6C00-000091000000}"/>
    <hyperlink ref="B151" r:id="rId147" xr:uid="{00000000-0004-0000-6C00-000092000000}"/>
    <hyperlink ref="B152" r:id="rId148" xr:uid="{00000000-0004-0000-6C00-000093000000}"/>
    <hyperlink ref="B153" r:id="rId149" xr:uid="{00000000-0004-0000-6C00-000094000000}"/>
    <hyperlink ref="B154" r:id="rId150" xr:uid="{00000000-0004-0000-6C00-000095000000}"/>
    <hyperlink ref="B155" r:id="rId151" xr:uid="{00000000-0004-0000-6C00-000096000000}"/>
    <hyperlink ref="B156" r:id="rId152" xr:uid="{00000000-0004-0000-6C00-000097000000}"/>
    <hyperlink ref="B157" r:id="rId153" xr:uid="{00000000-0004-0000-6C00-000098000000}"/>
    <hyperlink ref="B158" r:id="rId154" xr:uid="{00000000-0004-0000-6C00-000099000000}"/>
    <hyperlink ref="B159" r:id="rId155" xr:uid="{00000000-0004-0000-6C00-00009A000000}"/>
    <hyperlink ref="B160" r:id="rId156" xr:uid="{00000000-0004-0000-6C00-00009B000000}"/>
    <hyperlink ref="B161" r:id="rId157" xr:uid="{00000000-0004-0000-6C00-00009C000000}"/>
    <hyperlink ref="B162" r:id="rId158" xr:uid="{00000000-0004-0000-6C00-00009D000000}"/>
    <hyperlink ref="B163" r:id="rId159" xr:uid="{00000000-0004-0000-6C00-00009E000000}"/>
    <hyperlink ref="B164" r:id="rId160" xr:uid="{00000000-0004-0000-6C00-00009F000000}"/>
    <hyperlink ref="B165" r:id="rId161" xr:uid="{00000000-0004-0000-6C00-0000A0000000}"/>
    <hyperlink ref="B166" r:id="rId162" xr:uid="{00000000-0004-0000-6C00-0000A1000000}"/>
    <hyperlink ref="B167" r:id="rId163" xr:uid="{00000000-0004-0000-6C00-0000A2000000}"/>
    <hyperlink ref="B168" r:id="rId164" xr:uid="{00000000-0004-0000-6C00-0000A3000000}"/>
    <hyperlink ref="B169" r:id="rId165" xr:uid="{00000000-0004-0000-6C00-0000A4000000}"/>
    <hyperlink ref="B170" r:id="rId166" xr:uid="{00000000-0004-0000-6C00-0000A5000000}"/>
    <hyperlink ref="B171" r:id="rId167" xr:uid="{00000000-0004-0000-6C00-0000A6000000}"/>
    <hyperlink ref="B172" r:id="rId168" xr:uid="{00000000-0004-0000-6C00-0000A7000000}"/>
    <hyperlink ref="B173" r:id="rId169" xr:uid="{00000000-0004-0000-6C00-0000A8000000}"/>
    <hyperlink ref="B174" r:id="rId170" xr:uid="{00000000-0004-0000-6C00-0000A9000000}"/>
    <hyperlink ref="B175" r:id="rId171" xr:uid="{00000000-0004-0000-6C00-0000AA000000}"/>
    <hyperlink ref="B176" r:id="rId172" xr:uid="{00000000-0004-0000-6C00-0000AB000000}"/>
    <hyperlink ref="B177" r:id="rId173" xr:uid="{00000000-0004-0000-6C00-0000AC000000}"/>
    <hyperlink ref="B178" r:id="rId174" xr:uid="{00000000-0004-0000-6C00-0000AD000000}"/>
    <hyperlink ref="B179" r:id="rId175" xr:uid="{00000000-0004-0000-6C00-0000AE000000}"/>
    <hyperlink ref="B180" r:id="rId176" xr:uid="{00000000-0004-0000-6C00-0000AF000000}"/>
    <hyperlink ref="B181" r:id="rId177" xr:uid="{00000000-0004-0000-6C00-0000B0000000}"/>
    <hyperlink ref="B182" r:id="rId178" xr:uid="{00000000-0004-0000-6C00-0000B1000000}"/>
    <hyperlink ref="B183" r:id="rId179" xr:uid="{00000000-0004-0000-6C00-0000B2000000}"/>
    <hyperlink ref="B184" r:id="rId180" xr:uid="{00000000-0004-0000-6C00-0000B3000000}"/>
    <hyperlink ref="B185" r:id="rId181" xr:uid="{00000000-0004-0000-6C00-0000B4000000}"/>
    <hyperlink ref="B186" r:id="rId182" xr:uid="{00000000-0004-0000-6C00-0000B5000000}"/>
    <hyperlink ref="B187" r:id="rId183" xr:uid="{00000000-0004-0000-6C00-0000B6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10">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1.33203125" customWidth="1"/>
    <col min="4" max="4" width="14" customWidth="1"/>
    <col min="5" max="5" width="15.1640625" customWidth="1"/>
  </cols>
  <sheetData>
    <row r="1" spans="1:10" ht="15.75" customHeight="1">
      <c r="A1" s="171" t="s">
        <v>114</v>
      </c>
      <c r="B1" s="35"/>
      <c r="C1" s="161"/>
      <c r="D1" s="162" t="s">
        <v>181</v>
      </c>
      <c r="E1" s="35"/>
      <c r="F1" s="35"/>
      <c r="G1" s="35"/>
      <c r="H1" s="35"/>
      <c r="I1" s="88"/>
    </row>
    <row r="2" spans="1:10" ht="15.75" customHeight="1">
      <c r="A2" s="35" t="s">
        <v>182</v>
      </c>
      <c r="B2" s="163">
        <v>44365</v>
      </c>
      <c r="C2" s="161"/>
      <c r="D2" s="164">
        <f>SUM(D5:G237)</f>
        <v>0</v>
      </c>
      <c r="E2" s="35"/>
      <c r="F2" s="35"/>
      <c r="G2" s="35"/>
      <c r="H2" s="35"/>
      <c r="I2" s="88"/>
    </row>
    <row r="3" spans="1:10" ht="15.75" customHeight="1">
      <c r="A3" s="35"/>
      <c r="B3" s="35"/>
      <c r="C3" s="161"/>
      <c r="D3" s="35"/>
      <c r="E3" s="35"/>
      <c r="F3" s="35"/>
      <c r="G3" s="35"/>
      <c r="H3" s="35"/>
      <c r="I3" s="88"/>
    </row>
    <row r="4" spans="1:10" ht="15.75" customHeight="1">
      <c r="A4" s="165" t="s">
        <v>183</v>
      </c>
      <c r="B4" s="165" t="s">
        <v>184</v>
      </c>
      <c r="C4" s="165" t="s">
        <v>185</v>
      </c>
      <c r="D4" s="166" t="s">
        <v>186</v>
      </c>
      <c r="E4" s="167" t="s">
        <v>187</v>
      </c>
      <c r="F4" s="167" t="s">
        <v>188</v>
      </c>
      <c r="G4" s="168" t="s">
        <v>189</v>
      </c>
      <c r="H4" s="167" t="s">
        <v>190</v>
      </c>
      <c r="I4" s="85"/>
    </row>
    <row r="5" spans="1:10" ht="15.75" customHeight="1">
      <c r="A5" s="147" t="s">
        <v>10410</v>
      </c>
      <c r="B5" s="152" t="s">
        <v>300</v>
      </c>
      <c r="C5" s="147" t="s">
        <v>205</v>
      </c>
      <c r="D5" s="170"/>
      <c r="E5" s="170"/>
      <c r="F5" s="170"/>
      <c r="G5" s="35"/>
      <c r="H5" s="35"/>
      <c r="I5" s="88"/>
      <c r="J5" s="88"/>
    </row>
    <row r="6" spans="1:10" ht="15.75" customHeight="1">
      <c r="A6" s="147" t="s">
        <v>10411</v>
      </c>
      <c r="B6" s="152" t="s">
        <v>266</v>
      </c>
      <c r="C6" s="147" t="s">
        <v>205</v>
      </c>
      <c r="D6" s="170"/>
      <c r="E6" s="170"/>
      <c r="F6" s="170"/>
      <c r="G6" s="35"/>
      <c r="H6" s="35"/>
      <c r="I6" s="88"/>
      <c r="J6" s="88"/>
    </row>
    <row r="7" spans="1:10" ht="15.75" customHeight="1">
      <c r="A7" s="147" t="s">
        <v>10412</v>
      </c>
      <c r="B7" s="152" t="s">
        <v>253</v>
      </c>
      <c r="C7" s="147" t="s">
        <v>205</v>
      </c>
      <c r="D7" s="170"/>
      <c r="E7" s="170"/>
      <c r="F7" s="170"/>
      <c r="G7" s="35"/>
      <c r="H7" s="35"/>
      <c r="I7" s="88"/>
    </row>
    <row r="8" spans="1:10" ht="15.75" customHeight="1">
      <c r="A8" s="147" t="s">
        <v>10413</v>
      </c>
      <c r="B8" s="152" t="s">
        <v>874</v>
      </c>
      <c r="C8" s="147" t="s">
        <v>205</v>
      </c>
      <c r="D8" s="170"/>
      <c r="E8" s="170"/>
      <c r="F8" s="170"/>
      <c r="G8" s="35"/>
      <c r="H8" s="35"/>
      <c r="I8" s="88"/>
    </row>
    <row r="9" spans="1:10" ht="15.75" customHeight="1">
      <c r="A9" s="147" t="s">
        <v>10414</v>
      </c>
      <c r="B9" s="152" t="s">
        <v>833</v>
      </c>
      <c r="C9" s="147" t="s">
        <v>205</v>
      </c>
      <c r="D9" s="170"/>
      <c r="E9" s="170"/>
      <c r="F9" s="170"/>
      <c r="G9" s="35"/>
      <c r="H9" s="35"/>
      <c r="I9" s="88"/>
    </row>
    <row r="10" spans="1:10" ht="15.75" customHeight="1">
      <c r="A10" s="147" t="s">
        <v>10415</v>
      </c>
      <c r="B10" s="148" t="s">
        <v>775</v>
      </c>
      <c r="C10" s="147" t="s">
        <v>205</v>
      </c>
      <c r="D10" s="170"/>
      <c r="E10" s="170"/>
      <c r="F10" s="170"/>
      <c r="G10" s="35"/>
      <c r="H10" s="35"/>
      <c r="I10" s="88"/>
    </row>
    <row r="11" spans="1:10" ht="15.75" customHeight="1">
      <c r="A11" s="147" t="s">
        <v>10416</v>
      </c>
      <c r="B11" s="152" t="s">
        <v>10417</v>
      </c>
      <c r="C11" s="147" t="s">
        <v>205</v>
      </c>
      <c r="D11" s="170"/>
      <c r="E11" s="170"/>
      <c r="F11" s="170"/>
      <c r="G11" s="35"/>
      <c r="H11" s="35"/>
      <c r="I11" s="88"/>
    </row>
    <row r="12" spans="1:10" ht="15.75" customHeight="1">
      <c r="A12" s="147" t="s">
        <v>10418</v>
      </c>
      <c r="B12" s="152" t="s">
        <v>10419</v>
      </c>
      <c r="C12" s="147" t="s">
        <v>205</v>
      </c>
      <c r="D12" s="170"/>
      <c r="E12" s="170"/>
      <c r="F12" s="170"/>
      <c r="G12" s="35"/>
      <c r="H12" s="35"/>
      <c r="I12" s="88"/>
    </row>
    <row r="13" spans="1:10" ht="15.75" customHeight="1">
      <c r="A13" s="147" t="s">
        <v>10420</v>
      </c>
      <c r="B13" s="152" t="s">
        <v>3277</v>
      </c>
      <c r="C13" s="147" t="s">
        <v>205</v>
      </c>
      <c r="D13" s="170"/>
      <c r="E13" s="170"/>
      <c r="F13" s="170"/>
      <c r="G13" s="35"/>
      <c r="H13" s="35"/>
      <c r="I13" s="88"/>
    </row>
    <row r="14" spans="1:10" ht="15.75" customHeight="1">
      <c r="A14" s="147" t="s">
        <v>10421</v>
      </c>
      <c r="B14" s="152" t="s">
        <v>3182</v>
      </c>
      <c r="C14" s="147" t="s">
        <v>205</v>
      </c>
      <c r="D14" s="170"/>
      <c r="E14" s="170"/>
      <c r="F14" s="35"/>
      <c r="G14" s="35"/>
      <c r="H14" s="35"/>
      <c r="I14" s="88"/>
    </row>
    <row r="15" spans="1:10" ht="15.75" customHeight="1">
      <c r="A15" s="147" t="s">
        <v>10422</v>
      </c>
      <c r="B15" s="152" t="s">
        <v>6021</v>
      </c>
      <c r="C15" s="147" t="s">
        <v>205</v>
      </c>
      <c r="D15" s="170"/>
      <c r="E15" s="170"/>
      <c r="F15" s="170"/>
      <c r="G15" s="35"/>
      <c r="H15" s="35"/>
      <c r="I15" s="88"/>
    </row>
    <row r="16" spans="1:10" ht="15.75" customHeight="1">
      <c r="A16" s="147" t="s">
        <v>10423</v>
      </c>
      <c r="B16" s="152" t="s">
        <v>8506</v>
      </c>
      <c r="C16" s="147" t="s">
        <v>205</v>
      </c>
      <c r="D16" s="170"/>
      <c r="E16" s="170"/>
      <c r="F16" s="170"/>
      <c r="G16" s="35"/>
      <c r="H16" s="35"/>
      <c r="I16" s="88"/>
    </row>
    <row r="17" spans="1:9" ht="15.75" customHeight="1">
      <c r="A17" s="147" t="s">
        <v>10424</v>
      </c>
      <c r="B17" s="152" t="s">
        <v>6470</v>
      </c>
      <c r="C17" s="147" t="s">
        <v>205</v>
      </c>
      <c r="D17" s="170"/>
      <c r="E17" s="147"/>
      <c r="F17" s="170"/>
      <c r="G17" s="35"/>
      <c r="H17" s="35"/>
      <c r="I17" s="88"/>
    </row>
    <row r="18" spans="1:9" ht="15.75" customHeight="1">
      <c r="A18" s="147" t="s">
        <v>10425</v>
      </c>
      <c r="B18" s="152" t="s">
        <v>6471</v>
      </c>
      <c r="C18" s="147" t="s">
        <v>205</v>
      </c>
      <c r="D18" s="170"/>
      <c r="E18" s="170"/>
      <c r="F18" s="170"/>
      <c r="G18" s="35"/>
      <c r="H18" s="35"/>
      <c r="I18" s="88"/>
    </row>
    <row r="19" spans="1:9" ht="15.75" customHeight="1">
      <c r="A19" s="147" t="s">
        <v>10426</v>
      </c>
      <c r="B19" s="152" t="s">
        <v>6212</v>
      </c>
      <c r="C19" s="147" t="s">
        <v>205</v>
      </c>
      <c r="D19" s="170"/>
      <c r="E19" s="170"/>
      <c r="F19" s="170"/>
      <c r="G19" s="35"/>
      <c r="H19" s="35"/>
      <c r="I19" s="88"/>
    </row>
    <row r="20" spans="1:9" ht="15.75" customHeight="1">
      <c r="A20" s="147" t="s">
        <v>10427</v>
      </c>
      <c r="B20" s="152" t="s">
        <v>8544</v>
      </c>
      <c r="C20" s="147" t="s">
        <v>205</v>
      </c>
      <c r="D20" s="170"/>
      <c r="E20" s="170"/>
      <c r="F20" s="170"/>
      <c r="G20" s="35"/>
      <c r="H20" s="35"/>
      <c r="I20" s="88"/>
    </row>
    <row r="21" spans="1:9" ht="15.75" customHeight="1">
      <c r="A21" s="147" t="s">
        <v>10428</v>
      </c>
      <c r="B21" s="152" t="s">
        <v>8887</v>
      </c>
      <c r="C21" s="147" t="s">
        <v>205</v>
      </c>
      <c r="D21" s="170"/>
      <c r="E21" s="170"/>
      <c r="F21" s="170"/>
      <c r="G21" s="35"/>
      <c r="H21" s="35"/>
      <c r="I21" s="88"/>
    </row>
    <row r="22" spans="1:9" ht="15.75" customHeight="1">
      <c r="A22" s="147" t="s">
        <v>10429</v>
      </c>
      <c r="B22" s="148" t="s">
        <v>8890</v>
      </c>
      <c r="C22" s="147" t="s">
        <v>205</v>
      </c>
      <c r="D22" s="170"/>
      <c r="E22" s="170"/>
      <c r="F22" s="35"/>
      <c r="G22" s="35"/>
      <c r="H22" s="35"/>
      <c r="I22" s="88"/>
    </row>
    <row r="23" spans="1:9" ht="15.75" customHeight="1">
      <c r="A23" s="147" t="s">
        <v>10430</v>
      </c>
      <c r="B23" s="148" t="s">
        <v>9998</v>
      </c>
      <c r="C23" s="147" t="s">
        <v>205</v>
      </c>
      <c r="D23" s="170"/>
      <c r="E23" s="147"/>
      <c r="F23" s="35"/>
      <c r="G23" s="35"/>
      <c r="H23" s="35"/>
    </row>
    <row r="24" spans="1:9" ht="15.75" customHeight="1">
      <c r="A24" s="147" t="s">
        <v>10431</v>
      </c>
      <c r="B24" s="152" t="s">
        <v>10432</v>
      </c>
      <c r="C24" s="147" t="s">
        <v>199</v>
      </c>
      <c r="D24" s="170"/>
      <c r="E24" s="170"/>
      <c r="F24" s="35"/>
      <c r="G24" s="35"/>
      <c r="H24" s="35"/>
      <c r="I24" s="88"/>
    </row>
    <row r="25" spans="1:9" ht="15.75" customHeight="1">
      <c r="A25" s="147" t="s">
        <v>10433</v>
      </c>
      <c r="B25" s="148" t="s">
        <v>10434</v>
      </c>
      <c r="C25" s="147" t="s">
        <v>199</v>
      </c>
      <c r="D25" s="170"/>
      <c r="E25" s="170"/>
      <c r="F25" s="170"/>
      <c r="G25" s="35"/>
      <c r="H25" s="35"/>
      <c r="I25" s="88"/>
    </row>
    <row r="26" spans="1:9" ht="15.75" customHeight="1">
      <c r="A26" s="147" t="s">
        <v>10435</v>
      </c>
      <c r="B26" s="148" t="s">
        <v>3433</v>
      </c>
      <c r="C26" s="147" t="s">
        <v>199</v>
      </c>
      <c r="D26" s="170"/>
      <c r="E26" s="170"/>
      <c r="F26" s="170"/>
      <c r="G26" s="35"/>
      <c r="H26" s="35"/>
      <c r="I26" s="88"/>
    </row>
    <row r="27" spans="1:9" ht="15.75" customHeight="1">
      <c r="A27" s="147" t="s">
        <v>10436</v>
      </c>
      <c r="B27" s="152" t="s">
        <v>4057</v>
      </c>
      <c r="C27" s="147" t="s">
        <v>199</v>
      </c>
      <c r="D27" s="170"/>
      <c r="E27" s="170"/>
      <c r="F27" s="170"/>
      <c r="G27" s="35"/>
      <c r="H27" s="35"/>
      <c r="I27" s="88"/>
    </row>
    <row r="28" spans="1:9" ht="15.75" customHeight="1">
      <c r="A28" s="147" t="s">
        <v>10437</v>
      </c>
      <c r="B28" s="152" t="s">
        <v>4058</v>
      </c>
      <c r="C28" s="147" t="s">
        <v>199</v>
      </c>
      <c r="D28" s="170"/>
      <c r="E28" s="170"/>
      <c r="F28" s="170"/>
      <c r="G28" s="35"/>
      <c r="H28" s="35"/>
      <c r="I28" s="88"/>
    </row>
    <row r="29" spans="1:9" ht="15.75" customHeight="1">
      <c r="A29" s="147" t="s">
        <v>10438</v>
      </c>
      <c r="B29" s="152" t="s">
        <v>10439</v>
      </c>
      <c r="C29" s="147" t="s">
        <v>199</v>
      </c>
      <c r="D29" s="170"/>
      <c r="E29" s="170"/>
      <c r="F29" s="35"/>
      <c r="G29" s="35"/>
      <c r="H29" s="35"/>
      <c r="I29" s="88"/>
    </row>
    <row r="30" spans="1:9" ht="15.75" customHeight="1">
      <c r="A30" s="147" t="s">
        <v>10438</v>
      </c>
      <c r="B30" s="152" t="s">
        <v>8546</v>
      </c>
      <c r="C30" s="147" t="s">
        <v>199</v>
      </c>
      <c r="D30" s="170"/>
      <c r="E30" s="170"/>
      <c r="F30" s="35"/>
      <c r="G30" s="35"/>
      <c r="H30" s="35"/>
      <c r="I30" s="88"/>
    </row>
    <row r="31" spans="1:9" ht="15.75" customHeight="1">
      <c r="A31" s="147" t="s">
        <v>10440</v>
      </c>
      <c r="B31" s="152" t="s">
        <v>8912</v>
      </c>
      <c r="C31" s="147" t="s">
        <v>199</v>
      </c>
      <c r="D31" s="170"/>
      <c r="E31" s="170"/>
      <c r="F31" s="35"/>
      <c r="G31" s="35"/>
      <c r="H31" s="35"/>
      <c r="I31" s="88"/>
    </row>
    <row r="32" spans="1:9" ht="15.75" customHeight="1">
      <c r="A32" s="147" t="s">
        <v>10441</v>
      </c>
      <c r="B32" s="152" t="s">
        <v>8720</v>
      </c>
      <c r="C32" s="147" t="s">
        <v>199</v>
      </c>
      <c r="D32" s="170"/>
      <c r="E32" s="170"/>
      <c r="F32" s="35"/>
      <c r="G32" s="35"/>
      <c r="H32" s="35"/>
      <c r="I32" s="88"/>
    </row>
    <row r="33" spans="1:9" ht="15.75" customHeight="1">
      <c r="A33" s="147" t="s">
        <v>10442</v>
      </c>
      <c r="B33" s="152" t="s">
        <v>364</v>
      </c>
      <c r="C33" s="147" t="s">
        <v>208</v>
      </c>
      <c r="D33" s="170"/>
      <c r="E33" s="170"/>
      <c r="F33" s="35"/>
      <c r="G33" s="35"/>
      <c r="H33" s="35"/>
      <c r="I33" s="88"/>
    </row>
    <row r="34" spans="1:9" ht="15.75" customHeight="1">
      <c r="A34" s="147" t="s">
        <v>10443</v>
      </c>
      <c r="B34" s="152" t="s">
        <v>810</v>
      </c>
      <c r="C34" s="147" t="s">
        <v>208</v>
      </c>
      <c r="D34" s="170"/>
      <c r="E34" s="170"/>
      <c r="F34" s="35"/>
      <c r="G34" s="35"/>
      <c r="H34" s="35"/>
      <c r="I34" s="88"/>
    </row>
    <row r="35" spans="1:9" ht="15.75" customHeight="1">
      <c r="A35" s="147" t="s">
        <v>10444</v>
      </c>
      <c r="B35" s="152" t="s">
        <v>3131</v>
      </c>
      <c r="C35" s="147" t="s">
        <v>208</v>
      </c>
      <c r="D35" s="170"/>
      <c r="E35" s="170"/>
      <c r="F35" s="170"/>
      <c r="G35" s="35"/>
      <c r="H35" s="35"/>
      <c r="I35" s="88"/>
    </row>
    <row r="36" spans="1:9" ht="15.75" customHeight="1">
      <c r="A36" s="147" t="s">
        <v>10445</v>
      </c>
      <c r="B36" s="152" t="s">
        <v>970</v>
      </c>
      <c r="C36" s="147" t="s">
        <v>208</v>
      </c>
      <c r="D36" s="170"/>
      <c r="E36" s="170"/>
      <c r="F36" s="170"/>
      <c r="G36" s="35"/>
      <c r="H36" s="35"/>
      <c r="I36" s="88"/>
    </row>
    <row r="37" spans="1:9" ht="15.75" customHeight="1">
      <c r="A37" s="147" t="s">
        <v>10446</v>
      </c>
      <c r="B37" s="152" t="s">
        <v>10447</v>
      </c>
      <c r="C37" s="147" t="s">
        <v>208</v>
      </c>
      <c r="D37" s="170"/>
      <c r="E37" s="170"/>
      <c r="F37" s="35"/>
      <c r="G37" s="35"/>
      <c r="H37" s="35"/>
      <c r="I37" s="88"/>
    </row>
    <row r="38" spans="1:9" ht="15.75" customHeight="1">
      <c r="A38" s="147" t="s">
        <v>10448</v>
      </c>
      <c r="B38" s="152" t="s">
        <v>10449</v>
      </c>
      <c r="C38" s="147" t="s">
        <v>208</v>
      </c>
      <c r="D38" s="170"/>
      <c r="E38" s="170"/>
      <c r="F38" s="35"/>
      <c r="G38" s="35"/>
      <c r="H38" s="35"/>
      <c r="I38" s="88"/>
    </row>
    <row r="39" spans="1:9" ht="15.75" customHeight="1">
      <c r="A39" s="147" t="s">
        <v>10450</v>
      </c>
      <c r="B39" s="152" t="s">
        <v>1550</v>
      </c>
      <c r="C39" s="147" t="s">
        <v>208</v>
      </c>
      <c r="D39" s="170"/>
      <c r="E39" s="170"/>
      <c r="F39" s="170"/>
      <c r="G39" s="35"/>
      <c r="H39" s="35"/>
      <c r="I39" s="88"/>
    </row>
    <row r="40" spans="1:9" ht="15.75" customHeight="1">
      <c r="A40" s="147" t="s">
        <v>10451</v>
      </c>
      <c r="B40" s="152" t="s">
        <v>3372</v>
      </c>
      <c r="C40" s="147" t="s">
        <v>208</v>
      </c>
      <c r="D40" s="170"/>
      <c r="E40" s="170"/>
      <c r="F40" s="35"/>
      <c r="G40" s="35"/>
      <c r="H40" s="35"/>
      <c r="I40" s="88"/>
    </row>
    <row r="41" spans="1:9" ht="15.75" customHeight="1">
      <c r="A41" s="147" t="s">
        <v>10452</v>
      </c>
      <c r="B41" s="152" t="s">
        <v>1888</v>
      </c>
      <c r="C41" s="147" t="s">
        <v>208</v>
      </c>
      <c r="D41" s="170"/>
      <c r="E41" s="170"/>
      <c r="F41" s="170"/>
      <c r="G41" s="35"/>
      <c r="H41" s="35"/>
      <c r="I41" s="88"/>
    </row>
    <row r="42" spans="1:9" ht="15.75" customHeight="1">
      <c r="A42" s="147" t="s">
        <v>10453</v>
      </c>
      <c r="B42" s="152" t="s">
        <v>1855</v>
      </c>
      <c r="C42" s="147" t="s">
        <v>208</v>
      </c>
      <c r="D42" s="170"/>
      <c r="E42" s="170"/>
      <c r="F42" s="35"/>
      <c r="G42" s="35"/>
      <c r="H42" s="35"/>
      <c r="I42" s="88"/>
    </row>
    <row r="43" spans="1:9" ht="15.75" customHeight="1">
      <c r="A43" s="147" t="s">
        <v>10454</v>
      </c>
      <c r="B43" s="152" t="s">
        <v>1810</v>
      </c>
      <c r="C43" s="147" t="s">
        <v>208</v>
      </c>
      <c r="D43" s="170"/>
      <c r="E43" s="170"/>
      <c r="F43" s="170"/>
      <c r="G43" s="35"/>
      <c r="H43" s="35"/>
      <c r="I43" s="88"/>
    </row>
    <row r="44" spans="1:9" ht="15.75" customHeight="1">
      <c r="A44" s="147" t="s">
        <v>10455</v>
      </c>
      <c r="B44" s="148" t="s">
        <v>7686</v>
      </c>
      <c r="C44" s="147" t="s">
        <v>208</v>
      </c>
      <c r="D44" s="170"/>
      <c r="E44" s="170"/>
      <c r="F44" s="170"/>
      <c r="G44" s="35"/>
      <c r="H44" s="35"/>
      <c r="I44" s="88"/>
    </row>
    <row r="45" spans="1:9" ht="15.75" customHeight="1">
      <c r="A45" s="147" t="s">
        <v>10456</v>
      </c>
      <c r="B45" s="152" t="s">
        <v>8548</v>
      </c>
      <c r="C45" s="147" t="s">
        <v>208</v>
      </c>
      <c r="D45" s="170"/>
      <c r="E45" s="170"/>
      <c r="F45" s="35"/>
      <c r="G45" s="35"/>
      <c r="H45" s="35"/>
      <c r="I45" s="88"/>
    </row>
    <row r="46" spans="1:9" ht="15.75" customHeight="1">
      <c r="A46" s="147" t="s">
        <v>10457</v>
      </c>
      <c r="B46" s="152" t="s">
        <v>8938</v>
      </c>
      <c r="C46" s="147" t="s">
        <v>208</v>
      </c>
      <c r="D46" s="170"/>
      <c r="E46" s="170"/>
      <c r="F46" s="170"/>
      <c r="G46" s="35"/>
      <c r="H46" s="35"/>
      <c r="I46" s="88"/>
    </row>
    <row r="47" spans="1:9" ht="15.75" customHeight="1">
      <c r="A47" s="147" t="s">
        <v>10458</v>
      </c>
      <c r="B47" s="152" t="s">
        <v>8722</v>
      </c>
      <c r="C47" s="147" t="s">
        <v>208</v>
      </c>
      <c r="D47" s="170"/>
      <c r="E47" s="170"/>
      <c r="F47" s="35"/>
      <c r="G47" s="35"/>
      <c r="H47" s="35"/>
      <c r="I47" s="88"/>
    </row>
    <row r="48" spans="1:9" ht="15.75" customHeight="1">
      <c r="A48" s="147" t="s">
        <v>10459</v>
      </c>
      <c r="B48" s="152" t="s">
        <v>10460</v>
      </c>
      <c r="C48" s="147" t="s">
        <v>208</v>
      </c>
      <c r="D48" s="170"/>
      <c r="E48" s="170"/>
      <c r="F48" s="170"/>
      <c r="G48" s="35"/>
      <c r="H48" s="35"/>
      <c r="I48" s="88"/>
    </row>
    <row r="49" spans="1:9" ht="15.75" customHeight="1">
      <c r="A49" s="147" t="s">
        <v>10461</v>
      </c>
      <c r="B49" s="152" t="s">
        <v>8746</v>
      </c>
      <c r="C49" s="147" t="s">
        <v>208</v>
      </c>
      <c r="D49" s="170"/>
      <c r="E49" s="170"/>
      <c r="F49" s="35"/>
      <c r="G49" s="35"/>
      <c r="H49" s="35"/>
      <c r="I49" s="88"/>
    </row>
    <row r="50" spans="1:9" ht="15.75" customHeight="1">
      <c r="A50" s="147" t="s">
        <v>10462</v>
      </c>
      <c r="B50" s="152" t="s">
        <v>10463</v>
      </c>
      <c r="C50" s="147" t="s">
        <v>208</v>
      </c>
      <c r="D50" s="170"/>
      <c r="E50" s="170"/>
      <c r="F50" s="170"/>
      <c r="G50" s="35"/>
      <c r="H50" s="35"/>
      <c r="I50" s="88"/>
    </row>
    <row r="51" spans="1:9" ht="15.75" customHeight="1">
      <c r="A51" s="147" t="s">
        <v>10464</v>
      </c>
      <c r="B51" s="152" t="s">
        <v>878</v>
      </c>
      <c r="C51" s="147" t="s">
        <v>192</v>
      </c>
      <c r="D51" s="170"/>
      <c r="E51" s="170"/>
      <c r="F51" s="35"/>
      <c r="G51" s="35"/>
      <c r="H51" s="35"/>
      <c r="I51" s="88"/>
    </row>
    <row r="52" spans="1:9" ht="15.75" customHeight="1">
      <c r="A52" s="147" t="s">
        <v>10465</v>
      </c>
      <c r="B52" s="152" t="s">
        <v>824</v>
      </c>
      <c r="C52" s="147" t="s">
        <v>192</v>
      </c>
      <c r="D52" s="170"/>
      <c r="E52" s="170"/>
      <c r="F52" s="35"/>
      <c r="G52" s="35"/>
      <c r="H52" s="35"/>
      <c r="I52" s="88"/>
    </row>
    <row r="53" spans="1:9" ht="13">
      <c r="A53" s="147" t="s">
        <v>10466</v>
      </c>
      <c r="B53" s="152" t="s">
        <v>766</v>
      </c>
      <c r="C53" s="147" t="s">
        <v>192</v>
      </c>
      <c r="D53" s="170"/>
      <c r="E53" s="35"/>
      <c r="F53" s="35"/>
      <c r="G53" s="35"/>
      <c r="H53" s="35"/>
      <c r="I53" s="88"/>
    </row>
    <row r="54" spans="1:9" ht="13">
      <c r="A54" s="147" t="s">
        <v>10467</v>
      </c>
      <c r="B54" s="148" t="s">
        <v>4033</v>
      </c>
      <c r="C54" s="147" t="s">
        <v>192</v>
      </c>
      <c r="D54" s="170"/>
      <c r="E54" s="170"/>
      <c r="F54" s="170"/>
      <c r="G54" s="35"/>
      <c r="H54" s="35"/>
      <c r="I54" s="88"/>
    </row>
    <row r="55" spans="1:9" ht="13">
      <c r="A55" s="147" t="s">
        <v>10468</v>
      </c>
      <c r="B55" s="148" t="s">
        <v>4071</v>
      </c>
      <c r="C55" s="147" t="s">
        <v>192</v>
      </c>
      <c r="D55" s="170"/>
      <c r="E55" s="170"/>
      <c r="F55" s="35"/>
      <c r="G55" s="35"/>
      <c r="H55" s="35"/>
      <c r="I55" s="88"/>
    </row>
    <row r="56" spans="1:9" ht="13">
      <c r="A56" s="147" t="s">
        <v>10469</v>
      </c>
      <c r="B56" s="152" t="s">
        <v>4701</v>
      </c>
      <c r="C56" s="147" t="s">
        <v>192</v>
      </c>
      <c r="D56" s="170"/>
      <c r="E56" s="170"/>
      <c r="F56" s="170"/>
      <c r="G56" s="35"/>
      <c r="H56" s="35"/>
      <c r="I56" s="88"/>
    </row>
    <row r="57" spans="1:9" ht="13">
      <c r="A57" s="147" t="s">
        <v>10470</v>
      </c>
      <c r="B57" s="152" t="s">
        <v>10471</v>
      </c>
      <c r="C57" s="147" t="s">
        <v>192</v>
      </c>
      <c r="D57" s="170"/>
      <c r="E57" s="170"/>
      <c r="F57" s="170"/>
      <c r="G57" s="35"/>
      <c r="H57" s="35"/>
      <c r="I57" s="88"/>
    </row>
    <row r="58" spans="1:9" ht="13">
      <c r="A58" s="147" t="s">
        <v>10472</v>
      </c>
      <c r="B58" s="152" t="s">
        <v>8740</v>
      </c>
      <c r="C58" s="147" t="s">
        <v>195</v>
      </c>
      <c r="D58" s="170"/>
      <c r="E58" s="170"/>
      <c r="F58" s="170"/>
      <c r="G58" s="35"/>
      <c r="H58" s="35"/>
      <c r="I58" s="88"/>
    </row>
    <row r="59" spans="1:9" ht="13">
      <c r="A59" s="147" t="s">
        <v>10473</v>
      </c>
      <c r="B59" s="152" t="s">
        <v>282</v>
      </c>
      <c r="C59" s="147" t="s">
        <v>195</v>
      </c>
      <c r="D59" s="170"/>
      <c r="E59" s="170"/>
      <c r="F59" s="35"/>
      <c r="G59" s="35"/>
      <c r="H59" s="35"/>
      <c r="I59" s="88"/>
    </row>
    <row r="60" spans="1:9" ht="13">
      <c r="A60" s="147" t="s">
        <v>10474</v>
      </c>
      <c r="B60" s="152" t="s">
        <v>263</v>
      </c>
      <c r="C60" s="147" t="s">
        <v>195</v>
      </c>
      <c r="D60" s="170"/>
      <c r="E60" s="170"/>
      <c r="F60" s="35"/>
      <c r="G60" s="35"/>
      <c r="H60" s="35"/>
      <c r="I60" s="88"/>
    </row>
    <row r="61" spans="1:9" ht="13">
      <c r="A61" s="147" t="s">
        <v>10475</v>
      </c>
      <c r="B61" s="152" t="s">
        <v>360</v>
      </c>
      <c r="C61" s="147" t="s">
        <v>195</v>
      </c>
      <c r="D61" s="170"/>
      <c r="E61" s="170"/>
      <c r="F61" s="35"/>
      <c r="G61" s="35"/>
      <c r="H61" s="35"/>
      <c r="I61" s="88"/>
    </row>
    <row r="62" spans="1:9" ht="13">
      <c r="A62" s="147" t="s">
        <v>10476</v>
      </c>
      <c r="B62" s="152" t="s">
        <v>10477</v>
      </c>
      <c r="C62" s="147" t="s">
        <v>195</v>
      </c>
      <c r="D62" s="170"/>
      <c r="E62" s="170"/>
      <c r="F62" s="170"/>
      <c r="G62" s="35"/>
      <c r="H62" s="35"/>
      <c r="I62" s="88"/>
    </row>
    <row r="63" spans="1:9" ht="13">
      <c r="A63" s="147" t="s">
        <v>10478</v>
      </c>
      <c r="B63" s="152" t="s">
        <v>1307</v>
      </c>
      <c r="C63" s="147" t="s">
        <v>195</v>
      </c>
      <c r="D63" s="170"/>
      <c r="E63" s="170"/>
      <c r="F63" s="35"/>
      <c r="G63" s="35"/>
      <c r="H63" s="35"/>
      <c r="I63" s="88"/>
    </row>
    <row r="64" spans="1:9" ht="13">
      <c r="A64" s="147" t="s">
        <v>10479</v>
      </c>
      <c r="B64" s="152" t="s">
        <v>1262</v>
      </c>
      <c r="C64" s="147" t="s">
        <v>195</v>
      </c>
      <c r="D64" s="170"/>
      <c r="E64" s="170"/>
      <c r="F64" s="170"/>
      <c r="G64" s="35"/>
      <c r="H64" s="35"/>
      <c r="I64" s="88"/>
    </row>
    <row r="65" spans="1:9" ht="13">
      <c r="A65" s="147" t="s">
        <v>10480</v>
      </c>
      <c r="B65" s="152" t="s">
        <v>1220</v>
      </c>
      <c r="C65" s="147" t="s">
        <v>195</v>
      </c>
      <c r="D65" s="170"/>
      <c r="E65" s="170"/>
      <c r="F65" s="170"/>
      <c r="G65" s="35"/>
      <c r="H65" s="35"/>
      <c r="I65" s="88"/>
    </row>
    <row r="66" spans="1:9" ht="13">
      <c r="A66" s="147" t="s">
        <v>10481</v>
      </c>
      <c r="B66" s="148" t="s">
        <v>1548</v>
      </c>
      <c r="C66" s="147" t="s">
        <v>195</v>
      </c>
      <c r="D66" s="170"/>
      <c r="E66" s="170"/>
      <c r="F66" s="170"/>
      <c r="G66" s="35"/>
      <c r="H66" s="35"/>
      <c r="I66" s="88"/>
    </row>
    <row r="67" spans="1:9" ht="13">
      <c r="A67" s="147" t="s">
        <v>10482</v>
      </c>
      <c r="B67" s="148" t="s">
        <v>1788</v>
      </c>
      <c r="C67" s="147" t="s">
        <v>195</v>
      </c>
      <c r="D67" s="170"/>
      <c r="E67" s="170"/>
      <c r="F67" s="35"/>
      <c r="G67" s="35"/>
      <c r="H67" s="35"/>
      <c r="I67" s="88"/>
    </row>
    <row r="68" spans="1:9" ht="13">
      <c r="A68" s="147" t="s">
        <v>10483</v>
      </c>
      <c r="B68" s="152" t="s">
        <v>3101</v>
      </c>
      <c r="C68" s="147" t="s">
        <v>195</v>
      </c>
      <c r="D68" s="170"/>
      <c r="E68" s="170"/>
      <c r="F68" s="170"/>
      <c r="G68" s="35"/>
      <c r="H68" s="35"/>
      <c r="I68" s="88"/>
    </row>
    <row r="69" spans="1:9" ht="13">
      <c r="A69" s="147" t="s">
        <v>10484</v>
      </c>
      <c r="B69" s="152" t="s">
        <v>4097</v>
      </c>
      <c r="C69" s="147" t="s">
        <v>195</v>
      </c>
      <c r="D69" s="170"/>
      <c r="E69" s="170"/>
      <c r="F69" s="35"/>
      <c r="G69" s="35"/>
      <c r="H69" s="35"/>
      <c r="I69" s="88"/>
    </row>
    <row r="70" spans="1:9" ht="13">
      <c r="A70" s="147" t="s">
        <v>10485</v>
      </c>
      <c r="B70" s="152" t="s">
        <v>4098</v>
      </c>
      <c r="C70" s="147" t="s">
        <v>195</v>
      </c>
      <c r="D70" s="170"/>
      <c r="E70" s="170"/>
      <c r="F70" s="35"/>
      <c r="G70" s="35"/>
      <c r="H70" s="35"/>
      <c r="I70" s="88"/>
    </row>
    <row r="71" spans="1:9" ht="13">
      <c r="A71" s="147" t="s">
        <v>10486</v>
      </c>
      <c r="B71" s="152" t="s">
        <v>5018</v>
      </c>
      <c r="C71" s="147" t="s">
        <v>195</v>
      </c>
      <c r="D71" s="170"/>
      <c r="E71" s="170"/>
      <c r="F71" s="170"/>
      <c r="G71" s="35"/>
      <c r="H71" s="35"/>
      <c r="I71" s="88"/>
    </row>
    <row r="72" spans="1:9" ht="13">
      <c r="A72" s="147" t="s">
        <v>10487</v>
      </c>
      <c r="B72" s="152" t="s">
        <v>4760</v>
      </c>
      <c r="C72" s="147" t="s">
        <v>195</v>
      </c>
      <c r="D72" s="170"/>
      <c r="E72" s="170"/>
      <c r="F72" s="35"/>
      <c r="G72" s="35"/>
      <c r="H72" s="35"/>
      <c r="I72" s="88"/>
    </row>
    <row r="73" spans="1:9" ht="13">
      <c r="A73" s="147" t="s">
        <v>10488</v>
      </c>
      <c r="B73" s="152" t="s">
        <v>5011</v>
      </c>
      <c r="C73" s="147" t="s">
        <v>195</v>
      </c>
      <c r="D73" s="170"/>
      <c r="E73" s="170"/>
      <c r="F73" s="35"/>
      <c r="G73" s="35"/>
      <c r="H73" s="35"/>
      <c r="I73" s="88"/>
    </row>
    <row r="74" spans="1:9" ht="13">
      <c r="A74" s="147" t="s">
        <v>10489</v>
      </c>
      <c r="B74" s="152" t="s">
        <v>4811</v>
      </c>
      <c r="C74" s="147" t="s">
        <v>195</v>
      </c>
      <c r="D74" s="170"/>
      <c r="E74" s="170"/>
      <c r="F74" s="35"/>
      <c r="G74" s="35"/>
      <c r="H74" s="35"/>
      <c r="I74" s="88"/>
    </row>
    <row r="75" spans="1:9" ht="13">
      <c r="A75" s="147" t="s">
        <v>10490</v>
      </c>
      <c r="B75" s="152" t="s">
        <v>8604</v>
      </c>
      <c r="C75" s="147" t="s">
        <v>195</v>
      </c>
      <c r="D75" s="170"/>
      <c r="E75" s="170"/>
      <c r="F75" s="170"/>
      <c r="G75" s="35"/>
      <c r="H75" s="35"/>
      <c r="I75" s="88"/>
    </row>
    <row r="76" spans="1:9" ht="13">
      <c r="A76" s="147" t="s">
        <v>10491</v>
      </c>
      <c r="B76" s="152" t="s">
        <v>9232</v>
      </c>
      <c r="C76" s="147" t="s">
        <v>195</v>
      </c>
      <c r="D76" s="170"/>
      <c r="E76" s="170"/>
      <c r="F76" s="35"/>
      <c r="G76" s="35"/>
      <c r="H76" s="35"/>
      <c r="I76" s="88"/>
    </row>
    <row r="77" spans="1:9" ht="13">
      <c r="A77" s="147" t="s">
        <v>10492</v>
      </c>
      <c r="B77" s="152" t="s">
        <v>9234</v>
      </c>
      <c r="C77" s="147" t="s">
        <v>195</v>
      </c>
      <c r="D77" s="170"/>
      <c r="E77" s="170"/>
      <c r="F77" s="35"/>
      <c r="G77" s="35"/>
      <c r="H77" s="35"/>
      <c r="I77" s="88"/>
    </row>
    <row r="78" spans="1:9" ht="13">
      <c r="A78" s="147" t="s">
        <v>10493</v>
      </c>
      <c r="B78" s="152" t="s">
        <v>8748</v>
      </c>
      <c r="C78" s="147" t="s">
        <v>195</v>
      </c>
      <c r="D78" s="170"/>
      <c r="E78" s="170"/>
      <c r="F78" s="35"/>
      <c r="G78" s="35"/>
      <c r="H78" s="35"/>
      <c r="I78" s="88"/>
    </row>
    <row r="79" spans="1:9" ht="13">
      <c r="A79" s="147" t="s">
        <v>10494</v>
      </c>
      <c r="B79" s="152" t="s">
        <v>10495</v>
      </c>
      <c r="C79" s="147" t="s">
        <v>195</v>
      </c>
      <c r="D79" s="170"/>
      <c r="E79" s="170"/>
      <c r="F79" s="170"/>
      <c r="G79" s="35"/>
      <c r="H79" s="35"/>
      <c r="I79" s="88"/>
    </row>
    <row r="80" spans="1:9" ht="13">
      <c r="A80" s="147" t="s">
        <v>10496</v>
      </c>
      <c r="B80" s="152" t="s">
        <v>279</v>
      </c>
      <c r="C80" s="147" t="s">
        <v>225</v>
      </c>
      <c r="D80" s="170"/>
      <c r="E80" s="170"/>
      <c r="F80" s="170"/>
      <c r="G80" s="35"/>
      <c r="H80" s="35"/>
      <c r="I80" s="88"/>
    </row>
    <row r="81" spans="1:9" ht="13">
      <c r="A81" s="147" t="s">
        <v>10497</v>
      </c>
      <c r="B81" s="152" t="s">
        <v>255</v>
      </c>
      <c r="C81" s="147" t="s">
        <v>225</v>
      </c>
      <c r="D81" s="170"/>
      <c r="E81" s="170"/>
      <c r="F81" s="35"/>
      <c r="G81" s="35"/>
      <c r="H81" s="35"/>
      <c r="I81" s="88"/>
    </row>
    <row r="82" spans="1:9" ht="13">
      <c r="A82" s="147" t="s">
        <v>10498</v>
      </c>
      <c r="B82" s="152" t="s">
        <v>9248</v>
      </c>
      <c r="C82" s="147" t="s">
        <v>225</v>
      </c>
      <c r="D82" s="170"/>
      <c r="E82" s="170"/>
      <c r="F82" s="170"/>
      <c r="G82" s="35"/>
      <c r="H82" s="35"/>
      <c r="I82" s="88"/>
    </row>
    <row r="83" spans="1:9" ht="13">
      <c r="A83" s="147" t="s">
        <v>10499</v>
      </c>
      <c r="B83" s="152" t="s">
        <v>9506</v>
      </c>
      <c r="C83" s="147" t="s">
        <v>225</v>
      </c>
      <c r="D83" s="170"/>
      <c r="E83" s="170"/>
      <c r="F83" s="170"/>
      <c r="G83" s="35"/>
      <c r="H83" s="35"/>
      <c r="I83" s="88"/>
    </row>
    <row r="84" spans="1:9" ht="13">
      <c r="A84" s="147" t="s">
        <v>10500</v>
      </c>
      <c r="B84" s="152" t="s">
        <v>10501</v>
      </c>
      <c r="C84" s="147" t="s">
        <v>225</v>
      </c>
      <c r="D84" s="170"/>
      <c r="E84" s="170"/>
      <c r="F84" s="35"/>
      <c r="G84" s="35"/>
      <c r="H84" s="35"/>
      <c r="I84" s="88"/>
    </row>
    <row r="85" spans="1:9" ht="13">
      <c r="A85" s="147" t="s">
        <v>10502</v>
      </c>
      <c r="B85" s="152" t="s">
        <v>3314</v>
      </c>
      <c r="C85" s="147" t="s">
        <v>225</v>
      </c>
      <c r="D85" s="170"/>
      <c r="E85" s="170"/>
      <c r="F85" s="35"/>
      <c r="G85" s="35"/>
      <c r="H85" s="35"/>
      <c r="I85" s="88"/>
    </row>
    <row r="86" spans="1:9" ht="13">
      <c r="A86" s="147" t="s">
        <v>10503</v>
      </c>
      <c r="B86" s="152" t="s">
        <v>9257</v>
      </c>
      <c r="C86" s="147" t="s">
        <v>225</v>
      </c>
      <c r="D86" s="170"/>
      <c r="E86" s="170"/>
      <c r="F86" s="35"/>
      <c r="G86" s="35"/>
      <c r="H86" s="35"/>
      <c r="I86" s="88"/>
    </row>
    <row r="87" spans="1:9" ht="13">
      <c r="A87" s="147" t="s">
        <v>10504</v>
      </c>
      <c r="B87" s="152" t="s">
        <v>9259</v>
      </c>
      <c r="C87" s="147" t="s">
        <v>225</v>
      </c>
      <c r="D87" s="170"/>
      <c r="E87" s="170"/>
      <c r="F87" s="170"/>
      <c r="G87" s="35"/>
      <c r="H87" s="35"/>
      <c r="I87" s="88"/>
    </row>
    <row r="88" spans="1:9" ht="13">
      <c r="A88" s="147" t="s">
        <v>10505</v>
      </c>
      <c r="B88" s="152" t="s">
        <v>6489</v>
      </c>
      <c r="C88" s="147" t="s">
        <v>225</v>
      </c>
      <c r="D88" s="170"/>
      <c r="E88" s="170"/>
      <c r="F88" s="35"/>
      <c r="G88" s="35"/>
      <c r="H88" s="35"/>
      <c r="I88" s="88"/>
    </row>
    <row r="89" spans="1:9" ht="13">
      <c r="A89" s="147" t="s">
        <v>10506</v>
      </c>
      <c r="B89" s="148" t="s">
        <v>6476</v>
      </c>
      <c r="C89" s="147" t="s">
        <v>225</v>
      </c>
      <c r="D89" s="170"/>
      <c r="E89" s="170"/>
      <c r="F89" s="170"/>
      <c r="G89" s="35"/>
      <c r="H89" s="35"/>
      <c r="I89" s="88"/>
    </row>
    <row r="90" spans="1:9" ht="13">
      <c r="A90" s="147" t="s">
        <v>10507</v>
      </c>
      <c r="B90" s="148" t="s">
        <v>6329</v>
      </c>
      <c r="C90" s="147" t="s">
        <v>225</v>
      </c>
      <c r="D90" s="170"/>
      <c r="E90" s="170"/>
      <c r="F90" s="35"/>
      <c r="G90" s="35"/>
      <c r="H90" s="35"/>
      <c r="I90" s="88"/>
    </row>
    <row r="91" spans="1:9" ht="13">
      <c r="A91" s="147" t="s">
        <v>10508</v>
      </c>
      <c r="B91" s="148" t="s">
        <v>6310</v>
      </c>
      <c r="C91" s="147" t="s">
        <v>225</v>
      </c>
      <c r="D91" s="170"/>
      <c r="E91" s="170"/>
      <c r="F91" s="35"/>
      <c r="G91" s="35"/>
      <c r="H91" s="35"/>
      <c r="I91" s="88"/>
    </row>
    <row r="92" spans="1:9" ht="13">
      <c r="A92" s="147" t="s">
        <v>10509</v>
      </c>
      <c r="B92" s="148" t="s">
        <v>6490</v>
      </c>
      <c r="C92" s="147" t="s">
        <v>225</v>
      </c>
      <c r="D92" s="170"/>
      <c r="E92" s="170"/>
      <c r="F92" s="170"/>
      <c r="G92" s="35"/>
      <c r="H92" s="35"/>
      <c r="I92" s="88"/>
    </row>
    <row r="93" spans="1:9" ht="13">
      <c r="A93" s="147" t="s">
        <v>10510</v>
      </c>
      <c r="B93" s="152" t="s">
        <v>10511</v>
      </c>
      <c r="C93" s="147" t="s">
        <v>225</v>
      </c>
      <c r="D93" s="170"/>
      <c r="E93" s="170"/>
      <c r="F93" s="170"/>
      <c r="G93" s="35"/>
      <c r="H93" s="35"/>
      <c r="I93" s="88"/>
    </row>
    <row r="94" spans="1:9" ht="13">
      <c r="A94" s="147" t="s">
        <v>10512</v>
      </c>
      <c r="B94" s="152" t="s">
        <v>10513</v>
      </c>
      <c r="C94" s="147" t="s">
        <v>225</v>
      </c>
      <c r="D94" s="170"/>
      <c r="E94" s="170"/>
      <c r="F94" s="35"/>
      <c r="G94" s="35"/>
      <c r="H94" s="35"/>
      <c r="I94" s="88"/>
    </row>
    <row r="95" spans="1:9" ht="13">
      <c r="A95" s="147" t="s">
        <v>10514</v>
      </c>
      <c r="B95" s="152" t="s">
        <v>9005</v>
      </c>
      <c r="C95" s="147" t="s">
        <v>225</v>
      </c>
      <c r="D95" s="170"/>
      <c r="E95" s="170"/>
      <c r="F95" s="170"/>
      <c r="G95" s="35"/>
      <c r="H95" s="35"/>
      <c r="I95" s="88"/>
    </row>
    <row r="96" spans="1:9" ht="13">
      <c r="A96" s="147" t="s">
        <v>10515</v>
      </c>
      <c r="B96" s="152" t="s">
        <v>9008</v>
      </c>
      <c r="C96" s="147" t="s">
        <v>225</v>
      </c>
      <c r="D96" s="170"/>
      <c r="E96" s="170"/>
      <c r="F96" s="35"/>
      <c r="G96" s="35"/>
      <c r="H96" s="35"/>
      <c r="I96" s="88"/>
    </row>
    <row r="97" spans="1:9" ht="13">
      <c r="A97" s="147" t="s">
        <v>10516</v>
      </c>
      <c r="B97" s="152" t="s">
        <v>10517</v>
      </c>
      <c r="C97" s="147" t="s">
        <v>225</v>
      </c>
      <c r="D97" s="170"/>
      <c r="E97" s="170"/>
      <c r="F97" s="35"/>
      <c r="G97" s="35"/>
      <c r="H97" s="35"/>
      <c r="I97" s="88"/>
    </row>
    <row r="98" spans="1:9" ht="13">
      <c r="A98" s="147" t="s">
        <v>10518</v>
      </c>
      <c r="B98" s="152" t="s">
        <v>283</v>
      </c>
      <c r="C98" s="147" t="s">
        <v>808</v>
      </c>
      <c r="D98" s="170"/>
      <c r="E98" s="170"/>
      <c r="F98" s="35"/>
      <c r="G98" s="35"/>
      <c r="H98" s="35"/>
      <c r="I98" s="88"/>
    </row>
    <row r="99" spans="1:9" ht="13">
      <c r="A99" s="147" t="s">
        <v>10519</v>
      </c>
      <c r="B99" s="152" t="s">
        <v>378</v>
      </c>
      <c r="C99" s="147" t="s">
        <v>808</v>
      </c>
      <c r="D99" s="170"/>
      <c r="E99" s="170"/>
      <c r="F99" s="170"/>
      <c r="G99" s="35"/>
      <c r="H99" s="35"/>
      <c r="I99" s="88"/>
    </row>
    <row r="100" spans="1:9" ht="13">
      <c r="A100" s="147" t="s">
        <v>10520</v>
      </c>
      <c r="B100" s="152" t="s">
        <v>9274</v>
      </c>
      <c r="C100" s="147" t="s">
        <v>808</v>
      </c>
      <c r="D100" s="170"/>
      <c r="E100" s="170"/>
      <c r="F100" s="35"/>
      <c r="G100" s="35"/>
      <c r="H100" s="35"/>
      <c r="I100" s="88"/>
    </row>
    <row r="101" spans="1:9" ht="13">
      <c r="A101" s="147" t="s">
        <v>10521</v>
      </c>
      <c r="B101" s="148" t="s">
        <v>10522</v>
      </c>
      <c r="C101" s="147" t="s">
        <v>808</v>
      </c>
      <c r="D101" s="170"/>
      <c r="E101" s="170"/>
      <c r="F101" s="35"/>
      <c r="G101" s="35"/>
      <c r="H101" s="35"/>
      <c r="I101" s="88"/>
    </row>
    <row r="102" spans="1:9" ht="13">
      <c r="A102" s="147" t="s">
        <v>10523</v>
      </c>
      <c r="B102" s="152" t="s">
        <v>10524</v>
      </c>
      <c r="C102" s="147" t="s">
        <v>808</v>
      </c>
      <c r="D102" s="170"/>
      <c r="E102" s="35"/>
      <c r="F102" s="170"/>
      <c r="G102" s="35"/>
      <c r="H102" s="35"/>
      <c r="I102" s="88"/>
    </row>
    <row r="103" spans="1:9" ht="13">
      <c r="A103" s="147" t="s">
        <v>10525</v>
      </c>
      <c r="B103" s="152" t="s">
        <v>10526</v>
      </c>
      <c r="C103" s="147" t="s">
        <v>808</v>
      </c>
      <c r="D103" s="170"/>
      <c r="E103" s="170"/>
      <c r="F103" s="35"/>
      <c r="G103" s="35"/>
      <c r="H103" s="35"/>
      <c r="I103" s="88"/>
    </row>
    <row r="104" spans="1:9" ht="13">
      <c r="A104" s="147" t="s">
        <v>10527</v>
      </c>
      <c r="B104" s="152" t="s">
        <v>10528</v>
      </c>
      <c r="C104" s="147" t="s">
        <v>808</v>
      </c>
      <c r="D104" s="170"/>
      <c r="E104" s="170"/>
      <c r="F104" s="35"/>
      <c r="G104" s="35"/>
      <c r="H104" s="35"/>
      <c r="I104" s="88"/>
    </row>
    <row r="105" spans="1:9" ht="13">
      <c r="A105" s="147" t="s">
        <v>10529</v>
      </c>
      <c r="B105" s="152" t="s">
        <v>978</v>
      </c>
      <c r="C105" s="147" t="s">
        <v>808</v>
      </c>
      <c r="D105" s="170"/>
      <c r="E105" s="170"/>
      <c r="F105" s="35"/>
      <c r="G105" s="35"/>
      <c r="H105" s="35"/>
      <c r="I105" s="88"/>
    </row>
    <row r="106" spans="1:9" ht="13">
      <c r="A106" s="147" t="s">
        <v>10530</v>
      </c>
      <c r="B106" s="152" t="s">
        <v>1372</v>
      </c>
      <c r="C106" s="147" t="s">
        <v>808</v>
      </c>
      <c r="D106" s="170"/>
      <c r="E106" s="170"/>
      <c r="F106" s="170"/>
      <c r="G106" s="35"/>
      <c r="H106" s="35"/>
      <c r="I106" s="88"/>
    </row>
    <row r="107" spans="1:9" ht="13">
      <c r="A107" s="147" t="s">
        <v>10531</v>
      </c>
      <c r="B107" s="152" t="s">
        <v>3390</v>
      </c>
      <c r="C107" s="147" t="s">
        <v>808</v>
      </c>
      <c r="D107" s="170"/>
      <c r="E107" s="170"/>
      <c r="F107" s="35"/>
      <c r="G107" s="35"/>
      <c r="H107" s="35"/>
      <c r="I107" s="88"/>
    </row>
    <row r="108" spans="1:9" ht="13">
      <c r="A108" s="147" t="s">
        <v>10532</v>
      </c>
      <c r="B108" s="152" t="s">
        <v>10533</v>
      </c>
      <c r="C108" s="147" t="s">
        <v>808</v>
      </c>
      <c r="D108" s="170"/>
      <c r="E108" s="170"/>
      <c r="F108" s="35"/>
      <c r="G108" s="35"/>
      <c r="H108" s="35"/>
      <c r="I108" s="88"/>
    </row>
    <row r="109" spans="1:9" ht="13">
      <c r="A109" s="147" t="s">
        <v>10534</v>
      </c>
      <c r="B109" s="152" t="s">
        <v>4421</v>
      </c>
      <c r="C109" s="147" t="s">
        <v>808</v>
      </c>
      <c r="D109" s="170"/>
      <c r="E109" s="170"/>
      <c r="F109" s="35"/>
      <c r="G109" s="35"/>
      <c r="H109" s="35"/>
      <c r="I109" s="88"/>
    </row>
    <row r="110" spans="1:9" ht="13">
      <c r="A110" s="147" t="s">
        <v>10535</v>
      </c>
      <c r="B110" s="152" t="s">
        <v>4423</v>
      </c>
      <c r="C110" s="147" t="s">
        <v>808</v>
      </c>
      <c r="D110" s="170"/>
      <c r="E110" s="170"/>
      <c r="F110" s="35"/>
      <c r="G110" s="35"/>
      <c r="H110" s="35"/>
      <c r="I110" s="88"/>
    </row>
    <row r="111" spans="1:9" ht="13">
      <c r="A111" s="147" t="s">
        <v>10536</v>
      </c>
      <c r="B111" s="152" t="s">
        <v>4425</v>
      </c>
      <c r="C111" s="147" t="s">
        <v>808</v>
      </c>
      <c r="D111" s="170"/>
      <c r="E111" s="170"/>
      <c r="F111" s="170"/>
      <c r="G111" s="35"/>
      <c r="H111" s="35"/>
      <c r="I111" s="88"/>
    </row>
    <row r="112" spans="1:9" ht="13">
      <c r="A112" s="147" t="s">
        <v>10537</v>
      </c>
      <c r="B112" s="152" t="s">
        <v>10538</v>
      </c>
      <c r="C112" s="147" t="s">
        <v>808</v>
      </c>
      <c r="D112" s="170"/>
      <c r="E112" s="170"/>
      <c r="F112" s="170"/>
      <c r="G112" s="35"/>
      <c r="H112" s="35"/>
      <c r="I112" s="88"/>
    </row>
    <row r="113" spans="1:9" ht="13">
      <c r="A113" s="147" t="s">
        <v>10539</v>
      </c>
      <c r="B113" s="148" t="s">
        <v>1250</v>
      </c>
      <c r="C113" s="147" t="s">
        <v>220</v>
      </c>
      <c r="D113" s="170"/>
      <c r="E113" s="170"/>
      <c r="F113" s="170"/>
      <c r="G113" s="35"/>
      <c r="H113" s="35"/>
      <c r="I113" s="88"/>
    </row>
    <row r="114" spans="1:9" ht="13">
      <c r="A114" s="147" t="s">
        <v>10540</v>
      </c>
      <c r="B114" s="148" t="s">
        <v>1265</v>
      </c>
      <c r="C114" s="147" t="s">
        <v>220</v>
      </c>
      <c r="D114" s="170"/>
      <c r="E114" s="170"/>
      <c r="F114" s="170"/>
      <c r="G114" s="35"/>
      <c r="H114" s="35"/>
      <c r="I114" s="88"/>
    </row>
    <row r="115" spans="1:9" ht="13">
      <c r="A115" s="147" t="s">
        <v>10541</v>
      </c>
      <c r="B115" s="152" t="s">
        <v>1208</v>
      </c>
      <c r="C115" s="147" t="s">
        <v>220</v>
      </c>
      <c r="D115" s="170"/>
      <c r="E115" s="170"/>
      <c r="F115" s="170"/>
      <c r="G115" s="35"/>
      <c r="H115" s="35"/>
      <c r="I115" s="88"/>
    </row>
    <row r="116" spans="1:9" ht="13">
      <c r="A116" s="147" t="s">
        <v>10542</v>
      </c>
      <c r="B116" s="152" t="s">
        <v>10543</v>
      </c>
      <c r="C116" s="147" t="s">
        <v>220</v>
      </c>
      <c r="D116" s="170"/>
      <c r="E116" s="35"/>
      <c r="F116" s="35"/>
      <c r="G116" s="35"/>
      <c r="H116" s="35"/>
      <c r="I116" s="88"/>
    </row>
    <row r="117" spans="1:9" ht="13">
      <c r="A117" s="147" t="s">
        <v>10544</v>
      </c>
      <c r="B117" s="152" t="s">
        <v>10545</v>
      </c>
      <c r="C117" s="147" t="s">
        <v>220</v>
      </c>
      <c r="D117" s="170"/>
      <c r="E117" s="170"/>
      <c r="F117" s="170"/>
      <c r="G117" s="35"/>
      <c r="H117" s="35"/>
      <c r="I117" s="88"/>
    </row>
    <row r="118" spans="1:9" ht="13">
      <c r="A118" s="147" t="s">
        <v>10546</v>
      </c>
      <c r="B118" s="152" t="s">
        <v>4108</v>
      </c>
      <c r="C118" s="147" t="s">
        <v>220</v>
      </c>
      <c r="D118" s="170"/>
      <c r="E118" s="170"/>
      <c r="F118" s="35"/>
      <c r="G118" s="35"/>
      <c r="H118" s="35"/>
      <c r="I118" s="88"/>
    </row>
    <row r="119" spans="1:9" ht="13">
      <c r="A119" s="147" t="s">
        <v>10547</v>
      </c>
      <c r="B119" s="152" t="s">
        <v>344</v>
      </c>
      <c r="C119" s="147" t="s">
        <v>197</v>
      </c>
      <c r="D119" s="170"/>
      <c r="E119" s="170"/>
      <c r="F119" s="35"/>
      <c r="G119" s="35"/>
      <c r="H119" s="35"/>
      <c r="I119" s="88"/>
    </row>
    <row r="120" spans="1:9" ht="13">
      <c r="A120" s="147" t="s">
        <v>10548</v>
      </c>
      <c r="B120" s="152" t="s">
        <v>271</v>
      </c>
      <c r="C120" s="147" t="s">
        <v>197</v>
      </c>
      <c r="D120" s="170"/>
      <c r="E120" s="170"/>
      <c r="F120" s="35"/>
      <c r="G120" s="35"/>
      <c r="H120" s="35"/>
      <c r="I120" s="88"/>
    </row>
    <row r="121" spans="1:9" ht="13">
      <c r="A121" s="147" t="s">
        <v>10549</v>
      </c>
      <c r="B121" s="148" t="s">
        <v>971</v>
      </c>
      <c r="C121" s="147" t="s">
        <v>197</v>
      </c>
      <c r="D121" s="170"/>
      <c r="E121" s="170"/>
      <c r="F121" s="35"/>
      <c r="G121" s="35"/>
      <c r="H121" s="35"/>
      <c r="I121" s="88"/>
    </row>
    <row r="122" spans="1:9" ht="13">
      <c r="A122" s="147" t="s">
        <v>10550</v>
      </c>
      <c r="B122" s="152" t="s">
        <v>3080</v>
      </c>
      <c r="C122" s="147" t="s">
        <v>197</v>
      </c>
      <c r="D122" s="170"/>
      <c r="E122" s="170"/>
      <c r="F122" s="35"/>
      <c r="G122" s="35"/>
      <c r="H122" s="35"/>
      <c r="I122" s="88"/>
    </row>
    <row r="123" spans="1:9" ht="13">
      <c r="A123" s="147" t="s">
        <v>10551</v>
      </c>
      <c r="B123" s="152" t="s">
        <v>10552</v>
      </c>
      <c r="C123" s="147" t="s">
        <v>197</v>
      </c>
      <c r="D123" s="170"/>
      <c r="E123" s="170"/>
      <c r="F123" s="170"/>
      <c r="G123" s="35"/>
      <c r="H123" s="35"/>
      <c r="I123" s="88"/>
    </row>
    <row r="124" spans="1:9" ht="13">
      <c r="A124" s="147" t="s">
        <v>10553</v>
      </c>
      <c r="B124" s="152" t="s">
        <v>1378</v>
      </c>
      <c r="C124" s="147" t="s">
        <v>197</v>
      </c>
      <c r="D124" s="170"/>
      <c r="E124" s="170"/>
      <c r="F124" s="35"/>
      <c r="G124" s="35"/>
      <c r="H124" s="35"/>
      <c r="I124" s="88"/>
    </row>
    <row r="125" spans="1:9" ht="13">
      <c r="A125" s="147" t="s">
        <v>10554</v>
      </c>
      <c r="B125" s="152" t="s">
        <v>1834</v>
      </c>
      <c r="C125" s="147" t="s">
        <v>197</v>
      </c>
      <c r="D125" s="170"/>
      <c r="E125" s="170"/>
      <c r="F125" s="170"/>
      <c r="G125" s="35"/>
      <c r="H125" s="35"/>
      <c r="I125" s="88"/>
    </row>
    <row r="126" spans="1:9" ht="13">
      <c r="A126" s="147" t="s">
        <v>10555</v>
      </c>
      <c r="B126" s="152" t="s">
        <v>1383</v>
      </c>
      <c r="C126" s="147" t="s">
        <v>197</v>
      </c>
      <c r="D126" s="170"/>
      <c r="E126" s="170"/>
      <c r="F126" s="35"/>
      <c r="G126" s="35"/>
      <c r="H126" s="35"/>
      <c r="I126" s="88"/>
    </row>
    <row r="127" spans="1:9" ht="13">
      <c r="A127" s="147" t="s">
        <v>10556</v>
      </c>
      <c r="B127" s="152" t="s">
        <v>3575</v>
      </c>
      <c r="C127" s="147" t="s">
        <v>197</v>
      </c>
      <c r="D127" s="170"/>
      <c r="E127" s="170"/>
      <c r="F127" s="35"/>
      <c r="G127" s="35"/>
      <c r="H127" s="35"/>
      <c r="I127" s="88"/>
    </row>
    <row r="128" spans="1:9" ht="13">
      <c r="A128" s="147" t="s">
        <v>10557</v>
      </c>
      <c r="B128" s="152" t="s">
        <v>10558</v>
      </c>
      <c r="C128" s="147" t="s">
        <v>197</v>
      </c>
      <c r="D128" s="170"/>
      <c r="E128" s="170"/>
      <c r="F128" s="170"/>
      <c r="G128" s="35"/>
      <c r="H128" s="35"/>
      <c r="I128" s="88"/>
    </row>
    <row r="129" spans="1:9" ht="13">
      <c r="A129" s="147" t="s">
        <v>10559</v>
      </c>
      <c r="B129" s="152" t="s">
        <v>10560</v>
      </c>
      <c r="C129" s="147" t="s">
        <v>197</v>
      </c>
      <c r="D129" s="170"/>
      <c r="E129" s="170"/>
      <c r="F129" s="170"/>
      <c r="G129" s="35"/>
      <c r="H129" s="35"/>
      <c r="I129" s="88"/>
    </row>
    <row r="130" spans="1:9" ht="13">
      <c r="A130" s="147" t="s">
        <v>10561</v>
      </c>
      <c r="B130" s="152" t="s">
        <v>5029</v>
      </c>
      <c r="C130" s="147" t="s">
        <v>197</v>
      </c>
      <c r="D130" s="170"/>
      <c r="E130" s="170"/>
      <c r="F130" s="35"/>
      <c r="G130" s="35"/>
      <c r="H130" s="35"/>
      <c r="I130" s="88"/>
    </row>
    <row r="131" spans="1:9" ht="13">
      <c r="A131" s="147" t="s">
        <v>10562</v>
      </c>
      <c r="B131" s="152" t="s">
        <v>9316</v>
      </c>
      <c r="C131" s="147" t="s">
        <v>197</v>
      </c>
      <c r="D131" s="170"/>
      <c r="E131" s="170"/>
      <c r="F131" s="35"/>
      <c r="G131" s="35"/>
      <c r="H131" s="35"/>
      <c r="I131" s="88"/>
    </row>
    <row r="132" spans="1:9" ht="13">
      <c r="A132" s="147" t="s">
        <v>10563</v>
      </c>
      <c r="B132" s="152" t="s">
        <v>9318</v>
      </c>
      <c r="C132" s="147" t="s">
        <v>197</v>
      </c>
      <c r="D132" s="170"/>
      <c r="E132" s="170"/>
      <c r="F132" s="170"/>
      <c r="G132" s="35"/>
      <c r="H132" s="35"/>
      <c r="I132" s="88"/>
    </row>
    <row r="133" spans="1:9" ht="13">
      <c r="A133" s="147" t="s">
        <v>10564</v>
      </c>
      <c r="B133" s="152" t="s">
        <v>10565</v>
      </c>
      <c r="C133" s="147" t="s">
        <v>1013</v>
      </c>
      <c r="D133" s="170"/>
      <c r="E133" s="170"/>
      <c r="F133" s="35"/>
      <c r="G133" s="35"/>
      <c r="H133" s="35"/>
      <c r="I133" s="88"/>
    </row>
    <row r="134" spans="1:9" ht="13">
      <c r="A134" s="147" t="s">
        <v>10566</v>
      </c>
      <c r="B134" s="152" t="s">
        <v>10567</v>
      </c>
      <c r="C134" s="147" t="s">
        <v>1013</v>
      </c>
      <c r="D134" s="170"/>
      <c r="E134" s="170"/>
      <c r="F134" s="35"/>
      <c r="G134" s="35"/>
      <c r="H134" s="35"/>
      <c r="I134" s="88"/>
    </row>
    <row r="135" spans="1:9" ht="13">
      <c r="A135" s="147" t="s">
        <v>10568</v>
      </c>
      <c r="B135" s="152" t="s">
        <v>10569</v>
      </c>
      <c r="C135" s="147" t="s">
        <v>1013</v>
      </c>
      <c r="D135" s="170"/>
      <c r="E135" s="170"/>
      <c r="F135" s="170"/>
      <c r="G135" s="35"/>
      <c r="H135" s="35"/>
      <c r="I135" s="88"/>
    </row>
    <row r="136" spans="1:9" ht="13">
      <c r="A136" s="147" t="s">
        <v>10570</v>
      </c>
      <c r="B136" s="152" t="s">
        <v>4689</v>
      </c>
      <c r="C136" s="147" t="s">
        <v>1013</v>
      </c>
      <c r="D136" s="170"/>
      <c r="E136" s="170"/>
      <c r="F136" s="170"/>
      <c r="G136" s="35"/>
      <c r="H136" s="35"/>
      <c r="I136" s="88"/>
    </row>
    <row r="137" spans="1:9" ht="13">
      <c r="A137" s="147" t="s">
        <v>10571</v>
      </c>
      <c r="B137" s="152" t="s">
        <v>10572</v>
      </c>
      <c r="C137" s="147" t="s">
        <v>4114</v>
      </c>
      <c r="D137" s="170"/>
      <c r="E137" s="170"/>
      <c r="F137" s="35"/>
      <c r="G137" s="35"/>
      <c r="H137" s="35"/>
      <c r="I137" s="88"/>
    </row>
    <row r="138" spans="1:9" ht="13">
      <c r="A138" s="147" t="s">
        <v>10573</v>
      </c>
      <c r="B138" s="152" t="s">
        <v>10574</v>
      </c>
      <c r="C138" s="147" t="s">
        <v>1013</v>
      </c>
      <c r="D138" s="170"/>
      <c r="E138" s="170"/>
      <c r="F138" s="35"/>
      <c r="G138" s="35"/>
      <c r="H138" s="35"/>
      <c r="I138" s="88"/>
    </row>
    <row r="139" spans="1:9" ht="13">
      <c r="A139" s="147" t="s">
        <v>10575</v>
      </c>
      <c r="B139" s="152" t="s">
        <v>10576</v>
      </c>
      <c r="C139" s="147" t="s">
        <v>229</v>
      </c>
      <c r="D139" s="170"/>
      <c r="E139" s="170"/>
      <c r="F139" s="170"/>
      <c r="G139" s="35"/>
      <c r="H139" s="35"/>
      <c r="I139" s="88"/>
    </row>
    <row r="140" spans="1:9" ht="13">
      <c r="A140" s="147" t="s">
        <v>10577</v>
      </c>
      <c r="B140" s="152" t="s">
        <v>10578</v>
      </c>
      <c r="C140" s="147" t="s">
        <v>4114</v>
      </c>
      <c r="D140" s="170"/>
      <c r="E140" s="170"/>
      <c r="F140" s="35"/>
      <c r="G140" s="35"/>
      <c r="H140" s="35"/>
      <c r="I140" s="88"/>
    </row>
    <row r="141" spans="1:9" ht="13">
      <c r="A141" s="147" t="s">
        <v>10579</v>
      </c>
      <c r="B141" s="152" t="s">
        <v>10580</v>
      </c>
      <c r="C141" s="147" t="s">
        <v>4114</v>
      </c>
      <c r="D141" s="170"/>
      <c r="E141" s="170"/>
      <c r="F141" s="170"/>
      <c r="G141" s="35"/>
      <c r="H141" s="35"/>
      <c r="I141" s="88"/>
    </row>
    <row r="142" spans="1:9" ht="13">
      <c r="A142" s="147" t="s">
        <v>10581</v>
      </c>
      <c r="B142" s="152" t="s">
        <v>10582</v>
      </c>
      <c r="C142" s="147" t="s">
        <v>4114</v>
      </c>
      <c r="D142" s="170"/>
      <c r="E142" s="170"/>
      <c r="F142" s="170"/>
      <c r="G142" s="35"/>
      <c r="H142" s="35"/>
      <c r="I142" s="88"/>
    </row>
    <row r="143" spans="1:9" ht="13">
      <c r="A143" s="147" t="s">
        <v>10583</v>
      </c>
      <c r="B143" s="152" t="s">
        <v>10584</v>
      </c>
      <c r="C143" s="147" t="s">
        <v>1013</v>
      </c>
      <c r="D143" s="170"/>
      <c r="E143" s="170"/>
      <c r="F143" s="170"/>
      <c r="G143" s="35"/>
      <c r="H143" s="35"/>
      <c r="I143" s="88"/>
    </row>
    <row r="144" spans="1:9" ht="13">
      <c r="A144" s="147" t="s">
        <v>10585</v>
      </c>
      <c r="B144" s="152" t="s">
        <v>10586</v>
      </c>
      <c r="C144" s="147" t="s">
        <v>4114</v>
      </c>
      <c r="D144" s="170"/>
      <c r="E144" s="170"/>
      <c r="F144" s="35"/>
      <c r="G144" s="35"/>
      <c r="H144" s="35"/>
      <c r="I144" s="88"/>
    </row>
    <row r="145" spans="1:9" ht="13">
      <c r="A145" s="147" t="s">
        <v>10587</v>
      </c>
      <c r="B145" s="152" t="s">
        <v>10588</v>
      </c>
      <c r="C145" s="147" t="s">
        <v>4114</v>
      </c>
      <c r="D145" s="170"/>
      <c r="E145" s="170"/>
      <c r="F145" s="170"/>
      <c r="G145" s="35"/>
      <c r="H145" s="35"/>
      <c r="I145" s="88"/>
    </row>
    <row r="146" spans="1:9" ht="13">
      <c r="A146" s="147" t="s">
        <v>10589</v>
      </c>
      <c r="B146" s="148" t="s">
        <v>10590</v>
      </c>
      <c r="C146" s="147" t="s">
        <v>1013</v>
      </c>
      <c r="D146" s="170"/>
      <c r="E146" s="170"/>
      <c r="F146" s="35"/>
      <c r="G146" s="35"/>
      <c r="H146" s="35"/>
      <c r="I146" s="88"/>
    </row>
    <row r="147" spans="1:9" ht="13">
      <c r="A147" s="147" t="s">
        <v>10591</v>
      </c>
      <c r="B147" s="148" t="s">
        <v>10592</v>
      </c>
      <c r="C147" s="147" t="s">
        <v>4114</v>
      </c>
      <c r="D147" s="170"/>
      <c r="E147" s="170"/>
      <c r="F147" s="35"/>
      <c r="G147" s="35"/>
      <c r="H147" s="35"/>
      <c r="I147" s="88"/>
    </row>
    <row r="148" spans="1:9" ht="13">
      <c r="A148" s="147" t="s">
        <v>10593</v>
      </c>
      <c r="B148" s="148" t="s">
        <v>10594</v>
      </c>
      <c r="C148" s="147" t="s">
        <v>1013</v>
      </c>
      <c r="D148" s="170"/>
      <c r="E148" s="170"/>
      <c r="F148" s="35"/>
      <c r="G148" s="35"/>
      <c r="H148" s="35"/>
      <c r="I148" s="88"/>
    </row>
    <row r="149" spans="1:9" ht="13">
      <c r="A149" s="147" t="s">
        <v>10595</v>
      </c>
      <c r="B149" s="148" t="s">
        <v>10596</v>
      </c>
      <c r="C149" s="147" t="s">
        <v>1013</v>
      </c>
      <c r="D149" s="170"/>
      <c r="E149" s="170"/>
      <c r="F149" s="170"/>
      <c r="G149" s="35"/>
      <c r="H149" s="35"/>
      <c r="I149" s="88"/>
    </row>
    <row r="150" spans="1:9" ht="13">
      <c r="A150" s="147" t="s">
        <v>10597</v>
      </c>
      <c r="B150" s="148" t="s">
        <v>10598</v>
      </c>
      <c r="C150" s="147" t="s">
        <v>1013</v>
      </c>
      <c r="D150" s="170"/>
      <c r="E150" s="170"/>
      <c r="F150" s="35"/>
      <c r="G150" s="35"/>
      <c r="H150" s="35"/>
      <c r="I150" s="88"/>
    </row>
    <row r="151" spans="1:9" ht="13">
      <c r="A151" s="147" t="s">
        <v>10599</v>
      </c>
      <c r="B151" s="148" t="s">
        <v>10600</v>
      </c>
      <c r="C151" s="147" t="s">
        <v>229</v>
      </c>
      <c r="D151" s="170"/>
      <c r="E151" s="170"/>
      <c r="F151" s="35"/>
      <c r="G151" s="35"/>
      <c r="H151" s="35"/>
      <c r="I151" s="88"/>
    </row>
    <row r="152" spans="1:9" ht="13">
      <c r="A152" s="147" t="s">
        <v>10601</v>
      </c>
      <c r="B152" s="148" t="s">
        <v>10602</v>
      </c>
      <c r="C152" s="147" t="s">
        <v>229</v>
      </c>
      <c r="D152" s="170"/>
      <c r="E152" s="170"/>
      <c r="F152" s="170"/>
      <c r="G152" s="35"/>
      <c r="H152" s="35"/>
      <c r="I152" s="88"/>
    </row>
    <row r="153" spans="1:9" ht="13">
      <c r="A153" s="147" t="s">
        <v>10603</v>
      </c>
      <c r="B153" s="148" t="s">
        <v>10604</v>
      </c>
      <c r="C153" s="147" t="s">
        <v>1013</v>
      </c>
      <c r="D153" s="170"/>
      <c r="E153" s="170"/>
      <c r="F153" s="35"/>
      <c r="G153" s="35"/>
      <c r="H153" s="35"/>
      <c r="I153" s="88"/>
    </row>
    <row r="154" spans="1:9" ht="13">
      <c r="A154" s="147" t="s">
        <v>10605</v>
      </c>
      <c r="B154" s="148" t="s">
        <v>10606</v>
      </c>
      <c r="C154" s="147" t="s">
        <v>1013</v>
      </c>
      <c r="D154" s="170"/>
      <c r="E154" s="170"/>
      <c r="F154" s="35"/>
      <c r="G154" s="35"/>
      <c r="H154" s="35"/>
      <c r="I154" s="88"/>
    </row>
    <row r="155" spans="1:9" ht="13">
      <c r="A155" s="147" t="s">
        <v>10607</v>
      </c>
      <c r="B155" s="148" t="s">
        <v>10608</v>
      </c>
      <c r="C155" s="147" t="s">
        <v>4114</v>
      </c>
      <c r="D155" s="170"/>
      <c r="E155" s="170"/>
      <c r="F155" s="170"/>
      <c r="G155" s="35"/>
      <c r="H155" s="35"/>
      <c r="I155" s="88"/>
    </row>
    <row r="156" spans="1:9" ht="13">
      <c r="A156" s="147" t="s">
        <v>10609</v>
      </c>
      <c r="B156" s="148" t="s">
        <v>10610</v>
      </c>
      <c r="C156" s="147" t="s">
        <v>4114</v>
      </c>
      <c r="D156" s="170"/>
      <c r="E156" s="170"/>
      <c r="F156" s="35"/>
      <c r="G156" s="35"/>
      <c r="H156" s="35"/>
      <c r="I156" s="88"/>
    </row>
    <row r="157" spans="1:9" ht="13">
      <c r="A157" s="147" t="s">
        <v>10611</v>
      </c>
      <c r="B157" s="148" t="s">
        <v>10612</v>
      </c>
      <c r="C157" s="147" t="s">
        <v>1013</v>
      </c>
      <c r="D157" s="170"/>
      <c r="E157" s="170"/>
      <c r="F157" s="170"/>
      <c r="G157" s="35"/>
      <c r="H157" s="35"/>
      <c r="I157" s="88"/>
    </row>
    <row r="158" spans="1:9" ht="13">
      <c r="A158" s="147" t="s">
        <v>10613</v>
      </c>
      <c r="B158" s="148" t="s">
        <v>10614</v>
      </c>
      <c r="C158" s="147" t="s">
        <v>4114</v>
      </c>
      <c r="D158" s="170"/>
      <c r="E158" s="170"/>
      <c r="F158" s="170"/>
      <c r="G158" s="35"/>
      <c r="H158" s="35"/>
      <c r="I158" s="88"/>
    </row>
    <row r="159" spans="1:9" ht="13">
      <c r="A159" s="147" t="s">
        <v>10615</v>
      </c>
      <c r="B159" s="148" t="s">
        <v>10616</v>
      </c>
      <c r="C159" s="147" t="s">
        <v>4114</v>
      </c>
      <c r="D159" s="170"/>
      <c r="E159" s="170"/>
      <c r="F159" s="170"/>
      <c r="G159" s="35"/>
      <c r="H159" s="35"/>
      <c r="I159" s="88"/>
    </row>
    <row r="160" spans="1:9" ht="13">
      <c r="A160" s="147" t="s">
        <v>10617</v>
      </c>
      <c r="B160" s="148" t="s">
        <v>10618</v>
      </c>
      <c r="C160" s="147" t="s">
        <v>4114</v>
      </c>
      <c r="D160" s="170"/>
      <c r="E160" s="170"/>
      <c r="F160" s="35"/>
      <c r="G160" s="35"/>
      <c r="H160" s="35"/>
      <c r="I160" s="88"/>
    </row>
    <row r="161" spans="1:9" ht="13">
      <c r="A161" s="147" t="s">
        <v>10619</v>
      </c>
      <c r="B161" s="148" t="s">
        <v>10620</v>
      </c>
      <c r="C161" s="147" t="s">
        <v>317</v>
      </c>
      <c r="D161" s="170"/>
      <c r="E161" s="170"/>
      <c r="F161" s="170"/>
      <c r="G161" s="35"/>
      <c r="H161" s="35"/>
      <c r="I161" s="137"/>
    </row>
    <row r="162" spans="1:9" ht="13">
      <c r="A162" s="147" t="s">
        <v>10621</v>
      </c>
      <c r="B162" s="152" t="s">
        <v>10622</v>
      </c>
      <c r="C162" s="147" t="s">
        <v>317</v>
      </c>
      <c r="D162" s="170"/>
      <c r="E162" s="170"/>
      <c r="F162" s="35"/>
      <c r="G162" s="35"/>
      <c r="H162" s="35"/>
      <c r="I162" s="88"/>
    </row>
    <row r="163" spans="1:9" ht="13">
      <c r="A163" s="147" t="s">
        <v>10623</v>
      </c>
      <c r="B163" s="152" t="s">
        <v>10624</v>
      </c>
      <c r="C163" s="147" t="s">
        <v>317</v>
      </c>
      <c r="D163" s="170"/>
      <c r="E163" s="170"/>
      <c r="F163" s="170"/>
      <c r="G163" s="35"/>
      <c r="H163" s="35"/>
      <c r="I163" s="88"/>
    </row>
    <row r="164" spans="1:9" ht="13">
      <c r="A164" s="147" t="s">
        <v>10625</v>
      </c>
      <c r="B164" s="152" t="s">
        <v>10417</v>
      </c>
      <c r="C164" s="147" t="s">
        <v>205</v>
      </c>
      <c r="D164" s="170"/>
      <c r="E164" s="170"/>
      <c r="F164" s="35"/>
      <c r="G164" s="35"/>
      <c r="H164" s="35"/>
      <c r="I164" s="88"/>
    </row>
    <row r="165" spans="1:9" ht="13">
      <c r="A165" s="147" t="s">
        <v>10626</v>
      </c>
      <c r="B165" s="152" t="s">
        <v>10432</v>
      </c>
      <c r="C165" s="147" t="s">
        <v>199</v>
      </c>
      <c r="D165" s="170"/>
      <c r="E165" s="170"/>
      <c r="F165" s="35"/>
      <c r="G165" s="35"/>
      <c r="H165" s="35"/>
      <c r="I165" s="88"/>
    </row>
    <row r="166" spans="1:9" ht="13">
      <c r="A166" s="147" t="s">
        <v>10627</v>
      </c>
      <c r="B166" s="152" t="s">
        <v>10439</v>
      </c>
      <c r="C166" s="147" t="s">
        <v>199</v>
      </c>
      <c r="D166" s="170"/>
      <c r="E166" s="170"/>
      <c r="F166" s="35"/>
      <c r="G166" s="35"/>
      <c r="H166" s="35"/>
      <c r="I166" s="88"/>
    </row>
    <row r="167" spans="1:9" ht="13">
      <c r="A167" s="147" t="s">
        <v>10628</v>
      </c>
      <c r="B167" s="152" t="s">
        <v>8746</v>
      </c>
      <c r="C167" s="147" t="s">
        <v>208</v>
      </c>
      <c r="D167" s="170"/>
      <c r="E167" s="170"/>
      <c r="F167" s="35"/>
      <c r="G167" s="35"/>
      <c r="H167" s="35"/>
      <c r="I167" s="88"/>
    </row>
    <row r="168" spans="1:9" ht="13">
      <c r="A168" s="147" t="s">
        <v>10629</v>
      </c>
      <c r="B168" s="148" t="s">
        <v>8746</v>
      </c>
      <c r="C168" s="147" t="s">
        <v>208</v>
      </c>
      <c r="D168" s="170"/>
      <c r="E168" s="170"/>
      <c r="F168" s="35"/>
      <c r="G168" s="35"/>
      <c r="H168" s="35"/>
      <c r="I168" s="88"/>
    </row>
    <row r="169" spans="1:9" ht="13">
      <c r="A169" s="147" t="s">
        <v>10630</v>
      </c>
      <c r="B169" s="148" t="s">
        <v>10471</v>
      </c>
      <c r="C169" s="147" t="s">
        <v>192</v>
      </c>
      <c r="D169" s="170"/>
      <c r="E169" s="170"/>
      <c r="F169" s="35"/>
      <c r="G169" s="35"/>
      <c r="H169" s="35"/>
      <c r="I169" s="88"/>
    </row>
    <row r="170" spans="1:9" ht="13">
      <c r="A170" s="147" t="s">
        <v>10631</v>
      </c>
      <c r="B170" s="148" t="s">
        <v>10471</v>
      </c>
      <c r="C170" s="147" t="s">
        <v>192</v>
      </c>
      <c r="D170" s="170"/>
      <c r="E170" s="170"/>
      <c r="F170" s="35"/>
      <c r="G170" s="35"/>
      <c r="H170" s="35"/>
      <c r="I170" s="88"/>
    </row>
    <row r="171" spans="1:9" ht="13">
      <c r="A171" s="147" t="s">
        <v>10632</v>
      </c>
      <c r="B171" s="148" t="s">
        <v>8718</v>
      </c>
      <c r="C171" s="147" t="s">
        <v>195</v>
      </c>
      <c r="D171" s="170"/>
      <c r="E171" s="170"/>
      <c r="F171" s="35"/>
      <c r="G171" s="35"/>
      <c r="H171" s="35"/>
      <c r="I171" s="88"/>
    </row>
    <row r="172" spans="1:9" ht="13">
      <c r="A172" s="147" t="s">
        <v>10633</v>
      </c>
      <c r="B172" s="148" t="s">
        <v>8718</v>
      </c>
      <c r="C172" s="147" t="s">
        <v>195</v>
      </c>
      <c r="D172" s="170"/>
      <c r="E172" s="170"/>
      <c r="F172" s="170"/>
      <c r="G172" s="35"/>
      <c r="H172" s="35"/>
      <c r="I172" s="88"/>
    </row>
    <row r="173" spans="1:9" ht="13">
      <c r="A173" s="147" t="s">
        <v>10634</v>
      </c>
      <c r="B173" s="148" t="s">
        <v>10477</v>
      </c>
      <c r="C173" s="147" t="s">
        <v>195</v>
      </c>
      <c r="D173" s="170"/>
      <c r="E173" s="170"/>
      <c r="F173" s="35"/>
      <c r="G173" s="35"/>
      <c r="H173" s="35"/>
      <c r="I173" s="88"/>
    </row>
    <row r="174" spans="1:9" ht="13">
      <c r="A174" s="147" t="s">
        <v>10635</v>
      </c>
      <c r="B174" s="148" t="s">
        <v>10477</v>
      </c>
      <c r="C174" s="147" t="s">
        <v>195</v>
      </c>
      <c r="D174" s="170"/>
      <c r="E174" s="35"/>
      <c r="F174" s="35"/>
      <c r="G174" s="35"/>
      <c r="H174" s="35"/>
      <c r="I174" s="88"/>
    </row>
    <row r="175" spans="1:9" ht="13">
      <c r="A175" s="147" t="s">
        <v>10636</v>
      </c>
      <c r="B175" s="148" t="s">
        <v>8748</v>
      </c>
      <c r="C175" s="147" t="s">
        <v>195</v>
      </c>
      <c r="D175" s="170"/>
      <c r="E175" s="170"/>
      <c r="F175" s="35"/>
      <c r="G175" s="35"/>
      <c r="H175" s="35"/>
      <c r="I175" s="88"/>
    </row>
    <row r="176" spans="1:9" ht="13">
      <c r="A176" s="147" t="s">
        <v>10637</v>
      </c>
      <c r="B176" s="152" t="s">
        <v>8748</v>
      </c>
      <c r="C176" s="147" t="s">
        <v>195</v>
      </c>
      <c r="D176" s="170"/>
      <c r="E176" s="170"/>
      <c r="F176" s="35"/>
      <c r="G176" s="35"/>
      <c r="H176" s="35"/>
      <c r="I176" s="88"/>
    </row>
    <row r="177" spans="1:9" ht="13">
      <c r="A177" s="147" t="s">
        <v>10638</v>
      </c>
      <c r="B177" s="152" t="s">
        <v>10501</v>
      </c>
      <c r="C177" s="147" t="s">
        <v>225</v>
      </c>
      <c r="D177" s="170"/>
      <c r="E177" s="170"/>
      <c r="F177" s="170"/>
      <c r="G177" s="35"/>
      <c r="H177" s="35"/>
      <c r="I177" s="88"/>
    </row>
    <row r="178" spans="1:9" ht="13">
      <c r="A178" s="147" t="s">
        <v>10639</v>
      </c>
      <c r="B178" s="152" t="s">
        <v>10501</v>
      </c>
      <c r="C178" s="147" t="s">
        <v>225</v>
      </c>
      <c r="D178" s="170"/>
      <c r="E178" s="170"/>
      <c r="F178" s="35"/>
      <c r="G178" s="35"/>
      <c r="H178" s="35"/>
      <c r="I178" s="88"/>
    </row>
    <row r="179" spans="1:9" ht="13">
      <c r="A179" s="147" t="s">
        <v>10640</v>
      </c>
      <c r="B179" s="152" t="s">
        <v>10511</v>
      </c>
      <c r="C179" s="147" t="s">
        <v>225</v>
      </c>
      <c r="D179" s="170"/>
      <c r="E179" s="170"/>
      <c r="F179" s="35"/>
      <c r="G179" s="35"/>
      <c r="H179" s="35"/>
      <c r="I179" s="88"/>
    </row>
    <row r="180" spans="1:9" ht="13">
      <c r="A180" s="147" t="s">
        <v>10641</v>
      </c>
      <c r="B180" s="152" t="s">
        <v>10522</v>
      </c>
      <c r="C180" s="147" t="s">
        <v>808</v>
      </c>
      <c r="D180" s="170"/>
      <c r="E180" s="170"/>
      <c r="F180" s="35"/>
      <c r="G180" s="35"/>
      <c r="H180" s="35"/>
      <c r="I180" s="88"/>
    </row>
    <row r="181" spans="1:9" ht="13">
      <c r="A181" s="147" t="s">
        <v>10642</v>
      </c>
      <c r="B181" s="152" t="s">
        <v>10522</v>
      </c>
      <c r="C181" s="147" t="s">
        <v>808</v>
      </c>
      <c r="D181" s="170"/>
      <c r="E181" s="170"/>
      <c r="F181" s="35"/>
      <c r="G181" s="35"/>
      <c r="H181" s="35"/>
      <c r="I181" s="88"/>
    </row>
    <row r="182" spans="1:9" ht="13">
      <c r="A182" s="147" t="s">
        <v>10643</v>
      </c>
      <c r="B182" s="152" t="s">
        <v>10526</v>
      </c>
      <c r="C182" s="147" t="s">
        <v>808</v>
      </c>
      <c r="D182" s="170"/>
      <c r="E182" s="170"/>
      <c r="F182" s="35"/>
      <c r="G182" s="35"/>
      <c r="H182" s="35"/>
      <c r="I182" s="88"/>
    </row>
    <row r="183" spans="1:9" ht="13">
      <c r="A183" s="147" t="s">
        <v>10644</v>
      </c>
      <c r="B183" s="152" t="s">
        <v>10526</v>
      </c>
      <c r="C183" s="147" t="s">
        <v>808</v>
      </c>
      <c r="D183" s="170"/>
      <c r="E183" s="170"/>
      <c r="F183" s="170"/>
      <c r="G183" s="35"/>
      <c r="H183" s="35"/>
      <c r="I183" s="88"/>
    </row>
    <row r="184" spans="1:9" ht="13">
      <c r="A184" s="147" t="s">
        <v>10645</v>
      </c>
      <c r="B184" s="152" t="s">
        <v>10533</v>
      </c>
      <c r="C184" s="147" t="s">
        <v>808</v>
      </c>
      <c r="D184" s="170"/>
      <c r="E184" s="170"/>
      <c r="F184" s="35"/>
      <c r="G184" s="35"/>
      <c r="H184" s="35"/>
      <c r="I184" s="88"/>
    </row>
    <row r="185" spans="1:9" ht="13">
      <c r="A185" s="147" t="s">
        <v>10646</v>
      </c>
      <c r="B185" s="152" t="s">
        <v>10543</v>
      </c>
      <c r="C185" s="147" t="s">
        <v>220</v>
      </c>
      <c r="D185" s="170"/>
      <c r="E185" s="170"/>
      <c r="F185" s="170"/>
      <c r="G185" s="35"/>
      <c r="H185" s="35"/>
      <c r="I185" s="88"/>
    </row>
    <row r="186" spans="1:9" ht="13">
      <c r="A186" s="147" t="s">
        <v>10647</v>
      </c>
      <c r="B186" s="152" t="s">
        <v>10552</v>
      </c>
      <c r="C186" s="147" t="s">
        <v>197</v>
      </c>
      <c r="D186" s="170"/>
      <c r="E186" s="170"/>
      <c r="F186" s="170"/>
      <c r="G186" s="35"/>
      <c r="H186" s="35"/>
      <c r="I186" s="88"/>
    </row>
    <row r="187" spans="1:9" ht="13">
      <c r="A187" s="147" t="s">
        <v>10648</v>
      </c>
      <c r="B187" s="152" t="s">
        <v>10552</v>
      </c>
      <c r="C187" s="147" t="s">
        <v>197</v>
      </c>
      <c r="D187" s="170"/>
      <c r="E187" s="35"/>
      <c r="F187" s="170"/>
      <c r="G187" s="35"/>
      <c r="H187" s="35"/>
      <c r="I187" s="88"/>
    </row>
    <row r="188" spans="1:9" ht="13">
      <c r="A188" s="147" t="s">
        <v>10649</v>
      </c>
      <c r="B188" s="148" t="s">
        <v>10558</v>
      </c>
      <c r="C188" s="147" t="s">
        <v>197</v>
      </c>
      <c r="D188" s="170"/>
      <c r="E188" s="170"/>
      <c r="F188" s="35"/>
      <c r="G188" s="35"/>
      <c r="H188" s="35"/>
      <c r="I188" s="88"/>
    </row>
    <row r="189" spans="1:9" ht="13">
      <c r="A189" s="147" t="s">
        <v>10650</v>
      </c>
      <c r="B189" s="148" t="s">
        <v>10558</v>
      </c>
      <c r="C189" s="147" t="s">
        <v>197</v>
      </c>
      <c r="D189" s="170"/>
      <c r="E189" s="170"/>
      <c r="F189" s="35"/>
      <c r="G189" s="35"/>
      <c r="H189" s="35"/>
      <c r="I189" s="88"/>
    </row>
    <row r="190" spans="1:9" ht="13">
      <c r="A190" s="147" t="s">
        <v>10651</v>
      </c>
      <c r="B190" s="148" t="s">
        <v>10565</v>
      </c>
      <c r="C190" s="147" t="s">
        <v>1013</v>
      </c>
      <c r="D190" s="170"/>
      <c r="E190" s="170"/>
      <c r="F190" s="170"/>
      <c r="G190" s="35"/>
      <c r="H190" s="35"/>
      <c r="I190" s="88"/>
    </row>
    <row r="191" spans="1:9" ht="13">
      <c r="A191" s="147" t="s">
        <v>10652</v>
      </c>
      <c r="B191" s="148" t="s">
        <v>10567</v>
      </c>
      <c r="C191" s="147" t="s">
        <v>1013</v>
      </c>
      <c r="D191" s="170"/>
      <c r="E191" s="170"/>
      <c r="F191" s="35"/>
      <c r="G191" s="35"/>
      <c r="H191" s="35"/>
      <c r="I191" s="88"/>
    </row>
    <row r="192" spans="1:9" ht="13">
      <c r="A192" s="147" t="s">
        <v>10653</v>
      </c>
      <c r="B192" s="148" t="s">
        <v>10569</v>
      </c>
      <c r="C192" s="147" t="s">
        <v>1013</v>
      </c>
      <c r="D192" s="170"/>
      <c r="E192" s="170"/>
      <c r="F192" s="170"/>
      <c r="G192" s="35"/>
      <c r="H192" s="35"/>
      <c r="I192" s="88"/>
    </row>
    <row r="193" spans="1:9" ht="13">
      <c r="A193" s="147" t="s">
        <v>10654</v>
      </c>
      <c r="B193" s="148" t="s">
        <v>4689</v>
      </c>
      <c r="C193" s="147" t="s">
        <v>1013</v>
      </c>
      <c r="D193" s="170"/>
      <c r="E193" s="35"/>
      <c r="F193" s="170"/>
      <c r="G193" s="35"/>
      <c r="H193" s="35"/>
      <c r="I193" s="88"/>
    </row>
    <row r="194" spans="1:9" ht="13">
      <c r="A194" s="147" t="s">
        <v>10655</v>
      </c>
      <c r="B194" s="148" t="s">
        <v>10574</v>
      </c>
      <c r="C194" s="147" t="s">
        <v>1013</v>
      </c>
      <c r="D194" s="170"/>
      <c r="E194" s="35"/>
      <c r="F194" s="170"/>
      <c r="G194" s="35"/>
      <c r="H194" s="35"/>
      <c r="I194" s="88"/>
    </row>
    <row r="195" spans="1:9" ht="13">
      <c r="A195" s="147" t="s">
        <v>10656</v>
      </c>
      <c r="B195" s="148" t="s">
        <v>10584</v>
      </c>
      <c r="C195" s="147" t="s">
        <v>1013</v>
      </c>
      <c r="D195" s="170"/>
      <c r="E195" s="170"/>
      <c r="F195" s="170"/>
      <c r="G195" s="35"/>
      <c r="H195" s="35"/>
      <c r="I195" s="88"/>
    </row>
    <row r="196" spans="1:9" ht="13">
      <c r="A196" s="147" t="s">
        <v>10657</v>
      </c>
      <c r="B196" s="148" t="s">
        <v>10590</v>
      </c>
      <c r="C196" s="147" t="s">
        <v>1013</v>
      </c>
      <c r="D196" s="170"/>
      <c r="E196" s="35"/>
      <c r="F196" s="35"/>
      <c r="G196" s="35"/>
      <c r="H196" s="35"/>
      <c r="I196" s="88"/>
    </row>
    <row r="197" spans="1:9" ht="13">
      <c r="A197" s="147" t="s">
        <v>10658</v>
      </c>
      <c r="B197" s="148" t="s">
        <v>10594</v>
      </c>
      <c r="C197" s="147" t="s">
        <v>1013</v>
      </c>
      <c r="D197" s="170"/>
      <c r="E197" s="170"/>
      <c r="F197" s="35"/>
      <c r="G197" s="35"/>
      <c r="H197" s="35"/>
      <c r="I197" s="88"/>
    </row>
    <row r="198" spans="1:9" ht="13">
      <c r="A198" s="147" t="s">
        <v>10659</v>
      </c>
      <c r="B198" s="148" t="s">
        <v>10596</v>
      </c>
      <c r="C198" s="147" t="s">
        <v>1013</v>
      </c>
      <c r="D198" s="170"/>
      <c r="E198" s="35"/>
      <c r="F198" s="35"/>
      <c r="G198" s="35"/>
      <c r="H198" s="35"/>
      <c r="I198" s="88"/>
    </row>
    <row r="199" spans="1:9" ht="13">
      <c r="A199" s="147" t="s">
        <v>10660</v>
      </c>
      <c r="B199" s="148" t="s">
        <v>10598</v>
      </c>
      <c r="C199" s="147" t="s">
        <v>1013</v>
      </c>
      <c r="D199" s="170"/>
      <c r="E199" s="170"/>
      <c r="F199" s="35"/>
      <c r="G199" s="35"/>
      <c r="H199" s="35"/>
      <c r="I199" s="88"/>
    </row>
    <row r="200" spans="1:9" ht="13">
      <c r="A200" s="147" t="s">
        <v>10661</v>
      </c>
      <c r="B200" s="148" t="s">
        <v>10604</v>
      </c>
      <c r="C200" s="147" t="s">
        <v>1013</v>
      </c>
      <c r="D200" s="170"/>
      <c r="E200" s="35"/>
      <c r="F200" s="35"/>
      <c r="G200" s="35"/>
      <c r="H200" s="35"/>
      <c r="I200" s="88"/>
    </row>
    <row r="201" spans="1:9" ht="13">
      <c r="A201" s="147" t="s">
        <v>10662</v>
      </c>
      <c r="B201" s="148" t="s">
        <v>10606</v>
      </c>
      <c r="C201" s="147" t="s">
        <v>1013</v>
      </c>
      <c r="D201" s="170"/>
      <c r="E201" s="35"/>
      <c r="F201" s="170"/>
      <c r="G201" s="35"/>
      <c r="H201" s="35"/>
      <c r="I201" s="88"/>
    </row>
    <row r="202" spans="1:9" ht="13">
      <c r="A202" s="147" t="s">
        <v>10663</v>
      </c>
      <c r="B202" s="152" t="s">
        <v>10612</v>
      </c>
      <c r="C202" s="147" t="s">
        <v>1013</v>
      </c>
      <c r="D202" s="35"/>
      <c r="E202" s="35"/>
      <c r="F202" s="35"/>
      <c r="G202" s="35"/>
      <c r="H202" s="35"/>
      <c r="I202" s="88"/>
    </row>
    <row r="203" spans="1:9" ht="13">
      <c r="A203" s="147" t="s">
        <v>10664</v>
      </c>
      <c r="B203" s="152" t="s">
        <v>10419</v>
      </c>
      <c r="C203" s="147" t="s">
        <v>205</v>
      </c>
      <c r="D203" s="170"/>
      <c r="E203" s="35"/>
      <c r="F203" s="35"/>
      <c r="G203" s="35"/>
      <c r="H203" s="35"/>
      <c r="I203" s="88"/>
    </row>
    <row r="204" spans="1:9" ht="13">
      <c r="A204" s="147" t="s">
        <v>10665</v>
      </c>
      <c r="B204" s="152" t="s">
        <v>10434</v>
      </c>
      <c r="C204" s="147" t="s">
        <v>199</v>
      </c>
      <c r="D204" s="170"/>
      <c r="E204" s="35"/>
      <c r="F204" s="170"/>
      <c r="G204" s="35"/>
      <c r="H204" s="35"/>
      <c r="I204" s="88"/>
    </row>
    <row r="205" spans="1:9" ht="13">
      <c r="A205" s="147" t="s">
        <v>10666</v>
      </c>
      <c r="B205" s="152" t="s">
        <v>10434</v>
      </c>
      <c r="C205" s="147" t="s">
        <v>199</v>
      </c>
      <c r="D205" s="170"/>
      <c r="E205" s="35"/>
      <c r="F205" s="35"/>
      <c r="G205" s="35"/>
      <c r="H205" s="35"/>
      <c r="I205" s="88"/>
    </row>
    <row r="206" spans="1:9" ht="13">
      <c r="A206" s="147" t="s">
        <v>10667</v>
      </c>
      <c r="B206" s="152" t="s">
        <v>10463</v>
      </c>
      <c r="C206" s="147" t="s">
        <v>208</v>
      </c>
      <c r="D206" s="5"/>
      <c r="E206" s="87"/>
      <c r="F206" s="87"/>
      <c r="G206" s="87"/>
      <c r="H206" s="88"/>
      <c r="I206" s="88"/>
    </row>
    <row r="207" spans="1:9" ht="13">
      <c r="A207" s="147" t="s">
        <v>10668</v>
      </c>
      <c r="B207" s="152" t="s">
        <v>10463</v>
      </c>
      <c r="C207" s="147" t="s">
        <v>208</v>
      </c>
      <c r="D207" s="5"/>
      <c r="E207" s="87"/>
      <c r="F207" s="87"/>
      <c r="G207" s="87"/>
      <c r="H207" s="88"/>
      <c r="I207" s="88"/>
    </row>
    <row r="208" spans="1:9" ht="13">
      <c r="A208" s="147" t="s">
        <v>10669</v>
      </c>
      <c r="B208" s="152" t="s">
        <v>10495</v>
      </c>
      <c r="C208" s="147" t="s">
        <v>195</v>
      </c>
      <c r="D208" s="54"/>
      <c r="E208" s="87"/>
      <c r="F208" s="87"/>
      <c r="G208" s="87"/>
      <c r="H208" s="88"/>
      <c r="I208" s="88"/>
    </row>
    <row r="209" spans="1:9" ht="13">
      <c r="A209" s="147" t="s">
        <v>10670</v>
      </c>
      <c r="B209" s="152" t="s">
        <v>10495</v>
      </c>
      <c r="C209" s="147" t="s">
        <v>195</v>
      </c>
      <c r="D209" s="54"/>
      <c r="E209" s="87"/>
      <c r="F209" s="87"/>
      <c r="G209" s="87"/>
      <c r="H209" s="88"/>
      <c r="I209" s="88"/>
    </row>
    <row r="210" spans="1:9" ht="13">
      <c r="A210" s="147" t="s">
        <v>10671</v>
      </c>
      <c r="B210" s="152" t="s">
        <v>10513</v>
      </c>
      <c r="C210" s="147" t="s">
        <v>225</v>
      </c>
      <c r="D210" s="5"/>
      <c r="E210" s="87"/>
      <c r="F210" s="87"/>
      <c r="G210" s="87"/>
      <c r="H210" s="88"/>
      <c r="I210" s="88"/>
    </row>
    <row r="211" spans="1:9" ht="13">
      <c r="A211" s="147" t="s">
        <v>10672</v>
      </c>
      <c r="B211" s="152" t="s">
        <v>10528</v>
      </c>
      <c r="C211" s="147" t="s">
        <v>808</v>
      </c>
      <c r="D211" s="5"/>
      <c r="E211" s="87"/>
      <c r="F211" s="87"/>
      <c r="G211" s="87"/>
      <c r="H211" s="88"/>
      <c r="I211" s="88"/>
    </row>
    <row r="212" spans="1:9" ht="13">
      <c r="A212" s="147" t="s">
        <v>10673</v>
      </c>
      <c r="B212" s="152" t="s">
        <v>10545</v>
      </c>
      <c r="C212" s="147" t="s">
        <v>220</v>
      </c>
      <c r="D212" s="54"/>
      <c r="E212" s="87"/>
      <c r="F212" s="87"/>
      <c r="G212" s="87"/>
      <c r="H212" s="88"/>
      <c r="I212" s="88"/>
    </row>
    <row r="213" spans="1:9" ht="13">
      <c r="A213" s="147" t="s">
        <v>10674</v>
      </c>
      <c r="B213" s="152" t="s">
        <v>10560</v>
      </c>
      <c r="C213" s="147" t="s">
        <v>197</v>
      </c>
      <c r="D213" s="54"/>
      <c r="E213" s="87"/>
      <c r="F213" s="87"/>
      <c r="G213" s="87"/>
      <c r="H213" s="88"/>
      <c r="I213" s="88"/>
    </row>
    <row r="214" spans="1:9" ht="13">
      <c r="A214" s="147" t="s">
        <v>10675</v>
      </c>
      <c r="B214" s="148" t="s">
        <v>10565</v>
      </c>
      <c r="C214" s="147" t="s">
        <v>1013</v>
      </c>
      <c r="D214" s="5"/>
      <c r="E214" s="87"/>
      <c r="F214" s="87"/>
      <c r="G214" s="87"/>
      <c r="H214" s="88"/>
      <c r="I214" s="88"/>
    </row>
    <row r="215" spans="1:9" ht="13">
      <c r="A215" s="147" t="s">
        <v>10676</v>
      </c>
      <c r="B215" s="148" t="s">
        <v>10567</v>
      </c>
      <c r="C215" s="147" t="s">
        <v>1013</v>
      </c>
      <c r="D215" s="54"/>
      <c r="E215" s="87"/>
      <c r="F215" s="87"/>
      <c r="G215" s="87"/>
      <c r="H215" s="88"/>
      <c r="I215" s="88"/>
    </row>
    <row r="216" spans="1:9" ht="13">
      <c r="A216" s="147" t="s">
        <v>10677</v>
      </c>
      <c r="B216" s="148" t="s">
        <v>10569</v>
      </c>
      <c r="C216" s="147" t="s">
        <v>1013</v>
      </c>
      <c r="D216" s="5"/>
      <c r="E216" s="87"/>
      <c r="F216" s="87"/>
      <c r="G216" s="87"/>
      <c r="H216" s="88"/>
      <c r="I216" s="88"/>
    </row>
    <row r="217" spans="1:9" ht="13">
      <c r="A217" s="147" t="s">
        <v>10678</v>
      </c>
      <c r="B217" s="148" t="s">
        <v>4689</v>
      </c>
      <c r="C217" s="147" t="s">
        <v>1013</v>
      </c>
      <c r="D217" s="5"/>
      <c r="E217" s="87"/>
      <c r="F217" s="87"/>
      <c r="G217" s="87"/>
      <c r="H217" s="88"/>
      <c r="I217" s="88"/>
    </row>
    <row r="218" spans="1:9" ht="13">
      <c r="A218" s="147" t="s">
        <v>10679</v>
      </c>
      <c r="B218" s="148" t="s">
        <v>10574</v>
      </c>
      <c r="C218" s="147" t="s">
        <v>1013</v>
      </c>
      <c r="D218" s="54"/>
      <c r="E218" s="87"/>
      <c r="F218" s="86"/>
      <c r="G218" s="87"/>
      <c r="H218" s="88"/>
      <c r="I218" s="88"/>
    </row>
    <row r="219" spans="1:9" ht="13">
      <c r="A219" s="147" t="s">
        <v>10680</v>
      </c>
      <c r="B219" s="148" t="s">
        <v>10584</v>
      </c>
      <c r="C219" s="147" t="s">
        <v>1013</v>
      </c>
      <c r="D219" s="54"/>
      <c r="E219" s="87"/>
      <c r="F219" s="87"/>
      <c r="G219" s="87"/>
      <c r="H219" s="88"/>
      <c r="I219" s="88"/>
    </row>
    <row r="220" spans="1:9" ht="13">
      <c r="A220" s="147" t="s">
        <v>10681</v>
      </c>
      <c r="B220" s="148" t="s">
        <v>10594</v>
      </c>
      <c r="C220" s="147" t="s">
        <v>1013</v>
      </c>
      <c r="D220" s="87"/>
      <c r="E220" s="87"/>
      <c r="F220" s="87"/>
      <c r="G220" s="87"/>
      <c r="H220" s="88"/>
      <c r="I220" s="88"/>
    </row>
    <row r="221" spans="1:9" ht="13">
      <c r="A221" s="151" t="s">
        <v>10682</v>
      </c>
      <c r="B221" s="152" t="s">
        <v>10596</v>
      </c>
      <c r="C221" s="151" t="s">
        <v>1013</v>
      </c>
      <c r="D221" s="87"/>
      <c r="E221" s="87"/>
      <c r="F221" s="87"/>
      <c r="G221" s="87"/>
      <c r="H221" s="88"/>
      <c r="I221" s="88"/>
    </row>
    <row r="222" spans="1:9" ht="13">
      <c r="A222" s="151" t="s">
        <v>10683</v>
      </c>
      <c r="B222" s="152" t="s">
        <v>10598</v>
      </c>
      <c r="C222" s="151" t="s">
        <v>1013</v>
      </c>
      <c r="D222" s="87"/>
      <c r="E222" s="87"/>
      <c r="F222" s="87"/>
      <c r="G222" s="87"/>
      <c r="H222" s="88"/>
      <c r="I222" s="88"/>
    </row>
    <row r="223" spans="1:9" ht="13">
      <c r="A223" s="151" t="s">
        <v>10684</v>
      </c>
      <c r="B223" s="152" t="s">
        <v>10604</v>
      </c>
      <c r="C223" s="151" t="s">
        <v>1013</v>
      </c>
      <c r="D223" s="87"/>
      <c r="E223" s="87"/>
      <c r="F223" s="87"/>
      <c r="G223" s="87"/>
      <c r="H223" s="88"/>
      <c r="I223" s="88"/>
    </row>
    <row r="224" spans="1:9" ht="13">
      <c r="A224" s="151" t="s">
        <v>10685</v>
      </c>
      <c r="B224" s="152" t="s">
        <v>10606</v>
      </c>
      <c r="C224" s="151" t="s">
        <v>1013</v>
      </c>
      <c r="D224" s="87"/>
      <c r="E224" s="87"/>
      <c r="F224" s="87"/>
      <c r="G224" s="87"/>
      <c r="H224" s="88"/>
      <c r="I224" s="88"/>
    </row>
    <row r="225" spans="1:9" ht="13">
      <c r="A225" s="151" t="s">
        <v>10686</v>
      </c>
      <c r="B225" s="152" t="s">
        <v>10612</v>
      </c>
      <c r="C225" s="151" t="s">
        <v>1013</v>
      </c>
      <c r="D225" s="86"/>
      <c r="E225" s="87"/>
      <c r="F225" s="87"/>
      <c r="G225" s="87"/>
      <c r="H225" s="88"/>
      <c r="I225" s="88"/>
    </row>
    <row r="226" spans="1:9" ht="13">
      <c r="A226" s="151" t="s">
        <v>10687</v>
      </c>
      <c r="B226" s="152" t="s">
        <v>256</v>
      </c>
      <c r="C226" s="151" t="s">
        <v>192</v>
      </c>
      <c r="D226" s="87"/>
      <c r="E226" s="87"/>
      <c r="F226" s="87"/>
      <c r="G226" s="87"/>
      <c r="H226" s="88"/>
      <c r="I226" s="88"/>
    </row>
    <row r="227" spans="1:9" ht="13">
      <c r="A227" s="151" t="s">
        <v>10688</v>
      </c>
      <c r="B227" s="152" t="s">
        <v>3163</v>
      </c>
      <c r="C227" s="151" t="s">
        <v>220</v>
      </c>
      <c r="D227" s="87"/>
      <c r="E227" s="87"/>
      <c r="F227" s="87"/>
      <c r="G227" s="87"/>
      <c r="H227" s="88"/>
      <c r="I227" s="88"/>
    </row>
    <row r="228" spans="1:9" ht="13">
      <c r="A228" s="151" t="s">
        <v>10689</v>
      </c>
      <c r="B228" s="152" t="s">
        <v>233</v>
      </c>
      <c r="C228" s="151" t="s">
        <v>197</v>
      </c>
      <c r="D228" s="87"/>
      <c r="E228" s="87"/>
      <c r="F228" s="87"/>
      <c r="G228" s="87"/>
      <c r="H228" s="88"/>
      <c r="I228" s="88"/>
    </row>
    <row r="229" spans="1:9" ht="13">
      <c r="A229" s="151" t="s">
        <v>10690</v>
      </c>
      <c r="B229" s="152" t="s">
        <v>10578</v>
      </c>
      <c r="C229" s="151" t="s">
        <v>4114</v>
      </c>
      <c r="D229" s="87"/>
      <c r="E229" s="87"/>
      <c r="F229" s="87"/>
      <c r="G229" s="87"/>
      <c r="H229" s="88"/>
      <c r="I229" s="88"/>
    </row>
    <row r="230" spans="1:9" ht="13">
      <c r="A230" s="151" t="s">
        <v>10691</v>
      </c>
      <c r="B230" s="152" t="s">
        <v>10340</v>
      </c>
      <c r="C230" s="151" t="s">
        <v>4114</v>
      </c>
      <c r="D230" s="87"/>
      <c r="E230" s="87"/>
      <c r="F230" s="87"/>
      <c r="G230" s="87"/>
      <c r="H230" s="88"/>
      <c r="I230" s="88"/>
    </row>
    <row r="231" spans="1:9" ht="13">
      <c r="A231" s="151" t="s">
        <v>10692</v>
      </c>
      <c r="B231" s="152" t="s">
        <v>10586</v>
      </c>
      <c r="C231" s="151" t="s">
        <v>4114</v>
      </c>
      <c r="D231" s="87"/>
      <c r="E231" s="87"/>
      <c r="F231" s="87"/>
      <c r="G231" s="87"/>
      <c r="H231" s="88"/>
      <c r="I231" s="88"/>
    </row>
    <row r="232" spans="1:9" ht="13">
      <c r="A232" s="151" t="s">
        <v>10693</v>
      </c>
      <c r="B232" s="152" t="s">
        <v>10610</v>
      </c>
      <c r="C232" s="151" t="s">
        <v>4114</v>
      </c>
      <c r="D232" s="87"/>
      <c r="E232" s="87"/>
      <c r="F232" s="87"/>
      <c r="G232" s="87"/>
      <c r="H232" s="88"/>
      <c r="I232" s="88"/>
    </row>
    <row r="233" spans="1:9" ht="13">
      <c r="A233" s="151" t="s">
        <v>10694</v>
      </c>
      <c r="B233" s="152" t="s">
        <v>10363</v>
      </c>
      <c r="C233" s="151" t="s">
        <v>4114</v>
      </c>
      <c r="D233" s="87"/>
      <c r="E233" s="87"/>
      <c r="F233" s="87"/>
      <c r="G233" s="87"/>
      <c r="H233" s="88"/>
      <c r="I233" s="88"/>
    </row>
    <row r="234" spans="1:9" ht="13">
      <c r="A234" s="151" t="s">
        <v>10695</v>
      </c>
      <c r="B234" s="152" t="s">
        <v>10618</v>
      </c>
      <c r="C234" s="151" t="s">
        <v>4114</v>
      </c>
      <c r="D234" s="107"/>
      <c r="E234" s="112"/>
      <c r="F234" s="87"/>
      <c r="G234" s="87"/>
      <c r="H234" s="88"/>
      <c r="I234" s="88"/>
    </row>
    <row r="235" spans="1:9" ht="13">
      <c r="A235" s="151" t="s">
        <v>10696</v>
      </c>
      <c r="B235" s="152" t="s">
        <v>5064</v>
      </c>
      <c r="C235" s="151" t="s">
        <v>317</v>
      </c>
      <c r="D235" s="112"/>
      <c r="E235" s="112"/>
      <c r="F235" s="87"/>
      <c r="G235" s="87"/>
      <c r="H235" s="88"/>
      <c r="I235" s="88"/>
    </row>
    <row r="236" spans="1:9" ht="13">
      <c r="A236" s="151" t="s">
        <v>10697</v>
      </c>
      <c r="B236" s="152" t="s">
        <v>5066</v>
      </c>
      <c r="C236" s="151" t="s">
        <v>317</v>
      </c>
      <c r="D236" s="112"/>
      <c r="E236" s="112"/>
      <c r="F236" s="87"/>
      <c r="G236" s="87"/>
      <c r="H236" s="88"/>
      <c r="I236" s="88"/>
    </row>
    <row r="237" spans="1:9" ht="13">
      <c r="A237" s="151" t="s">
        <v>10698</v>
      </c>
      <c r="B237" s="152" t="s">
        <v>5067</v>
      </c>
      <c r="C237" s="151" t="s">
        <v>317</v>
      </c>
      <c r="D237" s="112"/>
      <c r="E237" s="112"/>
      <c r="F237" s="87"/>
      <c r="G237" s="87"/>
      <c r="H237" s="88"/>
      <c r="I237" s="88"/>
    </row>
    <row r="238" spans="1:9" ht="13">
      <c r="A238" s="112"/>
      <c r="B238" s="111"/>
      <c r="C238" s="136"/>
      <c r="D238" s="112"/>
      <c r="E238" s="112"/>
      <c r="F238" s="87"/>
      <c r="G238" s="87"/>
      <c r="H238" s="88"/>
      <c r="I238" s="88"/>
    </row>
    <row r="239" spans="1:9" ht="13">
      <c r="A239" s="112"/>
      <c r="B239" s="111"/>
      <c r="C239" s="136"/>
      <c r="D239" s="112"/>
      <c r="E239" s="112"/>
      <c r="F239" s="87"/>
      <c r="G239" s="87"/>
      <c r="H239" s="88"/>
      <c r="I239" s="88"/>
    </row>
    <row r="240" spans="1:9" ht="13">
      <c r="A240" s="112"/>
      <c r="B240" s="111"/>
      <c r="C240" s="136"/>
      <c r="D240" s="107"/>
      <c r="E240" s="112"/>
      <c r="F240" s="86"/>
      <c r="G240" s="87"/>
      <c r="H240" s="88"/>
      <c r="I240" s="88"/>
    </row>
    <row r="241" spans="1:9" ht="13">
      <c r="A241" s="112"/>
      <c r="B241" s="111"/>
      <c r="C241" s="136"/>
      <c r="D241" s="112"/>
      <c r="E241" s="112"/>
      <c r="F241" s="87"/>
      <c r="G241" s="87"/>
      <c r="H241" s="88"/>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D00-000000000000}"/>
    <hyperlink ref="B6" r:id="rId2" xr:uid="{00000000-0004-0000-6D00-000001000000}"/>
    <hyperlink ref="B7" r:id="rId3" xr:uid="{00000000-0004-0000-6D00-000002000000}"/>
    <hyperlink ref="B8" r:id="rId4" xr:uid="{00000000-0004-0000-6D00-000003000000}"/>
    <hyperlink ref="B9" r:id="rId5" xr:uid="{00000000-0004-0000-6D00-000004000000}"/>
    <hyperlink ref="B10" r:id="rId6" xr:uid="{00000000-0004-0000-6D00-000005000000}"/>
    <hyperlink ref="B11" r:id="rId7" xr:uid="{00000000-0004-0000-6D00-000006000000}"/>
    <hyperlink ref="B12" r:id="rId8" xr:uid="{00000000-0004-0000-6D00-000007000000}"/>
    <hyperlink ref="B13" r:id="rId9" xr:uid="{00000000-0004-0000-6D00-000008000000}"/>
    <hyperlink ref="B14" r:id="rId10" xr:uid="{00000000-0004-0000-6D00-000009000000}"/>
    <hyperlink ref="B15" r:id="rId11" xr:uid="{00000000-0004-0000-6D00-00000A000000}"/>
    <hyperlink ref="B16" r:id="rId12" xr:uid="{00000000-0004-0000-6D00-00000B000000}"/>
    <hyperlink ref="B17" r:id="rId13" xr:uid="{00000000-0004-0000-6D00-00000C000000}"/>
    <hyperlink ref="B18" r:id="rId14" xr:uid="{00000000-0004-0000-6D00-00000D000000}"/>
    <hyperlink ref="B19" r:id="rId15" xr:uid="{00000000-0004-0000-6D00-00000E000000}"/>
    <hyperlink ref="B20" r:id="rId16" xr:uid="{00000000-0004-0000-6D00-00000F000000}"/>
    <hyperlink ref="B21" r:id="rId17" xr:uid="{00000000-0004-0000-6D00-000010000000}"/>
    <hyperlink ref="B22" r:id="rId18" xr:uid="{00000000-0004-0000-6D00-000011000000}"/>
    <hyperlink ref="B23" r:id="rId19" xr:uid="{00000000-0004-0000-6D00-000012000000}"/>
    <hyperlink ref="B24" r:id="rId20" xr:uid="{00000000-0004-0000-6D00-000013000000}"/>
    <hyperlink ref="B25" r:id="rId21" xr:uid="{00000000-0004-0000-6D00-000014000000}"/>
    <hyperlink ref="B26" r:id="rId22" xr:uid="{00000000-0004-0000-6D00-000015000000}"/>
    <hyperlink ref="B27" r:id="rId23" xr:uid="{00000000-0004-0000-6D00-000016000000}"/>
    <hyperlink ref="B28" r:id="rId24" xr:uid="{00000000-0004-0000-6D00-000017000000}"/>
    <hyperlink ref="B29" r:id="rId25" xr:uid="{00000000-0004-0000-6D00-000018000000}"/>
    <hyperlink ref="B30" r:id="rId26" xr:uid="{00000000-0004-0000-6D00-000019000000}"/>
    <hyperlink ref="B31" r:id="rId27" xr:uid="{00000000-0004-0000-6D00-00001A000000}"/>
    <hyperlink ref="B32" r:id="rId28" xr:uid="{00000000-0004-0000-6D00-00001B000000}"/>
    <hyperlink ref="B33" r:id="rId29" xr:uid="{00000000-0004-0000-6D00-00001C000000}"/>
    <hyperlink ref="B34" r:id="rId30" xr:uid="{00000000-0004-0000-6D00-00001D000000}"/>
    <hyperlink ref="B35" r:id="rId31" xr:uid="{00000000-0004-0000-6D00-00001E000000}"/>
    <hyperlink ref="B36" r:id="rId32" xr:uid="{00000000-0004-0000-6D00-00001F000000}"/>
    <hyperlink ref="B37" r:id="rId33" xr:uid="{00000000-0004-0000-6D00-000020000000}"/>
    <hyperlink ref="B38" r:id="rId34" xr:uid="{00000000-0004-0000-6D00-000021000000}"/>
    <hyperlink ref="B39" r:id="rId35" xr:uid="{00000000-0004-0000-6D00-000022000000}"/>
    <hyperlink ref="B40" r:id="rId36" xr:uid="{00000000-0004-0000-6D00-000023000000}"/>
    <hyperlink ref="B41" r:id="rId37" xr:uid="{00000000-0004-0000-6D00-000024000000}"/>
    <hyperlink ref="B42" r:id="rId38" xr:uid="{00000000-0004-0000-6D00-000025000000}"/>
    <hyperlink ref="B43" r:id="rId39" xr:uid="{00000000-0004-0000-6D00-000026000000}"/>
    <hyperlink ref="B44" r:id="rId40" xr:uid="{00000000-0004-0000-6D00-000027000000}"/>
    <hyperlink ref="B45" r:id="rId41" xr:uid="{00000000-0004-0000-6D00-000028000000}"/>
    <hyperlink ref="B46" r:id="rId42" xr:uid="{00000000-0004-0000-6D00-000029000000}"/>
    <hyperlink ref="B47" r:id="rId43" xr:uid="{00000000-0004-0000-6D00-00002A000000}"/>
    <hyperlink ref="B48" r:id="rId44" xr:uid="{00000000-0004-0000-6D00-00002B000000}"/>
    <hyperlink ref="B49" r:id="rId45" xr:uid="{00000000-0004-0000-6D00-00002C000000}"/>
    <hyperlink ref="B50" r:id="rId46" xr:uid="{00000000-0004-0000-6D00-00002D000000}"/>
    <hyperlink ref="B51" r:id="rId47" xr:uid="{00000000-0004-0000-6D00-00002E000000}"/>
    <hyperlink ref="B52" r:id="rId48" xr:uid="{00000000-0004-0000-6D00-00002F000000}"/>
    <hyperlink ref="B53" r:id="rId49" xr:uid="{00000000-0004-0000-6D00-000030000000}"/>
    <hyperlink ref="B54" r:id="rId50" xr:uid="{00000000-0004-0000-6D00-000031000000}"/>
    <hyperlink ref="B55" r:id="rId51" xr:uid="{00000000-0004-0000-6D00-000032000000}"/>
    <hyperlink ref="B56" r:id="rId52" xr:uid="{00000000-0004-0000-6D00-000033000000}"/>
    <hyperlink ref="B57" r:id="rId53" xr:uid="{00000000-0004-0000-6D00-000034000000}"/>
    <hyperlink ref="B58" r:id="rId54" xr:uid="{00000000-0004-0000-6D00-000035000000}"/>
    <hyperlink ref="B59" r:id="rId55" xr:uid="{00000000-0004-0000-6D00-000036000000}"/>
    <hyperlink ref="B60" r:id="rId56" xr:uid="{00000000-0004-0000-6D00-000037000000}"/>
    <hyperlink ref="B61" r:id="rId57" xr:uid="{00000000-0004-0000-6D00-000038000000}"/>
    <hyperlink ref="B62" r:id="rId58" xr:uid="{00000000-0004-0000-6D00-000039000000}"/>
    <hyperlink ref="B63" r:id="rId59" xr:uid="{00000000-0004-0000-6D00-00003A000000}"/>
    <hyperlink ref="B64" r:id="rId60" xr:uid="{00000000-0004-0000-6D00-00003B000000}"/>
    <hyperlink ref="B65" r:id="rId61" xr:uid="{00000000-0004-0000-6D00-00003C000000}"/>
    <hyperlink ref="B66" r:id="rId62" xr:uid="{00000000-0004-0000-6D00-00003D000000}"/>
    <hyperlink ref="B67" r:id="rId63" xr:uid="{00000000-0004-0000-6D00-00003E000000}"/>
    <hyperlink ref="B68" r:id="rId64" xr:uid="{00000000-0004-0000-6D00-00003F000000}"/>
    <hyperlink ref="B69" r:id="rId65" xr:uid="{00000000-0004-0000-6D00-000040000000}"/>
    <hyperlink ref="B70" r:id="rId66" xr:uid="{00000000-0004-0000-6D00-000041000000}"/>
    <hyperlink ref="B71" r:id="rId67" xr:uid="{00000000-0004-0000-6D00-000042000000}"/>
    <hyperlink ref="B72" r:id="rId68" xr:uid="{00000000-0004-0000-6D00-000043000000}"/>
    <hyperlink ref="B73" r:id="rId69" xr:uid="{00000000-0004-0000-6D00-000044000000}"/>
    <hyperlink ref="B74" r:id="rId70" xr:uid="{00000000-0004-0000-6D00-000045000000}"/>
    <hyperlink ref="B75" r:id="rId71" xr:uid="{00000000-0004-0000-6D00-000046000000}"/>
    <hyperlink ref="B76" r:id="rId72" xr:uid="{00000000-0004-0000-6D00-000047000000}"/>
    <hyperlink ref="B77" r:id="rId73" xr:uid="{00000000-0004-0000-6D00-000048000000}"/>
    <hyperlink ref="B78" r:id="rId74" xr:uid="{00000000-0004-0000-6D00-000049000000}"/>
    <hyperlink ref="B79" r:id="rId75" xr:uid="{00000000-0004-0000-6D00-00004A000000}"/>
    <hyperlink ref="B80" r:id="rId76" xr:uid="{00000000-0004-0000-6D00-00004B000000}"/>
    <hyperlink ref="B81" r:id="rId77" xr:uid="{00000000-0004-0000-6D00-00004C000000}"/>
    <hyperlink ref="B82" r:id="rId78" xr:uid="{00000000-0004-0000-6D00-00004D000000}"/>
    <hyperlink ref="B83" r:id="rId79" xr:uid="{00000000-0004-0000-6D00-00004E000000}"/>
    <hyperlink ref="B84" r:id="rId80" xr:uid="{00000000-0004-0000-6D00-00004F000000}"/>
    <hyperlink ref="B85" r:id="rId81" xr:uid="{00000000-0004-0000-6D00-000050000000}"/>
    <hyperlink ref="B86" r:id="rId82" xr:uid="{00000000-0004-0000-6D00-000051000000}"/>
    <hyperlink ref="B87" r:id="rId83" xr:uid="{00000000-0004-0000-6D00-000052000000}"/>
    <hyperlink ref="B88" r:id="rId84" xr:uid="{00000000-0004-0000-6D00-000053000000}"/>
    <hyperlink ref="B89" r:id="rId85" xr:uid="{00000000-0004-0000-6D00-000054000000}"/>
    <hyperlink ref="B90" r:id="rId86" xr:uid="{00000000-0004-0000-6D00-000055000000}"/>
    <hyperlink ref="B91" r:id="rId87" xr:uid="{00000000-0004-0000-6D00-000056000000}"/>
    <hyperlink ref="B92" r:id="rId88" xr:uid="{00000000-0004-0000-6D00-000057000000}"/>
    <hyperlink ref="B93" r:id="rId89" xr:uid="{00000000-0004-0000-6D00-000058000000}"/>
    <hyperlink ref="B94" r:id="rId90" xr:uid="{00000000-0004-0000-6D00-000059000000}"/>
    <hyperlink ref="B95" r:id="rId91" xr:uid="{00000000-0004-0000-6D00-00005A000000}"/>
    <hyperlink ref="B96" r:id="rId92" xr:uid="{00000000-0004-0000-6D00-00005B000000}"/>
    <hyperlink ref="B97" r:id="rId93" xr:uid="{00000000-0004-0000-6D00-00005C000000}"/>
    <hyperlink ref="B98" r:id="rId94" xr:uid="{00000000-0004-0000-6D00-00005D000000}"/>
    <hyperlink ref="B99" r:id="rId95" xr:uid="{00000000-0004-0000-6D00-00005E000000}"/>
    <hyperlink ref="B100" r:id="rId96" xr:uid="{00000000-0004-0000-6D00-00005F000000}"/>
    <hyperlink ref="B101" r:id="rId97" xr:uid="{00000000-0004-0000-6D00-000060000000}"/>
    <hyperlink ref="B102" r:id="rId98" xr:uid="{00000000-0004-0000-6D00-000061000000}"/>
    <hyperlink ref="B103" r:id="rId99" xr:uid="{00000000-0004-0000-6D00-000062000000}"/>
    <hyperlink ref="B104" r:id="rId100" xr:uid="{00000000-0004-0000-6D00-000063000000}"/>
    <hyperlink ref="B105" r:id="rId101" xr:uid="{00000000-0004-0000-6D00-000064000000}"/>
    <hyperlink ref="B106" r:id="rId102" xr:uid="{00000000-0004-0000-6D00-000065000000}"/>
    <hyperlink ref="B107" r:id="rId103" xr:uid="{00000000-0004-0000-6D00-000066000000}"/>
    <hyperlink ref="B108" r:id="rId104" xr:uid="{00000000-0004-0000-6D00-000067000000}"/>
    <hyperlink ref="B109" r:id="rId105" xr:uid="{00000000-0004-0000-6D00-000068000000}"/>
    <hyperlink ref="B110" r:id="rId106" xr:uid="{00000000-0004-0000-6D00-000069000000}"/>
    <hyperlink ref="B111" r:id="rId107" xr:uid="{00000000-0004-0000-6D00-00006A000000}"/>
    <hyperlink ref="B112" r:id="rId108" xr:uid="{00000000-0004-0000-6D00-00006B000000}"/>
    <hyperlink ref="B113" r:id="rId109" xr:uid="{00000000-0004-0000-6D00-00006C000000}"/>
    <hyperlink ref="B114" r:id="rId110" xr:uid="{00000000-0004-0000-6D00-00006D000000}"/>
    <hyperlink ref="B115" r:id="rId111" xr:uid="{00000000-0004-0000-6D00-00006E000000}"/>
    <hyperlink ref="B116" r:id="rId112" xr:uid="{00000000-0004-0000-6D00-00006F000000}"/>
    <hyperlink ref="B117" r:id="rId113" xr:uid="{00000000-0004-0000-6D00-000070000000}"/>
    <hyperlink ref="B118" r:id="rId114" xr:uid="{00000000-0004-0000-6D00-000071000000}"/>
    <hyperlink ref="B119" r:id="rId115" xr:uid="{00000000-0004-0000-6D00-000072000000}"/>
    <hyperlink ref="B120" r:id="rId116" xr:uid="{00000000-0004-0000-6D00-000073000000}"/>
    <hyperlink ref="B121" r:id="rId117" xr:uid="{00000000-0004-0000-6D00-000074000000}"/>
    <hyperlink ref="B122" r:id="rId118" xr:uid="{00000000-0004-0000-6D00-000075000000}"/>
    <hyperlink ref="B123" r:id="rId119" xr:uid="{00000000-0004-0000-6D00-000076000000}"/>
    <hyperlink ref="B124" r:id="rId120" xr:uid="{00000000-0004-0000-6D00-000077000000}"/>
    <hyperlink ref="B125" r:id="rId121" xr:uid="{00000000-0004-0000-6D00-000078000000}"/>
    <hyperlink ref="B126" r:id="rId122" xr:uid="{00000000-0004-0000-6D00-000079000000}"/>
    <hyperlink ref="B127" r:id="rId123" xr:uid="{00000000-0004-0000-6D00-00007A000000}"/>
    <hyperlink ref="B128" r:id="rId124" xr:uid="{00000000-0004-0000-6D00-00007B000000}"/>
    <hyperlink ref="B129" r:id="rId125" xr:uid="{00000000-0004-0000-6D00-00007C000000}"/>
    <hyperlink ref="B130" r:id="rId126" xr:uid="{00000000-0004-0000-6D00-00007D000000}"/>
    <hyperlink ref="B131" r:id="rId127" xr:uid="{00000000-0004-0000-6D00-00007E000000}"/>
    <hyperlink ref="B132" r:id="rId128" xr:uid="{00000000-0004-0000-6D00-00007F000000}"/>
    <hyperlink ref="B133" r:id="rId129" xr:uid="{00000000-0004-0000-6D00-000080000000}"/>
    <hyperlink ref="B134" r:id="rId130" xr:uid="{00000000-0004-0000-6D00-000081000000}"/>
    <hyperlink ref="B135" r:id="rId131" xr:uid="{00000000-0004-0000-6D00-000082000000}"/>
    <hyperlink ref="B136" r:id="rId132" xr:uid="{00000000-0004-0000-6D00-000083000000}"/>
    <hyperlink ref="B137" r:id="rId133" xr:uid="{00000000-0004-0000-6D00-000084000000}"/>
    <hyperlink ref="B138" r:id="rId134" xr:uid="{00000000-0004-0000-6D00-000085000000}"/>
    <hyperlink ref="B139" r:id="rId135" xr:uid="{00000000-0004-0000-6D00-000086000000}"/>
    <hyperlink ref="B140" r:id="rId136" xr:uid="{00000000-0004-0000-6D00-000087000000}"/>
    <hyperlink ref="B141" r:id="rId137" xr:uid="{00000000-0004-0000-6D00-000088000000}"/>
    <hyperlink ref="B142" r:id="rId138" xr:uid="{00000000-0004-0000-6D00-000089000000}"/>
    <hyperlink ref="B143" r:id="rId139" xr:uid="{00000000-0004-0000-6D00-00008A000000}"/>
    <hyperlink ref="B144" r:id="rId140" xr:uid="{00000000-0004-0000-6D00-00008B000000}"/>
    <hyperlink ref="B145" r:id="rId141" xr:uid="{00000000-0004-0000-6D00-00008C000000}"/>
    <hyperlink ref="B146" r:id="rId142" xr:uid="{00000000-0004-0000-6D00-00008D000000}"/>
    <hyperlink ref="B147" r:id="rId143" xr:uid="{00000000-0004-0000-6D00-00008E000000}"/>
    <hyperlink ref="B148" r:id="rId144" xr:uid="{00000000-0004-0000-6D00-00008F000000}"/>
    <hyperlink ref="B149" r:id="rId145" xr:uid="{00000000-0004-0000-6D00-000090000000}"/>
    <hyperlink ref="B150" r:id="rId146" xr:uid="{00000000-0004-0000-6D00-000091000000}"/>
    <hyperlink ref="B151" r:id="rId147" xr:uid="{00000000-0004-0000-6D00-000092000000}"/>
    <hyperlink ref="B152" r:id="rId148" xr:uid="{00000000-0004-0000-6D00-000093000000}"/>
    <hyperlink ref="B153" r:id="rId149" xr:uid="{00000000-0004-0000-6D00-000094000000}"/>
    <hyperlink ref="B154" r:id="rId150" xr:uid="{00000000-0004-0000-6D00-000095000000}"/>
    <hyperlink ref="B155" r:id="rId151" xr:uid="{00000000-0004-0000-6D00-000096000000}"/>
    <hyperlink ref="B156" r:id="rId152" xr:uid="{00000000-0004-0000-6D00-000097000000}"/>
    <hyperlink ref="B157" r:id="rId153" xr:uid="{00000000-0004-0000-6D00-000098000000}"/>
    <hyperlink ref="B158" r:id="rId154" xr:uid="{00000000-0004-0000-6D00-000099000000}"/>
    <hyperlink ref="B159" r:id="rId155" xr:uid="{00000000-0004-0000-6D00-00009A000000}"/>
    <hyperlink ref="B160" r:id="rId156" xr:uid="{00000000-0004-0000-6D00-00009B000000}"/>
    <hyperlink ref="B161" r:id="rId157" xr:uid="{00000000-0004-0000-6D00-00009C000000}"/>
    <hyperlink ref="B162" r:id="rId158" xr:uid="{00000000-0004-0000-6D00-00009D000000}"/>
    <hyperlink ref="B163" r:id="rId159" xr:uid="{00000000-0004-0000-6D00-00009E000000}"/>
    <hyperlink ref="B164" r:id="rId160" xr:uid="{00000000-0004-0000-6D00-00009F000000}"/>
    <hyperlink ref="B165" r:id="rId161" xr:uid="{00000000-0004-0000-6D00-0000A0000000}"/>
    <hyperlink ref="B166" r:id="rId162" xr:uid="{00000000-0004-0000-6D00-0000A1000000}"/>
    <hyperlink ref="B167" r:id="rId163" xr:uid="{00000000-0004-0000-6D00-0000A2000000}"/>
    <hyperlink ref="B168" r:id="rId164" xr:uid="{00000000-0004-0000-6D00-0000A3000000}"/>
    <hyperlink ref="B169" r:id="rId165" xr:uid="{00000000-0004-0000-6D00-0000A4000000}"/>
    <hyperlink ref="B170" r:id="rId166" xr:uid="{00000000-0004-0000-6D00-0000A5000000}"/>
    <hyperlink ref="B171" r:id="rId167" xr:uid="{00000000-0004-0000-6D00-0000A6000000}"/>
    <hyperlink ref="B172" r:id="rId168" xr:uid="{00000000-0004-0000-6D00-0000A7000000}"/>
    <hyperlink ref="B173" r:id="rId169" xr:uid="{00000000-0004-0000-6D00-0000A8000000}"/>
    <hyperlink ref="B174" r:id="rId170" xr:uid="{00000000-0004-0000-6D00-0000A9000000}"/>
    <hyperlink ref="B175" r:id="rId171" xr:uid="{00000000-0004-0000-6D00-0000AA000000}"/>
    <hyperlink ref="B176" r:id="rId172" xr:uid="{00000000-0004-0000-6D00-0000AB000000}"/>
    <hyperlink ref="B177" r:id="rId173" xr:uid="{00000000-0004-0000-6D00-0000AC000000}"/>
    <hyperlink ref="B178" r:id="rId174" xr:uid="{00000000-0004-0000-6D00-0000AD000000}"/>
    <hyperlink ref="B179" r:id="rId175" xr:uid="{00000000-0004-0000-6D00-0000AE000000}"/>
    <hyperlink ref="B180" r:id="rId176" xr:uid="{00000000-0004-0000-6D00-0000AF000000}"/>
    <hyperlink ref="B181" r:id="rId177" xr:uid="{00000000-0004-0000-6D00-0000B0000000}"/>
    <hyperlink ref="B182" r:id="rId178" xr:uid="{00000000-0004-0000-6D00-0000B1000000}"/>
    <hyperlink ref="B183" r:id="rId179" xr:uid="{00000000-0004-0000-6D00-0000B2000000}"/>
    <hyperlink ref="B184" r:id="rId180" xr:uid="{00000000-0004-0000-6D00-0000B3000000}"/>
    <hyperlink ref="B185" r:id="rId181" xr:uid="{00000000-0004-0000-6D00-0000B4000000}"/>
    <hyperlink ref="B186" r:id="rId182" xr:uid="{00000000-0004-0000-6D00-0000B5000000}"/>
    <hyperlink ref="B187" r:id="rId183" xr:uid="{00000000-0004-0000-6D00-0000B6000000}"/>
    <hyperlink ref="B188" r:id="rId184" xr:uid="{00000000-0004-0000-6D00-0000B7000000}"/>
    <hyperlink ref="B189" r:id="rId185" xr:uid="{00000000-0004-0000-6D00-0000B8000000}"/>
    <hyperlink ref="B190" r:id="rId186" xr:uid="{00000000-0004-0000-6D00-0000B9000000}"/>
    <hyperlink ref="B191" r:id="rId187" xr:uid="{00000000-0004-0000-6D00-0000BA000000}"/>
    <hyperlink ref="B192" r:id="rId188" xr:uid="{00000000-0004-0000-6D00-0000BB000000}"/>
    <hyperlink ref="B193" r:id="rId189" xr:uid="{00000000-0004-0000-6D00-0000BC000000}"/>
    <hyperlink ref="B194" r:id="rId190" xr:uid="{00000000-0004-0000-6D00-0000BD000000}"/>
    <hyperlink ref="B195" r:id="rId191" xr:uid="{00000000-0004-0000-6D00-0000BE000000}"/>
    <hyperlink ref="B196" r:id="rId192" xr:uid="{00000000-0004-0000-6D00-0000BF000000}"/>
    <hyperlink ref="B197" r:id="rId193" xr:uid="{00000000-0004-0000-6D00-0000C0000000}"/>
    <hyperlink ref="B198" r:id="rId194" xr:uid="{00000000-0004-0000-6D00-0000C1000000}"/>
    <hyperlink ref="B199" r:id="rId195" xr:uid="{00000000-0004-0000-6D00-0000C2000000}"/>
    <hyperlink ref="B200" r:id="rId196" xr:uid="{00000000-0004-0000-6D00-0000C3000000}"/>
    <hyperlink ref="B201" r:id="rId197" xr:uid="{00000000-0004-0000-6D00-0000C4000000}"/>
    <hyperlink ref="B202" r:id="rId198" xr:uid="{00000000-0004-0000-6D00-0000C5000000}"/>
    <hyperlink ref="B203" r:id="rId199" xr:uid="{00000000-0004-0000-6D00-0000C6000000}"/>
    <hyperlink ref="B204" r:id="rId200" xr:uid="{00000000-0004-0000-6D00-0000C7000000}"/>
    <hyperlink ref="B205" r:id="rId201" xr:uid="{00000000-0004-0000-6D00-0000C8000000}"/>
    <hyperlink ref="B206" r:id="rId202" xr:uid="{00000000-0004-0000-6D00-0000C9000000}"/>
    <hyperlink ref="B207" r:id="rId203" xr:uid="{00000000-0004-0000-6D00-0000CA000000}"/>
    <hyperlink ref="B208" r:id="rId204" xr:uid="{00000000-0004-0000-6D00-0000CB000000}"/>
    <hyperlink ref="B209" r:id="rId205" xr:uid="{00000000-0004-0000-6D00-0000CC000000}"/>
    <hyperlink ref="B210" r:id="rId206" xr:uid="{00000000-0004-0000-6D00-0000CD000000}"/>
    <hyperlink ref="B211" r:id="rId207" xr:uid="{00000000-0004-0000-6D00-0000CE000000}"/>
    <hyperlink ref="B212" r:id="rId208" xr:uid="{00000000-0004-0000-6D00-0000CF000000}"/>
    <hyperlink ref="B213" r:id="rId209" xr:uid="{00000000-0004-0000-6D00-0000D0000000}"/>
    <hyperlink ref="B214" r:id="rId210" xr:uid="{00000000-0004-0000-6D00-0000D1000000}"/>
    <hyperlink ref="B215" r:id="rId211" xr:uid="{00000000-0004-0000-6D00-0000D2000000}"/>
    <hyperlink ref="B216" r:id="rId212" xr:uid="{00000000-0004-0000-6D00-0000D3000000}"/>
    <hyperlink ref="B217" r:id="rId213" xr:uid="{00000000-0004-0000-6D00-0000D4000000}"/>
    <hyperlink ref="B218" r:id="rId214" xr:uid="{00000000-0004-0000-6D00-0000D5000000}"/>
    <hyperlink ref="B219" r:id="rId215" xr:uid="{00000000-0004-0000-6D00-0000D6000000}"/>
    <hyperlink ref="B220" r:id="rId216" xr:uid="{00000000-0004-0000-6D00-0000D7000000}"/>
    <hyperlink ref="B221" r:id="rId217" xr:uid="{00000000-0004-0000-6D00-0000D8000000}"/>
    <hyperlink ref="B222" r:id="rId218" xr:uid="{00000000-0004-0000-6D00-0000D9000000}"/>
    <hyperlink ref="B223" r:id="rId219" xr:uid="{00000000-0004-0000-6D00-0000DA000000}"/>
    <hyperlink ref="B224" r:id="rId220" xr:uid="{00000000-0004-0000-6D00-0000DB000000}"/>
    <hyperlink ref="B225" r:id="rId221" xr:uid="{00000000-0004-0000-6D00-0000DC000000}"/>
    <hyperlink ref="B226" r:id="rId222" xr:uid="{00000000-0004-0000-6D00-0000DD000000}"/>
    <hyperlink ref="B227" r:id="rId223" xr:uid="{00000000-0004-0000-6D00-0000DE000000}"/>
    <hyperlink ref="B228" r:id="rId224" xr:uid="{00000000-0004-0000-6D00-0000DF000000}"/>
    <hyperlink ref="B229" r:id="rId225" xr:uid="{00000000-0004-0000-6D00-0000E0000000}"/>
    <hyperlink ref="B230" r:id="rId226" xr:uid="{00000000-0004-0000-6D00-0000E1000000}"/>
    <hyperlink ref="B231" r:id="rId227" xr:uid="{00000000-0004-0000-6D00-0000E2000000}"/>
    <hyperlink ref="B232" r:id="rId228" xr:uid="{00000000-0004-0000-6D00-0000E3000000}"/>
    <hyperlink ref="B233" r:id="rId229" xr:uid="{00000000-0004-0000-6D00-0000E4000000}"/>
    <hyperlink ref="B234" r:id="rId230" xr:uid="{00000000-0004-0000-6D00-0000E5000000}"/>
    <hyperlink ref="B235" r:id="rId231" xr:uid="{00000000-0004-0000-6D00-0000E6000000}"/>
    <hyperlink ref="B236" r:id="rId232" xr:uid="{00000000-0004-0000-6D00-0000E7000000}"/>
    <hyperlink ref="B237" r:id="rId233" xr:uid="{00000000-0004-0000-6D00-0000E8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11">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31.83203125" customWidth="1"/>
    <col min="4" max="4" width="14" customWidth="1"/>
    <col min="5" max="5" width="15.1640625" customWidth="1"/>
  </cols>
  <sheetData>
    <row r="1" spans="1:10" ht="15.75" customHeight="1">
      <c r="A1" s="171" t="s">
        <v>117</v>
      </c>
      <c r="B1" s="35"/>
      <c r="C1" s="161"/>
      <c r="D1" s="162" t="s">
        <v>181</v>
      </c>
      <c r="E1" s="151"/>
      <c r="F1" s="151"/>
      <c r="G1" s="35"/>
      <c r="H1" s="35"/>
      <c r="I1" s="88"/>
    </row>
    <row r="2" spans="1:10" ht="15.75" customHeight="1">
      <c r="A2" s="35" t="s">
        <v>182</v>
      </c>
      <c r="B2" s="163">
        <v>44435</v>
      </c>
      <c r="C2" s="161"/>
      <c r="D2" s="164">
        <f>SUM(D5:G237)</f>
        <v>0</v>
      </c>
      <c r="E2" s="151"/>
      <c r="F2" s="151"/>
      <c r="G2" s="35"/>
      <c r="H2" s="35"/>
      <c r="I2" s="88"/>
    </row>
    <row r="3" spans="1:10" ht="15.75" customHeight="1">
      <c r="A3" s="35"/>
      <c r="B3" s="35"/>
      <c r="C3" s="161"/>
      <c r="D3" s="35"/>
      <c r="E3" s="151"/>
      <c r="F3" s="151"/>
      <c r="G3" s="35"/>
      <c r="H3" s="35"/>
      <c r="I3" s="88"/>
    </row>
    <row r="4" spans="1:10" ht="15.75" customHeight="1">
      <c r="A4" s="165" t="s">
        <v>183</v>
      </c>
      <c r="B4" s="165" t="s">
        <v>184</v>
      </c>
      <c r="C4" s="165" t="s">
        <v>185</v>
      </c>
      <c r="D4" s="166" t="s">
        <v>186</v>
      </c>
      <c r="E4" s="167" t="s">
        <v>187</v>
      </c>
      <c r="F4" s="167" t="s">
        <v>188</v>
      </c>
      <c r="G4" s="168" t="s">
        <v>189</v>
      </c>
      <c r="H4" s="167" t="s">
        <v>190</v>
      </c>
      <c r="I4" s="85"/>
    </row>
    <row r="5" spans="1:10" ht="15.75" customHeight="1">
      <c r="A5" s="147" t="s">
        <v>10699</v>
      </c>
      <c r="B5" s="152" t="s">
        <v>325</v>
      </c>
      <c r="C5" s="147" t="s">
        <v>205</v>
      </c>
      <c r="D5" s="147"/>
      <c r="E5" s="147"/>
      <c r="F5" s="147"/>
      <c r="G5" s="35"/>
      <c r="H5" s="35"/>
      <c r="I5" s="88"/>
      <c r="J5" s="88"/>
    </row>
    <row r="6" spans="1:10" ht="15.75" customHeight="1">
      <c r="A6" s="147" t="s">
        <v>10700</v>
      </c>
      <c r="B6" s="152" t="s">
        <v>871</v>
      </c>
      <c r="C6" s="147" t="s">
        <v>205</v>
      </c>
      <c r="D6" s="147"/>
      <c r="E6" s="147"/>
      <c r="F6" s="147"/>
      <c r="G6" s="35"/>
      <c r="H6" s="35"/>
      <c r="I6" s="88"/>
      <c r="J6" s="88"/>
    </row>
    <row r="7" spans="1:10" ht="15.75" customHeight="1">
      <c r="A7" s="147" t="s">
        <v>10701</v>
      </c>
      <c r="B7" s="152" t="s">
        <v>850</v>
      </c>
      <c r="C7" s="147" t="s">
        <v>205</v>
      </c>
      <c r="D7" s="147"/>
      <c r="E7" s="147"/>
      <c r="F7" s="147"/>
      <c r="G7" s="35"/>
      <c r="H7" s="35"/>
      <c r="I7" s="88"/>
    </row>
    <row r="8" spans="1:10" ht="15.75" customHeight="1">
      <c r="A8" s="147" t="s">
        <v>10702</v>
      </c>
      <c r="B8" s="152" t="s">
        <v>777</v>
      </c>
      <c r="C8" s="147" t="s">
        <v>205</v>
      </c>
      <c r="D8" s="170"/>
      <c r="E8" s="147"/>
      <c r="F8" s="147"/>
      <c r="G8" s="35"/>
      <c r="H8" s="35"/>
      <c r="I8" s="88"/>
    </row>
    <row r="9" spans="1:10" ht="15.75" customHeight="1">
      <c r="A9" s="147" t="s">
        <v>10703</v>
      </c>
      <c r="B9" s="152" t="s">
        <v>1454</v>
      </c>
      <c r="C9" s="147" t="s">
        <v>205</v>
      </c>
      <c r="D9" s="147"/>
      <c r="E9" s="147"/>
      <c r="F9" s="147"/>
      <c r="G9" s="35"/>
      <c r="H9" s="35"/>
      <c r="I9" s="88"/>
    </row>
    <row r="10" spans="1:10" ht="15.75" customHeight="1">
      <c r="A10" s="147" t="s">
        <v>10704</v>
      </c>
      <c r="B10" s="148" t="s">
        <v>1830</v>
      </c>
      <c r="C10" s="147" t="s">
        <v>205</v>
      </c>
      <c r="D10" s="147"/>
      <c r="E10" s="147"/>
      <c r="F10" s="147"/>
      <c r="G10" s="35"/>
      <c r="H10" s="35"/>
      <c r="I10" s="88"/>
    </row>
    <row r="11" spans="1:10" ht="15.75" customHeight="1">
      <c r="A11" s="147" t="s">
        <v>10705</v>
      </c>
      <c r="B11" s="152" t="s">
        <v>8838</v>
      </c>
      <c r="C11" s="147" t="s">
        <v>205</v>
      </c>
      <c r="D11" s="147"/>
      <c r="E11" s="147"/>
      <c r="F11" s="147"/>
      <c r="G11" s="35"/>
      <c r="H11" s="35"/>
      <c r="I11" s="88"/>
    </row>
    <row r="12" spans="1:10" ht="15.75" customHeight="1">
      <c r="A12" s="147" t="s">
        <v>10706</v>
      </c>
      <c r="B12" s="152" t="s">
        <v>10707</v>
      </c>
      <c r="C12" s="147" t="s">
        <v>205</v>
      </c>
      <c r="D12" s="170"/>
      <c r="E12" s="147"/>
      <c r="F12" s="147"/>
      <c r="G12" s="35"/>
      <c r="H12" s="35"/>
      <c r="I12" s="88"/>
    </row>
    <row r="13" spans="1:10" ht="15.75" customHeight="1">
      <c r="A13" s="147" t="s">
        <v>10708</v>
      </c>
      <c r="B13" s="152" t="s">
        <v>4043</v>
      </c>
      <c r="C13" s="147" t="s">
        <v>205</v>
      </c>
      <c r="D13" s="147"/>
      <c r="E13" s="147"/>
      <c r="F13" s="147"/>
      <c r="G13" s="35"/>
      <c r="H13" s="35"/>
      <c r="I13" s="88"/>
    </row>
    <row r="14" spans="1:10" ht="15.75" customHeight="1">
      <c r="A14" s="147" t="s">
        <v>10709</v>
      </c>
      <c r="B14" s="152" t="s">
        <v>4044</v>
      </c>
      <c r="C14" s="147" t="s">
        <v>205</v>
      </c>
      <c r="D14" s="147"/>
      <c r="E14" s="147"/>
      <c r="F14" s="151"/>
      <c r="G14" s="35"/>
      <c r="H14" s="35"/>
      <c r="I14" s="88"/>
    </row>
    <row r="15" spans="1:10" ht="15.75" customHeight="1">
      <c r="A15" s="147" t="s">
        <v>10710</v>
      </c>
      <c r="B15" s="152" t="s">
        <v>4045</v>
      </c>
      <c r="C15" s="147" t="s">
        <v>205</v>
      </c>
      <c r="D15" s="147"/>
      <c r="E15" s="147"/>
      <c r="F15" s="147"/>
      <c r="G15" s="35"/>
      <c r="H15" s="35"/>
      <c r="I15" s="88"/>
    </row>
    <row r="16" spans="1:10" ht="15.75" customHeight="1">
      <c r="A16" s="147" t="s">
        <v>10711</v>
      </c>
      <c r="B16" s="152" t="s">
        <v>4046</v>
      </c>
      <c r="C16" s="147" t="s">
        <v>205</v>
      </c>
      <c r="D16" s="147"/>
      <c r="E16" s="147"/>
      <c r="F16" s="147"/>
      <c r="G16" s="35"/>
      <c r="H16" s="35"/>
      <c r="I16" s="88"/>
    </row>
    <row r="17" spans="1:9" ht="15.75" customHeight="1">
      <c r="A17" s="147" t="s">
        <v>10712</v>
      </c>
      <c r="B17" s="152" t="s">
        <v>10713</v>
      </c>
      <c r="C17" s="147" t="s">
        <v>205</v>
      </c>
      <c r="D17" s="170"/>
      <c r="E17" s="147"/>
      <c r="F17" s="147"/>
      <c r="G17" s="35"/>
      <c r="H17" s="35"/>
      <c r="I17" s="88"/>
    </row>
    <row r="18" spans="1:9" ht="15.75" customHeight="1">
      <c r="A18" s="147" t="s">
        <v>10714</v>
      </c>
      <c r="B18" s="152" t="s">
        <v>10715</v>
      </c>
      <c r="C18" s="147" t="s">
        <v>205</v>
      </c>
      <c r="D18" s="147"/>
      <c r="E18" s="147"/>
      <c r="F18" s="147"/>
      <c r="G18" s="35"/>
      <c r="H18" s="35"/>
      <c r="I18" s="88"/>
    </row>
    <row r="19" spans="1:9" ht="15.75" customHeight="1">
      <c r="A19" s="147" t="s">
        <v>10716</v>
      </c>
      <c r="B19" s="152" t="s">
        <v>8558</v>
      </c>
      <c r="C19" s="147" t="s">
        <v>205</v>
      </c>
      <c r="D19" s="147"/>
      <c r="E19" s="147"/>
      <c r="F19" s="147"/>
      <c r="G19" s="35"/>
      <c r="H19" s="35"/>
      <c r="I19" s="88"/>
    </row>
    <row r="20" spans="1:9" ht="15.75" customHeight="1">
      <c r="A20" s="147" t="s">
        <v>10717</v>
      </c>
      <c r="B20" s="152" t="s">
        <v>8614</v>
      </c>
      <c r="C20" s="147" t="s">
        <v>205</v>
      </c>
      <c r="D20" s="147"/>
      <c r="E20" s="147"/>
      <c r="F20" s="147"/>
      <c r="G20" s="35"/>
      <c r="H20" s="35"/>
      <c r="I20" s="88"/>
    </row>
    <row r="21" spans="1:9" ht="15.75" customHeight="1">
      <c r="A21" s="147" t="s">
        <v>10718</v>
      </c>
      <c r="B21" s="152" t="s">
        <v>9158</v>
      </c>
      <c r="C21" s="147" t="s">
        <v>205</v>
      </c>
      <c r="D21" s="147"/>
      <c r="E21" s="147"/>
      <c r="F21" s="147"/>
      <c r="G21" s="35"/>
      <c r="H21" s="35"/>
      <c r="I21" s="88"/>
    </row>
    <row r="22" spans="1:9" ht="15.75" customHeight="1">
      <c r="A22" s="147" t="s">
        <v>10719</v>
      </c>
      <c r="B22" s="148" t="s">
        <v>8820</v>
      </c>
      <c r="C22" s="147" t="s">
        <v>199</v>
      </c>
      <c r="D22" s="170"/>
      <c r="E22" s="147"/>
      <c r="F22" s="151"/>
      <c r="G22" s="35"/>
      <c r="H22" s="35"/>
      <c r="I22" s="88"/>
    </row>
    <row r="23" spans="1:9" ht="15.75" customHeight="1">
      <c r="A23" s="147" t="s">
        <v>10720</v>
      </c>
      <c r="B23" s="148" t="s">
        <v>221</v>
      </c>
      <c r="C23" s="147" t="s">
        <v>199</v>
      </c>
      <c r="D23" s="170"/>
      <c r="E23" s="147"/>
      <c r="F23" s="151"/>
      <c r="G23" s="35"/>
      <c r="H23" s="35"/>
    </row>
    <row r="24" spans="1:9" ht="15.75" customHeight="1">
      <c r="A24" s="147" t="s">
        <v>10721</v>
      </c>
      <c r="B24" s="152" t="s">
        <v>4053</v>
      </c>
      <c r="C24" s="147" t="s">
        <v>199</v>
      </c>
      <c r="D24" s="170"/>
      <c r="E24" s="147"/>
      <c r="F24" s="151"/>
      <c r="G24" s="35"/>
      <c r="H24" s="35"/>
      <c r="I24" s="88"/>
    </row>
    <row r="25" spans="1:9" ht="15.75" customHeight="1">
      <c r="A25" s="147" t="s">
        <v>10722</v>
      </c>
      <c r="B25" s="148" t="s">
        <v>10723</v>
      </c>
      <c r="C25" s="147" t="s">
        <v>199</v>
      </c>
      <c r="D25" s="147"/>
      <c r="E25" s="147"/>
      <c r="F25" s="147"/>
      <c r="G25" s="35"/>
      <c r="H25" s="35"/>
      <c r="I25" s="88"/>
    </row>
    <row r="26" spans="1:9" ht="15.75" customHeight="1">
      <c r="A26" s="147" t="s">
        <v>10724</v>
      </c>
      <c r="B26" s="148" t="s">
        <v>5090</v>
      </c>
      <c r="C26" s="147" t="s">
        <v>199</v>
      </c>
      <c r="D26" s="147"/>
      <c r="E26" s="147"/>
      <c r="F26" s="147"/>
      <c r="G26" s="35"/>
      <c r="H26" s="35"/>
      <c r="I26" s="88"/>
    </row>
    <row r="27" spans="1:9" ht="15.75" customHeight="1">
      <c r="A27" s="147" t="s">
        <v>10725</v>
      </c>
      <c r="B27" s="152" t="s">
        <v>4774</v>
      </c>
      <c r="C27" s="147" t="s">
        <v>199</v>
      </c>
      <c r="D27" s="147"/>
      <c r="E27" s="147"/>
      <c r="F27" s="147"/>
      <c r="G27" s="35"/>
      <c r="H27" s="35"/>
      <c r="I27" s="88"/>
    </row>
    <row r="28" spans="1:9" ht="15.75" customHeight="1">
      <c r="A28" s="147" t="s">
        <v>10726</v>
      </c>
      <c r="B28" s="152" t="s">
        <v>207</v>
      </c>
      <c r="C28" s="147" t="s">
        <v>208</v>
      </c>
      <c r="D28" s="147"/>
      <c r="E28" s="147"/>
      <c r="F28" s="147"/>
      <c r="G28" s="35"/>
      <c r="H28" s="35"/>
      <c r="I28" s="88"/>
    </row>
    <row r="29" spans="1:9" ht="15.75" customHeight="1">
      <c r="A29" s="147" t="s">
        <v>10727</v>
      </c>
      <c r="B29" s="152" t="s">
        <v>369</v>
      </c>
      <c r="C29" s="147" t="s">
        <v>208</v>
      </c>
      <c r="D29" s="147"/>
      <c r="E29" s="147"/>
      <c r="F29" s="151"/>
      <c r="G29" s="35"/>
      <c r="H29" s="35"/>
      <c r="I29" s="88"/>
    </row>
    <row r="30" spans="1:9" ht="15.75" customHeight="1">
      <c r="A30" s="147" t="s">
        <v>10728</v>
      </c>
      <c r="B30" s="152" t="s">
        <v>388</v>
      </c>
      <c r="C30" s="147" t="s">
        <v>208</v>
      </c>
      <c r="D30" s="147"/>
      <c r="E30" s="147"/>
      <c r="F30" s="151"/>
      <c r="G30" s="35"/>
      <c r="H30" s="35"/>
      <c r="I30" s="88"/>
    </row>
    <row r="31" spans="1:9" ht="15.75" customHeight="1">
      <c r="A31" s="147" t="s">
        <v>10729</v>
      </c>
      <c r="B31" s="152" t="s">
        <v>377</v>
      </c>
      <c r="C31" s="147" t="s">
        <v>208</v>
      </c>
      <c r="D31" s="147"/>
      <c r="E31" s="147"/>
      <c r="F31" s="151"/>
      <c r="G31" s="35"/>
      <c r="H31" s="35"/>
      <c r="I31" s="88"/>
    </row>
    <row r="32" spans="1:9" ht="15.75" customHeight="1">
      <c r="A32" s="147" t="s">
        <v>10730</v>
      </c>
      <c r="B32" s="152" t="s">
        <v>10731</v>
      </c>
      <c r="C32" s="147" t="s">
        <v>208</v>
      </c>
      <c r="D32" s="147"/>
      <c r="E32" s="147"/>
      <c r="F32" s="151"/>
      <c r="G32" s="35"/>
      <c r="H32" s="35"/>
      <c r="I32" s="88"/>
    </row>
    <row r="33" spans="1:9" ht="15.75" customHeight="1">
      <c r="A33" s="147" t="s">
        <v>10732</v>
      </c>
      <c r="B33" s="152" t="s">
        <v>10733</v>
      </c>
      <c r="C33" s="147" t="s">
        <v>208</v>
      </c>
      <c r="D33" s="170"/>
      <c r="E33" s="147"/>
      <c r="F33" s="151"/>
      <c r="G33" s="35"/>
      <c r="H33" s="35"/>
      <c r="I33" s="88"/>
    </row>
    <row r="34" spans="1:9" ht="15.75" customHeight="1">
      <c r="A34" s="147" t="s">
        <v>10734</v>
      </c>
      <c r="B34" s="152" t="s">
        <v>8823</v>
      </c>
      <c r="C34" s="147" t="s">
        <v>208</v>
      </c>
      <c r="D34" s="170"/>
      <c r="E34" s="147"/>
      <c r="F34" s="151"/>
      <c r="G34" s="35"/>
      <c r="H34" s="35"/>
      <c r="I34" s="88"/>
    </row>
    <row r="35" spans="1:9" ht="15.75" customHeight="1">
      <c r="A35" s="147" t="s">
        <v>10735</v>
      </c>
      <c r="B35" s="152" t="s">
        <v>10736</v>
      </c>
      <c r="C35" s="147" t="s">
        <v>208</v>
      </c>
      <c r="D35" s="147"/>
      <c r="E35" s="147"/>
      <c r="F35" s="147"/>
      <c r="G35" s="35"/>
      <c r="H35" s="35"/>
      <c r="I35" s="88"/>
    </row>
    <row r="36" spans="1:9" ht="15.75" customHeight="1">
      <c r="A36" s="147" t="s">
        <v>10737</v>
      </c>
      <c r="B36" s="152" t="s">
        <v>1443</v>
      </c>
      <c r="C36" s="147" t="s">
        <v>208</v>
      </c>
      <c r="D36" s="147"/>
      <c r="E36" s="147"/>
      <c r="F36" s="147"/>
      <c r="G36" s="35"/>
      <c r="H36" s="35"/>
      <c r="I36" s="88"/>
    </row>
    <row r="37" spans="1:9" ht="15.75" customHeight="1">
      <c r="A37" s="147" t="s">
        <v>10738</v>
      </c>
      <c r="B37" s="152" t="s">
        <v>1416</v>
      </c>
      <c r="C37" s="147" t="s">
        <v>208</v>
      </c>
      <c r="D37" s="147"/>
      <c r="E37" s="147"/>
      <c r="F37" s="151"/>
      <c r="G37" s="35"/>
      <c r="H37" s="35"/>
      <c r="I37" s="88"/>
    </row>
    <row r="38" spans="1:9" ht="15.75" customHeight="1">
      <c r="A38" s="147" t="s">
        <v>10739</v>
      </c>
      <c r="B38" s="152" t="s">
        <v>1195</v>
      </c>
      <c r="C38" s="147" t="s">
        <v>208</v>
      </c>
      <c r="D38" s="170"/>
      <c r="E38" s="147"/>
      <c r="F38" s="151"/>
      <c r="G38" s="35"/>
      <c r="H38" s="35"/>
      <c r="I38" s="88"/>
    </row>
    <row r="39" spans="1:9" ht="15.75" customHeight="1">
      <c r="A39" s="147" t="s">
        <v>10740</v>
      </c>
      <c r="B39" s="152" t="s">
        <v>1288</v>
      </c>
      <c r="C39" s="147" t="s">
        <v>208</v>
      </c>
      <c r="D39" s="147"/>
      <c r="E39" s="147"/>
      <c r="F39" s="147"/>
      <c r="G39" s="35"/>
      <c r="H39" s="35"/>
      <c r="I39" s="88"/>
    </row>
    <row r="40" spans="1:9" ht="15.75" customHeight="1">
      <c r="A40" s="147" t="s">
        <v>10741</v>
      </c>
      <c r="B40" s="152" t="s">
        <v>1246</v>
      </c>
      <c r="C40" s="147" t="s">
        <v>208</v>
      </c>
      <c r="D40" s="147"/>
      <c r="E40" s="147"/>
      <c r="F40" s="151"/>
      <c r="G40" s="35"/>
      <c r="H40" s="35"/>
      <c r="I40" s="88"/>
    </row>
    <row r="41" spans="1:9" ht="15.75" customHeight="1">
      <c r="A41" s="147" t="s">
        <v>10742</v>
      </c>
      <c r="B41" s="152" t="s">
        <v>1873</v>
      </c>
      <c r="C41" s="147" t="s">
        <v>208</v>
      </c>
      <c r="D41" s="147"/>
      <c r="E41" s="147"/>
      <c r="F41" s="147"/>
      <c r="G41" s="35"/>
      <c r="H41" s="35"/>
      <c r="I41" s="88"/>
    </row>
    <row r="42" spans="1:9" ht="15.75" customHeight="1">
      <c r="A42" s="147" t="s">
        <v>10743</v>
      </c>
      <c r="B42" s="152" t="s">
        <v>1806</v>
      </c>
      <c r="C42" s="147" t="s">
        <v>208</v>
      </c>
      <c r="D42" s="147"/>
      <c r="E42" s="147"/>
      <c r="F42" s="151"/>
      <c r="G42" s="35"/>
      <c r="H42" s="35"/>
      <c r="I42" s="88"/>
    </row>
    <row r="43" spans="1:9" ht="15.75" customHeight="1">
      <c r="A43" s="147" t="s">
        <v>10744</v>
      </c>
      <c r="B43" s="152" t="s">
        <v>1847</v>
      </c>
      <c r="C43" s="147" t="s">
        <v>208</v>
      </c>
      <c r="D43" s="147"/>
      <c r="E43" s="147"/>
      <c r="F43" s="147"/>
      <c r="G43" s="35"/>
      <c r="H43" s="35"/>
      <c r="I43" s="88"/>
    </row>
    <row r="44" spans="1:9" ht="15.75" customHeight="1">
      <c r="A44" s="147" t="s">
        <v>10745</v>
      </c>
      <c r="B44" s="148" t="s">
        <v>8842</v>
      </c>
      <c r="C44" s="147" t="s">
        <v>208</v>
      </c>
      <c r="D44" s="170"/>
      <c r="E44" s="147"/>
      <c r="F44" s="147"/>
      <c r="G44" s="35"/>
      <c r="H44" s="35"/>
      <c r="I44" s="88"/>
    </row>
    <row r="45" spans="1:9" ht="15.75" customHeight="1">
      <c r="A45" s="147" t="s">
        <v>10746</v>
      </c>
      <c r="B45" s="152" t="s">
        <v>10747</v>
      </c>
      <c r="C45" s="147" t="s">
        <v>208</v>
      </c>
      <c r="D45" s="170"/>
      <c r="E45" s="147"/>
      <c r="F45" s="151"/>
      <c r="G45" s="35"/>
      <c r="H45" s="35"/>
      <c r="I45" s="88"/>
    </row>
    <row r="46" spans="1:9" ht="15.75" customHeight="1">
      <c r="A46" s="147" t="s">
        <v>10748</v>
      </c>
      <c r="B46" s="152" t="s">
        <v>4059</v>
      </c>
      <c r="C46" s="147" t="s">
        <v>208</v>
      </c>
      <c r="D46" s="147"/>
      <c r="E46" s="147"/>
      <c r="F46" s="147"/>
      <c r="G46" s="35"/>
      <c r="H46" s="35"/>
      <c r="I46" s="88"/>
    </row>
    <row r="47" spans="1:9" ht="15.75" customHeight="1">
      <c r="A47" s="147" t="s">
        <v>10749</v>
      </c>
      <c r="B47" s="152" t="s">
        <v>4069</v>
      </c>
      <c r="C47" s="147" t="s">
        <v>208</v>
      </c>
      <c r="D47" s="147"/>
      <c r="E47" s="147"/>
      <c r="F47" s="151"/>
      <c r="G47" s="35"/>
      <c r="H47" s="35"/>
      <c r="I47" s="88"/>
    </row>
    <row r="48" spans="1:9" ht="15.75" customHeight="1">
      <c r="A48" s="147" t="s">
        <v>10750</v>
      </c>
      <c r="B48" s="152" t="s">
        <v>5091</v>
      </c>
      <c r="C48" s="147" t="s">
        <v>208</v>
      </c>
      <c r="D48" s="147"/>
      <c r="E48" s="147"/>
      <c r="F48" s="147"/>
      <c r="G48" s="35"/>
      <c r="H48" s="35"/>
      <c r="I48" s="88"/>
    </row>
    <row r="49" spans="1:9" ht="15.75" customHeight="1">
      <c r="A49" s="147" t="s">
        <v>10751</v>
      </c>
      <c r="B49" s="152" t="s">
        <v>5092</v>
      </c>
      <c r="C49" s="147" t="s">
        <v>208</v>
      </c>
      <c r="D49" s="147"/>
      <c r="E49" s="147"/>
      <c r="F49" s="151"/>
      <c r="G49" s="35"/>
      <c r="H49" s="35"/>
      <c r="I49" s="88"/>
    </row>
    <row r="50" spans="1:9" ht="15.75" customHeight="1">
      <c r="A50" s="147" t="s">
        <v>10752</v>
      </c>
      <c r="B50" s="152" t="s">
        <v>6477</v>
      </c>
      <c r="C50" s="147" t="s">
        <v>208</v>
      </c>
      <c r="D50" s="147"/>
      <c r="E50" s="147"/>
      <c r="F50" s="147"/>
      <c r="G50" s="35"/>
      <c r="H50" s="35"/>
      <c r="I50" s="88"/>
    </row>
    <row r="51" spans="1:9" ht="15.75" customHeight="1">
      <c r="A51" s="147" t="s">
        <v>10753</v>
      </c>
      <c r="B51" s="152" t="s">
        <v>8743</v>
      </c>
      <c r="C51" s="147" t="s">
        <v>208</v>
      </c>
      <c r="D51" s="147"/>
      <c r="E51" s="147"/>
      <c r="F51" s="151"/>
      <c r="G51" s="35"/>
      <c r="H51" s="35"/>
      <c r="I51" s="88"/>
    </row>
    <row r="52" spans="1:9" ht="15.75" customHeight="1">
      <c r="A52" s="147" t="s">
        <v>10754</v>
      </c>
      <c r="B52" s="152" t="s">
        <v>10755</v>
      </c>
      <c r="C52" s="147" t="s">
        <v>208</v>
      </c>
      <c r="D52" s="170"/>
      <c r="E52" s="147"/>
      <c r="F52" s="151"/>
      <c r="G52" s="35"/>
      <c r="H52" s="35"/>
      <c r="I52" s="88"/>
    </row>
    <row r="53" spans="1:9" ht="13">
      <c r="A53" s="147" t="s">
        <v>10756</v>
      </c>
      <c r="B53" s="152" t="s">
        <v>191</v>
      </c>
      <c r="C53" s="147" t="s">
        <v>192</v>
      </c>
      <c r="D53" s="147"/>
      <c r="E53" s="151"/>
      <c r="F53" s="151"/>
      <c r="G53" s="35"/>
      <c r="H53" s="35"/>
      <c r="I53" s="88"/>
    </row>
    <row r="54" spans="1:9" ht="13">
      <c r="A54" s="147" t="s">
        <v>10757</v>
      </c>
      <c r="B54" s="148" t="s">
        <v>251</v>
      </c>
      <c r="C54" s="147" t="s">
        <v>192</v>
      </c>
      <c r="D54" s="170"/>
      <c r="E54" s="147"/>
      <c r="F54" s="147"/>
      <c r="G54" s="35"/>
      <c r="H54" s="35"/>
      <c r="I54" s="88"/>
    </row>
    <row r="55" spans="1:9" ht="13">
      <c r="A55" s="147" t="s">
        <v>10758</v>
      </c>
      <c r="B55" s="148" t="s">
        <v>8826</v>
      </c>
      <c r="C55" s="147" t="s">
        <v>192</v>
      </c>
      <c r="D55" s="147"/>
      <c r="E55" s="147"/>
      <c r="F55" s="151"/>
      <c r="G55" s="35"/>
      <c r="H55" s="35"/>
      <c r="I55" s="88"/>
    </row>
    <row r="56" spans="1:9" ht="13">
      <c r="A56" s="147" t="s">
        <v>10759</v>
      </c>
      <c r="B56" s="152" t="s">
        <v>860</v>
      </c>
      <c r="C56" s="147" t="s">
        <v>192</v>
      </c>
      <c r="D56" s="147"/>
      <c r="E56" s="147"/>
      <c r="F56" s="147"/>
      <c r="G56" s="35"/>
      <c r="H56" s="35"/>
      <c r="I56" s="88"/>
    </row>
    <row r="57" spans="1:9" ht="13">
      <c r="A57" s="147" t="s">
        <v>10760</v>
      </c>
      <c r="B57" s="152" t="s">
        <v>831</v>
      </c>
      <c r="C57" s="147" t="s">
        <v>192</v>
      </c>
      <c r="D57" s="147"/>
      <c r="E57" s="147"/>
      <c r="F57" s="147"/>
      <c r="G57" s="35"/>
      <c r="H57" s="35"/>
      <c r="I57" s="88"/>
    </row>
    <row r="58" spans="1:9" ht="13">
      <c r="A58" s="147" t="s">
        <v>10761</v>
      </c>
      <c r="B58" s="152" t="s">
        <v>878</v>
      </c>
      <c r="C58" s="147" t="s">
        <v>192</v>
      </c>
      <c r="D58" s="147"/>
      <c r="E58" s="147"/>
      <c r="F58" s="147"/>
      <c r="G58" s="35"/>
      <c r="H58" s="35"/>
      <c r="I58" s="88"/>
    </row>
    <row r="59" spans="1:9" ht="13">
      <c r="A59" s="147" t="s">
        <v>10762</v>
      </c>
      <c r="B59" s="152" t="s">
        <v>824</v>
      </c>
      <c r="C59" s="147" t="s">
        <v>192</v>
      </c>
      <c r="D59" s="147"/>
      <c r="E59" s="147"/>
      <c r="F59" s="151"/>
      <c r="G59" s="35"/>
      <c r="H59" s="35"/>
      <c r="I59" s="88"/>
    </row>
    <row r="60" spans="1:9" ht="13">
      <c r="A60" s="147" t="s">
        <v>10763</v>
      </c>
      <c r="B60" s="152" t="s">
        <v>766</v>
      </c>
      <c r="C60" s="147" t="s">
        <v>192</v>
      </c>
      <c r="D60" s="147"/>
      <c r="E60" s="147"/>
      <c r="F60" s="151"/>
      <c r="G60" s="35"/>
      <c r="H60" s="35"/>
      <c r="I60" s="88"/>
    </row>
    <row r="61" spans="1:9" ht="13">
      <c r="A61" s="147" t="s">
        <v>10764</v>
      </c>
      <c r="B61" s="152" t="s">
        <v>4072</v>
      </c>
      <c r="C61" s="147" t="s">
        <v>192</v>
      </c>
      <c r="D61" s="147"/>
      <c r="E61" s="147"/>
      <c r="F61" s="151"/>
      <c r="G61" s="35"/>
      <c r="H61" s="35"/>
      <c r="I61" s="88"/>
    </row>
    <row r="62" spans="1:9" ht="13">
      <c r="A62" s="147" t="s">
        <v>10765</v>
      </c>
      <c r="B62" s="152" t="s">
        <v>10766</v>
      </c>
      <c r="C62" s="147" t="s">
        <v>192</v>
      </c>
      <c r="D62" s="147"/>
      <c r="E62" s="147"/>
      <c r="F62" s="147"/>
      <c r="G62" s="35"/>
      <c r="H62" s="35"/>
      <c r="I62" s="88"/>
    </row>
    <row r="63" spans="1:9" ht="13">
      <c r="A63" s="147" t="s">
        <v>10767</v>
      </c>
      <c r="B63" s="152" t="s">
        <v>10768</v>
      </c>
      <c r="C63" s="147" t="s">
        <v>192</v>
      </c>
      <c r="D63" s="147"/>
      <c r="E63" s="147"/>
      <c r="F63" s="151"/>
      <c r="G63" s="35"/>
      <c r="H63" s="35"/>
      <c r="I63" s="88"/>
    </row>
    <row r="64" spans="1:9" ht="13">
      <c r="A64" s="147" t="s">
        <v>10769</v>
      </c>
      <c r="B64" s="152" t="s">
        <v>10770</v>
      </c>
      <c r="C64" s="147" t="s">
        <v>192</v>
      </c>
      <c r="D64" s="147"/>
      <c r="E64" s="147"/>
      <c r="F64" s="147"/>
      <c r="G64" s="35"/>
      <c r="H64" s="35"/>
      <c r="I64" s="88"/>
    </row>
    <row r="65" spans="1:9" ht="13">
      <c r="A65" s="147" t="s">
        <v>10771</v>
      </c>
      <c r="B65" s="152" t="s">
        <v>281</v>
      </c>
      <c r="C65" s="147" t="s">
        <v>195</v>
      </c>
      <c r="D65" s="147"/>
      <c r="E65" s="147"/>
      <c r="F65" s="147"/>
      <c r="G65" s="35"/>
      <c r="H65" s="35"/>
      <c r="I65" s="88"/>
    </row>
    <row r="66" spans="1:9" ht="13">
      <c r="A66" s="147" t="s">
        <v>10772</v>
      </c>
      <c r="B66" s="148" t="s">
        <v>362</v>
      </c>
      <c r="C66" s="147" t="s">
        <v>195</v>
      </c>
      <c r="D66" s="147"/>
      <c r="E66" s="147"/>
      <c r="F66" s="147"/>
      <c r="G66" s="35"/>
      <c r="H66" s="35"/>
      <c r="I66" s="88"/>
    </row>
    <row r="67" spans="1:9" ht="13">
      <c r="A67" s="147" t="s">
        <v>10773</v>
      </c>
      <c r="B67" s="148" t="s">
        <v>8734</v>
      </c>
      <c r="C67" s="147" t="s">
        <v>195</v>
      </c>
      <c r="D67" s="170"/>
      <c r="E67" s="147"/>
      <c r="F67" s="151"/>
      <c r="G67" s="35"/>
      <c r="H67" s="35"/>
      <c r="I67" s="88"/>
    </row>
    <row r="68" spans="1:9" ht="13">
      <c r="A68" s="147" t="s">
        <v>10774</v>
      </c>
      <c r="B68" s="152" t="s">
        <v>8851</v>
      </c>
      <c r="C68" s="147" t="s">
        <v>195</v>
      </c>
      <c r="D68" s="147"/>
      <c r="E68" s="147"/>
      <c r="F68" s="147"/>
      <c r="G68" s="35"/>
      <c r="H68" s="35"/>
      <c r="I68" s="88"/>
    </row>
    <row r="69" spans="1:9" ht="13">
      <c r="A69" s="147" t="s">
        <v>10775</v>
      </c>
      <c r="B69" s="152" t="s">
        <v>10776</v>
      </c>
      <c r="C69" s="147" t="s">
        <v>195</v>
      </c>
      <c r="D69" s="170"/>
      <c r="E69" s="147"/>
      <c r="F69" s="151"/>
      <c r="G69" s="35"/>
      <c r="H69" s="35"/>
      <c r="I69" s="88"/>
    </row>
    <row r="70" spans="1:9" ht="13">
      <c r="A70" s="147" t="s">
        <v>10777</v>
      </c>
      <c r="B70" s="152" t="s">
        <v>945</v>
      </c>
      <c r="C70" s="147" t="s">
        <v>195</v>
      </c>
      <c r="D70" s="147"/>
      <c r="E70" s="147"/>
      <c r="F70" s="151"/>
      <c r="G70" s="35"/>
      <c r="H70" s="35"/>
      <c r="I70" s="88"/>
    </row>
    <row r="71" spans="1:9" ht="13">
      <c r="A71" s="147" t="s">
        <v>10778</v>
      </c>
      <c r="B71" s="152" t="s">
        <v>1370</v>
      </c>
      <c r="C71" s="147" t="s">
        <v>195</v>
      </c>
      <c r="D71" s="147"/>
      <c r="E71" s="147"/>
      <c r="F71" s="147"/>
      <c r="G71" s="35"/>
      <c r="H71" s="35"/>
      <c r="I71" s="88"/>
    </row>
    <row r="72" spans="1:9" ht="13">
      <c r="A72" s="147" t="s">
        <v>10779</v>
      </c>
      <c r="B72" s="152" t="s">
        <v>4153</v>
      </c>
      <c r="C72" s="147" t="s">
        <v>195</v>
      </c>
      <c r="D72" s="147"/>
      <c r="E72" s="147"/>
      <c r="F72" s="151"/>
      <c r="G72" s="35"/>
      <c r="H72" s="35"/>
      <c r="I72" s="88"/>
    </row>
    <row r="73" spans="1:9" ht="13">
      <c r="A73" s="147" t="s">
        <v>10780</v>
      </c>
      <c r="B73" s="152" t="s">
        <v>4419</v>
      </c>
      <c r="C73" s="147" t="s">
        <v>195</v>
      </c>
      <c r="D73" s="147"/>
      <c r="E73" s="147"/>
      <c r="F73" s="151"/>
      <c r="G73" s="35"/>
      <c r="H73" s="35"/>
      <c r="I73" s="88"/>
    </row>
    <row r="74" spans="1:9" ht="13">
      <c r="A74" s="147" t="s">
        <v>10781</v>
      </c>
      <c r="B74" s="152" t="s">
        <v>10782</v>
      </c>
      <c r="C74" s="147" t="s">
        <v>195</v>
      </c>
      <c r="D74" s="147"/>
      <c r="E74" s="147"/>
      <c r="F74" s="151"/>
      <c r="G74" s="35"/>
      <c r="H74" s="35"/>
      <c r="I74" s="88"/>
    </row>
    <row r="75" spans="1:9" ht="13">
      <c r="A75" s="147" t="s">
        <v>10783</v>
      </c>
      <c r="B75" s="152" t="s">
        <v>5098</v>
      </c>
      <c r="C75" s="147" t="s">
        <v>195</v>
      </c>
      <c r="D75" s="147"/>
      <c r="E75" s="147"/>
      <c r="F75" s="147"/>
      <c r="G75" s="35"/>
      <c r="H75" s="35"/>
      <c r="I75" s="88"/>
    </row>
    <row r="76" spans="1:9" ht="13">
      <c r="A76" s="147" t="s">
        <v>10784</v>
      </c>
      <c r="B76" s="152" t="s">
        <v>4898</v>
      </c>
      <c r="C76" s="147" t="s">
        <v>195</v>
      </c>
      <c r="D76" s="147"/>
      <c r="E76" s="147"/>
      <c r="F76" s="151"/>
      <c r="G76" s="35"/>
      <c r="H76" s="35"/>
      <c r="I76" s="88"/>
    </row>
    <row r="77" spans="1:9" ht="13">
      <c r="A77" s="147" t="s">
        <v>10785</v>
      </c>
      <c r="B77" s="152" t="s">
        <v>5099</v>
      </c>
      <c r="C77" s="147" t="s">
        <v>195</v>
      </c>
      <c r="D77" s="170"/>
      <c r="E77" s="147"/>
      <c r="F77" s="151"/>
      <c r="G77" s="35"/>
      <c r="H77" s="35"/>
      <c r="I77" s="88"/>
    </row>
    <row r="78" spans="1:9" ht="13">
      <c r="A78" s="147" t="s">
        <v>10786</v>
      </c>
      <c r="B78" s="152" t="s">
        <v>8853</v>
      </c>
      <c r="C78" s="147" t="s">
        <v>195</v>
      </c>
      <c r="D78" s="170"/>
      <c r="E78" s="147"/>
      <c r="F78" s="151"/>
      <c r="G78" s="35"/>
      <c r="H78" s="35"/>
      <c r="I78" s="88"/>
    </row>
    <row r="79" spans="1:9" ht="13">
      <c r="A79" s="147" t="s">
        <v>10787</v>
      </c>
      <c r="B79" s="152" t="s">
        <v>10788</v>
      </c>
      <c r="C79" s="147" t="s">
        <v>195</v>
      </c>
      <c r="D79" s="170"/>
      <c r="E79" s="147"/>
      <c r="F79" s="147"/>
      <c r="G79" s="35"/>
      <c r="H79" s="35"/>
      <c r="I79" s="88"/>
    </row>
    <row r="80" spans="1:9" ht="13">
      <c r="A80" s="147" t="s">
        <v>10789</v>
      </c>
      <c r="B80" s="152" t="s">
        <v>5043</v>
      </c>
      <c r="C80" s="147" t="s">
        <v>195</v>
      </c>
      <c r="D80" s="147"/>
      <c r="E80" s="147"/>
      <c r="F80" s="147"/>
      <c r="G80" s="35"/>
      <c r="H80" s="35"/>
      <c r="I80" s="88"/>
    </row>
    <row r="81" spans="1:9" ht="13">
      <c r="A81" s="147" t="s">
        <v>10790</v>
      </c>
      <c r="B81" s="152" t="s">
        <v>5044</v>
      </c>
      <c r="C81" s="147" t="s">
        <v>195</v>
      </c>
      <c r="D81" s="147"/>
      <c r="E81" s="147"/>
      <c r="F81" s="151"/>
      <c r="G81" s="35"/>
      <c r="H81" s="35"/>
      <c r="I81" s="88"/>
    </row>
    <row r="82" spans="1:9" ht="13">
      <c r="A82" s="147" t="s">
        <v>10791</v>
      </c>
      <c r="B82" s="152" t="s">
        <v>6498</v>
      </c>
      <c r="C82" s="147" t="s">
        <v>195</v>
      </c>
      <c r="D82" s="147"/>
      <c r="E82" s="147"/>
      <c r="F82" s="147"/>
      <c r="G82" s="35"/>
      <c r="H82" s="35"/>
      <c r="I82" s="88"/>
    </row>
    <row r="83" spans="1:9" ht="13">
      <c r="A83" s="147" t="s">
        <v>10792</v>
      </c>
      <c r="B83" s="152" t="s">
        <v>6499</v>
      </c>
      <c r="C83" s="147" t="s">
        <v>195</v>
      </c>
      <c r="D83" s="147"/>
      <c r="E83" s="147"/>
      <c r="F83" s="147"/>
      <c r="G83" s="35"/>
      <c r="H83" s="35"/>
      <c r="I83" s="88"/>
    </row>
    <row r="84" spans="1:9" ht="13">
      <c r="A84" s="147" t="s">
        <v>10793</v>
      </c>
      <c r="B84" s="152" t="s">
        <v>6287</v>
      </c>
      <c r="C84" s="147" t="s">
        <v>195</v>
      </c>
      <c r="D84" s="170"/>
      <c r="E84" s="147"/>
      <c r="F84" s="151"/>
      <c r="G84" s="35"/>
      <c r="H84" s="35"/>
      <c r="I84" s="88"/>
    </row>
    <row r="85" spans="1:9" ht="13">
      <c r="A85" s="147" t="s">
        <v>10794</v>
      </c>
      <c r="B85" s="152" t="s">
        <v>246</v>
      </c>
      <c r="C85" s="147" t="s">
        <v>225</v>
      </c>
      <c r="D85" s="147"/>
      <c r="E85" s="147"/>
      <c r="F85" s="151"/>
      <c r="G85" s="35"/>
      <c r="H85" s="35"/>
      <c r="I85" s="88"/>
    </row>
    <row r="86" spans="1:9" ht="13">
      <c r="A86" s="147" t="s">
        <v>10795</v>
      </c>
      <c r="B86" s="152" t="s">
        <v>8736</v>
      </c>
      <c r="C86" s="147" t="s">
        <v>225</v>
      </c>
      <c r="D86" s="170"/>
      <c r="E86" s="147"/>
      <c r="F86" s="151"/>
      <c r="G86" s="35"/>
      <c r="H86" s="35"/>
      <c r="I86" s="88"/>
    </row>
    <row r="87" spans="1:9" ht="13">
      <c r="A87" s="147" t="s">
        <v>10796</v>
      </c>
      <c r="B87" s="152" t="s">
        <v>10797</v>
      </c>
      <c r="C87" s="147" t="s">
        <v>225</v>
      </c>
      <c r="D87" s="170"/>
      <c r="E87" s="147"/>
      <c r="F87" s="147"/>
      <c r="G87" s="35"/>
      <c r="H87" s="35"/>
      <c r="I87" s="88"/>
    </row>
    <row r="88" spans="1:9" ht="13">
      <c r="A88" s="147" t="s">
        <v>10798</v>
      </c>
      <c r="B88" s="152" t="s">
        <v>3136</v>
      </c>
      <c r="C88" s="147" t="s">
        <v>225</v>
      </c>
      <c r="D88" s="147"/>
      <c r="E88" s="147"/>
      <c r="F88" s="151"/>
      <c r="G88" s="35"/>
      <c r="H88" s="35"/>
      <c r="I88" s="88"/>
    </row>
    <row r="89" spans="1:9" ht="13">
      <c r="A89" s="147" t="s">
        <v>10799</v>
      </c>
      <c r="B89" s="148" t="s">
        <v>3126</v>
      </c>
      <c r="C89" s="147" t="s">
        <v>225</v>
      </c>
      <c r="D89" s="147"/>
      <c r="E89" s="147"/>
      <c r="F89" s="147"/>
      <c r="G89" s="35"/>
      <c r="H89" s="35"/>
      <c r="I89" s="88"/>
    </row>
    <row r="90" spans="1:9" ht="13">
      <c r="A90" s="147" t="s">
        <v>10800</v>
      </c>
      <c r="B90" s="148" t="s">
        <v>4260</v>
      </c>
      <c r="C90" s="147" t="s">
        <v>225</v>
      </c>
      <c r="D90" s="147"/>
      <c r="E90" s="147"/>
      <c r="F90" s="151"/>
      <c r="G90" s="35"/>
      <c r="H90" s="35"/>
      <c r="I90" s="88"/>
    </row>
    <row r="91" spans="1:9" ht="13">
      <c r="A91" s="147" t="s">
        <v>10801</v>
      </c>
      <c r="B91" s="148" t="s">
        <v>4262</v>
      </c>
      <c r="C91" s="147" t="s">
        <v>225</v>
      </c>
      <c r="D91" s="147"/>
      <c r="E91" s="147"/>
      <c r="F91" s="151"/>
      <c r="G91" s="35"/>
      <c r="H91" s="35"/>
      <c r="I91" s="88"/>
    </row>
    <row r="92" spans="1:9" ht="13">
      <c r="A92" s="147" t="s">
        <v>10802</v>
      </c>
      <c r="B92" s="148" t="s">
        <v>4089</v>
      </c>
      <c r="C92" s="147" t="s">
        <v>225</v>
      </c>
      <c r="D92" s="147"/>
      <c r="E92" s="147"/>
      <c r="F92" s="147"/>
      <c r="G92" s="35"/>
      <c r="H92" s="35"/>
      <c r="I92" s="88"/>
    </row>
    <row r="93" spans="1:9" ht="13">
      <c r="A93" s="147" t="s">
        <v>10803</v>
      </c>
      <c r="B93" s="152" t="s">
        <v>4060</v>
      </c>
      <c r="C93" s="147" t="s">
        <v>225</v>
      </c>
      <c r="D93" s="147"/>
      <c r="E93" s="147"/>
      <c r="F93" s="147"/>
      <c r="G93" s="35"/>
      <c r="H93" s="35"/>
      <c r="I93" s="88"/>
    </row>
    <row r="94" spans="1:9" ht="13">
      <c r="A94" s="147" t="s">
        <v>10804</v>
      </c>
      <c r="B94" s="152" t="s">
        <v>4061</v>
      </c>
      <c r="C94" s="147" t="s">
        <v>225</v>
      </c>
      <c r="D94" s="170"/>
      <c r="E94" s="147"/>
      <c r="F94" s="151"/>
      <c r="G94" s="35"/>
      <c r="H94" s="35"/>
      <c r="I94" s="88"/>
    </row>
    <row r="95" spans="1:9" ht="13">
      <c r="A95" s="147" t="s">
        <v>10805</v>
      </c>
      <c r="B95" s="152" t="s">
        <v>8847</v>
      </c>
      <c r="C95" s="147" t="s">
        <v>225</v>
      </c>
      <c r="D95" s="170"/>
      <c r="E95" s="147"/>
      <c r="F95" s="147"/>
      <c r="G95" s="35"/>
      <c r="H95" s="35"/>
      <c r="I95" s="88"/>
    </row>
    <row r="96" spans="1:9" ht="13">
      <c r="A96" s="147" t="s">
        <v>10806</v>
      </c>
      <c r="B96" s="152" t="s">
        <v>10807</v>
      </c>
      <c r="C96" s="147" t="s">
        <v>225</v>
      </c>
      <c r="D96" s="147"/>
      <c r="E96" s="147"/>
      <c r="F96" s="151"/>
      <c r="G96" s="35"/>
      <c r="H96" s="35"/>
      <c r="I96" s="88"/>
    </row>
    <row r="97" spans="1:9" ht="13">
      <c r="A97" s="147" t="s">
        <v>10808</v>
      </c>
      <c r="B97" s="152" t="s">
        <v>8738</v>
      </c>
      <c r="C97" s="147" t="s">
        <v>808</v>
      </c>
      <c r="D97" s="170"/>
      <c r="E97" s="147"/>
      <c r="F97" s="151"/>
      <c r="G97" s="35"/>
      <c r="H97" s="35"/>
      <c r="I97" s="88"/>
    </row>
    <row r="98" spans="1:9" ht="13">
      <c r="A98" s="147" t="s">
        <v>10809</v>
      </c>
      <c r="B98" s="152" t="s">
        <v>8855</v>
      </c>
      <c r="C98" s="147" t="s">
        <v>808</v>
      </c>
      <c r="D98" s="170"/>
      <c r="E98" s="147"/>
      <c r="F98" s="151"/>
      <c r="G98" s="35"/>
      <c r="H98" s="35"/>
      <c r="I98" s="88"/>
    </row>
    <row r="99" spans="1:9" ht="13">
      <c r="A99" s="147" t="s">
        <v>10810</v>
      </c>
      <c r="B99" s="152" t="s">
        <v>10811</v>
      </c>
      <c r="C99" s="147" t="s">
        <v>808</v>
      </c>
      <c r="D99" s="170"/>
      <c r="E99" s="147"/>
      <c r="F99" s="147"/>
      <c r="G99" s="35"/>
      <c r="H99" s="35"/>
      <c r="I99" s="88"/>
    </row>
    <row r="100" spans="1:9" ht="13">
      <c r="A100" s="147" t="s">
        <v>10812</v>
      </c>
      <c r="B100" s="152" t="s">
        <v>1420</v>
      </c>
      <c r="C100" s="147" t="s">
        <v>808</v>
      </c>
      <c r="D100" s="147"/>
      <c r="E100" s="147"/>
      <c r="F100" s="151"/>
      <c r="G100" s="35"/>
      <c r="H100" s="35"/>
      <c r="I100" s="88"/>
    </row>
    <row r="101" spans="1:9" ht="13">
      <c r="A101" s="147" t="s">
        <v>10813</v>
      </c>
      <c r="B101" s="148" t="s">
        <v>1374</v>
      </c>
      <c r="C101" s="147" t="s">
        <v>808</v>
      </c>
      <c r="D101" s="147"/>
      <c r="E101" s="147"/>
      <c r="F101" s="151"/>
      <c r="G101" s="35"/>
      <c r="H101" s="35"/>
      <c r="I101" s="88"/>
    </row>
    <row r="102" spans="1:9" ht="13">
      <c r="A102" s="147" t="s">
        <v>10814</v>
      </c>
      <c r="B102" s="152" t="s">
        <v>4132</v>
      </c>
      <c r="C102" s="147" t="s">
        <v>808</v>
      </c>
      <c r="D102" s="147"/>
      <c r="E102" s="151"/>
      <c r="F102" s="147"/>
      <c r="G102" s="35"/>
      <c r="H102" s="35"/>
      <c r="I102" s="88"/>
    </row>
    <row r="103" spans="1:9" ht="13">
      <c r="A103" s="147" t="s">
        <v>10815</v>
      </c>
      <c r="B103" s="152" t="s">
        <v>4133</v>
      </c>
      <c r="C103" s="147" t="s">
        <v>808</v>
      </c>
      <c r="D103" s="147"/>
      <c r="E103" s="147"/>
      <c r="F103" s="151"/>
      <c r="G103" s="35"/>
      <c r="H103" s="35"/>
      <c r="I103" s="88"/>
    </row>
    <row r="104" spans="1:9" ht="13">
      <c r="A104" s="147" t="s">
        <v>10816</v>
      </c>
      <c r="B104" s="152" t="s">
        <v>10817</v>
      </c>
      <c r="C104" s="147" t="s">
        <v>808</v>
      </c>
      <c r="D104" s="170"/>
      <c r="E104" s="147"/>
      <c r="F104" s="151"/>
      <c r="G104" s="35"/>
      <c r="H104" s="35"/>
      <c r="I104" s="88"/>
    </row>
    <row r="105" spans="1:9" ht="13">
      <c r="A105" s="147" t="s">
        <v>10818</v>
      </c>
      <c r="B105" s="152" t="s">
        <v>10819</v>
      </c>
      <c r="C105" s="147" t="s">
        <v>808</v>
      </c>
      <c r="D105" s="170"/>
      <c r="E105" s="147"/>
      <c r="F105" s="151"/>
      <c r="G105" s="35"/>
      <c r="H105" s="35"/>
      <c r="I105" s="88"/>
    </row>
    <row r="106" spans="1:9" ht="13">
      <c r="A106" s="147" t="s">
        <v>10820</v>
      </c>
      <c r="B106" s="152" t="s">
        <v>4036</v>
      </c>
      <c r="C106" s="147" t="s">
        <v>808</v>
      </c>
      <c r="D106" s="147"/>
      <c r="E106" s="147"/>
      <c r="F106" s="147"/>
      <c r="G106" s="35"/>
      <c r="H106" s="35"/>
      <c r="I106" s="88"/>
    </row>
    <row r="107" spans="1:9" ht="13">
      <c r="A107" s="147" t="s">
        <v>10821</v>
      </c>
      <c r="B107" s="152" t="s">
        <v>4147</v>
      </c>
      <c r="C107" s="147" t="s">
        <v>808</v>
      </c>
      <c r="D107" s="147"/>
      <c r="E107" s="147"/>
      <c r="F107" s="151"/>
      <c r="G107" s="35"/>
      <c r="H107" s="35"/>
      <c r="I107" s="88"/>
    </row>
    <row r="108" spans="1:9" ht="13">
      <c r="A108" s="147" t="s">
        <v>10822</v>
      </c>
      <c r="B108" s="152" t="s">
        <v>9024</v>
      </c>
      <c r="C108" s="147" t="s">
        <v>808</v>
      </c>
      <c r="D108" s="147"/>
      <c r="E108" s="147"/>
      <c r="F108" s="151"/>
      <c r="G108" s="35"/>
      <c r="H108" s="35"/>
      <c r="I108" s="88"/>
    </row>
    <row r="109" spans="1:9" ht="13">
      <c r="A109" s="147" t="s">
        <v>10823</v>
      </c>
      <c r="B109" s="152" t="s">
        <v>9026</v>
      </c>
      <c r="C109" s="147" t="s">
        <v>808</v>
      </c>
      <c r="D109" s="147"/>
      <c r="E109" s="147"/>
      <c r="F109" s="151"/>
      <c r="G109" s="35"/>
      <c r="H109" s="35"/>
      <c r="I109" s="88"/>
    </row>
    <row r="110" spans="1:9" ht="13">
      <c r="A110" s="147" t="s">
        <v>10824</v>
      </c>
      <c r="B110" s="152" t="s">
        <v>1493</v>
      </c>
      <c r="C110" s="147" t="s">
        <v>4285</v>
      </c>
      <c r="D110" s="170"/>
      <c r="E110" s="147"/>
      <c r="F110" s="151"/>
      <c r="G110" s="35"/>
      <c r="H110" s="35"/>
      <c r="I110" s="88"/>
    </row>
    <row r="111" spans="1:9" ht="13">
      <c r="A111" s="147" t="s">
        <v>10825</v>
      </c>
      <c r="B111" s="152" t="s">
        <v>1526</v>
      </c>
      <c r="C111" s="147" t="s">
        <v>4285</v>
      </c>
      <c r="D111" s="147"/>
      <c r="E111" s="147"/>
      <c r="F111" s="147"/>
      <c r="G111" s="35"/>
      <c r="H111" s="35"/>
      <c r="I111" s="88"/>
    </row>
    <row r="112" spans="1:9" ht="13">
      <c r="A112" s="147" t="s">
        <v>10826</v>
      </c>
      <c r="B112" s="152" t="s">
        <v>1521</v>
      </c>
      <c r="C112" s="147" t="s">
        <v>4285</v>
      </c>
      <c r="D112" s="147"/>
      <c r="E112" s="147"/>
      <c r="F112" s="147"/>
      <c r="G112" s="35"/>
      <c r="H112" s="35"/>
      <c r="I112" s="88"/>
    </row>
    <row r="113" spans="1:9" ht="13">
      <c r="A113" s="147" t="s">
        <v>10827</v>
      </c>
      <c r="B113" s="148" t="s">
        <v>1507</v>
      </c>
      <c r="C113" s="147" t="s">
        <v>4285</v>
      </c>
      <c r="D113" s="170"/>
      <c r="E113" s="147"/>
      <c r="F113" s="147"/>
      <c r="G113" s="35"/>
      <c r="H113" s="35"/>
      <c r="I113" s="88"/>
    </row>
    <row r="114" spans="1:9" ht="13">
      <c r="A114" s="147" t="s">
        <v>10828</v>
      </c>
      <c r="B114" s="148" t="s">
        <v>8774</v>
      </c>
      <c r="C114" s="147" t="s">
        <v>4285</v>
      </c>
      <c r="D114" s="170"/>
      <c r="E114" s="147"/>
      <c r="F114" s="147"/>
      <c r="G114" s="35"/>
      <c r="H114" s="35"/>
      <c r="I114" s="88"/>
    </row>
    <row r="115" spans="1:9" ht="13">
      <c r="A115" s="147" t="s">
        <v>10829</v>
      </c>
      <c r="B115" s="152" t="s">
        <v>10830</v>
      </c>
      <c r="C115" s="147" t="s">
        <v>4285</v>
      </c>
      <c r="D115" s="170"/>
      <c r="E115" s="147"/>
      <c r="F115" s="147"/>
      <c r="G115" s="35"/>
      <c r="H115" s="35"/>
      <c r="I115" s="88"/>
    </row>
    <row r="116" spans="1:9" ht="13">
      <c r="A116" s="147" t="s">
        <v>10831</v>
      </c>
      <c r="B116" s="152" t="s">
        <v>3062</v>
      </c>
      <c r="C116" s="147" t="s">
        <v>4285</v>
      </c>
      <c r="D116" s="170"/>
      <c r="E116" s="151"/>
      <c r="F116" s="151"/>
      <c r="G116" s="35"/>
      <c r="H116" s="35"/>
      <c r="I116" s="88"/>
    </row>
    <row r="117" spans="1:9" ht="13">
      <c r="A117" s="147" t="s">
        <v>10832</v>
      </c>
      <c r="B117" s="152" t="s">
        <v>4103</v>
      </c>
      <c r="C117" s="147" t="s">
        <v>4285</v>
      </c>
      <c r="D117" s="147"/>
      <c r="E117" s="147"/>
      <c r="F117" s="147"/>
      <c r="G117" s="35"/>
      <c r="H117" s="35"/>
      <c r="I117" s="88"/>
    </row>
    <row r="118" spans="1:9" ht="13">
      <c r="A118" s="147" t="s">
        <v>10833</v>
      </c>
      <c r="B118" s="152" t="s">
        <v>4104</v>
      </c>
      <c r="C118" s="147" t="s">
        <v>4285</v>
      </c>
      <c r="D118" s="147"/>
      <c r="E118" s="147"/>
      <c r="F118" s="151"/>
      <c r="G118" s="35"/>
      <c r="H118" s="35"/>
      <c r="I118" s="88"/>
    </row>
    <row r="119" spans="1:9" ht="13">
      <c r="A119" s="147" t="s">
        <v>10834</v>
      </c>
      <c r="B119" s="152" t="s">
        <v>4105</v>
      </c>
      <c r="C119" s="147" t="s">
        <v>4285</v>
      </c>
      <c r="D119" s="170"/>
      <c r="E119" s="147"/>
      <c r="F119" s="151"/>
      <c r="G119" s="35"/>
      <c r="H119" s="35"/>
      <c r="I119" s="88"/>
    </row>
    <row r="120" spans="1:9" ht="13">
      <c r="A120" s="147" t="s">
        <v>10835</v>
      </c>
      <c r="B120" s="152" t="s">
        <v>4070</v>
      </c>
      <c r="C120" s="147" t="s">
        <v>4285</v>
      </c>
      <c r="D120" s="170"/>
      <c r="E120" s="147"/>
      <c r="F120" s="151"/>
      <c r="G120" s="35"/>
      <c r="H120" s="35"/>
      <c r="I120" s="88"/>
    </row>
    <row r="121" spans="1:9" ht="13">
      <c r="A121" s="147" t="s">
        <v>10836</v>
      </c>
      <c r="B121" s="148" t="s">
        <v>8776</v>
      </c>
      <c r="C121" s="147" t="s">
        <v>4285</v>
      </c>
      <c r="D121" s="147"/>
      <c r="E121" s="147"/>
      <c r="F121" s="151"/>
      <c r="G121" s="35"/>
      <c r="H121" s="35"/>
      <c r="I121" s="88"/>
    </row>
    <row r="122" spans="1:9" ht="13">
      <c r="A122" s="147" t="s">
        <v>10837</v>
      </c>
      <c r="B122" s="152" t="s">
        <v>4913</v>
      </c>
      <c r="C122" s="147" t="s">
        <v>4285</v>
      </c>
      <c r="D122" s="170"/>
      <c r="E122" s="147"/>
      <c r="F122" s="151"/>
      <c r="G122" s="35"/>
      <c r="H122" s="35"/>
      <c r="I122" s="88"/>
    </row>
    <row r="123" spans="1:9" ht="13">
      <c r="A123" s="147" t="s">
        <v>10838</v>
      </c>
      <c r="B123" s="152" t="s">
        <v>6643</v>
      </c>
      <c r="C123" s="147" t="s">
        <v>4285</v>
      </c>
      <c r="D123" s="147"/>
      <c r="E123" s="147"/>
      <c r="F123" s="147"/>
      <c r="G123" s="35"/>
      <c r="H123" s="35"/>
      <c r="I123" s="88"/>
    </row>
    <row r="124" spans="1:9" ht="13">
      <c r="A124" s="147" t="s">
        <v>10839</v>
      </c>
      <c r="B124" s="152" t="s">
        <v>8832</v>
      </c>
      <c r="C124" s="147" t="s">
        <v>4285</v>
      </c>
      <c r="D124" s="147"/>
      <c r="E124" s="147"/>
      <c r="F124" s="151"/>
      <c r="G124" s="35"/>
      <c r="H124" s="35"/>
      <c r="I124" s="88"/>
    </row>
    <row r="125" spans="1:9" ht="13">
      <c r="A125" s="147" t="s">
        <v>10840</v>
      </c>
      <c r="B125" s="152" t="s">
        <v>9162</v>
      </c>
      <c r="C125" s="147" t="s">
        <v>4285</v>
      </c>
      <c r="D125" s="147"/>
      <c r="E125" s="147"/>
      <c r="F125" s="147"/>
      <c r="G125" s="35"/>
      <c r="H125" s="35"/>
      <c r="I125" s="88"/>
    </row>
    <row r="126" spans="1:9" ht="13">
      <c r="A126" s="147" t="s">
        <v>10841</v>
      </c>
      <c r="B126" s="152" t="s">
        <v>9693</v>
      </c>
      <c r="C126" s="147" t="s">
        <v>4285</v>
      </c>
      <c r="D126" s="147"/>
      <c r="E126" s="147"/>
      <c r="F126" s="151"/>
      <c r="G126" s="35"/>
      <c r="H126" s="35"/>
      <c r="I126" s="88"/>
    </row>
    <row r="127" spans="1:9" ht="13">
      <c r="A127" s="147" t="s">
        <v>10842</v>
      </c>
      <c r="B127" s="152" t="s">
        <v>10843</v>
      </c>
      <c r="C127" s="147" t="s">
        <v>4285</v>
      </c>
      <c r="D127" s="170"/>
      <c r="E127" s="147"/>
      <c r="F127" s="151"/>
      <c r="G127" s="35"/>
      <c r="H127" s="35"/>
      <c r="I127" s="88"/>
    </row>
    <row r="128" spans="1:9" ht="13">
      <c r="A128" s="147" t="s">
        <v>10844</v>
      </c>
      <c r="B128" s="152" t="s">
        <v>10845</v>
      </c>
      <c r="C128" s="147" t="s">
        <v>4285</v>
      </c>
      <c r="D128" s="170"/>
      <c r="E128" s="147"/>
      <c r="F128" s="147"/>
      <c r="G128" s="35"/>
      <c r="H128" s="35"/>
      <c r="I128" s="88"/>
    </row>
    <row r="129" spans="1:9" ht="13">
      <c r="A129" s="147" t="s">
        <v>10846</v>
      </c>
      <c r="B129" s="152" t="s">
        <v>203</v>
      </c>
      <c r="C129" s="147" t="s">
        <v>197</v>
      </c>
      <c r="D129" s="147"/>
      <c r="E129" s="147"/>
      <c r="F129" s="147"/>
      <c r="G129" s="35"/>
      <c r="H129" s="35"/>
      <c r="I129" s="88"/>
    </row>
    <row r="130" spans="1:9" ht="13">
      <c r="A130" s="147" t="s">
        <v>10847</v>
      </c>
      <c r="B130" s="152" t="s">
        <v>957</v>
      </c>
      <c r="C130" s="147" t="s">
        <v>197</v>
      </c>
      <c r="D130" s="147"/>
      <c r="E130" s="147"/>
      <c r="F130" s="151"/>
      <c r="G130" s="35"/>
      <c r="H130" s="35"/>
      <c r="I130" s="88"/>
    </row>
    <row r="131" spans="1:9" ht="13">
      <c r="A131" s="147" t="s">
        <v>10848</v>
      </c>
      <c r="B131" s="152" t="s">
        <v>944</v>
      </c>
      <c r="C131" s="147" t="s">
        <v>197</v>
      </c>
      <c r="D131" s="147"/>
      <c r="E131" s="147"/>
      <c r="F131" s="151"/>
      <c r="G131" s="35"/>
      <c r="H131" s="35"/>
      <c r="I131" s="88"/>
    </row>
    <row r="132" spans="1:9" ht="13">
      <c r="A132" s="147" t="s">
        <v>10849</v>
      </c>
      <c r="B132" s="152" t="s">
        <v>218</v>
      </c>
      <c r="C132" s="147" t="s">
        <v>197</v>
      </c>
      <c r="D132" s="147"/>
      <c r="E132" s="147"/>
      <c r="F132" s="147"/>
      <c r="G132" s="35"/>
      <c r="H132" s="35"/>
      <c r="I132" s="88"/>
    </row>
    <row r="133" spans="1:9" ht="13">
      <c r="A133" s="147" t="s">
        <v>10850</v>
      </c>
      <c r="B133" s="152" t="s">
        <v>1278</v>
      </c>
      <c r="C133" s="147" t="s">
        <v>197</v>
      </c>
      <c r="D133" s="147"/>
      <c r="E133" s="147"/>
      <c r="F133" s="151"/>
      <c r="G133" s="35"/>
      <c r="H133" s="35"/>
      <c r="I133" s="88"/>
    </row>
    <row r="134" spans="1:9" ht="13">
      <c r="A134" s="147" t="s">
        <v>10851</v>
      </c>
      <c r="B134" s="152" t="s">
        <v>1282</v>
      </c>
      <c r="C134" s="147" t="s">
        <v>197</v>
      </c>
      <c r="D134" s="147"/>
      <c r="E134" s="147"/>
      <c r="F134" s="151"/>
      <c r="G134" s="35"/>
      <c r="H134" s="35"/>
      <c r="I134" s="88"/>
    </row>
    <row r="135" spans="1:9" ht="13">
      <c r="A135" s="147" t="s">
        <v>10852</v>
      </c>
      <c r="B135" s="152" t="s">
        <v>1230</v>
      </c>
      <c r="C135" s="147" t="s">
        <v>197</v>
      </c>
      <c r="D135" s="170"/>
      <c r="E135" s="147"/>
      <c r="F135" s="147"/>
      <c r="G135" s="35"/>
      <c r="H135" s="35"/>
      <c r="I135" s="88"/>
    </row>
    <row r="136" spans="1:9" ht="13">
      <c r="A136" s="147" t="s">
        <v>10853</v>
      </c>
      <c r="B136" s="152" t="s">
        <v>1587</v>
      </c>
      <c r="C136" s="147" t="s">
        <v>197</v>
      </c>
      <c r="D136" s="147"/>
      <c r="E136" s="147"/>
      <c r="F136" s="147"/>
      <c r="G136" s="35"/>
      <c r="H136" s="35"/>
      <c r="I136" s="88"/>
    </row>
    <row r="137" spans="1:9" ht="13">
      <c r="A137" s="147" t="s">
        <v>10854</v>
      </c>
      <c r="B137" s="152" t="s">
        <v>4161</v>
      </c>
      <c r="C137" s="147" t="s">
        <v>197</v>
      </c>
      <c r="D137" s="147"/>
      <c r="E137" s="147"/>
      <c r="F137" s="151"/>
      <c r="G137" s="35"/>
      <c r="H137" s="35"/>
      <c r="I137" s="88"/>
    </row>
    <row r="138" spans="1:9" ht="13">
      <c r="A138" s="147" t="s">
        <v>10855</v>
      </c>
      <c r="B138" s="152" t="s">
        <v>4162</v>
      </c>
      <c r="C138" s="147" t="s">
        <v>197</v>
      </c>
      <c r="D138" s="147"/>
      <c r="E138" s="147"/>
      <c r="F138" s="151"/>
      <c r="G138" s="35"/>
      <c r="H138" s="35"/>
      <c r="I138" s="88"/>
    </row>
    <row r="139" spans="1:9" ht="13">
      <c r="A139" s="147" t="s">
        <v>10856</v>
      </c>
      <c r="B139" s="152" t="s">
        <v>4163</v>
      </c>
      <c r="C139" s="147" t="s">
        <v>197</v>
      </c>
      <c r="D139" s="147"/>
      <c r="E139" s="147"/>
      <c r="F139" s="147"/>
      <c r="G139" s="35"/>
      <c r="H139" s="35"/>
      <c r="I139" s="88"/>
    </row>
    <row r="140" spans="1:9" ht="13">
      <c r="A140" s="147" t="s">
        <v>10857</v>
      </c>
      <c r="B140" s="152" t="s">
        <v>4316</v>
      </c>
      <c r="C140" s="147" t="s">
        <v>197</v>
      </c>
      <c r="D140" s="147"/>
      <c r="E140" s="147"/>
      <c r="F140" s="151"/>
      <c r="G140" s="35"/>
      <c r="H140" s="35"/>
      <c r="I140" s="88"/>
    </row>
    <row r="141" spans="1:9" ht="13">
      <c r="A141" s="147" t="s">
        <v>10858</v>
      </c>
      <c r="B141" s="152" t="s">
        <v>4318</v>
      </c>
      <c r="C141" s="147" t="s">
        <v>197</v>
      </c>
      <c r="D141" s="147"/>
      <c r="E141" s="147"/>
      <c r="F141" s="147"/>
      <c r="G141" s="35"/>
      <c r="H141" s="35"/>
      <c r="I141" s="88"/>
    </row>
    <row r="142" spans="1:9" ht="13">
      <c r="A142" s="147" t="s">
        <v>10859</v>
      </c>
      <c r="B142" s="152" t="s">
        <v>5027</v>
      </c>
      <c r="C142" s="147" t="s">
        <v>197</v>
      </c>
      <c r="D142" s="147"/>
      <c r="E142" s="147"/>
      <c r="F142" s="147"/>
      <c r="G142" s="35"/>
      <c r="H142" s="35"/>
      <c r="I142" s="88"/>
    </row>
    <row r="143" spans="1:9" ht="13">
      <c r="A143" s="147" t="s">
        <v>10860</v>
      </c>
      <c r="B143" s="152" t="s">
        <v>5040</v>
      </c>
      <c r="C143" s="147" t="s">
        <v>197</v>
      </c>
      <c r="D143" s="147"/>
      <c r="E143" s="147"/>
      <c r="F143" s="147"/>
      <c r="G143" s="35"/>
      <c r="H143" s="35"/>
      <c r="I143" s="88"/>
    </row>
    <row r="144" spans="1:9" ht="13">
      <c r="A144" s="147" t="s">
        <v>10861</v>
      </c>
      <c r="B144" s="152" t="s">
        <v>5041</v>
      </c>
      <c r="C144" s="147" t="s">
        <v>197</v>
      </c>
      <c r="D144" s="147"/>
      <c r="E144" s="147"/>
      <c r="F144" s="151"/>
      <c r="G144" s="35"/>
      <c r="H144" s="35"/>
      <c r="I144" s="88"/>
    </row>
    <row r="145" spans="1:9" ht="13">
      <c r="A145" s="147" t="s">
        <v>10862</v>
      </c>
      <c r="B145" s="152" t="s">
        <v>10863</v>
      </c>
      <c r="C145" s="147" t="s">
        <v>1013</v>
      </c>
      <c r="D145" s="147"/>
      <c r="E145" s="147"/>
      <c r="F145" s="147"/>
      <c r="G145" s="35"/>
      <c r="H145" s="35"/>
      <c r="I145" s="88"/>
    </row>
    <row r="146" spans="1:9" ht="13">
      <c r="A146" s="147" t="s">
        <v>10864</v>
      </c>
      <c r="B146" s="148" t="s">
        <v>10865</v>
      </c>
      <c r="C146" s="147" t="s">
        <v>4114</v>
      </c>
      <c r="D146" s="147"/>
      <c r="E146" s="147"/>
      <c r="F146" s="151"/>
      <c r="G146" s="35"/>
      <c r="H146" s="35"/>
      <c r="I146" s="88"/>
    </row>
    <row r="147" spans="1:9" ht="13">
      <c r="A147" s="147" t="s">
        <v>10866</v>
      </c>
      <c r="B147" s="148" t="s">
        <v>1014</v>
      </c>
      <c r="C147" s="147" t="s">
        <v>1013</v>
      </c>
      <c r="D147" s="147"/>
      <c r="E147" s="147"/>
      <c r="F147" s="151"/>
      <c r="G147" s="35"/>
      <c r="H147" s="35"/>
      <c r="I147" s="88"/>
    </row>
    <row r="148" spans="1:9" ht="13">
      <c r="A148" s="147" t="s">
        <v>10867</v>
      </c>
      <c r="B148" s="148" t="s">
        <v>10868</v>
      </c>
      <c r="C148" s="147" t="s">
        <v>229</v>
      </c>
      <c r="D148" s="147"/>
      <c r="E148" s="147"/>
      <c r="F148" s="151"/>
      <c r="G148" s="35"/>
      <c r="H148" s="35"/>
      <c r="I148" s="88"/>
    </row>
    <row r="149" spans="1:9" ht="13">
      <c r="A149" s="147" t="s">
        <v>10869</v>
      </c>
      <c r="B149" s="148" t="s">
        <v>10870</v>
      </c>
      <c r="C149" s="147" t="s">
        <v>4114</v>
      </c>
      <c r="D149" s="147"/>
      <c r="E149" s="147"/>
      <c r="F149" s="147"/>
      <c r="G149" s="35"/>
      <c r="H149" s="35"/>
      <c r="I149" s="88"/>
    </row>
    <row r="150" spans="1:9" ht="13">
      <c r="A150" s="147" t="s">
        <v>10871</v>
      </c>
      <c r="B150" s="148" t="s">
        <v>10872</v>
      </c>
      <c r="C150" s="147" t="s">
        <v>4114</v>
      </c>
      <c r="D150" s="147"/>
      <c r="E150" s="147"/>
      <c r="F150" s="151"/>
      <c r="G150" s="35"/>
      <c r="H150" s="35"/>
      <c r="I150" s="88"/>
    </row>
    <row r="151" spans="1:9" ht="13">
      <c r="A151" s="147" t="s">
        <v>10873</v>
      </c>
      <c r="B151" s="148" t="s">
        <v>10874</v>
      </c>
      <c r="C151" s="147" t="s">
        <v>4114</v>
      </c>
      <c r="D151" s="147"/>
      <c r="E151" s="147"/>
      <c r="F151" s="151"/>
      <c r="G151" s="35"/>
      <c r="H151" s="35"/>
      <c r="I151" s="88"/>
    </row>
    <row r="152" spans="1:9" ht="13">
      <c r="A152" s="147" t="s">
        <v>10875</v>
      </c>
      <c r="B152" s="148" t="s">
        <v>10876</v>
      </c>
      <c r="C152" s="147" t="s">
        <v>4114</v>
      </c>
      <c r="D152" s="147"/>
      <c r="E152" s="147"/>
      <c r="F152" s="147"/>
      <c r="G152" s="35"/>
      <c r="H152" s="35"/>
      <c r="I152" s="88"/>
    </row>
    <row r="153" spans="1:9" ht="13">
      <c r="A153" s="147" t="s">
        <v>10877</v>
      </c>
      <c r="B153" s="148" t="s">
        <v>10878</v>
      </c>
      <c r="C153" s="147" t="s">
        <v>1013</v>
      </c>
      <c r="D153" s="147"/>
      <c r="E153" s="147"/>
      <c r="F153" s="151"/>
      <c r="G153" s="35"/>
      <c r="H153" s="35"/>
      <c r="I153" s="88"/>
    </row>
    <row r="154" spans="1:9" ht="13">
      <c r="A154" s="147" t="s">
        <v>10879</v>
      </c>
      <c r="B154" s="148" t="s">
        <v>10880</v>
      </c>
      <c r="C154" s="147" t="s">
        <v>4114</v>
      </c>
      <c r="D154" s="147"/>
      <c r="E154" s="147"/>
      <c r="F154" s="151"/>
      <c r="G154" s="35"/>
      <c r="H154" s="35"/>
      <c r="I154" s="88"/>
    </row>
    <row r="155" spans="1:9" ht="13">
      <c r="A155" s="147" t="s">
        <v>10881</v>
      </c>
      <c r="B155" s="148" t="s">
        <v>10882</v>
      </c>
      <c r="C155" s="147" t="s">
        <v>4114</v>
      </c>
      <c r="D155" s="147"/>
      <c r="E155" s="147"/>
      <c r="F155" s="147"/>
      <c r="G155" s="35"/>
      <c r="H155" s="35"/>
      <c r="I155" s="88"/>
    </row>
    <row r="156" spans="1:9" ht="13">
      <c r="A156" s="147" t="s">
        <v>10883</v>
      </c>
      <c r="B156" s="148" t="s">
        <v>10884</v>
      </c>
      <c r="C156" s="147" t="s">
        <v>1013</v>
      </c>
      <c r="D156" s="147"/>
      <c r="E156" s="147"/>
      <c r="F156" s="151"/>
      <c r="G156" s="35"/>
      <c r="H156" s="35"/>
      <c r="I156" s="88"/>
    </row>
    <row r="157" spans="1:9" ht="13">
      <c r="A157" s="147" t="s">
        <v>10885</v>
      </c>
      <c r="B157" s="148" t="s">
        <v>10886</v>
      </c>
      <c r="C157" s="147" t="s">
        <v>4114</v>
      </c>
      <c r="D157" s="147"/>
      <c r="E157" s="147"/>
      <c r="F157" s="147"/>
      <c r="G157" s="35"/>
      <c r="H157" s="35"/>
      <c r="I157" s="88"/>
    </row>
    <row r="158" spans="1:9" ht="13">
      <c r="A158" s="147" t="s">
        <v>10887</v>
      </c>
      <c r="B158" s="148" t="s">
        <v>10888</v>
      </c>
      <c r="C158" s="147" t="s">
        <v>4114</v>
      </c>
      <c r="D158" s="147"/>
      <c r="E158" s="147"/>
      <c r="F158" s="147"/>
      <c r="G158" s="35"/>
      <c r="H158" s="35"/>
      <c r="I158" s="88"/>
    </row>
    <row r="159" spans="1:9" ht="13">
      <c r="A159" s="147" t="s">
        <v>10889</v>
      </c>
      <c r="B159" s="148" t="s">
        <v>10890</v>
      </c>
      <c r="C159" s="147" t="s">
        <v>4114</v>
      </c>
      <c r="D159" s="147"/>
      <c r="E159" s="147"/>
      <c r="F159" s="147"/>
      <c r="G159" s="35"/>
      <c r="H159" s="35"/>
      <c r="I159" s="88"/>
    </row>
    <row r="160" spans="1:9" ht="13">
      <c r="A160" s="147" t="s">
        <v>10891</v>
      </c>
      <c r="B160" s="148" t="s">
        <v>10892</v>
      </c>
      <c r="C160" s="147" t="s">
        <v>4114</v>
      </c>
      <c r="D160" s="147"/>
      <c r="E160" s="147"/>
      <c r="F160" s="151"/>
      <c r="G160" s="35"/>
      <c r="H160" s="35"/>
      <c r="I160" s="88"/>
    </row>
    <row r="161" spans="1:9" ht="13">
      <c r="A161" s="147" t="s">
        <v>10893</v>
      </c>
      <c r="B161" s="148" t="s">
        <v>10894</v>
      </c>
      <c r="C161" s="147" t="s">
        <v>229</v>
      </c>
      <c r="D161" s="147"/>
      <c r="E161" s="147"/>
      <c r="F161" s="147"/>
      <c r="G161" s="35"/>
      <c r="H161" s="35"/>
      <c r="I161" s="137"/>
    </row>
    <row r="162" spans="1:9" ht="13">
      <c r="A162" s="147" t="s">
        <v>10895</v>
      </c>
      <c r="B162" s="152" t="s">
        <v>10896</v>
      </c>
      <c r="C162" s="147" t="s">
        <v>4114</v>
      </c>
      <c r="D162" s="147"/>
      <c r="E162" s="147"/>
      <c r="F162" s="151"/>
      <c r="G162" s="35"/>
      <c r="H162" s="35"/>
      <c r="I162" s="88"/>
    </row>
    <row r="163" spans="1:9" ht="13">
      <c r="A163" s="147" t="s">
        <v>10897</v>
      </c>
      <c r="B163" s="152" t="s">
        <v>10898</v>
      </c>
      <c r="C163" s="147" t="s">
        <v>4114</v>
      </c>
      <c r="D163" s="147"/>
      <c r="E163" s="147"/>
      <c r="F163" s="147"/>
      <c r="G163" s="35"/>
      <c r="H163" s="35"/>
      <c r="I163" s="88"/>
    </row>
    <row r="164" spans="1:9" ht="13">
      <c r="A164" s="147" t="s">
        <v>10899</v>
      </c>
      <c r="B164" s="152" t="s">
        <v>10900</v>
      </c>
      <c r="C164" s="147" t="s">
        <v>4114</v>
      </c>
      <c r="D164" s="147"/>
      <c r="E164" s="147"/>
      <c r="F164" s="151"/>
      <c r="G164" s="35"/>
      <c r="H164" s="35"/>
      <c r="I164" s="88"/>
    </row>
    <row r="165" spans="1:9" ht="13">
      <c r="A165" s="147" t="s">
        <v>10901</v>
      </c>
      <c r="B165" s="152" t="s">
        <v>10902</v>
      </c>
      <c r="C165" s="147" t="s">
        <v>229</v>
      </c>
      <c r="D165" s="147"/>
      <c r="E165" s="147"/>
      <c r="F165" s="151"/>
      <c r="G165" s="35"/>
      <c r="H165" s="35"/>
      <c r="I165" s="88"/>
    </row>
    <row r="166" spans="1:9" ht="13">
      <c r="A166" s="147" t="s">
        <v>10903</v>
      </c>
      <c r="B166" s="152" t="s">
        <v>10904</v>
      </c>
      <c r="C166" s="147" t="s">
        <v>4114</v>
      </c>
      <c r="D166" s="147"/>
      <c r="E166" s="147"/>
      <c r="F166" s="151"/>
      <c r="G166" s="35"/>
      <c r="H166" s="35"/>
      <c r="I166" s="88"/>
    </row>
    <row r="167" spans="1:9" ht="13">
      <c r="A167" s="147" t="s">
        <v>10905</v>
      </c>
      <c r="B167" s="152" t="s">
        <v>10906</v>
      </c>
      <c r="C167" s="147" t="s">
        <v>4114</v>
      </c>
      <c r="D167" s="147"/>
      <c r="E167" s="147"/>
      <c r="F167" s="151"/>
      <c r="G167" s="35"/>
      <c r="H167" s="35"/>
      <c r="I167" s="88"/>
    </row>
    <row r="168" spans="1:9" ht="13">
      <c r="A168" s="147" t="s">
        <v>10907</v>
      </c>
      <c r="B168" s="148" t="s">
        <v>10908</v>
      </c>
      <c r="C168" s="147" t="s">
        <v>1013</v>
      </c>
      <c r="D168" s="147"/>
      <c r="E168" s="147"/>
      <c r="F168" s="151"/>
      <c r="G168" s="35"/>
      <c r="H168" s="35"/>
      <c r="I168" s="88"/>
    </row>
    <row r="169" spans="1:9" ht="13">
      <c r="A169" s="147" t="s">
        <v>10909</v>
      </c>
      <c r="B169" s="148" t="s">
        <v>10910</v>
      </c>
      <c r="C169" s="147" t="s">
        <v>317</v>
      </c>
      <c r="D169" s="147"/>
      <c r="E169" s="147"/>
      <c r="F169" s="151"/>
      <c r="G169" s="35"/>
      <c r="H169" s="35"/>
      <c r="I169" s="88"/>
    </row>
    <row r="170" spans="1:9" ht="13">
      <c r="A170" s="147" t="s">
        <v>10911</v>
      </c>
      <c r="B170" s="148" t="s">
        <v>8838</v>
      </c>
      <c r="C170" s="147" t="s">
        <v>205</v>
      </c>
      <c r="D170" s="170"/>
      <c r="E170" s="147"/>
      <c r="F170" s="151"/>
      <c r="G170" s="35"/>
      <c r="H170" s="35"/>
      <c r="I170" s="88"/>
    </row>
    <row r="171" spans="1:9" ht="13">
      <c r="A171" s="147" t="s">
        <v>10912</v>
      </c>
      <c r="B171" s="148" t="s">
        <v>8838</v>
      </c>
      <c r="C171" s="147" t="s">
        <v>205</v>
      </c>
      <c r="D171" s="170"/>
      <c r="E171" s="147"/>
      <c r="F171" s="151"/>
      <c r="G171" s="35"/>
      <c r="H171" s="35"/>
      <c r="I171" s="88"/>
    </row>
    <row r="172" spans="1:9" ht="13">
      <c r="A172" s="147" t="s">
        <v>10913</v>
      </c>
      <c r="B172" s="148" t="s">
        <v>10713</v>
      </c>
      <c r="C172" s="147" t="s">
        <v>205</v>
      </c>
      <c r="D172" s="170"/>
      <c r="E172" s="147"/>
      <c r="F172" s="147"/>
      <c r="G172" s="35"/>
      <c r="H172" s="35"/>
      <c r="I172" s="88"/>
    </row>
    <row r="173" spans="1:9" ht="13">
      <c r="A173" s="147" t="s">
        <v>10914</v>
      </c>
      <c r="B173" s="148" t="s">
        <v>8778</v>
      </c>
      <c r="C173" s="147" t="s">
        <v>199</v>
      </c>
      <c r="D173" s="170"/>
      <c r="E173" s="147"/>
      <c r="F173" s="151"/>
      <c r="G173" s="35"/>
      <c r="H173" s="35"/>
      <c r="I173" s="88"/>
    </row>
    <row r="174" spans="1:9" ht="13">
      <c r="A174" s="147" t="s">
        <v>10915</v>
      </c>
      <c r="B174" s="148" t="s">
        <v>10723</v>
      </c>
      <c r="C174" s="147" t="s">
        <v>199</v>
      </c>
      <c r="D174" s="170"/>
      <c r="E174" s="151"/>
      <c r="F174" s="151"/>
      <c r="G174" s="35"/>
      <c r="H174" s="35"/>
      <c r="I174" s="88"/>
    </row>
    <row r="175" spans="1:9" ht="13">
      <c r="A175" s="147" t="s">
        <v>10916</v>
      </c>
      <c r="B175" s="148" t="s">
        <v>10731</v>
      </c>
      <c r="C175" s="147" t="s">
        <v>208</v>
      </c>
      <c r="D175" s="170"/>
      <c r="E175" s="147"/>
      <c r="F175" s="151"/>
      <c r="G175" s="35"/>
      <c r="H175" s="35"/>
      <c r="I175" s="88"/>
    </row>
    <row r="176" spans="1:9" ht="13">
      <c r="A176" s="147" t="s">
        <v>10917</v>
      </c>
      <c r="B176" s="152" t="s">
        <v>8780</v>
      </c>
      <c r="C176" s="147" t="s">
        <v>208</v>
      </c>
      <c r="D176" s="170"/>
      <c r="E176" s="147"/>
      <c r="F176" s="151"/>
      <c r="G176" s="35"/>
      <c r="H176" s="35"/>
      <c r="I176" s="88"/>
    </row>
    <row r="177" spans="1:9" ht="13">
      <c r="A177" s="147" t="s">
        <v>10918</v>
      </c>
      <c r="B177" s="152" t="s">
        <v>10736</v>
      </c>
      <c r="C177" s="147" t="s">
        <v>208</v>
      </c>
      <c r="D177" s="170"/>
      <c r="E177" s="147"/>
      <c r="F177" s="147"/>
      <c r="G177" s="35"/>
      <c r="H177" s="35"/>
      <c r="I177" s="88"/>
    </row>
    <row r="178" spans="1:9" ht="13">
      <c r="A178" s="147" t="s">
        <v>10919</v>
      </c>
      <c r="B178" s="152" t="s">
        <v>8842</v>
      </c>
      <c r="C178" s="147" t="s">
        <v>208</v>
      </c>
      <c r="D178" s="170"/>
      <c r="E178" s="147"/>
      <c r="F178" s="151"/>
      <c r="G178" s="35"/>
      <c r="H178" s="35"/>
      <c r="I178" s="88"/>
    </row>
    <row r="179" spans="1:9" ht="13">
      <c r="A179" s="147" t="s">
        <v>10920</v>
      </c>
      <c r="B179" s="152" t="s">
        <v>8842</v>
      </c>
      <c r="C179" s="147" t="s">
        <v>208</v>
      </c>
      <c r="D179" s="170"/>
      <c r="E179" s="147"/>
      <c r="F179" s="151"/>
      <c r="G179" s="35"/>
      <c r="H179" s="35"/>
      <c r="I179" s="88"/>
    </row>
    <row r="180" spans="1:9" ht="13">
      <c r="A180" s="147" t="s">
        <v>10921</v>
      </c>
      <c r="B180" s="152" t="s">
        <v>10755</v>
      </c>
      <c r="C180" s="147" t="s">
        <v>208</v>
      </c>
      <c r="D180" s="170"/>
      <c r="E180" s="147"/>
      <c r="F180" s="151"/>
      <c r="G180" s="35"/>
      <c r="H180" s="35"/>
      <c r="I180" s="88"/>
    </row>
    <row r="181" spans="1:9" ht="13">
      <c r="A181" s="147" t="s">
        <v>10922</v>
      </c>
      <c r="B181" s="152" t="s">
        <v>8782</v>
      </c>
      <c r="C181" s="147" t="s">
        <v>192</v>
      </c>
      <c r="D181" s="147"/>
      <c r="E181" s="147"/>
      <c r="F181" s="151"/>
      <c r="G181" s="35"/>
      <c r="H181" s="35"/>
      <c r="I181" s="88"/>
    </row>
    <row r="182" spans="1:9" ht="13">
      <c r="A182" s="147" t="s">
        <v>10923</v>
      </c>
      <c r="B182" s="152" t="s">
        <v>10766</v>
      </c>
      <c r="C182" s="147" t="s">
        <v>192</v>
      </c>
      <c r="D182" s="170"/>
      <c r="E182" s="147"/>
      <c r="F182" s="151"/>
      <c r="G182" s="35"/>
      <c r="H182" s="35"/>
      <c r="I182" s="88"/>
    </row>
    <row r="183" spans="1:9" ht="13">
      <c r="A183" s="147" t="s">
        <v>10924</v>
      </c>
      <c r="B183" s="152" t="s">
        <v>8851</v>
      </c>
      <c r="C183" s="147" t="s">
        <v>195</v>
      </c>
      <c r="D183" s="170"/>
      <c r="E183" s="147"/>
      <c r="F183" s="147"/>
      <c r="G183" s="35"/>
      <c r="H183" s="35"/>
      <c r="I183" s="88"/>
    </row>
    <row r="184" spans="1:9" ht="13">
      <c r="A184" s="147" t="s">
        <v>10925</v>
      </c>
      <c r="B184" s="152" t="s">
        <v>8851</v>
      </c>
      <c r="C184" s="147" t="s">
        <v>195</v>
      </c>
      <c r="D184" s="170"/>
      <c r="E184" s="147"/>
      <c r="F184" s="151"/>
      <c r="G184" s="35"/>
      <c r="H184" s="35"/>
      <c r="I184" s="88"/>
    </row>
    <row r="185" spans="1:9" ht="13">
      <c r="A185" s="147" t="s">
        <v>10926</v>
      </c>
      <c r="B185" s="152" t="s">
        <v>10782</v>
      </c>
      <c r="C185" s="147" t="s">
        <v>195</v>
      </c>
      <c r="D185" s="170"/>
      <c r="E185" s="147"/>
      <c r="F185" s="147"/>
      <c r="G185" s="35"/>
      <c r="H185" s="35"/>
      <c r="I185" s="88"/>
    </row>
    <row r="186" spans="1:9" ht="13">
      <c r="A186" s="147" t="s">
        <v>10927</v>
      </c>
      <c r="B186" s="152" t="s">
        <v>10782</v>
      </c>
      <c r="C186" s="147" t="s">
        <v>195</v>
      </c>
      <c r="D186" s="170"/>
      <c r="E186" s="147"/>
      <c r="F186" s="147"/>
      <c r="G186" s="35"/>
      <c r="H186" s="35"/>
      <c r="I186" s="88"/>
    </row>
    <row r="187" spans="1:9" ht="13">
      <c r="A187" s="147" t="s">
        <v>10928</v>
      </c>
      <c r="B187" s="152" t="s">
        <v>8853</v>
      </c>
      <c r="C187" s="147" t="s">
        <v>195</v>
      </c>
      <c r="D187" s="170"/>
      <c r="E187" s="151"/>
      <c r="F187" s="147"/>
      <c r="G187" s="35"/>
      <c r="H187" s="35"/>
      <c r="I187" s="88"/>
    </row>
    <row r="188" spans="1:9" ht="13">
      <c r="A188" s="147" t="s">
        <v>10929</v>
      </c>
      <c r="B188" s="148" t="s">
        <v>8853</v>
      </c>
      <c r="C188" s="147" t="s">
        <v>195</v>
      </c>
      <c r="D188" s="170"/>
      <c r="E188" s="147"/>
      <c r="F188" s="151"/>
      <c r="G188" s="35"/>
      <c r="H188" s="35"/>
      <c r="I188" s="88"/>
    </row>
    <row r="189" spans="1:9" ht="13">
      <c r="A189" s="147" t="s">
        <v>10930</v>
      </c>
      <c r="B189" s="148" t="s">
        <v>10797</v>
      </c>
      <c r="C189" s="147" t="s">
        <v>225</v>
      </c>
      <c r="D189" s="170"/>
      <c r="E189" s="147"/>
      <c r="F189" s="151"/>
      <c r="G189" s="35"/>
      <c r="H189" s="35"/>
      <c r="I189" s="88"/>
    </row>
    <row r="190" spans="1:9" ht="13">
      <c r="A190" s="147" t="s">
        <v>10931</v>
      </c>
      <c r="B190" s="148" t="s">
        <v>10797</v>
      </c>
      <c r="C190" s="147" t="s">
        <v>225</v>
      </c>
      <c r="D190" s="170"/>
      <c r="E190" s="147"/>
      <c r="F190" s="147"/>
      <c r="G190" s="35"/>
      <c r="H190" s="35"/>
      <c r="I190" s="88"/>
    </row>
    <row r="191" spans="1:9" ht="13">
      <c r="A191" s="147" t="s">
        <v>10932</v>
      </c>
      <c r="B191" s="148" t="s">
        <v>8847</v>
      </c>
      <c r="C191" s="147" t="s">
        <v>225</v>
      </c>
      <c r="D191" s="170"/>
      <c r="E191" s="147"/>
      <c r="F191" s="151"/>
      <c r="G191" s="35"/>
      <c r="H191" s="35"/>
      <c r="I191" s="88"/>
    </row>
    <row r="192" spans="1:9" ht="13">
      <c r="A192" s="147" t="s">
        <v>10933</v>
      </c>
      <c r="B192" s="148" t="s">
        <v>8855</v>
      </c>
      <c r="C192" s="147" t="s">
        <v>808</v>
      </c>
      <c r="D192" s="170"/>
      <c r="E192" s="147"/>
      <c r="F192" s="147"/>
      <c r="G192" s="35"/>
      <c r="H192" s="35"/>
      <c r="I192" s="88"/>
    </row>
    <row r="193" spans="1:9" ht="13">
      <c r="A193" s="147" t="s">
        <v>10934</v>
      </c>
      <c r="B193" s="148" t="s">
        <v>8855</v>
      </c>
      <c r="C193" s="147" t="s">
        <v>808</v>
      </c>
      <c r="D193" s="170"/>
      <c r="E193" s="151"/>
      <c r="F193" s="147"/>
      <c r="G193" s="35"/>
      <c r="H193" s="35"/>
      <c r="I193" s="88"/>
    </row>
    <row r="194" spans="1:9" ht="13">
      <c r="A194" s="147" t="s">
        <v>10935</v>
      </c>
      <c r="B194" s="148" t="s">
        <v>10817</v>
      </c>
      <c r="C194" s="147" t="s">
        <v>808</v>
      </c>
      <c r="D194" s="147"/>
      <c r="E194" s="151"/>
      <c r="F194" s="147"/>
      <c r="G194" s="35"/>
      <c r="H194" s="35"/>
      <c r="I194" s="88"/>
    </row>
    <row r="195" spans="1:9" ht="13">
      <c r="A195" s="147" t="s">
        <v>10936</v>
      </c>
      <c r="B195" s="148" t="s">
        <v>8787</v>
      </c>
      <c r="C195" s="147" t="s">
        <v>4285</v>
      </c>
      <c r="D195" s="170"/>
      <c r="E195" s="147"/>
      <c r="F195" s="147"/>
      <c r="G195" s="35"/>
      <c r="H195" s="35"/>
      <c r="I195" s="88"/>
    </row>
    <row r="196" spans="1:9" ht="13">
      <c r="A196" s="147" t="s">
        <v>10937</v>
      </c>
      <c r="B196" s="148" t="s">
        <v>8787</v>
      </c>
      <c r="C196" s="147" t="s">
        <v>4285</v>
      </c>
      <c r="D196" s="170"/>
      <c r="E196" s="151"/>
      <c r="F196" s="151"/>
      <c r="G196" s="35"/>
      <c r="H196" s="35"/>
      <c r="I196" s="88"/>
    </row>
    <row r="197" spans="1:9" ht="13">
      <c r="A197" s="147" t="s">
        <v>10938</v>
      </c>
      <c r="B197" s="148" t="s">
        <v>8774</v>
      </c>
      <c r="C197" s="147" t="s">
        <v>4285</v>
      </c>
      <c r="D197" s="170"/>
      <c r="E197" s="147"/>
      <c r="F197" s="151"/>
      <c r="G197" s="35"/>
      <c r="H197" s="35"/>
      <c r="I197" s="88"/>
    </row>
    <row r="198" spans="1:9" ht="13">
      <c r="A198" s="147" t="s">
        <v>10939</v>
      </c>
      <c r="B198" s="148" t="s">
        <v>8774</v>
      </c>
      <c r="C198" s="147" t="s">
        <v>4285</v>
      </c>
      <c r="D198" s="170"/>
      <c r="E198" s="151"/>
      <c r="F198" s="151"/>
      <c r="G198" s="35"/>
      <c r="H198" s="35"/>
      <c r="I198" s="88"/>
    </row>
    <row r="199" spans="1:9" ht="13">
      <c r="A199" s="147" t="s">
        <v>10940</v>
      </c>
      <c r="B199" s="148" t="s">
        <v>8776</v>
      </c>
      <c r="C199" s="147" t="s">
        <v>4285</v>
      </c>
      <c r="D199" s="170"/>
      <c r="E199" s="147"/>
      <c r="F199" s="151"/>
      <c r="G199" s="35"/>
      <c r="H199" s="35"/>
      <c r="I199" s="88"/>
    </row>
    <row r="200" spans="1:9" ht="13">
      <c r="A200" s="147" t="s">
        <v>10941</v>
      </c>
      <c r="B200" s="148" t="s">
        <v>8776</v>
      </c>
      <c r="C200" s="147" t="s">
        <v>4285</v>
      </c>
      <c r="D200" s="170"/>
      <c r="E200" s="151"/>
      <c r="F200" s="151"/>
      <c r="G200" s="35"/>
      <c r="H200" s="35"/>
      <c r="I200" s="88"/>
    </row>
    <row r="201" spans="1:9" ht="13">
      <c r="A201" s="147" t="s">
        <v>10942</v>
      </c>
      <c r="B201" s="148" t="s">
        <v>9693</v>
      </c>
      <c r="C201" s="147" t="s">
        <v>4285</v>
      </c>
      <c r="D201" s="170"/>
      <c r="E201" s="151"/>
      <c r="F201" s="147"/>
      <c r="G201" s="35"/>
      <c r="H201" s="35"/>
      <c r="I201" s="88"/>
    </row>
    <row r="202" spans="1:9" ht="13">
      <c r="A202" s="147" t="s">
        <v>10943</v>
      </c>
      <c r="B202" s="152" t="s">
        <v>9693</v>
      </c>
      <c r="C202" s="147" t="s">
        <v>4285</v>
      </c>
      <c r="D202" s="35"/>
      <c r="E202" s="151"/>
      <c r="F202" s="151"/>
      <c r="G202" s="35"/>
      <c r="H202" s="35"/>
      <c r="I202" s="88"/>
    </row>
    <row r="203" spans="1:9" ht="13">
      <c r="A203" s="147" t="s">
        <v>10944</v>
      </c>
      <c r="B203" s="152" t="s">
        <v>10863</v>
      </c>
      <c r="C203" s="147" t="s">
        <v>1013</v>
      </c>
      <c r="D203" s="170"/>
      <c r="E203" s="151"/>
      <c r="F203" s="151"/>
      <c r="G203" s="35"/>
      <c r="H203" s="35"/>
      <c r="I203" s="88"/>
    </row>
    <row r="204" spans="1:9" ht="13">
      <c r="A204" s="147" t="s">
        <v>10945</v>
      </c>
      <c r="B204" s="152" t="s">
        <v>1014</v>
      </c>
      <c r="C204" s="147" t="s">
        <v>1013</v>
      </c>
      <c r="D204" s="147"/>
      <c r="E204" s="151"/>
      <c r="F204" s="147"/>
      <c r="G204" s="35"/>
      <c r="H204" s="35"/>
      <c r="I204" s="88"/>
    </row>
    <row r="205" spans="1:9" ht="13">
      <c r="A205" s="147" t="s">
        <v>10946</v>
      </c>
      <c r="B205" s="152" t="s">
        <v>10878</v>
      </c>
      <c r="C205" s="147" t="s">
        <v>1013</v>
      </c>
      <c r="D205" s="170"/>
      <c r="E205" s="151"/>
      <c r="F205" s="151"/>
      <c r="G205" s="35"/>
      <c r="H205" s="35"/>
      <c r="I205" s="88"/>
    </row>
    <row r="206" spans="1:9" ht="13">
      <c r="A206" s="147" t="s">
        <v>10947</v>
      </c>
      <c r="B206" s="152" t="s">
        <v>10884</v>
      </c>
      <c r="C206" s="147" t="s">
        <v>1013</v>
      </c>
      <c r="D206" s="35"/>
      <c r="E206" s="151"/>
      <c r="F206" s="151"/>
      <c r="G206" s="35"/>
      <c r="H206" s="35"/>
      <c r="I206" s="88"/>
    </row>
    <row r="207" spans="1:9" ht="13">
      <c r="A207" s="147" t="s">
        <v>10948</v>
      </c>
      <c r="B207" s="152" t="s">
        <v>10908</v>
      </c>
      <c r="C207" s="147" t="s">
        <v>1013</v>
      </c>
      <c r="D207" s="35"/>
      <c r="E207" s="151"/>
      <c r="F207" s="151"/>
      <c r="G207" s="35"/>
      <c r="H207" s="35"/>
      <c r="I207" s="88"/>
    </row>
    <row r="208" spans="1:9" ht="13">
      <c r="A208" s="147" t="s">
        <v>10949</v>
      </c>
      <c r="B208" s="152" t="s">
        <v>10707</v>
      </c>
      <c r="C208" s="147" t="s">
        <v>205</v>
      </c>
      <c r="D208" s="170"/>
      <c r="E208" s="151"/>
      <c r="F208" s="151"/>
      <c r="G208" s="35"/>
      <c r="H208" s="35"/>
      <c r="I208" s="88"/>
    </row>
    <row r="209" spans="1:9" ht="13">
      <c r="A209" s="147" t="s">
        <v>10950</v>
      </c>
      <c r="B209" s="152" t="s">
        <v>10707</v>
      </c>
      <c r="C209" s="147" t="s">
        <v>205</v>
      </c>
      <c r="D209" s="170"/>
      <c r="E209" s="151"/>
      <c r="F209" s="151"/>
      <c r="G209" s="35"/>
      <c r="H209" s="35"/>
      <c r="I209" s="88"/>
    </row>
    <row r="210" spans="1:9" ht="13">
      <c r="A210" s="147" t="s">
        <v>10951</v>
      </c>
      <c r="B210" s="152" t="s">
        <v>10715</v>
      </c>
      <c r="C210" s="147" t="s">
        <v>205</v>
      </c>
      <c r="D210" s="35"/>
      <c r="E210" s="151"/>
      <c r="F210" s="151"/>
      <c r="G210" s="35"/>
      <c r="H210" s="35"/>
      <c r="I210" s="88"/>
    </row>
    <row r="211" spans="1:9" ht="13">
      <c r="A211" s="147" t="s">
        <v>10952</v>
      </c>
      <c r="B211" s="152" t="s">
        <v>10733</v>
      </c>
      <c r="C211" s="147" t="s">
        <v>208</v>
      </c>
      <c r="D211" s="35"/>
      <c r="E211" s="151"/>
      <c r="F211" s="151"/>
      <c r="G211" s="35"/>
      <c r="H211" s="35"/>
      <c r="I211" s="88"/>
    </row>
    <row r="212" spans="1:9" ht="13">
      <c r="A212" s="147" t="s">
        <v>10953</v>
      </c>
      <c r="B212" s="152" t="s">
        <v>10747</v>
      </c>
      <c r="C212" s="147" t="s">
        <v>208</v>
      </c>
      <c r="D212" s="170"/>
      <c r="E212" s="151"/>
      <c r="F212" s="151"/>
      <c r="G212" s="35"/>
      <c r="H212" s="35"/>
      <c r="I212" s="88"/>
    </row>
    <row r="213" spans="1:9" ht="13">
      <c r="A213" s="147" t="s">
        <v>10954</v>
      </c>
      <c r="B213" s="152" t="s">
        <v>10747</v>
      </c>
      <c r="C213" s="147" t="s">
        <v>208</v>
      </c>
      <c r="D213" s="170"/>
      <c r="E213" s="151"/>
      <c r="F213" s="151"/>
      <c r="G213" s="35"/>
      <c r="H213" s="35"/>
      <c r="I213" s="88"/>
    </row>
    <row r="214" spans="1:9" ht="13">
      <c r="A214" s="147" t="s">
        <v>10955</v>
      </c>
      <c r="B214" s="148" t="s">
        <v>10768</v>
      </c>
      <c r="C214" s="147" t="s">
        <v>192</v>
      </c>
      <c r="D214" s="35"/>
      <c r="E214" s="151"/>
      <c r="F214" s="151"/>
      <c r="G214" s="35"/>
      <c r="H214" s="35"/>
      <c r="I214" s="88"/>
    </row>
    <row r="215" spans="1:9" ht="13">
      <c r="A215" s="147" t="s">
        <v>10956</v>
      </c>
      <c r="B215" s="148" t="s">
        <v>10788</v>
      </c>
      <c r="C215" s="147" t="s">
        <v>195</v>
      </c>
      <c r="D215" s="170"/>
      <c r="E215" s="151"/>
      <c r="F215" s="151"/>
      <c r="G215" s="35"/>
      <c r="H215" s="35"/>
      <c r="I215" s="88"/>
    </row>
    <row r="216" spans="1:9" ht="13">
      <c r="A216" s="147" t="s">
        <v>10957</v>
      </c>
      <c r="B216" s="148" t="s">
        <v>10788</v>
      </c>
      <c r="C216" s="147" t="s">
        <v>195</v>
      </c>
      <c r="D216" s="35"/>
      <c r="E216" s="151"/>
      <c r="F216" s="151"/>
      <c r="G216" s="35"/>
      <c r="H216" s="35"/>
      <c r="I216" s="88"/>
    </row>
    <row r="217" spans="1:9" ht="13">
      <c r="A217" s="147" t="s">
        <v>10958</v>
      </c>
      <c r="B217" s="148" t="s">
        <v>10807</v>
      </c>
      <c r="C217" s="147" t="s">
        <v>225</v>
      </c>
      <c r="D217" s="35"/>
      <c r="E217" s="151"/>
      <c r="F217" s="151"/>
      <c r="G217" s="35"/>
      <c r="H217" s="35"/>
      <c r="I217" s="88"/>
    </row>
    <row r="218" spans="1:9" ht="13">
      <c r="A218" s="147" t="s">
        <v>10959</v>
      </c>
      <c r="B218" s="148" t="s">
        <v>10811</v>
      </c>
      <c r="C218" s="147" t="s">
        <v>808</v>
      </c>
      <c r="D218" s="170"/>
      <c r="E218" s="151"/>
      <c r="F218" s="147"/>
      <c r="G218" s="35"/>
      <c r="H218" s="35"/>
      <c r="I218" s="88"/>
    </row>
    <row r="219" spans="1:9" ht="13">
      <c r="A219" s="147" t="s">
        <v>10960</v>
      </c>
      <c r="B219" s="148" t="s">
        <v>10811</v>
      </c>
      <c r="C219" s="147" t="s">
        <v>808</v>
      </c>
      <c r="D219" s="170"/>
      <c r="E219" s="151"/>
      <c r="F219" s="151"/>
      <c r="G219" s="35"/>
      <c r="H219" s="35"/>
      <c r="I219" s="88"/>
    </row>
    <row r="220" spans="1:9" ht="13">
      <c r="A220" s="147" t="s">
        <v>10961</v>
      </c>
      <c r="B220" s="148" t="s">
        <v>10819</v>
      </c>
      <c r="C220" s="147" t="s">
        <v>808</v>
      </c>
      <c r="D220" s="151"/>
      <c r="E220" s="151"/>
      <c r="F220" s="151"/>
      <c r="G220" s="35"/>
      <c r="H220" s="35"/>
      <c r="I220" s="88"/>
    </row>
    <row r="221" spans="1:9" ht="13">
      <c r="A221" s="151" t="s">
        <v>10962</v>
      </c>
      <c r="B221" s="152" t="s">
        <v>10830</v>
      </c>
      <c r="C221" s="151" t="s">
        <v>4285</v>
      </c>
      <c r="D221" s="35"/>
      <c r="E221" s="151"/>
      <c r="F221" s="151"/>
      <c r="G221" s="35"/>
      <c r="H221" s="35"/>
      <c r="I221" s="88"/>
    </row>
    <row r="222" spans="1:9" ht="13">
      <c r="A222" s="151" t="s">
        <v>10963</v>
      </c>
      <c r="B222" s="152" t="s">
        <v>10830</v>
      </c>
      <c r="C222" s="151" t="s">
        <v>4285</v>
      </c>
      <c r="D222" s="151"/>
      <c r="E222" s="151"/>
      <c r="F222" s="151"/>
      <c r="G222" s="35"/>
      <c r="H222" s="35"/>
      <c r="I222" s="88"/>
    </row>
    <row r="223" spans="1:9" ht="13">
      <c r="A223" s="151" t="s">
        <v>10964</v>
      </c>
      <c r="B223" s="152" t="s">
        <v>10843</v>
      </c>
      <c r="C223" s="151" t="s">
        <v>4285</v>
      </c>
      <c r="D223" s="35"/>
      <c r="E223" s="151"/>
      <c r="F223" s="151"/>
      <c r="G223" s="35"/>
      <c r="H223" s="35"/>
      <c r="I223" s="88"/>
    </row>
    <row r="224" spans="1:9" ht="13">
      <c r="A224" s="151" t="s">
        <v>10965</v>
      </c>
      <c r="B224" s="152" t="s">
        <v>10843</v>
      </c>
      <c r="C224" s="151" t="s">
        <v>4285</v>
      </c>
      <c r="D224" s="35"/>
      <c r="E224" s="151"/>
      <c r="F224" s="151"/>
      <c r="G224" s="35"/>
      <c r="H224" s="35"/>
      <c r="I224" s="88"/>
    </row>
    <row r="225" spans="1:9" ht="13">
      <c r="A225" s="151" t="s">
        <v>10966</v>
      </c>
      <c r="B225" s="152" t="s">
        <v>10863</v>
      </c>
      <c r="C225" s="151" t="s">
        <v>1013</v>
      </c>
      <c r="D225" s="170"/>
      <c r="E225" s="151"/>
      <c r="F225" s="151"/>
      <c r="G225" s="35"/>
      <c r="H225" s="35"/>
      <c r="I225" s="88"/>
    </row>
    <row r="226" spans="1:9" ht="13">
      <c r="A226" s="151" t="s">
        <v>10967</v>
      </c>
      <c r="B226" s="152" t="s">
        <v>1014</v>
      </c>
      <c r="C226" s="151" t="s">
        <v>1013</v>
      </c>
      <c r="D226" s="35"/>
      <c r="E226" s="151"/>
      <c r="F226" s="151"/>
      <c r="G226" s="35"/>
      <c r="H226" s="35"/>
      <c r="I226" s="88"/>
    </row>
    <row r="227" spans="1:9" ht="13">
      <c r="A227" s="151" t="s">
        <v>10968</v>
      </c>
      <c r="B227" s="152" t="s">
        <v>10878</v>
      </c>
      <c r="C227" s="151" t="s">
        <v>1013</v>
      </c>
      <c r="D227" s="35"/>
      <c r="E227" s="151"/>
      <c r="F227" s="151"/>
      <c r="G227" s="35"/>
      <c r="H227" s="35"/>
      <c r="I227" s="88"/>
    </row>
    <row r="228" spans="1:9" ht="13">
      <c r="A228" s="151" t="s">
        <v>10969</v>
      </c>
      <c r="B228" s="152" t="s">
        <v>10884</v>
      </c>
      <c r="C228" s="151" t="s">
        <v>1013</v>
      </c>
      <c r="D228" s="35"/>
      <c r="E228" s="151"/>
      <c r="F228" s="151"/>
      <c r="G228" s="35"/>
      <c r="H228" s="35"/>
      <c r="I228" s="88"/>
    </row>
    <row r="229" spans="1:9" ht="13">
      <c r="A229" s="151" t="s">
        <v>10970</v>
      </c>
      <c r="B229" s="152" t="s">
        <v>10908</v>
      </c>
      <c r="C229" s="151" t="s">
        <v>1013</v>
      </c>
      <c r="D229" s="151"/>
      <c r="E229" s="151"/>
      <c r="F229" s="151"/>
      <c r="G229" s="35"/>
      <c r="H229" s="35"/>
      <c r="I229" s="88"/>
    </row>
    <row r="230" spans="1:9" ht="13">
      <c r="A230" s="151" t="s">
        <v>10971</v>
      </c>
      <c r="B230" s="152" t="s">
        <v>3372</v>
      </c>
      <c r="C230" s="151" t="s">
        <v>208</v>
      </c>
      <c r="D230" s="35"/>
      <c r="E230" s="151"/>
      <c r="F230" s="151"/>
      <c r="G230" s="35"/>
      <c r="H230" s="35"/>
      <c r="I230" s="88"/>
    </row>
    <row r="231" spans="1:9" ht="13">
      <c r="A231" s="151" t="s">
        <v>10972</v>
      </c>
      <c r="B231" s="152" t="s">
        <v>8722</v>
      </c>
      <c r="C231" s="151" t="s">
        <v>208</v>
      </c>
      <c r="D231" s="35"/>
      <c r="E231" s="151"/>
      <c r="F231" s="151"/>
      <c r="G231" s="35"/>
      <c r="H231" s="35"/>
      <c r="I231" s="88"/>
    </row>
    <row r="232" spans="1:9" ht="13">
      <c r="A232" s="151" t="s">
        <v>10973</v>
      </c>
      <c r="B232" s="152" t="s">
        <v>3101</v>
      </c>
      <c r="C232" s="151" t="s">
        <v>195</v>
      </c>
      <c r="D232" s="35"/>
      <c r="E232" s="151"/>
      <c r="F232" s="151"/>
      <c r="G232" s="35"/>
      <c r="H232" s="35"/>
      <c r="I232" s="88"/>
    </row>
    <row r="233" spans="1:9" ht="13">
      <c r="A233" s="151" t="s">
        <v>10974</v>
      </c>
      <c r="B233" s="152" t="s">
        <v>10865</v>
      </c>
      <c r="C233" s="151" t="s">
        <v>4114</v>
      </c>
      <c r="D233" s="151"/>
      <c r="E233" s="151"/>
      <c r="F233" s="151"/>
      <c r="G233" s="35"/>
      <c r="H233" s="35"/>
      <c r="I233" s="88"/>
    </row>
    <row r="234" spans="1:9" ht="13">
      <c r="A234" s="151" t="s">
        <v>10975</v>
      </c>
      <c r="B234" s="152" t="s">
        <v>10868</v>
      </c>
      <c r="C234" s="151" t="s">
        <v>4114</v>
      </c>
      <c r="D234" s="170"/>
      <c r="E234" s="172"/>
      <c r="F234" s="151"/>
      <c r="G234" s="35"/>
      <c r="H234" s="35"/>
      <c r="I234" s="88"/>
    </row>
    <row r="235" spans="1:9" ht="13">
      <c r="A235" s="151" t="s">
        <v>10976</v>
      </c>
      <c r="B235" s="152" t="s">
        <v>10876</v>
      </c>
      <c r="C235" s="151" t="s">
        <v>4114</v>
      </c>
      <c r="D235" s="35"/>
      <c r="E235" s="172"/>
      <c r="F235" s="151"/>
      <c r="G235" s="35"/>
      <c r="H235" s="35"/>
      <c r="I235" s="88"/>
    </row>
    <row r="236" spans="1:9" ht="13">
      <c r="A236" s="151" t="s">
        <v>10977</v>
      </c>
      <c r="B236" s="152" t="s">
        <v>10902</v>
      </c>
      <c r="C236" s="151" t="s">
        <v>229</v>
      </c>
      <c r="D236" s="35"/>
      <c r="E236" s="172"/>
      <c r="F236" s="151"/>
      <c r="G236" s="35"/>
      <c r="H236" s="35"/>
      <c r="I236" s="88"/>
    </row>
    <row r="237" spans="1:9" ht="13">
      <c r="A237" s="151" t="s">
        <v>10978</v>
      </c>
      <c r="B237" s="152" t="s">
        <v>10906</v>
      </c>
      <c r="C237" s="151" t="s">
        <v>4114</v>
      </c>
      <c r="D237" s="35"/>
      <c r="E237" s="172"/>
      <c r="F237" s="151"/>
      <c r="G237" s="35"/>
      <c r="H237" s="35"/>
      <c r="I237" s="88"/>
    </row>
    <row r="238" spans="1:9" ht="13">
      <c r="A238" s="151" t="s">
        <v>10979</v>
      </c>
      <c r="B238" s="152" t="s">
        <v>9349</v>
      </c>
      <c r="C238" s="151" t="s">
        <v>229</v>
      </c>
      <c r="D238" s="35"/>
      <c r="E238" s="172"/>
      <c r="F238" s="151"/>
      <c r="G238" s="35"/>
      <c r="H238" s="35"/>
      <c r="I238" s="88"/>
    </row>
    <row r="239" spans="1:9" ht="13">
      <c r="A239" s="151" t="s">
        <v>10980</v>
      </c>
      <c r="B239" s="152" t="s">
        <v>5065</v>
      </c>
      <c r="C239" s="151" t="s">
        <v>317</v>
      </c>
      <c r="D239" s="35"/>
      <c r="E239" s="172"/>
      <c r="F239" s="151"/>
      <c r="G239" s="35"/>
      <c r="H239" s="35"/>
      <c r="I239" s="88"/>
    </row>
    <row r="240" spans="1:9" ht="13">
      <c r="A240" s="151" t="s">
        <v>10981</v>
      </c>
      <c r="B240" s="152" t="s">
        <v>933</v>
      </c>
      <c r="C240" s="151" t="s">
        <v>317</v>
      </c>
      <c r="D240" s="170"/>
      <c r="E240" s="172"/>
      <c r="F240" s="147"/>
      <c r="G240" s="35"/>
      <c r="H240" s="35"/>
      <c r="I240" s="88"/>
    </row>
    <row r="241" spans="1:9" ht="13">
      <c r="A241" s="151" t="s">
        <v>10982</v>
      </c>
      <c r="B241" s="152" t="s">
        <v>798</v>
      </c>
      <c r="C241" s="173" t="s">
        <v>317</v>
      </c>
      <c r="D241" s="161"/>
      <c r="E241" s="172"/>
      <c r="F241" s="151"/>
      <c r="G241" s="35"/>
      <c r="H241" s="35"/>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E00-000000000000}"/>
    <hyperlink ref="B6" r:id="rId2" xr:uid="{00000000-0004-0000-6E00-000001000000}"/>
    <hyperlink ref="B7" r:id="rId3" xr:uid="{00000000-0004-0000-6E00-000002000000}"/>
    <hyperlink ref="B8" r:id="rId4" xr:uid="{00000000-0004-0000-6E00-000003000000}"/>
    <hyperlink ref="B9" r:id="rId5" xr:uid="{00000000-0004-0000-6E00-000004000000}"/>
    <hyperlink ref="B10" r:id="rId6" xr:uid="{00000000-0004-0000-6E00-000005000000}"/>
    <hyperlink ref="B11" r:id="rId7" xr:uid="{00000000-0004-0000-6E00-000006000000}"/>
    <hyperlink ref="B12" r:id="rId8" xr:uid="{00000000-0004-0000-6E00-000007000000}"/>
    <hyperlink ref="B13" r:id="rId9" xr:uid="{00000000-0004-0000-6E00-000008000000}"/>
    <hyperlink ref="B14" r:id="rId10" xr:uid="{00000000-0004-0000-6E00-000009000000}"/>
    <hyperlink ref="B15" r:id="rId11" xr:uid="{00000000-0004-0000-6E00-00000A000000}"/>
    <hyperlink ref="B16" r:id="rId12" xr:uid="{00000000-0004-0000-6E00-00000B000000}"/>
    <hyperlink ref="B17" r:id="rId13" xr:uid="{00000000-0004-0000-6E00-00000C000000}"/>
    <hyperlink ref="B18" r:id="rId14" xr:uid="{00000000-0004-0000-6E00-00000D000000}"/>
    <hyperlink ref="B19" r:id="rId15" xr:uid="{00000000-0004-0000-6E00-00000E000000}"/>
    <hyperlink ref="B20" r:id="rId16" xr:uid="{00000000-0004-0000-6E00-00000F000000}"/>
    <hyperlink ref="B21" r:id="rId17" xr:uid="{00000000-0004-0000-6E00-000010000000}"/>
    <hyperlink ref="B22" r:id="rId18" xr:uid="{00000000-0004-0000-6E00-000011000000}"/>
    <hyperlink ref="B23" r:id="rId19" xr:uid="{00000000-0004-0000-6E00-000012000000}"/>
    <hyperlink ref="B24" r:id="rId20" xr:uid="{00000000-0004-0000-6E00-000013000000}"/>
    <hyperlink ref="B25" r:id="rId21" xr:uid="{00000000-0004-0000-6E00-000014000000}"/>
    <hyperlink ref="B26" r:id="rId22" xr:uid="{00000000-0004-0000-6E00-000015000000}"/>
    <hyperlink ref="B27" r:id="rId23" xr:uid="{00000000-0004-0000-6E00-000016000000}"/>
    <hyperlink ref="B28" r:id="rId24" xr:uid="{00000000-0004-0000-6E00-000017000000}"/>
    <hyperlink ref="B29" r:id="rId25" xr:uid="{00000000-0004-0000-6E00-000018000000}"/>
    <hyperlink ref="B30" r:id="rId26" xr:uid="{00000000-0004-0000-6E00-000019000000}"/>
    <hyperlink ref="B31" r:id="rId27" xr:uid="{00000000-0004-0000-6E00-00001A000000}"/>
    <hyperlink ref="B32" r:id="rId28" xr:uid="{00000000-0004-0000-6E00-00001B000000}"/>
    <hyperlink ref="B33" r:id="rId29" xr:uid="{00000000-0004-0000-6E00-00001C000000}"/>
    <hyperlink ref="B34" r:id="rId30" xr:uid="{00000000-0004-0000-6E00-00001D000000}"/>
    <hyperlink ref="B35" r:id="rId31" xr:uid="{00000000-0004-0000-6E00-00001E000000}"/>
    <hyperlink ref="B36" r:id="rId32" xr:uid="{00000000-0004-0000-6E00-00001F000000}"/>
    <hyperlink ref="B37" r:id="rId33" xr:uid="{00000000-0004-0000-6E00-000020000000}"/>
    <hyperlink ref="B38" r:id="rId34" xr:uid="{00000000-0004-0000-6E00-000021000000}"/>
    <hyperlink ref="B39" r:id="rId35" xr:uid="{00000000-0004-0000-6E00-000022000000}"/>
    <hyperlink ref="B40" r:id="rId36" xr:uid="{00000000-0004-0000-6E00-000023000000}"/>
    <hyperlink ref="B41" r:id="rId37" xr:uid="{00000000-0004-0000-6E00-000024000000}"/>
    <hyperlink ref="B42" r:id="rId38" xr:uid="{00000000-0004-0000-6E00-000025000000}"/>
    <hyperlink ref="B43" r:id="rId39" xr:uid="{00000000-0004-0000-6E00-000026000000}"/>
    <hyperlink ref="B44" r:id="rId40" xr:uid="{00000000-0004-0000-6E00-000027000000}"/>
    <hyperlink ref="B45" r:id="rId41" xr:uid="{00000000-0004-0000-6E00-000028000000}"/>
    <hyperlink ref="B46" r:id="rId42" xr:uid="{00000000-0004-0000-6E00-000029000000}"/>
    <hyperlink ref="B47" r:id="rId43" xr:uid="{00000000-0004-0000-6E00-00002A000000}"/>
    <hyperlink ref="B48" r:id="rId44" xr:uid="{00000000-0004-0000-6E00-00002B000000}"/>
    <hyperlink ref="B49" r:id="rId45" xr:uid="{00000000-0004-0000-6E00-00002C000000}"/>
    <hyperlink ref="B50" r:id="rId46" xr:uid="{00000000-0004-0000-6E00-00002D000000}"/>
    <hyperlink ref="B51" r:id="rId47" xr:uid="{00000000-0004-0000-6E00-00002E000000}"/>
    <hyperlink ref="B52" r:id="rId48" xr:uid="{00000000-0004-0000-6E00-00002F000000}"/>
    <hyperlink ref="B53" r:id="rId49" xr:uid="{00000000-0004-0000-6E00-000030000000}"/>
    <hyperlink ref="B54" r:id="rId50" xr:uid="{00000000-0004-0000-6E00-000031000000}"/>
    <hyperlink ref="B55" r:id="rId51" xr:uid="{00000000-0004-0000-6E00-000032000000}"/>
    <hyperlink ref="B56" r:id="rId52" xr:uid="{00000000-0004-0000-6E00-000033000000}"/>
    <hyperlink ref="B57" r:id="rId53" xr:uid="{00000000-0004-0000-6E00-000034000000}"/>
    <hyperlink ref="B58" r:id="rId54" xr:uid="{00000000-0004-0000-6E00-000035000000}"/>
    <hyperlink ref="B59" r:id="rId55" xr:uid="{00000000-0004-0000-6E00-000036000000}"/>
    <hyperlink ref="B60" r:id="rId56" xr:uid="{00000000-0004-0000-6E00-000037000000}"/>
    <hyperlink ref="B61" r:id="rId57" xr:uid="{00000000-0004-0000-6E00-000038000000}"/>
    <hyperlink ref="B62" r:id="rId58" xr:uid="{00000000-0004-0000-6E00-000039000000}"/>
    <hyperlink ref="B63" r:id="rId59" xr:uid="{00000000-0004-0000-6E00-00003A000000}"/>
    <hyperlink ref="B64" r:id="rId60" xr:uid="{00000000-0004-0000-6E00-00003B000000}"/>
    <hyperlink ref="B65" r:id="rId61" xr:uid="{00000000-0004-0000-6E00-00003C000000}"/>
    <hyperlink ref="B66" r:id="rId62" xr:uid="{00000000-0004-0000-6E00-00003D000000}"/>
    <hyperlink ref="B67" r:id="rId63" xr:uid="{00000000-0004-0000-6E00-00003E000000}"/>
    <hyperlink ref="B68" r:id="rId64" xr:uid="{00000000-0004-0000-6E00-00003F000000}"/>
    <hyperlink ref="B69" r:id="rId65" xr:uid="{00000000-0004-0000-6E00-000040000000}"/>
    <hyperlink ref="B70" r:id="rId66" xr:uid="{00000000-0004-0000-6E00-000041000000}"/>
    <hyperlink ref="B71" r:id="rId67" xr:uid="{00000000-0004-0000-6E00-000042000000}"/>
    <hyperlink ref="B72" r:id="rId68" xr:uid="{00000000-0004-0000-6E00-000043000000}"/>
    <hyperlink ref="B73" r:id="rId69" xr:uid="{00000000-0004-0000-6E00-000044000000}"/>
    <hyperlink ref="B74" r:id="rId70" xr:uid="{00000000-0004-0000-6E00-000045000000}"/>
    <hyperlink ref="B75" r:id="rId71" xr:uid="{00000000-0004-0000-6E00-000046000000}"/>
    <hyperlink ref="B76" r:id="rId72" xr:uid="{00000000-0004-0000-6E00-000047000000}"/>
    <hyperlink ref="B77" r:id="rId73" xr:uid="{00000000-0004-0000-6E00-000048000000}"/>
    <hyperlink ref="B78" r:id="rId74" xr:uid="{00000000-0004-0000-6E00-000049000000}"/>
    <hyperlink ref="B79" r:id="rId75" xr:uid="{00000000-0004-0000-6E00-00004A000000}"/>
    <hyperlink ref="B80" r:id="rId76" xr:uid="{00000000-0004-0000-6E00-00004B000000}"/>
    <hyperlink ref="B81" r:id="rId77" xr:uid="{00000000-0004-0000-6E00-00004C000000}"/>
    <hyperlink ref="B82" r:id="rId78" xr:uid="{00000000-0004-0000-6E00-00004D000000}"/>
    <hyperlink ref="B83" r:id="rId79" xr:uid="{00000000-0004-0000-6E00-00004E000000}"/>
    <hyperlink ref="B84" r:id="rId80" xr:uid="{00000000-0004-0000-6E00-00004F000000}"/>
    <hyperlink ref="B85" r:id="rId81" xr:uid="{00000000-0004-0000-6E00-000050000000}"/>
    <hyperlink ref="B86" r:id="rId82" xr:uid="{00000000-0004-0000-6E00-000051000000}"/>
    <hyperlink ref="B87" r:id="rId83" xr:uid="{00000000-0004-0000-6E00-000052000000}"/>
    <hyperlink ref="B88" r:id="rId84" xr:uid="{00000000-0004-0000-6E00-000053000000}"/>
    <hyperlink ref="B89" r:id="rId85" xr:uid="{00000000-0004-0000-6E00-000054000000}"/>
    <hyperlink ref="B90" r:id="rId86" xr:uid="{00000000-0004-0000-6E00-000055000000}"/>
    <hyperlink ref="B91" r:id="rId87" xr:uid="{00000000-0004-0000-6E00-000056000000}"/>
    <hyperlink ref="B92" r:id="rId88" xr:uid="{00000000-0004-0000-6E00-000057000000}"/>
    <hyperlink ref="B93" r:id="rId89" xr:uid="{00000000-0004-0000-6E00-000058000000}"/>
    <hyperlink ref="B94" r:id="rId90" xr:uid="{00000000-0004-0000-6E00-000059000000}"/>
    <hyperlink ref="B95" r:id="rId91" xr:uid="{00000000-0004-0000-6E00-00005A000000}"/>
    <hyperlink ref="B96" r:id="rId92" xr:uid="{00000000-0004-0000-6E00-00005B000000}"/>
    <hyperlink ref="B97" r:id="rId93" xr:uid="{00000000-0004-0000-6E00-00005C000000}"/>
    <hyperlink ref="B98" r:id="rId94" xr:uid="{00000000-0004-0000-6E00-00005D000000}"/>
    <hyperlink ref="B99" r:id="rId95" xr:uid="{00000000-0004-0000-6E00-00005E000000}"/>
    <hyperlink ref="B100" r:id="rId96" xr:uid="{00000000-0004-0000-6E00-00005F000000}"/>
    <hyperlink ref="B101" r:id="rId97" xr:uid="{00000000-0004-0000-6E00-000060000000}"/>
    <hyperlink ref="B102" r:id="rId98" xr:uid="{00000000-0004-0000-6E00-000061000000}"/>
    <hyperlink ref="B103" r:id="rId99" xr:uid="{00000000-0004-0000-6E00-000062000000}"/>
    <hyperlink ref="B104" r:id="rId100" xr:uid="{00000000-0004-0000-6E00-000063000000}"/>
    <hyperlink ref="B105" r:id="rId101" xr:uid="{00000000-0004-0000-6E00-000064000000}"/>
    <hyperlink ref="B106" r:id="rId102" xr:uid="{00000000-0004-0000-6E00-000065000000}"/>
    <hyperlink ref="B107" r:id="rId103" xr:uid="{00000000-0004-0000-6E00-000066000000}"/>
    <hyperlink ref="B108" r:id="rId104" xr:uid="{00000000-0004-0000-6E00-000067000000}"/>
    <hyperlink ref="B109" r:id="rId105" xr:uid="{00000000-0004-0000-6E00-000068000000}"/>
    <hyperlink ref="B110" r:id="rId106" xr:uid="{00000000-0004-0000-6E00-000069000000}"/>
    <hyperlink ref="B111" r:id="rId107" xr:uid="{00000000-0004-0000-6E00-00006A000000}"/>
    <hyperlink ref="B112" r:id="rId108" xr:uid="{00000000-0004-0000-6E00-00006B000000}"/>
    <hyperlink ref="B113" r:id="rId109" xr:uid="{00000000-0004-0000-6E00-00006C000000}"/>
    <hyperlink ref="B114" r:id="rId110" xr:uid="{00000000-0004-0000-6E00-00006D000000}"/>
    <hyperlink ref="B115" r:id="rId111" xr:uid="{00000000-0004-0000-6E00-00006E000000}"/>
    <hyperlink ref="B116" r:id="rId112" xr:uid="{00000000-0004-0000-6E00-00006F000000}"/>
    <hyperlink ref="B117" r:id="rId113" xr:uid="{00000000-0004-0000-6E00-000070000000}"/>
    <hyperlink ref="B118" r:id="rId114" xr:uid="{00000000-0004-0000-6E00-000071000000}"/>
    <hyperlink ref="B119" r:id="rId115" xr:uid="{00000000-0004-0000-6E00-000072000000}"/>
    <hyperlink ref="B120" r:id="rId116" xr:uid="{00000000-0004-0000-6E00-000073000000}"/>
    <hyperlink ref="B121" r:id="rId117" xr:uid="{00000000-0004-0000-6E00-000074000000}"/>
    <hyperlink ref="B122" r:id="rId118" xr:uid="{00000000-0004-0000-6E00-000075000000}"/>
    <hyperlink ref="B123" r:id="rId119" xr:uid="{00000000-0004-0000-6E00-000076000000}"/>
    <hyperlink ref="B124" r:id="rId120" xr:uid="{00000000-0004-0000-6E00-000077000000}"/>
    <hyperlink ref="B125" r:id="rId121" xr:uid="{00000000-0004-0000-6E00-000078000000}"/>
    <hyperlink ref="B126" r:id="rId122" xr:uid="{00000000-0004-0000-6E00-000079000000}"/>
    <hyperlink ref="B127" r:id="rId123" xr:uid="{00000000-0004-0000-6E00-00007A000000}"/>
    <hyperlink ref="B128" r:id="rId124" xr:uid="{00000000-0004-0000-6E00-00007B000000}"/>
    <hyperlink ref="B129" r:id="rId125" xr:uid="{00000000-0004-0000-6E00-00007C000000}"/>
    <hyperlink ref="B130" r:id="rId126" xr:uid="{00000000-0004-0000-6E00-00007D000000}"/>
    <hyperlink ref="B131" r:id="rId127" xr:uid="{00000000-0004-0000-6E00-00007E000000}"/>
    <hyperlink ref="B132" r:id="rId128" xr:uid="{00000000-0004-0000-6E00-00007F000000}"/>
    <hyperlink ref="B133" r:id="rId129" xr:uid="{00000000-0004-0000-6E00-000080000000}"/>
    <hyperlink ref="B134" r:id="rId130" xr:uid="{00000000-0004-0000-6E00-000081000000}"/>
    <hyperlink ref="B135" r:id="rId131" xr:uid="{00000000-0004-0000-6E00-000082000000}"/>
    <hyperlink ref="B136" r:id="rId132" xr:uid="{00000000-0004-0000-6E00-000083000000}"/>
    <hyperlink ref="B137" r:id="rId133" xr:uid="{00000000-0004-0000-6E00-000084000000}"/>
    <hyperlink ref="B138" r:id="rId134" xr:uid="{00000000-0004-0000-6E00-000085000000}"/>
    <hyperlink ref="B139" r:id="rId135" xr:uid="{00000000-0004-0000-6E00-000086000000}"/>
    <hyperlink ref="B140" r:id="rId136" xr:uid="{00000000-0004-0000-6E00-000087000000}"/>
    <hyperlink ref="B141" r:id="rId137" xr:uid="{00000000-0004-0000-6E00-000088000000}"/>
    <hyperlink ref="B142" r:id="rId138" xr:uid="{00000000-0004-0000-6E00-000089000000}"/>
    <hyperlink ref="B143" r:id="rId139" xr:uid="{00000000-0004-0000-6E00-00008A000000}"/>
    <hyperlink ref="B144" r:id="rId140" xr:uid="{00000000-0004-0000-6E00-00008B000000}"/>
    <hyperlink ref="B145" r:id="rId141" xr:uid="{00000000-0004-0000-6E00-00008C000000}"/>
    <hyperlink ref="B146" r:id="rId142" xr:uid="{00000000-0004-0000-6E00-00008D000000}"/>
    <hyperlink ref="B147" r:id="rId143" xr:uid="{00000000-0004-0000-6E00-00008E000000}"/>
    <hyperlink ref="B148" r:id="rId144" xr:uid="{00000000-0004-0000-6E00-00008F000000}"/>
    <hyperlink ref="B149" r:id="rId145" xr:uid="{00000000-0004-0000-6E00-000090000000}"/>
    <hyperlink ref="B150" r:id="rId146" xr:uid="{00000000-0004-0000-6E00-000091000000}"/>
    <hyperlink ref="B151" r:id="rId147" xr:uid="{00000000-0004-0000-6E00-000092000000}"/>
    <hyperlink ref="B152" r:id="rId148" xr:uid="{00000000-0004-0000-6E00-000093000000}"/>
    <hyperlink ref="B153" r:id="rId149" xr:uid="{00000000-0004-0000-6E00-000094000000}"/>
    <hyperlink ref="B154" r:id="rId150" xr:uid="{00000000-0004-0000-6E00-000095000000}"/>
    <hyperlink ref="B155" r:id="rId151" xr:uid="{00000000-0004-0000-6E00-000096000000}"/>
    <hyperlink ref="B156" r:id="rId152" xr:uid="{00000000-0004-0000-6E00-000097000000}"/>
    <hyperlink ref="B157" r:id="rId153" xr:uid="{00000000-0004-0000-6E00-000098000000}"/>
    <hyperlink ref="B158" r:id="rId154" xr:uid="{00000000-0004-0000-6E00-000099000000}"/>
    <hyperlink ref="B159" r:id="rId155" xr:uid="{00000000-0004-0000-6E00-00009A000000}"/>
    <hyperlink ref="B160" r:id="rId156" xr:uid="{00000000-0004-0000-6E00-00009B000000}"/>
    <hyperlink ref="B161" r:id="rId157" xr:uid="{00000000-0004-0000-6E00-00009C000000}"/>
    <hyperlink ref="B162" r:id="rId158" xr:uid="{00000000-0004-0000-6E00-00009D000000}"/>
    <hyperlink ref="B163" r:id="rId159" xr:uid="{00000000-0004-0000-6E00-00009E000000}"/>
    <hyperlink ref="B164" r:id="rId160" xr:uid="{00000000-0004-0000-6E00-00009F000000}"/>
    <hyperlink ref="B165" r:id="rId161" xr:uid="{00000000-0004-0000-6E00-0000A0000000}"/>
    <hyperlink ref="B166" r:id="rId162" xr:uid="{00000000-0004-0000-6E00-0000A1000000}"/>
    <hyperlink ref="B167" r:id="rId163" xr:uid="{00000000-0004-0000-6E00-0000A2000000}"/>
    <hyperlink ref="B168" r:id="rId164" xr:uid="{00000000-0004-0000-6E00-0000A3000000}"/>
    <hyperlink ref="B169" r:id="rId165" xr:uid="{00000000-0004-0000-6E00-0000A4000000}"/>
    <hyperlink ref="B170" r:id="rId166" xr:uid="{00000000-0004-0000-6E00-0000A5000000}"/>
    <hyperlink ref="B171" r:id="rId167" xr:uid="{00000000-0004-0000-6E00-0000A6000000}"/>
    <hyperlink ref="B172" r:id="rId168" xr:uid="{00000000-0004-0000-6E00-0000A7000000}"/>
    <hyperlink ref="B173" r:id="rId169" xr:uid="{00000000-0004-0000-6E00-0000A8000000}"/>
    <hyperlink ref="B174" r:id="rId170" xr:uid="{00000000-0004-0000-6E00-0000A9000000}"/>
    <hyperlink ref="B175" r:id="rId171" xr:uid="{00000000-0004-0000-6E00-0000AA000000}"/>
    <hyperlink ref="B176" r:id="rId172" xr:uid="{00000000-0004-0000-6E00-0000AB000000}"/>
    <hyperlink ref="B177" r:id="rId173" xr:uid="{00000000-0004-0000-6E00-0000AC000000}"/>
    <hyperlink ref="B178" r:id="rId174" xr:uid="{00000000-0004-0000-6E00-0000AD000000}"/>
    <hyperlink ref="B179" r:id="rId175" xr:uid="{00000000-0004-0000-6E00-0000AE000000}"/>
    <hyperlink ref="B180" r:id="rId176" xr:uid="{00000000-0004-0000-6E00-0000AF000000}"/>
    <hyperlink ref="B181" r:id="rId177" xr:uid="{00000000-0004-0000-6E00-0000B0000000}"/>
    <hyperlink ref="B182" r:id="rId178" xr:uid="{00000000-0004-0000-6E00-0000B1000000}"/>
    <hyperlink ref="B183" r:id="rId179" xr:uid="{00000000-0004-0000-6E00-0000B2000000}"/>
    <hyperlink ref="B184" r:id="rId180" xr:uid="{00000000-0004-0000-6E00-0000B3000000}"/>
    <hyperlink ref="B185" r:id="rId181" xr:uid="{00000000-0004-0000-6E00-0000B4000000}"/>
    <hyperlink ref="B186" r:id="rId182" xr:uid="{00000000-0004-0000-6E00-0000B5000000}"/>
    <hyperlink ref="B187" r:id="rId183" xr:uid="{00000000-0004-0000-6E00-0000B6000000}"/>
    <hyperlink ref="B188" r:id="rId184" xr:uid="{00000000-0004-0000-6E00-0000B7000000}"/>
    <hyperlink ref="B189" r:id="rId185" xr:uid="{00000000-0004-0000-6E00-0000B8000000}"/>
    <hyperlink ref="B190" r:id="rId186" xr:uid="{00000000-0004-0000-6E00-0000B9000000}"/>
    <hyperlink ref="B191" r:id="rId187" xr:uid="{00000000-0004-0000-6E00-0000BA000000}"/>
    <hyperlink ref="B192" r:id="rId188" xr:uid="{00000000-0004-0000-6E00-0000BB000000}"/>
    <hyperlink ref="B193" r:id="rId189" xr:uid="{00000000-0004-0000-6E00-0000BC000000}"/>
    <hyperlink ref="B194" r:id="rId190" xr:uid="{00000000-0004-0000-6E00-0000BD000000}"/>
    <hyperlink ref="B195" r:id="rId191" xr:uid="{00000000-0004-0000-6E00-0000BE000000}"/>
    <hyperlink ref="B196" r:id="rId192" xr:uid="{00000000-0004-0000-6E00-0000BF000000}"/>
    <hyperlink ref="B197" r:id="rId193" xr:uid="{00000000-0004-0000-6E00-0000C0000000}"/>
    <hyperlink ref="B198" r:id="rId194" xr:uid="{00000000-0004-0000-6E00-0000C1000000}"/>
    <hyperlink ref="B199" r:id="rId195" xr:uid="{00000000-0004-0000-6E00-0000C2000000}"/>
    <hyperlink ref="B200" r:id="rId196" xr:uid="{00000000-0004-0000-6E00-0000C3000000}"/>
    <hyperlink ref="B201" r:id="rId197" xr:uid="{00000000-0004-0000-6E00-0000C4000000}"/>
    <hyperlink ref="B202" r:id="rId198" xr:uid="{00000000-0004-0000-6E00-0000C5000000}"/>
    <hyperlink ref="B203" r:id="rId199" xr:uid="{00000000-0004-0000-6E00-0000C6000000}"/>
    <hyperlink ref="B204" r:id="rId200" xr:uid="{00000000-0004-0000-6E00-0000C7000000}"/>
    <hyperlink ref="B205" r:id="rId201" xr:uid="{00000000-0004-0000-6E00-0000C8000000}"/>
    <hyperlink ref="B206" r:id="rId202" xr:uid="{00000000-0004-0000-6E00-0000C9000000}"/>
    <hyperlink ref="B207" r:id="rId203" xr:uid="{00000000-0004-0000-6E00-0000CA000000}"/>
    <hyperlink ref="B208" r:id="rId204" xr:uid="{00000000-0004-0000-6E00-0000CB000000}"/>
    <hyperlink ref="B209" r:id="rId205" xr:uid="{00000000-0004-0000-6E00-0000CC000000}"/>
    <hyperlink ref="B210" r:id="rId206" xr:uid="{00000000-0004-0000-6E00-0000CD000000}"/>
    <hyperlink ref="B211" r:id="rId207" xr:uid="{00000000-0004-0000-6E00-0000CE000000}"/>
    <hyperlink ref="B212" r:id="rId208" xr:uid="{00000000-0004-0000-6E00-0000CF000000}"/>
    <hyperlink ref="B213" r:id="rId209" xr:uid="{00000000-0004-0000-6E00-0000D0000000}"/>
    <hyperlink ref="B214" r:id="rId210" xr:uid="{00000000-0004-0000-6E00-0000D1000000}"/>
    <hyperlink ref="B215" r:id="rId211" xr:uid="{00000000-0004-0000-6E00-0000D2000000}"/>
    <hyperlink ref="B216" r:id="rId212" xr:uid="{00000000-0004-0000-6E00-0000D3000000}"/>
    <hyperlink ref="B217" r:id="rId213" xr:uid="{00000000-0004-0000-6E00-0000D4000000}"/>
    <hyperlink ref="B218" r:id="rId214" xr:uid="{00000000-0004-0000-6E00-0000D5000000}"/>
    <hyperlink ref="B219" r:id="rId215" xr:uid="{00000000-0004-0000-6E00-0000D6000000}"/>
    <hyperlink ref="B220" r:id="rId216" xr:uid="{00000000-0004-0000-6E00-0000D7000000}"/>
    <hyperlink ref="B221" r:id="rId217" xr:uid="{00000000-0004-0000-6E00-0000D8000000}"/>
    <hyperlink ref="B222" r:id="rId218" xr:uid="{00000000-0004-0000-6E00-0000D9000000}"/>
    <hyperlink ref="B223" r:id="rId219" xr:uid="{00000000-0004-0000-6E00-0000DA000000}"/>
    <hyperlink ref="B224" r:id="rId220" xr:uid="{00000000-0004-0000-6E00-0000DB000000}"/>
    <hyperlink ref="B225" r:id="rId221" xr:uid="{00000000-0004-0000-6E00-0000DC000000}"/>
    <hyperlink ref="B226" r:id="rId222" xr:uid="{00000000-0004-0000-6E00-0000DD000000}"/>
    <hyperlink ref="B227" r:id="rId223" xr:uid="{00000000-0004-0000-6E00-0000DE000000}"/>
    <hyperlink ref="B228" r:id="rId224" xr:uid="{00000000-0004-0000-6E00-0000DF000000}"/>
    <hyperlink ref="B229" r:id="rId225" xr:uid="{00000000-0004-0000-6E00-0000E0000000}"/>
    <hyperlink ref="B230" r:id="rId226" xr:uid="{00000000-0004-0000-6E00-0000E1000000}"/>
    <hyperlink ref="B231" r:id="rId227" xr:uid="{00000000-0004-0000-6E00-0000E2000000}"/>
    <hyperlink ref="B232" r:id="rId228" xr:uid="{00000000-0004-0000-6E00-0000E3000000}"/>
    <hyperlink ref="B233" r:id="rId229" xr:uid="{00000000-0004-0000-6E00-0000E4000000}"/>
    <hyperlink ref="B234" r:id="rId230" xr:uid="{00000000-0004-0000-6E00-0000E5000000}"/>
    <hyperlink ref="B235" r:id="rId231" xr:uid="{00000000-0004-0000-6E00-0000E6000000}"/>
    <hyperlink ref="B236" r:id="rId232" xr:uid="{00000000-0004-0000-6E00-0000E7000000}"/>
    <hyperlink ref="B237" r:id="rId233" xr:uid="{00000000-0004-0000-6E00-0000E8000000}"/>
    <hyperlink ref="B238" r:id="rId234" xr:uid="{00000000-0004-0000-6E00-0000E9000000}"/>
    <hyperlink ref="B239" r:id="rId235" xr:uid="{00000000-0004-0000-6E00-0000EA000000}"/>
    <hyperlink ref="B240" r:id="rId236" xr:uid="{00000000-0004-0000-6E00-0000EB000000}"/>
    <hyperlink ref="B241" r:id="rId237" xr:uid="{00000000-0004-0000-6E00-0000EC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12">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1.6640625" customWidth="1"/>
    <col min="4" max="4" width="14" customWidth="1"/>
    <col min="5" max="5" width="15.1640625" customWidth="1"/>
  </cols>
  <sheetData>
    <row r="1" spans="1:10" ht="15.75" customHeight="1">
      <c r="A1" s="171" t="s">
        <v>120</v>
      </c>
      <c r="B1" s="35"/>
      <c r="C1" s="161"/>
      <c r="D1" s="162" t="s">
        <v>181</v>
      </c>
      <c r="E1" s="35"/>
      <c r="F1" s="35"/>
      <c r="G1" s="35"/>
      <c r="H1" s="35"/>
      <c r="I1" s="88"/>
    </row>
    <row r="2" spans="1:10" ht="15.75" customHeight="1">
      <c r="A2" s="35" t="s">
        <v>182</v>
      </c>
      <c r="B2" s="163">
        <v>44477</v>
      </c>
      <c r="C2" s="161"/>
      <c r="D2" s="164">
        <f>SUM(D5:G56)</f>
        <v>0</v>
      </c>
      <c r="E2" s="35"/>
      <c r="F2" s="35"/>
      <c r="G2" s="35"/>
      <c r="H2" s="35"/>
      <c r="I2" s="88"/>
    </row>
    <row r="3" spans="1:10" ht="15.75" customHeight="1">
      <c r="A3" s="35"/>
      <c r="B3" s="35"/>
      <c r="C3" s="161"/>
      <c r="D3" s="35"/>
      <c r="E3" s="35"/>
      <c r="F3" s="35"/>
      <c r="G3" s="35"/>
      <c r="H3" s="35"/>
      <c r="I3" s="88"/>
    </row>
    <row r="4" spans="1:10" ht="15.75" customHeight="1">
      <c r="A4" s="165" t="s">
        <v>183</v>
      </c>
      <c r="B4" s="165" t="s">
        <v>184</v>
      </c>
      <c r="C4" s="165" t="s">
        <v>185</v>
      </c>
      <c r="D4" s="166" t="s">
        <v>186</v>
      </c>
      <c r="E4" s="167" t="s">
        <v>187</v>
      </c>
      <c r="F4" s="167" t="s">
        <v>188</v>
      </c>
      <c r="G4" s="168" t="s">
        <v>189</v>
      </c>
      <c r="H4" s="167" t="s">
        <v>190</v>
      </c>
      <c r="I4" s="85"/>
    </row>
    <row r="5" spans="1:10" ht="15.75" customHeight="1">
      <c r="A5" s="98" t="s">
        <v>10983</v>
      </c>
      <c r="B5" s="113" t="s">
        <v>236</v>
      </c>
      <c r="C5" s="147" t="s">
        <v>199</v>
      </c>
      <c r="D5" s="170"/>
      <c r="E5" s="174"/>
      <c r="F5" s="170"/>
      <c r="G5" s="35"/>
      <c r="H5" s="35"/>
      <c r="I5" s="88"/>
      <c r="J5" s="88"/>
    </row>
    <row r="6" spans="1:10" ht="15.75" customHeight="1">
      <c r="A6" s="98" t="s">
        <v>10984</v>
      </c>
      <c r="B6" s="113" t="s">
        <v>4123</v>
      </c>
      <c r="C6" s="147" t="s">
        <v>199</v>
      </c>
      <c r="D6" s="170"/>
      <c r="E6" s="174"/>
      <c r="F6" s="170"/>
      <c r="G6" s="35"/>
      <c r="H6" s="35"/>
      <c r="I6" s="88"/>
      <c r="J6" s="88"/>
    </row>
    <row r="7" spans="1:10" ht="15.75" customHeight="1">
      <c r="A7" s="98" t="s">
        <v>10985</v>
      </c>
      <c r="B7" s="113" t="s">
        <v>2236</v>
      </c>
      <c r="C7" s="147" t="s">
        <v>208</v>
      </c>
      <c r="D7" s="170"/>
      <c r="E7" s="174"/>
      <c r="F7" s="170"/>
      <c r="G7" s="35"/>
      <c r="H7" s="35"/>
      <c r="I7" s="88"/>
    </row>
    <row r="8" spans="1:10" ht="15.75" customHeight="1">
      <c r="A8" s="98" t="s">
        <v>10986</v>
      </c>
      <c r="B8" s="113" t="s">
        <v>3064</v>
      </c>
      <c r="C8" s="147" t="s">
        <v>208</v>
      </c>
      <c r="D8" s="170"/>
      <c r="E8" s="174"/>
      <c r="F8" s="170"/>
      <c r="G8" s="35"/>
      <c r="H8" s="35"/>
      <c r="I8" s="88"/>
    </row>
    <row r="9" spans="1:10" ht="15.75" customHeight="1">
      <c r="A9" s="98" t="s">
        <v>10987</v>
      </c>
      <c r="B9" s="113" t="s">
        <v>191</v>
      </c>
      <c r="C9" s="147" t="s">
        <v>192</v>
      </c>
      <c r="D9" s="170"/>
      <c r="E9" s="174"/>
      <c r="F9" s="170"/>
      <c r="G9" s="35"/>
      <c r="H9" s="35"/>
      <c r="I9" s="88"/>
    </row>
    <row r="10" spans="1:10" ht="15.75" customHeight="1">
      <c r="A10" s="98" t="s">
        <v>10988</v>
      </c>
      <c r="B10" s="146" t="s">
        <v>10989</v>
      </c>
      <c r="C10" s="147" t="s">
        <v>192</v>
      </c>
      <c r="D10" s="170"/>
      <c r="E10" s="174"/>
      <c r="F10" s="170"/>
      <c r="G10" s="35"/>
      <c r="H10" s="35"/>
      <c r="I10" s="88"/>
    </row>
    <row r="11" spans="1:10" ht="15.75" customHeight="1">
      <c r="A11" s="98" t="s">
        <v>10990</v>
      </c>
      <c r="B11" s="117" t="s">
        <v>10991</v>
      </c>
      <c r="C11" s="147" t="s">
        <v>192</v>
      </c>
      <c r="D11" s="170"/>
      <c r="E11" s="174"/>
      <c r="F11" s="170"/>
      <c r="G11" s="35"/>
      <c r="H11" s="35"/>
      <c r="I11" s="88"/>
    </row>
    <row r="12" spans="1:10" ht="15.75" customHeight="1">
      <c r="A12" s="98" t="s">
        <v>10992</v>
      </c>
      <c r="B12" s="117" t="s">
        <v>10993</v>
      </c>
      <c r="C12" s="147" t="s">
        <v>192</v>
      </c>
      <c r="D12" s="170"/>
      <c r="E12" s="174"/>
      <c r="F12" s="170"/>
      <c r="G12" s="35"/>
      <c r="H12" s="35"/>
      <c r="I12" s="88"/>
    </row>
    <row r="13" spans="1:10" ht="15.75" customHeight="1">
      <c r="A13" s="98" t="s">
        <v>10994</v>
      </c>
      <c r="B13" s="117" t="s">
        <v>10995</v>
      </c>
      <c r="C13" s="147" t="s">
        <v>192</v>
      </c>
      <c r="D13" s="170"/>
      <c r="E13" s="174"/>
      <c r="F13" s="170"/>
      <c r="G13" s="35"/>
      <c r="H13" s="35"/>
      <c r="I13" s="88"/>
    </row>
    <row r="14" spans="1:10" ht="15.75" customHeight="1">
      <c r="A14" s="98" t="s">
        <v>10996</v>
      </c>
      <c r="B14" s="113" t="s">
        <v>4129</v>
      </c>
      <c r="C14" s="147" t="s">
        <v>192</v>
      </c>
      <c r="D14" s="170"/>
      <c r="E14" s="174"/>
      <c r="F14" s="35"/>
      <c r="G14" s="35"/>
      <c r="H14" s="35"/>
      <c r="I14" s="88"/>
    </row>
    <row r="15" spans="1:10" ht="15.75" customHeight="1">
      <c r="A15" s="98" t="s">
        <v>10997</v>
      </c>
      <c r="B15" s="113" t="s">
        <v>201</v>
      </c>
      <c r="C15" s="147" t="s">
        <v>195</v>
      </c>
      <c r="D15" s="170"/>
      <c r="E15" s="174"/>
      <c r="F15" s="170"/>
      <c r="G15" s="35"/>
      <c r="H15" s="35"/>
      <c r="I15" s="88"/>
    </row>
    <row r="16" spans="1:10" ht="15.75" customHeight="1">
      <c r="A16" s="98" t="s">
        <v>10998</v>
      </c>
      <c r="B16" s="113" t="s">
        <v>4745</v>
      </c>
      <c r="C16" s="147" t="s">
        <v>195</v>
      </c>
      <c r="D16" s="170"/>
      <c r="E16" s="174"/>
      <c r="F16" s="170"/>
      <c r="G16" s="35"/>
      <c r="H16" s="35"/>
      <c r="I16" s="88"/>
    </row>
    <row r="17" spans="1:9" ht="15.75" customHeight="1">
      <c r="A17" s="98" t="s">
        <v>10999</v>
      </c>
      <c r="B17" s="113" t="s">
        <v>6487</v>
      </c>
      <c r="C17" s="147" t="s">
        <v>195</v>
      </c>
      <c r="D17" s="170"/>
      <c r="E17" s="174"/>
      <c r="F17" s="170"/>
      <c r="G17" s="35"/>
      <c r="H17" s="35"/>
      <c r="I17" s="88"/>
    </row>
    <row r="18" spans="1:9" ht="15.75" customHeight="1">
      <c r="A18" s="98" t="s">
        <v>11000</v>
      </c>
      <c r="B18" s="113" t="s">
        <v>6488</v>
      </c>
      <c r="C18" s="147" t="s">
        <v>195</v>
      </c>
      <c r="D18" s="170"/>
      <c r="E18" s="174"/>
      <c r="F18" s="170"/>
      <c r="G18" s="35"/>
      <c r="H18" s="35"/>
      <c r="I18" s="88"/>
    </row>
    <row r="19" spans="1:9" ht="15.75" customHeight="1">
      <c r="A19" s="98" t="s">
        <v>11001</v>
      </c>
      <c r="B19" s="113" t="s">
        <v>6600</v>
      </c>
      <c r="C19" s="147" t="s">
        <v>195</v>
      </c>
      <c r="D19" s="170"/>
      <c r="E19" s="174"/>
      <c r="F19" s="170"/>
      <c r="G19" s="35"/>
      <c r="H19" s="35"/>
      <c r="I19" s="88"/>
    </row>
    <row r="20" spans="1:9" ht="15.75" customHeight="1">
      <c r="A20" s="98" t="s">
        <v>11002</v>
      </c>
      <c r="B20" s="117" t="s">
        <v>8574</v>
      </c>
      <c r="C20" s="147" t="s">
        <v>195</v>
      </c>
      <c r="D20" s="170"/>
      <c r="E20" s="174"/>
      <c r="F20" s="170"/>
      <c r="G20" s="35"/>
      <c r="H20" s="35"/>
      <c r="I20" s="88"/>
    </row>
    <row r="21" spans="1:9" ht="15.75" customHeight="1">
      <c r="A21" s="98" t="s">
        <v>11003</v>
      </c>
      <c r="B21" s="113" t="s">
        <v>1935</v>
      </c>
      <c r="C21" s="147" t="s">
        <v>225</v>
      </c>
      <c r="D21" s="170"/>
      <c r="E21" s="174"/>
      <c r="F21" s="170"/>
      <c r="G21" s="35"/>
      <c r="H21" s="35"/>
      <c r="I21" s="88"/>
    </row>
    <row r="22" spans="1:9" ht="15.75" customHeight="1">
      <c r="A22" s="98" t="s">
        <v>11004</v>
      </c>
      <c r="B22" s="146" t="s">
        <v>8576</v>
      </c>
      <c r="C22" s="147" t="s">
        <v>225</v>
      </c>
      <c r="D22" s="170"/>
      <c r="E22" s="174"/>
      <c r="F22" s="35"/>
      <c r="G22" s="35"/>
      <c r="H22" s="35"/>
      <c r="I22" s="88"/>
    </row>
    <row r="23" spans="1:9" ht="15.75" customHeight="1">
      <c r="A23" s="98" t="s">
        <v>11005</v>
      </c>
      <c r="B23" s="99" t="s">
        <v>4747</v>
      </c>
      <c r="C23" s="147" t="s">
        <v>808</v>
      </c>
      <c r="D23" s="170"/>
      <c r="E23" s="174"/>
      <c r="F23" s="35"/>
      <c r="G23" s="35"/>
      <c r="H23" s="35"/>
    </row>
    <row r="24" spans="1:9" ht="15.75" customHeight="1">
      <c r="A24" s="98" t="s">
        <v>11006</v>
      </c>
      <c r="B24" s="113" t="s">
        <v>3062</v>
      </c>
      <c r="C24" s="147" t="s">
        <v>220</v>
      </c>
      <c r="D24" s="170"/>
      <c r="E24" s="174"/>
      <c r="F24" s="35"/>
      <c r="G24" s="35"/>
      <c r="H24" s="35"/>
      <c r="I24" s="88"/>
    </row>
    <row r="25" spans="1:9" ht="15.75" customHeight="1">
      <c r="A25" s="98" t="s">
        <v>11007</v>
      </c>
      <c r="B25" s="99" t="s">
        <v>6630</v>
      </c>
      <c r="C25" s="147" t="s">
        <v>220</v>
      </c>
      <c r="D25" s="170"/>
      <c r="E25" s="174"/>
      <c r="F25" s="170"/>
      <c r="G25" s="35"/>
      <c r="H25" s="35"/>
      <c r="I25" s="88"/>
    </row>
    <row r="26" spans="1:9" ht="15.75" customHeight="1">
      <c r="A26" s="98" t="s">
        <v>11008</v>
      </c>
      <c r="B26" s="99" t="s">
        <v>781</v>
      </c>
      <c r="C26" s="147" t="s">
        <v>197</v>
      </c>
      <c r="D26" s="170"/>
      <c r="E26" s="174"/>
      <c r="F26" s="170"/>
      <c r="G26" s="35"/>
      <c r="H26" s="35"/>
      <c r="I26" s="88"/>
    </row>
    <row r="27" spans="1:9" ht="15.75" customHeight="1">
      <c r="A27" s="98" t="s">
        <v>11009</v>
      </c>
      <c r="B27" s="113" t="s">
        <v>8784</v>
      </c>
      <c r="C27" s="147" t="s">
        <v>1013</v>
      </c>
      <c r="D27" s="170"/>
      <c r="E27" s="174"/>
      <c r="F27" s="170"/>
      <c r="G27" s="35"/>
      <c r="H27" s="35"/>
      <c r="I27" s="88"/>
    </row>
    <row r="28" spans="1:9" ht="15.75" customHeight="1">
      <c r="A28" s="98" t="s">
        <v>11010</v>
      </c>
      <c r="B28" s="113" t="s">
        <v>8784</v>
      </c>
      <c r="C28" s="147" t="s">
        <v>1013</v>
      </c>
      <c r="D28" s="170"/>
      <c r="E28" s="174"/>
      <c r="F28" s="170"/>
      <c r="G28" s="35"/>
      <c r="H28" s="35"/>
      <c r="I28" s="88"/>
    </row>
    <row r="29" spans="1:9" ht="15.75" customHeight="1">
      <c r="A29" s="98" t="s">
        <v>11011</v>
      </c>
      <c r="B29" s="113" t="s">
        <v>201</v>
      </c>
      <c r="C29" s="147" t="s">
        <v>195</v>
      </c>
      <c r="D29" s="170"/>
      <c r="E29" s="174"/>
      <c r="F29" s="35"/>
      <c r="G29" s="35"/>
      <c r="H29" s="35"/>
      <c r="I29" s="88"/>
    </row>
    <row r="30" spans="1:9" ht="15.75" customHeight="1">
      <c r="A30" s="147"/>
      <c r="B30" s="35"/>
      <c r="C30" s="147"/>
      <c r="D30" s="147"/>
      <c r="E30" s="170"/>
      <c r="F30" s="35"/>
      <c r="G30" s="35"/>
      <c r="H30" s="35"/>
      <c r="I30" s="88"/>
    </row>
    <row r="31" spans="1:9" ht="15.75" customHeight="1">
      <c r="A31" s="160" t="s">
        <v>11012</v>
      </c>
      <c r="B31" s="35"/>
      <c r="C31" s="147"/>
      <c r="D31" s="147"/>
      <c r="E31" s="170"/>
      <c r="F31" s="35"/>
      <c r="G31" s="35"/>
      <c r="H31" s="35"/>
      <c r="I31" s="88"/>
    </row>
    <row r="32" spans="1:9" ht="15.75" customHeight="1">
      <c r="A32" s="98" t="s">
        <v>239</v>
      </c>
      <c r="B32" s="117" t="s">
        <v>240</v>
      </c>
      <c r="C32" s="102" t="s">
        <v>208</v>
      </c>
      <c r="D32" s="170"/>
      <c r="E32" s="170"/>
      <c r="F32" s="35"/>
      <c r="G32" s="35"/>
      <c r="H32" s="35"/>
      <c r="I32" s="88"/>
    </row>
    <row r="33" spans="1:9" ht="15.75" customHeight="1">
      <c r="A33" s="98" t="s">
        <v>242</v>
      </c>
      <c r="B33" s="117" t="s">
        <v>243</v>
      </c>
      <c r="C33" s="102" t="s">
        <v>199</v>
      </c>
      <c r="D33" s="170"/>
      <c r="E33" s="170"/>
      <c r="F33" s="35"/>
      <c r="G33" s="35"/>
      <c r="H33" s="35"/>
      <c r="I33" s="88"/>
    </row>
    <row r="34" spans="1:9" ht="15.75" customHeight="1">
      <c r="A34" s="98" t="s">
        <v>252</v>
      </c>
      <c r="B34" s="117" t="s">
        <v>204</v>
      </c>
      <c r="C34" s="102" t="s">
        <v>205</v>
      </c>
      <c r="D34" s="170"/>
      <c r="E34" s="170"/>
      <c r="F34" s="35"/>
      <c r="G34" s="35"/>
      <c r="H34" s="35"/>
      <c r="I34" s="88"/>
    </row>
    <row r="35" spans="1:9" ht="15.75" customHeight="1">
      <c r="A35" s="98" t="s">
        <v>303</v>
      </c>
      <c r="B35" s="117" t="s">
        <v>304</v>
      </c>
      <c r="C35" s="175" t="s">
        <v>206</v>
      </c>
      <c r="D35" s="170"/>
      <c r="E35" s="170"/>
      <c r="F35" s="170"/>
      <c r="G35" s="35"/>
      <c r="H35" s="35"/>
      <c r="I35" s="88"/>
    </row>
    <row r="36" spans="1:9" ht="15.75" customHeight="1">
      <c r="A36" s="98" t="s">
        <v>517</v>
      </c>
      <c r="B36" s="117" t="s">
        <v>518</v>
      </c>
      <c r="C36" s="175" t="s">
        <v>208</v>
      </c>
      <c r="D36" s="170"/>
      <c r="E36" s="170"/>
      <c r="F36" s="170"/>
      <c r="G36" s="35"/>
      <c r="H36" s="35"/>
      <c r="I36" s="88"/>
    </row>
    <row r="37" spans="1:9" ht="15.75" customHeight="1">
      <c r="A37" s="98" t="s">
        <v>522</v>
      </c>
      <c r="B37" s="117" t="s">
        <v>523</v>
      </c>
      <c r="C37" s="175" t="s">
        <v>206</v>
      </c>
      <c r="D37" s="170"/>
      <c r="E37" s="170"/>
      <c r="F37" s="35"/>
      <c r="G37" s="35"/>
      <c r="H37" s="35"/>
      <c r="I37" s="88"/>
    </row>
    <row r="38" spans="1:9" ht="15.75" customHeight="1">
      <c r="A38" s="98" t="s">
        <v>544</v>
      </c>
      <c r="B38" s="117" t="s">
        <v>657</v>
      </c>
      <c r="C38" s="175" t="s">
        <v>192</v>
      </c>
      <c r="D38" s="170"/>
      <c r="E38" s="170"/>
      <c r="F38" s="35"/>
      <c r="G38" s="35"/>
      <c r="H38" s="35"/>
      <c r="I38" s="88"/>
    </row>
    <row r="39" spans="1:9" ht="15.75" customHeight="1">
      <c r="A39" s="98">
        <v>24</v>
      </c>
      <c r="B39" s="117" t="s">
        <v>212</v>
      </c>
      <c r="C39" s="175" t="s">
        <v>192</v>
      </c>
      <c r="D39" s="170"/>
      <c r="E39" s="170"/>
      <c r="F39" s="170"/>
      <c r="G39" s="35"/>
      <c r="H39" s="35"/>
      <c r="I39" s="88"/>
    </row>
    <row r="40" spans="1:9" ht="15.75" customHeight="1">
      <c r="A40" s="98" t="s">
        <v>799</v>
      </c>
      <c r="B40" s="117" t="s">
        <v>217</v>
      </c>
      <c r="C40" s="175" t="s">
        <v>197</v>
      </c>
      <c r="D40" s="170"/>
      <c r="E40" s="170"/>
      <c r="F40" s="35"/>
      <c r="G40" s="35"/>
      <c r="H40" s="35"/>
      <c r="I40" s="88"/>
    </row>
    <row r="41" spans="1:9" ht="15.75" customHeight="1">
      <c r="A41" s="98" t="s">
        <v>986</v>
      </c>
      <c r="B41" s="117" t="s">
        <v>987</v>
      </c>
      <c r="C41" s="175" t="s">
        <v>208</v>
      </c>
      <c r="D41" s="170"/>
      <c r="E41" s="170"/>
      <c r="F41" s="170"/>
      <c r="G41" s="35"/>
      <c r="H41" s="35"/>
      <c r="I41" s="88"/>
    </row>
    <row r="42" spans="1:9" ht="15.75" customHeight="1">
      <c r="A42" s="98" t="s">
        <v>1648</v>
      </c>
      <c r="B42" s="117" t="s">
        <v>1649</v>
      </c>
      <c r="C42" s="175" t="s">
        <v>225</v>
      </c>
      <c r="D42" s="170"/>
      <c r="E42" s="170"/>
      <c r="F42" s="35"/>
      <c r="G42" s="35"/>
      <c r="H42" s="35"/>
      <c r="I42" s="88"/>
    </row>
    <row r="43" spans="1:9" ht="15.75" customHeight="1">
      <c r="A43" s="98" t="s">
        <v>1335</v>
      </c>
      <c r="B43" s="117" t="s">
        <v>11013</v>
      </c>
      <c r="C43" s="175" t="s">
        <v>1013</v>
      </c>
      <c r="D43" s="170"/>
      <c r="E43" s="170"/>
      <c r="F43" s="170"/>
      <c r="G43" s="35"/>
      <c r="H43" s="35"/>
      <c r="I43" s="88"/>
    </row>
    <row r="44" spans="1:9" ht="15.75" customHeight="1">
      <c r="A44" s="98" t="s">
        <v>2756</v>
      </c>
      <c r="B44" s="146" t="s">
        <v>2757</v>
      </c>
      <c r="C44" s="102" t="s">
        <v>195</v>
      </c>
      <c r="D44" s="170"/>
      <c r="E44" s="170"/>
      <c r="F44" s="170"/>
      <c r="G44" s="35"/>
      <c r="H44" s="35"/>
      <c r="I44" s="88"/>
    </row>
    <row r="45" spans="1:9" ht="15.75" customHeight="1">
      <c r="A45" s="98" t="s">
        <v>1918</v>
      </c>
      <c r="B45" s="117" t="s">
        <v>2897</v>
      </c>
      <c r="C45" s="102" t="s">
        <v>195</v>
      </c>
      <c r="D45" s="170"/>
      <c r="E45" s="170"/>
      <c r="F45" s="35"/>
      <c r="G45" s="35"/>
      <c r="H45" s="35"/>
      <c r="I45" s="88"/>
    </row>
    <row r="46" spans="1:9" ht="15.75" customHeight="1">
      <c r="A46" s="98" t="s">
        <v>2346</v>
      </c>
      <c r="B46" s="117" t="s">
        <v>11014</v>
      </c>
      <c r="C46" s="102" t="s">
        <v>808</v>
      </c>
      <c r="D46" s="170"/>
      <c r="E46" s="170"/>
      <c r="F46" s="170"/>
      <c r="G46" s="35"/>
      <c r="H46" s="35"/>
      <c r="I46" s="88"/>
    </row>
    <row r="47" spans="1:9" ht="15.75" customHeight="1">
      <c r="A47" s="98" t="s">
        <v>2245</v>
      </c>
      <c r="B47" s="117" t="s">
        <v>1790</v>
      </c>
      <c r="C47" s="102" t="s">
        <v>225</v>
      </c>
      <c r="D47" s="170"/>
      <c r="E47" s="170"/>
      <c r="F47" s="35"/>
      <c r="G47" s="35"/>
      <c r="H47" s="35"/>
      <c r="I47" s="88"/>
    </row>
    <row r="48" spans="1:9" ht="15.75" customHeight="1">
      <c r="A48" s="98" t="s">
        <v>3765</v>
      </c>
      <c r="B48" s="117" t="s">
        <v>3766</v>
      </c>
      <c r="C48" s="102" t="s">
        <v>192</v>
      </c>
      <c r="D48" s="170"/>
      <c r="E48" s="170"/>
      <c r="F48" s="170"/>
      <c r="G48" s="35"/>
      <c r="H48" s="35"/>
      <c r="I48" s="88"/>
    </row>
    <row r="49" spans="1:9" ht="15.75" customHeight="1">
      <c r="A49" s="98" t="s">
        <v>1169</v>
      </c>
      <c r="B49" s="117" t="s">
        <v>11015</v>
      </c>
      <c r="C49" s="102" t="s">
        <v>197</v>
      </c>
      <c r="D49" s="170"/>
      <c r="E49" s="170"/>
      <c r="F49" s="35"/>
      <c r="G49" s="35"/>
      <c r="H49" s="35"/>
      <c r="I49" s="88"/>
    </row>
    <row r="50" spans="1:9" ht="15.75" customHeight="1">
      <c r="A50" s="98" t="s">
        <v>3283</v>
      </c>
      <c r="B50" s="117" t="s">
        <v>801</v>
      </c>
      <c r="C50" s="102" t="s">
        <v>225</v>
      </c>
      <c r="D50" s="170"/>
      <c r="E50" s="170"/>
      <c r="F50" s="170"/>
      <c r="G50" s="35"/>
      <c r="H50" s="35"/>
      <c r="I50" s="88"/>
    </row>
    <row r="51" spans="1:9" ht="15.75" customHeight="1">
      <c r="A51" s="98" t="s">
        <v>6164</v>
      </c>
      <c r="B51" s="117" t="s">
        <v>4123</v>
      </c>
      <c r="C51" s="102" t="s">
        <v>199</v>
      </c>
      <c r="D51" s="170"/>
      <c r="E51" s="170"/>
      <c r="F51" s="35"/>
      <c r="G51" s="35"/>
      <c r="H51" s="35"/>
      <c r="I51" s="88"/>
    </row>
    <row r="52" spans="1:9" ht="15.75" customHeight="1">
      <c r="A52" s="98" t="s">
        <v>6165</v>
      </c>
      <c r="B52" s="117" t="s">
        <v>4129</v>
      </c>
      <c r="C52" s="102" t="s">
        <v>192</v>
      </c>
      <c r="D52" s="170"/>
      <c r="E52" s="170"/>
      <c r="F52" s="35"/>
      <c r="G52" s="35"/>
      <c r="H52" s="35"/>
      <c r="I52" s="88"/>
    </row>
    <row r="53" spans="1:9" ht="13">
      <c r="A53" s="98" t="s">
        <v>3842</v>
      </c>
      <c r="B53" s="117" t="s">
        <v>11016</v>
      </c>
      <c r="C53" s="102" t="s">
        <v>195</v>
      </c>
      <c r="D53" s="170"/>
      <c r="E53" s="35"/>
      <c r="F53" s="35"/>
      <c r="G53" s="35"/>
      <c r="H53" s="35"/>
      <c r="I53" s="88"/>
    </row>
    <row r="54" spans="1:9" ht="13">
      <c r="A54" s="98" t="s">
        <v>3481</v>
      </c>
      <c r="B54" s="146" t="s">
        <v>11017</v>
      </c>
      <c r="C54" s="102" t="s">
        <v>4743</v>
      </c>
      <c r="D54" s="170"/>
      <c r="E54" s="170"/>
      <c r="F54" s="170"/>
      <c r="G54" s="35"/>
      <c r="H54" s="35"/>
      <c r="I54" s="88"/>
    </row>
    <row r="55" spans="1:9" ht="13">
      <c r="A55" s="98" t="s">
        <v>2980</v>
      </c>
      <c r="B55" s="146" t="s">
        <v>11018</v>
      </c>
      <c r="C55" s="102" t="s">
        <v>197</v>
      </c>
      <c r="D55" s="170"/>
      <c r="E55" s="170"/>
      <c r="F55" s="35"/>
      <c r="G55" s="35"/>
      <c r="H55" s="35"/>
      <c r="I55" s="88"/>
    </row>
    <row r="56" spans="1:9" ht="13">
      <c r="A56" s="98" t="s">
        <v>6597</v>
      </c>
      <c r="B56" s="117" t="s">
        <v>11019</v>
      </c>
      <c r="C56" s="102" t="s">
        <v>195</v>
      </c>
      <c r="D56" s="170"/>
      <c r="E56" s="170"/>
      <c r="F56" s="170"/>
      <c r="G56" s="35"/>
      <c r="H56" s="35"/>
      <c r="I56" s="88"/>
    </row>
    <row r="57" spans="1:9" ht="13">
      <c r="A57" s="147"/>
      <c r="B57" s="152"/>
      <c r="C57" s="147"/>
      <c r="D57" s="147"/>
      <c r="E57" s="147"/>
      <c r="F57" s="147"/>
      <c r="G57" s="35"/>
      <c r="H57" s="35"/>
      <c r="I57" s="88"/>
    </row>
    <row r="58" spans="1:9" ht="13">
      <c r="A58" s="147"/>
      <c r="B58" s="152"/>
      <c r="C58" s="147"/>
      <c r="D58" s="147"/>
      <c r="E58" s="147"/>
      <c r="F58" s="147"/>
      <c r="G58" s="35"/>
      <c r="H58" s="35"/>
      <c r="I58" s="88"/>
    </row>
    <row r="59" spans="1:9" ht="13">
      <c r="A59" s="147"/>
      <c r="B59" s="152"/>
      <c r="C59" s="147"/>
      <c r="D59" s="147"/>
      <c r="E59" s="147"/>
      <c r="F59" s="151"/>
      <c r="G59" s="35"/>
      <c r="H59" s="35"/>
      <c r="I59" s="88"/>
    </row>
    <row r="60" spans="1:9" ht="13">
      <c r="A60" s="147"/>
      <c r="B60" s="152"/>
      <c r="C60" s="147"/>
      <c r="D60" s="147"/>
      <c r="E60" s="147"/>
      <c r="F60" s="151"/>
      <c r="G60" s="35"/>
      <c r="H60" s="35"/>
      <c r="I60" s="88"/>
    </row>
    <row r="61" spans="1:9" ht="13">
      <c r="A61" s="147"/>
      <c r="B61" s="152"/>
      <c r="C61" s="147"/>
      <c r="D61" s="147"/>
      <c r="E61" s="147"/>
      <c r="F61" s="151"/>
      <c r="G61" s="35"/>
      <c r="H61" s="35"/>
      <c r="I61" s="88"/>
    </row>
    <row r="62" spans="1:9" ht="13">
      <c r="A62" s="147"/>
      <c r="B62" s="152"/>
      <c r="C62" s="147"/>
      <c r="D62" s="147"/>
      <c r="E62" s="147"/>
      <c r="F62" s="147"/>
      <c r="G62" s="35"/>
      <c r="H62" s="35"/>
      <c r="I62" s="88"/>
    </row>
    <row r="63" spans="1:9" ht="13">
      <c r="A63" s="147"/>
      <c r="B63" s="152"/>
      <c r="C63" s="147"/>
      <c r="D63" s="147"/>
      <c r="E63" s="147"/>
      <c r="F63" s="151"/>
      <c r="G63" s="35"/>
      <c r="H63" s="35"/>
      <c r="I63" s="88"/>
    </row>
    <row r="64" spans="1:9" ht="13">
      <c r="A64" s="147"/>
      <c r="B64" s="152"/>
      <c r="C64" s="147"/>
      <c r="D64" s="147"/>
      <c r="E64" s="147"/>
      <c r="F64" s="147"/>
      <c r="G64" s="35"/>
      <c r="H64" s="35"/>
      <c r="I64" s="88"/>
    </row>
    <row r="65" spans="1:9" ht="13">
      <c r="A65" s="147"/>
      <c r="B65" s="152"/>
      <c r="C65" s="147"/>
      <c r="D65" s="147"/>
      <c r="E65" s="147"/>
      <c r="F65" s="147"/>
      <c r="G65" s="35"/>
      <c r="H65" s="35"/>
      <c r="I65" s="88"/>
    </row>
    <row r="66" spans="1:9" ht="13">
      <c r="A66" s="147"/>
      <c r="B66" s="148"/>
      <c r="C66" s="147"/>
      <c r="D66" s="147"/>
      <c r="E66" s="147"/>
      <c r="F66" s="147"/>
      <c r="G66" s="35"/>
      <c r="H66" s="35"/>
      <c r="I66" s="88"/>
    </row>
    <row r="67" spans="1:9" ht="13">
      <c r="A67" s="147"/>
      <c r="B67" s="148"/>
      <c r="C67" s="147"/>
      <c r="D67" s="170"/>
      <c r="E67" s="147"/>
      <c r="F67" s="151"/>
      <c r="G67" s="35"/>
      <c r="H67" s="35"/>
      <c r="I67" s="88"/>
    </row>
    <row r="68" spans="1:9" ht="13">
      <c r="A68" s="147"/>
      <c r="B68" s="152"/>
      <c r="C68" s="147"/>
      <c r="D68" s="147"/>
      <c r="E68" s="147"/>
      <c r="F68" s="147"/>
      <c r="G68" s="35"/>
      <c r="H68" s="35"/>
      <c r="I68" s="88"/>
    </row>
    <row r="69" spans="1:9" ht="13">
      <c r="A69" s="147"/>
      <c r="B69" s="152"/>
      <c r="C69" s="147"/>
      <c r="D69" s="170"/>
      <c r="E69" s="147"/>
      <c r="F69" s="151"/>
      <c r="G69" s="35"/>
      <c r="H69" s="35"/>
      <c r="I69" s="88"/>
    </row>
    <row r="70" spans="1:9" ht="13">
      <c r="A70" s="147"/>
      <c r="B70" s="152"/>
      <c r="C70" s="147"/>
      <c r="D70" s="147"/>
      <c r="E70" s="147"/>
      <c r="F70" s="151"/>
      <c r="G70" s="35"/>
      <c r="H70" s="35"/>
      <c r="I70" s="88"/>
    </row>
    <row r="71" spans="1:9" ht="13">
      <c r="A71" s="147"/>
      <c r="B71" s="152"/>
      <c r="C71" s="147"/>
      <c r="D71" s="147"/>
      <c r="E71" s="147"/>
      <c r="F71" s="147"/>
      <c r="G71" s="35"/>
      <c r="H71" s="35"/>
      <c r="I71" s="88"/>
    </row>
    <row r="72" spans="1:9" ht="13">
      <c r="A72" s="147"/>
      <c r="B72" s="152"/>
      <c r="C72" s="147"/>
      <c r="D72" s="147"/>
      <c r="E72" s="147"/>
      <c r="F72" s="151"/>
      <c r="G72" s="35"/>
      <c r="H72" s="35"/>
      <c r="I72" s="88"/>
    </row>
    <row r="73" spans="1:9" ht="13">
      <c r="A73" s="147"/>
      <c r="B73" s="152"/>
      <c r="C73" s="147"/>
      <c r="D73" s="147"/>
      <c r="E73" s="147"/>
      <c r="F73" s="151"/>
      <c r="G73" s="35"/>
      <c r="H73" s="35"/>
      <c r="I73" s="88"/>
    </row>
    <row r="74" spans="1:9" ht="13">
      <c r="A74" s="147"/>
      <c r="B74" s="152"/>
      <c r="C74" s="147"/>
      <c r="D74" s="147"/>
      <c r="E74" s="147"/>
      <c r="F74" s="151"/>
      <c r="G74" s="35"/>
      <c r="H74" s="35"/>
      <c r="I74" s="88"/>
    </row>
    <row r="75" spans="1:9" ht="13">
      <c r="A75" s="147"/>
      <c r="B75" s="152"/>
      <c r="C75" s="147"/>
      <c r="D75" s="147"/>
      <c r="E75" s="147"/>
      <c r="F75" s="147"/>
      <c r="G75" s="35"/>
      <c r="H75" s="35"/>
      <c r="I75" s="88"/>
    </row>
    <row r="76" spans="1:9" ht="13">
      <c r="A76" s="147"/>
      <c r="B76" s="152"/>
      <c r="C76" s="147"/>
      <c r="D76" s="147"/>
      <c r="E76" s="147"/>
      <c r="F76" s="151"/>
      <c r="G76" s="35"/>
      <c r="H76" s="35"/>
      <c r="I76" s="88"/>
    </row>
    <row r="77" spans="1:9" ht="13">
      <c r="A77" s="147"/>
      <c r="B77" s="152"/>
      <c r="C77" s="147"/>
      <c r="D77" s="170"/>
      <c r="E77" s="147"/>
      <c r="F77" s="151"/>
      <c r="G77" s="35"/>
      <c r="H77" s="35"/>
      <c r="I77" s="88"/>
    </row>
    <row r="78" spans="1:9" ht="13">
      <c r="A78" s="147"/>
      <c r="B78" s="152"/>
      <c r="C78" s="147"/>
      <c r="D78" s="170"/>
      <c r="E78" s="147"/>
      <c r="F78" s="151"/>
      <c r="G78" s="35"/>
      <c r="H78" s="35"/>
      <c r="I78" s="88"/>
    </row>
    <row r="79" spans="1:9" ht="13">
      <c r="A79" s="147"/>
      <c r="B79" s="152"/>
      <c r="C79" s="147"/>
      <c r="D79" s="170"/>
      <c r="E79" s="147"/>
      <c r="F79" s="147"/>
      <c r="G79" s="35"/>
      <c r="H79" s="35"/>
      <c r="I79" s="88"/>
    </row>
    <row r="80" spans="1:9" ht="13">
      <c r="A80" s="147"/>
      <c r="B80" s="152"/>
      <c r="C80" s="147"/>
      <c r="D80" s="147"/>
      <c r="E80" s="147"/>
      <c r="F80" s="147"/>
      <c r="G80" s="35"/>
      <c r="H80" s="35"/>
      <c r="I80" s="88"/>
    </row>
    <row r="81" spans="1:9" ht="13">
      <c r="A81" s="147"/>
      <c r="B81" s="152"/>
      <c r="C81" s="147"/>
      <c r="D81" s="147"/>
      <c r="E81" s="147"/>
      <c r="F81" s="151"/>
      <c r="G81" s="35"/>
      <c r="H81" s="35"/>
      <c r="I81" s="88"/>
    </row>
    <row r="82" spans="1:9" ht="13">
      <c r="A82" s="147"/>
      <c r="B82" s="152"/>
      <c r="C82" s="147"/>
      <c r="D82" s="147"/>
      <c r="E82" s="147"/>
      <c r="F82" s="147"/>
      <c r="G82" s="35"/>
      <c r="H82" s="35"/>
      <c r="I82" s="88"/>
    </row>
    <row r="83" spans="1:9" ht="13">
      <c r="A83" s="147"/>
      <c r="B83" s="152"/>
      <c r="C83" s="147"/>
      <c r="D83" s="147"/>
      <c r="E83" s="147"/>
      <c r="F83" s="147"/>
      <c r="G83" s="35"/>
      <c r="H83" s="35"/>
      <c r="I83" s="88"/>
    </row>
    <row r="84" spans="1:9" ht="13">
      <c r="A84" s="147"/>
      <c r="B84" s="152"/>
      <c r="C84" s="147"/>
      <c r="D84" s="170"/>
      <c r="E84" s="147"/>
      <c r="F84" s="151"/>
      <c r="G84" s="35"/>
      <c r="H84" s="35"/>
      <c r="I84" s="88"/>
    </row>
    <row r="85" spans="1:9" ht="13">
      <c r="A85" s="147"/>
      <c r="B85" s="152"/>
      <c r="C85" s="147"/>
      <c r="D85" s="147"/>
      <c r="E85" s="147"/>
      <c r="F85" s="151"/>
      <c r="G85" s="35"/>
      <c r="H85" s="35"/>
      <c r="I85" s="88"/>
    </row>
    <row r="86" spans="1:9" ht="13">
      <c r="A86" s="147"/>
      <c r="B86" s="152"/>
      <c r="C86" s="147"/>
      <c r="D86" s="170"/>
      <c r="E86" s="147"/>
      <c r="F86" s="151"/>
      <c r="G86" s="35"/>
      <c r="H86" s="35"/>
      <c r="I86" s="88"/>
    </row>
    <row r="87" spans="1:9" ht="13">
      <c r="A87" s="147"/>
      <c r="B87" s="152"/>
      <c r="C87" s="147"/>
      <c r="D87" s="170"/>
      <c r="E87" s="147"/>
      <c r="F87" s="147"/>
      <c r="G87" s="35"/>
      <c r="H87" s="35"/>
      <c r="I87" s="88"/>
    </row>
    <row r="88" spans="1:9" ht="13">
      <c r="A88" s="147"/>
      <c r="B88" s="152"/>
      <c r="C88" s="147"/>
      <c r="D88" s="147"/>
      <c r="E88" s="147"/>
      <c r="F88" s="151"/>
      <c r="G88" s="35"/>
      <c r="H88" s="35"/>
      <c r="I88" s="88"/>
    </row>
    <row r="89" spans="1:9" ht="13">
      <c r="A89" s="147"/>
      <c r="B89" s="148"/>
      <c r="C89" s="147"/>
      <c r="D89" s="147"/>
      <c r="E89" s="147"/>
      <c r="F89" s="147"/>
      <c r="G89" s="35"/>
      <c r="H89" s="35"/>
      <c r="I89" s="88"/>
    </row>
    <row r="90" spans="1:9" ht="13">
      <c r="A90" s="147"/>
      <c r="B90" s="148"/>
      <c r="C90" s="147"/>
      <c r="D90" s="147"/>
      <c r="E90" s="147"/>
      <c r="F90" s="151"/>
      <c r="G90" s="35"/>
      <c r="H90" s="35"/>
      <c r="I90" s="88"/>
    </row>
    <row r="91" spans="1:9" ht="13">
      <c r="A91" s="147"/>
      <c r="B91" s="148"/>
      <c r="C91" s="147"/>
      <c r="D91" s="147"/>
      <c r="E91" s="147"/>
      <c r="F91" s="151"/>
      <c r="G91" s="35"/>
      <c r="H91" s="35"/>
      <c r="I91" s="88"/>
    </row>
    <row r="92" spans="1:9" ht="13">
      <c r="A92" s="147"/>
      <c r="B92" s="148"/>
      <c r="C92" s="147"/>
      <c r="D92" s="147"/>
      <c r="E92" s="147"/>
      <c r="F92" s="147"/>
      <c r="G92" s="35"/>
      <c r="H92" s="35"/>
      <c r="I92" s="88"/>
    </row>
    <row r="93" spans="1:9" ht="13">
      <c r="A93" s="147"/>
      <c r="B93" s="152"/>
      <c r="C93" s="147"/>
      <c r="D93" s="147"/>
      <c r="E93" s="147"/>
      <c r="F93" s="147"/>
      <c r="G93" s="35"/>
      <c r="H93" s="35"/>
      <c r="I93" s="88"/>
    </row>
    <row r="94" spans="1:9" ht="13">
      <c r="A94" s="147"/>
      <c r="B94" s="152"/>
      <c r="C94" s="147"/>
      <c r="D94" s="170"/>
      <c r="E94" s="147"/>
      <c r="F94" s="151"/>
      <c r="G94" s="35"/>
      <c r="H94" s="35"/>
      <c r="I94" s="88"/>
    </row>
    <row r="95" spans="1:9" ht="13">
      <c r="A95" s="147"/>
      <c r="B95" s="152"/>
      <c r="C95" s="147"/>
      <c r="D95" s="170"/>
      <c r="E95" s="147"/>
      <c r="F95" s="147"/>
      <c r="G95" s="35"/>
      <c r="H95" s="35"/>
      <c r="I95" s="88"/>
    </row>
    <row r="96" spans="1:9" ht="13">
      <c r="A96" s="147"/>
      <c r="B96" s="152"/>
      <c r="C96" s="147"/>
      <c r="D96" s="147"/>
      <c r="E96" s="147"/>
      <c r="F96" s="151"/>
      <c r="G96" s="35"/>
      <c r="H96" s="35"/>
      <c r="I96" s="88"/>
    </row>
    <row r="97" spans="1:9" ht="13">
      <c r="A97" s="147"/>
      <c r="B97" s="152"/>
      <c r="C97" s="147"/>
      <c r="D97" s="170"/>
      <c r="E97" s="147"/>
      <c r="F97" s="151"/>
      <c r="G97" s="35"/>
      <c r="H97" s="35"/>
      <c r="I97" s="88"/>
    </row>
    <row r="98" spans="1:9" ht="13">
      <c r="A98" s="147"/>
      <c r="B98" s="152"/>
      <c r="C98" s="147"/>
      <c r="D98" s="170"/>
      <c r="E98" s="147"/>
      <c r="F98" s="151"/>
      <c r="G98" s="35"/>
      <c r="H98" s="35"/>
      <c r="I98" s="88"/>
    </row>
    <row r="99" spans="1:9" ht="13">
      <c r="A99" s="147"/>
      <c r="B99" s="152"/>
      <c r="C99" s="147"/>
      <c r="D99" s="170"/>
      <c r="E99" s="147"/>
      <c r="F99" s="147"/>
      <c r="G99" s="35"/>
      <c r="H99" s="35"/>
      <c r="I99" s="88"/>
    </row>
    <row r="100" spans="1:9" ht="13">
      <c r="A100" s="147"/>
      <c r="B100" s="152"/>
      <c r="C100" s="147"/>
      <c r="D100" s="147"/>
      <c r="E100" s="147"/>
      <c r="F100" s="151"/>
      <c r="G100" s="35"/>
      <c r="H100" s="35"/>
      <c r="I100" s="88"/>
    </row>
    <row r="101" spans="1:9" ht="13">
      <c r="A101" s="147"/>
      <c r="B101" s="148"/>
      <c r="C101" s="147"/>
      <c r="D101" s="147"/>
      <c r="E101" s="147"/>
      <c r="F101" s="151"/>
      <c r="G101" s="35"/>
      <c r="H101" s="35"/>
      <c r="I101" s="88"/>
    </row>
    <row r="102" spans="1:9" ht="13">
      <c r="A102" s="147"/>
      <c r="B102" s="152"/>
      <c r="C102" s="147"/>
      <c r="D102" s="147"/>
      <c r="E102" s="151"/>
      <c r="F102" s="147"/>
      <c r="G102" s="35"/>
      <c r="H102" s="35"/>
      <c r="I102" s="88"/>
    </row>
    <row r="103" spans="1:9" ht="13">
      <c r="A103" s="147"/>
      <c r="B103" s="152"/>
      <c r="C103" s="147"/>
      <c r="D103" s="147"/>
      <c r="E103" s="147"/>
      <c r="F103" s="151"/>
      <c r="G103" s="35"/>
      <c r="H103" s="35"/>
      <c r="I103" s="88"/>
    </row>
    <row r="104" spans="1:9" ht="13">
      <c r="A104" s="147"/>
      <c r="B104" s="152"/>
      <c r="C104" s="147"/>
      <c r="D104" s="170"/>
      <c r="E104" s="147"/>
      <c r="F104" s="151"/>
      <c r="G104" s="35"/>
      <c r="H104" s="35"/>
      <c r="I104" s="88"/>
    </row>
    <row r="105" spans="1:9" ht="13">
      <c r="A105" s="147"/>
      <c r="B105" s="152"/>
      <c r="C105" s="147"/>
      <c r="D105" s="170"/>
      <c r="E105" s="147"/>
      <c r="F105" s="151"/>
      <c r="G105" s="35"/>
      <c r="H105" s="35"/>
      <c r="I105" s="88"/>
    </row>
    <row r="106" spans="1:9" ht="13">
      <c r="A106" s="147"/>
      <c r="B106" s="152"/>
      <c r="C106" s="147"/>
      <c r="D106" s="147"/>
      <c r="E106" s="147"/>
      <c r="F106" s="147"/>
      <c r="G106" s="35"/>
      <c r="H106" s="35"/>
      <c r="I106" s="88"/>
    </row>
    <row r="107" spans="1:9" ht="13">
      <c r="A107" s="147"/>
      <c r="B107" s="152"/>
      <c r="C107" s="147"/>
      <c r="D107" s="147"/>
      <c r="E107" s="147"/>
      <c r="F107" s="151"/>
      <c r="G107" s="35"/>
      <c r="H107" s="35"/>
      <c r="I107" s="88"/>
    </row>
    <row r="108" spans="1:9" ht="13">
      <c r="A108" s="147"/>
      <c r="B108" s="152"/>
      <c r="C108" s="147"/>
      <c r="D108" s="147"/>
      <c r="E108" s="147"/>
      <c r="F108" s="151"/>
      <c r="G108" s="35"/>
      <c r="H108" s="35"/>
      <c r="I108" s="88"/>
    </row>
    <row r="109" spans="1:9" ht="13">
      <c r="A109" s="147"/>
      <c r="B109" s="152"/>
      <c r="C109" s="147"/>
      <c r="D109" s="147"/>
      <c r="E109" s="147"/>
      <c r="F109" s="151"/>
      <c r="G109" s="35"/>
      <c r="H109" s="35"/>
      <c r="I109" s="88"/>
    </row>
    <row r="110" spans="1:9" ht="13">
      <c r="A110" s="147"/>
      <c r="B110" s="152"/>
      <c r="C110" s="147"/>
      <c r="D110" s="170"/>
      <c r="E110" s="147"/>
      <c r="F110" s="151"/>
      <c r="G110" s="35"/>
      <c r="H110" s="35"/>
      <c r="I110" s="88"/>
    </row>
    <row r="111" spans="1:9" ht="13">
      <c r="A111" s="147"/>
      <c r="B111" s="152"/>
      <c r="C111" s="147"/>
      <c r="D111" s="147"/>
      <c r="E111" s="147"/>
      <c r="F111" s="147"/>
      <c r="G111" s="35"/>
      <c r="H111" s="35"/>
      <c r="I111" s="88"/>
    </row>
    <row r="112" spans="1:9" ht="13">
      <c r="A112" s="147"/>
      <c r="B112" s="152"/>
      <c r="C112" s="147"/>
      <c r="D112" s="147"/>
      <c r="E112" s="147"/>
      <c r="F112" s="147"/>
      <c r="G112" s="35"/>
      <c r="H112" s="35"/>
      <c r="I112" s="88"/>
    </row>
    <row r="113" spans="1:9" ht="13">
      <c r="A113" s="147"/>
      <c r="B113" s="148"/>
      <c r="C113" s="147"/>
      <c r="D113" s="170"/>
      <c r="E113" s="147"/>
      <c r="F113" s="147"/>
      <c r="G113" s="35"/>
      <c r="H113" s="35"/>
      <c r="I113" s="88"/>
    </row>
    <row r="114" spans="1:9" ht="13">
      <c r="A114" s="147"/>
      <c r="B114" s="148"/>
      <c r="C114" s="147"/>
      <c r="D114" s="170"/>
      <c r="E114" s="147"/>
      <c r="F114" s="147"/>
      <c r="G114" s="35"/>
      <c r="H114" s="35"/>
      <c r="I114" s="88"/>
    </row>
    <row r="115" spans="1:9" ht="13">
      <c r="A115" s="147"/>
      <c r="B115" s="152"/>
      <c r="C115" s="147"/>
      <c r="D115" s="170"/>
      <c r="E115" s="147"/>
      <c r="F115" s="147"/>
      <c r="G115" s="35"/>
      <c r="H115" s="35"/>
      <c r="I115" s="88"/>
    </row>
    <row r="116" spans="1:9" ht="13">
      <c r="A116" s="147"/>
      <c r="B116" s="152"/>
      <c r="C116" s="147"/>
      <c r="D116" s="170"/>
      <c r="E116" s="151"/>
      <c r="F116" s="151"/>
      <c r="G116" s="35"/>
      <c r="H116" s="35"/>
      <c r="I116" s="88"/>
    </row>
    <row r="117" spans="1:9" ht="13">
      <c r="A117" s="147"/>
      <c r="B117" s="152"/>
      <c r="C117" s="147"/>
      <c r="D117" s="147"/>
      <c r="E117" s="147"/>
      <c r="F117" s="147"/>
      <c r="G117" s="35"/>
      <c r="H117" s="35"/>
      <c r="I117" s="88"/>
    </row>
    <row r="118" spans="1:9" ht="13">
      <c r="A118" s="147"/>
      <c r="B118" s="152"/>
      <c r="C118" s="147"/>
      <c r="D118" s="147"/>
      <c r="E118" s="147"/>
      <c r="F118" s="151"/>
      <c r="G118" s="35"/>
      <c r="H118" s="35"/>
      <c r="I118" s="88"/>
    </row>
    <row r="119" spans="1:9" ht="13">
      <c r="A119" s="147"/>
      <c r="B119" s="152"/>
      <c r="C119" s="147"/>
      <c r="D119" s="170"/>
      <c r="E119" s="147"/>
      <c r="F119" s="151"/>
      <c r="G119" s="35"/>
      <c r="H119" s="35"/>
      <c r="I119" s="88"/>
    </row>
    <row r="120" spans="1:9" ht="13">
      <c r="A120" s="147"/>
      <c r="B120" s="152"/>
      <c r="C120" s="147"/>
      <c r="D120" s="170"/>
      <c r="E120" s="147"/>
      <c r="F120" s="151"/>
      <c r="G120" s="35"/>
      <c r="H120" s="35"/>
      <c r="I120" s="88"/>
    </row>
    <row r="121" spans="1:9" ht="13">
      <c r="A121" s="147"/>
      <c r="B121" s="148"/>
      <c r="C121" s="147"/>
      <c r="D121" s="147"/>
      <c r="E121" s="147"/>
      <c r="F121" s="151"/>
      <c r="G121" s="35"/>
      <c r="H121" s="35"/>
      <c r="I121" s="88"/>
    </row>
    <row r="122" spans="1:9" ht="13">
      <c r="A122" s="147"/>
      <c r="B122" s="152"/>
      <c r="C122" s="147"/>
      <c r="D122" s="170"/>
      <c r="E122" s="147"/>
      <c r="F122" s="151"/>
      <c r="G122" s="35"/>
      <c r="H122" s="35"/>
      <c r="I122" s="88"/>
    </row>
    <row r="123" spans="1:9" ht="13">
      <c r="A123" s="147"/>
      <c r="B123" s="152"/>
      <c r="C123" s="147"/>
      <c r="D123" s="147"/>
      <c r="E123" s="147"/>
      <c r="F123" s="147"/>
      <c r="G123" s="35"/>
      <c r="H123" s="35"/>
      <c r="I123" s="88"/>
    </row>
    <row r="124" spans="1:9" ht="13">
      <c r="A124" s="147"/>
      <c r="B124" s="152"/>
      <c r="C124" s="147"/>
      <c r="D124" s="147"/>
      <c r="E124" s="147"/>
      <c r="F124" s="151"/>
      <c r="G124" s="35"/>
      <c r="H124" s="35"/>
      <c r="I124" s="88"/>
    </row>
    <row r="125" spans="1:9" ht="13">
      <c r="A125" s="147"/>
      <c r="B125" s="152"/>
      <c r="C125" s="147"/>
      <c r="D125" s="147"/>
      <c r="E125" s="147"/>
      <c r="F125" s="147"/>
      <c r="G125" s="35"/>
      <c r="H125" s="35"/>
      <c r="I125" s="88"/>
    </row>
    <row r="126" spans="1:9" ht="13">
      <c r="A126" s="147"/>
      <c r="B126" s="152"/>
      <c r="C126" s="147"/>
      <c r="D126" s="147"/>
      <c r="E126" s="147"/>
      <c r="F126" s="151"/>
      <c r="G126" s="35"/>
      <c r="H126" s="35"/>
      <c r="I126" s="88"/>
    </row>
    <row r="127" spans="1:9" ht="13">
      <c r="A127" s="147"/>
      <c r="B127" s="152"/>
      <c r="C127" s="147"/>
      <c r="D127" s="170"/>
      <c r="E127" s="147"/>
      <c r="F127" s="151"/>
      <c r="G127" s="35"/>
      <c r="H127" s="35"/>
      <c r="I127" s="88"/>
    </row>
    <row r="128" spans="1:9" ht="13">
      <c r="A128" s="147"/>
      <c r="B128" s="152"/>
      <c r="C128" s="147"/>
      <c r="D128" s="170"/>
      <c r="E128" s="147"/>
      <c r="F128" s="147"/>
      <c r="G128" s="35"/>
      <c r="H128" s="35"/>
      <c r="I128" s="88"/>
    </row>
    <row r="129" spans="1:9" ht="13">
      <c r="A129" s="147"/>
      <c r="B129" s="152"/>
      <c r="C129" s="147"/>
      <c r="D129" s="147"/>
      <c r="E129" s="147"/>
      <c r="F129" s="147"/>
      <c r="G129" s="35"/>
      <c r="H129" s="35"/>
      <c r="I129" s="88"/>
    </row>
    <row r="130" spans="1:9" ht="13">
      <c r="A130" s="147"/>
      <c r="B130" s="152"/>
      <c r="C130" s="147"/>
      <c r="D130" s="147"/>
      <c r="E130" s="147"/>
      <c r="F130" s="151"/>
      <c r="G130" s="35"/>
      <c r="H130" s="35"/>
      <c r="I130" s="88"/>
    </row>
    <row r="131" spans="1:9" ht="13">
      <c r="A131" s="147"/>
      <c r="B131" s="152"/>
      <c r="C131" s="147"/>
      <c r="D131" s="147"/>
      <c r="E131" s="147"/>
      <c r="F131" s="151"/>
      <c r="G131" s="35"/>
      <c r="H131" s="35"/>
      <c r="I131" s="88"/>
    </row>
    <row r="132" spans="1:9" ht="13">
      <c r="A132" s="147"/>
      <c r="B132" s="152"/>
      <c r="C132" s="147"/>
      <c r="D132" s="147"/>
      <c r="E132" s="147"/>
      <c r="F132" s="147"/>
      <c r="G132" s="35"/>
      <c r="H132" s="35"/>
      <c r="I132" s="88"/>
    </row>
    <row r="133" spans="1:9" ht="13">
      <c r="A133" s="147"/>
      <c r="B133" s="152"/>
      <c r="C133" s="147"/>
      <c r="D133" s="147"/>
      <c r="E133" s="147"/>
      <c r="F133" s="151"/>
      <c r="G133" s="35"/>
      <c r="H133" s="35"/>
      <c r="I133" s="88"/>
    </row>
    <row r="134" spans="1:9" ht="13">
      <c r="A134" s="147"/>
      <c r="B134" s="152"/>
      <c r="C134" s="147"/>
      <c r="D134" s="147"/>
      <c r="E134" s="147"/>
      <c r="F134" s="151"/>
      <c r="G134" s="35"/>
      <c r="H134" s="35"/>
      <c r="I134" s="88"/>
    </row>
    <row r="135" spans="1:9" ht="13">
      <c r="A135" s="147"/>
      <c r="B135" s="152"/>
      <c r="C135" s="147"/>
      <c r="D135" s="170"/>
      <c r="E135" s="147"/>
      <c r="F135" s="147"/>
      <c r="G135" s="35"/>
      <c r="H135" s="35"/>
      <c r="I135" s="88"/>
    </row>
    <row r="136" spans="1:9" ht="13">
      <c r="A136" s="147"/>
      <c r="B136" s="152"/>
      <c r="C136" s="147"/>
      <c r="D136" s="147"/>
      <c r="E136" s="147"/>
      <c r="F136" s="147"/>
      <c r="G136" s="35"/>
      <c r="H136" s="35"/>
      <c r="I136" s="88"/>
    </row>
    <row r="137" spans="1:9" ht="13">
      <c r="A137" s="147"/>
      <c r="B137" s="152"/>
      <c r="C137" s="147"/>
      <c r="D137" s="147"/>
      <c r="E137" s="147"/>
      <c r="F137" s="151"/>
      <c r="G137" s="35"/>
      <c r="H137" s="35"/>
      <c r="I137" s="88"/>
    </row>
    <row r="138" spans="1:9" ht="13">
      <c r="A138" s="147"/>
      <c r="B138" s="152"/>
      <c r="C138" s="147"/>
      <c r="D138" s="147"/>
      <c r="E138" s="147"/>
      <c r="F138" s="151"/>
      <c r="G138" s="35"/>
      <c r="H138" s="35"/>
      <c r="I138" s="88"/>
    </row>
    <row r="139" spans="1:9" ht="13">
      <c r="A139" s="147"/>
      <c r="B139" s="152"/>
      <c r="C139" s="147"/>
      <c r="D139" s="147"/>
      <c r="E139" s="147"/>
      <c r="F139" s="147"/>
      <c r="G139" s="35"/>
      <c r="H139" s="35"/>
      <c r="I139" s="88"/>
    </row>
    <row r="140" spans="1:9" ht="13">
      <c r="A140" s="147"/>
      <c r="B140" s="152"/>
      <c r="C140" s="147"/>
      <c r="D140" s="147"/>
      <c r="E140" s="147"/>
      <c r="F140" s="151"/>
      <c r="G140" s="35"/>
      <c r="H140" s="35"/>
      <c r="I140" s="88"/>
    </row>
    <row r="141" spans="1:9" ht="13">
      <c r="A141" s="147"/>
      <c r="B141" s="152"/>
      <c r="C141" s="147"/>
      <c r="D141" s="147"/>
      <c r="E141" s="147"/>
      <c r="F141" s="147"/>
      <c r="G141" s="35"/>
      <c r="H141" s="35"/>
      <c r="I141" s="88"/>
    </row>
    <row r="142" spans="1:9" ht="13">
      <c r="A142" s="147"/>
      <c r="B142" s="152"/>
      <c r="C142" s="147"/>
      <c r="D142" s="147"/>
      <c r="E142" s="147"/>
      <c r="F142" s="147"/>
      <c r="G142" s="35"/>
      <c r="H142" s="35"/>
      <c r="I142" s="88"/>
    </row>
    <row r="143" spans="1:9" ht="13">
      <c r="A143" s="147"/>
      <c r="B143" s="152"/>
      <c r="C143" s="147"/>
      <c r="D143" s="147"/>
      <c r="E143" s="147"/>
      <c r="F143" s="147"/>
      <c r="G143" s="35"/>
      <c r="H143" s="35"/>
      <c r="I143" s="88"/>
    </row>
    <row r="144" spans="1:9" ht="13">
      <c r="A144" s="147"/>
      <c r="B144" s="152"/>
      <c r="C144" s="147"/>
      <c r="D144" s="147"/>
      <c r="E144" s="147"/>
      <c r="F144" s="151"/>
      <c r="G144" s="35"/>
      <c r="H144" s="35"/>
      <c r="I144" s="88"/>
    </row>
    <row r="145" spans="1:9" ht="13">
      <c r="A145" s="147"/>
      <c r="B145" s="152"/>
      <c r="C145" s="147"/>
      <c r="D145" s="147"/>
      <c r="E145" s="147"/>
      <c r="F145" s="147"/>
      <c r="G145" s="35"/>
      <c r="H145" s="35"/>
      <c r="I145" s="88"/>
    </row>
    <row r="146" spans="1:9" ht="13">
      <c r="A146" s="147"/>
      <c r="B146" s="148"/>
      <c r="C146" s="147"/>
      <c r="D146" s="147"/>
      <c r="E146" s="147"/>
      <c r="F146" s="151"/>
      <c r="G146" s="35"/>
      <c r="H146" s="35"/>
      <c r="I146" s="88"/>
    </row>
    <row r="147" spans="1:9" ht="13">
      <c r="A147" s="147"/>
      <c r="B147" s="148"/>
      <c r="C147" s="147"/>
      <c r="D147" s="147"/>
      <c r="E147" s="147"/>
      <c r="F147" s="151"/>
      <c r="G147" s="35"/>
      <c r="H147" s="35"/>
      <c r="I147" s="88"/>
    </row>
    <row r="148" spans="1:9" ht="13">
      <c r="A148" s="147"/>
      <c r="B148" s="148"/>
      <c r="C148" s="147"/>
      <c r="D148" s="147"/>
      <c r="E148" s="147"/>
      <c r="F148" s="151"/>
      <c r="G148" s="35"/>
      <c r="H148" s="35"/>
      <c r="I148" s="88"/>
    </row>
    <row r="149" spans="1:9" ht="13">
      <c r="A149" s="147"/>
      <c r="B149" s="148"/>
      <c r="C149" s="147"/>
      <c r="D149" s="147"/>
      <c r="E149" s="147"/>
      <c r="F149" s="147"/>
      <c r="G149" s="35"/>
      <c r="H149" s="35"/>
      <c r="I149" s="88"/>
    </row>
    <row r="150" spans="1:9" ht="13">
      <c r="A150" s="147"/>
      <c r="B150" s="148"/>
      <c r="C150" s="147"/>
      <c r="D150" s="147"/>
      <c r="E150" s="147"/>
      <c r="F150" s="151"/>
      <c r="G150" s="35"/>
      <c r="H150" s="35"/>
      <c r="I150" s="88"/>
    </row>
    <row r="151" spans="1:9" ht="13">
      <c r="A151" s="147"/>
      <c r="B151" s="148"/>
      <c r="C151" s="147"/>
      <c r="D151" s="147"/>
      <c r="E151" s="147"/>
      <c r="F151" s="151"/>
      <c r="G151" s="35"/>
      <c r="H151" s="35"/>
      <c r="I151" s="88"/>
    </row>
    <row r="152" spans="1:9" ht="13">
      <c r="A152" s="147"/>
      <c r="B152" s="148"/>
      <c r="C152" s="147"/>
      <c r="D152" s="147"/>
      <c r="E152" s="147"/>
      <c r="F152" s="147"/>
      <c r="G152" s="35"/>
      <c r="H152" s="35"/>
      <c r="I152" s="88"/>
    </row>
    <row r="153" spans="1:9" ht="13">
      <c r="A153" s="147"/>
      <c r="B153" s="148"/>
      <c r="C153" s="147"/>
      <c r="D153" s="147"/>
      <c r="E153" s="147"/>
      <c r="F153" s="151"/>
      <c r="G153" s="35"/>
      <c r="H153" s="35"/>
      <c r="I153" s="88"/>
    </row>
    <row r="154" spans="1:9" ht="13">
      <c r="A154" s="147"/>
      <c r="B154" s="148"/>
      <c r="C154" s="147"/>
      <c r="D154" s="147"/>
      <c r="E154" s="147"/>
      <c r="F154" s="151"/>
      <c r="G154" s="35"/>
      <c r="H154" s="35"/>
      <c r="I154" s="88"/>
    </row>
    <row r="155" spans="1:9" ht="13">
      <c r="A155" s="147"/>
      <c r="B155" s="148"/>
      <c r="C155" s="147"/>
      <c r="D155" s="147"/>
      <c r="E155" s="147"/>
      <c r="F155" s="147"/>
      <c r="G155" s="35"/>
      <c r="H155" s="35"/>
      <c r="I155" s="88"/>
    </row>
    <row r="156" spans="1:9" ht="13">
      <c r="A156" s="147"/>
      <c r="B156" s="148"/>
      <c r="C156" s="147"/>
      <c r="D156" s="147"/>
      <c r="E156" s="147"/>
      <c r="F156" s="151"/>
      <c r="G156" s="35"/>
      <c r="H156" s="35"/>
      <c r="I156" s="88"/>
    </row>
    <row r="157" spans="1:9" ht="13">
      <c r="A157" s="147"/>
      <c r="B157" s="148"/>
      <c r="C157" s="147"/>
      <c r="D157" s="147"/>
      <c r="E157" s="147"/>
      <c r="F157" s="147"/>
      <c r="G157" s="35"/>
      <c r="H157" s="35"/>
      <c r="I157" s="88"/>
    </row>
    <row r="158" spans="1:9" ht="13">
      <c r="A158" s="147"/>
      <c r="B158" s="148"/>
      <c r="C158" s="147"/>
      <c r="D158" s="147"/>
      <c r="E158" s="147"/>
      <c r="F158" s="147"/>
      <c r="G158" s="35"/>
      <c r="H158" s="35"/>
      <c r="I158" s="88"/>
    </row>
    <row r="159" spans="1:9" ht="13">
      <c r="A159" s="147"/>
      <c r="B159" s="148"/>
      <c r="C159" s="147"/>
      <c r="D159" s="147"/>
      <c r="E159" s="147"/>
      <c r="F159" s="147"/>
      <c r="G159" s="35"/>
      <c r="H159" s="35"/>
      <c r="I159" s="88"/>
    </row>
    <row r="160" spans="1:9" ht="13">
      <c r="A160" s="147"/>
      <c r="B160" s="148"/>
      <c r="C160" s="147"/>
      <c r="D160" s="147"/>
      <c r="E160" s="147"/>
      <c r="F160" s="151"/>
      <c r="G160" s="35"/>
      <c r="H160" s="35"/>
      <c r="I160" s="88"/>
    </row>
    <row r="161" spans="1:9" ht="13">
      <c r="A161" s="147"/>
      <c r="B161" s="148"/>
      <c r="C161" s="147"/>
      <c r="D161" s="147"/>
      <c r="E161" s="147"/>
      <c r="F161" s="147"/>
      <c r="G161" s="35"/>
      <c r="H161" s="35"/>
      <c r="I161" s="137"/>
    </row>
    <row r="162" spans="1:9" ht="13">
      <c r="A162" s="147"/>
      <c r="B162" s="152"/>
      <c r="C162" s="147"/>
      <c r="D162" s="147"/>
      <c r="E162" s="147"/>
      <c r="F162" s="151"/>
      <c r="G162" s="35"/>
      <c r="H162" s="35"/>
      <c r="I162" s="88"/>
    </row>
    <row r="163" spans="1:9" ht="13">
      <c r="A163" s="147"/>
      <c r="B163" s="152"/>
      <c r="C163" s="147"/>
      <c r="D163" s="147"/>
      <c r="E163" s="147"/>
      <c r="F163" s="147"/>
      <c r="G163" s="35"/>
      <c r="H163" s="35"/>
      <c r="I163" s="88"/>
    </row>
    <row r="164" spans="1:9" ht="13">
      <c r="A164" s="147"/>
      <c r="B164" s="152"/>
      <c r="C164" s="147"/>
      <c r="D164" s="147"/>
      <c r="E164" s="147"/>
      <c r="F164" s="151"/>
      <c r="G164" s="35"/>
      <c r="H164" s="35"/>
      <c r="I164" s="88"/>
    </row>
    <row r="165" spans="1:9" ht="13">
      <c r="A165" s="147"/>
      <c r="B165" s="152"/>
      <c r="C165" s="147"/>
      <c r="D165" s="147"/>
      <c r="E165" s="147"/>
      <c r="F165" s="151"/>
      <c r="G165" s="35"/>
      <c r="H165" s="35"/>
      <c r="I165" s="88"/>
    </row>
    <row r="166" spans="1:9" ht="13">
      <c r="A166" s="147"/>
      <c r="B166" s="152"/>
      <c r="C166" s="147"/>
      <c r="D166" s="147"/>
      <c r="E166" s="147"/>
      <c r="F166" s="151"/>
      <c r="G166" s="35"/>
      <c r="H166" s="35"/>
      <c r="I166" s="88"/>
    </row>
    <row r="167" spans="1:9" ht="13">
      <c r="A167" s="147"/>
      <c r="B167" s="152"/>
      <c r="C167" s="147"/>
      <c r="D167" s="147"/>
      <c r="E167" s="147"/>
      <c r="F167" s="151"/>
      <c r="G167" s="35"/>
      <c r="H167" s="35"/>
      <c r="I167" s="88"/>
    </row>
    <row r="168" spans="1:9" ht="13">
      <c r="A168" s="147"/>
      <c r="B168" s="148"/>
      <c r="C168" s="147"/>
      <c r="D168" s="147"/>
      <c r="E168" s="147"/>
      <c r="F168" s="151"/>
      <c r="G168" s="35"/>
      <c r="H168" s="35"/>
      <c r="I168" s="88"/>
    </row>
    <row r="169" spans="1:9" ht="13">
      <c r="A169" s="147"/>
      <c r="B169" s="148"/>
      <c r="C169" s="147"/>
      <c r="D169" s="147"/>
      <c r="E169" s="147"/>
      <c r="F169" s="151"/>
      <c r="G169" s="35"/>
      <c r="H169" s="35"/>
      <c r="I169" s="88"/>
    </row>
    <row r="170" spans="1:9" ht="13">
      <c r="A170" s="147"/>
      <c r="B170" s="148"/>
      <c r="C170" s="147"/>
      <c r="D170" s="170"/>
      <c r="E170" s="147"/>
      <c r="F170" s="151"/>
      <c r="G170" s="35"/>
      <c r="H170" s="35"/>
      <c r="I170" s="88"/>
    </row>
    <row r="171" spans="1:9" ht="13">
      <c r="A171" s="147"/>
      <c r="B171" s="148"/>
      <c r="C171" s="147"/>
      <c r="D171" s="170"/>
      <c r="E171" s="147"/>
      <c r="F171" s="151"/>
      <c r="G171" s="35"/>
      <c r="H171" s="35"/>
      <c r="I171" s="88"/>
    </row>
    <row r="172" spans="1:9" ht="13">
      <c r="A172" s="147"/>
      <c r="B172" s="148"/>
      <c r="C172" s="147"/>
      <c r="D172" s="170"/>
      <c r="E172" s="147"/>
      <c r="F172" s="147"/>
      <c r="G172" s="35"/>
      <c r="H172" s="35"/>
      <c r="I172" s="88"/>
    </row>
    <row r="173" spans="1:9" ht="13">
      <c r="A173" s="147"/>
      <c r="B173" s="148"/>
      <c r="C173" s="147"/>
      <c r="D173" s="170"/>
      <c r="E173" s="147"/>
      <c r="F173" s="151"/>
      <c r="G173" s="35"/>
      <c r="H173" s="35"/>
      <c r="I173" s="88"/>
    </row>
    <row r="174" spans="1:9" ht="13">
      <c r="A174" s="147"/>
      <c r="B174" s="148"/>
      <c r="C174" s="147"/>
      <c r="D174" s="170"/>
      <c r="E174" s="151"/>
      <c r="F174" s="151"/>
      <c r="G174" s="35"/>
      <c r="H174" s="35"/>
      <c r="I174" s="88"/>
    </row>
    <row r="175" spans="1:9" ht="13">
      <c r="A175" s="147"/>
      <c r="B175" s="148"/>
      <c r="C175" s="147"/>
      <c r="D175" s="170"/>
      <c r="E175" s="147"/>
      <c r="F175" s="151"/>
      <c r="G175" s="35"/>
      <c r="H175" s="35"/>
      <c r="I175" s="88"/>
    </row>
    <row r="176" spans="1:9" ht="13">
      <c r="A176" s="147"/>
      <c r="B176" s="152"/>
      <c r="C176" s="147"/>
      <c r="D176" s="170"/>
      <c r="E176" s="147"/>
      <c r="F176" s="151"/>
      <c r="G176" s="35"/>
      <c r="H176" s="35"/>
      <c r="I176" s="88"/>
    </row>
    <row r="177" spans="1:9" ht="13">
      <c r="A177" s="147"/>
      <c r="B177" s="152"/>
      <c r="C177" s="147"/>
      <c r="D177" s="170"/>
      <c r="E177" s="147"/>
      <c r="F177" s="147"/>
      <c r="G177" s="35"/>
      <c r="H177" s="35"/>
      <c r="I177" s="88"/>
    </row>
    <row r="178" spans="1:9" ht="13">
      <c r="A178" s="147"/>
      <c r="B178" s="152"/>
      <c r="C178" s="147"/>
      <c r="D178" s="170"/>
      <c r="E178" s="147"/>
      <c r="F178" s="151"/>
      <c r="G178" s="35"/>
      <c r="H178" s="35"/>
      <c r="I178" s="88"/>
    </row>
    <row r="179" spans="1:9" ht="13">
      <c r="A179" s="147"/>
      <c r="B179" s="152"/>
      <c r="C179" s="147"/>
      <c r="D179" s="170"/>
      <c r="E179" s="147"/>
      <c r="F179" s="151"/>
      <c r="G179" s="35"/>
      <c r="H179" s="35"/>
      <c r="I179" s="88"/>
    </row>
    <row r="180" spans="1:9" ht="13">
      <c r="A180" s="147"/>
      <c r="B180" s="152"/>
      <c r="C180" s="147"/>
      <c r="D180" s="170"/>
      <c r="E180" s="147"/>
      <c r="F180" s="151"/>
      <c r="G180" s="35"/>
      <c r="H180" s="35"/>
      <c r="I180" s="88"/>
    </row>
    <row r="181" spans="1:9" ht="13">
      <c r="A181" s="147"/>
      <c r="B181" s="152"/>
      <c r="C181" s="147"/>
      <c r="D181" s="147"/>
      <c r="E181" s="147"/>
      <c r="F181" s="151"/>
      <c r="G181" s="35"/>
      <c r="H181" s="35"/>
      <c r="I181" s="88"/>
    </row>
    <row r="182" spans="1:9" ht="13">
      <c r="A182" s="147"/>
      <c r="B182" s="152"/>
      <c r="C182" s="147"/>
      <c r="D182" s="170"/>
      <c r="E182" s="147"/>
      <c r="F182" s="151"/>
      <c r="G182" s="35"/>
      <c r="H182" s="35"/>
      <c r="I182" s="88"/>
    </row>
    <row r="183" spans="1:9" ht="13">
      <c r="A183" s="147"/>
      <c r="B183" s="152"/>
      <c r="C183" s="147"/>
      <c r="D183" s="170"/>
      <c r="E183" s="147"/>
      <c r="F183" s="147"/>
      <c r="G183" s="35"/>
      <c r="H183" s="35"/>
      <c r="I183" s="88"/>
    </row>
    <row r="184" spans="1:9" ht="13">
      <c r="A184" s="147"/>
      <c r="B184" s="152"/>
      <c r="C184" s="147"/>
      <c r="D184" s="170"/>
      <c r="E184" s="147"/>
      <c r="F184" s="151"/>
      <c r="G184" s="35"/>
      <c r="H184" s="35"/>
      <c r="I184" s="88"/>
    </row>
    <row r="185" spans="1:9" ht="13">
      <c r="A185" s="147"/>
      <c r="B185" s="152"/>
      <c r="C185" s="147"/>
      <c r="D185" s="170"/>
      <c r="E185" s="147"/>
      <c r="F185" s="147"/>
      <c r="G185" s="35"/>
      <c r="H185" s="35"/>
      <c r="I185" s="88"/>
    </row>
    <row r="186" spans="1:9" ht="13">
      <c r="A186" s="147"/>
      <c r="B186" s="152"/>
      <c r="C186" s="147"/>
      <c r="D186" s="170"/>
      <c r="E186" s="147"/>
      <c r="F186" s="147"/>
      <c r="G186" s="35"/>
      <c r="H186" s="35"/>
      <c r="I186" s="88"/>
    </row>
    <row r="187" spans="1:9" ht="13">
      <c r="A187" s="147"/>
      <c r="B187" s="152"/>
      <c r="C187" s="147"/>
      <c r="D187" s="170"/>
      <c r="E187" s="151"/>
      <c r="F187" s="147"/>
      <c r="G187" s="35"/>
      <c r="H187" s="35"/>
      <c r="I187" s="88"/>
    </row>
    <row r="188" spans="1:9" ht="13">
      <c r="A188" s="147"/>
      <c r="B188" s="148"/>
      <c r="C188" s="147"/>
      <c r="D188" s="170"/>
      <c r="E188" s="147"/>
      <c r="F188" s="151"/>
      <c r="G188" s="35"/>
      <c r="H188" s="35"/>
      <c r="I188" s="88"/>
    </row>
    <row r="189" spans="1:9" ht="13">
      <c r="A189" s="147"/>
      <c r="B189" s="148"/>
      <c r="C189" s="147"/>
      <c r="D189" s="170"/>
      <c r="E189" s="147"/>
      <c r="F189" s="151"/>
      <c r="G189" s="35"/>
      <c r="H189" s="35"/>
      <c r="I189" s="88"/>
    </row>
    <row r="190" spans="1:9" ht="13">
      <c r="A190" s="147"/>
      <c r="B190" s="148"/>
      <c r="C190" s="147"/>
      <c r="D190" s="170"/>
      <c r="E190" s="147"/>
      <c r="F190" s="147"/>
      <c r="G190" s="35"/>
      <c r="H190" s="35"/>
      <c r="I190" s="88"/>
    </row>
    <row r="191" spans="1:9" ht="13">
      <c r="A191" s="147"/>
      <c r="B191" s="148"/>
      <c r="C191" s="147"/>
      <c r="D191" s="170"/>
      <c r="E191" s="147"/>
      <c r="F191" s="151"/>
      <c r="G191" s="35"/>
      <c r="H191" s="35"/>
      <c r="I191" s="88"/>
    </row>
    <row r="192" spans="1:9" ht="13">
      <c r="A192" s="147"/>
      <c r="B192" s="148"/>
      <c r="C192" s="147"/>
      <c r="D192" s="170"/>
      <c r="E192" s="147"/>
      <c r="F192" s="147"/>
      <c r="G192" s="35"/>
      <c r="H192" s="35"/>
      <c r="I192" s="88"/>
    </row>
    <row r="193" spans="1:9" ht="13">
      <c r="A193" s="147"/>
      <c r="B193" s="148"/>
      <c r="C193" s="147"/>
      <c r="D193" s="170"/>
      <c r="E193" s="151"/>
      <c r="F193" s="147"/>
      <c r="G193" s="35"/>
      <c r="H193" s="35"/>
      <c r="I193" s="88"/>
    </row>
    <row r="194" spans="1:9" ht="13">
      <c r="A194" s="147"/>
      <c r="B194" s="148"/>
      <c r="C194" s="147"/>
      <c r="D194" s="147"/>
      <c r="E194" s="151"/>
      <c r="F194" s="147"/>
      <c r="G194" s="35"/>
      <c r="H194" s="35"/>
      <c r="I194" s="88"/>
    </row>
    <row r="195" spans="1:9" ht="13">
      <c r="A195" s="147"/>
      <c r="B195" s="148"/>
      <c r="C195" s="147"/>
      <c r="D195" s="170"/>
      <c r="E195" s="147"/>
      <c r="F195" s="147"/>
      <c r="G195" s="35"/>
      <c r="H195" s="35"/>
      <c r="I195" s="88"/>
    </row>
    <row r="196" spans="1:9" ht="13">
      <c r="A196" s="147"/>
      <c r="B196" s="148"/>
      <c r="C196" s="147"/>
      <c r="D196" s="170"/>
      <c r="E196" s="151"/>
      <c r="F196" s="151"/>
      <c r="G196" s="35"/>
      <c r="H196" s="35"/>
      <c r="I196" s="88"/>
    </row>
    <row r="197" spans="1:9" ht="13">
      <c r="A197" s="147"/>
      <c r="B197" s="148"/>
      <c r="C197" s="147"/>
      <c r="D197" s="170"/>
      <c r="E197" s="147"/>
      <c r="F197" s="151"/>
      <c r="G197" s="35"/>
      <c r="H197" s="35"/>
      <c r="I197" s="88"/>
    </row>
    <row r="198" spans="1:9" ht="13">
      <c r="A198" s="147"/>
      <c r="B198" s="148"/>
      <c r="C198" s="147"/>
      <c r="D198" s="170"/>
      <c r="E198" s="151"/>
      <c r="F198" s="151"/>
      <c r="G198" s="35"/>
      <c r="H198" s="35"/>
      <c r="I198" s="88"/>
    </row>
    <row r="199" spans="1:9" ht="13">
      <c r="A199" s="147"/>
      <c r="B199" s="148"/>
      <c r="C199" s="147"/>
      <c r="D199" s="170"/>
      <c r="E199" s="147"/>
      <c r="F199" s="151"/>
      <c r="G199" s="35"/>
      <c r="H199" s="35"/>
      <c r="I199" s="88"/>
    </row>
    <row r="200" spans="1:9" ht="13">
      <c r="A200" s="147"/>
      <c r="B200" s="148"/>
      <c r="C200" s="147"/>
      <c r="D200" s="170"/>
      <c r="E200" s="151"/>
      <c r="F200" s="151"/>
      <c r="G200" s="35"/>
      <c r="H200" s="35"/>
      <c r="I200" s="88"/>
    </row>
    <row r="201" spans="1:9" ht="13">
      <c r="A201" s="147"/>
      <c r="B201" s="148"/>
      <c r="C201" s="147"/>
      <c r="D201" s="170"/>
      <c r="E201" s="151"/>
      <c r="F201" s="147"/>
      <c r="G201" s="35"/>
      <c r="H201" s="35"/>
      <c r="I201" s="88"/>
    </row>
    <row r="202" spans="1:9" ht="13">
      <c r="A202" s="147"/>
      <c r="B202" s="152"/>
      <c r="C202" s="147"/>
      <c r="D202" s="35"/>
      <c r="E202" s="151"/>
      <c r="F202" s="151"/>
      <c r="G202" s="35"/>
      <c r="H202" s="35"/>
      <c r="I202" s="88"/>
    </row>
    <row r="203" spans="1:9" ht="13">
      <c r="A203" s="147"/>
      <c r="B203" s="152"/>
      <c r="C203" s="147"/>
      <c r="D203" s="170"/>
      <c r="E203" s="151"/>
      <c r="F203" s="151"/>
      <c r="G203" s="35"/>
      <c r="H203" s="35"/>
      <c r="I203" s="88"/>
    </row>
    <row r="204" spans="1:9" ht="13">
      <c r="A204" s="147"/>
      <c r="B204" s="152"/>
      <c r="C204" s="147"/>
      <c r="D204" s="147"/>
      <c r="E204" s="151"/>
      <c r="F204" s="147"/>
      <c r="G204" s="35"/>
      <c r="H204" s="35"/>
      <c r="I204" s="88"/>
    </row>
    <row r="205" spans="1:9" ht="13">
      <c r="A205" s="147"/>
      <c r="B205" s="152"/>
      <c r="C205" s="147"/>
      <c r="D205" s="170"/>
      <c r="E205" s="151"/>
      <c r="F205" s="151"/>
      <c r="G205" s="35"/>
      <c r="H205" s="35"/>
      <c r="I205" s="88"/>
    </row>
    <row r="206" spans="1:9" ht="13">
      <c r="A206" s="147"/>
      <c r="B206" s="152"/>
      <c r="C206" s="147"/>
      <c r="D206" s="35"/>
      <c r="E206" s="151"/>
      <c r="F206" s="151"/>
      <c r="G206" s="35"/>
      <c r="H206" s="35"/>
      <c r="I206" s="88"/>
    </row>
    <row r="207" spans="1:9" ht="13">
      <c r="A207" s="147"/>
      <c r="B207" s="152"/>
      <c r="C207" s="147"/>
      <c r="D207" s="35"/>
      <c r="E207" s="151"/>
      <c r="F207" s="151"/>
      <c r="G207" s="35"/>
      <c r="H207" s="35"/>
      <c r="I207" s="88"/>
    </row>
    <row r="208" spans="1:9" ht="13">
      <c r="A208" s="147"/>
      <c r="B208" s="152"/>
      <c r="C208" s="147"/>
      <c r="D208" s="170"/>
      <c r="E208" s="151"/>
      <c r="F208" s="151"/>
      <c r="G208" s="35"/>
      <c r="H208" s="35"/>
      <c r="I208" s="88"/>
    </row>
    <row r="209" spans="1:9" ht="13">
      <c r="A209" s="147"/>
      <c r="B209" s="152"/>
      <c r="C209" s="147"/>
      <c r="D209" s="170"/>
      <c r="E209" s="151"/>
      <c r="F209" s="151"/>
      <c r="G209" s="35"/>
      <c r="H209" s="35"/>
      <c r="I209" s="88"/>
    </row>
    <row r="210" spans="1:9" ht="13">
      <c r="A210" s="147"/>
      <c r="B210" s="152"/>
      <c r="C210" s="147"/>
      <c r="D210" s="35"/>
      <c r="E210" s="151"/>
      <c r="F210" s="151"/>
      <c r="G210" s="35"/>
      <c r="H210" s="35"/>
      <c r="I210" s="88"/>
    </row>
    <row r="211" spans="1:9" ht="13">
      <c r="A211" s="147"/>
      <c r="B211" s="152"/>
      <c r="C211" s="147"/>
      <c r="D211" s="35"/>
      <c r="E211" s="151"/>
      <c r="F211" s="151"/>
      <c r="G211" s="35"/>
      <c r="H211" s="35"/>
      <c r="I211" s="88"/>
    </row>
    <row r="212" spans="1:9" ht="13">
      <c r="A212" s="147"/>
      <c r="B212" s="152"/>
      <c r="C212" s="147"/>
      <c r="D212" s="170"/>
      <c r="E212" s="151"/>
      <c r="F212" s="151"/>
      <c r="G212" s="35"/>
      <c r="H212" s="35"/>
      <c r="I212" s="88"/>
    </row>
    <row r="213" spans="1:9" ht="13">
      <c r="A213" s="147"/>
      <c r="B213" s="152"/>
      <c r="C213" s="147"/>
      <c r="D213" s="170"/>
      <c r="E213" s="151"/>
      <c r="F213" s="151"/>
      <c r="G213" s="35"/>
      <c r="H213" s="35"/>
      <c r="I213" s="88"/>
    </row>
    <row r="214" spans="1:9" ht="13">
      <c r="A214" s="147"/>
      <c r="B214" s="148"/>
      <c r="C214" s="147"/>
      <c r="D214" s="35"/>
      <c r="E214" s="151"/>
      <c r="F214" s="151"/>
      <c r="G214" s="35"/>
      <c r="H214" s="35"/>
      <c r="I214" s="88"/>
    </row>
    <row r="215" spans="1:9" ht="13">
      <c r="A215" s="147"/>
      <c r="B215" s="148"/>
      <c r="C215" s="147"/>
      <c r="D215" s="170"/>
      <c r="E215" s="151"/>
      <c r="F215" s="151"/>
      <c r="G215" s="35"/>
      <c r="H215" s="35"/>
      <c r="I215" s="88"/>
    </row>
    <row r="216" spans="1:9" ht="13">
      <c r="A216" s="147"/>
      <c r="B216" s="148"/>
      <c r="C216" s="147"/>
      <c r="D216" s="35"/>
      <c r="E216" s="151"/>
      <c r="F216" s="151"/>
      <c r="G216" s="35"/>
      <c r="H216" s="35"/>
      <c r="I216" s="88"/>
    </row>
    <row r="217" spans="1:9" ht="13">
      <c r="A217" s="147"/>
      <c r="B217" s="148"/>
      <c r="C217" s="147"/>
      <c r="D217" s="35"/>
      <c r="E217" s="151"/>
      <c r="F217" s="151"/>
      <c r="G217" s="35"/>
      <c r="H217" s="35"/>
      <c r="I217" s="88"/>
    </row>
    <row r="218" spans="1:9" ht="13">
      <c r="A218" s="147"/>
      <c r="B218" s="148"/>
      <c r="C218" s="147"/>
      <c r="D218" s="170"/>
      <c r="E218" s="151"/>
      <c r="F218" s="147"/>
      <c r="G218" s="35"/>
      <c r="H218" s="35"/>
      <c r="I218" s="88"/>
    </row>
    <row r="219" spans="1:9" ht="13">
      <c r="A219" s="147"/>
      <c r="B219" s="148"/>
      <c r="C219" s="147"/>
      <c r="D219" s="170"/>
      <c r="E219" s="151"/>
      <c r="F219" s="151"/>
      <c r="G219" s="35"/>
      <c r="H219" s="35"/>
      <c r="I219" s="88"/>
    </row>
    <row r="220" spans="1:9" ht="13">
      <c r="A220" s="147"/>
      <c r="B220" s="148"/>
      <c r="C220" s="147"/>
      <c r="D220" s="151"/>
      <c r="E220" s="151"/>
      <c r="F220" s="151"/>
      <c r="G220" s="35"/>
      <c r="H220" s="35"/>
      <c r="I220" s="88"/>
    </row>
    <row r="221" spans="1:9" ht="13">
      <c r="A221" s="151"/>
      <c r="B221" s="152"/>
      <c r="C221" s="151"/>
      <c r="D221" s="35"/>
      <c r="E221" s="151"/>
      <c r="F221" s="151"/>
      <c r="G221" s="35"/>
      <c r="H221" s="35"/>
      <c r="I221" s="88"/>
    </row>
    <row r="222" spans="1:9" ht="13">
      <c r="A222" s="151"/>
      <c r="B222" s="152"/>
      <c r="C222" s="151"/>
      <c r="D222" s="151"/>
      <c r="E222" s="151"/>
      <c r="F222" s="151"/>
      <c r="G222" s="35"/>
      <c r="H222" s="35"/>
      <c r="I222" s="88"/>
    </row>
    <row r="223" spans="1:9" ht="13">
      <c r="A223" s="151"/>
      <c r="B223" s="152"/>
      <c r="C223" s="151"/>
      <c r="D223" s="35"/>
      <c r="E223" s="151"/>
      <c r="F223" s="151"/>
      <c r="G223" s="35"/>
      <c r="H223" s="35"/>
      <c r="I223" s="88"/>
    </row>
    <row r="224" spans="1:9" ht="13">
      <c r="A224" s="151"/>
      <c r="B224" s="152"/>
      <c r="C224" s="151"/>
      <c r="D224" s="35"/>
      <c r="E224" s="151"/>
      <c r="F224" s="151"/>
      <c r="G224" s="35"/>
      <c r="H224" s="35"/>
      <c r="I224" s="88"/>
    </row>
    <row r="225" spans="1:9" ht="13">
      <c r="A225" s="151"/>
      <c r="B225" s="152"/>
      <c r="C225" s="151"/>
      <c r="D225" s="170"/>
      <c r="E225" s="151"/>
      <c r="F225" s="151"/>
      <c r="G225" s="35"/>
      <c r="H225" s="35"/>
      <c r="I225" s="88"/>
    </row>
    <row r="226" spans="1:9" ht="13">
      <c r="A226" s="151"/>
      <c r="B226" s="152"/>
      <c r="C226" s="151"/>
      <c r="D226" s="35"/>
      <c r="E226" s="151"/>
      <c r="F226" s="151"/>
      <c r="G226" s="35"/>
      <c r="H226" s="35"/>
      <c r="I226" s="88"/>
    </row>
    <row r="227" spans="1:9" ht="13">
      <c r="A227" s="151"/>
      <c r="B227" s="152"/>
      <c r="C227" s="151"/>
      <c r="D227" s="35"/>
      <c r="E227" s="151"/>
      <c r="F227" s="151"/>
      <c r="G227" s="35"/>
      <c r="H227" s="35"/>
      <c r="I227" s="88"/>
    </row>
    <row r="228" spans="1:9" ht="13">
      <c r="A228" s="151"/>
      <c r="B228" s="152"/>
      <c r="C228" s="151"/>
      <c r="D228" s="35"/>
      <c r="E228" s="151"/>
      <c r="F228" s="151"/>
      <c r="G228" s="35"/>
      <c r="H228" s="35"/>
      <c r="I228" s="88"/>
    </row>
    <row r="229" spans="1:9" ht="13">
      <c r="A229" s="151"/>
      <c r="B229" s="152"/>
      <c r="C229" s="151"/>
      <c r="D229" s="151"/>
      <c r="E229" s="151"/>
      <c r="F229" s="151"/>
      <c r="G229" s="35"/>
      <c r="H229" s="35"/>
      <c r="I229" s="88"/>
    </row>
    <row r="230" spans="1:9" ht="13">
      <c r="A230" s="151"/>
      <c r="B230" s="152"/>
      <c r="C230" s="151"/>
      <c r="D230" s="35"/>
      <c r="E230" s="151"/>
      <c r="F230" s="151"/>
      <c r="G230" s="35"/>
      <c r="H230" s="35"/>
      <c r="I230" s="88"/>
    </row>
    <row r="231" spans="1:9" ht="13">
      <c r="A231" s="151"/>
      <c r="B231" s="152"/>
      <c r="C231" s="151"/>
      <c r="D231" s="35"/>
      <c r="E231" s="151"/>
      <c r="F231" s="151"/>
      <c r="G231" s="35"/>
      <c r="H231" s="35"/>
      <c r="I231" s="88"/>
    </row>
    <row r="232" spans="1:9" ht="13">
      <c r="A232" s="151"/>
      <c r="B232" s="152"/>
      <c r="C232" s="151"/>
      <c r="D232" s="35"/>
      <c r="E232" s="151"/>
      <c r="F232" s="151"/>
      <c r="G232" s="35"/>
      <c r="H232" s="35"/>
      <c r="I232" s="88"/>
    </row>
    <row r="233" spans="1:9" ht="13">
      <c r="A233" s="151"/>
      <c r="B233" s="152"/>
      <c r="C233" s="151"/>
      <c r="D233" s="151"/>
      <c r="E233" s="151"/>
      <c r="F233" s="151"/>
      <c r="G233" s="35"/>
      <c r="H233" s="35"/>
      <c r="I233" s="88"/>
    </row>
    <row r="234" spans="1:9" ht="13">
      <c r="A234" s="151"/>
      <c r="B234" s="152"/>
      <c r="C234" s="151"/>
      <c r="D234" s="170"/>
      <c r="E234" s="172"/>
      <c r="F234" s="151"/>
      <c r="G234" s="35"/>
      <c r="H234" s="35"/>
      <c r="I234" s="88"/>
    </row>
    <row r="235" spans="1:9" ht="13">
      <c r="A235" s="151"/>
      <c r="B235" s="152"/>
      <c r="C235" s="151"/>
      <c r="D235" s="35"/>
      <c r="E235" s="172"/>
      <c r="F235" s="151"/>
      <c r="G235" s="35"/>
      <c r="H235" s="35"/>
      <c r="I235" s="88"/>
    </row>
    <row r="236" spans="1:9" ht="13">
      <c r="A236" s="151"/>
      <c r="B236" s="152"/>
      <c r="C236" s="151"/>
      <c r="D236" s="35"/>
      <c r="E236" s="172"/>
      <c r="F236" s="151"/>
      <c r="G236" s="35"/>
      <c r="H236" s="35"/>
      <c r="I236" s="88"/>
    </row>
    <row r="237" spans="1:9" ht="13">
      <c r="A237" s="151"/>
      <c r="B237" s="152"/>
      <c r="C237" s="151"/>
      <c r="D237" s="35"/>
      <c r="E237" s="172"/>
      <c r="F237" s="151"/>
      <c r="G237" s="35"/>
      <c r="H237" s="35"/>
      <c r="I237" s="88"/>
    </row>
    <row r="238" spans="1:9" ht="13">
      <c r="A238" s="151"/>
      <c r="B238" s="152"/>
      <c r="C238" s="151"/>
      <c r="D238" s="35"/>
      <c r="E238" s="172"/>
      <c r="F238" s="151"/>
      <c r="G238" s="35"/>
      <c r="H238" s="35"/>
      <c r="I238" s="88"/>
    </row>
    <row r="239" spans="1:9" ht="13">
      <c r="A239" s="151"/>
      <c r="B239" s="152"/>
      <c r="C239" s="151"/>
      <c r="D239" s="35"/>
      <c r="E239" s="172"/>
      <c r="F239" s="151"/>
      <c r="G239" s="35"/>
      <c r="H239" s="35"/>
      <c r="I239" s="88"/>
    </row>
    <row r="240" spans="1:9" ht="13">
      <c r="A240" s="151"/>
      <c r="B240" s="152"/>
      <c r="C240" s="151"/>
      <c r="D240" s="170"/>
      <c r="E240" s="172"/>
      <c r="F240" s="147"/>
      <c r="G240" s="35"/>
      <c r="H240" s="35"/>
      <c r="I240" s="88"/>
    </row>
    <row r="241" spans="1:9" ht="13">
      <c r="A241" s="151"/>
      <c r="B241" s="152"/>
      <c r="C241" s="173"/>
      <c r="D241" s="161"/>
      <c r="E241" s="172"/>
      <c r="F241" s="151"/>
      <c r="G241" s="35"/>
      <c r="H241" s="35"/>
      <c r="I241" s="88"/>
    </row>
    <row r="242" spans="1:9" ht="13">
      <c r="C242" s="5"/>
      <c r="D242" s="5"/>
      <c r="E242" s="5"/>
      <c r="F242" s="5"/>
      <c r="G242" s="5"/>
    </row>
    <row r="243" spans="1:9" ht="13">
      <c r="C243" s="5"/>
      <c r="D243" s="5"/>
      <c r="E243" s="5"/>
      <c r="F243" s="5"/>
      <c r="G243" s="5"/>
    </row>
    <row r="244" spans="1:9" ht="13">
      <c r="C244" s="5"/>
      <c r="D244" s="5"/>
      <c r="E244" s="5"/>
      <c r="F244" s="5"/>
      <c r="G244" s="5"/>
    </row>
    <row r="245" spans="1:9" ht="13">
      <c r="C245" s="5"/>
      <c r="D245" s="5"/>
      <c r="E245" s="5"/>
      <c r="F245" s="5"/>
      <c r="G245" s="5"/>
    </row>
    <row r="246" spans="1:9" ht="13">
      <c r="C246" s="5"/>
      <c r="D246" s="5"/>
      <c r="E246" s="5"/>
      <c r="F246" s="5"/>
      <c r="G246" s="5"/>
    </row>
    <row r="247" spans="1:9" ht="13">
      <c r="C247" s="5"/>
      <c r="D247" s="5"/>
      <c r="E247" s="5"/>
      <c r="F247" s="5"/>
      <c r="G247" s="5"/>
    </row>
    <row r="248" spans="1:9" ht="13">
      <c r="C248" s="5"/>
      <c r="D248" s="5"/>
      <c r="E248" s="5"/>
      <c r="F248" s="5"/>
      <c r="G248" s="5"/>
    </row>
    <row r="249" spans="1:9" ht="13">
      <c r="C249" s="5"/>
      <c r="D249" s="5"/>
      <c r="E249" s="5"/>
      <c r="F249" s="5"/>
      <c r="G249" s="5"/>
    </row>
    <row r="250" spans="1:9" ht="13">
      <c r="C250" s="5"/>
      <c r="D250" s="5"/>
      <c r="E250" s="5"/>
      <c r="F250" s="5"/>
      <c r="G250" s="5"/>
    </row>
    <row r="251" spans="1:9" ht="13">
      <c r="C251" s="5"/>
      <c r="D251" s="5"/>
      <c r="E251" s="5"/>
      <c r="F251" s="5"/>
      <c r="G251" s="5"/>
    </row>
    <row r="252" spans="1:9" ht="13">
      <c r="C252" s="5"/>
      <c r="D252" s="5"/>
      <c r="E252" s="5"/>
      <c r="F252" s="5"/>
      <c r="G252" s="5"/>
    </row>
    <row r="253" spans="1:9" ht="13">
      <c r="C253" s="5"/>
      <c r="D253" s="5"/>
      <c r="E253" s="5"/>
      <c r="F253" s="5"/>
      <c r="G253" s="5"/>
    </row>
    <row r="254" spans="1:9" ht="13">
      <c r="C254" s="5"/>
      <c r="D254" s="5"/>
      <c r="E254" s="5"/>
      <c r="F254" s="5"/>
      <c r="G254" s="5"/>
    </row>
    <row r="255" spans="1:9" ht="13">
      <c r="C255" s="5"/>
      <c r="D255" s="5"/>
      <c r="E255" s="5"/>
      <c r="F255" s="5"/>
      <c r="G255" s="5"/>
    </row>
    <row r="256" spans="1:9" ht="13">
      <c r="C256" s="5"/>
      <c r="D256" s="5"/>
      <c r="E256" s="5"/>
      <c r="F256" s="5"/>
      <c r="G256" s="5"/>
    </row>
    <row r="257" spans="3:7" ht="13">
      <c r="C257" s="5"/>
      <c r="D257" s="5"/>
      <c r="E257" s="5"/>
      <c r="F257" s="5"/>
      <c r="G257" s="5"/>
    </row>
    <row r="258" spans="3:7" ht="13">
      <c r="C258" s="5"/>
      <c r="D258" s="5"/>
      <c r="E258" s="5"/>
      <c r="F258" s="5"/>
      <c r="G258" s="5"/>
    </row>
    <row r="259" spans="3:7" ht="13">
      <c r="C259" s="5"/>
      <c r="D259" s="5"/>
      <c r="E259" s="5"/>
      <c r="F259" s="5"/>
      <c r="G259" s="5"/>
    </row>
    <row r="260" spans="3:7" ht="13">
      <c r="C260" s="5"/>
      <c r="D260" s="5"/>
      <c r="E260" s="5"/>
      <c r="F260" s="5"/>
      <c r="G260" s="5"/>
    </row>
    <row r="261" spans="3:7" ht="13">
      <c r="C261" s="5"/>
      <c r="D261" s="5"/>
      <c r="E261" s="5"/>
      <c r="F261" s="5"/>
      <c r="G261" s="5"/>
    </row>
    <row r="262" spans="3:7" ht="13">
      <c r="C262" s="5"/>
      <c r="D262" s="5"/>
      <c r="E262" s="5"/>
      <c r="F262" s="5"/>
      <c r="G262" s="5"/>
    </row>
    <row r="263" spans="3:7" ht="13">
      <c r="C263" s="5"/>
      <c r="D263" s="5"/>
      <c r="E263" s="5"/>
      <c r="F263" s="5"/>
      <c r="G263" s="5"/>
    </row>
    <row r="264" spans="3:7" ht="13">
      <c r="C264" s="5"/>
      <c r="D264" s="5"/>
      <c r="E264" s="5"/>
      <c r="F264" s="5"/>
      <c r="G264" s="5"/>
    </row>
    <row r="265" spans="3:7" ht="13">
      <c r="C265" s="5"/>
      <c r="D265" s="5"/>
      <c r="E265" s="5"/>
      <c r="F265" s="5"/>
      <c r="G265" s="5"/>
    </row>
    <row r="266" spans="3:7" ht="13">
      <c r="C266" s="5"/>
      <c r="D266" s="5"/>
      <c r="E266" s="5"/>
      <c r="F266" s="5"/>
      <c r="G266" s="5"/>
    </row>
    <row r="267" spans="3:7" ht="13">
      <c r="C267" s="5"/>
      <c r="D267" s="5"/>
      <c r="E267" s="5"/>
      <c r="F267" s="5"/>
      <c r="G267" s="5"/>
    </row>
    <row r="268" spans="3:7" ht="13">
      <c r="C268" s="5"/>
      <c r="D268" s="5"/>
      <c r="E268" s="5"/>
      <c r="F268" s="5"/>
      <c r="G268" s="5"/>
    </row>
    <row r="269" spans="3:7" ht="13">
      <c r="C269" s="5"/>
      <c r="D269" s="5"/>
      <c r="E269" s="5"/>
      <c r="F269" s="5"/>
      <c r="G269" s="5"/>
    </row>
    <row r="270" spans="3:7" ht="13">
      <c r="C270" s="5"/>
      <c r="D270" s="5"/>
      <c r="E270" s="5"/>
      <c r="F270" s="5"/>
      <c r="G270" s="5"/>
    </row>
    <row r="271" spans="3:7" ht="13">
      <c r="C271" s="5"/>
      <c r="D271" s="5"/>
      <c r="E271" s="5"/>
      <c r="F271" s="5"/>
      <c r="G271" s="5"/>
    </row>
    <row r="272" spans="3:7" ht="13">
      <c r="C272" s="5"/>
      <c r="D272" s="5"/>
      <c r="E272" s="5"/>
      <c r="F272" s="5"/>
      <c r="G272" s="5"/>
    </row>
    <row r="273" spans="3:7" ht="13">
      <c r="C273" s="5"/>
      <c r="D273" s="5"/>
      <c r="E273" s="5"/>
      <c r="F273" s="5"/>
      <c r="G273" s="5"/>
    </row>
    <row r="274" spans="3:7" ht="13">
      <c r="C274" s="5"/>
      <c r="D274" s="5"/>
      <c r="E274" s="5"/>
      <c r="F274" s="5"/>
      <c r="G274" s="5"/>
    </row>
    <row r="275" spans="3:7" ht="13">
      <c r="C275" s="5"/>
      <c r="D275" s="5"/>
      <c r="E275" s="5"/>
      <c r="F275" s="5"/>
      <c r="G275" s="5"/>
    </row>
    <row r="276" spans="3:7" ht="13">
      <c r="C276" s="5"/>
      <c r="D276" s="5"/>
      <c r="E276" s="5"/>
      <c r="F276" s="5"/>
      <c r="G276" s="5"/>
    </row>
    <row r="277" spans="3:7" ht="13">
      <c r="C277" s="5"/>
      <c r="D277" s="5"/>
      <c r="E277" s="5"/>
      <c r="F277" s="5"/>
      <c r="G277" s="5"/>
    </row>
    <row r="278" spans="3:7" ht="13">
      <c r="C278" s="5"/>
      <c r="D278" s="5"/>
      <c r="E278" s="5"/>
      <c r="F278" s="5"/>
      <c r="G278" s="5"/>
    </row>
    <row r="279" spans="3:7" ht="13">
      <c r="C279" s="5"/>
      <c r="D279" s="5"/>
      <c r="E279" s="5"/>
      <c r="F279" s="5"/>
      <c r="G279" s="5"/>
    </row>
    <row r="280" spans="3:7" ht="13">
      <c r="C280" s="5"/>
      <c r="D280" s="5"/>
      <c r="E280" s="5"/>
      <c r="F280" s="5"/>
      <c r="G280" s="5"/>
    </row>
    <row r="281" spans="3:7" ht="13">
      <c r="C281" s="5"/>
      <c r="D281" s="5"/>
      <c r="E281" s="5"/>
      <c r="F281" s="5"/>
      <c r="G281" s="5"/>
    </row>
    <row r="282" spans="3:7" ht="13">
      <c r="C282" s="5"/>
      <c r="D282" s="5"/>
      <c r="E282" s="5"/>
      <c r="F282" s="5"/>
      <c r="G282" s="5"/>
    </row>
    <row r="283" spans="3:7" ht="13">
      <c r="C283" s="5"/>
      <c r="D283" s="5"/>
      <c r="E283" s="5"/>
      <c r="F283" s="5"/>
      <c r="G283" s="5"/>
    </row>
    <row r="284" spans="3:7" ht="13">
      <c r="C284" s="5"/>
      <c r="D284" s="5"/>
      <c r="E284" s="5"/>
      <c r="F284" s="5"/>
      <c r="G284" s="5"/>
    </row>
    <row r="285" spans="3:7" ht="13">
      <c r="C285" s="5"/>
      <c r="D285" s="5"/>
      <c r="E285" s="5"/>
      <c r="F285" s="5"/>
      <c r="G285" s="5"/>
    </row>
    <row r="286" spans="3:7" ht="13">
      <c r="C286" s="5"/>
      <c r="D286" s="5"/>
      <c r="E286" s="5"/>
      <c r="F286" s="5"/>
      <c r="G286" s="5"/>
    </row>
    <row r="287" spans="3:7" ht="13">
      <c r="C287" s="5"/>
      <c r="D287" s="5"/>
      <c r="E287" s="5"/>
      <c r="F287" s="5"/>
      <c r="G287" s="5"/>
    </row>
    <row r="288" spans="3:7" ht="13">
      <c r="C288" s="5"/>
      <c r="D288" s="5"/>
      <c r="E288" s="5"/>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6F00-000000000000}"/>
    <hyperlink ref="B6" r:id="rId2" xr:uid="{00000000-0004-0000-6F00-000001000000}"/>
    <hyperlink ref="B7" r:id="rId3" xr:uid="{00000000-0004-0000-6F00-000002000000}"/>
    <hyperlink ref="B8" r:id="rId4" xr:uid="{00000000-0004-0000-6F00-000003000000}"/>
    <hyperlink ref="B9" r:id="rId5" xr:uid="{00000000-0004-0000-6F00-000004000000}"/>
    <hyperlink ref="B10" r:id="rId6" xr:uid="{00000000-0004-0000-6F00-000005000000}"/>
    <hyperlink ref="B11" r:id="rId7" xr:uid="{00000000-0004-0000-6F00-000006000000}"/>
    <hyperlink ref="B12" r:id="rId8" xr:uid="{00000000-0004-0000-6F00-000007000000}"/>
    <hyperlink ref="B13" r:id="rId9" xr:uid="{00000000-0004-0000-6F00-000008000000}"/>
    <hyperlink ref="B14" r:id="rId10" xr:uid="{00000000-0004-0000-6F00-000009000000}"/>
    <hyperlink ref="B15" r:id="rId11" xr:uid="{00000000-0004-0000-6F00-00000A000000}"/>
    <hyperlink ref="B16" r:id="rId12" xr:uid="{00000000-0004-0000-6F00-00000B000000}"/>
    <hyperlink ref="B17" r:id="rId13" xr:uid="{00000000-0004-0000-6F00-00000C000000}"/>
    <hyperlink ref="B18" r:id="rId14" xr:uid="{00000000-0004-0000-6F00-00000D000000}"/>
    <hyperlink ref="B19" r:id="rId15" xr:uid="{00000000-0004-0000-6F00-00000E000000}"/>
    <hyperlink ref="B20" r:id="rId16" xr:uid="{00000000-0004-0000-6F00-00000F000000}"/>
    <hyperlink ref="B21" r:id="rId17" xr:uid="{00000000-0004-0000-6F00-000010000000}"/>
    <hyperlink ref="B22" r:id="rId18" xr:uid="{00000000-0004-0000-6F00-000011000000}"/>
    <hyperlink ref="B23" r:id="rId19" xr:uid="{00000000-0004-0000-6F00-000012000000}"/>
    <hyperlink ref="B24" r:id="rId20" xr:uid="{00000000-0004-0000-6F00-000013000000}"/>
    <hyperlink ref="B25" r:id="rId21" xr:uid="{00000000-0004-0000-6F00-000014000000}"/>
    <hyperlink ref="B26" r:id="rId22" xr:uid="{00000000-0004-0000-6F00-000015000000}"/>
    <hyperlink ref="B27" r:id="rId23" xr:uid="{00000000-0004-0000-6F00-000016000000}"/>
    <hyperlink ref="B28" r:id="rId24" xr:uid="{00000000-0004-0000-6F00-000017000000}"/>
    <hyperlink ref="B29" r:id="rId25" xr:uid="{00000000-0004-0000-6F00-000018000000}"/>
    <hyperlink ref="B32" r:id="rId26" xr:uid="{00000000-0004-0000-6F00-000019000000}"/>
    <hyperlink ref="B33" r:id="rId27" xr:uid="{00000000-0004-0000-6F00-00001A000000}"/>
    <hyperlink ref="B34" r:id="rId28" xr:uid="{00000000-0004-0000-6F00-00001B000000}"/>
    <hyperlink ref="B35" r:id="rId29" xr:uid="{00000000-0004-0000-6F00-00001C000000}"/>
    <hyperlink ref="B36" r:id="rId30" xr:uid="{00000000-0004-0000-6F00-00001D000000}"/>
    <hyperlink ref="B37" r:id="rId31" xr:uid="{00000000-0004-0000-6F00-00001E000000}"/>
    <hyperlink ref="B38" r:id="rId32" xr:uid="{00000000-0004-0000-6F00-00001F000000}"/>
    <hyperlink ref="B39" r:id="rId33" xr:uid="{00000000-0004-0000-6F00-000020000000}"/>
    <hyperlink ref="B40" r:id="rId34" xr:uid="{00000000-0004-0000-6F00-000021000000}"/>
    <hyperlink ref="B41" r:id="rId35" xr:uid="{00000000-0004-0000-6F00-000022000000}"/>
    <hyperlink ref="B42" r:id="rId36" xr:uid="{00000000-0004-0000-6F00-000023000000}"/>
    <hyperlink ref="B43" r:id="rId37" xr:uid="{00000000-0004-0000-6F00-000024000000}"/>
    <hyperlink ref="B44" r:id="rId38" xr:uid="{00000000-0004-0000-6F00-000025000000}"/>
    <hyperlink ref="B45" r:id="rId39" xr:uid="{00000000-0004-0000-6F00-000026000000}"/>
    <hyperlink ref="B46" r:id="rId40" xr:uid="{00000000-0004-0000-6F00-000027000000}"/>
    <hyperlink ref="B47" r:id="rId41" xr:uid="{00000000-0004-0000-6F00-000028000000}"/>
    <hyperlink ref="B48" r:id="rId42" xr:uid="{00000000-0004-0000-6F00-000029000000}"/>
    <hyperlink ref="B49" r:id="rId43" xr:uid="{00000000-0004-0000-6F00-00002A000000}"/>
    <hyperlink ref="B50" r:id="rId44" xr:uid="{00000000-0004-0000-6F00-00002B000000}"/>
    <hyperlink ref="B51" r:id="rId45" xr:uid="{00000000-0004-0000-6F00-00002C000000}"/>
    <hyperlink ref="B52" r:id="rId46" xr:uid="{00000000-0004-0000-6F00-00002D000000}"/>
    <hyperlink ref="B53" r:id="rId47" xr:uid="{00000000-0004-0000-6F00-00002E000000}"/>
    <hyperlink ref="B54" r:id="rId48" xr:uid="{00000000-0004-0000-6F00-00002F000000}"/>
    <hyperlink ref="B55" r:id="rId49" xr:uid="{00000000-0004-0000-6F00-000030000000}"/>
    <hyperlink ref="B56" r:id="rId50" xr:uid="{00000000-0004-0000-6F00-000031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13">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2" max="2" width="21.6640625" customWidth="1"/>
    <col min="4" max="4" width="14" customWidth="1"/>
    <col min="5" max="5" width="15.1640625" customWidth="1"/>
  </cols>
  <sheetData>
    <row r="1" spans="1:10" ht="15.75" customHeight="1">
      <c r="A1" s="171" t="s">
        <v>123</v>
      </c>
      <c r="B1" s="35"/>
      <c r="C1" s="161"/>
      <c r="D1" s="162" t="s">
        <v>181</v>
      </c>
      <c r="E1" s="35"/>
      <c r="F1" s="35"/>
      <c r="G1" s="35"/>
      <c r="H1" s="35"/>
      <c r="I1" s="88"/>
    </row>
    <row r="2" spans="1:10" ht="15.75" customHeight="1">
      <c r="A2" s="35" t="s">
        <v>182</v>
      </c>
      <c r="B2" s="163">
        <v>44512</v>
      </c>
      <c r="C2" s="161"/>
      <c r="D2" s="164">
        <f>SUM(D5:G288)</f>
        <v>0</v>
      </c>
      <c r="E2" s="35"/>
      <c r="F2" s="35"/>
      <c r="G2" s="35"/>
      <c r="H2" s="35"/>
      <c r="I2" s="88"/>
    </row>
    <row r="3" spans="1:10" ht="15.75" customHeight="1">
      <c r="A3" s="35"/>
      <c r="B3" s="35"/>
      <c r="C3" s="161"/>
      <c r="D3" s="35"/>
      <c r="E3" s="35"/>
      <c r="F3" s="35"/>
      <c r="G3" s="35"/>
      <c r="H3" s="35"/>
      <c r="I3" s="88"/>
    </row>
    <row r="4" spans="1:10" ht="15.75" customHeight="1">
      <c r="A4" s="165" t="s">
        <v>183</v>
      </c>
      <c r="B4" s="165" t="s">
        <v>184</v>
      </c>
      <c r="C4" s="165" t="s">
        <v>185</v>
      </c>
      <c r="D4" s="166" t="s">
        <v>186</v>
      </c>
      <c r="E4" s="167" t="s">
        <v>187</v>
      </c>
      <c r="F4" s="167" t="s">
        <v>188</v>
      </c>
      <c r="G4" s="168" t="s">
        <v>189</v>
      </c>
      <c r="H4" s="167" t="s">
        <v>190</v>
      </c>
      <c r="I4" s="85"/>
    </row>
    <row r="5" spans="1:10" ht="15.75" customHeight="1">
      <c r="A5" s="98" t="s">
        <v>11020</v>
      </c>
      <c r="B5" s="113" t="s">
        <v>277</v>
      </c>
      <c r="C5" s="147" t="s">
        <v>205</v>
      </c>
      <c r="D5" s="170"/>
      <c r="E5" s="170"/>
      <c r="F5" s="170"/>
      <c r="G5" s="35"/>
      <c r="H5" s="35"/>
      <c r="I5" s="88"/>
      <c r="J5" s="88"/>
    </row>
    <row r="6" spans="1:10" ht="15.75" customHeight="1">
      <c r="A6" s="98" t="s">
        <v>11021</v>
      </c>
      <c r="B6" s="113" t="s">
        <v>286</v>
      </c>
      <c r="C6" s="147" t="s">
        <v>205</v>
      </c>
      <c r="D6" s="170"/>
      <c r="E6" s="170"/>
      <c r="F6" s="170"/>
      <c r="G6" s="35"/>
      <c r="H6" s="35"/>
      <c r="I6" s="88"/>
      <c r="J6" s="88"/>
    </row>
    <row r="7" spans="1:10" ht="15.75" customHeight="1">
      <c r="A7" s="98" t="s">
        <v>11022</v>
      </c>
      <c r="B7" s="113" t="s">
        <v>331</v>
      </c>
      <c r="C7" s="147" t="s">
        <v>205</v>
      </c>
      <c r="D7" s="170"/>
      <c r="E7" s="170"/>
      <c r="F7" s="170"/>
      <c r="G7" s="35"/>
      <c r="H7" s="35"/>
      <c r="I7" s="88"/>
    </row>
    <row r="8" spans="1:10" ht="15.75" customHeight="1">
      <c r="A8" s="98" t="s">
        <v>11023</v>
      </c>
      <c r="B8" s="113" t="s">
        <v>1311</v>
      </c>
      <c r="C8" s="147" t="s">
        <v>205</v>
      </c>
      <c r="D8" s="170"/>
      <c r="E8" s="170"/>
      <c r="F8" s="170"/>
      <c r="G8" s="35"/>
      <c r="H8" s="35"/>
      <c r="I8" s="88"/>
    </row>
    <row r="9" spans="1:10" ht="15.75" customHeight="1">
      <c r="A9" s="98" t="s">
        <v>11024</v>
      </c>
      <c r="B9" s="113" t="s">
        <v>1237</v>
      </c>
      <c r="C9" s="147" t="s">
        <v>205</v>
      </c>
      <c r="D9" s="170"/>
      <c r="E9" s="170"/>
      <c r="F9" s="170"/>
      <c r="G9" s="35"/>
      <c r="H9" s="35"/>
      <c r="I9" s="88"/>
    </row>
    <row r="10" spans="1:10" ht="15.75" customHeight="1">
      <c r="A10" s="98" t="s">
        <v>11025</v>
      </c>
      <c r="B10" s="146" t="s">
        <v>11026</v>
      </c>
      <c r="C10" s="147" t="s">
        <v>205</v>
      </c>
      <c r="D10" s="170"/>
      <c r="E10" s="170"/>
      <c r="F10" s="170"/>
      <c r="G10" s="35"/>
      <c r="H10" s="35"/>
      <c r="I10" s="88"/>
    </row>
    <row r="11" spans="1:10" ht="15.75" customHeight="1">
      <c r="A11" s="98" t="s">
        <v>11027</v>
      </c>
      <c r="B11" s="113" t="s">
        <v>4120</v>
      </c>
      <c r="C11" s="147" t="s">
        <v>205</v>
      </c>
      <c r="D11" s="170"/>
      <c r="E11" s="170"/>
      <c r="F11" s="170"/>
      <c r="G11" s="35"/>
      <c r="H11" s="35"/>
      <c r="I11" s="88"/>
    </row>
    <row r="12" spans="1:10" ht="15.75" customHeight="1">
      <c r="A12" s="98" t="s">
        <v>11028</v>
      </c>
      <c r="B12" s="113" t="s">
        <v>4121</v>
      </c>
      <c r="C12" s="147" t="s">
        <v>205</v>
      </c>
      <c r="D12" s="170"/>
      <c r="E12" s="170"/>
      <c r="F12" s="170"/>
      <c r="G12" s="35"/>
      <c r="H12" s="35"/>
      <c r="I12" s="88"/>
    </row>
    <row r="13" spans="1:10" ht="15.75" customHeight="1">
      <c r="A13" s="98" t="s">
        <v>11029</v>
      </c>
      <c r="B13" s="113" t="s">
        <v>4040</v>
      </c>
      <c r="C13" s="147" t="s">
        <v>205</v>
      </c>
      <c r="D13" s="170"/>
      <c r="E13" s="170"/>
      <c r="F13" s="170"/>
      <c r="G13" s="35"/>
      <c r="H13" s="35"/>
      <c r="I13" s="88"/>
    </row>
    <row r="14" spans="1:10" ht="15.75" customHeight="1">
      <c r="A14" s="98" t="s">
        <v>11030</v>
      </c>
      <c r="B14" s="113" t="s">
        <v>4041</v>
      </c>
      <c r="C14" s="147" t="s">
        <v>205</v>
      </c>
      <c r="D14" s="170"/>
      <c r="E14" s="170"/>
      <c r="F14" s="35"/>
      <c r="G14" s="35"/>
      <c r="H14" s="35"/>
      <c r="I14" s="88"/>
    </row>
    <row r="15" spans="1:10" ht="15.75" customHeight="1">
      <c r="A15" s="98" t="s">
        <v>11031</v>
      </c>
      <c r="B15" s="113" t="s">
        <v>4042</v>
      </c>
      <c r="C15" s="147" t="s">
        <v>205</v>
      </c>
      <c r="D15" s="170"/>
      <c r="E15" s="170"/>
      <c r="F15" s="170"/>
      <c r="G15" s="35"/>
      <c r="H15" s="35"/>
      <c r="I15" s="88"/>
    </row>
    <row r="16" spans="1:10" ht="15.75" customHeight="1">
      <c r="A16" s="98" t="s">
        <v>11032</v>
      </c>
      <c r="B16" s="113" t="s">
        <v>4029</v>
      </c>
      <c r="C16" s="147" t="s">
        <v>205</v>
      </c>
      <c r="D16" s="170"/>
      <c r="E16" s="170"/>
      <c r="F16" s="170"/>
      <c r="G16" s="35"/>
      <c r="H16" s="35"/>
      <c r="I16" s="88"/>
    </row>
    <row r="17" spans="1:9" ht="15.75" customHeight="1">
      <c r="A17" s="98" t="s">
        <v>11033</v>
      </c>
      <c r="B17" s="113" t="s">
        <v>4050</v>
      </c>
      <c r="C17" s="147" t="s">
        <v>205</v>
      </c>
      <c r="D17" s="170"/>
      <c r="E17" s="170"/>
      <c r="F17" s="170"/>
      <c r="G17" s="35"/>
      <c r="H17" s="35"/>
      <c r="I17" s="88"/>
    </row>
    <row r="18" spans="1:9" ht="15.75" customHeight="1">
      <c r="A18" s="98" t="s">
        <v>11034</v>
      </c>
      <c r="B18" s="113" t="s">
        <v>4051</v>
      </c>
      <c r="C18" s="147" t="s">
        <v>205</v>
      </c>
      <c r="D18" s="170"/>
      <c r="E18" s="170"/>
      <c r="F18" s="170"/>
      <c r="G18" s="35"/>
      <c r="H18" s="35"/>
      <c r="I18" s="88"/>
    </row>
    <row r="19" spans="1:9" ht="15.75" customHeight="1">
      <c r="A19" s="98" t="s">
        <v>11035</v>
      </c>
      <c r="B19" s="113" t="s">
        <v>4052</v>
      </c>
      <c r="C19" s="147" t="s">
        <v>205</v>
      </c>
      <c r="D19" s="170"/>
      <c r="E19" s="170"/>
      <c r="F19" s="170"/>
      <c r="G19" s="35"/>
      <c r="H19" s="35"/>
      <c r="I19" s="88"/>
    </row>
    <row r="20" spans="1:9" ht="15.75" customHeight="1">
      <c r="A20" s="98" t="s">
        <v>11036</v>
      </c>
      <c r="B20" s="113" t="s">
        <v>5042</v>
      </c>
      <c r="C20" s="147" t="s">
        <v>205</v>
      </c>
      <c r="D20" s="170"/>
      <c r="E20" s="170"/>
      <c r="F20" s="170"/>
      <c r="G20" s="35"/>
      <c r="H20" s="35"/>
      <c r="I20" s="88"/>
    </row>
    <row r="21" spans="1:9" ht="15.75" customHeight="1">
      <c r="A21" s="98" t="s">
        <v>11037</v>
      </c>
      <c r="B21" s="113" t="s">
        <v>4758</v>
      </c>
      <c r="C21" s="147" t="s">
        <v>205</v>
      </c>
      <c r="D21" s="170"/>
      <c r="E21" s="170"/>
      <c r="F21" s="170"/>
      <c r="G21" s="35"/>
      <c r="H21" s="35"/>
      <c r="I21" s="88"/>
    </row>
    <row r="22" spans="1:9" ht="15.75" customHeight="1">
      <c r="A22" s="98" t="s">
        <v>11038</v>
      </c>
      <c r="B22" s="99" t="s">
        <v>6466</v>
      </c>
      <c r="C22" s="147" t="s">
        <v>205</v>
      </c>
      <c r="D22" s="170"/>
      <c r="E22" s="170"/>
      <c r="F22" s="35"/>
      <c r="G22" s="35"/>
      <c r="H22" s="35"/>
      <c r="I22" s="88"/>
    </row>
    <row r="23" spans="1:9" ht="15.75" customHeight="1">
      <c r="A23" s="98" t="s">
        <v>11039</v>
      </c>
      <c r="B23" s="99" t="s">
        <v>6478</v>
      </c>
      <c r="C23" s="147" t="s">
        <v>205</v>
      </c>
      <c r="D23" s="170"/>
      <c r="E23" s="170"/>
      <c r="F23" s="35"/>
      <c r="G23" s="35"/>
      <c r="H23" s="35"/>
    </row>
    <row r="24" spans="1:9" ht="15.75" customHeight="1">
      <c r="A24" s="98" t="s">
        <v>11040</v>
      </c>
      <c r="B24" s="113" t="s">
        <v>6479</v>
      </c>
      <c r="C24" s="147" t="s">
        <v>205</v>
      </c>
      <c r="D24" s="170"/>
      <c r="E24" s="170"/>
      <c r="F24" s="35"/>
      <c r="G24" s="35"/>
      <c r="H24" s="35"/>
      <c r="I24" s="88"/>
    </row>
    <row r="25" spans="1:9" ht="15.75" customHeight="1">
      <c r="A25" s="98" t="s">
        <v>11041</v>
      </c>
      <c r="B25" s="146" t="s">
        <v>11042</v>
      </c>
      <c r="C25" s="147" t="s">
        <v>205</v>
      </c>
      <c r="D25" s="170"/>
      <c r="E25" s="170"/>
      <c r="F25" s="170"/>
      <c r="G25" s="35"/>
      <c r="H25" s="35"/>
      <c r="I25" s="88"/>
    </row>
    <row r="26" spans="1:9" ht="15.75" customHeight="1">
      <c r="A26" s="98" t="s">
        <v>11043</v>
      </c>
      <c r="B26" s="146" t="s">
        <v>8566</v>
      </c>
      <c r="C26" s="147" t="s">
        <v>205</v>
      </c>
      <c r="D26" s="170"/>
      <c r="E26" s="170"/>
      <c r="F26" s="170"/>
      <c r="G26" s="35"/>
      <c r="H26" s="35"/>
      <c r="I26" s="88"/>
    </row>
    <row r="27" spans="1:9" ht="15.75" customHeight="1">
      <c r="A27" s="98" t="s">
        <v>11044</v>
      </c>
      <c r="B27" s="117" t="s">
        <v>10176</v>
      </c>
      <c r="C27" s="147" t="s">
        <v>205</v>
      </c>
      <c r="D27" s="170"/>
      <c r="E27" s="170"/>
      <c r="F27" s="170"/>
      <c r="G27" s="35"/>
      <c r="H27" s="35"/>
      <c r="I27" s="88"/>
    </row>
    <row r="28" spans="1:9" ht="15.75" customHeight="1">
      <c r="A28" s="98" t="s">
        <v>11045</v>
      </c>
      <c r="B28" s="113" t="s">
        <v>8558</v>
      </c>
      <c r="C28" s="147" t="s">
        <v>205</v>
      </c>
      <c r="D28" s="170"/>
      <c r="E28" s="170"/>
      <c r="F28" s="170"/>
      <c r="G28" s="35"/>
      <c r="H28" s="35"/>
      <c r="I28" s="88"/>
    </row>
    <row r="29" spans="1:9" ht="15.75" customHeight="1">
      <c r="A29" s="98" t="s">
        <v>11046</v>
      </c>
      <c r="B29" s="113" t="s">
        <v>8614</v>
      </c>
      <c r="C29" s="147" t="s">
        <v>205</v>
      </c>
      <c r="D29" s="170"/>
      <c r="E29" s="170"/>
      <c r="F29" s="35"/>
      <c r="G29" s="35"/>
      <c r="H29" s="35"/>
      <c r="I29" s="88"/>
    </row>
    <row r="30" spans="1:9" ht="15.75" customHeight="1">
      <c r="A30" s="98" t="s">
        <v>11047</v>
      </c>
      <c r="B30" s="117" t="s">
        <v>11048</v>
      </c>
      <c r="C30" s="147" t="s">
        <v>205</v>
      </c>
      <c r="D30" s="170"/>
      <c r="E30" s="170"/>
      <c r="F30" s="35"/>
      <c r="G30" s="35"/>
      <c r="H30" s="35"/>
      <c r="I30" s="88"/>
    </row>
    <row r="31" spans="1:9" ht="15.75" customHeight="1">
      <c r="A31" s="98" t="s">
        <v>11049</v>
      </c>
      <c r="B31" s="113" t="s">
        <v>9998</v>
      </c>
      <c r="C31" s="147" t="s">
        <v>205</v>
      </c>
      <c r="D31" s="170"/>
      <c r="E31" s="170"/>
      <c r="F31" s="35"/>
      <c r="G31" s="35"/>
      <c r="H31" s="35"/>
      <c r="I31" s="88"/>
    </row>
    <row r="32" spans="1:9" ht="15.75" customHeight="1">
      <c r="A32" s="98" t="s">
        <v>11050</v>
      </c>
      <c r="B32" s="113" t="s">
        <v>299</v>
      </c>
      <c r="C32" s="147" t="s">
        <v>199</v>
      </c>
      <c r="D32" s="170"/>
      <c r="E32" s="170"/>
      <c r="F32" s="35"/>
      <c r="G32" s="35"/>
      <c r="H32" s="35"/>
      <c r="I32" s="88"/>
    </row>
    <row r="33" spans="1:9" ht="15.75" customHeight="1">
      <c r="A33" s="98" t="s">
        <v>11051</v>
      </c>
      <c r="B33" s="113" t="s">
        <v>299</v>
      </c>
      <c r="C33" s="147" t="s">
        <v>199</v>
      </c>
      <c r="D33" s="170"/>
      <c r="E33" s="170"/>
      <c r="F33" s="35"/>
      <c r="G33" s="35"/>
      <c r="H33" s="35"/>
      <c r="I33" s="88"/>
    </row>
    <row r="34" spans="1:9" ht="15.75" customHeight="1">
      <c r="A34" s="98" t="s">
        <v>11052</v>
      </c>
      <c r="B34" s="113" t="s">
        <v>249</v>
      </c>
      <c r="C34" s="147" t="s">
        <v>199</v>
      </c>
      <c r="D34" s="170"/>
      <c r="E34" s="170"/>
      <c r="F34" s="35"/>
      <c r="G34" s="35"/>
      <c r="H34" s="35"/>
      <c r="I34" s="88"/>
    </row>
    <row r="35" spans="1:9" ht="15.75" customHeight="1">
      <c r="A35" s="98" t="s">
        <v>11053</v>
      </c>
      <c r="B35" s="113" t="s">
        <v>249</v>
      </c>
      <c r="C35" s="147" t="s">
        <v>199</v>
      </c>
      <c r="D35" s="170"/>
      <c r="E35" s="170"/>
      <c r="F35" s="170"/>
      <c r="G35" s="35"/>
      <c r="H35" s="35"/>
      <c r="I35" s="88"/>
    </row>
    <row r="36" spans="1:9" ht="15.75" customHeight="1">
      <c r="A36" s="98" t="s">
        <v>11054</v>
      </c>
      <c r="B36" s="113" t="s">
        <v>262</v>
      </c>
      <c r="C36" s="147" t="s">
        <v>199</v>
      </c>
      <c r="D36" s="170"/>
      <c r="E36" s="170"/>
      <c r="F36" s="170"/>
      <c r="G36" s="35"/>
      <c r="H36" s="35"/>
      <c r="I36" s="88"/>
    </row>
    <row r="37" spans="1:9" ht="15.75" customHeight="1">
      <c r="A37" s="98" t="s">
        <v>11055</v>
      </c>
      <c r="B37" s="113" t="s">
        <v>198</v>
      </c>
      <c r="C37" s="147" t="s">
        <v>199</v>
      </c>
      <c r="D37" s="170"/>
      <c r="E37" s="170"/>
      <c r="F37" s="35"/>
      <c r="G37" s="35"/>
      <c r="H37" s="35"/>
      <c r="I37" s="88"/>
    </row>
    <row r="38" spans="1:9" ht="15.75" customHeight="1">
      <c r="A38" s="98" t="s">
        <v>11056</v>
      </c>
      <c r="B38" s="113" t="s">
        <v>980</v>
      </c>
      <c r="C38" s="147" t="s">
        <v>199</v>
      </c>
      <c r="D38" s="170"/>
      <c r="E38" s="170"/>
      <c r="F38" s="35"/>
      <c r="G38" s="35"/>
      <c r="H38" s="35"/>
      <c r="I38" s="88"/>
    </row>
    <row r="39" spans="1:9" ht="15.75" customHeight="1">
      <c r="A39" s="98" t="s">
        <v>11057</v>
      </c>
      <c r="B39" s="113" t="s">
        <v>974</v>
      </c>
      <c r="C39" s="147" t="s">
        <v>199</v>
      </c>
      <c r="D39" s="170"/>
      <c r="E39" s="170"/>
      <c r="F39" s="170"/>
      <c r="G39" s="35"/>
      <c r="H39" s="35"/>
      <c r="I39" s="88"/>
    </row>
    <row r="40" spans="1:9" ht="15.75" customHeight="1">
      <c r="A40" s="98" t="s">
        <v>11058</v>
      </c>
      <c r="B40" s="113" t="s">
        <v>4053</v>
      </c>
      <c r="C40" s="147" t="s">
        <v>199</v>
      </c>
      <c r="D40" s="170"/>
      <c r="E40" s="170"/>
      <c r="F40" s="35"/>
      <c r="G40" s="35"/>
      <c r="H40" s="35"/>
      <c r="I40" s="88"/>
    </row>
    <row r="41" spans="1:9" ht="15.75" customHeight="1">
      <c r="A41" s="98" t="s">
        <v>11059</v>
      </c>
      <c r="B41" s="113" t="s">
        <v>4054</v>
      </c>
      <c r="C41" s="147" t="s">
        <v>199</v>
      </c>
      <c r="D41" s="170"/>
      <c r="E41" s="170"/>
      <c r="F41" s="170"/>
      <c r="G41" s="35"/>
      <c r="H41" s="35"/>
      <c r="I41" s="88"/>
    </row>
    <row r="42" spans="1:9" ht="15.75" customHeight="1">
      <c r="A42" s="98" t="s">
        <v>11060</v>
      </c>
      <c r="B42" s="113" t="s">
        <v>4055</v>
      </c>
      <c r="C42" s="147" t="s">
        <v>199</v>
      </c>
      <c r="D42" s="170"/>
      <c r="E42" s="170"/>
      <c r="F42" s="35"/>
      <c r="G42" s="35"/>
      <c r="H42" s="35"/>
      <c r="I42" s="88"/>
    </row>
    <row r="43" spans="1:9" ht="15.75" customHeight="1">
      <c r="A43" s="98" t="s">
        <v>11061</v>
      </c>
      <c r="B43" s="117" t="s">
        <v>11062</v>
      </c>
      <c r="C43" s="147" t="s">
        <v>199</v>
      </c>
      <c r="D43" s="170"/>
      <c r="E43" s="170"/>
      <c r="F43" s="170"/>
      <c r="G43" s="35"/>
      <c r="H43" s="35"/>
      <c r="I43" s="88"/>
    </row>
    <row r="44" spans="1:9" ht="15.75" customHeight="1">
      <c r="A44" s="98" t="s">
        <v>11063</v>
      </c>
      <c r="B44" s="146" t="s">
        <v>11064</v>
      </c>
      <c r="C44" s="147" t="s">
        <v>199</v>
      </c>
      <c r="D44" s="170"/>
      <c r="E44" s="170"/>
      <c r="F44" s="170"/>
      <c r="G44" s="35"/>
      <c r="H44" s="35"/>
      <c r="I44" s="88"/>
    </row>
    <row r="45" spans="1:9" ht="15.75" customHeight="1">
      <c r="A45" s="98" t="s">
        <v>11065</v>
      </c>
      <c r="B45" s="113" t="s">
        <v>4056</v>
      </c>
      <c r="C45" s="147" t="s">
        <v>199</v>
      </c>
      <c r="D45" s="170"/>
      <c r="E45" s="170"/>
      <c r="F45" s="35"/>
      <c r="G45" s="35"/>
      <c r="H45" s="35"/>
      <c r="I45" s="88"/>
    </row>
    <row r="46" spans="1:9" ht="15.75" customHeight="1">
      <c r="A46" s="98" t="s">
        <v>11066</v>
      </c>
      <c r="B46" s="113" t="s">
        <v>6542</v>
      </c>
      <c r="C46" s="147" t="s">
        <v>199</v>
      </c>
      <c r="D46" s="170"/>
      <c r="E46" s="170"/>
      <c r="F46" s="170"/>
      <c r="G46" s="35"/>
      <c r="H46" s="35"/>
      <c r="I46" s="88"/>
    </row>
    <row r="47" spans="1:9" ht="15.75" customHeight="1">
      <c r="A47" s="98" t="s">
        <v>11067</v>
      </c>
      <c r="B47" s="117" t="s">
        <v>8568</v>
      </c>
      <c r="C47" s="147" t="s">
        <v>199</v>
      </c>
      <c r="D47" s="170"/>
      <c r="E47" s="170"/>
      <c r="F47" s="35"/>
      <c r="G47" s="35"/>
      <c r="H47" s="35"/>
      <c r="I47" s="88"/>
    </row>
    <row r="48" spans="1:9" ht="15.75" customHeight="1">
      <c r="A48" s="98" t="s">
        <v>11068</v>
      </c>
      <c r="B48" s="117" t="s">
        <v>8568</v>
      </c>
      <c r="C48" s="147" t="s">
        <v>199</v>
      </c>
      <c r="D48" s="170"/>
      <c r="E48" s="170"/>
      <c r="F48" s="170"/>
      <c r="G48" s="35"/>
      <c r="H48" s="35"/>
      <c r="I48" s="88"/>
    </row>
    <row r="49" spans="1:9" ht="15.75" customHeight="1">
      <c r="A49" s="98" t="s">
        <v>11069</v>
      </c>
      <c r="B49" s="117" t="s">
        <v>10002</v>
      </c>
      <c r="C49" s="147" t="s">
        <v>199</v>
      </c>
      <c r="D49" s="170"/>
      <c r="E49" s="170"/>
      <c r="F49" s="35"/>
      <c r="G49" s="35"/>
      <c r="H49" s="35"/>
      <c r="I49" s="88"/>
    </row>
    <row r="50" spans="1:9" ht="15.75" customHeight="1">
      <c r="A50" s="98" t="s">
        <v>11070</v>
      </c>
      <c r="B50" s="113" t="s">
        <v>8918</v>
      </c>
      <c r="C50" s="147" t="s">
        <v>199</v>
      </c>
      <c r="D50" s="170"/>
      <c r="E50" s="170"/>
      <c r="F50" s="170"/>
      <c r="G50" s="35"/>
      <c r="H50" s="35"/>
      <c r="I50" s="88"/>
    </row>
    <row r="51" spans="1:9" ht="15.75" customHeight="1">
      <c r="A51" s="98" t="s">
        <v>11071</v>
      </c>
      <c r="B51" s="113" t="s">
        <v>8918</v>
      </c>
      <c r="C51" s="147" t="s">
        <v>199</v>
      </c>
      <c r="D51" s="170"/>
      <c r="E51" s="170"/>
      <c r="F51" s="35"/>
      <c r="G51" s="35"/>
      <c r="H51" s="35"/>
      <c r="I51" s="88"/>
    </row>
    <row r="52" spans="1:9" ht="15.75" customHeight="1">
      <c r="A52" s="98" t="s">
        <v>11072</v>
      </c>
      <c r="B52" s="113" t="s">
        <v>8618</v>
      </c>
      <c r="C52" s="147" t="s">
        <v>199</v>
      </c>
      <c r="D52" s="170"/>
      <c r="E52" s="170"/>
      <c r="F52" s="35"/>
      <c r="G52" s="35"/>
      <c r="H52" s="35"/>
      <c r="I52" s="88"/>
    </row>
    <row r="53" spans="1:9" ht="13">
      <c r="A53" s="98" t="s">
        <v>11073</v>
      </c>
      <c r="B53" s="113" t="s">
        <v>8618</v>
      </c>
      <c r="C53" s="147" t="s">
        <v>199</v>
      </c>
      <c r="D53" s="170"/>
      <c r="E53" s="35"/>
      <c r="F53" s="35"/>
      <c r="G53" s="35"/>
      <c r="H53" s="35"/>
      <c r="I53" s="88"/>
    </row>
    <row r="54" spans="1:9" ht="13">
      <c r="A54" s="98" t="s">
        <v>11074</v>
      </c>
      <c r="B54" s="99" t="s">
        <v>386</v>
      </c>
      <c r="C54" s="147" t="s">
        <v>208</v>
      </c>
      <c r="D54" s="170"/>
      <c r="E54" s="170"/>
      <c r="F54" s="170"/>
      <c r="G54" s="35"/>
      <c r="H54" s="35"/>
      <c r="I54" s="88"/>
    </row>
    <row r="55" spans="1:9" ht="13">
      <c r="A55" s="98" t="s">
        <v>11075</v>
      </c>
      <c r="B55" s="99" t="s">
        <v>367</v>
      </c>
      <c r="C55" s="147" t="s">
        <v>208</v>
      </c>
      <c r="D55" s="170"/>
      <c r="E55" s="170"/>
      <c r="F55" s="35"/>
      <c r="G55" s="35"/>
      <c r="H55" s="35"/>
      <c r="I55" s="88"/>
    </row>
    <row r="56" spans="1:9" ht="13">
      <c r="A56" s="98" t="s">
        <v>11076</v>
      </c>
      <c r="B56" s="113" t="s">
        <v>296</v>
      </c>
      <c r="C56" s="147" t="s">
        <v>208</v>
      </c>
      <c r="D56" s="170"/>
      <c r="E56" s="170"/>
      <c r="F56" s="170"/>
      <c r="G56" s="35"/>
      <c r="H56" s="35"/>
      <c r="I56" s="88"/>
    </row>
    <row r="57" spans="1:9" ht="13">
      <c r="A57" s="98" t="s">
        <v>11077</v>
      </c>
      <c r="B57" s="113" t="s">
        <v>295</v>
      </c>
      <c r="C57" s="147" t="s">
        <v>208</v>
      </c>
      <c r="D57" s="170"/>
      <c r="E57" s="170"/>
      <c r="F57" s="170"/>
      <c r="G57" s="35"/>
      <c r="H57" s="35"/>
      <c r="I57" s="88"/>
    </row>
    <row r="58" spans="1:9" ht="13">
      <c r="A58" s="98" t="s">
        <v>11078</v>
      </c>
      <c r="B58" s="113" t="s">
        <v>364</v>
      </c>
      <c r="C58" s="147" t="s">
        <v>208</v>
      </c>
      <c r="D58" s="170"/>
      <c r="E58" s="170"/>
      <c r="F58" s="170"/>
      <c r="G58" s="35"/>
      <c r="H58" s="35"/>
      <c r="I58" s="88"/>
    </row>
    <row r="59" spans="1:9" ht="13">
      <c r="A59" s="98" t="s">
        <v>11079</v>
      </c>
      <c r="B59" s="113" t="s">
        <v>903</v>
      </c>
      <c r="C59" s="147" t="s">
        <v>208</v>
      </c>
      <c r="D59" s="170"/>
      <c r="E59" s="170"/>
      <c r="F59" s="35"/>
      <c r="G59" s="35"/>
      <c r="H59" s="35"/>
      <c r="I59" s="88"/>
    </row>
    <row r="60" spans="1:9" ht="13">
      <c r="A60" s="98" t="s">
        <v>11080</v>
      </c>
      <c r="B60" s="113" t="s">
        <v>820</v>
      </c>
      <c r="C60" s="147" t="s">
        <v>208</v>
      </c>
      <c r="D60" s="170"/>
      <c r="E60" s="170"/>
      <c r="F60" s="35"/>
      <c r="G60" s="35"/>
      <c r="H60" s="35"/>
      <c r="I60" s="88"/>
    </row>
    <row r="61" spans="1:9" ht="13">
      <c r="A61" s="98" t="s">
        <v>11081</v>
      </c>
      <c r="B61" s="113" t="s">
        <v>772</v>
      </c>
      <c r="C61" s="147" t="s">
        <v>208</v>
      </c>
      <c r="D61" s="170"/>
      <c r="E61" s="170"/>
      <c r="F61" s="35"/>
      <c r="G61" s="35"/>
      <c r="H61" s="35"/>
      <c r="I61" s="88"/>
    </row>
    <row r="62" spans="1:9" ht="13">
      <c r="A62" s="98" t="s">
        <v>11082</v>
      </c>
      <c r="B62" s="113" t="s">
        <v>215</v>
      </c>
      <c r="C62" s="147" t="s">
        <v>208</v>
      </c>
      <c r="D62" s="170"/>
      <c r="E62" s="170"/>
      <c r="F62" s="170"/>
      <c r="G62" s="35"/>
      <c r="H62" s="35"/>
      <c r="I62" s="88"/>
    </row>
    <row r="63" spans="1:9" ht="13">
      <c r="A63" s="98" t="s">
        <v>11083</v>
      </c>
      <c r="B63" s="113" t="s">
        <v>768</v>
      </c>
      <c r="C63" s="147" t="s">
        <v>208</v>
      </c>
      <c r="D63" s="170"/>
      <c r="E63" s="170"/>
      <c r="F63" s="35"/>
      <c r="G63" s="35"/>
      <c r="H63" s="35"/>
      <c r="I63" s="88"/>
    </row>
    <row r="64" spans="1:9" ht="13">
      <c r="A64" s="98" t="s">
        <v>11084</v>
      </c>
      <c r="B64" s="113" t="s">
        <v>978</v>
      </c>
      <c r="C64" s="147" t="s">
        <v>208</v>
      </c>
      <c r="D64" s="170"/>
      <c r="E64" s="170"/>
      <c r="F64" s="170"/>
      <c r="G64" s="35"/>
      <c r="H64" s="35"/>
      <c r="I64" s="88"/>
    </row>
    <row r="65" spans="1:9" ht="13">
      <c r="A65" s="98" t="s">
        <v>11085</v>
      </c>
      <c r="B65" s="113" t="s">
        <v>876</v>
      </c>
      <c r="C65" s="147" t="s">
        <v>208</v>
      </c>
      <c r="D65" s="170"/>
      <c r="E65" s="170"/>
      <c r="F65" s="170"/>
      <c r="G65" s="35"/>
      <c r="H65" s="35"/>
      <c r="I65" s="88"/>
    </row>
    <row r="66" spans="1:9" ht="13">
      <c r="A66" s="98" t="s">
        <v>11086</v>
      </c>
      <c r="B66" s="99" t="s">
        <v>1189</v>
      </c>
      <c r="C66" s="147" t="s">
        <v>208</v>
      </c>
      <c r="D66" s="170"/>
      <c r="E66" s="170"/>
      <c r="F66" s="170"/>
      <c r="G66" s="35"/>
      <c r="H66" s="35"/>
      <c r="I66" s="88"/>
    </row>
    <row r="67" spans="1:9" ht="13">
      <c r="A67" s="98" t="s">
        <v>11087</v>
      </c>
      <c r="B67" s="99" t="s">
        <v>1192</v>
      </c>
      <c r="C67" s="147" t="s">
        <v>208</v>
      </c>
      <c r="D67" s="170"/>
      <c r="E67" s="170"/>
      <c r="F67" s="35"/>
      <c r="G67" s="35"/>
      <c r="H67" s="35"/>
      <c r="I67" s="88"/>
    </row>
    <row r="68" spans="1:9" ht="13">
      <c r="A68" s="98" t="s">
        <v>11088</v>
      </c>
      <c r="B68" s="113" t="s">
        <v>1232</v>
      </c>
      <c r="C68" s="147" t="s">
        <v>208</v>
      </c>
      <c r="D68" s="170"/>
      <c r="E68" s="170"/>
      <c r="F68" s="170"/>
      <c r="G68" s="35"/>
      <c r="H68" s="35"/>
      <c r="I68" s="88"/>
    </row>
    <row r="69" spans="1:9" ht="13">
      <c r="A69" s="98" t="s">
        <v>11089</v>
      </c>
      <c r="B69" s="113" t="s">
        <v>1869</v>
      </c>
      <c r="C69" s="147" t="s">
        <v>208</v>
      </c>
      <c r="D69" s="170"/>
      <c r="E69" s="170"/>
      <c r="F69" s="35"/>
      <c r="G69" s="35"/>
      <c r="H69" s="35"/>
      <c r="I69" s="88"/>
    </row>
    <row r="70" spans="1:9" ht="13">
      <c r="A70" s="98" t="s">
        <v>11090</v>
      </c>
      <c r="B70" s="113" t="s">
        <v>1816</v>
      </c>
      <c r="C70" s="147" t="s">
        <v>208</v>
      </c>
      <c r="D70" s="170"/>
      <c r="E70" s="170"/>
      <c r="F70" s="35"/>
      <c r="G70" s="35"/>
      <c r="H70" s="35"/>
      <c r="I70" s="88"/>
    </row>
    <row r="71" spans="1:9" ht="13">
      <c r="A71" s="98" t="s">
        <v>11091</v>
      </c>
      <c r="B71" s="113" t="s">
        <v>1814</v>
      </c>
      <c r="C71" s="147" t="s">
        <v>208</v>
      </c>
      <c r="D71" s="170"/>
      <c r="E71" s="170"/>
      <c r="F71" s="170"/>
      <c r="G71" s="35"/>
      <c r="H71" s="35"/>
      <c r="I71" s="88"/>
    </row>
    <row r="72" spans="1:9" ht="13">
      <c r="A72" s="98" t="s">
        <v>11092</v>
      </c>
      <c r="B72" s="113" t="s">
        <v>4124</v>
      </c>
      <c r="C72" s="147" t="s">
        <v>208</v>
      </c>
      <c r="D72" s="170"/>
      <c r="E72" s="170"/>
      <c r="F72" s="35"/>
      <c r="G72" s="35"/>
      <c r="H72" s="35"/>
      <c r="I72" s="88"/>
    </row>
    <row r="73" spans="1:9" ht="13">
      <c r="A73" s="98" t="s">
        <v>11093</v>
      </c>
      <c r="B73" s="113" t="s">
        <v>4125</v>
      </c>
      <c r="C73" s="147" t="s">
        <v>208</v>
      </c>
      <c r="D73" s="170"/>
      <c r="E73" s="170"/>
      <c r="F73" s="35"/>
      <c r="G73" s="35"/>
      <c r="H73" s="35"/>
      <c r="I73" s="88"/>
    </row>
    <row r="74" spans="1:9" ht="13">
      <c r="A74" s="98" t="s">
        <v>11094</v>
      </c>
      <c r="B74" s="113" t="s">
        <v>4126</v>
      </c>
      <c r="C74" s="147" t="s">
        <v>208</v>
      </c>
      <c r="D74" s="170"/>
      <c r="E74" s="170"/>
      <c r="F74" s="35"/>
      <c r="G74" s="35"/>
      <c r="H74" s="35"/>
      <c r="I74" s="88"/>
    </row>
    <row r="75" spans="1:9" ht="13">
      <c r="A75" s="98" t="s">
        <v>11095</v>
      </c>
      <c r="B75" s="113" t="s">
        <v>9188</v>
      </c>
      <c r="C75" s="147" t="s">
        <v>208</v>
      </c>
      <c r="D75" s="170"/>
      <c r="E75" s="170"/>
      <c r="F75" s="170"/>
      <c r="G75" s="35"/>
      <c r="H75" s="35"/>
      <c r="I75" s="88"/>
    </row>
    <row r="76" spans="1:9" ht="13">
      <c r="A76" s="98" t="s">
        <v>11096</v>
      </c>
      <c r="B76" s="113" t="s">
        <v>9190</v>
      </c>
      <c r="C76" s="147" t="s">
        <v>208</v>
      </c>
      <c r="D76" s="170"/>
      <c r="E76" s="170"/>
      <c r="F76" s="35"/>
      <c r="G76" s="35"/>
      <c r="H76" s="35"/>
      <c r="I76" s="88"/>
    </row>
    <row r="77" spans="1:9" ht="13">
      <c r="A77" s="98" t="s">
        <v>11097</v>
      </c>
      <c r="B77" s="117" t="s">
        <v>11098</v>
      </c>
      <c r="C77" s="147" t="s">
        <v>208</v>
      </c>
      <c r="D77" s="170"/>
      <c r="E77" s="170"/>
      <c r="F77" s="35"/>
      <c r="G77" s="35"/>
      <c r="H77" s="35"/>
      <c r="I77" s="88"/>
    </row>
    <row r="78" spans="1:9" ht="13">
      <c r="A78" s="98" t="s">
        <v>11099</v>
      </c>
      <c r="B78" s="113" t="s">
        <v>5007</v>
      </c>
      <c r="C78" s="147" t="s">
        <v>208</v>
      </c>
      <c r="D78" s="170"/>
      <c r="E78" s="170"/>
      <c r="F78" s="35"/>
      <c r="G78" s="35"/>
      <c r="H78" s="35"/>
      <c r="I78" s="88"/>
    </row>
    <row r="79" spans="1:9" ht="13">
      <c r="A79" s="98" t="s">
        <v>11100</v>
      </c>
      <c r="B79" s="113" t="s">
        <v>5117</v>
      </c>
      <c r="C79" s="147" t="s">
        <v>208</v>
      </c>
      <c r="D79" s="170"/>
      <c r="E79" s="170"/>
      <c r="F79" s="170"/>
      <c r="G79" s="35"/>
      <c r="H79" s="35"/>
      <c r="I79" s="88"/>
    </row>
    <row r="80" spans="1:9" ht="13">
      <c r="A80" s="98" t="s">
        <v>11101</v>
      </c>
      <c r="B80" s="117" t="s">
        <v>11102</v>
      </c>
      <c r="C80" s="147" t="s">
        <v>208</v>
      </c>
      <c r="D80" s="170"/>
      <c r="E80" s="170"/>
      <c r="F80" s="170"/>
      <c r="G80" s="35"/>
      <c r="H80" s="35"/>
      <c r="I80" s="88"/>
    </row>
    <row r="81" spans="1:9" ht="13">
      <c r="A81" s="98" t="s">
        <v>11103</v>
      </c>
      <c r="B81" s="113" t="s">
        <v>6480</v>
      </c>
      <c r="C81" s="147" t="s">
        <v>208</v>
      </c>
      <c r="D81" s="170"/>
      <c r="E81" s="170"/>
      <c r="F81" s="35"/>
      <c r="G81" s="35"/>
      <c r="H81" s="35"/>
      <c r="I81" s="88"/>
    </row>
    <row r="82" spans="1:9" ht="13">
      <c r="A82" s="98" t="s">
        <v>11104</v>
      </c>
      <c r="B82" s="117" t="s">
        <v>8570</v>
      </c>
      <c r="C82" s="147" t="s">
        <v>208</v>
      </c>
      <c r="D82" s="170"/>
      <c r="E82" s="170"/>
      <c r="F82" s="170"/>
      <c r="G82" s="35"/>
      <c r="H82" s="35"/>
      <c r="I82" s="88"/>
    </row>
    <row r="83" spans="1:9" ht="13">
      <c r="A83" s="98" t="s">
        <v>11105</v>
      </c>
      <c r="B83" s="117" t="s">
        <v>11106</v>
      </c>
      <c r="C83" s="147" t="s">
        <v>208</v>
      </c>
      <c r="D83" s="170"/>
      <c r="E83" s="170"/>
      <c r="F83" s="170"/>
      <c r="G83" s="35"/>
      <c r="H83" s="35"/>
      <c r="I83" s="88"/>
    </row>
    <row r="84" spans="1:9" ht="13">
      <c r="A84" s="98" t="s">
        <v>11107</v>
      </c>
      <c r="B84" s="113" t="s">
        <v>8943</v>
      </c>
      <c r="C84" s="147" t="s">
        <v>208</v>
      </c>
      <c r="D84" s="170"/>
      <c r="E84" s="170"/>
      <c r="F84" s="35"/>
      <c r="G84" s="35"/>
      <c r="H84" s="35"/>
      <c r="I84" s="88"/>
    </row>
    <row r="85" spans="1:9" ht="13">
      <c r="A85" s="98" t="s">
        <v>11108</v>
      </c>
      <c r="B85" s="113" t="s">
        <v>8616</v>
      </c>
      <c r="C85" s="147" t="s">
        <v>208</v>
      </c>
      <c r="D85" s="170"/>
      <c r="E85" s="170"/>
      <c r="F85" s="35"/>
      <c r="G85" s="35"/>
      <c r="H85" s="35"/>
      <c r="I85" s="88"/>
    </row>
    <row r="86" spans="1:9" ht="13">
      <c r="A86" s="98" t="s">
        <v>11109</v>
      </c>
      <c r="B86" s="113" t="s">
        <v>8685</v>
      </c>
      <c r="C86" s="147" t="s">
        <v>208</v>
      </c>
      <c r="D86" s="170"/>
      <c r="E86" s="170"/>
      <c r="F86" s="35"/>
      <c r="G86" s="35"/>
      <c r="H86" s="35"/>
      <c r="I86" s="88"/>
    </row>
    <row r="87" spans="1:9" ht="13">
      <c r="A87" s="98" t="s">
        <v>11110</v>
      </c>
      <c r="B87" s="113" t="s">
        <v>9196</v>
      </c>
      <c r="C87" s="147" t="s">
        <v>208</v>
      </c>
      <c r="D87" s="170"/>
      <c r="E87" s="170"/>
      <c r="F87" s="170"/>
      <c r="G87" s="35"/>
      <c r="H87" s="35"/>
      <c r="I87" s="88"/>
    </row>
    <row r="88" spans="1:9" ht="13">
      <c r="A88" s="98" t="s">
        <v>11111</v>
      </c>
      <c r="B88" s="113" t="s">
        <v>8948</v>
      </c>
      <c r="C88" s="147" t="s">
        <v>208</v>
      </c>
      <c r="D88" s="170"/>
      <c r="E88" s="170"/>
      <c r="F88" s="35"/>
      <c r="G88" s="35"/>
      <c r="H88" s="35"/>
      <c r="I88" s="88"/>
    </row>
    <row r="89" spans="1:9" ht="13">
      <c r="A89" s="98" t="s">
        <v>11112</v>
      </c>
      <c r="B89" s="99" t="s">
        <v>8950</v>
      </c>
      <c r="C89" s="147" t="s">
        <v>208</v>
      </c>
      <c r="D89" s="170"/>
      <c r="E89" s="170"/>
      <c r="F89" s="170"/>
      <c r="G89" s="35"/>
      <c r="H89" s="35"/>
      <c r="I89" s="88"/>
    </row>
    <row r="90" spans="1:9" ht="13">
      <c r="A90" s="98" t="s">
        <v>11113</v>
      </c>
      <c r="B90" s="146" t="s">
        <v>8640</v>
      </c>
      <c r="C90" s="147" t="s">
        <v>192</v>
      </c>
      <c r="D90" s="170"/>
      <c r="E90" s="170"/>
      <c r="F90" s="35"/>
      <c r="G90" s="35"/>
      <c r="H90" s="35"/>
      <c r="I90" s="88"/>
    </row>
    <row r="91" spans="1:9" ht="13">
      <c r="A91" s="98" t="s">
        <v>11114</v>
      </c>
      <c r="B91" s="99" t="s">
        <v>298</v>
      </c>
      <c r="C91" s="147" t="s">
        <v>192</v>
      </c>
      <c r="D91" s="170"/>
      <c r="E91" s="170"/>
      <c r="F91" s="35"/>
      <c r="G91" s="35"/>
      <c r="H91" s="35"/>
      <c r="I91" s="88"/>
    </row>
    <row r="92" spans="1:9" ht="13">
      <c r="A92" s="98" t="s">
        <v>11115</v>
      </c>
      <c r="B92" s="99" t="s">
        <v>256</v>
      </c>
      <c r="C92" s="147" t="s">
        <v>192</v>
      </c>
      <c r="D92" s="170"/>
      <c r="E92" s="170"/>
      <c r="F92" s="170"/>
      <c r="G92" s="35"/>
      <c r="H92" s="35"/>
      <c r="I92" s="88"/>
    </row>
    <row r="93" spans="1:9" ht="13">
      <c r="A93" s="98" t="s">
        <v>11116</v>
      </c>
      <c r="B93" s="113" t="s">
        <v>1503</v>
      </c>
      <c r="C93" s="147" t="s">
        <v>192</v>
      </c>
      <c r="D93" s="170"/>
      <c r="E93" s="170"/>
      <c r="F93" s="170"/>
      <c r="G93" s="35"/>
      <c r="H93" s="35"/>
      <c r="I93" s="88"/>
    </row>
    <row r="94" spans="1:9" ht="13">
      <c r="A94" s="98" t="s">
        <v>11117</v>
      </c>
      <c r="B94" s="113" t="s">
        <v>1501</v>
      </c>
      <c r="C94" s="147" t="s">
        <v>192</v>
      </c>
      <c r="D94" s="170"/>
      <c r="E94" s="170"/>
      <c r="F94" s="35"/>
      <c r="G94" s="35"/>
      <c r="H94" s="35"/>
      <c r="I94" s="88"/>
    </row>
    <row r="95" spans="1:9" ht="13">
      <c r="A95" s="98" t="s">
        <v>11118</v>
      </c>
      <c r="B95" s="113" t="s">
        <v>3043</v>
      </c>
      <c r="C95" s="147" t="s">
        <v>192</v>
      </c>
      <c r="D95" s="170"/>
      <c r="E95" s="170"/>
      <c r="F95" s="170"/>
      <c r="G95" s="35"/>
      <c r="H95" s="35"/>
      <c r="I95" s="88"/>
    </row>
    <row r="96" spans="1:9" ht="13">
      <c r="A96" s="98" t="s">
        <v>11119</v>
      </c>
      <c r="B96" s="113" t="s">
        <v>3137</v>
      </c>
      <c r="C96" s="147" t="s">
        <v>192</v>
      </c>
      <c r="D96" s="170"/>
      <c r="E96" s="170"/>
      <c r="F96" s="35"/>
      <c r="G96" s="35"/>
      <c r="H96" s="35"/>
      <c r="I96" s="88"/>
    </row>
    <row r="97" spans="1:9" ht="13">
      <c r="A97" s="98" t="s">
        <v>11120</v>
      </c>
      <c r="B97" s="113" t="s">
        <v>3114</v>
      </c>
      <c r="C97" s="147" t="s">
        <v>192</v>
      </c>
      <c r="D97" s="170"/>
      <c r="E97" s="170"/>
      <c r="F97" s="35"/>
      <c r="G97" s="35"/>
      <c r="H97" s="35"/>
      <c r="I97" s="88"/>
    </row>
    <row r="98" spans="1:9" ht="13">
      <c r="A98" s="98" t="s">
        <v>11121</v>
      </c>
      <c r="B98" s="113" t="s">
        <v>3338</v>
      </c>
      <c r="C98" s="147" t="s">
        <v>192</v>
      </c>
      <c r="D98" s="170"/>
      <c r="E98" s="170"/>
      <c r="F98" s="35"/>
      <c r="G98" s="35"/>
      <c r="H98" s="35"/>
      <c r="I98" s="88"/>
    </row>
    <row r="99" spans="1:9" ht="13">
      <c r="A99" s="98" t="s">
        <v>11122</v>
      </c>
      <c r="B99" s="113" t="s">
        <v>4073</v>
      </c>
      <c r="C99" s="147" t="s">
        <v>192</v>
      </c>
      <c r="D99" s="170"/>
      <c r="E99" s="170"/>
      <c r="F99" s="170"/>
      <c r="G99" s="35"/>
      <c r="H99" s="35"/>
      <c r="I99" s="88"/>
    </row>
    <row r="100" spans="1:9" ht="13">
      <c r="A100" s="98" t="s">
        <v>11123</v>
      </c>
      <c r="B100" s="113" t="s">
        <v>4074</v>
      </c>
      <c r="C100" s="147" t="s">
        <v>192</v>
      </c>
      <c r="D100" s="170"/>
      <c r="E100" s="170"/>
      <c r="F100" s="35"/>
      <c r="G100" s="35"/>
      <c r="H100" s="35"/>
      <c r="I100" s="88"/>
    </row>
    <row r="101" spans="1:9" ht="13">
      <c r="A101" s="98" t="s">
        <v>11124</v>
      </c>
      <c r="B101" s="99" t="s">
        <v>4075</v>
      </c>
      <c r="C101" s="147" t="s">
        <v>192</v>
      </c>
      <c r="D101" s="170"/>
      <c r="E101" s="170"/>
      <c r="F101" s="35"/>
      <c r="G101" s="35"/>
      <c r="H101" s="35"/>
      <c r="I101" s="88"/>
    </row>
    <row r="102" spans="1:9" ht="13">
      <c r="A102" s="98" t="s">
        <v>11125</v>
      </c>
      <c r="B102" s="113" t="s">
        <v>5093</v>
      </c>
      <c r="C102" s="147" t="s">
        <v>192</v>
      </c>
      <c r="D102" s="170"/>
      <c r="E102" s="35"/>
      <c r="F102" s="170"/>
      <c r="G102" s="35"/>
      <c r="H102" s="35"/>
      <c r="I102" s="88"/>
    </row>
    <row r="103" spans="1:9" ht="13">
      <c r="A103" s="98" t="s">
        <v>11126</v>
      </c>
      <c r="B103" s="113" t="s">
        <v>4797</v>
      </c>
      <c r="C103" s="147" t="s">
        <v>192</v>
      </c>
      <c r="D103" s="170"/>
      <c r="E103" s="170"/>
      <c r="F103" s="35"/>
      <c r="G103" s="35"/>
      <c r="H103" s="35"/>
      <c r="I103" s="88"/>
    </row>
    <row r="104" spans="1:9" ht="13">
      <c r="A104" s="98" t="s">
        <v>11127</v>
      </c>
      <c r="B104" s="113" t="s">
        <v>6482</v>
      </c>
      <c r="C104" s="147" t="s">
        <v>192</v>
      </c>
      <c r="D104" s="170"/>
      <c r="E104" s="170"/>
      <c r="F104" s="35"/>
      <c r="G104" s="35"/>
      <c r="H104" s="35"/>
      <c r="I104" s="88"/>
    </row>
    <row r="105" spans="1:9" ht="13">
      <c r="A105" s="98" t="s">
        <v>11128</v>
      </c>
      <c r="B105" s="113" t="s">
        <v>6216</v>
      </c>
      <c r="C105" s="147" t="s">
        <v>192</v>
      </c>
      <c r="D105" s="170"/>
      <c r="E105" s="170"/>
      <c r="F105" s="35"/>
      <c r="G105" s="35"/>
      <c r="H105" s="35"/>
      <c r="I105" s="88"/>
    </row>
    <row r="106" spans="1:9" ht="13">
      <c r="A106" s="98" t="s">
        <v>11129</v>
      </c>
      <c r="B106" s="113" t="s">
        <v>7850</v>
      </c>
      <c r="C106" s="147" t="s">
        <v>192</v>
      </c>
      <c r="D106" s="170"/>
      <c r="E106" s="170"/>
      <c r="F106" s="170"/>
      <c r="G106" s="35"/>
      <c r="H106" s="35"/>
      <c r="I106" s="88"/>
    </row>
    <row r="107" spans="1:9" ht="13">
      <c r="A107" s="98" t="s">
        <v>11130</v>
      </c>
      <c r="B107" s="117" t="s">
        <v>8674</v>
      </c>
      <c r="C107" s="147" t="s">
        <v>192</v>
      </c>
      <c r="D107" s="170"/>
      <c r="E107" s="170"/>
      <c r="F107" s="35"/>
      <c r="G107" s="35"/>
      <c r="H107" s="35"/>
      <c r="I107" s="88"/>
    </row>
    <row r="108" spans="1:9" ht="13">
      <c r="A108" s="98" t="s">
        <v>11131</v>
      </c>
      <c r="B108" s="117" t="s">
        <v>11132</v>
      </c>
      <c r="C108" s="147" t="s">
        <v>192</v>
      </c>
      <c r="D108" s="170"/>
      <c r="E108" s="170"/>
      <c r="F108" s="35"/>
      <c r="G108" s="35"/>
      <c r="H108" s="35"/>
      <c r="I108" s="88"/>
    </row>
    <row r="109" spans="1:9" ht="13">
      <c r="A109" s="98" t="s">
        <v>11133</v>
      </c>
      <c r="B109" s="113" t="s">
        <v>9212</v>
      </c>
      <c r="C109" s="147" t="s">
        <v>192</v>
      </c>
      <c r="D109" s="170"/>
      <c r="E109" s="170"/>
      <c r="F109" s="35"/>
      <c r="G109" s="35"/>
      <c r="H109" s="35"/>
      <c r="I109" s="88"/>
    </row>
    <row r="110" spans="1:9" ht="13">
      <c r="A110" s="98" t="s">
        <v>11134</v>
      </c>
      <c r="B110" s="113" t="s">
        <v>9212</v>
      </c>
      <c r="C110" s="147" t="s">
        <v>192</v>
      </c>
      <c r="D110" s="170"/>
      <c r="E110" s="170"/>
      <c r="F110" s="35"/>
      <c r="G110" s="35"/>
      <c r="H110" s="35"/>
      <c r="I110" s="88"/>
    </row>
    <row r="111" spans="1:9" ht="13">
      <c r="A111" s="98" t="s">
        <v>11135</v>
      </c>
      <c r="B111" s="113" t="s">
        <v>9214</v>
      </c>
      <c r="C111" s="147" t="s">
        <v>192</v>
      </c>
      <c r="D111" s="170"/>
      <c r="E111" s="170"/>
      <c r="F111" s="170"/>
      <c r="G111" s="35"/>
      <c r="H111" s="35"/>
      <c r="I111" s="88"/>
    </row>
    <row r="112" spans="1:9" ht="13">
      <c r="A112" s="98" t="s">
        <v>11136</v>
      </c>
      <c r="B112" s="113" t="s">
        <v>9214</v>
      </c>
      <c r="C112" s="147" t="s">
        <v>192</v>
      </c>
      <c r="D112" s="170"/>
      <c r="E112" s="170"/>
      <c r="F112" s="170"/>
      <c r="G112" s="35"/>
      <c r="H112" s="35"/>
      <c r="I112" s="88"/>
    </row>
    <row r="113" spans="1:9" ht="13">
      <c r="A113" s="98" t="s">
        <v>11137</v>
      </c>
      <c r="B113" s="99" t="s">
        <v>8562</v>
      </c>
      <c r="C113" s="147" t="s">
        <v>192</v>
      </c>
      <c r="D113" s="170"/>
      <c r="E113" s="170"/>
      <c r="F113" s="170"/>
      <c r="G113" s="35"/>
      <c r="H113" s="35"/>
      <c r="I113" s="88"/>
    </row>
    <row r="114" spans="1:9" ht="13">
      <c r="A114" s="98" t="s">
        <v>11138</v>
      </c>
      <c r="B114" s="99" t="s">
        <v>200</v>
      </c>
      <c r="C114" s="147" t="s">
        <v>195</v>
      </c>
      <c r="D114" s="170"/>
      <c r="E114" s="170"/>
      <c r="F114" s="170"/>
      <c r="G114" s="35"/>
      <c r="H114" s="35"/>
      <c r="I114" s="88"/>
    </row>
    <row r="115" spans="1:9" ht="13">
      <c r="A115" s="98" t="s">
        <v>11139</v>
      </c>
      <c r="B115" s="113" t="s">
        <v>330</v>
      </c>
      <c r="C115" s="147" t="s">
        <v>195</v>
      </c>
      <c r="D115" s="170"/>
      <c r="E115" s="170"/>
      <c r="F115" s="170"/>
      <c r="G115" s="35"/>
      <c r="H115" s="35"/>
      <c r="I115" s="88"/>
    </row>
    <row r="116" spans="1:9" ht="13">
      <c r="A116" s="98" t="s">
        <v>11140</v>
      </c>
      <c r="B116" s="113" t="s">
        <v>265</v>
      </c>
      <c r="C116" s="147" t="s">
        <v>195</v>
      </c>
      <c r="D116" s="170"/>
      <c r="E116" s="35"/>
      <c r="F116" s="35"/>
      <c r="G116" s="35"/>
      <c r="H116" s="35"/>
      <c r="I116" s="88"/>
    </row>
    <row r="117" spans="1:9" ht="13">
      <c r="A117" s="98" t="s">
        <v>11141</v>
      </c>
      <c r="B117" s="117" t="s">
        <v>9475</v>
      </c>
      <c r="C117" s="147" t="s">
        <v>195</v>
      </c>
      <c r="D117" s="170"/>
      <c r="E117" s="170"/>
      <c r="F117" s="170"/>
      <c r="G117" s="35"/>
      <c r="H117" s="35"/>
      <c r="I117" s="88"/>
    </row>
    <row r="118" spans="1:9" ht="13">
      <c r="A118" s="98" t="s">
        <v>11142</v>
      </c>
      <c r="B118" s="117" t="s">
        <v>11143</v>
      </c>
      <c r="C118" s="147" t="s">
        <v>195</v>
      </c>
      <c r="D118" s="170"/>
      <c r="E118" s="170"/>
      <c r="F118" s="35"/>
      <c r="G118" s="35"/>
      <c r="H118" s="35"/>
      <c r="I118" s="88"/>
    </row>
    <row r="119" spans="1:9" ht="13">
      <c r="A119" s="98" t="s">
        <v>11144</v>
      </c>
      <c r="B119" s="113" t="s">
        <v>891</v>
      </c>
      <c r="C119" s="147" t="s">
        <v>195</v>
      </c>
      <c r="D119" s="170"/>
      <c r="E119" s="170"/>
      <c r="F119" s="35"/>
      <c r="G119" s="35"/>
      <c r="H119" s="35"/>
      <c r="I119" s="88"/>
    </row>
    <row r="120" spans="1:9" ht="13">
      <c r="A120" s="98" t="s">
        <v>11145</v>
      </c>
      <c r="B120" s="113" t="s">
        <v>829</v>
      </c>
      <c r="C120" s="147" t="s">
        <v>195</v>
      </c>
      <c r="D120" s="170"/>
      <c r="E120" s="170"/>
      <c r="F120" s="35"/>
      <c r="G120" s="35"/>
      <c r="H120" s="35"/>
      <c r="I120" s="88"/>
    </row>
    <row r="121" spans="1:9" ht="13">
      <c r="A121" s="98" t="s">
        <v>11146</v>
      </c>
      <c r="B121" s="99" t="s">
        <v>9224</v>
      </c>
      <c r="C121" s="147" t="s">
        <v>195</v>
      </c>
      <c r="D121" s="170"/>
      <c r="E121" s="170"/>
      <c r="F121" s="35"/>
      <c r="G121" s="35"/>
      <c r="H121" s="35"/>
      <c r="I121" s="88"/>
    </row>
    <row r="122" spans="1:9" ht="13">
      <c r="A122" s="98" t="s">
        <v>11147</v>
      </c>
      <c r="B122" s="113" t="s">
        <v>9226</v>
      </c>
      <c r="C122" s="147" t="s">
        <v>195</v>
      </c>
      <c r="D122" s="170"/>
      <c r="E122" s="170"/>
      <c r="F122" s="35"/>
      <c r="G122" s="35"/>
      <c r="H122" s="35"/>
      <c r="I122" s="88"/>
    </row>
    <row r="123" spans="1:9" ht="13">
      <c r="A123" s="98" t="s">
        <v>11148</v>
      </c>
      <c r="B123" s="113" t="s">
        <v>1368</v>
      </c>
      <c r="C123" s="147" t="s">
        <v>195</v>
      </c>
      <c r="D123" s="170"/>
      <c r="E123" s="170"/>
      <c r="F123" s="170"/>
      <c r="G123" s="35"/>
      <c r="H123" s="35"/>
      <c r="I123" s="88"/>
    </row>
    <row r="124" spans="1:9" ht="13">
      <c r="A124" s="98" t="s">
        <v>11149</v>
      </c>
      <c r="B124" s="113" t="s">
        <v>5460</v>
      </c>
      <c r="C124" s="147" t="s">
        <v>195</v>
      </c>
      <c r="D124" s="170"/>
      <c r="E124" s="170"/>
      <c r="F124" s="35"/>
      <c r="G124" s="35"/>
      <c r="H124" s="35"/>
      <c r="I124" s="88"/>
    </row>
    <row r="125" spans="1:9" ht="13">
      <c r="A125" s="98" t="s">
        <v>11150</v>
      </c>
      <c r="B125" s="113" t="s">
        <v>4034</v>
      </c>
      <c r="C125" s="147" t="s">
        <v>195</v>
      </c>
      <c r="D125" s="170"/>
      <c r="E125" s="170"/>
      <c r="F125" s="170"/>
      <c r="G125" s="35"/>
      <c r="H125" s="35"/>
      <c r="I125" s="88"/>
    </row>
    <row r="126" spans="1:9" ht="13">
      <c r="A126" s="98" t="s">
        <v>11151</v>
      </c>
      <c r="B126" s="113" t="s">
        <v>4130</v>
      </c>
      <c r="C126" s="147" t="s">
        <v>195</v>
      </c>
      <c r="D126" s="170"/>
      <c r="E126" s="170"/>
      <c r="F126" s="35"/>
      <c r="G126" s="35"/>
      <c r="H126" s="35"/>
      <c r="I126" s="88"/>
    </row>
    <row r="127" spans="1:9" ht="13">
      <c r="A127" s="98" t="s">
        <v>11152</v>
      </c>
      <c r="B127" s="113" t="s">
        <v>4243</v>
      </c>
      <c r="C127" s="147" t="s">
        <v>195</v>
      </c>
      <c r="D127" s="170"/>
      <c r="E127" s="170"/>
      <c r="F127" s="35"/>
      <c r="G127" s="35"/>
      <c r="H127" s="35"/>
      <c r="I127" s="88"/>
    </row>
    <row r="128" spans="1:9" ht="13">
      <c r="A128" s="98" t="s">
        <v>11153</v>
      </c>
      <c r="B128" s="113" t="s">
        <v>4429</v>
      </c>
      <c r="C128" s="147" t="s">
        <v>195</v>
      </c>
      <c r="D128" s="170"/>
      <c r="E128" s="170"/>
      <c r="F128" s="170"/>
      <c r="G128" s="35"/>
      <c r="H128" s="35"/>
      <c r="I128" s="88"/>
    </row>
    <row r="129" spans="1:9" ht="13">
      <c r="A129" s="98" t="s">
        <v>11154</v>
      </c>
      <c r="B129" s="113" t="s">
        <v>6491</v>
      </c>
      <c r="C129" s="147" t="s">
        <v>195</v>
      </c>
      <c r="D129" s="170"/>
      <c r="E129" s="170"/>
      <c r="F129" s="170"/>
      <c r="G129" s="35"/>
      <c r="H129" s="35"/>
      <c r="I129" s="88"/>
    </row>
    <row r="130" spans="1:9" ht="13">
      <c r="A130" s="98" t="s">
        <v>11155</v>
      </c>
      <c r="B130" s="113" t="s">
        <v>6492</v>
      </c>
      <c r="C130" s="147" t="s">
        <v>195</v>
      </c>
      <c r="D130" s="170"/>
      <c r="E130" s="170"/>
      <c r="F130" s="35"/>
      <c r="G130" s="35"/>
      <c r="H130" s="35"/>
      <c r="I130" s="88"/>
    </row>
    <row r="131" spans="1:9" ht="13">
      <c r="A131" s="98" t="s">
        <v>11156</v>
      </c>
      <c r="B131" s="113" t="s">
        <v>9239</v>
      </c>
      <c r="C131" s="147" t="s">
        <v>195</v>
      </c>
      <c r="D131" s="170"/>
      <c r="E131" s="170"/>
      <c r="F131" s="35"/>
      <c r="G131" s="35"/>
      <c r="H131" s="35"/>
      <c r="I131" s="88"/>
    </row>
    <row r="132" spans="1:9" ht="13">
      <c r="A132" s="98" t="s">
        <v>11157</v>
      </c>
      <c r="B132" s="113" t="s">
        <v>9241</v>
      </c>
      <c r="C132" s="147" t="s">
        <v>195</v>
      </c>
      <c r="D132" s="170"/>
      <c r="E132" s="170"/>
      <c r="F132" s="170"/>
      <c r="G132" s="35"/>
      <c r="H132" s="35"/>
      <c r="I132" s="88"/>
    </row>
    <row r="133" spans="1:9" ht="13">
      <c r="A133" s="98" t="s">
        <v>11158</v>
      </c>
      <c r="B133" s="113" t="s">
        <v>9243</v>
      </c>
      <c r="C133" s="147" t="s">
        <v>195</v>
      </c>
      <c r="D133" s="170"/>
      <c r="E133" s="170"/>
      <c r="F133" s="35"/>
      <c r="G133" s="35"/>
      <c r="H133" s="35"/>
      <c r="I133" s="88"/>
    </row>
    <row r="134" spans="1:9" ht="13">
      <c r="A134" s="98" t="s">
        <v>11159</v>
      </c>
      <c r="B134" s="113" t="s">
        <v>8750</v>
      </c>
      <c r="C134" s="147" t="s">
        <v>195</v>
      </c>
      <c r="D134" s="170"/>
      <c r="E134" s="170"/>
      <c r="F134" s="35"/>
      <c r="G134" s="35"/>
      <c r="H134" s="35"/>
      <c r="I134" s="88"/>
    </row>
    <row r="135" spans="1:9" ht="13">
      <c r="A135" s="98" t="s">
        <v>11160</v>
      </c>
      <c r="B135" s="113" t="s">
        <v>293</v>
      </c>
      <c r="C135" s="147" t="s">
        <v>973</v>
      </c>
      <c r="D135" s="170"/>
      <c r="E135" s="170"/>
      <c r="F135" s="170"/>
      <c r="G135" s="35"/>
      <c r="H135" s="35"/>
      <c r="I135" s="88"/>
    </row>
    <row r="136" spans="1:9" ht="13">
      <c r="A136" s="98" t="s">
        <v>11161</v>
      </c>
      <c r="B136" s="113" t="s">
        <v>374</v>
      </c>
      <c r="C136" s="147" t="s">
        <v>973</v>
      </c>
      <c r="D136" s="170"/>
      <c r="E136" s="170"/>
      <c r="F136" s="170"/>
      <c r="G136" s="35"/>
      <c r="H136" s="35"/>
      <c r="I136" s="88"/>
    </row>
    <row r="137" spans="1:9" ht="13">
      <c r="A137" s="98" t="s">
        <v>11162</v>
      </c>
      <c r="B137" s="113" t="s">
        <v>350</v>
      </c>
      <c r="C137" s="147" t="s">
        <v>973</v>
      </c>
      <c r="D137" s="170"/>
      <c r="E137" s="170"/>
      <c r="F137" s="35"/>
      <c r="G137" s="35"/>
      <c r="H137" s="35"/>
      <c r="I137" s="88"/>
    </row>
    <row r="138" spans="1:9" ht="13">
      <c r="A138" s="98" t="s">
        <v>11163</v>
      </c>
      <c r="B138" s="113" t="s">
        <v>341</v>
      </c>
      <c r="C138" s="147" t="s">
        <v>973</v>
      </c>
      <c r="D138" s="170"/>
      <c r="E138" s="170"/>
      <c r="F138" s="35"/>
      <c r="G138" s="35"/>
      <c r="H138" s="35"/>
      <c r="I138" s="88"/>
    </row>
    <row r="139" spans="1:9" ht="13">
      <c r="A139" s="98" t="s">
        <v>11164</v>
      </c>
      <c r="B139" s="113" t="s">
        <v>380</v>
      </c>
      <c r="C139" s="147" t="s">
        <v>973</v>
      </c>
      <c r="D139" s="170"/>
      <c r="E139" s="170"/>
      <c r="F139" s="170"/>
      <c r="G139" s="35"/>
      <c r="H139" s="35"/>
      <c r="I139" s="88"/>
    </row>
    <row r="140" spans="1:9" ht="13">
      <c r="A140" s="98" t="s">
        <v>11165</v>
      </c>
      <c r="B140" s="113" t="s">
        <v>371</v>
      </c>
      <c r="C140" s="147" t="s">
        <v>973</v>
      </c>
      <c r="D140" s="170"/>
      <c r="E140" s="170"/>
      <c r="F140" s="35"/>
      <c r="G140" s="35"/>
      <c r="H140" s="35"/>
      <c r="I140" s="88"/>
    </row>
    <row r="141" spans="1:9" ht="13">
      <c r="A141" s="98" t="s">
        <v>11166</v>
      </c>
      <c r="B141" s="113" t="s">
        <v>370</v>
      </c>
      <c r="C141" s="147" t="s">
        <v>973</v>
      </c>
      <c r="D141" s="170"/>
      <c r="E141" s="170"/>
      <c r="F141" s="170"/>
      <c r="G141" s="35"/>
      <c r="H141" s="35"/>
      <c r="I141" s="88"/>
    </row>
    <row r="142" spans="1:9" ht="13">
      <c r="A142" s="98" t="s">
        <v>11167</v>
      </c>
      <c r="B142" s="113" t="s">
        <v>288</v>
      </c>
      <c r="C142" s="147" t="s">
        <v>973</v>
      </c>
      <c r="D142" s="170"/>
      <c r="E142" s="170"/>
      <c r="F142" s="170"/>
      <c r="G142" s="35"/>
      <c r="H142" s="35"/>
      <c r="I142" s="88"/>
    </row>
    <row r="143" spans="1:9" ht="13">
      <c r="A143" s="98" t="s">
        <v>11168</v>
      </c>
      <c r="B143" s="113" t="s">
        <v>791</v>
      </c>
      <c r="C143" s="147" t="s">
        <v>973</v>
      </c>
      <c r="D143" s="170"/>
      <c r="E143" s="170"/>
      <c r="F143" s="170"/>
      <c r="G143" s="35"/>
      <c r="H143" s="35"/>
      <c r="I143" s="88"/>
    </row>
    <row r="144" spans="1:9" ht="13">
      <c r="A144" s="98" t="s">
        <v>11169</v>
      </c>
      <c r="B144" s="113" t="s">
        <v>867</v>
      </c>
      <c r="C144" s="147" t="s">
        <v>973</v>
      </c>
      <c r="D144" s="170"/>
      <c r="E144" s="170"/>
      <c r="F144" s="35"/>
      <c r="G144" s="35"/>
      <c r="H144" s="35"/>
      <c r="I144" s="88"/>
    </row>
    <row r="145" spans="1:9" ht="13">
      <c r="A145" s="98" t="s">
        <v>11170</v>
      </c>
      <c r="B145" s="113" t="s">
        <v>3082</v>
      </c>
      <c r="C145" s="147" t="s">
        <v>973</v>
      </c>
      <c r="D145" s="170"/>
      <c r="E145" s="170"/>
      <c r="F145" s="170"/>
      <c r="G145" s="35"/>
      <c r="H145" s="35"/>
      <c r="I145" s="88"/>
    </row>
    <row r="146" spans="1:9" ht="13">
      <c r="A146" s="98" t="s">
        <v>11171</v>
      </c>
      <c r="B146" s="99" t="s">
        <v>1294</v>
      </c>
      <c r="C146" s="147" t="s">
        <v>973</v>
      </c>
      <c r="D146" s="170"/>
      <c r="E146" s="170"/>
      <c r="F146" s="35"/>
      <c r="G146" s="35"/>
      <c r="H146" s="35"/>
      <c r="I146" s="88"/>
    </row>
    <row r="147" spans="1:9" ht="13">
      <c r="A147" s="98" t="s">
        <v>11172</v>
      </c>
      <c r="B147" s="99" t="s">
        <v>1222</v>
      </c>
      <c r="C147" s="147" t="s">
        <v>973</v>
      </c>
      <c r="D147" s="170"/>
      <c r="E147" s="170"/>
      <c r="F147" s="35"/>
      <c r="G147" s="35"/>
      <c r="H147" s="35"/>
      <c r="I147" s="88"/>
    </row>
    <row r="148" spans="1:9" ht="13">
      <c r="A148" s="98" t="s">
        <v>11173</v>
      </c>
      <c r="B148" s="99" t="s">
        <v>1400</v>
      </c>
      <c r="C148" s="147" t="s">
        <v>973</v>
      </c>
      <c r="D148" s="170"/>
      <c r="E148" s="170"/>
      <c r="F148" s="35"/>
      <c r="G148" s="35"/>
      <c r="H148" s="35"/>
      <c r="I148" s="88"/>
    </row>
    <row r="149" spans="1:9" ht="13">
      <c r="A149" s="98" t="s">
        <v>11174</v>
      </c>
      <c r="B149" s="99" t="s">
        <v>1790</v>
      </c>
      <c r="C149" s="147" t="s">
        <v>973</v>
      </c>
      <c r="D149" s="170"/>
      <c r="E149" s="170"/>
      <c r="F149" s="170"/>
      <c r="G149" s="35"/>
      <c r="H149" s="35"/>
      <c r="I149" s="88"/>
    </row>
    <row r="150" spans="1:9" ht="13">
      <c r="A150" s="98" t="s">
        <v>11175</v>
      </c>
      <c r="B150" s="146" t="s">
        <v>8866</v>
      </c>
      <c r="C150" s="147" t="s">
        <v>973</v>
      </c>
      <c r="D150" s="170"/>
      <c r="E150" s="170"/>
      <c r="F150" s="35"/>
      <c r="G150" s="35"/>
      <c r="H150" s="35"/>
      <c r="I150" s="88"/>
    </row>
    <row r="151" spans="1:9" ht="13">
      <c r="A151" s="98" t="s">
        <v>11176</v>
      </c>
      <c r="B151" s="99" t="s">
        <v>4154</v>
      </c>
      <c r="C151" s="147" t="s">
        <v>973</v>
      </c>
      <c r="D151" s="170"/>
      <c r="E151" s="170"/>
      <c r="F151" s="35"/>
      <c r="G151" s="35"/>
      <c r="H151" s="35"/>
      <c r="I151" s="88"/>
    </row>
    <row r="152" spans="1:9" ht="13">
      <c r="A152" s="98" t="s">
        <v>11177</v>
      </c>
      <c r="B152" s="99" t="s">
        <v>4100</v>
      </c>
      <c r="C152" s="147" t="s">
        <v>973</v>
      </c>
      <c r="D152" s="170"/>
      <c r="E152" s="170"/>
      <c r="F152" s="170"/>
      <c r="G152" s="35"/>
      <c r="H152" s="35"/>
      <c r="I152" s="88"/>
    </row>
    <row r="153" spans="1:9" ht="13">
      <c r="A153" s="98" t="s">
        <v>11178</v>
      </c>
      <c r="B153" s="99" t="s">
        <v>5121</v>
      </c>
      <c r="C153" s="147" t="s">
        <v>973</v>
      </c>
      <c r="D153" s="170"/>
      <c r="E153" s="170"/>
      <c r="F153" s="35"/>
      <c r="G153" s="35"/>
      <c r="H153" s="35"/>
      <c r="I153" s="88"/>
    </row>
    <row r="154" spans="1:9" ht="13">
      <c r="A154" s="98" t="s">
        <v>11179</v>
      </c>
      <c r="B154" s="99" t="s">
        <v>6503</v>
      </c>
      <c r="C154" s="147" t="s">
        <v>973</v>
      </c>
      <c r="D154" s="170"/>
      <c r="E154" s="170"/>
      <c r="F154" s="35"/>
      <c r="G154" s="35"/>
      <c r="H154" s="35"/>
      <c r="I154" s="88"/>
    </row>
    <row r="155" spans="1:9" ht="13">
      <c r="A155" s="98" t="s">
        <v>11180</v>
      </c>
      <c r="B155" s="99" t="s">
        <v>6504</v>
      </c>
      <c r="C155" s="147" t="s">
        <v>973</v>
      </c>
      <c r="D155" s="170"/>
      <c r="E155" s="170"/>
      <c r="F155" s="170"/>
      <c r="G155" s="35"/>
      <c r="H155" s="35"/>
      <c r="I155" s="88"/>
    </row>
    <row r="156" spans="1:9" ht="13">
      <c r="A156" s="98" t="s">
        <v>11181</v>
      </c>
      <c r="B156" s="99" t="s">
        <v>9005</v>
      </c>
      <c r="C156" s="147" t="s">
        <v>973</v>
      </c>
      <c r="D156" s="170"/>
      <c r="E156" s="170"/>
      <c r="F156" s="35"/>
      <c r="G156" s="35"/>
      <c r="H156" s="35"/>
      <c r="I156" s="88"/>
    </row>
    <row r="157" spans="1:9" ht="13">
      <c r="A157" s="98" t="s">
        <v>11182</v>
      </c>
      <c r="B157" s="99" t="s">
        <v>9008</v>
      </c>
      <c r="C157" s="147" t="s">
        <v>973</v>
      </c>
      <c r="D157" s="170"/>
      <c r="E157" s="170"/>
      <c r="F157" s="170"/>
      <c r="G157" s="35"/>
      <c r="H157" s="35"/>
      <c r="I157" s="88"/>
    </row>
    <row r="158" spans="1:9" ht="13">
      <c r="A158" s="98" t="s">
        <v>11183</v>
      </c>
      <c r="B158" s="99" t="s">
        <v>9269</v>
      </c>
      <c r="C158" s="147" t="s">
        <v>973</v>
      </c>
      <c r="D158" s="170"/>
      <c r="E158" s="170"/>
      <c r="F158" s="170"/>
      <c r="G158" s="35"/>
      <c r="H158" s="35"/>
      <c r="I158" s="88"/>
    </row>
    <row r="159" spans="1:9" ht="13">
      <c r="A159" s="98" t="s">
        <v>11184</v>
      </c>
      <c r="B159" s="99" t="s">
        <v>9269</v>
      </c>
      <c r="C159" s="147" t="s">
        <v>973</v>
      </c>
      <c r="D159" s="170"/>
      <c r="E159" s="170"/>
      <c r="F159" s="170"/>
      <c r="G159" s="35"/>
      <c r="H159" s="35"/>
      <c r="I159" s="88"/>
    </row>
    <row r="160" spans="1:9" ht="13">
      <c r="A160" s="98" t="s">
        <v>11185</v>
      </c>
      <c r="B160" s="146" t="s">
        <v>11186</v>
      </c>
      <c r="C160" s="147" t="s">
        <v>808</v>
      </c>
      <c r="D160" s="170"/>
      <c r="E160" s="170"/>
      <c r="F160" s="35"/>
      <c r="G160" s="35"/>
      <c r="H160" s="35"/>
      <c r="I160" s="88"/>
    </row>
    <row r="161" spans="1:9" ht="13">
      <c r="A161" s="98" t="s">
        <v>11187</v>
      </c>
      <c r="B161" s="146" t="s">
        <v>11188</v>
      </c>
      <c r="C161" s="147" t="s">
        <v>808</v>
      </c>
      <c r="D161" s="170"/>
      <c r="E161" s="170"/>
      <c r="F161" s="170"/>
      <c r="G161" s="35"/>
      <c r="H161" s="35"/>
      <c r="I161" s="137"/>
    </row>
    <row r="162" spans="1:9" ht="13">
      <c r="A162" s="98" t="s">
        <v>11189</v>
      </c>
      <c r="B162" s="117" t="s">
        <v>8715</v>
      </c>
      <c r="C162" s="147" t="s">
        <v>808</v>
      </c>
      <c r="D162" s="170"/>
      <c r="E162" s="170"/>
      <c r="F162" s="35"/>
      <c r="G162" s="35"/>
      <c r="H162" s="35"/>
      <c r="I162" s="88"/>
    </row>
    <row r="163" spans="1:9" ht="13">
      <c r="A163" s="98" t="s">
        <v>11190</v>
      </c>
      <c r="B163" s="113" t="s">
        <v>9014</v>
      </c>
      <c r="C163" s="147" t="s">
        <v>808</v>
      </c>
      <c r="D163" s="170"/>
      <c r="E163" s="170"/>
      <c r="F163" s="170"/>
      <c r="G163" s="35"/>
      <c r="H163" s="35"/>
      <c r="I163" s="88"/>
    </row>
    <row r="164" spans="1:9" ht="13">
      <c r="A164" s="98" t="s">
        <v>11191</v>
      </c>
      <c r="B164" s="113" t="s">
        <v>9016</v>
      </c>
      <c r="C164" s="147" t="s">
        <v>808</v>
      </c>
      <c r="D164" s="170"/>
      <c r="E164" s="170"/>
      <c r="F164" s="35"/>
      <c r="G164" s="35"/>
      <c r="H164" s="35"/>
      <c r="I164" s="88"/>
    </row>
    <row r="165" spans="1:9" ht="13">
      <c r="A165" s="98" t="s">
        <v>11192</v>
      </c>
      <c r="B165" s="113" t="s">
        <v>8637</v>
      </c>
      <c r="C165" s="147" t="s">
        <v>808</v>
      </c>
      <c r="D165" s="170"/>
      <c r="E165" s="170"/>
      <c r="F165" s="35"/>
      <c r="G165" s="35"/>
      <c r="H165" s="35"/>
      <c r="I165" s="88"/>
    </row>
    <row r="166" spans="1:9" ht="13">
      <c r="A166" s="98" t="s">
        <v>11193</v>
      </c>
      <c r="B166" s="113" t="s">
        <v>1288</v>
      </c>
      <c r="C166" s="147" t="s">
        <v>808</v>
      </c>
      <c r="D166" s="170"/>
      <c r="E166" s="170"/>
      <c r="F166" s="35"/>
      <c r="G166" s="35"/>
      <c r="H166" s="35"/>
      <c r="I166" s="88"/>
    </row>
    <row r="167" spans="1:9" ht="13">
      <c r="A167" s="98" t="s">
        <v>11194</v>
      </c>
      <c r="B167" s="113" t="s">
        <v>1246</v>
      </c>
      <c r="C167" s="147" t="s">
        <v>808</v>
      </c>
      <c r="D167" s="170"/>
      <c r="E167" s="170"/>
      <c r="F167" s="35"/>
      <c r="G167" s="35"/>
      <c r="H167" s="35"/>
      <c r="I167" s="88"/>
    </row>
    <row r="168" spans="1:9" ht="13">
      <c r="A168" s="98" t="s">
        <v>11195</v>
      </c>
      <c r="B168" s="99" t="s">
        <v>1491</v>
      </c>
      <c r="C168" s="147" t="s">
        <v>808</v>
      </c>
      <c r="D168" s="170"/>
      <c r="E168" s="170"/>
      <c r="F168" s="35"/>
      <c r="G168" s="35"/>
      <c r="H168" s="35"/>
      <c r="I168" s="88"/>
    </row>
    <row r="169" spans="1:9" ht="13">
      <c r="A169" s="98" t="s">
        <v>11196</v>
      </c>
      <c r="B169" s="99" t="s">
        <v>3250</v>
      </c>
      <c r="C169" s="147" t="s">
        <v>808</v>
      </c>
      <c r="D169" s="170"/>
      <c r="E169" s="170"/>
      <c r="F169" s="35"/>
      <c r="G169" s="35"/>
      <c r="H169" s="35"/>
      <c r="I169" s="88"/>
    </row>
    <row r="170" spans="1:9" ht="13">
      <c r="A170" s="98" t="s">
        <v>11197</v>
      </c>
      <c r="B170" s="99" t="s">
        <v>3203</v>
      </c>
      <c r="C170" s="147" t="s">
        <v>808</v>
      </c>
      <c r="D170" s="170"/>
      <c r="E170" s="170"/>
      <c r="F170" s="35"/>
      <c r="G170" s="35"/>
      <c r="H170" s="35"/>
      <c r="I170" s="88"/>
    </row>
    <row r="171" spans="1:9" ht="13">
      <c r="A171" s="98" t="s">
        <v>11198</v>
      </c>
      <c r="B171" s="99" t="s">
        <v>3059</v>
      </c>
      <c r="C171" s="147" t="s">
        <v>808</v>
      </c>
      <c r="D171" s="170"/>
      <c r="E171" s="170"/>
      <c r="F171" s="35"/>
      <c r="G171" s="35"/>
      <c r="H171" s="35"/>
      <c r="I171" s="88"/>
    </row>
    <row r="172" spans="1:9" ht="13">
      <c r="A172" s="98" t="s">
        <v>11199</v>
      </c>
      <c r="B172" s="99" t="s">
        <v>4079</v>
      </c>
      <c r="C172" s="147" t="s">
        <v>808</v>
      </c>
      <c r="D172" s="170"/>
      <c r="E172" s="170"/>
      <c r="F172" s="170"/>
      <c r="G172" s="35"/>
      <c r="H172" s="35"/>
      <c r="I172" s="88"/>
    </row>
    <row r="173" spans="1:9" ht="13">
      <c r="A173" s="98" t="s">
        <v>11200</v>
      </c>
      <c r="B173" s="99" t="s">
        <v>4080</v>
      </c>
      <c r="C173" s="147" t="s">
        <v>808</v>
      </c>
      <c r="D173" s="170"/>
      <c r="E173" s="170"/>
      <c r="F173" s="35"/>
      <c r="G173" s="35"/>
      <c r="H173" s="35"/>
      <c r="I173" s="88"/>
    </row>
    <row r="174" spans="1:9" ht="13">
      <c r="A174" s="98" t="s">
        <v>11201</v>
      </c>
      <c r="B174" s="99" t="s">
        <v>4036</v>
      </c>
      <c r="C174" s="147" t="s">
        <v>808</v>
      </c>
      <c r="D174" s="170"/>
      <c r="E174" s="35"/>
      <c r="F174" s="35"/>
      <c r="G174" s="35"/>
      <c r="H174" s="35"/>
      <c r="I174" s="88"/>
    </row>
    <row r="175" spans="1:9" ht="13">
      <c r="A175" s="98" t="s">
        <v>11202</v>
      </c>
      <c r="B175" s="99" t="s">
        <v>4147</v>
      </c>
      <c r="C175" s="147" t="s">
        <v>808</v>
      </c>
      <c r="D175" s="170"/>
      <c r="E175" s="170"/>
      <c r="F175" s="35"/>
      <c r="G175" s="35"/>
      <c r="H175" s="35"/>
      <c r="I175" s="88"/>
    </row>
    <row r="176" spans="1:9" ht="13">
      <c r="A176" s="98" t="s">
        <v>11203</v>
      </c>
      <c r="B176" s="113" t="s">
        <v>4158</v>
      </c>
      <c r="C176" s="147" t="s">
        <v>808</v>
      </c>
      <c r="D176" s="170"/>
      <c r="E176" s="170"/>
      <c r="F176" s="35"/>
      <c r="G176" s="35"/>
      <c r="H176" s="35"/>
      <c r="I176" s="88"/>
    </row>
    <row r="177" spans="1:9" ht="13">
      <c r="A177" s="98" t="s">
        <v>11204</v>
      </c>
      <c r="B177" s="113" t="s">
        <v>4448</v>
      </c>
      <c r="C177" s="147" t="s">
        <v>808</v>
      </c>
      <c r="D177" s="170"/>
      <c r="E177" s="170"/>
      <c r="F177" s="170"/>
      <c r="G177" s="35"/>
      <c r="H177" s="35"/>
      <c r="I177" s="88"/>
    </row>
    <row r="178" spans="1:9" ht="13">
      <c r="A178" s="98" t="s">
        <v>11205</v>
      </c>
      <c r="B178" s="113" t="s">
        <v>4802</v>
      </c>
      <c r="C178" s="147" t="s">
        <v>808</v>
      </c>
      <c r="D178" s="170"/>
      <c r="E178" s="170"/>
      <c r="F178" s="35"/>
      <c r="G178" s="35"/>
      <c r="H178" s="35"/>
      <c r="I178" s="88"/>
    </row>
    <row r="179" spans="1:9" ht="13">
      <c r="A179" s="98" t="s">
        <v>11206</v>
      </c>
      <c r="B179" s="113" t="s">
        <v>4747</v>
      </c>
      <c r="C179" s="147" t="s">
        <v>808</v>
      </c>
      <c r="D179" s="170"/>
      <c r="E179" s="170"/>
      <c r="F179" s="35"/>
      <c r="G179" s="35"/>
      <c r="H179" s="35"/>
      <c r="I179" s="88"/>
    </row>
    <row r="180" spans="1:9" ht="13">
      <c r="A180" s="98" t="s">
        <v>11207</v>
      </c>
      <c r="B180" s="113" t="s">
        <v>9285</v>
      </c>
      <c r="C180" s="147" t="s">
        <v>808</v>
      </c>
      <c r="D180" s="170"/>
      <c r="E180" s="170"/>
      <c r="F180" s="35"/>
      <c r="G180" s="35"/>
      <c r="H180" s="35"/>
      <c r="I180" s="88"/>
    </row>
    <row r="181" spans="1:9" ht="13">
      <c r="A181" s="98" t="s">
        <v>11208</v>
      </c>
      <c r="B181" s="113" t="s">
        <v>9287</v>
      </c>
      <c r="C181" s="147" t="s">
        <v>808</v>
      </c>
      <c r="D181" s="170"/>
      <c r="E181" s="170"/>
      <c r="F181" s="35"/>
      <c r="G181" s="35"/>
      <c r="H181" s="35"/>
      <c r="I181" s="88"/>
    </row>
    <row r="182" spans="1:9" ht="13">
      <c r="A182" s="98" t="s">
        <v>11209</v>
      </c>
      <c r="B182" s="113" t="s">
        <v>9289</v>
      </c>
      <c r="C182" s="147" t="s">
        <v>808</v>
      </c>
      <c r="D182" s="170"/>
      <c r="E182" s="170"/>
      <c r="F182" s="35"/>
      <c r="G182" s="35"/>
      <c r="H182" s="35"/>
      <c r="I182" s="88"/>
    </row>
    <row r="183" spans="1:9" ht="13">
      <c r="A183" s="98" t="s">
        <v>11210</v>
      </c>
      <c r="B183" s="113" t="s">
        <v>8562</v>
      </c>
      <c r="C183" s="147" t="s">
        <v>808</v>
      </c>
      <c r="D183" s="170"/>
      <c r="E183" s="170"/>
      <c r="F183" s="170"/>
      <c r="G183" s="35"/>
      <c r="H183" s="35"/>
      <c r="I183" s="88"/>
    </row>
    <row r="184" spans="1:9" ht="13">
      <c r="A184" s="98" t="s">
        <v>11211</v>
      </c>
      <c r="B184" s="113" t="s">
        <v>9028</v>
      </c>
      <c r="C184" s="147" t="s">
        <v>220</v>
      </c>
      <c r="D184" s="170"/>
      <c r="E184" s="170"/>
      <c r="F184" s="35"/>
      <c r="G184" s="35"/>
      <c r="H184" s="35"/>
      <c r="I184" s="88"/>
    </row>
    <row r="185" spans="1:9" ht="13">
      <c r="A185" s="98" t="s">
        <v>11212</v>
      </c>
      <c r="B185" s="113" t="s">
        <v>9030</v>
      </c>
      <c r="C185" s="147" t="s">
        <v>220</v>
      </c>
      <c r="D185" s="170"/>
      <c r="E185" s="170"/>
      <c r="F185" s="170"/>
      <c r="G185" s="35"/>
      <c r="H185" s="35"/>
      <c r="I185" s="88"/>
    </row>
    <row r="186" spans="1:9" ht="13">
      <c r="A186" s="98" t="s">
        <v>11213</v>
      </c>
      <c r="B186" s="113" t="s">
        <v>787</v>
      </c>
      <c r="C186" s="147" t="s">
        <v>220</v>
      </c>
      <c r="D186" s="170"/>
      <c r="E186" s="170"/>
      <c r="F186" s="170"/>
      <c r="G186" s="35"/>
      <c r="H186" s="35"/>
      <c r="I186" s="88"/>
    </row>
    <row r="187" spans="1:9" ht="13">
      <c r="A187" s="98" t="s">
        <v>11214</v>
      </c>
      <c r="B187" s="113" t="s">
        <v>4155</v>
      </c>
      <c r="C187" s="147" t="s">
        <v>220</v>
      </c>
      <c r="D187" s="170"/>
      <c r="E187" s="35"/>
      <c r="F187" s="170"/>
      <c r="G187" s="35"/>
      <c r="H187" s="35"/>
      <c r="I187" s="88"/>
    </row>
    <row r="188" spans="1:9" ht="13">
      <c r="A188" s="98" t="s">
        <v>11215</v>
      </c>
      <c r="B188" s="99" t="s">
        <v>4107</v>
      </c>
      <c r="C188" s="147" t="s">
        <v>220</v>
      </c>
      <c r="D188" s="170"/>
      <c r="E188" s="170"/>
      <c r="F188" s="35"/>
      <c r="G188" s="35"/>
      <c r="H188" s="35"/>
      <c r="I188" s="88"/>
    </row>
    <row r="189" spans="1:9" ht="13">
      <c r="A189" s="98" t="s">
        <v>11216</v>
      </c>
      <c r="B189" s="146" t="s">
        <v>11217</v>
      </c>
      <c r="C189" s="147" t="s">
        <v>220</v>
      </c>
      <c r="D189" s="170"/>
      <c r="E189" s="170"/>
      <c r="F189" s="35"/>
      <c r="G189" s="35"/>
      <c r="H189" s="35"/>
      <c r="I189" s="88"/>
    </row>
    <row r="190" spans="1:9" ht="13">
      <c r="A190" s="98" t="s">
        <v>11218</v>
      </c>
      <c r="B190" s="99" t="s">
        <v>5125</v>
      </c>
      <c r="C190" s="147" t="s">
        <v>220</v>
      </c>
      <c r="D190" s="170"/>
      <c r="E190" s="170"/>
      <c r="F190" s="170"/>
      <c r="G190" s="35"/>
      <c r="H190" s="35"/>
      <c r="I190" s="88"/>
    </row>
    <row r="191" spans="1:9" ht="13">
      <c r="A191" s="98" t="s">
        <v>11219</v>
      </c>
      <c r="B191" s="99" t="s">
        <v>6191</v>
      </c>
      <c r="C191" s="147" t="s">
        <v>220</v>
      </c>
      <c r="D191" s="170"/>
      <c r="E191" s="170"/>
      <c r="F191" s="35"/>
      <c r="G191" s="35"/>
      <c r="H191" s="35"/>
      <c r="I191" s="88"/>
    </row>
    <row r="192" spans="1:9" ht="13">
      <c r="A192" s="98" t="s">
        <v>11220</v>
      </c>
      <c r="B192" s="99" t="s">
        <v>6391</v>
      </c>
      <c r="C192" s="147" t="s">
        <v>220</v>
      </c>
      <c r="D192" s="170"/>
      <c r="E192" s="170"/>
      <c r="F192" s="170"/>
      <c r="G192" s="35"/>
      <c r="H192" s="35"/>
      <c r="I192" s="88"/>
    </row>
    <row r="193" spans="1:9" ht="13">
      <c r="A193" s="98" t="s">
        <v>11221</v>
      </c>
      <c r="B193" s="99" t="s">
        <v>8021</v>
      </c>
      <c r="C193" s="147" t="s">
        <v>220</v>
      </c>
      <c r="D193" s="170"/>
      <c r="E193" s="35"/>
      <c r="F193" s="170"/>
      <c r="G193" s="35"/>
      <c r="H193" s="35"/>
      <c r="I193" s="88"/>
    </row>
    <row r="194" spans="1:9" ht="13">
      <c r="A194" s="98" t="s">
        <v>11222</v>
      </c>
      <c r="B194" s="99" t="s">
        <v>9039</v>
      </c>
      <c r="C194" s="147" t="s">
        <v>220</v>
      </c>
      <c r="D194" s="170"/>
      <c r="E194" s="35"/>
      <c r="F194" s="170"/>
      <c r="G194" s="35"/>
      <c r="H194" s="35"/>
      <c r="I194" s="88"/>
    </row>
    <row r="195" spans="1:9" ht="13">
      <c r="A195" s="98" t="s">
        <v>11223</v>
      </c>
      <c r="B195" s="99" t="s">
        <v>9041</v>
      </c>
      <c r="C195" s="147" t="s">
        <v>220</v>
      </c>
      <c r="D195" s="170"/>
      <c r="E195" s="170"/>
      <c r="F195" s="170"/>
      <c r="G195" s="35"/>
      <c r="H195" s="35"/>
      <c r="I195" s="88"/>
    </row>
    <row r="196" spans="1:9" ht="13">
      <c r="A196" s="98" t="s">
        <v>11224</v>
      </c>
      <c r="B196" s="99" t="s">
        <v>9043</v>
      </c>
      <c r="C196" s="147" t="s">
        <v>220</v>
      </c>
      <c r="D196" s="170"/>
      <c r="E196" s="35"/>
      <c r="F196" s="35"/>
      <c r="G196" s="35"/>
      <c r="H196" s="35"/>
      <c r="I196" s="88"/>
    </row>
    <row r="197" spans="1:9" ht="13">
      <c r="A197" s="98" t="s">
        <v>11225</v>
      </c>
      <c r="B197" s="99" t="s">
        <v>1193</v>
      </c>
      <c r="C197" s="147" t="s">
        <v>4285</v>
      </c>
      <c r="D197" s="170"/>
      <c r="E197" s="170"/>
      <c r="F197" s="35"/>
      <c r="G197" s="35"/>
      <c r="H197" s="35"/>
      <c r="I197" s="88"/>
    </row>
    <row r="198" spans="1:9" ht="13">
      <c r="A198" s="98" t="s">
        <v>11226</v>
      </c>
      <c r="B198" s="99" t="s">
        <v>1194</v>
      </c>
      <c r="C198" s="147" t="s">
        <v>4285</v>
      </c>
      <c r="D198" s="170"/>
      <c r="E198" s="35"/>
      <c r="F198" s="35"/>
      <c r="G198" s="35"/>
      <c r="H198" s="35"/>
      <c r="I198" s="88"/>
    </row>
    <row r="199" spans="1:9" ht="13">
      <c r="A199" s="98" t="s">
        <v>11227</v>
      </c>
      <c r="B199" s="99" t="s">
        <v>5102</v>
      </c>
      <c r="C199" s="147" t="s">
        <v>4285</v>
      </c>
      <c r="D199" s="170"/>
      <c r="E199" s="170"/>
      <c r="F199" s="35"/>
      <c r="G199" s="35"/>
      <c r="H199" s="35"/>
      <c r="I199" s="88"/>
    </row>
    <row r="200" spans="1:9" ht="13">
      <c r="A200" s="98" t="s">
        <v>11228</v>
      </c>
      <c r="B200" s="99" t="s">
        <v>5103</v>
      </c>
      <c r="C200" s="147" t="s">
        <v>4285</v>
      </c>
      <c r="D200" s="170"/>
      <c r="E200" s="35"/>
      <c r="F200" s="35"/>
      <c r="G200" s="35"/>
      <c r="H200" s="35"/>
      <c r="I200" s="88"/>
    </row>
    <row r="201" spans="1:9" ht="13">
      <c r="A201" s="98" t="s">
        <v>11229</v>
      </c>
      <c r="B201" s="99" t="s">
        <v>5104</v>
      </c>
      <c r="C201" s="147" t="s">
        <v>4285</v>
      </c>
      <c r="D201" s="170"/>
      <c r="E201" s="35"/>
      <c r="F201" s="170"/>
      <c r="G201" s="35"/>
      <c r="H201" s="35"/>
      <c r="I201" s="88"/>
    </row>
    <row r="202" spans="1:9" ht="13">
      <c r="A202" s="98" t="s">
        <v>11230</v>
      </c>
      <c r="B202" s="113" t="s">
        <v>6214</v>
      </c>
      <c r="C202" s="147" t="s">
        <v>4285</v>
      </c>
      <c r="D202" s="35"/>
      <c r="E202" s="35"/>
      <c r="F202" s="35"/>
      <c r="G202" s="35"/>
      <c r="H202" s="35"/>
      <c r="I202" s="88"/>
    </row>
    <row r="203" spans="1:9" ht="13">
      <c r="A203" s="98" t="s">
        <v>11231</v>
      </c>
      <c r="B203" s="113" t="s">
        <v>202</v>
      </c>
      <c r="C203" s="147" t="s">
        <v>197</v>
      </c>
      <c r="D203" s="170"/>
      <c r="E203" s="35"/>
      <c r="F203" s="35"/>
      <c r="G203" s="35"/>
      <c r="H203" s="35"/>
      <c r="I203" s="88"/>
    </row>
    <row r="204" spans="1:9" ht="13">
      <c r="A204" s="98" t="s">
        <v>11232</v>
      </c>
      <c r="B204" s="113" t="s">
        <v>340</v>
      </c>
      <c r="C204" s="147" t="s">
        <v>197</v>
      </c>
      <c r="D204" s="170"/>
      <c r="E204" s="35"/>
      <c r="F204" s="170"/>
      <c r="G204" s="35"/>
      <c r="H204" s="35"/>
      <c r="I204" s="88"/>
    </row>
    <row r="205" spans="1:9" ht="13">
      <c r="A205" s="98" t="s">
        <v>11233</v>
      </c>
      <c r="B205" s="117" t="s">
        <v>11234</v>
      </c>
      <c r="C205" s="147" t="s">
        <v>197</v>
      </c>
      <c r="D205" s="170"/>
      <c r="E205" s="35"/>
      <c r="F205" s="35"/>
      <c r="G205" s="35"/>
      <c r="H205" s="35"/>
      <c r="I205" s="88"/>
    </row>
    <row r="206" spans="1:9" ht="13">
      <c r="A206" s="98" t="s">
        <v>11235</v>
      </c>
      <c r="B206" s="113" t="s">
        <v>241</v>
      </c>
      <c r="C206" s="147" t="s">
        <v>197</v>
      </c>
      <c r="D206" s="35"/>
      <c r="E206" s="35"/>
      <c r="F206" s="35"/>
      <c r="G206" s="35"/>
      <c r="H206" s="35"/>
      <c r="I206" s="88"/>
    </row>
    <row r="207" spans="1:9" ht="13">
      <c r="A207" s="98" t="s">
        <v>11236</v>
      </c>
      <c r="B207" s="113" t="s">
        <v>968</v>
      </c>
      <c r="C207" s="147" t="s">
        <v>197</v>
      </c>
      <c r="D207" s="35"/>
      <c r="E207" s="35"/>
      <c r="F207" s="35"/>
      <c r="G207" s="35"/>
      <c r="H207" s="35"/>
      <c r="I207" s="88"/>
    </row>
    <row r="208" spans="1:9" ht="13">
      <c r="A208" s="98" t="s">
        <v>11237</v>
      </c>
      <c r="B208" s="113" t="s">
        <v>321</v>
      </c>
      <c r="C208" s="147" t="s">
        <v>197</v>
      </c>
      <c r="D208" s="170"/>
      <c r="E208" s="35"/>
      <c r="F208" s="35"/>
      <c r="G208" s="35"/>
      <c r="H208" s="35"/>
      <c r="I208" s="88"/>
    </row>
    <row r="209" spans="1:9" ht="13">
      <c r="A209" s="98" t="s">
        <v>11238</v>
      </c>
      <c r="B209" s="113" t="s">
        <v>203</v>
      </c>
      <c r="C209" s="147" t="s">
        <v>197</v>
      </c>
      <c r="D209" s="170"/>
      <c r="E209" s="35"/>
      <c r="F209" s="35"/>
      <c r="G209" s="35"/>
      <c r="H209" s="35"/>
      <c r="I209" s="88"/>
    </row>
    <row r="210" spans="1:9" ht="13">
      <c r="A210" s="98" t="s">
        <v>11239</v>
      </c>
      <c r="B210" s="113" t="s">
        <v>233</v>
      </c>
      <c r="C210" s="147" t="s">
        <v>197</v>
      </c>
      <c r="D210" s="35"/>
      <c r="E210" s="35"/>
      <c r="F210" s="35"/>
      <c r="G210" s="35"/>
      <c r="H210" s="35"/>
      <c r="I210" s="88"/>
    </row>
    <row r="211" spans="1:9" ht="13">
      <c r="A211" s="98" t="s">
        <v>11240</v>
      </c>
      <c r="B211" s="113" t="s">
        <v>954</v>
      </c>
      <c r="C211" s="147" t="s">
        <v>197</v>
      </c>
      <c r="D211" s="35"/>
      <c r="E211" s="35"/>
      <c r="F211" s="35"/>
      <c r="G211" s="35"/>
      <c r="H211" s="35"/>
      <c r="I211" s="88"/>
    </row>
    <row r="212" spans="1:9" ht="13">
      <c r="A212" s="98" t="s">
        <v>11241</v>
      </c>
      <c r="B212" s="113" t="s">
        <v>895</v>
      </c>
      <c r="C212" s="147" t="s">
        <v>197</v>
      </c>
      <c r="D212" s="170"/>
      <c r="E212" s="35"/>
      <c r="F212" s="35"/>
      <c r="G212" s="35"/>
      <c r="H212" s="35"/>
      <c r="I212" s="88"/>
    </row>
    <row r="213" spans="1:9" ht="13">
      <c r="A213" s="98" t="s">
        <v>11242</v>
      </c>
      <c r="B213" s="113" t="s">
        <v>218</v>
      </c>
      <c r="C213" s="147" t="s">
        <v>197</v>
      </c>
      <c r="D213" s="170"/>
      <c r="E213" s="35"/>
      <c r="F213" s="35"/>
      <c r="G213" s="35"/>
      <c r="H213" s="35"/>
      <c r="I213" s="88"/>
    </row>
    <row r="214" spans="1:9" ht="13">
      <c r="A214" s="98" t="s">
        <v>11243</v>
      </c>
      <c r="B214" s="99" t="s">
        <v>1276</v>
      </c>
      <c r="C214" s="147" t="s">
        <v>197</v>
      </c>
      <c r="D214" s="35"/>
      <c r="E214" s="35"/>
      <c r="F214" s="35"/>
      <c r="G214" s="35"/>
      <c r="H214" s="35"/>
      <c r="I214" s="88"/>
    </row>
    <row r="215" spans="1:9" ht="13">
      <c r="A215" s="98" t="s">
        <v>11244</v>
      </c>
      <c r="B215" s="99" t="s">
        <v>1216</v>
      </c>
      <c r="C215" s="147" t="s">
        <v>197</v>
      </c>
      <c r="D215" s="170"/>
      <c r="E215" s="35"/>
      <c r="F215" s="35"/>
      <c r="G215" s="35"/>
      <c r="H215" s="35"/>
      <c r="I215" s="88"/>
    </row>
    <row r="216" spans="1:9" ht="13">
      <c r="A216" s="98" t="s">
        <v>11245</v>
      </c>
      <c r="B216" s="99" t="s">
        <v>3025</v>
      </c>
      <c r="C216" s="147" t="s">
        <v>197</v>
      </c>
      <c r="D216" s="35"/>
      <c r="E216" s="35"/>
      <c r="F216" s="35"/>
      <c r="G216" s="35"/>
      <c r="H216" s="35"/>
      <c r="I216" s="88"/>
    </row>
    <row r="217" spans="1:9" ht="13">
      <c r="A217" s="98" t="s">
        <v>11246</v>
      </c>
      <c r="B217" s="99" t="s">
        <v>3127</v>
      </c>
      <c r="C217" s="147" t="s">
        <v>197</v>
      </c>
      <c r="D217" s="35"/>
      <c r="E217" s="35"/>
      <c r="F217" s="35"/>
      <c r="G217" s="35"/>
      <c r="H217" s="35"/>
      <c r="I217" s="88"/>
    </row>
    <row r="218" spans="1:9" ht="13">
      <c r="A218" s="98" t="s">
        <v>11247</v>
      </c>
      <c r="B218" s="99" t="s">
        <v>5025</v>
      </c>
      <c r="C218" s="147" t="s">
        <v>197</v>
      </c>
      <c r="D218" s="170"/>
      <c r="E218" s="35"/>
      <c r="F218" s="170"/>
      <c r="G218" s="35"/>
      <c r="H218" s="35"/>
      <c r="I218" s="88"/>
    </row>
    <row r="219" spans="1:9" ht="13">
      <c r="A219" s="98" t="s">
        <v>11248</v>
      </c>
      <c r="B219" s="99" t="s">
        <v>5049</v>
      </c>
      <c r="C219" s="147" t="s">
        <v>197</v>
      </c>
      <c r="D219" s="170"/>
      <c r="E219" s="35"/>
      <c r="F219" s="35"/>
      <c r="G219" s="35"/>
      <c r="H219" s="35"/>
      <c r="I219" s="88"/>
    </row>
    <row r="220" spans="1:9" ht="13">
      <c r="A220" s="98" t="s">
        <v>11249</v>
      </c>
      <c r="B220" s="99" t="s">
        <v>5124</v>
      </c>
      <c r="C220" s="147" t="s">
        <v>197</v>
      </c>
      <c r="D220" s="35"/>
      <c r="E220" s="35"/>
      <c r="F220" s="35"/>
      <c r="G220" s="35"/>
      <c r="H220" s="35"/>
      <c r="I220" s="88"/>
    </row>
    <row r="221" spans="1:9" ht="13">
      <c r="A221" s="114" t="s">
        <v>11250</v>
      </c>
      <c r="B221" s="117" t="s">
        <v>10041</v>
      </c>
      <c r="C221" s="151" t="s">
        <v>197</v>
      </c>
      <c r="D221" s="35"/>
      <c r="E221" s="35"/>
      <c r="F221" s="35"/>
      <c r="G221" s="35"/>
      <c r="H221" s="35"/>
      <c r="I221" s="88"/>
    </row>
    <row r="222" spans="1:9" ht="13">
      <c r="A222" s="114" t="s">
        <v>11251</v>
      </c>
      <c r="B222" s="117" t="s">
        <v>11252</v>
      </c>
      <c r="C222" s="151" t="s">
        <v>197</v>
      </c>
      <c r="D222" s="35"/>
      <c r="E222" s="35"/>
      <c r="F222" s="35"/>
      <c r="G222" s="35"/>
      <c r="H222" s="35"/>
      <c r="I222" s="88"/>
    </row>
    <row r="223" spans="1:9" ht="13">
      <c r="A223" s="114" t="s">
        <v>11253</v>
      </c>
      <c r="B223" s="113" t="s">
        <v>9057</v>
      </c>
      <c r="C223" s="151" t="s">
        <v>197</v>
      </c>
      <c r="D223" s="35"/>
      <c r="E223" s="35"/>
      <c r="F223" s="35"/>
      <c r="G223" s="35"/>
      <c r="H223" s="35"/>
      <c r="I223" s="88"/>
    </row>
    <row r="224" spans="1:9" ht="13">
      <c r="A224" s="114" t="s">
        <v>11254</v>
      </c>
      <c r="B224" s="113" t="s">
        <v>9059</v>
      </c>
      <c r="C224" s="151" t="s">
        <v>197</v>
      </c>
      <c r="D224" s="35"/>
      <c r="E224" s="35"/>
      <c r="F224" s="35"/>
      <c r="G224" s="35"/>
      <c r="H224" s="35"/>
      <c r="I224" s="88"/>
    </row>
    <row r="225" spans="1:9" ht="13">
      <c r="A225" s="114" t="s">
        <v>11255</v>
      </c>
      <c r="B225" s="113" t="s">
        <v>8560</v>
      </c>
      <c r="C225" s="151" t="s">
        <v>197</v>
      </c>
      <c r="D225" s="170"/>
      <c r="E225" s="35"/>
      <c r="F225" s="35"/>
      <c r="G225" s="35"/>
      <c r="H225" s="35"/>
      <c r="I225" s="88"/>
    </row>
    <row r="226" spans="1:9" ht="13">
      <c r="A226" s="114" t="s">
        <v>11256</v>
      </c>
      <c r="B226" s="113" t="s">
        <v>8560</v>
      </c>
      <c r="C226" s="151" t="s">
        <v>197</v>
      </c>
      <c r="D226" s="35"/>
      <c r="E226" s="35"/>
      <c r="F226" s="35"/>
      <c r="G226" s="35"/>
      <c r="H226" s="35"/>
      <c r="I226" s="88"/>
    </row>
    <row r="227" spans="1:9" ht="13">
      <c r="A227" s="114" t="s">
        <v>11257</v>
      </c>
      <c r="B227" s="113" t="s">
        <v>9063</v>
      </c>
      <c r="C227" s="151" t="s">
        <v>197</v>
      </c>
      <c r="D227" s="35"/>
      <c r="E227" s="35"/>
      <c r="F227" s="35"/>
      <c r="G227" s="35"/>
      <c r="H227" s="35"/>
      <c r="I227" s="88"/>
    </row>
    <row r="228" spans="1:9" ht="13">
      <c r="A228" s="114" t="s">
        <v>11258</v>
      </c>
      <c r="B228" s="113" t="s">
        <v>11259</v>
      </c>
      <c r="C228" s="151" t="s">
        <v>1013</v>
      </c>
      <c r="D228" s="35"/>
      <c r="E228" s="35"/>
      <c r="F228" s="35"/>
      <c r="G228" s="35"/>
      <c r="H228" s="35"/>
      <c r="I228" s="88"/>
    </row>
    <row r="229" spans="1:9" ht="13">
      <c r="A229" s="114" t="s">
        <v>11260</v>
      </c>
      <c r="B229" s="113" t="s">
        <v>11261</v>
      </c>
      <c r="C229" s="151" t="s">
        <v>4114</v>
      </c>
      <c r="D229" s="35"/>
      <c r="E229" s="35"/>
      <c r="F229" s="35"/>
      <c r="G229" s="35"/>
      <c r="H229" s="35"/>
      <c r="I229" s="88"/>
    </row>
    <row r="230" spans="1:9" ht="13">
      <c r="A230" s="114" t="s">
        <v>11262</v>
      </c>
      <c r="B230" s="113" t="s">
        <v>8243</v>
      </c>
      <c r="C230" s="151" t="s">
        <v>1013</v>
      </c>
      <c r="D230" s="35"/>
      <c r="E230" s="35"/>
      <c r="F230" s="35"/>
      <c r="G230" s="35"/>
      <c r="H230" s="35"/>
      <c r="I230" s="88"/>
    </row>
    <row r="231" spans="1:9" ht="13">
      <c r="A231" s="114" t="s">
        <v>11263</v>
      </c>
      <c r="B231" s="113" t="s">
        <v>11264</v>
      </c>
      <c r="C231" s="151" t="s">
        <v>1013</v>
      </c>
      <c r="D231" s="35"/>
      <c r="E231" s="35"/>
      <c r="F231" s="35"/>
      <c r="G231" s="35"/>
      <c r="H231" s="35"/>
      <c r="I231" s="88"/>
    </row>
    <row r="232" spans="1:9" ht="13">
      <c r="A232" s="114" t="s">
        <v>11265</v>
      </c>
      <c r="B232" s="113" t="s">
        <v>11266</v>
      </c>
      <c r="C232" s="151" t="s">
        <v>1013</v>
      </c>
      <c r="D232" s="35"/>
      <c r="E232" s="35"/>
      <c r="F232" s="35"/>
      <c r="G232" s="35"/>
      <c r="H232" s="35"/>
      <c r="I232" s="88"/>
    </row>
    <row r="233" spans="1:9" ht="13">
      <c r="A233" s="114" t="s">
        <v>11267</v>
      </c>
      <c r="B233" s="113" t="s">
        <v>11268</v>
      </c>
      <c r="C233" s="151" t="s">
        <v>4114</v>
      </c>
      <c r="D233" s="35"/>
      <c r="E233" s="35"/>
      <c r="F233" s="35"/>
      <c r="G233" s="35"/>
      <c r="H233" s="35"/>
      <c r="I233" s="88"/>
    </row>
    <row r="234" spans="1:9" ht="13">
      <c r="A234" s="114" t="s">
        <v>11269</v>
      </c>
      <c r="B234" s="113" t="s">
        <v>11270</v>
      </c>
      <c r="C234" s="151" t="s">
        <v>4114</v>
      </c>
      <c r="D234" s="170"/>
      <c r="E234" s="35"/>
      <c r="F234" s="35"/>
      <c r="G234" s="35"/>
      <c r="H234" s="35"/>
      <c r="I234" s="88"/>
    </row>
    <row r="235" spans="1:9" ht="13">
      <c r="A235" s="114" t="s">
        <v>11271</v>
      </c>
      <c r="B235" s="113" t="s">
        <v>11272</v>
      </c>
      <c r="C235" s="151" t="s">
        <v>4114</v>
      </c>
      <c r="D235" s="35"/>
      <c r="E235" s="35"/>
      <c r="F235" s="35"/>
      <c r="G235" s="35"/>
      <c r="H235" s="35"/>
      <c r="I235" s="88"/>
    </row>
    <row r="236" spans="1:9" ht="13">
      <c r="A236" s="114" t="s">
        <v>11273</v>
      </c>
      <c r="B236" s="113" t="s">
        <v>11274</v>
      </c>
      <c r="C236" s="151" t="s">
        <v>1013</v>
      </c>
      <c r="D236" s="35"/>
      <c r="E236" s="35"/>
      <c r="F236" s="35"/>
      <c r="G236" s="35"/>
      <c r="H236" s="35"/>
      <c r="I236" s="88"/>
    </row>
    <row r="237" spans="1:9" ht="13">
      <c r="A237" s="114" t="s">
        <v>11275</v>
      </c>
      <c r="B237" s="113" t="s">
        <v>11276</v>
      </c>
      <c r="C237" s="151" t="s">
        <v>1013</v>
      </c>
      <c r="D237" s="35"/>
      <c r="E237" s="35"/>
      <c r="F237" s="35"/>
      <c r="G237" s="35"/>
      <c r="H237" s="35"/>
      <c r="I237" s="88"/>
    </row>
    <row r="238" spans="1:9" ht="13">
      <c r="A238" s="114" t="s">
        <v>11277</v>
      </c>
      <c r="B238" s="113" t="s">
        <v>11278</v>
      </c>
      <c r="C238" s="151" t="s">
        <v>4114</v>
      </c>
      <c r="D238" s="35"/>
      <c r="E238" s="35"/>
      <c r="F238" s="35"/>
      <c r="G238" s="35"/>
      <c r="H238" s="35"/>
      <c r="I238" s="88"/>
    </row>
    <row r="239" spans="1:9" ht="13">
      <c r="A239" s="114" t="s">
        <v>11279</v>
      </c>
      <c r="B239" s="113" t="s">
        <v>3914</v>
      </c>
      <c r="C239" s="151" t="s">
        <v>1013</v>
      </c>
      <c r="D239" s="35"/>
      <c r="E239" s="35"/>
      <c r="F239" s="35"/>
      <c r="G239" s="35"/>
      <c r="H239" s="35"/>
      <c r="I239" s="88"/>
    </row>
    <row r="240" spans="1:9" ht="13">
      <c r="A240" s="114" t="s">
        <v>11280</v>
      </c>
      <c r="B240" s="113" t="s">
        <v>11281</v>
      </c>
      <c r="C240" s="151" t="s">
        <v>4114</v>
      </c>
      <c r="D240" s="170"/>
      <c r="E240" s="35"/>
      <c r="F240" s="170"/>
      <c r="G240" s="35"/>
      <c r="H240" s="35"/>
      <c r="I240" s="88"/>
    </row>
    <row r="241" spans="1:9" ht="13">
      <c r="A241" s="114" t="s">
        <v>11282</v>
      </c>
      <c r="B241" s="113" t="s">
        <v>3296</v>
      </c>
      <c r="C241" s="151" t="s">
        <v>4114</v>
      </c>
      <c r="D241" s="35"/>
      <c r="E241" s="35"/>
      <c r="F241" s="35"/>
      <c r="G241" s="35"/>
      <c r="H241" s="35"/>
      <c r="I241" s="88"/>
    </row>
    <row r="242" spans="1:9" ht="13">
      <c r="A242" s="114" t="s">
        <v>11283</v>
      </c>
      <c r="B242" s="113" t="s">
        <v>11284</v>
      </c>
      <c r="C242" s="151" t="s">
        <v>1013</v>
      </c>
      <c r="D242" s="35"/>
      <c r="E242" s="35"/>
      <c r="F242" s="35"/>
      <c r="G242" s="35"/>
      <c r="H242" s="35"/>
    </row>
    <row r="243" spans="1:9" ht="13">
      <c r="A243" s="114" t="s">
        <v>11285</v>
      </c>
      <c r="B243" s="113" t="s">
        <v>11286</v>
      </c>
      <c r="C243" s="151" t="s">
        <v>1013</v>
      </c>
      <c r="D243" s="35"/>
      <c r="E243" s="35"/>
      <c r="F243" s="35"/>
      <c r="G243" s="35"/>
      <c r="H243" s="35"/>
    </row>
    <row r="244" spans="1:9" ht="13">
      <c r="A244" s="114" t="s">
        <v>11287</v>
      </c>
      <c r="B244" s="113" t="s">
        <v>5060</v>
      </c>
      <c r="C244" s="151" t="s">
        <v>1013</v>
      </c>
      <c r="D244" s="35"/>
      <c r="E244" s="35"/>
      <c r="F244" s="35"/>
      <c r="G244" s="35"/>
      <c r="H244" s="35"/>
    </row>
    <row r="245" spans="1:9" ht="13">
      <c r="A245" s="114" t="s">
        <v>11288</v>
      </c>
      <c r="B245" s="113" t="s">
        <v>11289</v>
      </c>
      <c r="C245" s="151" t="s">
        <v>1013</v>
      </c>
      <c r="D245" s="35"/>
      <c r="E245" s="35"/>
      <c r="F245" s="35"/>
      <c r="G245" s="35"/>
      <c r="H245" s="35"/>
    </row>
    <row r="246" spans="1:9" ht="13">
      <c r="A246" s="114" t="s">
        <v>11290</v>
      </c>
      <c r="B246" s="113" t="s">
        <v>11291</v>
      </c>
      <c r="C246" s="151" t="s">
        <v>229</v>
      </c>
      <c r="D246" s="35"/>
      <c r="E246" s="35"/>
      <c r="F246" s="35"/>
      <c r="G246" s="35"/>
      <c r="H246" s="35"/>
    </row>
    <row r="247" spans="1:9" ht="13">
      <c r="A247" s="114" t="s">
        <v>11292</v>
      </c>
      <c r="B247" s="113" t="s">
        <v>11293</v>
      </c>
      <c r="C247" s="151" t="s">
        <v>4114</v>
      </c>
      <c r="D247" s="35"/>
      <c r="E247" s="35"/>
      <c r="F247" s="35"/>
      <c r="G247" s="35"/>
      <c r="H247" s="35"/>
    </row>
    <row r="248" spans="1:9" ht="13">
      <c r="A248" s="114" t="s">
        <v>11294</v>
      </c>
      <c r="B248" s="113" t="s">
        <v>11295</v>
      </c>
      <c r="C248" s="151" t="s">
        <v>317</v>
      </c>
      <c r="D248" s="35"/>
      <c r="E248" s="35"/>
      <c r="F248" s="35"/>
      <c r="G248" s="35"/>
      <c r="H248" s="35"/>
    </row>
    <row r="249" spans="1:9" ht="13">
      <c r="A249" s="114" t="s">
        <v>11296</v>
      </c>
      <c r="B249" s="117" t="s">
        <v>10417</v>
      </c>
      <c r="C249" s="151" t="s">
        <v>205</v>
      </c>
      <c r="D249" s="35"/>
      <c r="E249" s="35"/>
      <c r="F249" s="35"/>
      <c r="G249" s="35"/>
      <c r="H249" s="35"/>
    </row>
    <row r="250" spans="1:9" ht="13">
      <c r="A250" s="114" t="s">
        <v>11297</v>
      </c>
      <c r="B250" s="117" t="s">
        <v>11042</v>
      </c>
      <c r="C250" s="151" t="s">
        <v>205</v>
      </c>
      <c r="D250" s="35"/>
      <c r="E250" s="35"/>
      <c r="F250" s="35"/>
      <c r="G250" s="35"/>
      <c r="H250" s="35"/>
    </row>
    <row r="251" spans="1:9" ht="13">
      <c r="A251" s="114" t="s">
        <v>11298</v>
      </c>
      <c r="B251" s="117" t="s">
        <v>11062</v>
      </c>
      <c r="C251" s="151" t="s">
        <v>199</v>
      </c>
      <c r="D251" s="35"/>
      <c r="E251" s="35"/>
      <c r="F251" s="35"/>
      <c r="G251" s="35"/>
      <c r="H251" s="35"/>
    </row>
    <row r="252" spans="1:9" ht="13">
      <c r="A252" s="114" t="s">
        <v>11299</v>
      </c>
      <c r="B252" s="117" t="s">
        <v>11102</v>
      </c>
      <c r="C252" s="151" t="s">
        <v>208</v>
      </c>
      <c r="D252" s="35"/>
      <c r="E252" s="35"/>
      <c r="F252" s="35"/>
      <c r="G252" s="35"/>
      <c r="H252" s="35"/>
    </row>
    <row r="253" spans="1:9" ht="13">
      <c r="A253" s="114" t="s">
        <v>11300</v>
      </c>
      <c r="B253" s="117" t="s">
        <v>8674</v>
      </c>
      <c r="C253" s="151" t="s">
        <v>192</v>
      </c>
      <c r="D253" s="35"/>
      <c r="E253" s="35"/>
      <c r="F253" s="35"/>
      <c r="G253" s="35"/>
      <c r="H253" s="35"/>
    </row>
    <row r="254" spans="1:9" ht="13">
      <c r="A254" s="114" t="s">
        <v>11301</v>
      </c>
      <c r="B254" s="117" t="s">
        <v>9475</v>
      </c>
      <c r="C254" s="151" t="s">
        <v>195</v>
      </c>
      <c r="D254" s="35"/>
      <c r="E254" s="35"/>
      <c r="F254" s="35"/>
      <c r="G254" s="35"/>
      <c r="H254" s="35"/>
    </row>
    <row r="255" spans="1:9" ht="13">
      <c r="A255" s="114" t="s">
        <v>11302</v>
      </c>
      <c r="B255" s="117" t="s">
        <v>9475</v>
      </c>
      <c r="C255" s="151" t="s">
        <v>195</v>
      </c>
      <c r="D255" s="35"/>
      <c r="E255" s="35"/>
      <c r="F255" s="35"/>
      <c r="G255" s="35"/>
      <c r="H255" s="35"/>
    </row>
    <row r="256" spans="1:9" ht="13">
      <c r="A256" s="114" t="s">
        <v>11303</v>
      </c>
      <c r="B256" s="117" t="s">
        <v>10511</v>
      </c>
      <c r="C256" s="151" t="s">
        <v>973</v>
      </c>
      <c r="D256" s="35"/>
      <c r="E256" s="35"/>
      <c r="F256" s="35"/>
      <c r="G256" s="35"/>
      <c r="H256" s="35"/>
    </row>
    <row r="257" spans="1:8" ht="13">
      <c r="A257" s="114" t="s">
        <v>11304</v>
      </c>
      <c r="B257" s="117" t="s">
        <v>8814</v>
      </c>
      <c r="C257" s="151" t="s">
        <v>808</v>
      </c>
      <c r="D257" s="35"/>
      <c r="E257" s="35"/>
      <c r="F257" s="35"/>
      <c r="G257" s="35"/>
      <c r="H257" s="35"/>
    </row>
    <row r="258" spans="1:8" ht="13">
      <c r="A258" s="114" t="s">
        <v>11305</v>
      </c>
      <c r="B258" s="117" t="s">
        <v>11217</v>
      </c>
      <c r="C258" s="151" t="s">
        <v>220</v>
      </c>
      <c r="D258" s="35"/>
      <c r="E258" s="35"/>
      <c r="F258" s="35"/>
      <c r="G258" s="35"/>
      <c r="H258" s="35"/>
    </row>
    <row r="259" spans="1:8" ht="13">
      <c r="A259" s="114" t="s">
        <v>11306</v>
      </c>
      <c r="B259" s="117" t="s">
        <v>11217</v>
      </c>
      <c r="C259" s="151" t="s">
        <v>220</v>
      </c>
      <c r="D259" s="35"/>
      <c r="E259" s="35"/>
      <c r="F259" s="35"/>
      <c r="G259" s="35"/>
      <c r="H259" s="35"/>
    </row>
    <row r="260" spans="1:8" ht="13">
      <c r="A260" s="114" t="s">
        <v>11307</v>
      </c>
      <c r="B260" s="117" t="s">
        <v>10041</v>
      </c>
      <c r="C260" s="151" t="s">
        <v>197</v>
      </c>
      <c r="D260" s="35"/>
      <c r="E260" s="35"/>
      <c r="F260" s="35"/>
      <c r="G260" s="35"/>
      <c r="H260" s="35"/>
    </row>
    <row r="261" spans="1:8" ht="13">
      <c r="A261" s="114" t="s">
        <v>11308</v>
      </c>
      <c r="B261" s="117" t="s">
        <v>10041</v>
      </c>
      <c r="C261" s="151" t="s">
        <v>197</v>
      </c>
      <c r="D261" s="35"/>
      <c r="E261" s="35"/>
      <c r="F261" s="35"/>
      <c r="G261" s="35"/>
      <c r="H261" s="35"/>
    </row>
    <row r="262" spans="1:8" ht="13">
      <c r="A262" s="114" t="s">
        <v>11309</v>
      </c>
      <c r="B262" s="113" t="s">
        <v>11264</v>
      </c>
      <c r="C262" s="151" t="s">
        <v>1013</v>
      </c>
      <c r="D262" s="35"/>
      <c r="E262" s="35"/>
      <c r="F262" s="35"/>
      <c r="G262" s="35"/>
      <c r="H262" s="35"/>
    </row>
    <row r="263" spans="1:8" ht="13">
      <c r="A263" s="114" t="s">
        <v>11310</v>
      </c>
      <c r="B263" s="113" t="s">
        <v>11274</v>
      </c>
      <c r="C263" s="151" t="s">
        <v>1013</v>
      </c>
      <c r="D263" s="35"/>
      <c r="E263" s="35"/>
      <c r="F263" s="35"/>
      <c r="G263" s="35"/>
      <c r="H263" s="35"/>
    </row>
    <row r="264" spans="1:8" ht="13">
      <c r="A264" s="114" t="s">
        <v>11311</v>
      </c>
      <c r="B264" s="113" t="s">
        <v>11276</v>
      </c>
      <c r="C264" s="151" t="s">
        <v>1013</v>
      </c>
      <c r="D264" s="35"/>
      <c r="E264" s="35"/>
      <c r="F264" s="35"/>
      <c r="G264" s="35"/>
      <c r="H264" s="35"/>
    </row>
    <row r="265" spans="1:8" ht="13">
      <c r="A265" s="114" t="s">
        <v>11312</v>
      </c>
      <c r="B265" s="113" t="s">
        <v>11284</v>
      </c>
      <c r="C265" s="151" t="s">
        <v>1013</v>
      </c>
      <c r="D265" s="35"/>
      <c r="E265" s="35"/>
      <c r="F265" s="35"/>
      <c r="G265" s="35"/>
      <c r="H265" s="35"/>
    </row>
    <row r="266" spans="1:8" ht="13">
      <c r="A266" s="114" t="s">
        <v>11313</v>
      </c>
      <c r="B266" s="113" t="s">
        <v>11286</v>
      </c>
      <c r="C266" s="151" t="s">
        <v>1013</v>
      </c>
      <c r="D266" s="35"/>
      <c r="E266" s="35"/>
      <c r="F266" s="35"/>
      <c r="G266" s="35"/>
      <c r="H266" s="35"/>
    </row>
    <row r="267" spans="1:8" ht="13">
      <c r="A267" s="114" t="s">
        <v>11314</v>
      </c>
      <c r="B267" s="113" t="s">
        <v>5060</v>
      </c>
      <c r="C267" s="151" t="s">
        <v>1013</v>
      </c>
      <c r="D267" s="35"/>
      <c r="E267" s="35"/>
      <c r="F267" s="35"/>
      <c r="G267" s="35"/>
      <c r="H267" s="35"/>
    </row>
    <row r="268" spans="1:8" ht="13">
      <c r="A268" s="114" t="s">
        <v>11315</v>
      </c>
      <c r="B268" s="113" t="s">
        <v>11289</v>
      </c>
      <c r="C268" s="151" t="s">
        <v>1013</v>
      </c>
      <c r="D268" s="35"/>
      <c r="E268" s="35"/>
      <c r="F268" s="35"/>
      <c r="G268" s="35"/>
      <c r="H268" s="35"/>
    </row>
    <row r="269" spans="1:8" ht="13">
      <c r="A269" s="114" t="s">
        <v>11316</v>
      </c>
      <c r="B269" s="117" t="s">
        <v>11064</v>
      </c>
      <c r="C269" s="151" t="s">
        <v>199</v>
      </c>
      <c r="D269" s="35"/>
      <c r="E269" s="35"/>
      <c r="F269" s="35"/>
      <c r="G269" s="35"/>
      <c r="H269" s="35"/>
    </row>
    <row r="270" spans="1:8" ht="13">
      <c r="A270" s="114" t="s">
        <v>11317</v>
      </c>
      <c r="B270" s="117" t="s">
        <v>11106</v>
      </c>
      <c r="C270" s="151" t="s">
        <v>208</v>
      </c>
      <c r="D270" s="35"/>
      <c r="E270" s="35"/>
      <c r="F270" s="35"/>
      <c r="G270" s="35"/>
      <c r="H270" s="35"/>
    </row>
    <row r="271" spans="1:8" ht="13">
      <c r="A271" s="114" t="s">
        <v>11318</v>
      </c>
      <c r="B271" s="117" t="s">
        <v>11132</v>
      </c>
      <c r="C271" s="151" t="s">
        <v>192</v>
      </c>
      <c r="D271" s="35"/>
      <c r="E271" s="35"/>
      <c r="F271" s="35"/>
      <c r="G271" s="35"/>
      <c r="H271" s="35"/>
    </row>
    <row r="272" spans="1:8" ht="13">
      <c r="A272" s="114" t="s">
        <v>11319</v>
      </c>
      <c r="B272" s="117" t="s">
        <v>11143</v>
      </c>
      <c r="C272" s="151" t="s">
        <v>195</v>
      </c>
      <c r="D272" s="35"/>
      <c r="E272" s="35"/>
      <c r="F272" s="35"/>
      <c r="G272" s="35"/>
      <c r="H272" s="35"/>
    </row>
    <row r="273" spans="1:8" ht="13">
      <c r="A273" s="114" t="s">
        <v>11320</v>
      </c>
      <c r="B273" s="117" t="s">
        <v>11143</v>
      </c>
      <c r="C273" s="151" t="s">
        <v>195</v>
      </c>
      <c r="D273" s="35"/>
      <c r="E273" s="35"/>
      <c r="F273" s="35"/>
      <c r="G273" s="35"/>
      <c r="H273" s="35"/>
    </row>
    <row r="274" spans="1:8" ht="13">
      <c r="A274" s="114" t="s">
        <v>11321</v>
      </c>
      <c r="B274" s="117" t="s">
        <v>10776</v>
      </c>
      <c r="C274" s="151" t="s">
        <v>195</v>
      </c>
      <c r="D274" s="35"/>
      <c r="E274" s="35"/>
      <c r="F274" s="35"/>
      <c r="G274" s="35"/>
      <c r="H274" s="35"/>
    </row>
    <row r="275" spans="1:8" ht="13">
      <c r="A275" s="114" t="s">
        <v>11322</v>
      </c>
      <c r="B275" s="117" t="s">
        <v>11188</v>
      </c>
      <c r="C275" s="151" t="s">
        <v>808</v>
      </c>
      <c r="D275" s="35"/>
      <c r="E275" s="35"/>
      <c r="F275" s="35"/>
      <c r="G275" s="35"/>
      <c r="H275" s="35"/>
    </row>
    <row r="276" spans="1:8" ht="13">
      <c r="A276" s="114" t="s">
        <v>11323</v>
      </c>
      <c r="B276" s="117" t="s">
        <v>11252</v>
      </c>
      <c r="C276" s="151" t="s">
        <v>197</v>
      </c>
      <c r="D276" s="35"/>
      <c r="E276" s="35"/>
      <c r="F276" s="35"/>
      <c r="G276" s="35"/>
      <c r="H276" s="35"/>
    </row>
    <row r="277" spans="1:8" ht="13">
      <c r="A277" s="114" t="s">
        <v>11324</v>
      </c>
      <c r="B277" s="113" t="s">
        <v>11264</v>
      </c>
      <c r="C277" s="151" t="s">
        <v>1013</v>
      </c>
      <c r="D277" s="35"/>
      <c r="E277" s="35"/>
      <c r="F277" s="35"/>
      <c r="G277" s="35"/>
      <c r="H277" s="35"/>
    </row>
    <row r="278" spans="1:8" ht="13">
      <c r="A278" s="114" t="s">
        <v>11325</v>
      </c>
      <c r="B278" s="113" t="s">
        <v>11274</v>
      </c>
      <c r="C278" s="151" t="s">
        <v>1013</v>
      </c>
      <c r="D278" s="35"/>
      <c r="E278" s="35"/>
      <c r="F278" s="35"/>
      <c r="G278" s="35"/>
      <c r="H278" s="35"/>
    </row>
    <row r="279" spans="1:8" ht="13">
      <c r="A279" s="114" t="s">
        <v>11326</v>
      </c>
      <c r="B279" s="113" t="s">
        <v>11276</v>
      </c>
      <c r="C279" s="151" t="s">
        <v>1013</v>
      </c>
      <c r="D279" s="35"/>
      <c r="E279" s="35"/>
      <c r="F279" s="35"/>
      <c r="G279" s="35"/>
      <c r="H279" s="35"/>
    </row>
    <row r="280" spans="1:8" ht="13">
      <c r="A280" s="114" t="s">
        <v>11327</v>
      </c>
      <c r="B280" s="113" t="s">
        <v>11284</v>
      </c>
      <c r="C280" s="151" t="s">
        <v>1013</v>
      </c>
      <c r="D280" s="35"/>
      <c r="E280" s="35"/>
      <c r="F280" s="35"/>
      <c r="G280" s="35"/>
      <c r="H280" s="35"/>
    </row>
    <row r="281" spans="1:8" ht="13">
      <c r="A281" s="114" t="s">
        <v>11328</v>
      </c>
      <c r="B281" s="113" t="s">
        <v>11286</v>
      </c>
      <c r="C281" s="151" t="s">
        <v>1013</v>
      </c>
      <c r="D281" s="35"/>
      <c r="E281" s="35"/>
      <c r="F281" s="35"/>
      <c r="G281" s="35"/>
      <c r="H281" s="35"/>
    </row>
    <row r="282" spans="1:8" ht="13">
      <c r="A282" s="114" t="s">
        <v>11329</v>
      </c>
      <c r="B282" s="113" t="s">
        <v>5060</v>
      </c>
      <c r="C282" s="151" t="s">
        <v>1013</v>
      </c>
      <c r="D282" s="35"/>
      <c r="E282" s="35"/>
      <c r="F282" s="35"/>
      <c r="G282" s="35"/>
      <c r="H282" s="35"/>
    </row>
    <row r="283" spans="1:8" ht="13">
      <c r="A283" s="114" t="s">
        <v>11330</v>
      </c>
      <c r="B283" s="113" t="s">
        <v>11289</v>
      </c>
      <c r="C283" s="151" t="s">
        <v>1013</v>
      </c>
      <c r="D283" s="35"/>
      <c r="E283" s="35"/>
      <c r="F283" s="35"/>
      <c r="G283" s="35"/>
      <c r="H283" s="35"/>
    </row>
    <row r="284" spans="1:8" ht="13">
      <c r="A284" s="114" t="s">
        <v>11331</v>
      </c>
      <c r="B284" s="113" t="s">
        <v>824</v>
      </c>
      <c r="C284" s="151" t="s">
        <v>192</v>
      </c>
      <c r="D284" s="35"/>
      <c r="E284" s="35"/>
      <c r="F284" s="35"/>
      <c r="G284" s="35"/>
      <c r="H284" s="35"/>
    </row>
    <row r="285" spans="1:8" ht="13">
      <c r="A285" s="114" t="s">
        <v>11332</v>
      </c>
      <c r="B285" s="113" t="s">
        <v>11281</v>
      </c>
      <c r="C285" s="151" t="s">
        <v>4114</v>
      </c>
      <c r="D285" s="35"/>
      <c r="E285" s="35"/>
      <c r="F285" s="35"/>
      <c r="G285" s="35"/>
      <c r="H285" s="35"/>
    </row>
    <row r="286" spans="1:8" ht="13">
      <c r="A286" s="114" t="s">
        <v>11333</v>
      </c>
      <c r="B286" s="113" t="s">
        <v>9347</v>
      </c>
      <c r="C286" s="151" t="s">
        <v>229</v>
      </c>
      <c r="D286" s="35"/>
      <c r="E286" s="35"/>
      <c r="F286" s="35"/>
      <c r="G286" s="35"/>
      <c r="H286" s="35"/>
    </row>
    <row r="287" spans="1:8" ht="13">
      <c r="A287" s="114" t="s">
        <v>11334</v>
      </c>
      <c r="B287" s="113" t="s">
        <v>5062</v>
      </c>
      <c r="C287" s="151" t="s">
        <v>317</v>
      </c>
      <c r="D287" s="35"/>
      <c r="E287" s="35"/>
      <c r="F287" s="35"/>
      <c r="G287" s="35"/>
      <c r="H287" s="35"/>
    </row>
    <row r="288" spans="1:8" ht="13">
      <c r="A288" s="114" t="s">
        <v>11335</v>
      </c>
      <c r="B288" s="113" t="s">
        <v>5063</v>
      </c>
      <c r="C288" s="151" t="s">
        <v>317</v>
      </c>
      <c r="D288" s="35"/>
      <c r="E288" s="35"/>
      <c r="F288" s="35"/>
      <c r="G288" s="35"/>
      <c r="H288" s="3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7000-000000000000}"/>
    <hyperlink ref="B6" r:id="rId2" xr:uid="{00000000-0004-0000-7000-000001000000}"/>
    <hyperlink ref="B7" r:id="rId3" xr:uid="{00000000-0004-0000-7000-000002000000}"/>
    <hyperlink ref="B8" r:id="rId4" xr:uid="{00000000-0004-0000-7000-000003000000}"/>
    <hyperlink ref="B9" r:id="rId5" xr:uid="{00000000-0004-0000-7000-000004000000}"/>
    <hyperlink ref="B10" r:id="rId6" xr:uid="{00000000-0004-0000-7000-000005000000}"/>
    <hyperlink ref="B11" r:id="rId7" xr:uid="{00000000-0004-0000-7000-000006000000}"/>
    <hyperlink ref="B12" r:id="rId8" xr:uid="{00000000-0004-0000-7000-000007000000}"/>
    <hyperlink ref="B13" r:id="rId9" xr:uid="{00000000-0004-0000-7000-000008000000}"/>
    <hyperlink ref="B14" r:id="rId10" xr:uid="{00000000-0004-0000-7000-000009000000}"/>
    <hyperlink ref="B15" r:id="rId11" xr:uid="{00000000-0004-0000-7000-00000A000000}"/>
    <hyperlink ref="B16" r:id="rId12" xr:uid="{00000000-0004-0000-7000-00000B000000}"/>
    <hyperlink ref="B17" r:id="rId13" xr:uid="{00000000-0004-0000-7000-00000C000000}"/>
    <hyperlink ref="B18" r:id="rId14" xr:uid="{00000000-0004-0000-7000-00000D000000}"/>
    <hyperlink ref="B19" r:id="rId15" xr:uid="{00000000-0004-0000-7000-00000E000000}"/>
    <hyperlink ref="B20" r:id="rId16" xr:uid="{00000000-0004-0000-7000-00000F000000}"/>
    <hyperlink ref="B21" r:id="rId17" xr:uid="{00000000-0004-0000-7000-000010000000}"/>
    <hyperlink ref="B22" r:id="rId18" xr:uid="{00000000-0004-0000-7000-000011000000}"/>
    <hyperlink ref="B23" r:id="rId19" xr:uid="{00000000-0004-0000-7000-000012000000}"/>
    <hyperlink ref="B24" r:id="rId20" xr:uid="{00000000-0004-0000-7000-000013000000}"/>
    <hyperlink ref="B25" r:id="rId21" xr:uid="{00000000-0004-0000-7000-000014000000}"/>
    <hyperlink ref="B26" r:id="rId22" xr:uid="{00000000-0004-0000-7000-000015000000}"/>
    <hyperlink ref="B27" r:id="rId23" xr:uid="{00000000-0004-0000-7000-000016000000}"/>
    <hyperlink ref="B28" r:id="rId24" xr:uid="{00000000-0004-0000-7000-000017000000}"/>
    <hyperlink ref="B29" r:id="rId25" xr:uid="{00000000-0004-0000-7000-000018000000}"/>
    <hyperlink ref="B30" r:id="rId26" xr:uid="{00000000-0004-0000-7000-000019000000}"/>
    <hyperlink ref="B31" r:id="rId27" xr:uid="{00000000-0004-0000-7000-00001A000000}"/>
    <hyperlink ref="B32" r:id="rId28" xr:uid="{00000000-0004-0000-7000-00001B000000}"/>
    <hyperlink ref="B33" r:id="rId29" xr:uid="{00000000-0004-0000-7000-00001C000000}"/>
    <hyperlink ref="B34" r:id="rId30" xr:uid="{00000000-0004-0000-7000-00001D000000}"/>
    <hyperlink ref="B35" r:id="rId31" xr:uid="{00000000-0004-0000-7000-00001E000000}"/>
    <hyperlink ref="B36" r:id="rId32" xr:uid="{00000000-0004-0000-7000-00001F000000}"/>
    <hyperlink ref="B37" r:id="rId33" xr:uid="{00000000-0004-0000-7000-000020000000}"/>
    <hyperlink ref="B38" r:id="rId34" xr:uid="{00000000-0004-0000-7000-000021000000}"/>
    <hyperlink ref="B39" r:id="rId35" xr:uid="{00000000-0004-0000-7000-000022000000}"/>
    <hyperlink ref="B40" r:id="rId36" xr:uid="{00000000-0004-0000-7000-000023000000}"/>
    <hyperlink ref="B41" r:id="rId37" xr:uid="{00000000-0004-0000-7000-000024000000}"/>
    <hyperlink ref="B42" r:id="rId38" xr:uid="{00000000-0004-0000-7000-000025000000}"/>
    <hyperlink ref="B43" r:id="rId39" xr:uid="{00000000-0004-0000-7000-000026000000}"/>
    <hyperlink ref="B44" r:id="rId40" xr:uid="{00000000-0004-0000-7000-000027000000}"/>
    <hyperlink ref="B45" r:id="rId41" xr:uid="{00000000-0004-0000-7000-000028000000}"/>
    <hyperlink ref="B46" r:id="rId42" xr:uid="{00000000-0004-0000-7000-000029000000}"/>
    <hyperlink ref="B47" r:id="rId43" xr:uid="{00000000-0004-0000-7000-00002A000000}"/>
    <hyperlink ref="B48" r:id="rId44" xr:uid="{00000000-0004-0000-7000-00002B000000}"/>
    <hyperlink ref="B49" r:id="rId45" xr:uid="{00000000-0004-0000-7000-00002C000000}"/>
    <hyperlink ref="B50" r:id="rId46" xr:uid="{00000000-0004-0000-7000-00002D000000}"/>
    <hyperlink ref="B51" r:id="rId47" xr:uid="{00000000-0004-0000-7000-00002E000000}"/>
    <hyperlink ref="B52" r:id="rId48" xr:uid="{00000000-0004-0000-7000-00002F000000}"/>
    <hyperlink ref="B53" r:id="rId49" xr:uid="{00000000-0004-0000-7000-000030000000}"/>
    <hyperlink ref="B54" r:id="rId50" xr:uid="{00000000-0004-0000-7000-000031000000}"/>
    <hyperlink ref="B55" r:id="rId51" xr:uid="{00000000-0004-0000-7000-000032000000}"/>
    <hyperlink ref="B56" r:id="rId52" xr:uid="{00000000-0004-0000-7000-000033000000}"/>
    <hyperlink ref="B57" r:id="rId53" xr:uid="{00000000-0004-0000-7000-000034000000}"/>
    <hyperlink ref="B58" r:id="rId54" xr:uid="{00000000-0004-0000-7000-000035000000}"/>
    <hyperlink ref="B59" r:id="rId55" xr:uid="{00000000-0004-0000-7000-000036000000}"/>
    <hyperlink ref="B60" r:id="rId56" xr:uid="{00000000-0004-0000-7000-000037000000}"/>
    <hyperlink ref="B61" r:id="rId57" xr:uid="{00000000-0004-0000-7000-000038000000}"/>
    <hyperlink ref="B62" r:id="rId58" xr:uid="{00000000-0004-0000-7000-000039000000}"/>
    <hyperlink ref="B63" r:id="rId59" xr:uid="{00000000-0004-0000-7000-00003A000000}"/>
    <hyperlink ref="B64" r:id="rId60" xr:uid="{00000000-0004-0000-7000-00003B000000}"/>
    <hyperlink ref="B65" r:id="rId61" xr:uid="{00000000-0004-0000-7000-00003C000000}"/>
    <hyperlink ref="B66" r:id="rId62" xr:uid="{00000000-0004-0000-7000-00003D000000}"/>
    <hyperlink ref="B67" r:id="rId63" xr:uid="{00000000-0004-0000-7000-00003E000000}"/>
    <hyperlink ref="B68" r:id="rId64" xr:uid="{00000000-0004-0000-7000-00003F000000}"/>
    <hyperlink ref="B69" r:id="rId65" xr:uid="{00000000-0004-0000-7000-000040000000}"/>
    <hyperlink ref="B70" r:id="rId66" xr:uid="{00000000-0004-0000-7000-000041000000}"/>
    <hyperlink ref="B71" r:id="rId67" xr:uid="{00000000-0004-0000-7000-000042000000}"/>
    <hyperlink ref="B72" r:id="rId68" xr:uid="{00000000-0004-0000-7000-000043000000}"/>
    <hyperlink ref="B73" r:id="rId69" xr:uid="{00000000-0004-0000-7000-000044000000}"/>
    <hyperlink ref="B74" r:id="rId70" xr:uid="{00000000-0004-0000-7000-000045000000}"/>
    <hyperlink ref="B75" r:id="rId71" xr:uid="{00000000-0004-0000-7000-000046000000}"/>
    <hyperlink ref="B76" r:id="rId72" xr:uid="{00000000-0004-0000-7000-000047000000}"/>
    <hyperlink ref="B77" r:id="rId73" xr:uid="{00000000-0004-0000-7000-000048000000}"/>
    <hyperlink ref="B78" r:id="rId74" xr:uid="{00000000-0004-0000-7000-000049000000}"/>
    <hyperlink ref="B79" r:id="rId75" xr:uid="{00000000-0004-0000-7000-00004A000000}"/>
    <hyperlink ref="B80" r:id="rId76" xr:uid="{00000000-0004-0000-7000-00004B000000}"/>
    <hyperlink ref="B81" r:id="rId77" xr:uid="{00000000-0004-0000-7000-00004C000000}"/>
    <hyperlink ref="B82" r:id="rId78" xr:uid="{00000000-0004-0000-7000-00004D000000}"/>
    <hyperlink ref="B83" r:id="rId79" xr:uid="{00000000-0004-0000-7000-00004E000000}"/>
    <hyperlink ref="B84" r:id="rId80" xr:uid="{00000000-0004-0000-7000-00004F000000}"/>
    <hyperlink ref="B85" r:id="rId81" xr:uid="{00000000-0004-0000-7000-000050000000}"/>
    <hyperlink ref="B86" r:id="rId82" xr:uid="{00000000-0004-0000-7000-000051000000}"/>
    <hyperlink ref="B87" r:id="rId83" xr:uid="{00000000-0004-0000-7000-000052000000}"/>
    <hyperlink ref="B88" r:id="rId84" xr:uid="{00000000-0004-0000-7000-000053000000}"/>
    <hyperlink ref="B89" r:id="rId85" xr:uid="{00000000-0004-0000-7000-000054000000}"/>
    <hyperlink ref="B90" r:id="rId86" xr:uid="{00000000-0004-0000-7000-000055000000}"/>
    <hyperlink ref="B91" r:id="rId87" xr:uid="{00000000-0004-0000-7000-000056000000}"/>
    <hyperlink ref="B92" r:id="rId88" xr:uid="{00000000-0004-0000-7000-000057000000}"/>
    <hyperlink ref="B93" r:id="rId89" xr:uid="{00000000-0004-0000-7000-000058000000}"/>
    <hyperlink ref="B94" r:id="rId90" xr:uid="{00000000-0004-0000-7000-000059000000}"/>
    <hyperlink ref="B95" r:id="rId91" xr:uid="{00000000-0004-0000-7000-00005A000000}"/>
    <hyperlink ref="B96" r:id="rId92" xr:uid="{00000000-0004-0000-7000-00005B000000}"/>
    <hyperlink ref="B97" r:id="rId93" xr:uid="{00000000-0004-0000-7000-00005C000000}"/>
    <hyperlink ref="B98" r:id="rId94" xr:uid="{00000000-0004-0000-7000-00005D000000}"/>
    <hyperlink ref="B99" r:id="rId95" xr:uid="{00000000-0004-0000-7000-00005E000000}"/>
    <hyperlink ref="B100" r:id="rId96" xr:uid="{00000000-0004-0000-7000-00005F000000}"/>
    <hyperlink ref="B101" r:id="rId97" xr:uid="{00000000-0004-0000-7000-000060000000}"/>
    <hyperlink ref="B102" r:id="rId98" xr:uid="{00000000-0004-0000-7000-000061000000}"/>
    <hyperlink ref="B103" r:id="rId99" xr:uid="{00000000-0004-0000-7000-000062000000}"/>
    <hyperlink ref="B104" r:id="rId100" xr:uid="{00000000-0004-0000-7000-000063000000}"/>
    <hyperlink ref="B105" r:id="rId101" xr:uid="{00000000-0004-0000-7000-000064000000}"/>
    <hyperlink ref="B106" r:id="rId102" xr:uid="{00000000-0004-0000-7000-000065000000}"/>
    <hyperlink ref="B107" r:id="rId103" xr:uid="{00000000-0004-0000-7000-000066000000}"/>
    <hyperlink ref="B108" r:id="rId104" xr:uid="{00000000-0004-0000-7000-000067000000}"/>
    <hyperlink ref="B109" r:id="rId105" xr:uid="{00000000-0004-0000-7000-000068000000}"/>
    <hyperlink ref="B110" r:id="rId106" xr:uid="{00000000-0004-0000-7000-000069000000}"/>
    <hyperlink ref="B111" r:id="rId107" xr:uid="{00000000-0004-0000-7000-00006A000000}"/>
    <hyperlink ref="B112" r:id="rId108" xr:uid="{00000000-0004-0000-7000-00006B000000}"/>
    <hyperlink ref="B113" r:id="rId109" xr:uid="{00000000-0004-0000-7000-00006C000000}"/>
    <hyperlink ref="B114" r:id="rId110" xr:uid="{00000000-0004-0000-7000-00006D000000}"/>
    <hyperlink ref="B115" r:id="rId111" xr:uid="{00000000-0004-0000-7000-00006E000000}"/>
    <hyperlink ref="B116" r:id="rId112" xr:uid="{00000000-0004-0000-7000-00006F000000}"/>
    <hyperlink ref="B117" r:id="rId113" xr:uid="{00000000-0004-0000-7000-000070000000}"/>
    <hyperlink ref="B118" r:id="rId114" xr:uid="{00000000-0004-0000-7000-000071000000}"/>
    <hyperlink ref="B119" r:id="rId115" xr:uid="{00000000-0004-0000-7000-000072000000}"/>
    <hyperlink ref="B120" r:id="rId116" xr:uid="{00000000-0004-0000-7000-000073000000}"/>
    <hyperlink ref="B121" r:id="rId117" xr:uid="{00000000-0004-0000-7000-000074000000}"/>
    <hyperlink ref="B122" r:id="rId118" xr:uid="{00000000-0004-0000-7000-000075000000}"/>
    <hyperlink ref="B123" r:id="rId119" xr:uid="{00000000-0004-0000-7000-000076000000}"/>
    <hyperlink ref="B124" r:id="rId120" xr:uid="{00000000-0004-0000-7000-000077000000}"/>
    <hyperlink ref="B125" r:id="rId121" xr:uid="{00000000-0004-0000-7000-000078000000}"/>
    <hyperlink ref="B126" r:id="rId122" xr:uid="{00000000-0004-0000-7000-000079000000}"/>
    <hyperlink ref="B127" r:id="rId123" xr:uid="{00000000-0004-0000-7000-00007A000000}"/>
    <hyperlink ref="B128" r:id="rId124" xr:uid="{00000000-0004-0000-7000-00007B000000}"/>
    <hyperlink ref="B129" r:id="rId125" xr:uid="{00000000-0004-0000-7000-00007C000000}"/>
    <hyperlink ref="B130" r:id="rId126" xr:uid="{00000000-0004-0000-7000-00007D000000}"/>
    <hyperlink ref="B131" r:id="rId127" xr:uid="{00000000-0004-0000-7000-00007E000000}"/>
    <hyperlink ref="B132" r:id="rId128" xr:uid="{00000000-0004-0000-7000-00007F000000}"/>
    <hyperlink ref="B133" r:id="rId129" xr:uid="{00000000-0004-0000-7000-000080000000}"/>
    <hyperlink ref="B134" r:id="rId130" xr:uid="{00000000-0004-0000-7000-000081000000}"/>
    <hyperlink ref="B135" r:id="rId131" xr:uid="{00000000-0004-0000-7000-000082000000}"/>
    <hyperlink ref="B136" r:id="rId132" xr:uid="{00000000-0004-0000-7000-000083000000}"/>
    <hyperlink ref="B137" r:id="rId133" xr:uid="{00000000-0004-0000-7000-000084000000}"/>
    <hyperlink ref="B138" r:id="rId134" xr:uid="{00000000-0004-0000-7000-000085000000}"/>
    <hyperlink ref="B139" r:id="rId135" xr:uid="{00000000-0004-0000-7000-000086000000}"/>
    <hyperlink ref="B140" r:id="rId136" xr:uid="{00000000-0004-0000-7000-000087000000}"/>
    <hyperlink ref="B141" r:id="rId137" xr:uid="{00000000-0004-0000-7000-000088000000}"/>
    <hyperlink ref="B142" r:id="rId138" xr:uid="{00000000-0004-0000-7000-000089000000}"/>
    <hyperlink ref="B143" r:id="rId139" xr:uid="{00000000-0004-0000-7000-00008A000000}"/>
    <hyperlink ref="B144" r:id="rId140" xr:uid="{00000000-0004-0000-7000-00008B000000}"/>
    <hyperlink ref="B145" r:id="rId141" xr:uid="{00000000-0004-0000-7000-00008C000000}"/>
    <hyperlink ref="B146" r:id="rId142" xr:uid="{00000000-0004-0000-7000-00008D000000}"/>
    <hyperlink ref="B147" r:id="rId143" xr:uid="{00000000-0004-0000-7000-00008E000000}"/>
    <hyperlink ref="B148" r:id="rId144" xr:uid="{00000000-0004-0000-7000-00008F000000}"/>
    <hyperlink ref="B149" r:id="rId145" xr:uid="{00000000-0004-0000-7000-000090000000}"/>
    <hyperlink ref="B150" r:id="rId146" xr:uid="{00000000-0004-0000-7000-000091000000}"/>
    <hyperlink ref="B151" r:id="rId147" xr:uid="{00000000-0004-0000-7000-000092000000}"/>
    <hyperlink ref="B152" r:id="rId148" xr:uid="{00000000-0004-0000-7000-000093000000}"/>
    <hyperlink ref="B153" r:id="rId149" xr:uid="{00000000-0004-0000-7000-000094000000}"/>
    <hyperlink ref="B154" r:id="rId150" xr:uid="{00000000-0004-0000-7000-000095000000}"/>
    <hyperlink ref="B155" r:id="rId151" xr:uid="{00000000-0004-0000-7000-000096000000}"/>
    <hyperlink ref="B156" r:id="rId152" xr:uid="{00000000-0004-0000-7000-000097000000}"/>
    <hyperlink ref="B157" r:id="rId153" xr:uid="{00000000-0004-0000-7000-000098000000}"/>
    <hyperlink ref="B158" r:id="rId154" xr:uid="{00000000-0004-0000-7000-000099000000}"/>
    <hyperlink ref="B159" r:id="rId155" xr:uid="{00000000-0004-0000-7000-00009A000000}"/>
    <hyperlink ref="B160" r:id="rId156" xr:uid="{00000000-0004-0000-7000-00009B000000}"/>
    <hyperlink ref="B161" r:id="rId157" xr:uid="{00000000-0004-0000-7000-00009C000000}"/>
    <hyperlink ref="B162" r:id="rId158" xr:uid="{00000000-0004-0000-7000-00009D000000}"/>
    <hyperlink ref="B163" r:id="rId159" xr:uid="{00000000-0004-0000-7000-00009E000000}"/>
    <hyperlink ref="B164" r:id="rId160" xr:uid="{00000000-0004-0000-7000-00009F000000}"/>
    <hyperlink ref="B165" r:id="rId161" xr:uid="{00000000-0004-0000-7000-0000A0000000}"/>
    <hyperlink ref="B166" r:id="rId162" xr:uid="{00000000-0004-0000-7000-0000A1000000}"/>
    <hyperlink ref="B167" r:id="rId163" xr:uid="{00000000-0004-0000-7000-0000A2000000}"/>
    <hyperlink ref="B168" r:id="rId164" xr:uid="{00000000-0004-0000-7000-0000A3000000}"/>
    <hyperlink ref="B169" r:id="rId165" xr:uid="{00000000-0004-0000-7000-0000A4000000}"/>
    <hyperlink ref="B170" r:id="rId166" xr:uid="{00000000-0004-0000-7000-0000A5000000}"/>
    <hyperlink ref="B171" r:id="rId167" xr:uid="{00000000-0004-0000-7000-0000A6000000}"/>
    <hyperlink ref="B172" r:id="rId168" xr:uid="{00000000-0004-0000-7000-0000A7000000}"/>
    <hyperlink ref="B173" r:id="rId169" xr:uid="{00000000-0004-0000-7000-0000A8000000}"/>
    <hyperlink ref="B174" r:id="rId170" xr:uid="{00000000-0004-0000-7000-0000A9000000}"/>
    <hyperlink ref="B175" r:id="rId171" xr:uid="{00000000-0004-0000-7000-0000AA000000}"/>
    <hyperlink ref="B176" r:id="rId172" xr:uid="{00000000-0004-0000-7000-0000AB000000}"/>
    <hyperlink ref="B177" r:id="rId173" xr:uid="{00000000-0004-0000-7000-0000AC000000}"/>
    <hyperlink ref="B178" r:id="rId174" xr:uid="{00000000-0004-0000-7000-0000AD000000}"/>
    <hyperlink ref="B179" r:id="rId175" xr:uid="{00000000-0004-0000-7000-0000AE000000}"/>
    <hyperlink ref="B180" r:id="rId176" xr:uid="{00000000-0004-0000-7000-0000AF000000}"/>
    <hyperlink ref="B181" r:id="rId177" xr:uid="{00000000-0004-0000-7000-0000B0000000}"/>
    <hyperlink ref="B182" r:id="rId178" xr:uid="{00000000-0004-0000-7000-0000B1000000}"/>
    <hyperlink ref="B183" r:id="rId179" xr:uid="{00000000-0004-0000-7000-0000B2000000}"/>
    <hyperlink ref="B184" r:id="rId180" xr:uid="{00000000-0004-0000-7000-0000B3000000}"/>
    <hyperlink ref="B185" r:id="rId181" xr:uid="{00000000-0004-0000-7000-0000B4000000}"/>
    <hyperlink ref="B186" r:id="rId182" xr:uid="{00000000-0004-0000-7000-0000B5000000}"/>
    <hyperlink ref="B187" r:id="rId183" xr:uid="{00000000-0004-0000-7000-0000B6000000}"/>
    <hyperlink ref="B188" r:id="rId184" xr:uid="{00000000-0004-0000-7000-0000B7000000}"/>
    <hyperlink ref="B189" r:id="rId185" xr:uid="{00000000-0004-0000-7000-0000B8000000}"/>
    <hyperlink ref="B190" r:id="rId186" xr:uid="{00000000-0004-0000-7000-0000B9000000}"/>
    <hyperlink ref="B191" r:id="rId187" xr:uid="{00000000-0004-0000-7000-0000BA000000}"/>
    <hyperlink ref="B192" r:id="rId188" xr:uid="{00000000-0004-0000-7000-0000BB000000}"/>
    <hyperlink ref="B193" r:id="rId189" xr:uid="{00000000-0004-0000-7000-0000BC000000}"/>
    <hyperlink ref="B194" r:id="rId190" xr:uid="{00000000-0004-0000-7000-0000BD000000}"/>
    <hyperlink ref="B195" r:id="rId191" xr:uid="{00000000-0004-0000-7000-0000BE000000}"/>
    <hyperlink ref="B196" r:id="rId192" xr:uid="{00000000-0004-0000-7000-0000BF000000}"/>
    <hyperlink ref="B197" r:id="rId193" xr:uid="{00000000-0004-0000-7000-0000C0000000}"/>
    <hyperlink ref="B198" r:id="rId194" xr:uid="{00000000-0004-0000-7000-0000C1000000}"/>
    <hyperlink ref="B199" r:id="rId195" xr:uid="{00000000-0004-0000-7000-0000C2000000}"/>
    <hyperlink ref="B200" r:id="rId196" xr:uid="{00000000-0004-0000-7000-0000C3000000}"/>
    <hyperlink ref="B201" r:id="rId197" xr:uid="{00000000-0004-0000-7000-0000C4000000}"/>
    <hyperlink ref="B202" r:id="rId198" xr:uid="{00000000-0004-0000-7000-0000C5000000}"/>
    <hyperlink ref="B203" r:id="rId199" xr:uid="{00000000-0004-0000-7000-0000C6000000}"/>
    <hyperlink ref="B204" r:id="rId200" xr:uid="{00000000-0004-0000-7000-0000C7000000}"/>
    <hyperlink ref="B205" r:id="rId201" xr:uid="{00000000-0004-0000-7000-0000C8000000}"/>
    <hyperlink ref="B206" r:id="rId202" xr:uid="{00000000-0004-0000-7000-0000C9000000}"/>
    <hyperlink ref="B207" r:id="rId203" xr:uid="{00000000-0004-0000-7000-0000CA000000}"/>
    <hyperlink ref="B208" r:id="rId204" xr:uid="{00000000-0004-0000-7000-0000CB000000}"/>
    <hyperlink ref="B209" r:id="rId205" xr:uid="{00000000-0004-0000-7000-0000CC000000}"/>
    <hyperlink ref="B210" r:id="rId206" xr:uid="{00000000-0004-0000-7000-0000CD000000}"/>
    <hyperlink ref="B211" r:id="rId207" xr:uid="{00000000-0004-0000-7000-0000CE000000}"/>
    <hyperlink ref="B212" r:id="rId208" xr:uid="{00000000-0004-0000-7000-0000CF000000}"/>
    <hyperlink ref="B213" r:id="rId209" xr:uid="{00000000-0004-0000-7000-0000D0000000}"/>
    <hyperlink ref="B214" r:id="rId210" xr:uid="{00000000-0004-0000-7000-0000D1000000}"/>
    <hyperlink ref="B215" r:id="rId211" xr:uid="{00000000-0004-0000-7000-0000D2000000}"/>
    <hyperlink ref="B216" r:id="rId212" xr:uid="{00000000-0004-0000-7000-0000D3000000}"/>
    <hyperlink ref="B217" r:id="rId213" xr:uid="{00000000-0004-0000-7000-0000D4000000}"/>
    <hyperlink ref="B218" r:id="rId214" xr:uid="{00000000-0004-0000-7000-0000D5000000}"/>
    <hyperlink ref="B219" r:id="rId215" xr:uid="{00000000-0004-0000-7000-0000D6000000}"/>
    <hyperlink ref="B220" r:id="rId216" xr:uid="{00000000-0004-0000-7000-0000D7000000}"/>
    <hyperlink ref="B221" r:id="rId217" xr:uid="{00000000-0004-0000-7000-0000D8000000}"/>
    <hyperlink ref="B222" r:id="rId218" xr:uid="{00000000-0004-0000-7000-0000D9000000}"/>
    <hyperlink ref="B223" r:id="rId219" xr:uid="{00000000-0004-0000-7000-0000DA000000}"/>
    <hyperlink ref="B224" r:id="rId220" xr:uid="{00000000-0004-0000-7000-0000DB000000}"/>
    <hyperlink ref="B225" r:id="rId221" xr:uid="{00000000-0004-0000-7000-0000DC000000}"/>
    <hyperlink ref="B226" r:id="rId222" xr:uid="{00000000-0004-0000-7000-0000DD000000}"/>
    <hyperlink ref="B227" r:id="rId223" xr:uid="{00000000-0004-0000-7000-0000DE000000}"/>
    <hyperlink ref="B228" r:id="rId224" xr:uid="{00000000-0004-0000-7000-0000DF000000}"/>
    <hyperlink ref="B229" r:id="rId225" xr:uid="{00000000-0004-0000-7000-0000E0000000}"/>
    <hyperlink ref="B230" r:id="rId226" xr:uid="{00000000-0004-0000-7000-0000E1000000}"/>
    <hyperlink ref="B231" r:id="rId227" xr:uid="{00000000-0004-0000-7000-0000E2000000}"/>
    <hyperlink ref="B232" r:id="rId228" xr:uid="{00000000-0004-0000-7000-0000E3000000}"/>
    <hyperlink ref="B233" r:id="rId229" xr:uid="{00000000-0004-0000-7000-0000E4000000}"/>
    <hyperlink ref="B234" r:id="rId230" xr:uid="{00000000-0004-0000-7000-0000E5000000}"/>
    <hyperlink ref="B235" r:id="rId231" xr:uid="{00000000-0004-0000-7000-0000E6000000}"/>
    <hyperlink ref="B236" r:id="rId232" xr:uid="{00000000-0004-0000-7000-0000E7000000}"/>
    <hyperlink ref="B237" r:id="rId233" xr:uid="{00000000-0004-0000-7000-0000E8000000}"/>
    <hyperlink ref="B238" r:id="rId234" xr:uid="{00000000-0004-0000-7000-0000E9000000}"/>
    <hyperlink ref="B239" r:id="rId235" xr:uid="{00000000-0004-0000-7000-0000EA000000}"/>
    <hyperlink ref="B240" r:id="rId236" xr:uid="{00000000-0004-0000-7000-0000EB000000}"/>
    <hyperlink ref="B241" r:id="rId237" xr:uid="{00000000-0004-0000-7000-0000EC000000}"/>
    <hyperlink ref="B242" r:id="rId238" xr:uid="{00000000-0004-0000-7000-0000ED000000}"/>
    <hyperlink ref="B243" r:id="rId239" xr:uid="{00000000-0004-0000-7000-0000EE000000}"/>
    <hyperlink ref="B244" r:id="rId240" xr:uid="{00000000-0004-0000-7000-0000EF000000}"/>
    <hyperlink ref="B245" r:id="rId241" xr:uid="{00000000-0004-0000-7000-0000F0000000}"/>
    <hyperlink ref="B246" r:id="rId242" xr:uid="{00000000-0004-0000-7000-0000F1000000}"/>
    <hyperlink ref="B247" r:id="rId243" xr:uid="{00000000-0004-0000-7000-0000F2000000}"/>
    <hyperlink ref="B248" r:id="rId244" xr:uid="{00000000-0004-0000-7000-0000F3000000}"/>
    <hyperlink ref="B249" r:id="rId245" xr:uid="{00000000-0004-0000-7000-0000F4000000}"/>
    <hyperlink ref="B250" r:id="rId246" xr:uid="{00000000-0004-0000-7000-0000F5000000}"/>
    <hyperlink ref="B251" r:id="rId247" xr:uid="{00000000-0004-0000-7000-0000F6000000}"/>
    <hyperlink ref="B252" r:id="rId248" xr:uid="{00000000-0004-0000-7000-0000F7000000}"/>
    <hyperlink ref="B253" r:id="rId249" xr:uid="{00000000-0004-0000-7000-0000F8000000}"/>
    <hyperlink ref="B254" r:id="rId250" xr:uid="{00000000-0004-0000-7000-0000F9000000}"/>
    <hyperlink ref="B255" r:id="rId251" xr:uid="{00000000-0004-0000-7000-0000FA000000}"/>
    <hyperlink ref="B256" r:id="rId252" xr:uid="{00000000-0004-0000-7000-0000FB000000}"/>
    <hyperlink ref="B257" r:id="rId253" xr:uid="{00000000-0004-0000-7000-0000FC000000}"/>
    <hyperlink ref="B258" r:id="rId254" xr:uid="{00000000-0004-0000-7000-0000FD000000}"/>
    <hyperlink ref="B259" r:id="rId255" xr:uid="{00000000-0004-0000-7000-0000FE000000}"/>
    <hyperlink ref="B260" r:id="rId256" xr:uid="{00000000-0004-0000-7000-0000FF000000}"/>
    <hyperlink ref="B261" r:id="rId257" xr:uid="{00000000-0004-0000-7000-000000010000}"/>
    <hyperlink ref="B262" r:id="rId258" xr:uid="{00000000-0004-0000-7000-000001010000}"/>
    <hyperlink ref="B263" r:id="rId259" xr:uid="{00000000-0004-0000-7000-000002010000}"/>
    <hyperlink ref="B264" r:id="rId260" xr:uid="{00000000-0004-0000-7000-000003010000}"/>
    <hyperlink ref="B265" r:id="rId261" xr:uid="{00000000-0004-0000-7000-000004010000}"/>
    <hyperlink ref="B266" r:id="rId262" xr:uid="{00000000-0004-0000-7000-000005010000}"/>
    <hyperlink ref="B267" r:id="rId263" xr:uid="{00000000-0004-0000-7000-000006010000}"/>
    <hyperlink ref="B268" r:id="rId264" xr:uid="{00000000-0004-0000-7000-000007010000}"/>
    <hyperlink ref="B269" r:id="rId265" xr:uid="{00000000-0004-0000-7000-000008010000}"/>
    <hyperlink ref="B270" r:id="rId266" xr:uid="{00000000-0004-0000-7000-000009010000}"/>
    <hyperlink ref="B271" r:id="rId267" xr:uid="{00000000-0004-0000-7000-00000A010000}"/>
    <hyperlink ref="B272" r:id="rId268" xr:uid="{00000000-0004-0000-7000-00000B010000}"/>
    <hyperlink ref="B273" r:id="rId269" xr:uid="{00000000-0004-0000-7000-00000C010000}"/>
    <hyperlink ref="B274" r:id="rId270" xr:uid="{00000000-0004-0000-7000-00000D010000}"/>
    <hyperlink ref="B275" r:id="rId271" xr:uid="{00000000-0004-0000-7000-00000E010000}"/>
    <hyperlink ref="B276" r:id="rId272" xr:uid="{00000000-0004-0000-7000-00000F010000}"/>
    <hyperlink ref="B277" r:id="rId273" xr:uid="{00000000-0004-0000-7000-000010010000}"/>
    <hyperlink ref="B278" r:id="rId274" xr:uid="{00000000-0004-0000-7000-000011010000}"/>
    <hyperlink ref="B279" r:id="rId275" xr:uid="{00000000-0004-0000-7000-000012010000}"/>
    <hyperlink ref="B280" r:id="rId276" xr:uid="{00000000-0004-0000-7000-000013010000}"/>
    <hyperlink ref="B281" r:id="rId277" xr:uid="{00000000-0004-0000-7000-000014010000}"/>
    <hyperlink ref="B282" r:id="rId278" xr:uid="{00000000-0004-0000-7000-000015010000}"/>
    <hyperlink ref="B283" r:id="rId279" xr:uid="{00000000-0004-0000-7000-000016010000}"/>
    <hyperlink ref="B284" r:id="rId280" xr:uid="{00000000-0004-0000-7000-000017010000}"/>
    <hyperlink ref="B285" r:id="rId281" xr:uid="{00000000-0004-0000-7000-000018010000}"/>
    <hyperlink ref="B286" r:id="rId282" xr:uid="{00000000-0004-0000-7000-000019010000}"/>
    <hyperlink ref="B287" r:id="rId283" xr:uid="{00000000-0004-0000-7000-00001A010000}"/>
    <hyperlink ref="B288" r:id="rId284" xr:uid="{00000000-0004-0000-7000-00001B01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14">
    <outlinePr summaryBelow="0" summaryRight="0"/>
  </sheetPr>
  <dimension ref="A1:J1000"/>
  <sheetViews>
    <sheetView workbookViewId="0">
      <pane ySplit="4" topLeftCell="A5" activePane="bottomLeft" state="frozen"/>
      <selection pane="bottomLeft" activeCell="B6" sqref="B6"/>
    </sheetView>
  </sheetViews>
  <sheetFormatPr baseColWidth="10" defaultColWidth="12.6640625" defaultRowHeight="15.75" customHeight="1"/>
  <cols>
    <col min="1" max="1" width="15.5" customWidth="1"/>
    <col min="2" max="2" width="21.5" customWidth="1"/>
    <col min="4" max="4" width="14" customWidth="1"/>
    <col min="5" max="5" width="15.1640625" customWidth="1"/>
  </cols>
  <sheetData>
    <row r="1" spans="1:10" ht="15.75" customHeight="1">
      <c r="A1" s="131" t="s">
        <v>126</v>
      </c>
      <c r="B1" s="88"/>
      <c r="C1" s="112"/>
      <c r="D1" s="81" t="s">
        <v>181</v>
      </c>
      <c r="E1" s="87"/>
      <c r="F1" s="87"/>
      <c r="G1" s="87"/>
      <c r="H1" s="88"/>
      <c r="I1" s="88"/>
    </row>
    <row r="2" spans="1:10" ht="15.75" customHeight="1">
      <c r="A2" s="88" t="s">
        <v>182</v>
      </c>
      <c r="B2" s="139">
        <v>44617</v>
      </c>
      <c r="C2" s="112"/>
      <c r="D2" s="82">
        <f>SUM(D5:G190)</f>
        <v>0</v>
      </c>
      <c r="E2" s="87"/>
      <c r="F2" s="87"/>
      <c r="G2" s="87"/>
      <c r="H2" s="88"/>
      <c r="I2" s="88"/>
    </row>
    <row r="3" spans="1:10" ht="15.75" customHeight="1">
      <c r="A3" s="88"/>
      <c r="B3" s="88"/>
      <c r="C3" s="112"/>
      <c r="D3" s="87"/>
      <c r="E3" s="87"/>
      <c r="F3" s="87"/>
      <c r="G3" s="87"/>
      <c r="H3" s="88"/>
      <c r="I3" s="88"/>
    </row>
    <row r="4" spans="1:10" ht="15.75" customHeight="1">
      <c r="A4" s="135" t="s">
        <v>183</v>
      </c>
      <c r="B4" s="135" t="s">
        <v>184</v>
      </c>
      <c r="C4" s="135" t="s">
        <v>185</v>
      </c>
      <c r="D4" s="83" t="s">
        <v>186</v>
      </c>
      <c r="E4" s="84" t="s">
        <v>187</v>
      </c>
      <c r="F4" s="84" t="s">
        <v>188</v>
      </c>
      <c r="G4" s="85" t="s">
        <v>189</v>
      </c>
      <c r="H4" s="84" t="s">
        <v>190</v>
      </c>
      <c r="I4" s="85"/>
    </row>
    <row r="5" spans="1:10" ht="15.75" customHeight="1">
      <c r="A5" s="51" t="s">
        <v>11336</v>
      </c>
      <c r="B5" s="60" t="s">
        <v>348</v>
      </c>
      <c r="C5" s="51" t="s">
        <v>205</v>
      </c>
      <c r="D5" s="176"/>
      <c r="E5" s="54"/>
      <c r="F5" s="86"/>
      <c r="G5" s="87"/>
      <c r="H5" s="88"/>
      <c r="I5" s="88"/>
      <c r="J5" s="88"/>
    </row>
    <row r="6" spans="1:10" ht="15.75" customHeight="1">
      <c r="A6" s="51" t="s">
        <v>11337</v>
      </c>
      <c r="B6" s="60" t="s">
        <v>333</v>
      </c>
      <c r="C6" s="51" t="s">
        <v>205</v>
      </c>
      <c r="D6" s="176"/>
      <c r="E6" s="54"/>
      <c r="F6" s="86"/>
      <c r="G6" s="87"/>
      <c r="H6" s="88"/>
      <c r="I6" s="88"/>
      <c r="J6" s="88"/>
    </row>
    <row r="7" spans="1:10" ht="15.75" customHeight="1">
      <c r="A7" s="51" t="s">
        <v>11338</v>
      </c>
      <c r="B7" s="60" t="s">
        <v>1311</v>
      </c>
      <c r="C7" s="51" t="s">
        <v>205</v>
      </c>
      <c r="D7" s="176"/>
      <c r="E7" s="54"/>
      <c r="F7" s="86"/>
      <c r="G7" s="87"/>
      <c r="H7" s="88"/>
      <c r="I7" s="88"/>
    </row>
    <row r="8" spans="1:10" ht="15.75" customHeight="1">
      <c r="A8" s="51" t="s">
        <v>11339</v>
      </c>
      <c r="B8" s="60" t="s">
        <v>1237</v>
      </c>
      <c r="C8" s="51" t="s">
        <v>205</v>
      </c>
      <c r="D8" s="176"/>
      <c r="E8" s="54"/>
      <c r="F8" s="86"/>
      <c r="G8" s="87"/>
      <c r="H8" s="88"/>
      <c r="I8" s="88"/>
    </row>
    <row r="9" spans="1:10" ht="15.75" customHeight="1">
      <c r="A9" s="51" t="s">
        <v>11340</v>
      </c>
      <c r="B9" s="60" t="s">
        <v>1830</v>
      </c>
      <c r="C9" s="51" t="s">
        <v>205</v>
      </c>
      <c r="D9" s="176"/>
      <c r="E9" s="54"/>
      <c r="F9" s="86"/>
      <c r="G9" s="87"/>
      <c r="H9" s="88"/>
      <c r="I9" s="88"/>
    </row>
    <row r="10" spans="1:10" ht="15.75" customHeight="1">
      <c r="A10" s="51" t="s">
        <v>11341</v>
      </c>
      <c r="B10" s="60" t="s">
        <v>3016</v>
      </c>
      <c r="C10" s="51" t="s">
        <v>205</v>
      </c>
      <c r="D10" s="176"/>
      <c r="E10" s="54"/>
      <c r="F10" s="86"/>
      <c r="G10" s="87"/>
      <c r="H10" s="88"/>
      <c r="I10" s="88"/>
    </row>
    <row r="11" spans="1:10" ht="15.75" customHeight="1">
      <c r="A11" s="51" t="s">
        <v>11342</v>
      </c>
      <c r="B11" s="60" t="s">
        <v>3135</v>
      </c>
      <c r="C11" s="51" t="s">
        <v>205</v>
      </c>
      <c r="D11" s="176"/>
      <c r="E11" s="54"/>
      <c r="F11" s="86"/>
      <c r="G11" s="87"/>
      <c r="H11" s="88"/>
      <c r="I11" s="88"/>
    </row>
    <row r="12" spans="1:10" ht="15.75" customHeight="1">
      <c r="A12" s="51" t="s">
        <v>11343</v>
      </c>
      <c r="B12" s="60" t="s">
        <v>3121</v>
      </c>
      <c r="C12" s="51" t="s">
        <v>205</v>
      </c>
      <c r="D12" s="176"/>
      <c r="E12" s="54"/>
      <c r="F12" s="86"/>
      <c r="G12" s="87"/>
      <c r="H12" s="88"/>
      <c r="I12" s="88"/>
    </row>
    <row r="13" spans="1:10" ht="15.75" customHeight="1">
      <c r="A13" s="51" t="s">
        <v>11344</v>
      </c>
      <c r="B13" s="60" t="s">
        <v>6019</v>
      </c>
      <c r="C13" s="51" t="s">
        <v>205</v>
      </c>
      <c r="D13" s="176"/>
      <c r="E13" s="54"/>
      <c r="F13" s="86"/>
      <c r="G13" s="87"/>
      <c r="H13" s="88"/>
      <c r="I13" s="88"/>
    </row>
    <row r="14" spans="1:10" ht="15.75" customHeight="1">
      <c r="A14" s="51" t="s">
        <v>11345</v>
      </c>
      <c r="B14" s="60" t="s">
        <v>6020</v>
      </c>
      <c r="C14" s="51" t="s">
        <v>205</v>
      </c>
      <c r="D14" s="176"/>
      <c r="E14" s="54"/>
      <c r="F14" s="87"/>
      <c r="G14" s="87"/>
      <c r="H14" s="88"/>
      <c r="I14" s="88"/>
    </row>
    <row r="15" spans="1:10" ht="15.75" customHeight="1">
      <c r="A15" s="51" t="s">
        <v>11346</v>
      </c>
      <c r="B15" s="60" t="s">
        <v>3318</v>
      </c>
      <c r="C15" s="51" t="s">
        <v>205</v>
      </c>
      <c r="D15" s="176"/>
      <c r="E15" s="54"/>
      <c r="F15" s="86"/>
      <c r="G15" s="87"/>
      <c r="H15" s="88"/>
      <c r="I15" s="88"/>
    </row>
    <row r="16" spans="1:10" ht="15.75" customHeight="1">
      <c r="A16" s="51" t="s">
        <v>11347</v>
      </c>
      <c r="B16" s="60" t="s">
        <v>3145</v>
      </c>
      <c r="C16" s="51" t="s">
        <v>205</v>
      </c>
      <c r="D16" s="176"/>
      <c r="E16" s="54"/>
      <c r="F16" s="86"/>
      <c r="G16" s="87"/>
      <c r="H16" s="88"/>
      <c r="I16" s="88"/>
    </row>
    <row r="17" spans="1:9" ht="15.75" customHeight="1">
      <c r="A17" s="51" t="s">
        <v>11348</v>
      </c>
      <c r="B17" s="61" t="s">
        <v>11349</v>
      </c>
      <c r="C17" s="51" t="s">
        <v>205</v>
      </c>
      <c r="D17" s="176"/>
      <c r="E17" s="54"/>
      <c r="F17" s="86"/>
      <c r="G17" s="87"/>
      <c r="H17" s="88"/>
      <c r="I17" s="88"/>
    </row>
    <row r="18" spans="1:9" ht="15.75" customHeight="1">
      <c r="A18" s="51" t="s">
        <v>11350</v>
      </c>
      <c r="B18" s="61" t="s">
        <v>11351</v>
      </c>
      <c r="C18" s="51" t="s">
        <v>205</v>
      </c>
      <c r="D18" s="176"/>
      <c r="E18" s="51"/>
      <c r="F18" s="86"/>
      <c r="G18" s="87"/>
      <c r="H18" s="88"/>
      <c r="I18" s="88"/>
    </row>
    <row r="19" spans="1:9" ht="15.75" customHeight="1">
      <c r="A19" s="51" t="s">
        <v>11352</v>
      </c>
      <c r="B19" s="60" t="s">
        <v>4047</v>
      </c>
      <c r="C19" s="51" t="s">
        <v>205</v>
      </c>
      <c r="D19" s="176"/>
      <c r="E19" s="54"/>
      <c r="F19" s="86"/>
      <c r="G19" s="87"/>
      <c r="H19" s="88"/>
      <c r="I19" s="88"/>
    </row>
    <row r="20" spans="1:9" ht="15.75" customHeight="1">
      <c r="A20" s="51" t="s">
        <v>11353</v>
      </c>
      <c r="B20" s="61" t="s">
        <v>9753</v>
      </c>
      <c r="C20" s="51" t="s">
        <v>205</v>
      </c>
      <c r="D20" s="176"/>
      <c r="E20" s="54"/>
      <c r="F20" s="86"/>
      <c r="G20" s="87"/>
      <c r="H20" s="88"/>
      <c r="I20" s="88"/>
    </row>
    <row r="21" spans="1:9" ht="15.75" customHeight="1">
      <c r="A21" s="51" t="s">
        <v>11354</v>
      </c>
      <c r="B21" s="61" t="s">
        <v>8622</v>
      </c>
      <c r="C21" s="51" t="s">
        <v>199</v>
      </c>
      <c r="D21" s="176"/>
      <c r="E21" s="54"/>
      <c r="F21" s="89"/>
      <c r="G21" s="87"/>
      <c r="H21" s="88"/>
      <c r="I21" s="88"/>
    </row>
    <row r="22" spans="1:9" ht="15.75" customHeight="1">
      <c r="A22" s="51" t="s">
        <v>11355</v>
      </c>
      <c r="B22" s="61" t="s">
        <v>11356</v>
      </c>
      <c r="C22" s="51" t="s">
        <v>199</v>
      </c>
      <c r="D22" s="176"/>
      <c r="E22" s="51"/>
      <c r="F22" s="86"/>
      <c r="G22" s="87"/>
      <c r="H22" s="88"/>
      <c r="I22" s="88"/>
    </row>
    <row r="23" spans="1:9" ht="15.75" customHeight="1">
      <c r="A23" s="51" t="s">
        <v>11357</v>
      </c>
      <c r="B23" s="60" t="s">
        <v>231</v>
      </c>
      <c r="C23" s="51" t="s">
        <v>199</v>
      </c>
      <c r="D23" s="176"/>
      <c r="E23" s="54"/>
    </row>
    <row r="24" spans="1:9" ht="15.75" customHeight="1">
      <c r="A24" s="51" t="s">
        <v>11358</v>
      </c>
      <c r="B24" s="60" t="s">
        <v>3052</v>
      </c>
      <c r="C24" s="51" t="s">
        <v>199</v>
      </c>
      <c r="D24" s="176"/>
      <c r="E24" s="54"/>
      <c r="F24" s="87"/>
      <c r="G24" s="87"/>
      <c r="H24" s="88"/>
      <c r="I24" s="88"/>
    </row>
    <row r="25" spans="1:9" ht="15.75" customHeight="1">
      <c r="A25" s="51" t="s">
        <v>11359</v>
      </c>
      <c r="B25" s="60" t="s">
        <v>209</v>
      </c>
      <c r="C25" s="51" t="s">
        <v>199</v>
      </c>
      <c r="D25" s="176"/>
      <c r="E25" s="54"/>
      <c r="F25" s="89"/>
      <c r="G25" s="87"/>
      <c r="H25" s="88"/>
      <c r="I25" s="88"/>
    </row>
    <row r="26" spans="1:9" ht="15.75" customHeight="1">
      <c r="A26" s="51" t="s">
        <v>11360</v>
      </c>
      <c r="B26" s="61" t="s">
        <v>11361</v>
      </c>
      <c r="C26" s="51" t="s">
        <v>199</v>
      </c>
      <c r="D26" s="176"/>
      <c r="E26" s="54"/>
      <c r="F26" s="86"/>
      <c r="G26" s="87"/>
      <c r="H26" s="88"/>
      <c r="I26" s="88"/>
    </row>
    <row r="27" spans="1:9" ht="15.75" customHeight="1">
      <c r="A27" s="51" t="s">
        <v>11362</v>
      </c>
      <c r="B27" s="60" t="s">
        <v>1511</v>
      </c>
      <c r="C27" s="51" t="s">
        <v>199</v>
      </c>
      <c r="D27" s="176"/>
      <c r="E27" s="54"/>
      <c r="F27" s="86"/>
      <c r="G27" s="87"/>
      <c r="H27" s="88"/>
      <c r="I27" s="88"/>
    </row>
    <row r="28" spans="1:9" ht="15.75" customHeight="1">
      <c r="A28" s="51" t="s">
        <v>11363</v>
      </c>
      <c r="B28" s="60" t="s">
        <v>3018</v>
      </c>
      <c r="C28" s="51" t="s">
        <v>199</v>
      </c>
      <c r="D28" s="176"/>
      <c r="E28" s="54"/>
      <c r="F28" s="86"/>
      <c r="G28" s="87"/>
      <c r="H28" s="88"/>
      <c r="I28" s="88"/>
    </row>
    <row r="29" spans="1:9" ht="15.75" customHeight="1">
      <c r="A29" s="51" t="s">
        <v>11364</v>
      </c>
      <c r="B29" s="60" t="s">
        <v>3139</v>
      </c>
      <c r="C29" s="51" t="s">
        <v>199</v>
      </c>
      <c r="D29" s="176"/>
      <c r="E29" s="54"/>
      <c r="F29" s="86"/>
      <c r="G29" s="87"/>
      <c r="H29" s="88"/>
      <c r="I29" s="88"/>
    </row>
    <row r="30" spans="1:9" ht="15.75" customHeight="1">
      <c r="A30" s="51" t="s">
        <v>11365</v>
      </c>
      <c r="B30" s="60" t="s">
        <v>3112</v>
      </c>
      <c r="C30" s="51" t="s">
        <v>199</v>
      </c>
      <c r="D30" s="176"/>
      <c r="E30" s="54"/>
      <c r="F30" s="87"/>
      <c r="G30" s="87"/>
      <c r="H30" s="88"/>
      <c r="I30" s="88"/>
    </row>
    <row r="31" spans="1:9" ht="15.75" customHeight="1">
      <c r="A31" s="51" t="s">
        <v>11366</v>
      </c>
      <c r="B31" s="61" t="s">
        <v>11367</v>
      </c>
      <c r="C31" s="51" t="s">
        <v>199</v>
      </c>
      <c r="D31" s="176"/>
      <c r="E31" s="54"/>
      <c r="F31" s="87"/>
      <c r="G31" s="87"/>
      <c r="H31" s="88"/>
      <c r="I31" s="88"/>
    </row>
    <row r="32" spans="1:9" ht="15.75" customHeight="1">
      <c r="A32" s="51" t="s">
        <v>11368</v>
      </c>
      <c r="B32" s="61" t="s">
        <v>11369</v>
      </c>
      <c r="C32" s="51" t="s">
        <v>208</v>
      </c>
      <c r="D32" s="176"/>
      <c r="E32" s="54"/>
      <c r="F32" s="86"/>
      <c r="G32" s="87"/>
      <c r="H32" s="88"/>
      <c r="I32" s="88"/>
    </row>
    <row r="33" spans="1:9" ht="15.75" customHeight="1">
      <c r="A33" s="51" t="s">
        <v>11370</v>
      </c>
      <c r="B33" s="61" t="s">
        <v>11371</v>
      </c>
      <c r="C33" s="51" t="s">
        <v>208</v>
      </c>
      <c r="D33" s="176"/>
      <c r="E33" s="54"/>
      <c r="F33" s="87"/>
      <c r="G33" s="87"/>
      <c r="H33" s="88"/>
      <c r="I33" s="88"/>
    </row>
    <row r="34" spans="1:9" ht="15.75" customHeight="1">
      <c r="A34" s="51" t="s">
        <v>11372</v>
      </c>
      <c r="B34" s="60" t="s">
        <v>296</v>
      </c>
      <c r="C34" s="51" t="s">
        <v>208</v>
      </c>
      <c r="D34" s="176"/>
      <c r="E34" s="54"/>
      <c r="F34" s="87"/>
      <c r="G34" s="87"/>
      <c r="H34" s="88"/>
      <c r="I34" s="88"/>
    </row>
    <row r="35" spans="1:9" ht="15.75" customHeight="1">
      <c r="A35" s="51" t="s">
        <v>11373</v>
      </c>
      <c r="B35" s="60" t="s">
        <v>364</v>
      </c>
      <c r="C35" s="51" t="s">
        <v>208</v>
      </c>
      <c r="D35" s="176"/>
      <c r="E35" s="54"/>
      <c r="F35" s="86"/>
      <c r="G35" s="87"/>
      <c r="H35" s="88"/>
      <c r="I35" s="88"/>
    </row>
    <row r="36" spans="1:9" ht="15.75" customHeight="1">
      <c r="A36" s="51" t="s">
        <v>11374</v>
      </c>
      <c r="B36" s="60" t="s">
        <v>1561</v>
      </c>
      <c r="C36" s="51" t="s">
        <v>208</v>
      </c>
      <c r="D36" s="176"/>
      <c r="E36" s="54"/>
      <c r="F36" s="86"/>
      <c r="G36" s="87"/>
      <c r="H36" s="88"/>
      <c r="I36" s="88"/>
    </row>
    <row r="37" spans="1:9" ht="15.75" customHeight="1">
      <c r="A37" s="51" t="s">
        <v>11375</v>
      </c>
      <c r="B37" s="60" t="s">
        <v>1495</v>
      </c>
      <c r="C37" s="51" t="s">
        <v>208</v>
      </c>
      <c r="D37" s="176"/>
      <c r="E37" s="54"/>
      <c r="F37" s="87"/>
      <c r="G37" s="87"/>
      <c r="H37" s="88"/>
      <c r="I37" s="88"/>
    </row>
    <row r="38" spans="1:9" ht="15.75" customHeight="1">
      <c r="A38" s="51" t="s">
        <v>11376</v>
      </c>
      <c r="B38" s="60" t="s">
        <v>1550</v>
      </c>
      <c r="C38" s="51" t="s">
        <v>208</v>
      </c>
      <c r="D38" s="176"/>
      <c r="E38" s="54"/>
      <c r="F38" s="86"/>
      <c r="G38" s="87"/>
      <c r="H38" s="88"/>
      <c r="I38" s="88"/>
    </row>
    <row r="39" spans="1:9" ht="15.75" customHeight="1">
      <c r="A39" s="51" t="s">
        <v>11377</v>
      </c>
      <c r="B39" s="60" t="s">
        <v>3020</v>
      </c>
      <c r="C39" s="51" t="s">
        <v>208</v>
      </c>
      <c r="D39" s="176"/>
      <c r="E39" s="54"/>
      <c r="F39" s="86"/>
      <c r="G39" s="87"/>
      <c r="H39" s="88"/>
      <c r="I39" s="88"/>
    </row>
    <row r="40" spans="1:9" ht="15.75" customHeight="1">
      <c r="A40" s="51" t="s">
        <v>11378</v>
      </c>
      <c r="B40" s="60" t="s">
        <v>3140</v>
      </c>
      <c r="C40" s="51" t="s">
        <v>208</v>
      </c>
      <c r="D40" s="176"/>
      <c r="E40" s="54"/>
      <c r="F40" s="86"/>
      <c r="G40" s="87"/>
      <c r="H40" s="88"/>
      <c r="I40" s="88"/>
    </row>
    <row r="41" spans="1:9" ht="15.75" customHeight="1">
      <c r="A41" s="51" t="s">
        <v>11379</v>
      </c>
      <c r="B41" s="60" t="s">
        <v>3111</v>
      </c>
      <c r="C41" s="51" t="s">
        <v>208</v>
      </c>
      <c r="D41" s="176"/>
      <c r="E41" s="54"/>
      <c r="F41" s="86"/>
      <c r="G41" s="87"/>
      <c r="H41" s="88"/>
      <c r="I41" s="88"/>
    </row>
    <row r="42" spans="1:9" ht="15.75" customHeight="1">
      <c r="A42" s="51" t="s">
        <v>11380</v>
      </c>
      <c r="B42" s="60" t="s">
        <v>3039</v>
      </c>
      <c r="C42" s="51" t="s">
        <v>208</v>
      </c>
      <c r="D42" s="176"/>
      <c r="E42" s="54"/>
      <c r="F42" s="87"/>
      <c r="G42" s="87"/>
      <c r="H42" s="88"/>
      <c r="I42" s="88"/>
    </row>
    <row r="43" spans="1:9" ht="15.75" customHeight="1">
      <c r="A43" s="51" t="s">
        <v>11381</v>
      </c>
      <c r="B43" s="60" t="s">
        <v>3125</v>
      </c>
      <c r="C43" s="51" t="s">
        <v>208</v>
      </c>
      <c r="D43" s="176"/>
      <c r="E43" s="54"/>
      <c r="F43" s="86"/>
      <c r="G43" s="87"/>
      <c r="H43" s="88"/>
      <c r="I43" s="88"/>
    </row>
    <row r="44" spans="1:9" ht="15.75" customHeight="1">
      <c r="A44" s="51" t="s">
        <v>11382</v>
      </c>
      <c r="B44" s="61" t="s">
        <v>11383</v>
      </c>
      <c r="C44" s="51" t="s">
        <v>208</v>
      </c>
      <c r="D44" s="176"/>
      <c r="E44" s="54"/>
      <c r="F44" s="86"/>
      <c r="G44" s="87"/>
      <c r="H44" s="88"/>
      <c r="I44" s="88"/>
    </row>
    <row r="45" spans="1:9" ht="15.75" customHeight="1">
      <c r="A45" s="51" t="s">
        <v>11384</v>
      </c>
      <c r="B45" s="60" t="s">
        <v>3115</v>
      </c>
      <c r="C45" s="51" t="s">
        <v>208</v>
      </c>
      <c r="D45" s="176"/>
      <c r="E45" s="54"/>
      <c r="F45" s="87"/>
      <c r="G45" s="87"/>
      <c r="H45" s="88"/>
      <c r="I45" s="88"/>
    </row>
    <row r="46" spans="1:9" ht="15.75" customHeight="1">
      <c r="A46" s="51" t="s">
        <v>11385</v>
      </c>
      <c r="B46" s="60" t="s">
        <v>4127</v>
      </c>
      <c r="C46" s="51" t="s">
        <v>208</v>
      </c>
      <c r="D46" s="176"/>
      <c r="E46" s="54"/>
      <c r="F46" s="86"/>
      <c r="G46" s="87"/>
      <c r="H46" s="88"/>
      <c r="I46" s="88"/>
    </row>
    <row r="47" spans="1:9" ht="15.75" customHeight="1">
      <c r="A47" s="51" t="s">
        <v>11386</v>
      </c>
      <c r="B47" s="60" t="s">
        <v>4128</v>
      </c>
      <c r="C47" s="51" t="s">
        <v>208</v>
      </c>
      <c r="D47" s="176"/>
      <c r="E47" s="54"/>
      <c r="F47" s="86"/>
      <c r="G47" s="87"/>
      <c r="H47" s="88"/>
      <c r="I47" s="88"/>
    </row>
    <row r="48" spans="1:9" ht="15.75" customHeight="1">
      <c r="A48" s="51" t="s">
        <v>11387</v>
      </c>
      <c r="B48" s="60" t="s">
        <v>8743</v>
      </c>
      <c r="C48" s="51" t="s">
        <v>208</v>
      </c>
      <c r="D48" s="176"/>
      <c r="E48" s="54"/>
      <c r="F48" s="86"/>
      <c r="G48" s="87"/>
      <c r="H48" s="88"/>
      <c r="I48" s="88"/>
    </row>
    <row r="49" spans="1:9" ht="15.75" customHeight="1">
      <c r="A49" s="51" t="s">
        <v>11388</v>
      </c>
      <c r="B49" s="61" t="s">
        <v>11389</v>
      </c>
      <c r="C49" s="51" t="s">
        <v>192</v>
      </c>
      <c r="D49" s="176"/>
      <c r="E49" s="54"/>
      <c r="F49" s="87"/>
      <c r="G49" s="87"/>
      <c r="H49" s="88"/>
      <c r="I49" s="88"/>
    </row>
    <row r="50" spans="1:9" ht="15.75" customHeight="1">
      <c r="A50" s="51" t="s">
        <v>11390</v>
      </c>
      <c r="B50" s="60" t="s">
        <v>193</v>
      </c>
      <c r="C50" s="51" t="s">
        <v>192</v>
      </c>
      <c r="D50" s="176"/>
      <c r="E50" s="54"/>
      <c r="F50" s="86"/>
      <c r="G50" s="87"/>
      <c r="H50" s="88"/>
      <c r="I50" s="88"/>
    </row>
    <row r="51" spans="1:9" ht="15.75" customHeight="1">
      <c r="A51" s="51" t="s">
        <v>11391</v>
      </c>
      <c r="B51" s="60" t="s">
        <v>3110</v>
      </c>
      <c r="C51" s="51" t="s">
        <v>192</v>
      </c>
      <c r="D51" s="176"/>
      <c r="E51" s="54"/>
      <c r="F51" s="87"/>
      <c r="G51" s="87"/>
      <c r="H51" s="88"/>
      <c r="I51" s="88"/>
    </row>
    <row r="52" spans="1:9" ht="15.75" customHeight="1">
      <c r="A52" s="51" t="s">
        <v>11392</v>
      </c>
      <c r="B52" s="61" t="s">
        <v>11393</v>
      </c>
      <c r="C52" s="51" t="s">
        <v>192</v>
      </c>
      <c r="D52" s="176"/>
      <c r="E52" s="54"/>
      <c r="F52" s="86"/>
      <c r="G52" s="87"/>
      <c r="H52" s="88"/>
      <c r="I52" s="88"/>
    </row>
    <row r="53" spans="1:9" ht="13">
      <c r="A53" s="51" t="s">
        <v>11394</v>
      </c>
      <c r="B53" s="60" t="s">
        <v>3043</v>
      </c>
      <c r="C53" s="51" t="s">
        <v>192</v>
      </c>
      <c r="D53" s="176"/>
      <c r="E53" s="5"/>
      <c r="F53" s="87"/>
      <c r="G53" s="87"/>
      <c r="H53" s="88"/>
      <c r="I53" s="88"/>
    </row>
    <row r="54" spans="1:9" ht="13">
      <c r="A54" s="51" t="s">
        <v>11395</v>
      </c>
      <c r="B54" s="60" t="s">
        <v>3137</v>
      </c>
      <c r="C54" s="51" t="s">
        <v>192</v>
      </c>
      <c r="D54" s="176"/>
      <c r="E54" s="54"/>
      <c r="F54" s="86"/>
      <c r="G54" s="87"/>
      <c r="H54" s="88"/>
      <c r="I54" s="88"/>
    </row>
    <row r="55" spans="1:9" ht="13">
      <c r="A55" s="51" t="s">
        <v>11396</v>
      </c>
      <c r="B55" s="60" t="s">
        <v>3114</v>
      </c>
      <c r="C55" s="51" t="s">
        <v>192</v>
      </c>
      <c r="D55" s="176"/>
      <c r="E55" s="54"/>
      <c r="F55" s="87"/>
      <c r="G55" s="87"/>
      <c r="H55" s="88"/>
      <c r="I55" s="88"/>
    </row>
    <row r="56" spans="1:9" ht="13">
      <c r="A56" s="51" t="s">
        <v>11397</v>
      </c>
      <c r="B56" s="60" t="s">
        <v>3022</v>
      </c>
      <c r="C56" s="51" t="s">
        <v>192</v>
      </c>
      <c r="D56" s="176"/>
      <c r="E56" s="54"/>
      <c r="F56" s="86"/>
      <c r="G56" s="87"/>
      <c r="H56" s="88"/>
      <c r="I56" s="88"/>
    </row>
    <row r="57" spans="1:9" ht="13">
      <c r="A57" s="51" t="s">
        <v>11398</v>
      </c>
      <c r="B57" s="60" t="s">
        <v>244</v>
      </c>
      <c r="C57" s="51" t="s">
        <v>195</v>
      </c>
      <c r="D57" s="176"/>
      <c r="E57" s="54"/>
      <c r="F57" s="86"/>
      <c r="G57" s="87"/>
      <c r="H57" s="88"/>
      <c r="I57" s="88"/>
    </row>
    <row r="58" spans="1:9" ht="13">
      <c r="A58" s="51" t="s">
        <v>11399</v>
      </c>
      <c r="B58" s="60" t="s">
        <v>318</v>
      </c>
      <c r="C58" s="51" t="s">
        <v>195</v>
      </c>
      <c r="D58" s="176"/>
      <c r="E58" s="54"/>
      <c r="F58" s="86"/>
      <c r="G58" s="87"/>
      <c r="H58" s="88"/>
      <c r="I58" s="88"/>
    </row>
    <row r="59" spans="1:9" ht="13">
      <c r="A59" s="51" t="s">
        <v>11400</v>
      </c>
      <c r="B59" s="60" t="s">
        <v>295</v>
      </c>
      <c r="C59" s="51" t="s">
        <v>195</v>
      </c>
      <c r="D59" s="176"/>
      <c r="E59" s="54"/>
      <c r="F59" s="87"/>
      <c r="G59" s="87"/>
      <c r="H59" s="88"/>
      <c r="I59" s="88"/>
    </row>
    <row r="60" spans="1:9" ht="13">
      <c r="A60" s="51" t="s">
        <v>11401</v>
      </c>
      <c r="B60" s="60" t="s">
        <v>194</v>
      </c>
      <c r="C60" s="51" t="s">
        <v>195</v>
      </c>
      <c r="D60" s="176"/>
      <c r="E60" s="54"/>
      <c r="F60" s="87"/>
      <c r="G60" s="87"/>
      <c r="H60" s="88"/>
      <c r="I60" s="88"/>
    </row>
    <row r="61" spans="1:9" ht="13">
      <c r="A61" s="51" t="s">
        <v>11402</v>
      </c>
      <c r="B61" s="61" t="s">
        <v>11403</v>
      </c>
      <c r="C61" s="51" t="s">
        <v>195</v>
      </c>
      <c r="D61" s="176"/>
      <c r="E61" s="54"/>
      <c r="F61" s="86"/>
      <c r="G61" s="87"/>
      <c r="H61" s="88"/>
      <c r="I61" s="88"/>
    </row>
    <row r="62" spans="1:9" ht="13">
      <c r="A62" s="51" t="s">
        <v>11404</v>
      </c>
      <c r="B62" s="60" t="s">
        <v>1400</v>
      </c>
      <c r="C62" s="51" t="s">
        <v>195</v>
      </c>
      <c r="D62" s="176"/>
      <c r="E62" s="54"/>
      <c r="F62" s="86"/>
      <c r="G62" s="87"/>
      <c r="H62" s="88"/>
      <c r="I62" s="88"/>
    </row>
    <row r="63" spans="1:9" ht="13">
      <c r="A63" s="51" t="s">
        <v>11405</v>
      </c>
      <c r="B63" s="60" t="s">
        <v>1790</v>
      </c>
      <c r="C63" s="51" t="s">
        <v>195</v>
      </c>
      <c r="D63" s="176"/>
      <c r="E63" s="54"/>
      <c r="F63" s="87"/>
      <c r="G63" s="87"/>
      <c r="H63" s="88"/>
      <c r="I63" s="88"/>
    </row>
    <row r="64" spans="1:9" ht="13">
      <c r="A64" s="51" t="s">
        <v>11406</v>
      </c>
      <c r="B64" s="60" t="s">
        <v>1437</v>
      </c>
      <c r="C64" s="51" t="s">
        <v>195</v>
      </c>
      <c r="D64" s="176"/>
      <c r="E64" s="54"/>
      <c r="F64" s="86"/>
      <c r="G64" s="87"/>
      <c r="H64" s="88"/>
      <c r="I64" s="88"/>
    </row>
    <row r="65" spans="1:9" ht="13">
      <c r="A65" s="51" t="s">
        <v>11407</v>
      </c>
      <c r="B65" s="60" t="s">
        <v>1361</v>
      </c>
      <c r="C65" s="51" t="s">
        <v>195</v>
      </c>
      <c r="D65" s="176"/>
      <c r="E65" s="54"/>
      <c r="F65" s="86"/>
      <c r="G65" s="87"/>
      <c r="H65" s="88"/>
      <c r="I65" s="88"/>
    </row>
    <row r="66" spans="1:9" ht="13">
      <c r="A66" s="51" t="s">
        <v>11408</v>
      </c>
      <c r="B66" s="60" t="s">
        <v>3076</v>
      </c>
      <c r="C66" s="51" t="s">
        <v>195</v>
      </c>
      <c r="D66" s="176"/>
      <c r="E66" s="54"/>
      <c r="F66" s="86"/>
      <c r="G66" s="87"/>
      <c r="H66" s="88"/>
      <c r="I66" s="88"/>
    </row>
    <row r="67" spans="1:9" ht="13">
      <c r="A67" s="51" t="s">
        <v>11409</v>
      </c>
      <c r="B67" s="60" t="s">
        <v>1199</v>
      </c>
      <c r="C67" s="51" t="s">
        <v>195</v>
      </c>
      <c r="D67" s="176"/>
      <c r="E67" s="54"/>
      <c r="F67" s="86"/>
      <c r="G67" s="87"/>
      <c r="H67" s="88"/>
      <c r="I67" s="88"/>
    </row>
    <row r="68" spans="1:9" ht="13">
      <c r="A68" s="51" t="s">
        <v>11410</v>
      </c>
      <c r="B68" s="61" t="s">
        <v>11411</v>
      </c>
      <c r="C68" s="51" t="s">
        <v>195</v>
      </c>
      <c r="D68" s="176"/>
      <c r="E68" s="54"/>
      <c r="F68" s="86"/>
      <c r="G68" s="87"/>
      <c r="H68" s="88"/>
      <c r="I68" s="88"/>
    </row>
    <row r="69" spans="1:9" ht="13">
      <c r="A69" s="51" t="s">
        <v>11412</v>
      </c>
      <c r="B69" s="61" t="s">
        <v>11413</v>
      </c>
      <c r="C69" s="51" t="s">
        <v>195</v>
      </c>
      <c r="D69" s="176"/>
      <c r="E69" s="51"/>
      <c r="F69" s="86"/>
      <c r="G69" s="87"/>
      <c r="H69" s="88"/>
      <c r="I69" s="88"/>
    </row>
    <row r="70" spans="1:9" ht="13">
      <c r="A70" s="51" t="s">
        <v>11414</v>
      </c>
      <c r="B70" s="60" t="s">
        <v>4243</v>
      </c>
      <c r="C70" s="51" t="s">
        <v>195</v>
      </c>
      <c r="D70" s="176"/>
      <c r="E70" s="54"/>
      <c r="F70" s="87"/>
      <c r="G70" s="87"/>
      <c r="H70" s="88"/>
      <c r="I70" s="88"/>
    </row>
    <row r="71" spans="1:9" ht="13">
      <c r="A71" s="51" t="s">
        <v>11415</v>
      </c>
      <c r="B71" s="60" t="s">
        <v>5120</v>
      </c>
      <c r="C71" s="51" t="s">
        <v>195</v>
      </c>
      <c r="D71" s="176"/>
      <c r="E71" s="54"/>
      <c r="F71" s="86"/>
      <c r="G71" s="87"/>
      <c r="H71" s="88"/>
      <c r="I71" s="88"/>
    </row>
    <row r="72" spans="1:9" ht="13">
      <c r="A72" s="51" t="s">
        <v>11416</v>
      </c>
      <c r="B72" s="61" t="s">
        <v>10265</v>
      </c>
      <c r="C72" s="51" t="s">
        <v>195</v>
      </c>
      <c r="D72" s="176"/>
      <c r="E72" s="54"/>
      <c r="F72" s="87"/>
      <c r="G72" s="87"/>
      <c r="H72" s="88"/>
      <c r="I72" s="88"/>
    </row>
    <row r="73" spans="1:9" ht="13">
      <c r="A73" s="51" t="s">
        <v>11417</v>
      </c>
      <c r="B73" s="61" t="s">
        <v>11418</v>
      </c>
      <c r="C73" s="51" t="s">
        <v>195</v>
      </c>
      <c r="D73" s="176"/>
      <c r="E73" s="54"/>
      <c r="F73" s="87"/>
      <c r="G73" s="87"/>
      <c r="H73" s="88"/>
      <c r="I73" s="88"/>
    </row>
    <row r="74" spans="1:9" ht="13">
      <c r="A74" s="51" t="s">
        <v>11419</v>
      </c>
      <c r="B74" s="60" t="s">
        <v>9236</v>
      </c>
      <c r="C74" s="51" t="s">
        <v>195</v>
      </c>
      <c r="D74" s="176"/>
      <c r="E74" s="54"/>
      <c r="F74" s="87"/>
      <c r="G74" s="87"/>
      <c r="H74" s="88"/>
      <c r="I74" s="88"/>
    </row>
    <row r="75" spans="1:9" ht="13">
      <c r="A75" s="51" t="s">
        <v>11420</v>
      </c>
      <c r="B75" s="60" t="s">
        <v>8635</v>
      </c>
      <c r="C75" s="51" t="s">
        <v>195</v>
      </c>
      <c r="D75" s="176"/>
      <c r="E75" s="54"/>
      <c r="F75" s="86"/>
      <c r="G75" s="87"/>
      <c r="H75" s="88"/>
      <c r="I75" s="88"/>
    </row>
    <row r="76" spans="1:9" ht="13">
      <c r="A76" s="51" t="s">
        <v>11421</v>
      </c>
      <c r="B76" s="60" t="s">
        <v>224</v>
      </c>
      <c r="C76" s="51" t="s">
        <v>225</v>
      </c>
      <c r="D76" s="176"/>
      <c r="E76" s="54"/>
      <c r="F76" s="87"/>
      <c r="G76" s="87"/>
      <c r="H76" s="88"/>
      <c r="I76" s="88"/>
    </row>
    <row r="77" spans="1:9" ht="13">
      <c r="A77" s="51" t="s">
        <v>11422</v>
      </c>
      <c r="B77" s="60" t="s">
        <v>1240</v>
      </c>
      <c r="C77" s="51" t="s">
        <v>225</v>
      </c>
      <c r="D77" s="176"/>
      <c r="E77" s="54"/>
      <c r="F77" s="86"/>
      <c r="G77" s="87"/>
      <c r="H77" s="88"/>
      <c r="I77" s="88"/>
    </row>
    <row r="78" spans="1:9" ht="13">
      <c r="A78" s="51" t="s">
        <v>11423</v>
      </c>
      <c r="B78" s="60" t="s">
        <v>1461</v>
      </c>
      <c r="C78" s="51" t="s">
        <v>225</v>
      </c>
      <c r="D78" s="176"/>
      <c r="E78" s="54"/>
      <c r="F78" s="87"/>
      <c r="G78" s="87"/>
      <c r="H78" s="88"/>
      <c r="I78" s="88"/>
    </row>
    <row r="79" spans="1:9" ht="13">
      <c r="A79" s="51" t="s">
        <v>11424</v>
      </c>
      <c r="B79" s="60" t="s">
        <v>1524</v>
      </c>
      <c r="C79" s="51" t="s">
        <v>225</v>
      </c>
      <c r="D79" s="176"/>
      <c r="E79" s="54"/>
      <c r="F79" s="86"/>
      <c r="G79" s="87"/>
      <c r="H79" s="88"/>
      <c r="I79" s="88"/>
    </row>
    <row r="80" spans="1:9" ht="13">
      <c r="A80" s="51" t="s">
        <v>11425</v>
      </c>
      <c r="B80" s="60" t="s">
        <v>1200</v>
      </c>
      <c r="C80" s="51" t="s">
        <v>225</v>
      </c>
      <c r="D80" s="176"/>
      <c r="E80" s="54"/>
      <c r="F80" s="86"/>
      <c r="G80" s="87"/>
      <c r="H80" s="88"/>
      <c r="I80" s="88"/>
    </row>
    <row r="81" spans="1:9" ht="13">
      <c r="A81" s="51" t="s">
        <v>11426</v>
      </c>
      <c r="B81" s="60" t="s">
        <v>6020</v>
      </c>
      <c r="C81" s="51" t="s">
        <v>225</v>
      </c>
      <c r="D81" s="176"/>
      <c r="E81" s="54"/>
      <c r="F81" s="87"/>
      <c r="G81" s="87"/>
      <c r="H81" s="88"/>
      <c r="I81" s="88"/>
    </row>
    <row r="82" spans="1:9" ht="13">
      <c r="A82" s="51" t="s">
        <v>11427</v>
      </c>
      <c r="B82" s="60" t="s">
        <v>3141</v>
      </c>
      <c r="C82" s="51" t="s">
        <v>225</v>
      </c>
      <c r="D82" s="176"/>
      <c r="E82" s="54"/>
      <c r="F82" s="86"/>
      <c r="G82" s="87"/>
      <c r="H82" s="88"/>
      <c r="I82" s="88"/>
    </row>
    <row r="83" spans="1:9" ht="13">
      <c r="A83" s="51" t="s">
        <v>11428</v>
      </c>
      <c r="B83" s="60" t="s">
        <v>3113</v>
      </c>
      <c r="C83" s="51" t="s">
        <v>225</v>
      </c>
      <c r="D83" s="176"/>
      <c r="E83" s="54"/>
      <c r="F83" s="86"/>
      <c r="G83" s="87"/>
      <c r="H83" s="88"/>
      <c r="I83" s="88"/>
    </row>
    <row r="84" spans="1:9" ht="13">
      <c r="A84" s="51" t="s">
        <v>11429</v>
      </c>
      <c r="B84" s="60" t="s">
        <v>4265</v>
      </c>
      <c r="C84" s="51" t="s">
        <v>225</v>
      </c>
      <c r="D84" s="176"/>
      <c r="E84" s="54"/>
      <c r="F84" s="86"/>
      <c r="G84" s="87"/>
      <c r="H84" s="88"/>
      <c r="I84" s="88"/>
    </row>
    <row r="85" spans="1:9" ht="13">
      <c r="A85" s="51" t="s">
        <v>11430</v>
      </c>
      <c r="B85" s="60" t="s">
        <v>4267</v>
      </c>
      <c r="C85" s="51" t="s">
        <v>225</v>
      </c>
      <c r="D85" s="176"/>
      <c r="E85" s="54"/>
      <c r="F85" s="87"/>
      <c r="G85" s="87"/>
      <c r="H85" s="88"/>
      <c r="I85" s="88"/>
    </row>
    <row r="86" spans="1:9" ht="13">
      <c r="A86" s="51" t="s">
        <v>11431</v>
      </c>
      <c r="B86" s="60" t="s">
        <v>4097</v>
      </c>
      <c r="C86" s="51" t="s">
        <v>225</v>
      </c>
      <c r="D86" s="176"/>
      <c r="E86" s="54"/>
      <c r="F86" s="86"/>
      <c r="G86" s="87"/>
      <c r="H86" s="88"/>
      <c r="I86" s="88"/>
    </row>
    <row r="87" spans="1:9" ht="13">
      <c r="A87" s="51" t="s">
        <v>11432</v>
      </c>
      <c r="B87" s="60" t="s">
        <v>4098</v>
      </c>
      <c r="C87" s="51" t="s">
        <v>225</v>
      </c>
      <c r="D87" s="176"/>
      <c r="E87" s="54"/>
      <c r="F87" s="86"/>
      <c r="G87" s="87"/>
      <c r="H87" s="88"/>
      <c r="I87" s="88"/>
    </row>
    <row r="88" spans="1:9" ht="13">
      <c r="A88" s="51" t="s">
        <v>11433</v>
      </c>
      <c r="B88" s="60" t="s">
        <v>381</v>
      </c>
      <c r="C88" s="51" t="s">
        <v>808</v>
      </c>
      <c r="D88" s="176"/>
      <c r="E88" s="54"/>
      <c r="F88" s="87"/>
      <c r="G88" s="87"/>
      <c r="H88" s="88"/>
      <c r="I88" s="88"/>
    </row>
    <row r="89" spans="1:9" ht="13">
      <c r="A89" s="51" t="s">
        <v>11434</v>
      </c>
      <c r="B89" s="60" t="s">
        <v>365</v>
      </c>
      <c r="C89" s="51" t="s">
        <v>808</v>
      </c>
      <c r="D89" s="176"/>
      <c r="E89" s="54"/>
      <c r="F89" s="86"/>
      <c r="G89" s="87"/>
      <c r="H89" s="88"/>
      <c r="I89" s="88"/>
    </row>
    <row r="90" spans="1:9" ht="13">
      <c r="A90" s="51" t="s">
        <v>11435</v>
      </c>
      <c r="B90" s="60" t="s">
        <v>810</v>
      </c>
      <c r="C90" s="51" t="s">
        <v>808</v>
      </c>
      <c r="D90" s="176"/>
      <c r="E90" s="54"/>
      <c r="F90" s="87"/>
      <c r="G90" s="87"/>
      <c r="H90" s="88"/>
      <c r="I90" s="88"/>
    </row>
    <row r="91" spans="1:9" ht="13">
      <c r="A91" s="51" t="s">
        <v>11436</v>
      </c>
      <c r="B91" s="60" t="s">
        <v>3131</v>
      </c>
      <c r="C91" s="51" t="s">
        <v>808</v>
      </c>
      <c r="D91" s="176"/>
      <c r="E91" s="54"/>
      <c r="F91" s="86"/>
      <c r="G91" s="87"/>
      <c r="H91" s="88"/>
      <c r="I91" s="88"/>
    </row>
    <row r="92" spans="1:9" ht="13">
      <c r="A92" s="51" t="s">
        <v>11437</v>
      </c>
      <c r="B92" s="61" t="s">
        <v>11438</v>
      </c>
      <c r="C92" s="51" t="s">
        <v>808</v>
      </c>
      <c r="D92" s="176"/>
      <c r="E92" s="54"/>
      <c r="F92" s="86"/>
      <c r="G92" s="87"/>
      <c r="H92" s="88"/>
      <c r="I92" s="88"/>
    </row>
    <row r="93" spans="1:9" ht="13">
      <c r="A93" s="51" t="s">
        <v>11439</v>
      </c>
      <c r="B93" s="60" t="s">
        <v>3390</v>
      </c>
      <c r="C93" s="51" t="s">
        <v>808</v>
      </c>
      <c r="D93" s="176"/>
      <c r="E93" s="54"/>
      <c r="F93" s="86"/>
      <c r="G93" s="87"/>
      <c r="H93" s="88"/>
      <c r="I93" s="88"/>
    </row>
    <row r="94" spans="1:9" ht="13">
      <c r="A94" s="51" t="s">
        <v>11440</v>
      </c>
      <c r="B94" s="60" t="s">
        <v>4188</v>
      </c>
      <c r="C94" s="51" t="s">
        <v>808</v>
      </c>
      <c r="D94" s="176"/>
      <c r="E94" s="54"/>
      <c r="F94" s="87"/>
      <c r="G94" s="87"/>
      <c r="H94" s="88"/>
      <c r="I94" s="88"/>
    </row>
    <row r="95" spans="1:9" ht="13">
      <c r="A95" s="51" t="s">
        <v>11441</v>
      </c>
      <c r="B95" s="60" t="s">
        <v>4445</v>
      </c>
      <c r="C95" s="51" t="s">
        <v>808</v>
      </c>
      <c r="D95" s="176"/>
      <c r="E95" s="54"/>
      <c r="F95" s="86"/>
      <c r="G95" s="87"/>
      <c r="H95" s="88"/>
      <c r="I95" s="88"/>
    </row>
    <row r="96" spans="1:9" ht="13">
      <c r="A96" s="51" t="s">
        <v>11442</v>
      </c>
      <c r="B96" s="60" t="s">
        <v>9285</v>
      </c>
      <c r="C96" s="51" t="s">
        <v>808</v>
      </c>
      <c r="D96" s="176"/>
      <c r="E96" s="54"/>
      <c r="F96" s="87"/>
      <c r="G96" s="87"/>
      <c r="H96" s="88"/>
      <c r="I96" s="88"/>
    </row>
    <row r="97" spans="1:9" ht="13">
      <c r="A97" s="51" t="s">
        <v>11443</v>
      </c>
      <c r="B97" s="60" t="s">
        <v>9287</v>
      </c>
      <c r="C97" s="51" t="s">
        <v>808</v>
      </c>
      <c r="D97" s="176"/>
      <c r="E97" s="54"/>
      <c r="F97" s="87"/>
      <c r="G97" s="87"/>
      <c r="H97" s="88"/>
      <c r="I97" s="88"/>
    </row>
    <row r="98" spans="1:9" ht="13">
      <c r="A98" s="51" t="s">
        <v>11444</v>
      </c>
      <c r="B98" s="60" t="s">
        <v>9289</v>
      </c>
      <c r="C98" s="51" t="s">
        <v>808</v>
      </c>
      <c r="D98" s="176"/>
      <c r="E98" s="54"/>
      <c r="F98" s="87"/>
      <c r="G98" s="87"/>
      <c r="H98" s="88"/>
      <c r="I98" s="88"/>
    </row>
    <row r="99" spans="1:9" ht="13">
      <c r="A99" s="51" t="s">
        <v>11445</v>
      </c>
      <c r="B99" s="61" t="s">
        <v>8631</v>
      </c>
      <c r="C99" s="51" t="s">
        <v>808</v>
      </c>
      <c r="D99" s="176"/>
      <c r="E99" s="54"/>
      <c r="F99" s="86"/>
      <c r="G99" s="87"/>
      <c r="H99" s="88"/>
      <c r="I99" s="88"/>
    </row>
    <row r="100" spans="1:9" ht="13">
      <c r="A100" s="51" t="s">
        <v>11446</v>
      </c>
      <c r="B100" s="61" t="s">
        <v>11447</v>
      </c>
      <c r="C100" s="51" t="s">
        <v>220</v>
      </c>
      <c r="D100" s="176"/>
      <c r="E100" s="54"/>
      <c r="F100" s="87"/>
      <c r="G100" s="87"/>
      <c r="H100" s="88"/>
      <c r="I100" s="88"/>
    </row>
    <row r="101" spans="1:9" ht="13">
      <c r="A101" s="51" t="s">
        <v>11448</v>
      </c>
      <c r="B101" s="61" t="s">
        <v>11449</v>
      </c>
      <c r="C101" s="51" t="s">
        <v>220</v>
      </c>
      <c r="D101" s="176"/>
      <c r="E101" s="54"/>
      <c r="F101" s="87"/>
      <c r="G101" s="87"/>
      <c r="H101" s="88"/>
      <c r="I101" s="88"/>
    </row>
    <row r="102" spans="1:9" ht="13">
      <c r="A102" s="51" t="s">
        <v>11450</v>
      </c>
      <c r="B102" s="60" t="s">
        <v>6020</v>
      </c>
      <c r="C102" s="51" t="s">
        <v>220</v>
      </c>
      <c r="D102" s="176"/>
      <c r="E102" s="54"/>
      <c r="F102" s="86"/>
      <c r="G102" s="87"/>
      <c r="H102" s="88"/>
      <c r="I102" s="88"/>
    </row>
    <row r="103" spans="1:9" ht="13">
      <c r="A103" s="51" t="s">
        <v>11451</v>
      </c>
      <c r="B103" s="60" t="s">
        <v>3386</v>
      </c>
      <c r="C103" s="51" t="s">
        <v>220</v>
      </c>
      <c r="D103" s="176"/>
      <c r="E103" s="54"/>
      <c r="F103" s="87"/>
      <c r="G103" s="87"/>
      <c r="H103" s="88"/>
      <c r="I103" s="88"/>
    </row>
    <row r="104" spans="1:9" ht="13">
      <c r="A104" s="51" t="s">
        <v>11452</v>
      </c>
      <c r="B104" s="60" t="s">
        <v>3377</v>
      </c>
      <c r="C104" s="51" t="s">
        <v>220</v>
      </c>
      <c r="D104" s="176"/>
      <c r="E104" s="54"/>
      <c r="F104" s="87"/>
      <c r="G104" s="87"/>
      <c r="H104" s="88"/>
      <c r="I104" s="88"/>
    </row>
    <row r="105" spans="1:9" ht="13">
      <c r="A105" s="51" t="s">
        <v>11453</v>
      </c>
      <c r="B105" s="60" t="s">
        <v>4106</v>
      </c>
      <c r="C105" s="51" t="s">
        <v>220</v>
      </c>
      <c r="D105" s="176"/>
      <c r="E105" s="54"/>
      <c r="F105" s="87"/>
      <c r="G105" s="87"/>
      <c r="H105" s="88"/>
      <c r="I105" s="88"/>
    </row>
    <row r="106" spans="1:9" ht="13">
      <c r="A106" s="51" t="s">
        <v>11454</v>
      </c>
      <c r="B106" s="60" t="s">
        <v>4037</v>
      </c>
      <c r="C106" s="51" t="s">
        <v>220</v>
      </c>
      <c r="D106" s="176"/>
      <c r="E106" s="54"/>
      <c r="F106" s="86"/>
      <c r="G106" s="87"/>
      <c r="H106" s="88"/>
      <c r="I106" s="88"/>
    </row>
    <row r="107" spans="1:9" ht="13">
      <c r="A107" s="51" t="s">
        <v>11455</v>
      </c>
      <c r="B107" s="60" t="s">
        <v>4159</v>
      </c>
      <c r="C107" s="51" t="s">
        <v>220</v>
      </c>
      <c r="D107" s="176"/>
      <c r="E107" s="54"/>
      <c r="F107" s="86"/>
      <c r="G107" s="87"/>
      <c r="H107" s="88"/>
      <c r="I107" s="88"/>
    </row>
    <row r="108" spans="1:9" ht="13">
      <c r="A108" s="51" t="s">
        <v>11456</v>
      </c>
      <c r="B108" s="60" t="s">
        <v>4160</v>
      </c>
      <c r="C108" s="51" t="s">
        <v>220</v>
      </c>
      <c r="D108" s="176"/>
      <c r="E108" s="54"/>
      <c r="F108" s="87"/>
      <c r="G108" s="87"/>
      <c r="H108" s="88"/>
      <c r="I108" s="88"/>
    </row>
    <row r="109" spans="1:9" ht="13">
      <c r="A109" s="51" t="s">
        <v>11457</v>
      </c>
      <c r="B109" s="61" t="s">
        <v>8576</v>
      </c>
      <c r="C109" s="51" t="s">
        <v>220</v>
      </c>
      <c r="D109" s="176"/>
      <c r="E109" s="54"/>
      <c r="F109" s="87"/>
      <c r="G109" s="87"/>
      <c r="H109" s="88"/>
      <c r="I109" s="88"/>
    </row>
    <row r="110" spans="1:9" ht="13">
      <c r="A110" s="51" t="s">
        <v>11458</v>
      </c>
      <c r="B110" s="61" t="s">
        <v>11459</v>
      </c>
      <c r="C110" s="51" t="s">
        <v>4285</v>
      </c>
      <c r="D110" s="176"/>
      <c r="E110" s="54"/>
      <c r="F110" s="87"/>
      <c r="G110" s="87"/>
      <c r="H110" s="88"/>
      <c r="I110" s="88"/>
    </row>
    <row r="111" spans="1:9" ht="13">
      <c r="A111" s="51" t="s">
        <v>11460</v>
      </c>
      <c r="B111" s="60" t="s">
        <v>3259</v>
      </c>
      <c r="C111" s="51" t="s">
        <v>4285</v>
      </c>
      <c r="D111" s="176"/>
      <c r="E111" s="54"/>
      <c r="F111" s="86"/>
      <c r="G111" s="87"/>
      <c r="H111" s="88"/>
      <c r="I111" s="88"/>
    </row>
    <row r="112" spans="1:9" ht="13">
      <c r="A112" s="51" t="s">
        <v>11461</v>
      </c>
      <c r="B112" s="60" t="s">
        <v>3217</v>
      </c>
      <c r="C112" s="51" t="s">
        <v>4285</v>
      </c>
      <c r="D112" s="176"/>
      <c r="E112" s="54"/>
      <c r="F112" s="86"/>
      <c r="G112" s="87"/>
      <c r="H112" s="88"/>
      <c r="I112" s="88"/>
    </row>
    <row r="113" spans="1:9" ht="13">
      <c r="A113" s="51" t="s">
        <v>11462</v>
      </c>
      <c r="B113" s="60" t="s">
        <v>3167</v>
      </c>
      <c r="C113" s="51" t="s">
        <v>4285</v>
      </c>
      <c r="D113" s="176"/>
      <c r="E113" s="54"/>
      <c r="F113" s="86"/>
      <c r="G113" s="87"/>
      <c r="H113" s="88"/>
      <c r="I113" s="88"/>
    </row>
    <row r="114" spans="1:9" ht="13">
      <c r="A114" s="51" t="s">
        <v>11463</v>
      </c>
      <c r="B114" s="60" t="s">
        <v>4109</v>
      </c>
      <c r="C114" s="51" t="s">
        <v>4285</v>
      </c>
      <c r="D114" s="176"/>
      <c r="E114" s="54"/>
      <c r="F114" s="86"/>
      <c r="G114" s="87"/>
      <c r="H114" s="88"/>
      <c r="I114" s="88"/>
    </row>
    <row r="115" spans="1:9" ht="13">
      <c r="A115" s="51" t="s">
        <v>11464</v>
      </c>
      <c r="B115" s="60" t="s">
        <v>4110</v>
      </c>
      <c r="C115" s="51" t="s">
        <v>4285</v>
      </c>
      <c r="D115" s="176"/>
      <c r="E115" s="54"/>
      <c r="F115" s="86"/>
      <c r="G115" s="87"/>
      <c r="H115" s="88"/>
      <c r="I115" s="88"/>
    </row>
    <row r="116" spans="1:9" ht="13">
      <c r="A116" s="51" t="s">
        <v>11465</v>
      </c>
      <c r="B116" s="60" t="s">
        <v>4111</v>
      </c>
      <c r="C116" s="51" t="s">
        <v>4285</v>
      </c>
      <c r="D116" s="176"/>
      <c r="E116" s="5"/>
      <c r="F116" s="86"/>
      <c r="G116" s="87"/>
      <c r="H116" s="88"/>
      <c r="I116" s="88"/>
    </row>
    <row r="117" spans="1:9" ht="13">
      <c r="A117" s="51" t="s">
        <v>11466</v>
      </c>
      <c r="B117" s="60" t="s">
        <v>4112</v>
      </c>
      <c r="C117" s="51" t="s">
        <v>4285</v>
      </c>
      <c r="D117" s="176"/>
      <c r="E117" s="54"/>
      <c r="F117" s="86"/>
      <c r="G117" s="87"/>
      <c r="H117" s="88"/>
      <c r="I117" s="88"/>
    </row>
    <row r="118" spans="1:9" ht="13">
      <c r="A118" s="51" t="s">
        <v>11467</v>
      </c>
      <c r="B118" s="61" t="s">
        <v>11468</v>
      </c>
      <c r="C118" s="51" t="s">
        <v>4285</v>
      </c>
      <c r="D118" s="176"/>
      <c r="E118" s="54"/>
      <c r="F118" s="87"/>
      <c r="G118" s="87"/>
      <c r="H118" s="88"/>
      <c r="I118" s="88"/>
    </row>
    <row r="119" spans="1:9" ht="13">
      <c r="A119" s="51" t="s">
        <v>11469</v>
      </c>
      <c r="B119" s="60" t="s">
        <v>261</v>
      </c>
      <c r="C119" s="51" t="s">
        <v>197</v>
      </c>
      <c r="D119" s="176"/>
      <c r="E119" s="54"/>
      <c r="F119" s="86"/>
      <c r="G119" s="87"/>
      <c r="H119" s="88"/>
      <c r="I119" s="88"/>
    </row>
    <row r="120" spans="1:9" ht="13">
      <c r="A120" s="51" t="s">
        <v>11470</v>
      </c>
      <c r="B120" s="60" t="s">
        <v>1834</v>
      </c>
      <c r="C120" s="51" t="s">
        <v>197</v>
      </c>
      <c r="D120" s="176"/>
      <c r="E120" s="54"/>
      <c r="F120" s="86"/>
      <c r="G120" s="87"/>
      <c r="H120" s="88"/>
      <c r="I120" s="88"/>
    </row>
    <row r="121" spans="1:9" ht="13">
      <c r="A121" s="51" t="s">
        <v>11471</v>
      </c>
      <c r="B121" s="60" t="s">
        <v>3148</v>
      </c>
      <c r="C121" s="51" t="s">
        <v>197</v>
      </c>
      <c r="D121" s="176"/>
      <c r="E121" s="54"/>
      <c r="F121" s="86"/>
      <c r="G121" s="87"/>
      <c r="H121" s="88"/>
      <c r="I121" s="88"/>
    </row>
    <row r="122" spans="1:9" ht="13">
      <c r="A122" s="51" t="s">
        <v>11472</v>
      </c>
      <c r="B122" s="60" t="s">
        <v>3142</v>
      </c>
      <c r="C122" s="51" t="s">
        <v>197</v>
      </c>
      <c r="D122" s="176"/>
      <c r="E122" s="54"/>
      <c r="F122" s="86"/>
      <c r="G122" s="87"/>
      <c r="H122" s="88"/>
      <c r="I122" s="88"/>
    </row>
    <row r="123" spans="1:9" ht="13">
      <c r="A123" s="51" t="s">
        <v>11473</v>
      </c>
      <c r="B123" s="60" t="s">
        <v>3120</v>
      </c>
      <c r="C123" s="51" t="s">
        <v>197</v>
      </c>
      <c r="D123" s="176"/>
      <c r="E123" s="54"/>
      <c r="F123" s="86"/>
      <c r="G123" s="87"/>
      <c r="H123" s="88"/>
      <c r="I123" s="88"/>
    </row>
    <row r="124" spans="1:9" ht="13">
      <c r="A124" s="51" t="s">
        <v>11474</v>
      </c>
      <c r="B124" s="60" t="s">
        <v>3143</v>
      </c>
      <c r="C124" s="51" t="s">
        <v>197</v>
      </c>
      <c r="D124" s="176"/>
      <c r="E124" s="54"/>
      <c r="F124" s="86"/>
      <c r="G124" s="87"/>
      <c r="H124" s="88"/>
      <c r="I124" s="88"/>
    </row>
    <row r="125" spans="1:9" ht="13">
      <c r="A125" s="51" t="s">
        <v>11475</v>
      </c>
      <c r="B125" s="60" t="s">
        <v>3122</v>
      </c>
      <c r="C125" s="51" t="s">
        <v>197</v>
      </c>
      <c r="D125" s="176"/>
      <c r="E125" s="54"/>
      <c r="F125" s="86"/>
      <c r="G125" s="87"/>
      <c r="H125" s="88"/>
      <c r="I125" s="88"/>
    </row>
    <row r="126" spans="1:9" ht="13">
      <c r="A126" s="51" t="s">
        <v>11476</v>
      </c>
      <c r="B126" s="61" t="s">
        <v>11477</v>
      </c>
      <c r="C126" s="51" t="s">
        <v>197</v>
      </c>
      <c r="D126" s="176"/>
      <c r="E126" s="54"/>
      <c r="F126" s="87"/>
      <c r="G126" s="87"/>
      <c r="H126" s="88"/>
      <c r="I126" s="88"/>
    </row>
    <row r="127" spans="1:9" ht="13">
      <c r="A127" s="51" t="s">
        <v>11478</v>
      </c>
      <c r="B127" s="61" t="s">
        <v>11479</v>
      </c>
      <c r="C127" s="51" t="s">
        <v>197</v>
      </c>
      <c r="D127" s="176"/>
      <c r="E127" s="51"/>
      <c r="F127" s="87"/>
      <c r="G127" s="87"/>
      <c r="H127" s="88"/>
      <c r="I127" s="88"/>
    </row>
    <row r="128" spans="1:9" ht="13">
      <c r="A128" s="51" t="s">
        <v>11480</v>
      </c>
      <c r="B128" s="60" t="s">
        <v>4135</v>
      </c>
      <c r="C128" s="51" t="s">
        <v>197</v>
      </c>
      <c r="D128" s="176"/>
      <c r="E128" s="54"/>
      <c r="F128" s="86"/>
      <c r="G128" s="87"/>
      <c r="H128" s="88"/>
      <c r="I128" s="88"/>
    </row>
    <row r="129" spans="1:9" ht="13">
      <c r="A129" s="51" t="s">
        <v>11481</v>
      </c>
      <c r="B129" s="60" t="s">
        <v>4136</v>
      </c>
      <c r="C129" s="51" t="s">
        <v>197</v>
      </c>
      <c r="D129" s="176"/>
      <c r="E129" s="54"/>
      <c r="F129" s="86"/>
      <c r="G129" s="87"/>
      <c r="H129" s="88"/>
      <c r="I129" s="88"/>
    </row>
    <row r="130" spans="1:9" ht="13">
      <c r="A130" s="51" t="s">
        <v>11482</v>
      </c>
      <c r="B130" s="60" t="s">
        <v>4702</v>
      </c>
      <c r="C130" s="51" t="s">
        <v>197</v>
      </c>
      <c r="D130" s="176"/>
      <c r="E130" s="54"/>
      <c r="F130" s="87"/>
      <c r="G130" s="87"/>
      <c r="H130" s="88"/>
      <c r="I130" s="88"/>
    </row>
    <row r="131" spans="1:9" ht="13">
      <c r="A131" s="51" t="s">
        <v>11483</v>
      </c>
      <c r="B131" s="60" t="s">
        <v>5124</v>
      </c>
      <c r="C131" s="51" t="s">
        <v>197</v>
      </c>
      <c r="D131" s="176"/>
      <c r="E131" s="54"/>
      <c r="F131" s="87"/>
      <c r="G131" s="87"/>
      <c r="H131" s="88"/>
      <c r="I131" s="88"/>
    </row>
    <row r="132" spans="1:9" ht="13">
      <c r="A132" s="51" t="s">
        <v>11484</v>
      </c>
      <c r="B132" s="61" t="s">
        <v>11485</v>
      </c>
      <c r="C132" s="51" t="s">
        <v>197</v>
      </c>
      <c r="D132" s="176"/>
      <c r="E132" s="54"/>
      <c r="F132" s="86"/>
      <c r="G132" s="87"/>
      <c r="H132" s="88"/>
      <c r="I132" s="88"/>
    </row>
    <row r="133" spans="1:9" ht="13">
      <c r="A133" s="51" t="s">
        <v>11486</v>
      </c>
      <c r="B133" s="60" t="s">
        <v>11487</v>
      </c>
      <c r="C133" s="51" t="s">
        <v>1013</v>
      </c>
      <c r="D133" s="44"/>
      <c r="E133" s="54"/>
      <c r="F133" s="87"/>
      <c r="G133" s="87"/>
      <c r="H133" s="88"/>
      <c r="I133" s="88"/>
    </row>
    <row r="134" spans="1:9" ht="13">
      <c r="A134" s="51" t="s">
        <v>11488</v>
      </c>
      <c r="B134" s="60" t="s">
        <v>11489</v>
      </c>
      <c r="C134" s="51" t="s">
        <v>1013</v>
      </c>
      <c r="D134" s="44"/>
      <c r="E134" s="54"/>
      <c r="F134" s="87"/>
      <c r="G134" s="87"/>
      <c r="H134" s="88"/>
      <c r="I134" s="88"/>
    </row>
    <row r="135" spans="1:9" ht="13">
      <c r="A135" s="51" t="s">
        <v>11490</v>
      </c>
      <c r="B135" s="60" t="s">
        <v>11491</v>
      </c>
      <c r="C135" s="51" t="s">
        <v>1013</v>
      </c>
      <c r="D135" s="44"/>
      <c r="E135" s="54"/>
      <c r="F135" s="86"/>
      <c r="G135" s="87"/>
      <c r="H135" s="88"/>
      <c r="I135" s="88"/>
    </row>
    <row r="136" spans="1:9" ht="13">
      <c r="A136" s="51" t="s">
        <v>11492</v>
      </c>
      <c r="B136" s="60" t="s">
        <v>10049</v>
      </c>
      <c r="C136" s="51" t="s">
        <v>1013</v>
      </c>
      <c r="D136" s="44"/>
      <c r="E136" s="54"/>
      <c r="F136" s="86"/>
      <c r="G136" s="87"/>
      <c r="H136" s="88"/>
      <c r="I136" s="88"/>
    </row>
    <row r="137" spans="1:9" ht="13">
      <c r="A137" s="51" t="s">
        <v>11493</v>
      </c>
      <c r="B137" s="60" t="s">
        <v>11494</v>
      </c>
      <c r="C137" s="51" t="s">
        <v>1013</v>
      </c>
      <c r="D137" s="44"/>
      <c r="E137" s="54"/>
      <c r="F137" s="87"/>
      <c r="G137" s="87"/>
      <c r="H137" s="88"/>
      <c r="I137" s="88"/>
    </row>
    <row r="138" spans="1:9" ht="13">
      <c r="A138" s="51" t="s">
        <v>11495</v>
      </c>
      <c r="B138" s="60" t="s">
        <v>11496</v>
      </c>
      <c r="C138" s="51" t="s">
        <v>1013</v>
      </c>
      <c r="D138" s="44"/>
      <c r="E138" s="54"/>
      <c r="F138" s="87"/>
      <c r="G138" s="87"/>
      <c r="H138" s="88"/>
      <c r="I138" s="88"/>
    </row>
    <row r="139" spans="1:9" ht="13">
      <c r="A139" s="51" t="s">
        <v>11497</v>
      </c>
      <c r="B139" s="60" t="s">
        <v>11498</v>
      </c>
      <c r="C139" s="51" t="s">
        <v>4114</v>
      </c>
      <c r="D139" s="44"/>
      <c r="E139" s="54"/>
      <c r="F139" s="86"/>
      <c r="G139" s="87"/>
      <c r="H139" s="88"/>
      <c r="I139" s="88"/>
    </row>
    <row r="140" spans="1:9" ht="13">
      <c r="A140" s="51" t="s">
        <v>11499</v>
      </c>
      <c r="B140" s="60" t="s">
        <v>11500</v>
      </c>
      <c r="C140" s="51" t="s">
        <v>4114</v>
      </c>
      <c r="D140" s="44"/>
      <c r="E140" s="54"/>
      <c r="F140" s="87"/>
      <c r="G140" s="87"/>
      <c r="H140" s="88"/>
      <c r="I140" s="88"/>
    </row>
    <row r="141" spans="1:9" ht="13">
      <c r="A141" s="51" t="s">
        <v>11501</v>
      </c>
      <c r="B141" s="60" t="s">
        <v>11502</v>
      </c>
      <c r="C141" s="51" t="s">
        <v>229</v>
      </c>
      <c r="D141" s="44"/>
      <c r="E141" s="54"/>
      <c r="F141" s="86"/>
      <c r="G141" s="87"/>
      <c r="H141" s="88"/>
      <c r="I141" s="88"/>
    </row>
    <row r="142" spans="1:9" ht="13">
      <c r="A142" s="51" t="s">
        <v>11503</v>
      </c>
      <c r="B142" s="60" t="s">
        <v>11504</v>
      </c>
      <c r="C142" s="51" t="s">
        <v>1013</v>
      </c>
      <c r="D142" s="44"/>
      <c r="E142" s="54"/>
      <c r="F142" s="86"/>
      <c r="G142" s="87"/>
      <c r="H142" s="88"/>
      <c r="I142" s="88"/>
    </row>
    <row r="143" spans="1:9" ht="13">
      <c r="A143" s="51" t="s">
        <v>11505</v>
      </c>
      <c r="B143" s="60" t="s">
        <v>5410</v>
      </c>
      <c r="C143" s="51" t="s">
        <v>4114</v>
      </c>
      <c r="D143" s="44"/>
      <c r="E143" s="54"/>
      <c r="F143" s="86"/>
      <c r="G143" s="87"/>
      <c r="H143" s="88"/>
      <c r="I143" s="88"/>
    </row>
    <row r="144" spans="1:9" ht="13">
      <c r="A144" s="51" t="s">
        <v>11506</v>
      </c>
      <c r="B144" s="60" t="s">
        <v>11507</v>
      </c>
      <c r="C144" s="51" t="s">
        <v>1013</v>
      </c>
      <c r="D144" s="44"/>
      <c r="E144" s="54"/>
      <c r="F144" s="87"/>
      <c r="G144" s="87"/>
      <c r="H144" s="88"/>
      <c r="I144" s="88"/>
    </row>
    <row r="145" spans="1:9" ht="13">
      <c r="A145" s="51" t="s">
        <v>11508</v>
      </c>
      <c r="B145" s="60" t="s">
        <v>11509</v>
      </c>
      <c r="C145" s="51" t="s">
        <v>1013</v>
      </c>
      <c r="D145" s="44"/>
      <c r="E145" s="54"/>
      <c r="F145" s="86"/>
      <c r="G145" s="87"/>
      <c r="H145" s="88"/>
      <c r="I145" s="88"/>
    </row>
    <row r="146" spans="1:9" ht="13">
      <c r="A146" s="51" t="s">
        <v>11510</v>
      </c>
      <c r="B146" s="60" t="s">
        <v>11511</v>
      </c>
      <c r="C146" s="51" t="s">
        <v>4114</v>
      </c>
      <c r="D146" s="44"/>
      <c r="E146" s="54"/>
      <c r="F146" s="87"/>
      <c r="G146" s="87"/>
      <c r="H146" s="88"/>
      <c r="I146" s="88"/>
    </row>
    <row r="147" spans="1:9" ht="13">
      <c r="A147" s="51" t="s">
        <v>11512</v>
      </c>
      <c r="B147" s="60" t="s">
        <v>11513</v>
      </c>
      <c r="C147" s="51" t="s">
        <v>1013</v>
      </c>
      <c r="D147" s="44"/>
      <c r="E147" s="54"/>
      <c r="F147" s="87"/>
      <c r="G147" s="87"/>
      <c r="H147" s="88"/>
      <c r="I147" s="88"/>
    </row>
    <row r="148" spans="1:9" ht="13">
      <c r="A148" s="51" t="s">
        <v>11514</v>
      </c>
      <c r="B148" s="60" t="s">
        <v>11515</v>
      </c>
      <c r="C148" s="51" t="s">
        <v>229</v>
      </c>
      <c r="D148" s="44"/>
      <c r="E148" s="54"/>
      <c r="F148" s="87"/>
      <c r="G148" s="87"/>
      <c r="H148" s="88"/>
      <c r="I148" s="88"/>
    </row>
    <row r="149" spans="1:9" ht="13">
      <c r="A149" s="51" t="s">
        <v>11516</v>
      </c>
      <c r="B149" s="60" t="s">
        <v>11517</v>
      </c>
      <c r="C149" s="51" t="s">
        <v>1013</v>
      </c>
      <c r="D149" s="44"/>
      <c r="E149" s="54"/>
      <c r="F149" s="86"/>
      <c r="G149" s="87"/>
      <c r="H149" s="88"/>
      <c r="I149" s="88"/>
    </row>
    <row r="150" spans="1:9" ht="13">
      <c r="A150" s="51" t="s">
        <v>11518</v>
      </c>
      <c r="B150" s="60" t="s">
        <v>11519</v>
      </c>
      <c r="C150" s="51" t="s">
        <v>4114</v>
      </c>
      <c r="D150" s="44"/>
      <c r="E150" s="54"/>
      <c r="F150" s="87"/>
      <c r="G150" s="87"/>
      <c r="H150" s="88"/>
      <c r="I150" s="88"/>
    </row>
    <row r="151" spans="1:9" ht="13">
      <c r="A151" s="51" t="s">
        <v>11520</v>
      </c>
      <c r="B151" s="60" t="s">
        <v>8784</v>
      </c>
      <c r="C151" s="51" t="s">
        <v>1013</v>
      </c>
      <c r="D151" s="44"/>
      <c r="E151" s="54"/>
      <c r="F151" s="87"/>
      <c r="G151" s="87"/>
      <c r="H151" s="88"/>
      <c r="I151" s="88"/>
    </row>
    <row r="152" spans="1:9" ht="13">
      <c r="A152" s="51" t="s">
        <v>11521</v>
      </c>
      <c r="B152" s="60" t="s">
        <v>11522</v>
      </c>
      <c r="C152" s="51" t="s">
        <v>1013</v>
      </c>
      <c r="D152" s="44"/>
      <c r="E152" s="54"/>
      <c r="F152" s="86"/>
      <c r="G152" s="87"/>
      <c r="H152" s="88"/>
      <c r="I152" s="88"/>
    </row>
    <row r="153" spans="1:9" ht="13">
      <c r="A153" s="51" t="s">
        <v>11523</v>
      </c>
      <c r="B153" s="60" t="s">
        <v>11524</v>
      </c>
      <c r="C153" s="51" t="s">
        <v>1013</v>
      </c>
      <c r="D153" s="44"/>
      <c r="E153" s="54"/>
      <c r="F153" s="87"/>
      <c r="G153" s="87"/>
      <c r="H153" s="88"/>
      <c r="I153" s="88"/>
    </row>
    <row r="154" spans="1:9" ht="13">
      <c r="A154" s="51" t="s">
        <v>11525</v>
      </c>
      <c r="B154" s="60" t="s">
        <v>4173</v>
      </c>
      <c r="C154" s="51" t="s">
        <v>4114</v>
      </c>
      <c r="D154" s="44"/>
      <c r="E154" s="54"/>
      <c r="F154" s="87"/>
      <c r="G154" s="87"/>
      <c r="H154" s="88"/>
      <c r="I154" s="88"/>
    </row>
    <row r="155" spans="1:9" ht="13">
      <c r="A155" s="51" t="s">
        <v>11526</v>
      </c>
      <c r="B155" s="60" t="s">
        <v>11527</v>
      </c>
      <c r="C155" s="51" t="s">
        <v>317</v>
      </c>
      <c r="D155" s="44"/>
      <c r="E155" s="54"/>
      <c r="F155" s="86"/>
      <c r="G155" s="87"/>
      <c r="H155" s="88"/>
      <c r="I155" s="88"/>
    </row>
    <row r="156" spans="1:9" ht="13">
      <c r="A156" s="51" t="s">
        <v>11528</v>
      </c>
      <c r="B156" s="61" t="s">
        <v>11349</v>
      </c>
      <c r="C156" s="51" t="s">
        <v>205</v>
      </c>
      <c r="D156" s="176"/>
      <c r="E156" s="54"/>
      <c r="F156" s="87"/>
      <c r="G156" s="87"/>
      <c r="H156" s="88"/>
      <c r="I156" s="88"/>
    </row>
    <row r="157" spans="1:9" ht="13">
      <c r="A157" s="51" t="s">
        <v>11529</v>
      </c>
      <c r="B157" s="61" t="s">
        <v>8622</v>
      </c>
      <c r="C157" s="51" t="s">
        <v>199</v>
      </c>
      <c r="D157" s="176"/>
      <c r="E157" s="54"/>
      <c r="F157" s="86"/>
      <c r="G157" s="87"/>
      <c r="H157" s="88"/>
      <c r="I157" s="88"/>
    </row>
    <row r="158" spans="1:9" ht="13">
      <c r="A158" s="51" t="s">
        <v>11530</v>
      </c>
      <c r="B158" s="61" t="s">
        <v>8622</v>
      </c>
      <c r="C158" s="51" t="s">
        <v>199</v>
      </c>
      <c r="D158" s="176"/>
      <c r="E158" s="54"/>
      <c r="F158" s="86"/>
      <c r="G158" s="87"/>
      <c r="H158" s="88"/>
      <c r="I158" s="88"/>
    </row>
    <row r="159" spans="1:9" ht="13">
      <c r="A159" s="51" t="s">
        <v>11531</v>
      </c>
      <c r="B159" s="61" t="s">
        <v>11383</v>
      </c>
      <c r="C159" s="51" t="s">
        <v>208</v>
      </c>
      <c r="D159" s="176"/>
      <c r="E159" s="54"/>
      <c r="F159" s="89"/>
      <c r="G159" s="87"/>
      <c r="H159" s="88"/>
      <c r="I159" s="88"/>
    </row>
    <row r="160" spans="1:9" ht="13">
      <c r="A160" s="51" t="s">
        <v>11532</v>
      </c>
      <c r="B160" s="61" t="s">
        <v>11383</v>
      </c>
      <c r="C160" s="51" t="s">
        <v>208</v>
      </c>
      <c r="D160" s="176"/>
      <c r="E160" s="54"/>
      <c r="F160" s="87"/>
      <c r="G160" s="87"/>
      <c r="H160" s="88"/>
      <c r="I160" s="88"/>
    </row>
    <row r="161" spans="1:9" ht="13">
      <c r="A161" s="51" t="s">
        <v>11533</v>
      </c>
      <c r="B161" s="61" t="s">
        <v>8640</v>
      </c>
      <c r="C161" s="51" t="s">
        <v>192</v>
      </c>
      <c r="D161" s="176"/>
      <c r="E161" s="54"/>
      <c r="F161" s="86"/>
      <c r="G161" s="87"/>
      <c r="H161" s="88"/>
      <c r="I161" s="137"/>
    </row>
    <row r="162" spans="1:9" ht="13">
      <c r="A162" s="51" t="s">
        <v>11534</v>
      </c>
      <c r="B162" s="61" t="s">
        <v>11389</v>
      </c>
      <c r="C162" s="51" t="s">
        <v>192</v>
      </c>
      <c r="D162" s="176"/>
      <c r="E162" s="54"/>
      <c r="F162" s="87"/>
      <c r="G162" s="87"/>
      <c r="H162" s="88"/>
      <c r="I162" s="88"/>
    </row>
    <row r="163" spans="1:9" ht="13">
      <c r="A163" s="51" t="s">
        <v>11535</v>
      </c>
      <c r="B163" s="61" t="s">
        <v>11403</v>
      </c>
      <c r="C163" s="51" t="s">
        <v>195</v>
      </c>
      <c r="D163" s="176"/>
      <c r="E163" s="54"/>
      <c r="F163" s="86"/>
      <c r="G163" s="87"/>
      <c r="H163" s="88"/>
      <c r="I163" s="88"/>
    </row>
    <row r="164" spans="1:9" ht="13">
      <c r="A164" s="51" t="s">
        <v>11536</v>
      </c>
      <c r="B164" s="61" t="s">
        <v>11411</v>
      </c>
      <c r="C164" s="51" t="s">
        <v>195</v>
      </c>
      <c r="D164" s="176"/>
      <c r="E164" s="54"/>
      <c r="F164" s="87"/>
      <c r="G164" s="87"/>
      <c r="H164" s="88"/>
      <c r="I164" s="88"/>
    </row>
    <row r="165" spans="1:9" ht="13">
      <c r="A165" s="51" t="s">
        <v>11537</v>
      </c>
      <c r="B165" s="61" t="s">
        <v>11438</v>
      </c>
      <c r="C165" s="51" t="s">
        <v>808</v>
      </c>
      <c r="D165" s="176"/>
      <c r="E165" s="54"/>
      <c r="F165" s="86"/>
      <c r="G165" s="87"/>
      <c r="H165" s="88"/>
      <c r="I165" s="88"/>
    </row>
    <row r="166" spans="1:9" ht="13">
      <c r="A166" s="51" t="s">
        <v>11538</v>
      </c>
      <c r="B166" s="61" t="s">
        <v>11438</v>
      </c>
      <c r="C166" s="51" t="s">
        <v>808</v>
      </c>
      <c r="D166" s="176"/>
      <c r="E166" s="54"/>
      <c r="F166" s="87"/>
      <c r="G166" s="87"/>
      <c r="H166" s="88"/>
      <c r="I166" s="88"/>
    </row>
    <row r="167" spans="1:9" ht="13">
      <c r="A167" s="51" t="s">
        <v>11539</v>
      </c>
      <c r="B167" s="61" t="s">
        <v>8576</v>
      </c>
      <c r="C167" s="51" t="s">
        <v>220</v>
      </c>
      <c r="D167" s="176"/>
      <c r="E167" s="54"/>
      <c r="F167" s="87"/>
      <c r="G167" s="87"/>
      <c r="H167" s="88"/>
      <c r="I167" s="88"/>
    </row>
    <row r="168" spans="1:9" ht="13">
      <c r="A168" s="51" t="s">
        <v>11540</v>
      </c>
      <c r="B168" s="61" t="s">
        <v>11459</v>
      </c>
      <c r="C168" s="51" t="s">
        <v>4285</v>
      </c>
      <c r="D168" s="176"/>
      <c r="E168" s="54"/>
      <c r="F168" s="87"/>
      <c r="G168" s="87"/>
      <c r="H168" s="88"/>
      <c r="I168" s="88"/>
    </row>
    <row r="169" spans="1:9" ht="13">
      <c r="A169" s="51" t="s">
        <v>11541</v>
      </c>
      <c r="B169" s="61" t="s">
        <v>11477</v>
      </c>
      <c r="C169" s="51" t="s">
        <v>197</v>
      </c>
      <c r="D169" s="176"/>
      <c r="E169" s="54"/>
      <c r="F169" s="87"/>
      <c r="G169" s="87"/>
      <c r="H169" s="88"/>
      <c r="I169" s="88"/>
    </row>
    <row r="170" spans="1:9" ht="13">
      <c r="A170" s="51" t="s">
        <v>11542</v>
      </c>
      <c r="B170" s="61" t="s">
        <v>11477</v>
      </c>
      <c r="C170" s="51" t="s">
        <v>197</v>
      </c>
      <c r="D170" s="176"/>
      <c r="E170" s="54"/>
      <c r="F170" s="87"/>
      <c r="G170" s="87"/>
      <c r="H170" s="88"/>
      <c r="I170" s="88"/>
    </row>
    <row r="171" spans="1:9" ht="13">
      <c r="A171" s="51" t="s">
        <v>11543</v>
      </c>
      <c r="B171" s="60" t="s">
        <v>11489</v>
      </c>
      <c r="C171" s="51" t="s">
        <v>1013</v>
      </c>
      <c r="D171" s="44"/>
      <c r="E171" s="54"/>
      <c r="F171" s="87"/>
      <c r="G171" s="87"/>
      <c r="H171" s="88"/>
      <c r="I171" s="88"/>
    </row>
    <row r="172" spans="1:9" ht="13">
      <c r="A172" s="51" t="s">
        <v>11544</v>
      </c>
      <c r="B172" s="60" t="s">
        <v>11496</v>
      </c>
      <c r="C172" s="51" t="s">
        <v>1013</v>
      </c>
      <c r="D172" s="44"/>
      <c r="E172" s="54"/>
      <c r="F172" s="86"/>
      <c r="G172" s="87"/>
      <c r="H172" s="88"/>
      <c r="I172" s="88"/>
    </row>
    <row r="173" spans="1:9" ht="13">
      <c r="A173" s="51" t="s">
        <v>11545</v>
      </c>
      <c r="B173" s="60" t="s">
        <v>11504</v>
      </c>
      <c r="C173" s="51" t="s">
        <v>1013</v>
      </c>
      <c r="D173" s="44"/>
      <c r="E173" s="54"/>
      <c r="F173" s="87"/>
      <c r="G173" s="87"/>
      <c r="H173" s="88"/>
      <c r="I173" s="88"/>
    </row>
    <row r="174" spans="1:9" ht="13">
      <c r="A174" s="51" t="s">
        <v>11546</v>
      </c>
      <c r="B174" s="60" t="s">
        <v>11513</v>
      </c>
      <c r="C174" s="51" t="s">
        <v>1013</v>
      </c>
      <c r="D174" s="44"/>
      <c r="E174" s="54"/>
      <c r="F174" s="87"/>
      <c r="G174" s="87"/>
      <c r="H174" s="88"/>
      <c r="I174" s="88"/>
    </row>
    <row r="175" spans="1:9" ht="13">
      <c r="A175" s="51" t="s">
        <v>11547</v>
      </c>
      <c r="B175" s="60" t="s">
        <v>11517</v>
      </c>
      <c r="C175" s="51" t="s">
        <v>1013</v>
      </c>
      <c r="D175" s="44"/>
      <c r="E175" s="54"/>
      <c r="F175" s="87"/>
      <c r="G175" s="87"/>
      <c r="H175" s="88"/>
      <c r="I175" s="88"/>
    </row>
    <row r="176" spans="1:9" ht="13">
      <c r="A176" s="51" t="s">
        <v>11548</v>
      </c>
      <c r="B176" s="60" t="s">
        <v>11522</v>
      </c>
      <c r="C176" s="51" t="s">
        <v>1013</v>
      </c>
      <c r="D176" s="44"/>
      <c r="E176" s="54"/>
      <c r="F176" s="87"/>
      <c r="G176" s="87"/>
      <c r="H176" s="88"/>
      <c r="I176" s="88"/>
    </row>
    <row r="177" spans="1:9" ht="13">
      <c r="A177" s="51" t="s">
        <v>11549</v>
      </c>
      <c r="B177" s="61" t="s">
        <v>11351</v>
      </c>
      <c r="C177" s="51" t="s">
        <v>205</v>
      </c>
      <c r="D177" s="176"/>
      <c r="E177" s="54"/>
      <c r="F177" s="89"/>
      <c r="G177" s="87"/>
      <c r="H177" s="88"/>
      <c r="I177" s="88"/>
    </row>
    <row r="178" spans="1:9" ht="13">
      <c r="A178" s="51" t="s">
        <v>11550</v>
      </c>
      <c r="B178" s="61" t="s">
        <v>11356</v>
      </c>
      <c r="C178" s="51" t="s">
        <v>199</v>
      </c>
      <c r="D178" s="176"/>
      <c r="E178" s="54"/>
      <c r="F178" s="87"/>
      <c r="G178" s="87"/>
      <c r="H178" s="88"/>
      <c r="I178" s="88"/>
    </row>
    <row r="179" spans="1:9" ht="13">
      <c r="A179" s="51" t="s">
        <v>11551</v>
      </c>
      <c r="B179" s="61" t="s">
        <v>11413</v>
      </c>
      <c r="C179" s="51" t="s">
        <v>195</v>
      </c>
      <c r="D179" s="176"/>
      <c r="E179" s="54"/>
      <c r="F179" s="87"/>
      <c r="G179" s="87"/>
      <c r="H179" s="88"/>
      <c r="I179" s="88"/>
    </row>
    <row r="180" spans="1:9" ht="13">
      <c r="A180" s="51" t="s">
        <v>11552</v>
      </c>
      <c r="B180" s="61" t="s">
        <v>11479</v>
      </c>
      <c r="C180" s="51" t="s">
        <v>197</v>
      </c>
      <c r="D180" s="176"/>
      <c r="E180" s="54"/>
      <c r="F180" s="87"/>
      <c r="G180" s="87"/>
      <c r="H180" s="88"/>
      <c r="I180" s="88"/>
    </row>
    <row r="181" spans="1:9" ht="13">
      <c r="A181" s="51" t="s">
        <v>11553</v>
      </c>
      <c r="B181" s="60" t="s">
        <v>11496</v>
      </c>
      <c r="C181" s="51" t="s">
        <v>1013</v>
      </c>
      <c r="D181" s="44"/>
      <c r="E181" s="54"/>
      <c r="F181" s="87"/>
      <c r="G181" s="87"/>
      <c r="H181" s="88"/>
      <c r="I181" s="88"/>
    </row>
    <row r="182" spans="1:9" ht="13">
      <c r="A182" s="51" t="s">
        <v>11554</v>
      </c>
      <c r="B182" s="60" t="s">
        <v>11504</v>
      </c>
      <c r="C182" s="51" t="s">
        <v>1013</v>
      </c>
      <c r="D182" s="44"/>
      <c r="E182" s="54"/>
      <c r="F182" s="86"/>
      <c r="G182" s="87"/>
      <c r="H182" s="88"/>
      <c r="I182" s="88"/>
    </row>
    <row r="183" spans="1:9" ht="13">
      <c r="A183" s="51" t="s">
        <v>11555</v>
      </c>
      <c r="B183" s="60" t="s">
        <v>11513</v>
      </c>
      <c r="C183" s="51" t="s">
        <v>1013</v>
      </c>
      <c r="D183" s="44"/>
      <c r="E183" s="54"/>
      <c r="F183" s="89"/>
      <c r="G183" s="87"/>
      <c r="H183" s="88"/>
      <c r="I183" s="88"/>
    </row>
    <row r="184" spans="1:9" ht="13">
      <c r="A184" s="51" t="s">
        <v>11556</v>
      </c>
      <c r="B184" s="60" t="s">
        <v>11522</v>
      </c>
      <c r="C184" s="51" t="s">
        <v>1013</v>
      </c>
      <c r="D184" s="44"/>
      <c r="E184" s="54"/>
      <c r="F184" s="87"/>
      <c r="G184" s="87"/>
      <c r="H184" s="88"/>
      <c r="I184" s="88"/>
    </row>
    <row r="185" spans="1:9" ht="13">
      <c r="A185" s="51" t="s">
        <v>11557</v>
      </c>
      <c r="B185" s="61" t="s">
        <v>10477</v>
      </c>
      <c r="C185" s="51" t="s">
        <v>195</v>
      </c>
      <c r="D185" s="176"/>
      <c r="E185" s="54"/>
      <c r="F185" s="89"/>
      <c r="G185" s="87"/>
      <c r="H185" s="88"/>
      <c r="I185" s="88"/>
    </row>
    <row r="186" spans="1:9" ht="13">
      <c r="A186" s="51" t="s">
        <v>11558</v>
      </c>
      <c r="B186" s="61" t="s">
        <v>10501</v>
      </c>
      <c r="C186" s="51" t="s">
        <v>225</v>
      </c>
      <c r="D186" s="176"/>
      <c r="E186" s="54"/>
      <c r="F186" s="89"/>
      <c r="G186" s="87"/>
      <c r="H186" s="88"/>
      <c r="I186" s="88"/>
    </row>
    <row r="187" spans="1:9" ht="13">
      <c r="A187" s="51" t="s">
        <v>11559</v>
      </c>
      <c r="B187" s="61" t="s">
        <v>10522</v>
      </c>
      <c r="C187" s="51" t="s">
        <v>808</v>
      </c>
      <c r="D187" s="176"/>
      <c r="E187" s="5"/>
      <c r="F187" s="86"/>
      <c r="G187" s="87"/>
      <c r="H187" s="88"/>
      <c r="I187" s="88"/>
    </row>
    <row r="188" spans="1:9" ht="13">
      <c r="A188" s="51" t="s">
        <v>11560</v>
      </c>
      <c r="B188" s="61" t="s">
        <v>11479</v>
      </c>
      <c r="C188" s="51" t="s">
        <v>197</v>
      </c>
      <c r="D188" s="176"/>
      <c r="E188" s="54"/>
      <c r="F188" s="87"/>
      <c r="G188" s="87"/>
      <c r="H188" s="88"/>
      <c r="I188" s="88"/>
    </row>
    <row r="189" spans="1:9" ht="13">
      <c r="A189" s="51" t="s">
        <v>11561</v>
      </c>
      <c r="B189" s="60" t="s">
        <v>11515</v>
      </c>
      <c r="C189" s="51" t="s">
        <v>229</v>
      </c>
      <c r="D189" s="44"/>
      <c r="E189" s="54"/>
      <c r="F189" s="87"/>
      <c r="G189" s="87"/>
      <c r="H189" s="88"/>
      <c r="I189" s="88"/>
    </row>
    <row r="190" spans="1:9" ht="13">
      <c r="A190" s="51" t="s">
        <v>11562</v>
      </c>
      <c r="B190" s="60" t="s">
        <v>4173</v>
      </c>
      <c r="C190" s="51" t="s">
        <v>4114</v>
      </c>
      <c r="D190" s="140"/>
      <c r="E190" s="140"/>
      <c r="F190" s="86"/>
      <c r="G190" s="87"/>
      <c r="H190" s="88"/>
      <c r="I190" s="88"/>
    </row>
    <row r="191" spans="1:9" ht="13">
      <c r="A191" s="64"/>
      <c r="B191" s="68"/>
      <c r="C191" s="51"/>
      <c r="D191" s="140"/>
      <c r="E191" s="140"/>
      <c r="F191" s="87"/>
      <c r="G191" s="87"/>
      <c r="H191" s="88"/>
      <c r="I191" s="88"/>
    </row>
    <row r="192" spans="1:9" ht="13">
      <c r="A192" s="177" t="s">
        <v>11563</v>
      </c>
      <c r="B192" s="68"/>
      <c r="C192" s="51"/>
      <c r="D192" s="140"/>
      <c r="E192" s="140"/>
      <c r="F192" s="89"/>
      <c r="G192" s="87"/>
      <c r="H192" s="88"/>
      <c r="I192" s="88"/>
    </row>
    <row r="193" spans="1:9" ht="13">
      <c r="A193" s="51" t="s">
        <v>11564</v>
      </c>
      <c r="B193" s="60" t="s">
        <v>319</v>
      </c>
      <c r="C193" s="51" t="s">
        <v>199</v>
      </c>
      <c r="D193" s="176"/>
      <c r="E193" s="54"/>
      <c r="F193" s="86"/>
      <c r="G193" s="87"/>
      <c r="H193" s="88"/>
      <c r="I193" s="88"/>
    </row>
    <row r="194" spans="1:9" ht="13">
      <c r="A194" s="51" t="s">
        <v>11565</v>
      </c>
      <c r="B194" s="60" t="s">
        <v>326</v>
      </c>
      <c r="C194" s="51" t="s">
        <v>208</v>
      </c>
      <c r="D194" s="176"/>
      <c r="E194" s="54"/>
      <c r="F194" s="89"/>
      <c r="G194" s="87"/>
      <c r="H194" s="88"/>
      <c r="I194" s="88"/>
    </row>
    <row r="195" spans="1:9" ht="13">
      <c r="A195" s="51" t="s">
        <v>11566</v>
      </c>
      <c r="B195" s="60" t="s">
        <v>975</v>
      </c>
      <c r="C195" s="51" t="s">
        <v>208</v>
      </c>
      <c r="D195" s="176"/>
      <c r="E195" s="54"/>
      <c r="F195" s="89"/>
      <c r="G195" s="87"/>
      <c r="H195" s="88"/>
      <c r="I195" s="88"/>
    </row>
    <row r="196" spans="1:9" ht="13">
      <c r="A196" s="51" t="s">
        <v>11567</v>
      </c>
      <c r="B196" s="60" t="s">
        <v>320</v>
      </c>
      <c r="C196" s="51" t="s">
        <v>192</v>
      </c>
      <c r="D196" s="176"/>
      <c r="E196" s="54"/>
      <c r="F196" s="87"/>
      <c r="G196" s="87"/>
      <c r="H196" s="88"/>
      <c r="I196" s="88"/>
    </row>
    <row r="197" spans="1:9" ht="13">
      <c r="A197" s="51" t="s">
        <v>11568</v>
      </c>
      <c r="B197" s="60" t="s">
        <v>4129</v>
      </c>
      <c r="C197" s="51" t="s">
        <v>192</v>
      </c>
      <c r="D197" s="176"/>
      <c r="E197" s="54"/>
      <c r="F197" s="87"/>
      <c r="G197" s="87"/>
      <c r="H197" s="88"/>
      <c r="I197" s="88"/>
    </row>
    <row r="198" spans="1:9" ht="13">
      <c r="A198" s="51" t="s">
        <v>11569</v>
      </c>
      <c r="B198" s="60" t="s">
        <v>3076</v>
      </c>
      <c r="C198" s="51" t="s">
        <v>195</v>
      </c>
      <c r="D198" s="176"/>
      <c r="E198" s="54"/>
      <c r="F198" s="87"/>
      <c r="G198" s="87"/>
      <c r="H198" s="88"/>
      <c r="I198" s="88"/>
    </row>
    <row r="199" spans="1:9" ht="13">
      <c r="A199" s="51" t="s">
        <v>11570</v>
      </c>
      <c r="B199" s="60" t="s">
        <v>5120</v>
      </c>
      <c r="C199" s="51" t="s">
        <v>195</v>
      </c>
      <c r="D199" s="176"/>
      <c r="E199" s="54"/>
      <c r="F199" s="87"/>
      <c r="G199" s="87"/>
      <c r="H199" s="88"/>
      <c r="I199" s="88"/>
    </row>
    <row r="200" spans="1:9" ht="13">
      <c r="A200" s="51" t="s">
        <v>11571</v>
      </c>
      <c r="B200" s="60" t="s">
        <v>8635</v>
      </c>
      <c r="C200" s="51" t="s">
        <v>195</v>
      </c>
      <c r="D200" s="176"/>
      <c r="E200" s="5"/>
      <c r="F200" s="87"/>
      <c r="G200" s="87"/>
      <c r="H200" s="88"/>
      <c r="I200" s="88"/>
    </row>
    <row r="201" spans="1:9" ht="13">
      <c r="A201" s="51" t="s">
        <v>11572</v>
      </c>
      <c r="B201" s="60" t="s">
        <v>814</v>
      </c>
      <c r="C201" s="51" t="s">
        <v>808</v>
      </c>
      <c r="D201" s="176"/>
      <c r="E201" s="54"/>
      <c r="F201" s="89"/>
      <c r="G201" s="87"/>
      <c r="H201" s="88"/>
      <c r="I201" s="88"/>
    </row>
    <row r="202" spans="1:9" ht="13">
      <c r="A202" s="51" t="s">
        <v>11573</v>
      </c>
      <c r="B202" s="60" t="s">
        <v>938</v>
      </c>
      <c r="C202" s="51" t="s">
        <v>808</v>
      </c>
      <c r="D202" s="176"/>
      <c r="E202" s="5"/>
      <c r="F202" s="87"/>
      <c r="G202" s="87"/>
      <c r="H202" s="88"/>
      <c r="I202" s="88"/>
    </row>
    <row r="203" spans="1:9" ht="13">
      <c r="A203" s="51" t="s">
        <v>11574</v>
      </c>
      <c r="B203" s="60" t="s">
        <v>203</v>
      </c>
      <c r="C203" s="51" t="s">
        <v>197</v>
      </c>
      <c r="D203" s="176"/>
      <c r="E203" s="54"/>
      <c r="F203" s="87"/>
      <c r="G203" s="87"/>
      <c r="H203" s="88"/>
      <c r="I203" s="88"/>
    </row>
    <row r="204" spans="1:9" ht="13">
      <c r="A204" s="51" t="s">
        <v>11575</v>
      </c>
      <c r="B204" s="60" t="s">
        <v>6505</v>
      </c>
      <c r="C204" s="51" t="s">
        <v>197</v>
      </c>
      <c r="D204" s="176"/>
      <c r="E204" s="5"/>
      <c r="F204" s="86"/>
      <c r="G204" s="87"/>
      <c r="H204" s="88"/>
      <c r="I204" s="88"/>
    </row>
    <row r="205" spans="1:9" ht="13">
      <c r="A205" s="51" t="s">
        <v>11576</v>
      </c>
      <c r="B205" s="61" t="s">
        <v>8674</v>
      </c>
      <c r="C205" s="51" t="s">
        <v>192</v>
      </c>
      <c r="D205" s="176"/>
      <c r="E205" s="5"/>
      <c r="F205" s="87"/>
      <c r="G205" s="87"/>
      <c r="H205" s="88"/>
      <c r="I205" s="88"/>
    </row>
    <row r="206" spans="1:9" ht="13">
      <c r="A206" s="51" t="s">
        <v>11577</v>
      </c>
      <c r="B206" s="61" t="s">
        <v>8853</v>
      </c>
      <c r="C206" s="51" t="s">
        <v>195</v>
      </c>
      <c r="D206" s="176"/>
      <c r="E206" s="5"/>
      <c r="F206" s="87"/>
      <c r="G206" s="87"/>
      <c r="H206" s="88"/>
      <c r="I206" s="88"/>
    </row>
    <row r="207" spans="1:9" ht="13">
      <c r="A207" s="51" t="s">
        <v>11578</v>
      </c>
      <c r="B207" s="61" t="s">
        <v>10788</v>
      </c>
      <c r="C207" s="51" t="s">
        <v>195</v>
      </c>
      <c r="D207" s="176"/>
      <c r="E207" s="54"/>
      <c r="F207" s="87"/>
      <c r="G207" s="87"/>
      <c r="H207" s="88"/>
      <c r="I207" s="88"/>
    </row>
    <row r="208" spans="1:9" ht="13">
      <c r="A208" s="51" t="s">
        <v>11579</v>
      </c>
      <c r="B208" s="61" t="s">
        <v>10265</v>
      </c>
      <c r="C208" s="51" t="s">
        <v>195</v>
      </c>
      <c r="D208" s="176"/>
      <c r="E208" s="54"/>
      <c r="F208" s="87"/>
      <c r="G208" s="87"/>
      <c r="H208" s="88"/>
      <c r="I208" s="88"/>
    </row>
    <row r="209" spans="1:9" ht="13">
      <c r="A209" s="51" t="s">
        <v>11580</v>
      </c>
      <c r="B209" s="61" t="s">
        <v>11418</v>
      </c>
      <c r="C209" s="51" t="s">
        <v>195</v>
      </c>
      <c r="D209" s="176"/>
      <c r="E209" s="54"/>
      <c r="F209" s="87"/>
      <c r="G209" s="87"/>
      <c r="H209" s="88"/>
      <c r="I209" s="88"/>
    </row>
    <row r="210" spans="1:9" ht="13">
      <c r="A210" s="51" t="s">
        <v>11581</v>
      </c>
      <c r="B210" s="61" t="s">
        <v>8709</v>
      </c>
      <c r="C210" s="51" t="s">
        <v>225</v>
      </c>
      <c r="D210" s="176"/>
      <c r="E210" s="5"/>
      <c r="F210" s="87"/>
      <c r="G210" s="87"/>
      <c r="H210" s="88"/>
      <c r="I210" s="88"/>
    </row>
    <row r="211" spans="1:9" ht="13">
      <c r="A211" s="51" t="s">
        <v>11582</v>
      </c>
      <c r="B211" s="61" t="s">
        <v>10291</v>
      </c>
      <c r="C211" s="51" t="s">
        <v>225</v>
      </c>
      <c r="D211" s="176"/>
      <c r="E211" s="5"/>
      <c r="F211" s="87"/>
      <c r="G211" s="87"/>
      <c r="H211" s="88"/>
      <c r="I211" s="88"/>
    </row>
    <row r="212" spans="1:9" ht="13">
      <c r="A212" s="51" t="s">
        <v>11583</v>
      </c>
      <c r="B212" s="61" t="s">
        <v>8711</v>
      </c>
      <c r="C212" s="51" t="s">
        <v>225</v>
      </c>
      <c r="D212" s="176"/>
      <c r="E212" s="5"/>
      <c r="F212" s="87"/>
      <c r="G212" s="87"/>
      <c r="H212" s="88"/>
      <c r="I212" s="88"/>
    </row>
    <row r="213" spans="1:9" ht="13">
      <c r="A213" s="51" t="s">
        <v>11584</v>
      </c>
      <c r="B213" s="61" t="s">
        <v>10294</v>
      </c>
      <c r="C213" s="51" t="s">
        <v>225</v>
      </c>
      <c r="D213" s="176"/>
      <c r="E213" s="54"/>
      <c r="F213" s="87"/>
      <c r="G213" s="87"/>
      <c r="H213" s="88"/>
      <c r="I213" s="88"/>
    </row>
    <row r="214" spans="1:9" ht="13">
      <c r="A214" s="51" t="s">
        <v>11585</v>
      </c>
      <c r="B214" s="61" t="s">
        <v>8855</v>
      </c>
      <c r="C214" s="51" t="s">
        <v>808</v>
      </c>
      <c r="D214" s="176"/>
      <c r="E214" s="5"/>
      <c r="F214" s="87"/>
      <c r="G214" s="87"/>
      <c r="H214" s="88"/>
      <c r="I214" s="88"/>
    </row>
    <row r="215" spans="1:9" ht="13">
      <c r="A215" s="51" t="s">
        <v>11586</v>
      </c>
      <c r="B215" s="61" t="s">
        <v>10811</v>
      </c>
      <c r="C215" s="51" t="s">
        <v>808</v>
      </c>
      <c r="D215" s="176"/>
      <c r="E215" s="54"/>
      <c r="F215" s="87"/>
      <c r="G215" s="87"/>
      <c r="H215" s="88"/>
      <c r="I215" s="88"/>
    </row>
    <row r="216" spans="1:9" ht="13">
      <c r="A216" s="51" t="s">
        <v>11587</v>
      </c>
      <c r="B216" s="60" t="s">
        <v>11487</v>
      </c>
      <c r="C216" s="51" t="s">
        <v>1013</v>
      </c>
      <c r="D216" s="44"/>
      <c r="E216" s="5"/>
      <c r="F216" s="87"/>
      <c r="G216" s="87"/>
      <c r="H216" s="88"/>
      <c r="I216" s="88"/>
    </row>
    <row r="217" spans="1:9" ht="13">
      <c r="A217" s="51" t="s">
        <v>11588</v>
      </c>
      <c r="B217" s="60" t="s">
        <v>11494</v>
      </c>
      <c r="C217" s="51" t="s">
        <v>1013</v>
      </c>
      <c r="D217" s="44"/>
      <c r="E217" s="5"/>
      <c r="F217" s="87"/>
    </row>
    <row r="218" spans="1:9" ht="13">
      <c r="A218" s="51" t="s">
        <v>11589</v>
      </c>
      <c r="B218" s="60" t="s">
        <v>11509</v>
      </c>
      <c r="C218" s="51" t="s">
        <v>1013</v>
      </c>
      <c r="D218" s="44"/>
      <c r="E218" s="54"/>
      <c r="F218" s="86"/>
    </row>
    <row r="219" spans="1:9" ht="13">
      <c r="A219" s="51" t="s">
        <v>11590</v>
      </c>
      <c r="B219" s="60" t="s">
        <v>10349</v>
      </c>
      <c r="C219" s="51" t="s">
        <v>1013</v>
      </c>
      <c r="D219" s="44"/>
      <c r="E219" s="54"/>
      <c r="F219" s="87"/>
    </row>
    <row r="220" spans="1:9" ht="13">
      <c r="A220" s="51" t="s">
        <v>11591</v>
      </c>
      <c r="B220" s="60" t="s">
        <v>10353</v>
      </c>
      <c r="C220" s="51" t="s">
        <v>1013</v>
      </c>
      <c r="D220" s="44"/>
      <c r="E220" s="5"/>
      <c r="F220" s="87"/>
      <c r="G220" s="87"/>
      <c r="H220" s="88"/>
      <c r="I220" s="88"/>
    </row>
    <row r="221" spans="1:9" ht="13">
      <c r="A221" s="51" t="s">
        <v>11592</v>
      </c>
      <c r="B221" s="61" t="s">
        <v>10291</v>
      </c>
      <c r="C221" s="51" t="s">
        <v>225</v>
      </c>
      <c r="D221" s="4"/>
      <c r="E221" s="5"/>
      <c r="F221" s="87"/>
      <c r="G221" s="87"/>
      <c r="H221" s="88"/>
      <c r="I221" s="88"/>
    </row>
    <row r="222" spans="1:9" ht="13">
      <c r="A222" s="51" t="s">
        <v>11593</v>
      </c>
      <c r="B222" s="61" t="s">
        <v>10294</v>
      </c>
      <c r="C222" s="51" t="s">
        <v>225</v>
      </c>
      <c r="D222" s="140"/>
      <c r="E222" s="142"/>
      <c r="F222" s="87"/>
      <c r="G222" s="87"/>
      <c r="H222" s="88"/>
      <c r="I222" s="88"/>
    </row>
    <row r="223" spans="1:9" ht="13">
      <c r="A223" s="64"/>
      <c r="B223" s="68"/>
      <c r="C223" s="51"/>
      <c r="D223" s="140"/>
      <c r="E223" s="140"/>
      <c r="F223" s="87"/>
      <c r="G223" s="87"/>
      <c r="H223" s="88"/>
      <c r="I223" s="88"/>
    </row>
    <row r="224" spans="1:9" ht="13">
      <c r="A224" s="64"/>
      <c r="B224" s="68"/>
      <c r="C224" s="51"/>
      <c r="D224" s="140"/>
      <c r="E224" s="142"/>
      <c r="F224" s="87"/>
      <c r="G224" s="87"/>
      <c r="H224" s="88"/>
      <c r="I224" s="88"/>
    </row>
    <row r="225" spans="1:9" ht="13">
      <c r="A225" s="64"/>
      <c r="B225" s="68"/>
      <c r="C225" s="51"/>
      <c r="D225" s="140"/>
      <c r="E225" s="140"/>
      <c r="F225" s="87"/>
      <c r="G225" s="87"/>
      <c r="H225" s="88"/>
      <c r="I225" s="88"/>
    </row>
    <row r="226" spans="1:9" ht="13">
      <c r="A226" s="64"/>
      <c r="B226" s="68"/>
      <c r="C226" s="51"/>
      <c r="D226" s="140"/>
      <c r="E226" s="140"/>
      <c r="F226" s="87"/>
      <c r="G226" s="87"/>
      <c r="H226" s="88"/>
      <c r="I226" s="88"/>
    </row>
    <row r="227" spans="1:9" ht="13">
      <c r="A227" s="64"/>
      <c r="B227" s="68"/>
      <c r="C227" s="51"/>
      <c r="D227" s="140"/>
      <c r="E227" s="142"/>
      <c r="F227" s="87"/>
      <c r="G227" s="87"/>
      <c r="H227" s="88"/>
      <c r="I227" s="88"/>
    </row>
    <row r="228" spans="1:9" ht="13">
      <c r="A228" s="64"/>
      <c r="B228" s="68"/>
      <c r="C228" s="51"/>
      <c r="D228" s="140"/>
      <c r="E228" s="142"/>
      <c r="F228" s="87"/>
      <c r="G228" s="87"/>
      <c r="H228" s="88"/>
      <c r="I228" s="88"/>
    </row>
    <row r="229" spans="1:9" ht="13">
      <c r="A229" s="64"/>
      <c r="B229" s="68"/>
      <c r="C229" s="51"/>
      <c r="D229" s="140"/>
      <c r="E229" s="142"/>
      <c r="F229" s="87"/>
      <c r="G229" s="87"/>
      <c r="H229" s="88"/>
      <c r="I229" s="88"/>
    </row>
    <row r="230" spans="1:9" ht="13">
      <c r="A230" s="64"/>
      <c r="B230" s="68"/>
      <c r="C230" s="51"/>
      <c r="D230" s="140"/>
      <c r="E230" s="140"/>
      <c r="F230" s="87"/>
      <c r="G230" s="87"/>
      <c r="H230" s="88"/>
      <c r="I230" s="88"/>
    </row>
    <row r="231" spans="1:9" ht="13">
      <c r="A231" s="64"/>
      <c r="B231" s="68"/>
      <c r="C231" s="51"/>
      <c r="D231" s="140"/>
      <c r="E231" s="140"/>
      <c r="F231" s="87"/>
      <c r="G231" s="87"/>
      <c r="H231" s="88"/>
      <c r="I231" s="88"/>
    </row>
    <row r="232" spans="1:9" ht="13">
      <c r="A232" s="64"/>
      <c r="B232" s="68"/>
      <c r="C232" s="51"/>
      <c r="D232" s="140"/>
      <c r="E232" s="140"/>
      <c r="F232" s="87"/>
      <c r="G232" s="87"/>
      <c r="H232" s="88"/>
      <c r="I232" s="88"/>
    </row>
    <row r="233" spans="1:9" ht="13">
      <c r="A233" s="64"/>
      <c r="B233" s="68"/>
      <c r="C233" s="51"/>
      <c r="D233" s="140"/>
      <c r="E233" s="142"/>
      <c r="F233" s="87"/>
      <c r="G233" s="87"/>
      <c r="H233" s="88"/>
      <c r="I233" s="88"/>
    </row>
    <row r="234" spans="1:9" ht="13">
      <c r="A234" s="64"/>
      <c r="B234" s="68"/>
      <c r="C234" s="51"/>
      <c r="D234" s="140"/>
      <c r="E234" s="142"/>
      <c r="F234" s="87"/>
      <c r="G234" s="87"/>
      <c r="H234" s="88"/>
      <c r="I234" s="88"/>
    </row>
    <row r="235" spans="1:9" ht="13">
      <c r="A235" s="64"/>
      <c r="B235" s="68"/>
      <c r="C235" s="51"/>
      <c r="D235" s="140"/>
      <c r="E235" s="142"/>
      <c r="F235" s="87"/>
      <c r="G235" s="87"/>
      <c r="H235" s="88"/>
      <c r="I235" s="88"/>
    </row>
    <row r="236" spans="1:9" ht="13">
      <c r="A236" s="64"/>
      <c r="B236" s="68"/>
      <c r="C236" s="51"/>
      <c r="D236" s="140"/>
      <c r="E236" s="142"/>
      <c r="F236" s="87"/>
      <c r="G236" s="87"/>
      <c r="H236" s="88"/>
      <c r="I236" s="88"/>
    </row>
    <row r="237" spans="1:9" ht="13">
      <c r="A237" s="64"/>
      <c r="B237" s="68"/>
      <c r="C237" s="51"/>
      <c r="D237" s="140"/>
      <c r="E237" s="142"/>
      <c r="F237" s="87"/>
      <c r="G237" s="87"/>
      <c r="H237" s="88"/>
      <c r="I237" s="88"/>
    </row>
    <row r="238" spans="1:9" ht="13">
      <c r="A238" s="64"/>
      <c r="B238" s="68"/>
      <c r="C238" s="51"/>
      <c r="D238" s="140"/>
      <c r="E238" s="142"/>
      <c r="F238" s="87"/>
      <c r="G238" s="87"/>
      <c r="H238" s="88"/>
      <c r="I238" s="88"/>
    </row>
    <row r="239" spans="1:9" ht="13">
      <c r="A239" s="64"/>
      <c r="B239" s="68"/>
      <c r="C239" s="51"/>
      <c r="D239" s="140"/>
      <c r="E239" s="142"/>
      <c r="F239" s="87"/>
      <c r="G239" s="87"/>
      <c r="H239" s="88"/>
      <c r="I239" s="88"/>
    </row>
    <row r="240" spans="1:9" ht="13">
      <c r="A240" s="64"/>
      <c r="B240" s="68"/>
      <c r="C240" s="51"/>
      <c r="D240" s="140"/>
      <c r="E240" s="140"/>
      <c r="F240" s="86"/>
      <c r="G240" s="87"/>
      <c r="H240" s="88"/>
      <c r="I240" s="88"/>
    </row>
    <row r="241" spans="1:9" ht="13">
      <c r="A241" s="64"/>
      <c r="B241" s="68"/>
      <c r="C241" s="51"/>
      <c r="D241" s="140"/>
      <c r="E241" s="140"/>
      <c r="F241" s="87"/>
      <c r="G241" s="87"/>
      <c r="H241" s="88"/>
      <c r="I241" s="88"/>
    </row>
    <row r="242" spans="1:9" ht="13">
      <c r="A242" s="64"/>
      <c r="B242" s="68"/>
      <c r="C242" s="51"/>
      <c r="D242" s="140"/>
      <c r="E242" s="140"/>
      <c r="F242" s="5"/>
      <c r="G242" s="5"/>
    </row>
    <row r="243" spans="1:9" ht="13">
      <c r="A243" s="64"/>
      <c r="B243" s="68"/>
      <c r="C243" s="51"/>
      <c r="D243" s="140"/>
      <c r="E243" s="140"/>
      <c r="F243" s="5"/>
      <c r="G243" s="5"/>
    </row>
    <row r="244" spans="1:9" ht="13">
      <c r="A244" s="64"/>
      <c r="B244" s="68"/>
      <c r="C244" s="51"/>
      <c r="D244" s="140"/>
      <c r="E244" s="140"/>
      <c r="F244" s="5"/>
      <c r="G244" s="5"/>
    </row>
    <row r="245" spans="1:9" ht="13">
      <c r="A245" s="64"/>
      <c r="B245" s="68"/>
      <c r="C245" s="51"/>
      <c r="D245" s="140"/>
      <c r="E245" s="140"/>
      <c r="F245" s="5"/>
      <c r="G245" s="5"/>
    </row>
    <row r="246" spans="1:9" ht="13">
      <c r="A246" s="64"/>
      <c r="B246" s="68"/>
      <c r="C246" s="51"/>
      <c r="D246" s="140"/>
      <c r="E246" s="140"/>
      <c r="F246" s="5"/>
      <c r="G246" s="5"/>
    </row>
    <row r="247" spans="1:9" ht="13">
      <c r="A247" s="64"/>
      <c r="B247" s="68"/>
      <c r="C247" s="51"/>
      <c r="D247" s="140"/>
      <c r="E247" s="142"/>
      <c r="F247" s="5"/>
      <c r="G247" s="5"/>
    </row>
    <row r="248" spans="1:9" ht="13">
      <c r="A248" s="64"/>
      <c r="B248" s="68"/>
      <c r="C248" s="51"/>
      <c r="D248" s="140"/>
      <c r="E248" s="140"/>
      <c r="F248" s="5"/>
      <c r="G248" s="5"/>
    </row>
    <row r="249" spans="1:9" ht="13">
      <c r="A249" s="64"/>
      <c r="B249" s="178"/>
      <c r="C249" s="51"/>
      <c r="D249" s="142"/>
      <c r="E249" s="142"/>
      <c r="F249" s="5"/>
      <c r="G249" s="5"/>
    </row>
    <row r="250" spans="1:9" ht="13">
      <c r="A250" s="64"/>
      <c r="B250" s="178"/>
      <c r="C250" s="51"/>
      <c r="D250" s="140"/>
      <c r="E250" s="142"/>
      <c r="F250" s="5"/>
      <c r="G250" s="5"/>
    </row>
    <row r="251" spans="1:9" ht="13">
      <c r="A251" s="64"/>
      <c r="B251" s="178"/>
      <c r="C251" s="51"/>
      <c r="D251" s="140"/>
      <c r="E251" s="142"/>
      <c r="F251" s="5"/>
      <c r="G251" s="5"/>
    </row>
    <row r="252" spans="1:9" ht="13">
      <c r="A252" s="64"/>
      <c r="B252" s="178"/>
      <c r="C252" s="51"/>
      <c r="D252" s="142"/>
      <c r="E252" s="142"/>
      <c r="F252" s="5"/>
      <c r="G252" s="5"/>
    </row>
    <row r="253" spans="1:9" ht="13">
      <c r="A253" s="64"/>
      <c r="B253" s="178"/>
      <c r="C253" s="51"/>
      <c r="D253" s="142"/>
      <c r="E253" s="142"/>
      <c r="F253" s="5"/>
      <c r="G253" s="5"/>
    </row>
    <row r="254" spans="1:9" ht="13">
      <c r="A254" s="64"/>
      <c r="B254" s="178"/>
      <c r="C254" s="51"/>
      <c r="D254" s="140"/>
      <c r="E254" s="142"/>
      <c r="F254" s="5"/>
      <c r="G254" s="5"/>
    </row>
    <row r="255" spans="1:9" ht="13">
      <c r="A255" s="64"/>
      <c r="B255" s="178"/>
      <c r="C255" s="51"/>
      <c r="D255" s="142"/>
      <c r="E255" s="142"/>
      <c r="F255" s="5"/>
      <c r="G255" s="5"/>
    </row>
    <row r="256" spans="1:9" ht="13">
      <c r="A256" s="64"/>
      <c r="B256" s="178"/>
      <c r="C256" s="51"/>
      <c r="D256" s="142"/>
      <c r="E256" s="142"/>
      <c r="F256" s="5"/>
      <c r="G256" s="5"/>
    </row>
    <row r="257" spans="1:7" ht="13">
      <c r="A257" s="64"/>
      <c r="B257" s="178"/>
      <c r="C257" s="51"/>
      <c r="D257" s="140"/>
      <c r="E257" s="142"/>
      <c r="F257" s="5"/>
      <c r="G257" s="5"/>
    </row>
    <row r="258" spans="1:7" ht="13">
      <c r="A258" s="64"/>
      <c r="B258" s="178"/>
      <c r="C258" s="51"/>
      <c r="D258" s="142"/>
      <c r="E258" s="142"/>
      <c r="F258" s="5"/>
      <c r="G258" s="5"/>
    </row>
    <row r="259" spans="1:7" ht="13">
      <c r="A259" s="64"/>
      <c r="B259" s="178"/>
      <c r="C259" s="51"/>
      <c r="D259" s="140"/>
      <c r="E259" s="142"/>
      <c r="F259" s="5"/>
      <c r="G259" s="5"/>
    </row>
    <row r="260" spans="1:7" ht="13">
      <c r="A260" s="64"/>
      <c r="B260" s="178"/>
      <c r="C260" s="51"/>
      <c r="D260" s="142"/>
      <c r="E260" s="142"/>
      <c r="F260" s="5"/>
      <c r="G260" s="5"/>
    </row>
    <row r="261" spans="1:7" ht="13">
      <c r="A261" s="64"/>
      <c r="B261" s="178"/>
      <c r="C261" s="51"/>
      <c r="D261" s="142"/>
      <c r="E261" s="142"/>
      <c r="F261" s="5"/>
      <c r="G261" s="5"/>
    </row>
    <row r="262" spans="1:7" ht="13">
      <c r="A262" s="64"/>
      <c r="B262" s="68"/>
      <c r="C262" s="51"/>
      <c r="D262" s="143"/>
      <c r="E262" s="142"/>
      <c r="F262" s="5"/>
      <c r="G262" s="5"/>
    </row>
    <row r="263" spans="1:7" ht="13">
      <c r="A263" s="64"/>
      <c r="B263" s="68"/>
      <c r="C263" s="51"/>
      <c r="D263" s="140"/>
      <c r="E263" s="142"/>
      <c r="F263" s="5"/>
      <c r="G263" s="5"/>
    </row>
    <row r="264" spans="1:7" ht="13">
      <c r="A264" s="64"/>
      <c r="B264" s="68"/>
      <c r="C264" s="51"/>
      <c r="D264" s="143"/>
      <c r="E264" s="142"/>
      <c r="F264" s="5"/>
      <c r="G264" s="5"/>
    </row>
    <row r="265" spans="1:7" ht="13">
      <c r="A265" s="64"/>
      <c r="B265" s="68"/>
      <c r="C265" s="51"/>
      <c r="D265" s="143"/>
      <c r="E265" s="142"/>
      <c r="F265" s="5"/>
      <c r="G265" s="5"/>
    </row>
    <row r="266" spans="1:7" ht="13">
      <c r="A266" s="64"/>
      <c r="B266" s="68"/>
      <c r="C266" s="51"/>
      <c r="D266" s="143"/>
      <c r="E266" s="142"/>
      <c r="F266" s="5"/>
      <c r="G266" s="5"/>
    </row>
    <row r="267" spans="1:7" ht="13">
      <c r="A267" s="64"/>
      <c r="B267" s="68"/>
      <c r="C267" s="51"/>
      <c r="D267" s="143"/>
      <c r="E267" s="142"/>
      <c r="F267" s="5"/>
      <c r="G267" s="5"/>
    </row>
    <row r="268" spans="1:7" ht="13">
      <c r="A268" s="64"/>
      <c r="B268" s="68"/>
      <c r="C268" s="51"/>
      <c r="D268" s="143"/>
      <c r="E268" s="142"/>
      <c r="F268" s="5"/>
      <c r="G268" s="5"/>
    </row>
    <row r="269" spans="1:7" ht="13">
      <c r="A269" s="64"/>
      <c r="B269" s="178"/>
      <c r="C269" s="51"/>
      <c r="D269" s="142"/>
      <c r="E269" s="142"/>
      <c r="F269" s="5"/>
      <c r="G269" s="5"/>
    </row>
    <row r="270" spans="1:7" ht="13">
      <c r="A270" s="64"/>
      <c r="B270" s="178"/>
      <c r="C270" s="51"/>
      <c r="D270" s="142"/>
      <c r="E270" s="142"/>
      <c r="F270" s="5"/>
      <c r="G270" s="5"/>
    </row>
    <row r="271" spans="1:7" ht="13">
      <c r="A271" s="64"/>
      <c r="B271" s="178"/>
      <c r="C271" s="51"/>
      <c r="D271" s="142"/>
      <c r="E271" s="142"/>
      <c r="F271" s="5"/>
      <c r="G271" s="5"/>
    </row>
    <row r="272" spans="1:7" ht="13">
      <c r="A272" s="64"/>
      <c r="B272" s="178"/>
      <c r="C272" s="51"/>
      <c r="D272" s="142"/>
      <c r="E272" s="142"/>
      <c r="F272" s="5"/>
      <c r="G272" s="5"/>
    </row>
    <row r="273" spans="1:7" ht="13">
      <c r="A273" s="64"/>
      <c r="B273" s="178"/>
      <c r="C273" s="51"/>
      <c r="D273" s="142"/>
      <c r="E273" s="142"/>
      <c r="F273" s="5"/>
      <c r="G273" s="5"/>
    </row>
    <row r="274" spans="1:7" ht="13">
      <c r="A274" s="64"/>
      <c r="B274" s="178"/>
      <c r="C274" s="51"/>
      <c r="D274" s="142"/>
      <c r="E274" s="142"/>
      <c r="F274" s="5"/>
      <c r="G274" s="5"/>
    </row>
    <row r="275" spans="1:7" ht="13">
      <c r="A275" s="64"/>
      <c r="B275" s="178"/>
      <c r="C275" s="51"/>
      <c r="D275" s="142"/>
      <c r="E275" s="142"/>
      <c r="F275" s="5"/>
      <c r="G275" s="5"/>
    </row>
    <row r="276" spans="1:7" ht="13">
      <c r="A276" s="64"/>
      <c r="B276" s="178"/>
      <c r="C276" s="51"/>
      <c r="D276" s="142"/>
      <c r="E276" s="142"/>
      <c r="F276" s="5"/>
      <c r="G276" s="5"/>
    </row>
    <row r="277" spans="1:7" ht="13">
      <c r="A277" s="64"/>
      <c r="B277" s="68"/>
      <c r="C277" s="51"/>
      <c r="D277" s="143"/>
      <c r="E277" s="142"/>
      <c r="F277" s="5"/>
      <c r="G277" s="5"/>
    </row>
    <row r="278" spans="1:7" ht="13">
      <c r="A278" s="64"/>
      <c r="B278" s="68"/>
      <c r="C278" s="51"/>
      <c r="D278" s="143"/>
      <c r="E278" s="142"/>
      <c r="F278" s="5"/>
      <c r="G278" s="5"/>
    </row>
    <row r="279" spans="1:7" ht="13">
      <c r="A279" s="64"/>
      <c r="B279" s="68"/>
      <c r="C279" s="51"/>
      <c r="D279" s="143"/>
      <c r="E279" s="142"/>
      <c r="F279" s="5"/>
      <c r="G279" s="5"/>
    </row>
    <row r="280" spans="1:7" ht="13">
      <c r="A280" s="64"/>
      <c r="B280" s="68"/>
      <c r="C280" s="51"/>
      <c r="D280" s="143"/>
      <c r="E280" s="142"/>
      <c r="F280" s="5"/>
      <c r="G280" s="5"/>
    </row>
    <row r="281" spans="1:7" ht="13">
      <c r="A281" s="64"/>
      <c r="B281" s="68"/>
      <c r="C281" s="51"/>
      <c r="D281" s="140"/>
      <c r="E281" s="142"/>
      <c r="F281" s="5"/>
      <c r="G281" s="5"/>
    </row>
    <row r="282" spans="1:7" ht="13">
      <c r="A282" s="64"/>
      <c r="B282" s="68"/>
      <c r="C282" s="51"/>
      <c r="D282" s="143"/>
      <c r="E282" s="142"/>
      <c r="F282" s="5"/>
      <c r="G282" s="5"/>
    </row>
    <row r="283" spans="1:7" ht="13">
      <c r="A283" s="64"/>
      <c r="B283" s="68"/>
      <c r="C283" s="51"/>
      <c r="D283" s="143"/>
      <c r="E283" s="142"/>
      <c r="F283" s="5"/>
      <c r="G283" s="5"/>
    </row>
    <row r="284" spans="1:7" ht="13">
      <c r="A284" s="64"/>
      <c r="B284" s="68"/>
      <c r="C284" s="51"/>
      <c r="D284" s="142"/>
      <c r="E284" s="142"/>
      <c r="F284" s="5"/>
      <c r="G284" s="5"/>
    </row>
    <row r="285" spans="1:7" ht="13">
      <c r="A285" s="64"/>
      <c r="B285" s="68"/>
      <c r="C285" s="51"/>
      <c r="D285" s="140"/>
      <c r="E285" s="142"/>
      <c r="F285" s="5"/>
      <c r="G285" s="5"/>
    </row>
    <row r="286" spans="1:7" ht="13">
      <c r="A286" s="64"/>
      <c r="B286" s="68"/>
      <c r="C286" s="51"/>
      <c r="D286" s="143"/>
      <c r="E286" s="142"/>
      <c r="F286" s="5"/>
      <c r="G286" s="5"/>
    </row>
    <row r="287" spans="1:7" ht="13">
      <c r="A287" s="64"/>
      <c r="B287" s="68"/>
      <c r="C287" s="51"/>
      <c r="D287" s="143"/>
      <c r="E287" s="142"/>
      <c r="F287" s="5"/>
      <c r="G287" s="5"/>
    </row>
    <row r="288" spans="1:7" ht="13">
      <c r="A288" s="64"/>
      <c r="B288" s="68"/>
      <c r="C288" s="51"/>
      <c r="D288" s="143"/>
      <c r="E288" s="142"/>
      <c r="F288" s="5"/>
      <c r="G288" s="5"/>
    </row>
    <row r="289" spans="3:7" ht="13">
      <c r="C289" s="5"/>
      <c r="D289" s="5"/>
      <c r="E289" s="5"/>
      <c r="F289" s="5"/>
      <c r="G289" s="5"/>
    </row>
    <row r="290" spans="3:7" ht="13">
      <c r="C290" s="5"/>
      <c r="D290" s="5"/>
      <c r="E290" s="5"/>
      <c r="F290" s="5"/>
      <c r="G290" s="5"/>
    </row>
    <row r="291" spans="3:7" ht="13">
      <c r="C291" s="5"/>
      <c r="D291" s="5"/>
      <c r="E291" s="5"/>
      <c r="F291" s="5"/>
      <c r="G291" s="5"/>
    </row>
    <row r="292" spans="3:7" ht="13">
      <c r="C292" s="5"/>
      <c r="D292" s="5"/>
      <c r="E292" s="5"/>
      <c r="F292" s="5"/>
      <c r="G292" s="5"/>
    </row>
    <row r="293" spans="3:7" ht="13">
      <c r="C293" s="5"/>
      <c r="D293" s="5"/>
      <c r="E293" s="5"/>
      <c r="F293" s="5"/>
      <c r="G293" s="5"/>
    </row>
    <row r="294" spans="3:7" ht="13">
      <c r="C294" s="5"/>
      <c r="D294" s="5"/>
      <c r="E294" s="5"/>
      <c r="F294" s="5"/>
      <c r="G294" s="5"/>
    </row>
    <row r="295" spans="3:7" ht="13">
      <c r="C295" s="5"/>
      <c r="D295" s="5"/>
      <c r="E295" s="5"/>
      <c r="F295" s="5"/>
      <c r="G295" s="5"/>
    </row>
    <row r="296" spans="3:7" ht="13">
      <c r="C296" s="5"/>
      <c r="D296" s="5"/>
      <c r="E296" s="5"/>
      <c r="F296" s="5"/>
      <c r="G296" s="5"/>
    </row>
    <row r="297" spans="3:7" ht="13">
      <c r="C297" s="5"/>
      <c r="D297" s="5"/>
      <c r="E297" s="5"/>
      <c r="F297" s="5"/>
      <c r="G297" s="5"/>
    </row>
    <row r="298" spans="3:7" ht="13">
      <c r="C298" s="5"/>
      <c r="D298" s="5"/>
      <c r="E298" s="5"/>
      <c r="F298" s="5"/>
      <c r="G298" s="5"/>
    </row>
    <row r="299" spans="3:7" ht="13">
      <c r="C299" s="5"/>
      <c r="D299" s="5"/>
      <c r="E299" s="5"/>
      <c r="F299" s="5"/>
      <c r="G299" s="5"/>
    </row>
    <row r="300" spans="3:7" ht="13">
      <c r="C300" s="5"/>
      <c r="D300" s="5"/>
      <c r="E300" s="5"/>
      <c r="F300" s="5"/>
      <c r="G300" s="5"/>
    </row>
    <row r="301" spans="3:7" ht="13">
      <c r="C301" s="5"/>
      <c r="D301" s="5"/>
      <c r="E301" s="5"/>
      <c r="F301" s="5"/>
      <c r="G301" s="5"/>
    </row>
    <row r="302" spans="3:7" ht="13">
      <c r="C302" s="5"/>
      <c r="D302" s="5"/>
      <c r="E302" s="5"/>
      <c r="F302" s="5"/>
      <c r="G302" s="5"/>
    </row>
    <row r="303" spans="3:7" ht="13">
      <c r="C303" s="5"/>
      <c r="D303" s="5"/>
      <c r="E303" s="5"/>
      <c r="F303" s="5"/>
      <c r="G303" s="5"/>
    </row>
    <row r="304" spans="3:7" ht="13">
      <c r="C304" s="5"/>
      <c r="D304" s="5"/>
      <c r="E304" s="5"/>
      <c r="F304" s="5"/>
      <c r="G304" s="5"/>
    </row>
    <row r="305" spans="3:7" ht="13">
      <c r="C305" s="5"/>
      <c r="D305" s="5"/>
      <c r="E305" s="5"/>
      <c r="F305" s="5"/>
      <c r="G305" s="5"/>
    </row>
    <row r="306" spans="3:7" ht="13">
      <c r="C306" s="5"/>
      <c r="D306" s="5"/>
      <c r="E306" s="5"/>
      <c r="F306" s="5"/>
      <c r="G306" s="5"/>
    </row>
    <row r="307" spans="3:7" ht="13">
      <c r="C307" s="5"/>
      <c r="D307" s="5"/>
      <c r="E307" s="5"/>
      <c r="F307" s="5"/>
      <c r="G307" s="5"/>
    </row>
    <row r="308" spans="3:7" ht="13">
      <c r="C308" s="5"/>
      <c r="D308" s="5"/>
      <c r="E308" s="5"/>
      <c r="F308" s="5"/>
      <c r="G308" s="5"/>
    </row>
    <row r="309" spans="3:7" ht="13">
      <c r="C309" s="5"/>
      <c r="D309" s="5"/>
      <c r="E309" s="5"/>
      <c r="F309" s="5"/>
      <c r="G309" s="5"/>
    </row>
    <row r="310" spans="3:7" ht="13">
      <c r="C310" s="5"/>
      <c r="D310" s="5"/>
      <c r="E310" s="5"/>
      <c r="F310" s="5"/>
      <c r="G310" s="5"/>
    </row>
    <row r="311" spans="3:7" ht="13">
      <c r="C311" s="5"/>
      <c r="D311" s="5"/>
      <c r="E311" s="5"/>
      <c r="F311" s="5"/>
      <c r="G311" s="5"/>
    </row>
    <row r="312" spans="3:7" ht="13">
      <c r="C312" s="5"/>
      <c r="D312" s="5"/>
      <c r="E312" s="5"/>
      <c r="F312" s="5"/>
      <c r="G312" s="5"/>
    </row>
    <row r="313" spans="3:7" ht="13">
      <c r="C313" s="5"/>
      <c r="D313" s="5"/>
      <c r="E313" s="5"/>
      <c r="F313" s="5"/>
      <c r="G313" s="5"/>
    </row>
    <row r="314" spans="3:7" ht="13">
      <c r="C314" s="5"/>
      <c r="D314" s="5"/>
      <c r="E314" s="5"/>
      <c r="F314" s="5"/>
      <c r="G314" s="5"/>
    </row>
    <row r="315" spans="3:7" ht="13">
      <c r="C315" s="5"/>
      <c r="D315" s="5"/>
      <c r="E315" s="5"/>
      <c r="F315" s="5"/>
      <c r="G315" s="5"/>
    </row>
    <row r="316" spans="3:7" ht="13">
      <c r="C316" s="5"/>
      <c r="D316" s="5"/>
      <c r="E316" s="5"/>
      <c r="F316" s="5"/>
      <c r="G316" s="5"/>
    </row>
    <row r="317" spans="3:7" ht="13">
      <c r="C317" s="5"/>
      <c r="D317" s="5"/>
      <c r="E317" s="5"/>
      <c r="F317" s="5"/>
      <c r="G317" s="5"/>
    </row>
    <row r="318" spans="3:7" ht="13">
      <c r="C318" s="5"/>
      <c r="D318" s="5"/>
      <c r="E318" s="5"/>
      <c r="F318" s="5"/>
      <c r="G318" s="5"/>
    </row>
    <row r="319" spans="3:7" ht="13">
      <c r="C319" s="5"/>
      <c r="D319" s="5"/>
      <c r="E319" s="5"/>
      <c r="F319" s="5"/>
      <c r="G319" s="5"/>
    </row>
    <row r="320" spans="3:7" ht="13">
      <c r="C320" s="5"/>
      <c r="D320" s="5"/>
      <c r="E320" s="5"/>
      <c r="F320" s="5"/>
      <c r="G320" s="5"/>
    </row>
    <row r="321" spans="3:7" ht="13">
      <c r="C321" s="5"/>
      <c r="D321" s="5"/>
      <c r="E321" s="5"/>
      <c r="F321" s="5"/>
      <c r="G321" s="5"/>
    </row>
    <row r="322" spans="3:7" ht="13">
      <c r="C322" s="5"/>
      <c r="D322" s="5"/>
      <c r="E322" s="5"/>
      <c r="F322" s="5"/>
      <c r="G322" s="5"/>
    </row>
    <row r="323" spans="3:7" ht="13">
      <c r="C323" s="5"/>
      <c r="D323" s="5"/>
      <c r="E323" s="5"/>
      <c r="F323" s="5"/>
      <c r="G323" s="5"/>
    </row>
    <row r="324" spans="3:7" ht="13">
      <c r="C324" s="5"/>
      <c r="D324" s="5"/>
      <c r="E324" s="5"/>
      <c r="F324" s="5"/>
      <c r="G324" s="5"/>
    </row>
    <row r="325" spans="3:7" ht="13">
      <c r="C325" s="5"/>
      <c r="D325" s="5"/>
      <c r="E325" s="5"/>
      <c r="F325" s="5"/>
      <c r="G325" s="5"/>
    </row>
    <row r="326" spans="3:7" ht="13">
      <c r="C326" s="5"/>
      <c r="D326" s="5"/>
      <c r="E326" s="5"/>
      <c r="F326" s="5"/>
      <c r="G326" s="5"/>
    </row>
    <row r="327" spans="3:7" ht="13">
      <c r="C327" s="5"/>
      <c r="D327" s="5"/>
      <c r="E327" s="5"/>
      <c r="F327" s="5"/>
      <c r="G327" s="5"/>
    </row>
    <row r="328" spans="3:7" ht="13">
      <c r="C328" s="5"/>
      <c r="D328" s="5"/>
      <c r="E328" s="5"/>
      <c r="F328" s="5"/>
      <c r="G328" s="5"/>
    </row>
    <row r="329" spans="3:7" ht="13">
      <c r="C329" s="5"/>
      <c r="D329" s="5"/>
      <c r="E329" s="5"/>
      <c r="F329" s="5"/>
      <c r="G329" s="5"/>
    </row>
    <row r="330" spans="3:7" ht="13">
      <c r="C330" s="5"/>
      <c r="D330" s="5"/>
      <c r="E330" s="5"/>
      <c r="F330" s="5"/>
      <c r="G330" s="5"/>
    </row>
    <row r="331" spans="3:7" ht="13">
      <c r="C331" s="5"/>
      <c r="D331" s="5"/>
      <c r="E331" s="5"/>
      <c r="F331" s="5"/>
      <c r="G331" s="5"/>
    </row>
    <row r="332" spans="3:7" ht="13">
      <c r="C332" s="5"/>
      <c r="D332" s="5"/>
      <c r="E332" s="5"/>
      <c r="F332" s="5"/>
      <c r="G332" s="5"/>
    </row>
    <row r="333" spans="3:7" ht="13">
      <c r="C333" s="5"/>
      <c r="D333" s="5"/>
      <c r="E333" s="5"/>
      <c r="F333" s="5"/>
      <c r="G333" s="5"/>
    </row>
    <row r="334" spans="3:7" ht="13">
      <c r="C334" s="5"/>
      <c r="D334" s="5"/>
      <c r="E334" s="5"/>
      <c r="F334" s="5"/>
      <c r="G334" s="5"/>
    </row>
    <row r="335" spans="3:7" ht="13">
      <c r="C335" s="5"/>
      <c r="D335" s="5"/>
      <c r="E335" s="5"/>
      <c r="F335" s="5"/>
      <c r="G335" s="5"/>
    </row>
    <row r="336" spans="3:7" ht="13">
      <c r="C336" s="5"/>
      <c r="D336" s="5"/>
      <c r="E336" s="5"/>
      <c r="F336" s="5"/>
      <c r="G336" s="5"/>
    </row>
    <row r="337" spans="3:7" ht="13">
      <c r="C337" s="5"/>
      <c r="D337" s="5"/>
      <c r="E337" s="5"/>
      <c r="F337" s="5"/>
      <c r="G337" s="5"/>
    </row>
    <row r="338" spans="3:7" ht="13">
      <c r="C338" s="5"/>
      <c r="D338" s="5"/>
      <c r="E338" s="5"/>
      <c r="F338" s="5"/>
      <c r="G338" s="5"/>
    </row>
    <row r="339" spans="3:7" ht="13">
      <c r="C339" s="5"/>
      <c r="D339" s="5"/>
      <c r="E339" s="5"/>
      <c r="F339" s="5"/>
      <c r="G339" s="5"/>
    </row>
    <row r="340" spans="3:7" ht="13">
      <c r="C340" s="5"/>
      <c r="D340" s="5"/>
      <c r="E340" s="5"/>
      <c r="F340" s="5"/>
      <c r="G340" s="5"/>
    </row>
    <row r="341" spans="3:7" ht="13">
      <c r="C341" s="5"/>
      <c r="D341" s="5"/>
      <c r="E341" s="5"/>
      <c r="F341" s="5"/>
      <c r="G341" s="5"/>
    </row>
    <row r="342" spans="3:7" ht="13">
      <c r="C342" s="5"/>
      <c r="D342" s="5"/>
      <c r="E342" s="5"/>
      <c r="F342" s="5"/>
      <c r="G342" s="5"/>
    </row>
    <row r="343" spans="3:7" ht="13">
      <c r="C343" s="5"/>
      <c r="D343" s="5"/>
      <c r="E343" s="5"/>
      <c r="F343" s="5"/>
      <c r="G343" s="5"/>
    </row>
    <row r="344" spans="3:7" ht="13">
      <c r="C344" s="5"/>
      <c r="D344" s="5"/>
      <c r="E344" s="5"/>
      <c r="F344" s="5"/>
      <c r="G344" s="5"/>
    </row>
    <row r="345" spans="3:7" ht="13">
      <c r="C345" s="5"/>
      <c r="D345" s="5"/>
      <c r="E345" s="5"/>
      <c r="F345" s="5"/>
      <c r="G345" s="5"/>
    </row>
    <row r="346" spans="3:7" ht="13">
      <c r="C346" s="5"/>
      <c r="D346" s="5"/>
      <c r="E346" s="5"/>
      <c r="F346" s="5"/>
      <c r="G346" s="5"/>
    </row>
    <row r="347" spans="3:7" ht="13">
      <c r="C347" s="5"/>
      <c r="D347" s="5"/>
      <c r="E347" s="5"/>
      <c r="F347" s="5"/>
      <c r="G347" s="5"/>
    </row>
    <row r="348" spans="3:7" ht="13">
      <c r="C348" s="5"/>
      <c r="D348" s="5"/>
      <c r="E348" s="5"/>
      <c r="F348" s="5"/>
      <c r="G348" s="5"/>
    </row>
    <row r="349" spans="3:7" ht="13">
      <c r="C349" s="5"/>
      <c r="D349" s="5"/>
      <c r="E349" s="5"/>
      <c r="F349" s="5"/>
      <c r="G349" s="5"/>
    </row>
    <row r="350" spans="3:7" ht="13">
      <c r="C350" s="5"/>
      <c r="D350" s="5"/>
      <c r="E350" s="5"/>
      <c r="F350" s="5"/>
      <c r="G350" s="5"/>
    </row>
    <row r="351" spans="3:7" ht="13">
      <c r="C351" s="5"/>
      <c r="D351" s="5"/>
      <c r="E351" s="5"/>
      <c r="F351" s="5"/>
      <c r="G351" s="5"/>
    </row>
    <row r="352" spans="3:7" ht="13">
      <c r="C352" s="5"/>
      <c r="D352" s="5"/>
      <c r="E352" s="5"/>
      <c r="F352" s="5"/>
      <c r="G352" s="5"/>
    </row>
    <row r="353" spans="3:7" ht="13">
      <c r="C353" s="5"/>
      <c r="D353" s="5"/>
      <c r="E353" s="5"/>
      <c r="F353" s="5"/>
      <c r="G353" s="5"/>
    </row>
    <row r="354" spans="3:7" ht="13">
      <c r="C354" s="5"/>
      <c r="D354" s="5"/>
      <c r="E354" s="5"/>
      <c r="F354" s="5"/>
      <c r="G354" s="5"/>
    </row>
    <row r="355" spans="3:7" ht="13">
      <c r="C355" s="5"/>
      <c r="D355" s="5"/>
      <c r="E355" s="5"/>
      <c r="F355" s="5"/>
      <c r="G355" s="5"/>
    </row>
    <row r="356" spans="3:7" ht="13">
      <c r="C356" s="5"/>
      <c r="D356" s="5"/>
      <c r="E356" s="5"/>
      <c r="F356" s="5"/>
      <c r="G356" s="5"/>
    </row>
    <row r="357" spans="3:7" ht="13">
      <c r="C357" s="5"/>
      <c r="D357" s="5"/>
      <c r="E357" s="5"/>
      <c r="F357" s="5"/>
      <c r="G357" s="5"/>
    </row>
    <row r="358" spans="3:7" ht="13">
      <c r="C358" s="5"/>
      <c r="D358" s="5"/>
      <c r="E358" s="5"/>
      <c r="F358" s="5"/>
      <c r="G358" s="5"/>
    </row>
    <row r="359" spans="3:7" ht="13">
      <c r="C359" s="5"/>
      <c r="D359" s="5"/>
      <c r="E359" s="5"/>
      <c r="F359" s="5"/>
      <c r="G359" s="5"/>
    </row>
    <row r="360" spans="3:7" ht="13">
      <c r="C360" s="5"/>
      <c r="D360" s="5"/>
      <c r="E360" s="5"/>
      <c r="F360" s="5"/>
      <c r="G360" s="5"/>
    </row>
    <row r="361" spans="3:7" ht="13">
      <c r="C361" s="5"/>
      <c r="D361" s="5"/>
      <c r="E361" s="5"/>
      <c r="F361" s="5"/>
      <c r="G361" s="5"/>
    </row>
    <row r="362" spans="3:7" ht="13">
      <c r="C362" s="5"/>
      <c r="D362" s="5"/>
      <c r="E362" s="5"/>
      <c r="F362" s="5"/>
      <c r="G362" s="5"/>
    </row>
    <row r="363" spans="3:7" ht="13">
      <c r="C363" s="5"/>
      <c r="D363" s="5"/>
      <c r="E363" s="5"/>
      <c r="F363" s="5"/>
      <c r="G363" s="5"/>
    </row>
    <row r="364" spans="3:7" ht="13">
      <c r="C364" s="5"/>
      <c r="D364" s="5"/>
      <c r="E364" s="5"/>
      <c r="F364" s="5"/>
      <c r="G364" s="5"/>
    </row>
    <row r="365" spans="3:7" ht="13">
      <c r="C365" s="5"/>
      <c r="D365" s="5"/>
      <c r="E365" s="5"/>
      <c r="F365" s="5"/>
      <c r="G365" s="5"/>
    </row>
    <row r="366" spans="3:7" ht="13">
      <c r="C366" s="5"/>
      <c r="D366" s="5"/>
      <c r="E366" s="5"/>
      <c r="F366" s="5"/>
      <c r="G366" s="5"/>
    </row>
    <row r="367" spans="3:7" ht="13">
      <c r="C367" s="5"/>
      <c r="D367" s="5"/>
      <c r="E367" s="5"/>
      <c r="F367" s="5"/>
      <c r="G367" s="5"/>
    </row>
    <row r="368" spans="3:7" ht="13">
      <c r="C368" s="5"/>
      <c r="D368" s="5"/>
      <c r="E368" s="5"/>
      <c r="F368" s="5"/>
      <c r="G368" s="5"/>
    </row>
    <row r="369" spans="3:7" ht="13">
      <c r="C369" s="5"/>
      <c r="D369" s="5"/>
      <c r="E369" s="5"/>
      <c r="F369" s="5"/>
      <c r="G369" s="5"/>
    </row>
    <row r="370" spans="3:7" ht="13">
      <c r="C370" s="5"/>
      <c r="D370" s="5"/>
      <c r="E370" s="5"/>
      <c r="F370" s="5"/>
      <c r="G370" s="5"/>
    </row>
    <row r="371" spans="3:7" ht="13">
      <c r="C371" s="5"/>
      <c r="D371" s="5"/>
      <c r="E371" s="5"/>
      <c r="F371" s="5"/>
      <c r="G371" s="5"/>
    </row>
    <row r="372" spans="3:7" ht="13">
      <c r="C372" s="5"/>
      <c r="D372" s="5"/>
      <c r="E372" s="5"/>
      <c r="F372" s="5"/>
      <c r="G372" s="5"/>
    </row>
    <row r="373" spans="3:7" ht="13">
      <c r="C373" s="5"/>
      <c r="D373" s="5"/>
      <c r="E373" s="5"/>
      <c r="F373" s="5"/>
      <c r="G373" s="5"/>
    </row>
    <row r="374" spans="3:7" ht="13">
      <c r="C374" s="5"/>
      <c r="D374" s="5"/>
      <c r="E374" s="5"/>
      <c r="F374" s="5"/>
      <c r="G374" s="5"/>
    </row>
    <row r="375" spans="3:7" ht="13">
      <c r="C375" s="5"/>
      <c r="D375" s="5"/>
      <c r="E375" s="5"/>
      <c r="F375" s="5"/>
      <c r="G375" s="5"/>
    </row>
    <row r="376" spans="3:7" ht="13">
      <c r="C376" s="5"/>
      <c r="D376" s="5"/>
      <c r="E376" s="5"/>
      <c r="F376" s="5"/>
      <c r="G376" s="5"/>
    </row>
    <row r="377" spans="3:7" ht="13">
      <c r="C377" s="5"/>
      <c r="D377" s="5"/>
      <c r="E377" s="5"/>
      <c r="F377" s="5"/>
      <c r="G377" s="5"/>
    </row>
    <row r="378" spans="3:7" ht="13">
      <c r="C378" s="5"/>
      <c r="D378" s="5"/>
      <c r="E378" s="5"/>
      <c r="F378" s="5"/>
      <c r="G378" s="5"/>
    </row>
    <row r="379" spans="3:7" ht="13">
      <c r="C379" s="5"/>
      <c r="D379" s="5"/>
      <c r="E379" s="5"/>
      <c r="F379" s="5"/>
      <c r="G379" s="5"/>
    </row>
    <row r="380" spans="3:7" ht="13">
      <c r="C380" s="5"/>
      <c r="D380" s="5"/>
      <c r="E380" s="5"/>
      <c r="F380" s="5"/>
      <c r="G380" s="5"/>
    </row>
    <row r="381" spans="3:7" ht="13">
      <c r="C381" s="5"/>
      <c r="D381" s="5"/>
      <c r="E381" s="5"/>
      <c r="F381" s="5"/>
      <c r="G381" s="5"/>
    </row>
    <row r="382" spans="3:7" ht="13">
      <c r="C382" s="5"/>
      <c r="D382" s="5"/>
      <c r="E382" s="5"/>
      <c r="F382" s="5"/>
      <c r="G382" s="5"/>
    </row>
    <row r="383" spans="3:7" ht="13">
      <c r="C383" s="5"/>
      <c r="D383" s="5"/>
      <c r="E383" s="5"/>
      <c r="F383" s="5"/>
      <c r="G383" s="5"/>
    </row>
    <row r="384" spans="3:7" ht="13">
      <c r="C384" s="5"/>
      <c r="D384" s="5"/>
      <c r="E384" s="5"/>
      <c r="F384" s="5"/>
      <c r="G384" s="5"/>
    </row>
    <row r="385" spans="3:7" ht="13">
      <c r="C385" s="5"/>
      <c r="D385" s="5"/>
      <c r="E385" s="5"/>
      <c r="F385" s="5"/>
      <c r="G385" s="5"/>
    </row>
    <row r="386" spans="3:7" ht="13">
      <c r="C386" s="5"/>
      <c r="D386" s="5"/>
      <c r="E386" s="5"/>
      <c r="F386" s="5"/>
      <c r="G386" s="5"/>
    </row>
    <row r="387" spans="3:7" ht="13">
      <c r="C387" s="5"/>
      <c r="D387" s="5"/>
      <c r="E387" s="5"/>
      <c r="F387" s="5"/>
      <c r="G387" s="5"/>
    </row>
    <row r="388" spans="3:7" ht="13">
      <c r="C388" s="5"/>
      <c r="D388" s="5"/>
      <c r="E388" s="5"/>
      <c r="F388" s="5"/>
      <c r="G388" s="5"/>
    </row>
    <row r="389" spans="3:7" ht="13">
      <c r="C389" s="5"/>
      <c r="D389" s="5"/>
      <c r="E389" s="5"/>
      <c r="F389" s="5"/>
      <c r="G389" s="5"/>
    </row>
    <row r="390" spans="3:7" ht="13">
      <c r="C390" s="5"/>
      <c r="D390" s="5"/>
      <c r="E390" s="5"/>
      <c r="F390" s="5"/>
      <c r="G390" s="5"/>
    </row>
    <row r="391" spans="3:7" ht="13">
      <c r="C391" s="5"/>
      <c r="D391" s="5"/>
      <c r="E391" s="5"/>
      <c r="F391" s="5"/>
      <c r="G391" s="5"/>
    </row>
    <row r="392" spans="3:7" ht="13">
      <c r="C392" s="5"/>
      <c r="D392" s="5"/>
      <c r="E392" s="5"/>
      <c r="F392" s="5"/>
      <c r="G392" s="5"/>
    </row>
    <row r="393" spans="3:7" ht="13">
      <c r="C393" s="5"/>
      <c r="D393" s="5"/>
      <c r="E393" s="5"/>
      <c r="F393" s="5"/>
      <c r="G393" s="5"/>
    </row>
    <row r="394" spans="3:7" ht="13">
      <c r="C394" s="5"/>
      <c r="D394" s="5"/>
      <c r="E394" s="5"/>
      <c r="F394" s="5"/>
      <c r="G394" s="5"/>
    </row>
    <row r="395" spans="3:7" ht="13">
      <c r="C395" s="5"/>
      <c r="D395" s="5"/>
      <c r="E395" s="5"/>
      <c r="F395" s="5"/>
      <c r="G395" s="5"/>
    </row>
    <row r="396" spans="3:7" ht="13">
      <c r="C396" s="5"/>
      <c r="D396" s="5"/>
      <c r="E396" s="5"/>
      <c r="F396" s="5"/>
      <c r="G396" s="5"/>
    </row>
    <row r="397" spans="3:7" ht="13">
      <c r="C397" s="5"/>
      <c r="D397" s="5"/>
      <c r="E397" s="5"/>
      <c r="F397" s="5"/>
      <c r="G397" s="5"/>
    </row>
    <row r="398" spans="3:7" ht="13">
      <c r="C398" s="5"/>
      <c r="D398" s="5"/>
      <c r="E398" s="5"/>
      <c r="F398" s="5"/>
      <c r="G398" s="5"/>
    </row>
    <row r="399" spans="3:7" ht="13">
      <c r="C399" s="5"/>
      <c r="D399" s="5"/>
      <c r="E399" s="5"/>
      <c r="F399" s="5"/>
      <c r="G399" s="5"/>
    </row>
    <row r="400" spans="3:7" ht="13">
      <c r="C400" s="5"/>
      <c r="D400" s="5"/>
      <c r="E400" s="5"/>
      <c r="F400" s="5"/>
      <c r="G400" s="5"/>
    </row>
    <row r="401" spans="3:7" ht="13">
      <c r="C401" s="5"/>
      <c r="D401" s="5"/>
      <c r="E401" s="5"/>
      <c r="F401" s="5"/>
      <c r="G401" s="5"/>
    </row>
    <row r="402" spans="3:7" ht="13">
      <c r="C402" s="5"/>
      <c r="D402" s="5"/>
      <c r="E402" s="5"/>
      <c r="F402" s="5"/>
      <c r="G402" s="5"/>
    </row>
    <row r="403" spans="3:7" ht="13">
      <c r="C403" s="5"/>
      <c r="D403" s="5"/>
      <c r="E403" s="5"/>
      <c r="F403" s="5"/>
      <c r="G403" s="5"/>
    </row>
    <row r="404" spans="3:7" ht="13">
      <c r="C404" s="5"/>
      <c r="D404" s="5"/>
      <c r="E404" s="5"/>
      <c r="F404" s="5"/>
      <c r="G404" s="5"/>
    </row>
    <row r="405" spans="3:7" ht="13">
      <c r="C405" s="5"/>
      <c r="D405" s="5"/>
      <c r="E405" s="5"/>
      <c r="F405" s="5"/>
      <c r="G405" s="5"/>
    </row>
    <row r="406" spans="3:7" ht="13">
      <c r="C406" s="5"/>
      <c r="D406" s="5"/>
      <c r="E406" s="5"/>
      <c r="F406" s="5"/>
      <c r="G406" s="5"/>
    </row>
    <row r="407" spans="3:7" ht="13">
      <c r="C407" s="5"/>
      <c r="D407" s="5"/>
      <c r="E407" s="5"/>
      <c r="F407" s="5"/>
      <c r="G407" s="5"/>
    </row>
    <row r="408" spans="3:7" ht="13">
      <c r="C408" s="5"/>
      <c r="D408" s="5"/>
      <c r="E408" s="5"/>
      <c r="F408" s="5"/>
      <c r="G408" s="5"/>
    </row>
    <row r="409" spans="3:7" ht="13">
      <c r="C409" s="5"/>
      <c r="D409" s="5"/>
      <c r="E409" s="5"/>
      <c r="F409" s="5"/>
      <c r="G409" s="5"/>
    </row>
    <row r="410" spans="3:7" ht="13">
      <c r="C410" s="5"/>
      <c r="D410" s="5"/>
      <c r="E410" s="5"/>
      <c r="F410" s="5"/>
      <c r="G410" s="5"/>
    </row>
    <row r="411" spans="3:7" ht="13">
      <c r="C411" s="5"/>
      <c r="D411" s="5"/>
      <c r="E411" s="5"/>
      <c r="F411" s="5"/>
      <c r="G411" s="5"/>
    </row>
    <row r="412" spans="3:7" ht="13">
      <c r="C412" s="5"/>
      <c r="D412" s="5"/>
      <c r="E412" s="5"/>
      <c r="F412" s="5"/>
      <c r="G412" s="5"/>
    </row>
    <row r="413" spans="3:7" ht="13">
      <c r="C413" s="5"/>
      <c r="D413" s="5"/>
      <c r="E413" s="5"/>
      <c r="F413" s="5"/>
      <c r="G413" s="5"/>
    </row>
    <row r="414" spans="3:7" ht="13">
      <c r="C414" s="5"/>
      <c r="D414" s="5"/>
      <c r="E414" s="5"/>
      <c r="F414" s="5"/>
      <c r="G414" s="5"/>
    </row>
    <row r="415" spans="3:7" ht="13">
      <c r="C415" s="5"/>
      <c r="D415" s="5"/>
      <c r="E415" s="5"/>
      <c r="F415" s="5"/>
      <c r="G415" s="5"/>
    </row>
    <row r="416" spans="3:7" ht="13">
      <c r="C416" s="5"/>
      <c r="D416" s="5"/>
      <c r="E416" s="5"/>
      <c r="F416" s="5"/>
      <c r="G416" s="5"/>
    </row>
    <row r="417" spans="3:7" ht="13">
      <c r="C417" s="5"/>
      <c r="D417" s="5"/>
      <c r="E417" s="5"/>
      <c r="F417" s="5"/>
      <c r="G417" s="5"/>
    </row>
    <row r="418" spans="3:7" ht="13">
      <c r="C418" s="5"/>
      <c r="D418" s="5"/>
      <c r="E418" s="5"/>
      <c r="F418" s="5"/>
      <c r="G418" s="5"/>
    </row>
    <row r="419" spans="3:7" ht="13">
      <c r="C419" s="5"/>
      <c r="D419" s="5"/>
      <c r="E419" s="5"/>
      <c r="F419" s="5"/>
      <c r="G419" s="5"/>
    </row>
    <row r="420" spans="3:7" ht="13">
      <c r="C420" s="5"/>
      <c r="D420" s="5"/>
      <c r="E420" s="5"/>
      <c r="F420" s="5"/>
      <c r="G420" s="5"/>
    </row>
    <row r="421" spans="3:7" ht="13">
      <c r="C421" s="5"/>
      <c r="D421" s="5"/>
      <c r="E421" s="5"/>
      <c r="F421" s="5"/>
      <c r="G421" s="5"/>
    </row>
    <row r="422" spans="3:7" ht="13">
      <c r="C422" s="5"/>
      <c r="D422" s="5"/>
      <c r="E422" s="5"/>
      <c r="F422" s="5"/>
      <c r="G422" s="5"/>
    </row>
    <row r="423" spans="3:7" ht="13">
      <c r="C423" s="5"/>
      <c r="D423" s="5"/>
      <c r="E423" s="5"/>
      <c r="F423" s="5"/>
      <c r="G423" s="5"/>
    </row>
    <row r="424" spans="3:7" ht="13">
      <c r="C424" s="5"/>
      <c r="D424" s="5"/>
      <c r="E424" s="5"/>
      <c r="F424" s="5"/>
      <c r="G424" s="5"/>
    </row>
    <row r="425" spans="3:7" ht="13">
      <c r="C425" s="5"/>
      <c r="D425" s="5"/>
      <c r="E425" s="5"/>
      <c r="F425" s="5"/>
      <c r="G425" s="5"/>
    </row>
    <row r="426" spans="3:7" ht="13">
      <c r="C426" s="5"/>
      <c r="D426" s="5"/>
      <c r="E426" s="5"/>
      <c r="F426" s="5"/>
      <c r="G426" s="5"/>
    </row>
    <row r="427" spans="3:7" ht="13">
      <c r="C427" s="5"/>
      <c r="D427" s="5"/>
      <c r="E427" s="5"/>
      <c r="F427" s="5"/>
      <c r="G427" s="5"/>
    </row>
    <row r="428" spans="3:7" ht="13">
      <c r="C428" s="5"/>
      <c r="D428" s="5"/>
      <c r="E428" s="5"/>
      <c r="F428" s="5"/>
      <c r="G428" s="5"/>
    </row>
    <row r="429" spans="3:7" ht="13">
      <c r="C429" s="5"/>
      <c r="D429" s="5"/>
      <c r="E429" s="5"/>
      <c r="F429" s="5"/>
      <c r="G429" s="5"/>
    </row>
    <row r="430" spans="3:7" ht="13">
      <c r="C430" s="5"/>
      <c r="D430" s="5"/>
      <c r="E430" s="5"/>
      <c r="F430" s="5"/>
      <c r="G430" s="5"/>
    </row>
    <row r="431" spans="3:7" ht="13">
      <c r="C431" s="5"/>
      <c r="D431" s="5"/>
      <c r="E431" s="5"/>
      <c r="F431" s="5"/>
      <c r="G431" s="5"/>
    </row>
    <row r="432" spans="3:7" ht="13">
      <c r="C432" s="5"/>
      <c r="D432" s="5"/>
      <c r="E432" s="5"/>
      <c r="F432" s="5"/>
      <c r="G432" s="5"/>
    </row>
    <row r="433" spans="3:7" ht="13">
      <c r="C433" s="5"/>
      <c r="D433" s="5"/>
      <c r="E433" s="5"/>
      <c r="F433" s="5"/>
      <c r="G433" s="5"/>
    </row>
    <row r="434" spans="3:7" ht="13">
      <c r="C434" s="5"/>
      <c r="D434" s="5"/>
      <c r="E434" s="5"/>
      <c r="F434" s="5"/>
      <c r="G434" s="5"/>
    </row>
    <row r="435" spans="3:7" ht="13">
      <c r="C435" s="5"/>
      <c r="D435" s="5"/>
      <c r="E435" s="5"/>
      <c r="F435" s="5"/>
      <c r="G435" s="5"/>
    </row>
    <row r="436" spans="3:7" ht="13">
      <c r="C436" s="5"/>
      <c r="D436" s="5"/>
      <c r="E436" s="5"/>
      <c r="F436" s="5"/>
      <c r="G436" s="5"/>
    </row>
    <row r="437" spans="3:7" ht="13">
      <c r="C437" s="5"/>
      <c r="D437" s="5"/>
      <c r="E437" s="5"/>
      <c r="F437" s="5"/>
      <c r="G437" s="5"/>
    </row>
    <row r="438" spans="3:7" ht="13">
      <c r="C438" s="5"/>
      <c r="D438" s="5"/>
      <c r="E438" s="5"/>
      <c r="F438" s="5"/>
      <c r="G438" s="5"/>
    </row>
    <row r="439" spans="3:7" ht="13">
      <c r="C439" s="5"/>
      <c r="D439" s="5"/>
      <c r="E439" s="5"/>
      <c r="F439" s="5"/>
      <c r="G439" s="5"/>
    </row>
    <row r="440" spans="3:7" ht="13">
      <c r="C440" s="5"/>
      <c r="D440" s="5"/>
      <c r="E440" s="5"/>
      <c r="F440" s="5"/>
      <c r="G440" s="5"/>
    </row>
    <row r="441" spans="3:7" ht="13">
      <c r="C441" s="5"/>
      <c r="D441" s="5"/>
      <c r="E441" s="5"/>
      <c r="F441" s="5"/>
      <c r="G441" s="5"/>
    </row>
    <row r="442" spans="3:7" ht="13">
      <c r="C442" s="5"/>
      <c r="D442" s="5"/>
      <c r="E442" s="5"/>
      <c r="F442" s="5"/>
      <c r="G442" s="5"/>
    </row>
    <row r="443" spans="3:7" ht="13">
      <c r="C443" s="5"/>
      <c r="D443" s="5"/>
      <c r="E443" s="5"/>
      <c r="F443" s="5"/>
      <c r="G443" s="5"/>
    </row>
    <row r="444" spans="3:7" ht="13">
      <c r="C444" s="5"/>
      <c r="D444" s="5"/>
      <c r="E444" s="5"/>
      <c r="F444" s="5"/>
      <c r="G444" s="5"/>
    </row>
    <row r="445" spans="3:7" ht="13">
      <c r="C445" s="5"/>
      <c r="D445" s="5"/>
      <c r="E445" s="5"/>
      <c r="F445" s="5"/>
      <c r="G445" s="5"/>
    </row>
    <row r="446" spans="3:7" ht="13">
      <c r="C446" s="5"/>
      <c r="D446" s="5"/>
      <c r="E446" s="5"/>
      <c r="F446" s="5"/>
      <c r="G446" s="5"/>
    </row>
    <row r="447" spans="3:7" ht="13">
      <c r="C447" s="5"/>
      <c r="D447" s="5"/>
      <c r="E447" s="5"/>
      <c r="F447" s="5"/>
      <c r="G447" s="5"/>
    </row>
    <row r="448" spans="3:7" ht="13">
      <c r="C448" s="5"/>
      <c r="D448" s="5"/>
      <c r="E448" s="5"/>
      <c r="F448" s="5"/>
      <c r="G448" s="5"/>
    </row>
    <row r="449" spans="3:7" ht="13">
      <c r="C449" s="5"/>
      <c r="D449" s="5"/>
      <c r="E449" s="5"/>
      <c r="F449" s="5"/>
      <c r="G449" s="5"/>
    </row>
    <row r="450" spans="3:7" ht="13">
      <c r="C450" s="5"/>
      <c r="D450" s="5"/>
      <c r="E450" s="5"/>
      <c r="F450" s="5"/>
      <c r="G450" s="5"/>
    </row>
    <row r="451" spans="3:7" ht="13">
      <c r="C451" s="5"/>
      <c r="D451" s="5"/>
      <c r="E451" s="5"/>
      <c r="F451" s="5"/>
      <c r="G451" s="5"/>
    </row>
    <row r="452" spans="3:7" ht="13">
      <c r="C452" s="5"/>
      <c r="D452" s="5"/>
      <c r="E452" s="5"/>
      <c r="F452" s="5"/>
      <c r="G452" s="5"/>
    </row>
    <row r="453" spans="3:7" ht="13">
      <c r="C453" s="5"/>
      <c r="D453" s="5"/>
      <c r="E453" s="5"/>
      <c r="F453" s="5"/>
      <c r="G453" s="5"/>
    </row>
    <row r="454" spans="3:7" ht="13">
      <c r="C454" s="5"/>
      <c r="D454" s="5"/>
      <c r="E454" s="5"/>
      <c r="F454" s="5"/>
      <c r="G454" s="5"/>
    </row>
    <row r="455" spans="3:7" ht="13">
      <c r="C455" s="5"/>
      <c r="D455" s="5"/>
      <c r="E455" s="5"/>
      <c r="F455" s="5"/>
      <c r="G455" s="5"/>
    </row>
    <row r="456" spans="3:7" ht="13">
      <c r="C456" s="5"/>
      <c r="D456" s="5"/>
      <c r="E456" s="5"/>
      <c r="F456" s="5"/>
      <c r="G456" s="5"/>
    </row>
    <row r="457" spans="3:7" ht="13">
      <c r="C457" s="5"/>
      <c r="D457" s="5"/>
      <c r="E457" s="5"/>
      <c r="F457" s="5"/>
      <c r="G457" s="5"/>
    </row>
    <row r="458" spans="3:7" ht="13">
      <c r="C458" s="5"/>
      <c r="D458" s="5"/>
      <c r="E458" s="5"/>
      <c r="F458" s="5"/>
      <c r="G458" s="5"/>
    </row>
    <row r="459" spans="3:7" ht="13">
      <c r="C459" s="5"/>
      <c r="D459" s="5"/>
      <c r="E459" s="5"/>
      <c r="F459" s="5"/>
      <c r="G459" s="5"/>
    </row>
    <row r="460" spans="3:7" ht="13">
      <c r="C460" s="5"/>
      <c r="D460" s="5"/>
      <c r="E460" s="5"/>
      <c r="F460" s="5"/>
      <c r="G460" s="5"/>
    </row>
    <row r="461" spans="3:7" ht="13">
      <c r="C461" s="5"/>
      <c r="D461" s="5"/>
      <c r="E461" s="5"/>
      <c r="F461" s="5"/>
      <c r="G461" s="5"/>
    </row>
    <row r="462" spans="3:7" ht="13">
      <c r="C462" s="5"/>
      <c r="D462" s="5"/>
      <c r="E462" s="5"/>
      <c r="F462" s="5"/>
      <c r="G462" s="5"/>
    </row>
    <row r="463" spans="3:7" ht="13">
      <c r="C463" s="5"/>
      <c r="D463" s="5"/>
      <c r="E463" s="5"/>
      <c r="F463" s="5"/>
      <c r="G463" s="5"/>
    </row>
    <row r="464" spans="3:7" ht="13">
      <c r="C464" s="5"/>
      <c r="D464" s="5"/>
      <c r="E464" s="5"/>
      <c r="F464" s="5"/>
      <c r="G464" s="5"/>
    </row>
    <row r="465" spans="3:7" ht="13">
      <c r="C465" s="5"/>
      <c r="D465" s="5"/>
      <c r="E465" s="5"/>
      <c r="F465" s="5"/>
      <c r="G465" s="5"/>
    </row>
    <row r="466" spans="3:7" ht="13">
      <c r="C466" s="5"/>
      <c r="D466" s="5"/>
      <c r="E466" s="5"/>
      <c r="F466" s="5"/>
      <c r="G466" s="5"/>
    </row>
    <row r="467" spans="3:7" ht="13">
      <c r="C467" s="5"/>
      <c r="D467" s="5"/>
      <c r="E467" s="5"/>
      <c r="F467" s="5"/>
      <c r="G467" s="5"/>
    </row>
    <row r="468" spans="3:7" ht="13">
      <c r="C468" s="5"/>
      <c r="D468" s="5"/>
      <c r="E468" s="5"/>
      <c r="F468" s="5"/>
      <c r="G468" s="5"/>
    </row>
    <row r="469" spans="3:7" ht="13">
      <c r="C469" s="5"/>
      <c r="D469" s="5"/>
      <c r="E469" s="5"/>
      <c r="F469" s="5"/>
      <c r="G469" s="5"/>
    </row>
    <row r="470" spans="3:7" ht="13">
      <c r="C470" s="5"/>
      <c r="D470" s="5"/>
      <c r="E470" s="5"/>
      <c r="F470" s="5"/>
      <c r="G470" s="5"/>
    </row>
    <row r="471" spans="3:7" ht="13">
      <c r="C471" s="5"/>
      <c r="D471" s="5"/>
      <c r="E471" s="5"/>
      <c r="F471" s="5"/>
      <c r="G471" s="5"/>
    </row>
    <row r="472" spans="3:7" ht="13">
      <c r="C472" s="5"/>
      <c r="D472" s="5"/>
      <c r="E472" s="5"/>
      <c r="F472" s="5"/>
      <c r="G472" s="5"/>
    </row>
    <row r="473" spans="3:7" ht="13">
      <c r="C473" s="5"/>
      <c r="D473" s="5"/>
      <c r="E473" s="5"/>
      <c r="F473" s="5"/>
      <c r="G473" s="5"/>
    </row>
    <row r="474" spans="3:7" ht="13">
      <c r="C474" s="5"/>
      <c r="D474" s="5"/>
      <c r="E474" s="5"/>
      <c r="F474" s="5"/>
      <c r="G474" s="5"/>
    </row>
    <row r="475" spans="3:7" ht="13">
      <c r="C475" s="5"/>
      <c r="D475" s="5"/>
      <c r="E475" s="5"/>
      <c r="F475" s="5"/>
      <c r="G475" s="5"/>
    </row>
    <row r="476" spans="3:7" ht="13">
      <c r="C476" s="5"/>
      <c r="D476" s="5"/>
      <c r="E476" s="5"/>
      <c r="F476" s="5"/>
      <c r="G476" s="5"/>
    </row>
    <row r="477" spans="3:7" ht="13">
      <c r="C477" s="5"/>
      <c r="D477" s="5"/>
      <c r="E477" s="5"/>
      <c r="F477" s="5"/>
      <c r="G477" s="5"/>
    </row>
    <row r="478" spans="3:7" ht="13">
      <c r="C478" s="5"/>
      <c r="D478" s="5"/>
      <c r="E478" s="5"/>
      <c r="F478" s="5"/>
      <c r="G478" s="5"/>
    </row>
    <row r="479" spans="3:7" ht="13">
      <c r="C479" s="5"/>
      <c r="D479" s="5"/>
      <c r="E479" s="5"/>
      <c r="F479" s="5"/>
      <c r="G479" s="5"/>
    </row>
    <row r="480" spans="3:7" ht="13">
      <c r="C480" s="5"/>
      <c r="D480" s="5"/>
      <c r="E480" s="5"/>
      <c r="F480" s="5"/>
      <c r="G480" s="5"/>
    </row>
    <row r="481" spans="3:7" ht="13">
      <c r="C481" s="5"/>
      <c r="D481" s="5"/>
      <c r="E481" s="5"/>
      <c r="F481" s="5"/>
      <c r="G481" s="5"/>
    </row>
    <row r="482" spans="3:7" ht="13">
      <c r="C482" s="5"/>
      <c r="D482" s="5"/>
      <c r="E482" s="5"/>
      <c r="F482" s="5"/>
      <c r="G482" s="5"/>
    </row>
    <row r="483" spans="3:7" ht="13">
      <c r="C483" s="5"/>
      <c r="D483" s="5"/>
      <c r="E483" s="5"/>
      <c r="F483" s="5"/>
      <c r="G483" s="5"/>
    </row>
    <row r="484" spans="3:7" ht="13">
      <c r="C484" s="5"/>
      <c r="D484" s="5"/>
      <c r="E484" s="5"/>
      <c r="F484" s="5"/>
      <c r="G484" s="5"/>
    </row>
    <row r="485" spans="3:7" ht="13">
      <c r="C485" s="5"/>
      <c r="D485" s="5"/>
      <c r="E485" s="5"/>
      <c r="F485" s="5"/>
      <c r="G485" s="5"/>
    </row>
    <row r="486" spans="3:7" ht="13">
      <c r="C486" s="5"/>
      <c r="D486" s="5"/>
      <c r="E486" s="5"/>
      <c r="F486" s="5"/>
      <c r="G486" s="5"/>
    </row>
    <row r="487" spans="3:7" ht="13">
      <c r="C487" s="5"/>
      <c r="D487" s="5"/>
      <c r="E487" s="5"/>
      <c r="F487" s="5"/>
      <c r="G487" s="5"/>
    </row>
    <row r="488" spans="3:7" ht="13">
      <c r="C488" s="5"/>
      <c r="D488" s="5"/>
      <c r="E488" s="5"/>
      <c r="F488" s="5"/>
      <c r="G488" s="5"/>
    </row>
    <row r="489" spans="3:7" ht="13">
      <c r="C489" s="5"/>
      <c r="D489" s="5"/>
      <c r="E489" s="5"/>
      <c r="F489" s="5"/>
      <c r="G489" s="5"/>
    </row>
    <row r="490" spans="3:7" ht="13">
      <c r="C490" s="5"/>
      <c r="D490" s="5"/>
      <c r="E490" s="5"/>
      <c r="F490" s="5"/>
      <c r="G490" s="5"/>
    </row>
    <row r="491" spans="3:7" ht="13">
      <c r="C491" s="5"/>
      <c r="D491" s="5"/>
      <c r="E491" s="5"/>
      <c r="F491" s="5"/>
      <c r="G491" s="5"/>
    </row>
    <row r="492" spans="3:7" ht="13">
      <c r="C492" s="5"/>
      <c r="D492" s="5"/>
      <c r="E492" s="5"/>
      <c r="F492" s="5"/>
      <c r="G492" s="5"/>
    </row>
    <row r="493" spans="3:7" ht="13">
      <c r="C493" s="5"/>
      <c r="D493" s="5"/>
      <c r="E493" s="5"/>
      <c r="F493" s="5"/>
      <c r="G493" s="5"/>
    </row>
    <row r="494" spans="3:7" ht="13">
      <c r="C494" s="5"/>
      <c r="D494" s="5"/>
      <c r="E494" s="5"/>
      <c r="F494" s="5"/>
      <c r="G494" s="5"/>
    </row>
    <row r="495" spans="3:7" ht="13">
      <c r="C495" s="5"/>
      <c r="D495" s="5"/>
      <c r="E495" s="5"/>
      <c r="F495" s="5"/>
      <c r="G495" s="5"/>
    </row>
    <row r="496" spans="3:7" ht="13">
      <c r="C496" s="5"/>
      <c r="D496" s="5"/>
      <c r="E496" s="5"/>
      <c r="F496" s="5"/>
      <c r="G496" s="5"/>
    </row>
    <row r="497" spans="3:7" ht="13">
      <c r="C497" s="5"/>
      <c r="D497" s="5"/>
      <c r="E497" s="5"/>
      <c r="F497" s="5"/>
      <c r="G497" s="5"/>
    </row>
    <row r="498" spans="3:7" ht="13">
      <c r="C498" s="5"/>
      <c r="D498" s="5"/>
      <c r="E498" s="5"/>
      <c r="F498" s="5"/>
      <c r="G498" s="5"/>
    </row>
    <row r="499" spans="3:7" ht="13">
      <c r="C499" s="5"/>
      <c r="D499" s="5"/>
      <c r="E499" s="5"/>
      <c r="F499" s="5"/>
      <c r="G499" s="5"/>
    </row>
    <row r="500" spans="3:7" ht="13">
      <c r="C500" s="5"/>
      <c r="D500" s="5"/>
      <c r="E500" s="5"/>
      <c r="F500" s="5"/>
      <c r="G500" s="5"/>
    </row>
    <row r="501" spans="3:7" ht="13">
      <c r="C501" s="5"/>
      <c r="D501" s="5"/>
      <c r="E501" s="5"/>
      <c r="F501" s="5"/>
      <c r="G501" s="5"/>
    </row>
    <row r="502" spans="3:7" ht="13">
      <c r="C502" s="5"/>
      <c r="D502" s="5"/>
      <c r="E502" s="5"/>
      <c r="F502" s="5"/>
      <c r="G502" s="5"/>
    </row>
    <row r="503" spans="3:7" ht="13">
      <c r="C503" s="5"/>
      <c r="D503" s="5"/>
      <c r="E503" s="5"/>
      <c r="F503" s="5"/>
      <c r="G503" s="5"/>
    </row>
    <row r="504" spans="3:7" ht="13">
      <c r="C504" s="5"/>
      <c r="D504" s="5"/>
      <c r="E504" s="5"/>
      <c r="F504" s="5"/>
      <c r="G504" s="5"/>
    </row>
    <row r="505" spans="3:7" ht="13">
      <c r="C505" s="5"/>
      <c r="D505" s="5"/>
      <c r="E505" s="5"/>
      <c r="F505" s="5"/>
      <c r="G505" s="5"/>
    </row>
    <row r="506" spans="3:7" ht="13">
      <c r="C506" s="5"/>
      <c r="D506" s="5"/>
      <c r="E506" s="5"/>
      <c r="F506" s="5"/>
      <c r="G506" s="5"/>
    </row>
    <row r="507" spans="3:7" ht="13">
      <c r="C507" s="5"/>
      <c r="D507" s="5"/>
      <c r="E507" s="5"/>
      <c r="F507" s="5"/>
      <c r="G507" s="5"/>
    </row>
    <row r="508" spans="3:7" ht="13">
      <c r="C508" s="5"/>
      <c r="D508" s="5"/>
      <c r="E508" s="5"/>
      <c r="F508" s="5"/>
      <c r="G508" s="5"/>
    </row>
    <row r="509" spans="3:7" ht="13">
      <c r="C509" s="5"/>
      <c r="D509" s="5"/>
      <c r="E509" s="5"/>
      <c r="F509" s="5"/>
      <c r="G509" s="5"/>
    </row>
    <row r="510" spans="3:7" ht="13">
      <c r="C510" s="5"/>
      <c r="D510" s="5"/>
      <c r="E510" s="5"/>
      <c r="F510" s="5"/>
      <c r="G510" s="5"/>
    </row>
    <row r="511" spans="3:7" ht="13">
      <c r="C511" s="5"/>
      <c r="D511" s="5"/>
      <c r="E511" s="5"/>
      <c r="F511" s="5"/>
      <c r="G511" s="5"/>
    </row>
    <row r="512" spans="3:7" ht="13">
      <c r="C512" s="5"/>
      <c r="D512" s="5"/>
      <c r="E512" s="5"/>
      <c r="F512" s="5"/>
      <c r="G512" s="5"/>
    </row>
    <row r="513" spans="3:7" ht="13">
      <c r="C513" s="5"/>
      <c r="D513" s="5"/>
      <c r="E513" s="5"/>
      <c r="F513" s="5"/>
      <c r="G513" s="5"/>
    </row>
    <row r="514" spans="3:7" ht="13">
      <c r="C514" s="5"/>
      <c r="D514" s="5"/>
      <c r="E514" s="5"/>
      <c r="F514" s="5"/>
      <c r="G514" s="5"/>
    </row>
    <row r="515" spans="3:7" ht="13">
      <c r="C515" s="5"/>
      <c r="D515" s="5"/>
      <c r="E515" s="5"/>
      <c r="F515" s="5"/>
      <c r="G515" s="5"/>
    </row>
    <row r="516" spans="3:7" ht="13">
      <c r="C516" s="5"/>
      <c r="D516" s="5"/>
      <c r="E516" s="5"/>
      <c r="F516" s="5"/>
      <c r="G516" s="5"/>
    </row>
    <row r="517" spans="3:7" ht="13">
      <c r="C517" s="5"/>
      <c r="D517" s="5"/>
      <c r="E517" s="5"/>
      <c r="F517" s="5"/>
      <c r="G517" s="5"/>
    </row>
    <row r="518" spans="3:7" ht="13">
      <c r="C518" s="5"/>
      <c r="D518" s="5"/>
      <c r="E518" s="5"/>
      <c r="F518" s="5"/>
      <c r="G518" s="5"/>
    </row>
    <row r="519" spans="3:7" ht="13">
      <c r="C519" s="5"/>
      <c r="D519" s="5"/>
      <c r="E519" s="5"/>
      <c r="F519" s="5"/>
      <c r="G519" s="5"/>
    </row>
    <row r="520" spans="3:7" ht="13">
      <c r="C520" s="5"/>
      <c r="D520" s="5"/>
      <c r="E520" s="5"/>
      <c r="F520" s="5"/>
      <c r="G520" s="5"/>
    </row>
    <row r="521" spans="3:7" ht="13">
      <c r="C521" s="5"/>
      <c r="D521" s="5"/>
      <c r="E521" s="5"/>
      <c r="F521" s="5"/>
      <c r="G521" s="5"/>
    </row>
    <row r="522" spans="3:7" ht="13">
      <c r="C522" s="5"/>
      <c r="D522" s="5"/>
      <c r="E522" s="5"/>
      <c r="F522" s="5"/>
      <c r="G522" s="5"/>
    </row>
    <row r="523" spans="3:7" ht="13">
      <c r="C523" s="5"/>
      <c r="D523" s="5"/>
      <c r="E523" s="5"/>
      <c r="F523" s="5"/>
      <c r="G523" s="5"/>
    </row>
    <row r="524" spans="3:7" ht="13">
      <c r="C524" s="5"/>
      <c r="D524" s="5"/>
      <c r="E524" s="5"/>
      <c r="F524" s="5"/>
      <c r="G524" s="5"/>
    </row>
    <row r="525" spans="3:7" ht="13">
      <c r="C525" s="5"/>
      <c r="D525" s="5"/>
      <c r="E525" s="5"/>
      <c r="F525" s="5"/>
      <c r="G525" s="5"/>
    </row>
    <row r="526" spans="3:7" ht="13">
      <c r="C526" s="5"/>
      <c r="D526" s="5"/>
      <c r="E526" s="5"/>
      <c r="F526" s="5"/>
      <c r="G526" s="5"/>
    </row>
    <row r="527" spans="3:7" ht="13">
      <c r="C527" s="5"/>
      <c r="D527" s="5"/>
      <c r="E527" s="5"/>
      <c r="F527" s="5"/>
      <c r="G527" s="5"/>
    </row>
    <row r="528" spans="3:7" ht="13">
      <c r="C528" s="5"/>
      <c r="D528" s="5"/>
      <c r="E528" s="5"/>
      <c r="F528" s="5"/>
      <c r="G528" s="5"/>
    </row>
    <row r="529" spans="3:7" ht="13">
      <c r="C529" s="5"/>
      <c r="D529" s="5"/>
      <c r="E529" s="5"/>
      <c r="F529" s="5"/>
      <c r="G529" s="5"/>
    </row>
    <row r="530" spans="3:7" ht="13">
      <c r="C530" s="5"/>
      <c r="D530" s="5"/>
      <c r="E530" s="5"/>
      <c r="F530" s="5"/>
      <c r="G530" s="5"/>
    </row>
    <row r="531" spans="3:7" ht="13">
      <c r="C531" s="5"/>
      <c r="D531" s="5"/>
      <c r="E531" s="5"/>
      <c r="F531" s="5"/>
      <c r="G531" s="5"/>
    </row>
    <row r="532" spans="3:7" ht="13">
      <c r="C532" s="5"/>
      <c r="D532" s="5"/>
      <c r="E532" s="5"/>
      <c r="F532" s="5"/>
      <c r="G532" s="5"/>
    </row>
    <row r="533" spans="3:7" ht="13">
      <c r="C533" s="5"/>
      <c r="D533" s="5"/>
      <c r="E533" s="5"/>
      <c r="F533" s="5"/>
      <c r="G533" s="5"/>
    </row>
    <row r="534" spans="3:7" ht="13">
      <c r="C534" s="5"/>
      <c r="D534" s="5"/>
      <c r="E534" s="5"/>
      <c r="F534" s="5"/>
      <c r="G534" s="5"/>
    </row>
    <row r="535" spans="3:7" ht="13">
      <c r="C535" s="5"/>
      <c r="D535" s="5"/>
      <c r="E535" s="5"/>
      <c r="F535" s="5"/>
      <c r="G535" s="5"/>
    </row>
    <row r="536" spans="3:7" ht="13">
      <c r="C536" s="5"/>
      <c r="D536" s="5"/>
      <c r="E536" s="5"/>
      <c r="F536" s="5"/>
      <c r="G536" s="5"/>
    </row>
    <row r="537" spans="3:7" ht="13">
      <c r="C537" s="5"/>
      <c r="D537" s="5"/>
      <c r="E537" s="5"/>
      <c r="F537" s="5"/>
      <c r="G537" s="5"/>
    </row>
    <row r="538" spans="3:7" ht="13">
      <c r="C538" s="5"/>
      <c r="D538" s="5"/>
      <c r="E538" s="5"/>
      <c r="F538" s="5"/>
      <c r="G538" s="5"/>
    </row>
    <row r="539" spans="3:7" ht="13">
      <c r="C539" s="5"/>
      <c r="D539" s="5"/>
      <c r="E539" s="5"/>
      <c r="F539" s="5"/>
      <c r="G539" s="5"/>
    </row>
    <row r="540" spans="3:7" ht="13">
      <c r="C540" s="5"/>
      <c r="D540" s="5"/>
      <c r="E540" s="5"/>
      <c r="F540" s="5"/>
      <c r="G540" s="5"/>
    </row>
    <row r="541" spans="3:7" ht="13">
      <c r="C541" s="5"/>
      <c r="D541" s="5"/>
      <c r="E541" s="5"/>
      <c r="F541" s="5"/>
      <c r="G541" s="5"/>
    </row>
    <row r="542" spans="3:7" ht="13">
      <c r="C542" s="5"/>
      <c r="D542" s="5"/>
      <c r="E542" s="5"/>
      <c r="F542" s="5"/>
      <c r="G542" s="5"/>
    </row>
    <row r="543" spans="3:7" ht="13">
      <c r="C543" s="5"/>
      <c r="D543" s="5"/>
      <c r="E543" s="5"/>
      <c r="F543" s="5"/>
      <c r="G543" s="5"/>
    </row>
    <row r="544" spans="3:7" ht="13">
      <c r="C544" s="5"/>
      <c r="D544" s="5"/>
      <c r="E544" s="5"/>
      <c r="F544" s="5"/>
      <c r="G544" s="5"/>
    </row>
    <row r="545" spans="3:7" ht="13">
      <c r="C545" s="5"/>
      <c r="D545" s="5"/>
      <c r="E545" s="5"/>
      <c r="F545" s="5"/>
      <c r="G545" s="5"/>
    </row>
    <row r="546" spans="3:7" ht="13">
      <c r="C546" s="5"/>
      <c r="D546" s="5"/>
      <c r="E546" s="5"/>
      <c r="F546" s="5"/>
      <c r="G546" s="5"/>
    </row>
    <row r="547" spans="3:7" ht="13">
      <c r="C547" s="5"/>
      <c r="D547" s="5"/>
      <c r="E547" s="5"/>
      <c r="F547" s="5"/>
      <c r="G547" s="5"/>
    </row>
    <row r="548" spans="3:7" ht="13">
      <c r="C548" s="5"/>
      <c r="D548" s="5"/>
      <c r="E548" s="5"/>
      <c r="F548" s="5"/>
      <c r="G548" s="5"/>
    </row>
    <row r="549" spans="3:7" ht="13">
      <c r="C549" s="5"/>
      <c r="D549" s="5"/>
      <c r="E549" s="5"/>
      <c r="F549" s="5"/>
      <c r="G549" s="5"/>
    </row>
    <row r="550" spans="3:7" ht="13">
      <c r="C550" s="5"/>
      <c r="D550" s="5"/>
      <c r="E550" s="5"/>
      <c r="F550" s="5"/>
      <c r="G550" s="5"/>
    </row>
    <row r="551" spans="3:7" ht="13">
      <c r="C551" s="5"/>
      <c r="D551" s="5"/>
      <c r="E551" s="5"/>
      <c r="F551" s="5"/>
      <c r="G551" s="5"/>
    </row>
    <row r="552" spans="3:7" ht="13">
      <c r="C552" s="5"/>
      <c r="D552" s="5"/>
      <c r="E552" s="5"/>
      <c r="F552" s="5"/>
      <c r="G552" s="5"/>
    </row>
    <row r="553" spans="3:7" ht="13">
      <c r="C553" s="5"/>
      <c r="D553" s="5"/>
      <c r="E553" s="5"/>
      <c r="F553" s="5"/>
      <c r="G553" s="5"/>
    </row>
    <row r="554" spans="3:7" ht="13">
      <c r="C554" s="5"/>
      <c r="D554" s="5"/>
      <c r="E554" s="5"/>
      <c r="F554" s="5"/>
      <c r="G554" s="5"/>
    </row>
    <row r="555" spans="3:7" ht="13">
      <c r="C555" s="5"/>
      <c r="D555" s="5"/>
      <c r="E555" s="5"/>
      <c r="F555" s="5"/>
      <c r="G555" s="5"/>
    </row>
    <row r="556" spans="3:7" ht="13">
      <c r="C556" s="5"/>
      <c r="D556" s="5"/>
      <c r="E556" s="5"/>
      <c r="F556" s="5"/>
      <c r="G556" s="5"/>
    </row>
    <row r="557" spans="3:7" ht="13">
      <c r="C557" s="5"/>
      <c r="D557" s="5"/>
      <c r="E557" s="5"/>
      <c r="F557" s="5"/>
      <c r="G557" s="5"/>
    </row>
    <row r="558" spans="3:7" ht="13">
      <c r="C558" s="5"/>
      <c r="D558" s="5"/>
      <c r="E558" s="5"/>
      <c r="F558" s="5"/>
      <c r="G558" s="5"/>
    </row>
    <row r="559" spans="3:7" ht="13">
      <c r="C559" s="5"/>
      <c r="D559" s="5"/>
      <c r="E559" s="5"/>
      <c r="F559" s="5"/>
      <c r="G559" s="5"/>
    </row>
    <row r="560" spans="3:7" ht="13">
      <c r="C560" s="5"/>
      <c r="D560" s="5"/>
      <c r="E560" s="5"/>
      <c r="F560" s="5"/>
      <c r="G560" s="5"/>
    </row>
    <row r="561" spans="3:7" ht="13">
      <c r="C561" s="5"/>
      <c r="D561" s="5"/>
      <c r="E561" s="5"/>
      <c r="F561" s="5"/>
      <c r="G561" s="5"/>
    </row>
    <row r="562" spans="3:7" ht="13">
      <c r="C562" s="5"/>
      <c r="D562" s="5"/>
      <c r="E562" s="5"/>
      <c r="F562" s="5"/>
      <c r="G562" s="5"/>
    </row>
    <row r="563" spans="3:7" ht="13">
      <c r="C563" s="5"/>
      <c r="D563" s="5"/>
      <c r="E563" s="5"/>
      <c r="F563" s="5"/>
      <c r="G563" s="5"/>
    </row>
    <row r="564" spans="3:7" ht="13">
      <c r="C564" s="5"/>
      <c r="D564" s="5"/>
      <c r="E564" s="5"/>
      <c r="F564" s="5"/>
      <c r="G564" s="5"/>
    </row>
    <row r="565" spans="3:7" ht="13">
      <c r="C565" s="5"/>
      <c r="D565" s="5"/>
      <c r="E565" s="5"/>
      <c r="F565" s="5"/>
      <c r="G565" s="5"/>
    </row>
    <row r="566" spans="3:7" ht="13">
      <c r="C566" s="5"/>
      <c r="D566" s="5"/>
      <c r="E566" s="5"/>
      <c r="F566" s="5"/>
      <c r="G566" s="5"/>
    </row>
    <row r="567" spans="3:7" ht="13">
      <c r="C567" s="5"/>
      <c r="D567" s="5"/>
      <c r="E567" s="5"/>
      <c r="F567" s="5"/>
      <c r="G567" s="5"/>
    </row>
    <row r="568" spans="3:7" ht="13">
      <c r="C568" s="5"/>
      <c r="D568" s="5"/>
      <c r="E568" s="5"/>
      <c r="F568" s="5"/>
      <c r="G568" s="5"/>
    </row>
    <row r="569" spans="3:7" ht="13">
      <c r="C569" s="5"/>
      <c r="D569" s="5"/>
      <c r="E569" s="5"/>
      <c r="F569" s="5"/>
      <c r="G569" s="5"/>
    </row>
    <row r="570" spans="3:7" ht="13">
      <c r="C570" s="5"/>
      <c r="D570" s="5"/>
      <c r="E570" s="5"/>
      <c r="F570" s="5"/>
      <c r="G570" s="5"/>
    </row>
    <row r="571" spans="3:7" ht="13">
      <c r="C571" s="5"/>
      <c r="D571" s="5"/>
      <c r="E571" s="5"/>
      <c r="F571" s="5"/>
      <c r="G571" s="5"/>
    </row>
    <row r="572" spans="3:7" ht="13">
      <c r="C572" s="5"/>
      <c r="D572" s="5"/>
      <c r="E572" s="5"/>
      <c r="F572" s="5"/>
      <c r="G572" s="5"/>
    </row>
    <row r="573" spans="3:7" ht="13">
      <c r="C573" s="5"/>
      <c r="D573" s="5"/>
      <c r="E573" s="5"/>
      <c r="F573" s="5"/>
      <c r="G573" s="5"/>
    </row>
    <row r="574" spans="3:7" ht="13">
      <c r="C574" s="5"/>
      <c r="D574" s="5"/>
      <c r="E574" s="5"/>
      <c r="F574" s="5"/>
      <c r="G574" s="5"/>
    </row>
    <row r="575" spans="3:7" ht="13">
      <c r="C575" s="5"/>
      <c r="D575" s="5"/>
      <c r="E575" s="5"/>
      <c r="F575" s="5"/>
      <c r="G575" s="5"/>
    </row>
    <row r="576" spans="3:7" ht="13">
      <c r="C576" s="5"/>
      <c r="D576" s="5"/>
      <c r="E576" s="5"/>
      <c r="F576" s="5"/>
      <c r="G576" s="5"/>
    </row>
    <row r="577" spans="3:7" ht="13">
      <c r="C577" s="5"/>
      <c r="D577" s="5"/>
      <c r="E577" s="5"/>
      <c r="F577" s="5"/>
      <c r="G577" s="5"/>
    </row>
    <row r="578" spans="3:7" ht="13">
      <c r="C578" s="5"/>
      <c r="D578" s="5"/>
      <c r="E578" s="5"/>
      <c r="F578" s="5"/>
      <c r="G578" s="5"/>
    </row>
    <row r="579" spans="3:7" ht="13">
      <c r="C579" s="5"/>
      <c r="D579" s="5"/>
      <c r="E579" s="5"/>
      <c r="F579" s="5"/>
      <c r="G579" s="5"/>
    </row>
    <row r="580" spans="3:7" ht="13">
      <c r="C580" s="5"/>
      <c r="D580" s="5"/>
      <c r="E580" s="5"/>
      <c r="F580" s="5"/>
      <c r="G580" s="5"/>
    </row>
    <row r="581" spans="3:7" ht="13">
      <c r="C581" s="5"/>
      <c r="D581" s="5"/>
      <c r="E581" s="5"/>
      <c r="F581" s="5"/>
      <c r="G581" s="5"/>
    </row>
    <row r="582" spans="3:7" ht="13">
      <c r="C582" s="5"/>
      <c r="D582" s="5"/>
      <c r="E582" s="5"/>
      <c r="F582" s="5"/>
      <c r="G582" s="5"/>
    </row>
    <row r="583" spans="3:7" ht="13">
      <c r="C583" s="5"/>
      <c r="D583" s="5"/>
      <c r="E583" s="5"/>
      <c r="F583" s="5"/>
      <c r="G583" s="5"/>
    </row>
    <row r="584" spans="3:7" ht="13">
      <c r="C584" s="5"/>
      <c r="D584" s="5"/>
      <c r="E584" s="5"/>
      <c r="F584" s="5"/>
      <c r="G584" s="5"/>
    </row>
    <row r="585" spans="3:7" ht="13">
      <c r="C585" s="5"/>
      <c r="D585" s="5"/>
      <c r="E585" s="5"/>
      <c r="F585" s="5"/>
      <c r="G585" s="5"/>
    </row>
    <row r="586" spans="3:7" ht="13">
      <c r="C586" s="5"/>
      <c r="D586" s="5"/>
      <c r="E586" s="5"/>
      <c r="F586" s="5"/>
      <c r="G586" s="5"/>
    </row>
    <row r="587" spans="3:7" ht="13">
      <c r="C587" s="5"/>
      <c r="D587" s="5"/>
      <c r="E587" s="5"/>
      <c r="F587" s="5"/>
      <c r="G587" s="5"/>
    </row>
    <row r="588" spans="3:7" ht="13">
      <c r="C588" s="5"/>
      <c r="D588" s="5"/>
      <c r="E588" s="5"/>
      <c r="F588" s="5"/>
      <c r="G588" s="5"/>
    </row>
    <row r="589" spans="3:7" ht="13">
      <c r="C589" s="5"/>
      <c r="D589" s="5"/>
      <c r="E589" s="5"/>
      <c r="F589" s="5"/>
      <c r="G589" s="5"/>
    </row>
    <row r="590" spans="3:7" ht="13">
      <c r="C590" s="5"/>
      <c r="D590" s="5"/>
      <c r="E590" s="5"/>
      <c r="F590" s="5"/>
      <c r="G590" s="5"/>
    </row>
    <row r="591" spans="3:7" ht="13">
      <c r="C591" s="5"/>
      <c r="D591" s="5"/>
      <c r="E591" s="5"/>
      <c r="F591" s="5"/>
      <c r="G591" s="5"/>
    </row>
    <row r="592" spans="3:7" ht="13">
      <c r="C592" s="5"/>
      <c r="D592" s="5"/>
      <c r="E592" s="5"/>
      <c r="F592" s="5"/>
      <c r="G592" s="5"/>
    </row>
    <row r="593" spans="3:7" ht="13">
      <c r="C593" s="5"/>
      <c r="D593" s="5"/>
      <c r="E593" s="5"/>
      <c r="F593" s="5"/>
      <c r="G593" s="5"/>
    </row>
    <row r="594" spans="3:7" ht="13">
      <c r="C594" s="5"/>
      <c r="D594" s="5"/>
      <c r="E594" s="5"/>
      <c r="F594" s="5"/>
      <c r="G594" s="5"/>
    </row>
    <row r="595" spans="3:7" ht="13">
      <c r="C595" s="5"/>
      <c r="D595" s="5"/>
      <c r="E595" s="5"/>
      <c r="F595" s="5"/>
      <c r="G595" s="5"/>
    </row>
    <row r="596" spans="3:7" ht="13">
      <c r="C596" s="5"/>
      <c r="D596" s="5"/>
      <c r="E596" s="5"/>
      <c r="F596" s="5"/>
      <c r="G596" s="5"/>
    </row>
    <row r="597" spans="3:7" ht="13">
      <c r="C597" s="5"/>
      <c r="D597" s="5"/>
      <c r="E597" s="5"/>
      <c r="F597" s="5"/>
      <c r="G597" s="5"/>
    </row>
    <row r="598" spans="3:7" ht="13">
      <c r="C598" s="5"/>
      <c r="D598" s="5"/>
      <c r="E598" s="5"/>
      <c r="F598" s="5"/>
      <c r="G598" s="5"/>
    </row>
    <row r="599" spans="3:7" ht="13">
      <c r="C599" s="5"/>
      <c r="D599" s="5"/>
      <c r="E599" s="5"/>
      <c r="F599" s="5"/>
      <c r="G599" s="5"/>
    </row>
    <row r="600" spans="3:7" ht="13">
      <c r="C600" s="5"/>
      <c r="D600" s="5"/>
      <c r="E600" s="5"/>
      <c r="F600" s="5"/>
      <c r="G600" s="5"/>
    </row>
    <row r="601" spans="3:7" ht="13">
      <c r="C601" s="5"/>
      <c r="D601" s="5"/>
      <c r="E601" s="5"/>
      <c r="F601" s="5"/>
      <c r="G601" s="5"/>
    </row>
    <row r="602" spans="3:7" ht="13">
      <c r="C602" s="5"/>
      <c r="D602" s="5"/>
      <c r="E602" s="5"/>
      <c r="F602" s="5"/>
      <c r="G602" s="5"/>
    </row>
    <row r="603" spans="3:7" ht="13">
      <c r="C603" s="5"/>
      <c r="D603" s="5"/>
      <c r="E603" s="5"/>
      <c r="F603" s="5"/>
      <c r="G603" s="5"/>
    </row>
    <row r="604" spans="3:7" ht="13">
      <c r="C604" s="5"/>
      <c r="D604" s="5"/>
      <c r="E604" s="5"/>
      <c r="F604" s="5"/>
      <c r="G604" s="5"/>
    </row>
    <row r="605" spans="3:7" ht="13">
      <c r="C605" s="5"/>
      <c r="D605" s="5"/>
      <c r="E605" s="5"/>
      <c r="F605" s="5"/>
      <c r="G605" s="5"/>
    </row>
    <row r="606" spans="3:7" ht="13">
      <c r="C606" s="5"/>
      <c r="D606" s="5"/>
      <c r="E606" s="5"/>
      <c r="F606" s="5"/>
      <c r="G606" s="5"/>
    </row>
    <row r="607" spans="3:7" ht="13">
      <c r="C607" s="5"/>
      <c r="D607" s="5"/>
      <c r="E607" s="5"/>
      <c r="F607" s="5"/>
      <c r="G607" s="5"/>
    </row>
    <row r="608" spans="3:7" ht="13">
      <c r="C608" s="5"/>
      <c r="D608" s="5"/>
      <c r="E608" s="5"/>
      <c r="F608" s="5"/>
      <c r="G608" s="5"/>
    </row>
    <row r="609" spans="3:7" ht="13">
      <c r="C609" s="5"/>
      <c r="D609" s="5"/>
      <c r="E609" s="5"/>
      <c r="F609" s="5"/>
      <c r="G609" s="5"/>
    </row>
    <row r="610" spans="3:7" ht="13">
      <c r="C610" s="5"/>
      <c r="D610" s="5"/>
      <c r="E610" s="5"/>
      <c r="F610" s="5"/>
      <c r="G610" s="5"/>
    </row>
    <row r="611" spans="3:7" ht="13">
      <c r="C611" s="5"/>
      <c r="D611" s="5"/>
      <c r="E611" s="5"/>
      <c r="F611" s="5"/>
      <c r="G611" s="5"/>
    </row>
    <row r="612" spans="3:7" ht="13">
      <c r="C612" s="5"/>
      <c r="D612" s="5"/>
      <c r="E612" s="5"/>
      <c r="F612" s="5"/>
      <c r="G612" s="5"/>
    </row>
    <row r="613" spans="3:7" ht="13">
      <c r="C613" s="5"/>
      <c r="D613" s="5"/>
      <c r="E613" s="5"/>
      <c r="F613" s="5"/>
      <c r="G613" s="5"/>
    </row>
    <row r="614" spans="3:7" ht="13">
      <c r="C614" s="5"/>
      <c r="D614" s="5"/>
      <c r="E614" s="5"/>
      <c r="F614" s="5"/>
      <c r="G614" s="5"/>
    </row>
    <row r="615" spans="3:7" ht="13">
      <c r="C615" s="5"/>
      <c r="D615" s="5"/>
      <c r="E615" s="5"/>
      <c r="F615" s="5"/>
      <c r="G615" s="5"/>
    </row>
    <row r="616" spans="3:7" ht="13">
      <c r="C616" s="5"/>
      <c r="D616" s="5"/>
      <c r="E616" s="5"/>
      <c r="F616" s="5"/>
      <c r="G616" s="5"/>
    </row>
    <row r="617" spans="3:7" ht="13">
      <c r="C617" s="5"/>
      <c r="D617" s="5"/>
      <c r="E617" s="5"/>
      <c r="F617" s="5"/>
      <c r="G617" s="5"/>
    </row>
    <row r="618" spans="3:7" ht="13">
      <c r="C618" s="5"/>
      <c r="D618" s="5"/>
      <c r="E618" s="5"/>
      <c r="F618" s="5"/>
      <c r="G618" s="5"/>
    </row>
    <row r="619" spans="3:7" ht="13">
      <c r="C619" s="5"/>
      <c r="D619" s="5"/>
      <c r="E619" s="5"/>
      <c r="F619" s="5"/>
      <c r="G619" s="5"/>
    </row>
    <row r="620" spans="3:7" ht="13">
      <c r="C620" s="5"/>
      <c r="D620" s="5"/>
      <c r="E620" s="5"/>
      <c r="F620" s="5"/>
      <c r="G620" s="5"/>
    </row>
    <row r="621" spans="3:7" ht="13">
      <c r="C621" s="5"/>
      <c r="D621" s="5"/>
      <c r="E621" s="5"/>
      <c r="F621" s="5"/>
      <c r="G621" s="5"/>
    </row>
    <row r="622" spans="3:7" ht="13">
      <c r="C622" s="5"/>
      <c r="D622" s="5"/>
      <c r="E622" s="5"/>
      <c r="F622" s="5"/>
      <c r="G622" s="5"/>
    </row>
    <row r="623" spans="3:7" ht="13">
      <c r="C623" s="5"/>
      <c r="D623" s="5"/>
      <c r="E623" s="5"/>
      <c r="F623" s="5"/>
      <c r="G623" s="5"/>
    </row>
    <row r="624" spans="3:7" ht="13">
      <c r="C624" s="5"/>
      <c r="D624" s="5"/>
      <c r="E624" s="5"/>
      <c r="F624" s="5"/>
      <c r="G624" s="5"/>
    </row>
    <row r="625" spans="3:7" ht="13">
      <c r="C625" s="5"/>
      <c r="D625" s="5"/>
      <c r="E625" s="5"/>
      <c r="F625" s="5"/>
      <c r="G625" s="5"/>
    </row>
    <row r="626" spans="3:7" ht="13">
      <c r="C626" s="5"/>
      <c r="D626" s="5"/>
      <c r="E626" s="5"/>
      <c r="F626" s="5"/>
      <c r="G626" s="5"/>
    </row>
    <row r="627" spans="3:7" ht="13">
      <c r="C627" s="5"/>
      <c r="D627" s="5"/>
      <c r="E627" s="5"/>
      <c r="F627" s="5"/>
      <c r="G627" s="5"/>
    </row>
    <row r="628" spans="3:7" ht="13">
      <c r="C628" s="5"/>
      <c r="D628" s="5"/>
      <c r="E628" s="5"/>
      <c r="F628" s="5"/>
      <c r="G628" s="5"/>
    </row>
    <row r="629" spans="3:7" ht="13">
      <c r="C629" s="5"/>
      <c r="D629" s="5"/>
      <c r="E629" s="5"/>
      <c r="F629" s="5"/>
      <c r="G629" s="5"/>
    </row>
    <row r="630" spans="3:7" ht="13">
      <c r="C630" s="5"/>
      <c r="D630" s="5"/>
      <c r="E630" s="5"/>
      <c r="F630" s="5"/>
      <c r="G630" s="5"/>
    </row>
    <row r="631" spans="3:7" ht="13">
      <c r="C631" s="5"/>
      <c r="D631" s="5"/>
      <c r="E631" s="5"/>
      <c r="F631" s="5"/>
      <c r="G631" s="5"/>
    </row>
    <row r="632" spans="3:7" ht="13">
      <c r="C632" s="5"/>
      <c r="D632" s="5"/>
      <c r="E632" s="5"/>
      <c r="F632" s="5"/>
      <c r="G632" s="5"/>
    </row>
    <row r="633" spans="3:7" ht="13">
      <c r="C633" s="5"/>
      <c r="D633" s="5"/>
      <c r="E633" s="5"/>
      <c r="F633" s="5"/>
      <c r="G633" s="5"/>
    </row>
    <row r="634" spans="3:7" ht="13">
      <c r="C634" s="5"/>
      <c r="D634" s="5"/>
      <c r="E634" s="5"/>
      <c r="F634" s="5"/>
      <c r="G634" s="5"/>
    </row>
    <row r="635" spans="3:7" ht="13">
      <c r="C635" s="5"/>
      <c r="D635" s="5"/>
      <c r="E635" s="5"/>
      <c r="F635" s="5"/>
      <c r="G635" s="5"/>
    </row>
    <row r="636" spans="3:7" ht="13">
      <c r="C636" s="5"/>
      <c r="D636" s="5"/>
      <c r="E636" s="5"/>
      <c r="F636" s="5"/>
      <c r="G636" s="5"/>
    </row>
    <row r="637" spans="3:7" ht="13">
      <c r="C637" s="5"/>
      <c r="D637" s="5"/>
      <c r="E637" s="5"/>
      <c r="F637" s="5"/>
      <c r="G637" s="5"/>
    </row>
    <row r="638" spans="3:7" ht="13">
      <c r="C638" s="5"/>
      <c r="D638" s="5"/>
      <c r="E638" s="5"/>
      <c r="F638" s="5"/>
      <c r="G638" s="5"/>
    </row>
    <row r="639" spans="3:7" ht="13">
      <c r="C639" s="5"/>
      <c r="D639" s="5"/>
      <c r="E639" s="5"/>
      <c r="F639" s="5"/>
      <c r="G639" s="5"/>
    </row>
    <row r="640" spans="3:7" ht="13">
      <c r="C640" s="5"/>
      <c r="D640" s="5"/>
      <c r="E640" s="5"/>
      <c r="F640" s="5"/>
      <c r="G640" s="5"/>
    </row>
    <row r="641" spans="3:7" ht="13">
      <c r="C641" s="5"/>
      <c r="D641" s="5"/>
      <c r="E641" s="5"/>
      <c r="F641" s="5"/>
      <c r="G641" s="5"/>
    </row>
    <row r="642" spans="3:7" ht="13">
      <c r="C642" s="5"/>
      <c r="D642" s="5"/>
      <c r="E642" s="5"/>
      <c r="F642" s="5"/>
      <c r="G642" s="5"/>
    </row>
    <row r="643" spans="3:7" ht="13">
      <c r="C643" s="5"/>
      <c r="D643" s="5"/>
      <c r="E643" s="5"/>
      <c r="F643" s="5"/>
      <c r="G643" s="5"/>
    </row>
    <row r="644" spans="3:7" ht="13">
      <c r="C644" s="5"/>
      <c r="D644" s="5"/>
      <c r="E644" s="5"/>
      <c r="F644" s="5"/>
      <c r="G644" s="5"/>
    </row>
    <row r="645" spans="3:7" ht="13">
      <c r="C645" s="5"/>
      <c r="D645" s="5"/>
      <c r="E645" s="5"/>
      <c r="F645" s="5"/>
      <c r="G645" s="5"/>
    </row>
    <row r="646" spans="3:7" ht="13">
      <c r="C646" s="5"/>
      <c r="D646" s="5"/>
      <c r="E646" s="5"/>
      <c r="F646" s="5"/>
      <c r="G646" s="5"/>
    </row>
    <row r="647" spans="3:7" ht="13">
      <c r="C647" s="5"/>
      <c r="D647" s="5"/>
      <c r="E647" s="5"/>
      <c r="F647" s="5"/>
      <c r="G647" s="5"/>
    </row>
    <row r="648" spans="3:7" ht="13">
      <c r="C648" s="5"/>
      <c r="D648" s="5"/>
      <c r="E648" s="5"/>
      <c r="F648" s="5"/>
      <c r="G648" s="5"/>
    </row>
    <row r="649" spans="3:7" ht="13">
      <c r="C649" s="5"/>
      <c r="D649" s="5"/>
      <c r="E649" s="5"/>
      <c r="F649" s="5"/>
      <c r="G649" s="5"/>
    </row>
    <row r="650" spans="3:7" ht="13">
      <c r="C650" s="5"/>
      <c r="D650" s="5"/>
      <c r="E650" s="5"/>
      <c r="F650" s="5"/>
      <c r="G650" s="5"/>
    </row>
    <row r="651" spans="3:7" ht="13">
      <c r="C651" s="5"/>
      <c r="D651" s="5"/>
      <c r="E651" s="5"/>
      <c r="F651" s="5"/>
      <c r="G651" s="5"/>
    </row>
    <row r="652" spans="3:7" ht="13">
      <c r="C652" s="5"/>
      <c r="D652" s="5"/>
      <c r="E652" s="5"/>
      <c r="F652" s="5"/>
      <c r="G652" s="5"/>
    </row>
    <row r="653" spans="3:7" ht="13">
      <c r="C653" s="5"/>
      <c r="D653" s="5"/>
      <c r="E653" s="5"/>
      <c r="F653" s="5"/>
      <c r="G653" s="5"/>
    </row>
    <row r="654" spans="3:7" ht="13">
      <c r="C654" s="5"/>
      <c r="D654" s="5"/>
      <c r="E654" s="5"/>
      <c r="F654" s="5"/>
      <c r="G654" s="5"/>
    </row>
    <row r="655" spans="3:7" ht="13">
      <c r="C655" s="5"/>
      <c r="D655" s="5"/>
      <c r="E655" s="5"/>
      <c r="F655" s="5"/>
      <c r="G655" s="5"/>
    </row>
    <row r="656" spans="3:7" ht="13">
      <c r="C656" s="5"/>
      <c r="D656" s="5"/>
      <c r="E656" s="5"/>
      <c r="F656" s="5"/>
      <c r="G656" s="5"/>
    </row>
    <row r="657" spans="3:7" ht="13">
      <c r="C657" s="5"/>
      <c r="D657" s="5"/>
      <c r="E657" s="5"/>
      <c r="F657" s="5"/>
      <c r="G657" s="5"/>
    </row>
    <row r="658" spans="3:7" ht="13">
      <c r="C658" s="5"/>
      <c r="D658" s="5"/>
      <c r="E658" s="5"/>
      <c r="F658" s="5"/>
      <c r="G658" s="5"/>
    </row>
    <row r="659" spans="3:7" ht="13">
      <c r="C659" s="5"/>
      <c r="D659" s="5"/>
      <c r="E659" s="5"/>
      <c r="F659" s="5"/>
      <c r="G659" s="5"/>
    </row>
    <row r="660" spans="3:7" ht="13">
      <c r="C660" s="5"/>
      <c r="D660" s="5"/>
      <c r="E660" s="5"/>
      <c r="F660" s="5"/>
      <c r="G660" s="5"/>
    </row>
    <row r="661" spans="3:7" ht="13">
      <c r="C661" s="5"/>
      <c r="D661" s="5"/>
      <c r="E661" s="5"/>
      <c r="F661" s="5"/>
      <c r="G661" s="5"/>
    </row>
    <row r="662" spans="3:7" ht="13">
      <c r="C662" s="5"/>
      <c r="D662" s="5"/>
      <c r="E662" s="5"/>
      <c r="F662" s="5"/>
      <c r="G662" s="5"/>
    </row>
    <row r="663" spans="3:7" ht="13">
      <c r="C663" s="5"/>
      <c r="D663" s="5"/>
      <c r="E663" s="5"/>
      <c r="F663" s="5"/>
      <c r="G663" s="5"/>
    </row>
    <row r="664" spans="3:7" ht="13">
      <c r="C664" s="5"/>
      <c r="D664" s="5"/>
      <c r="E664" s="5"/>
      <c r="F664" s="5"/>
      <c r="G664" s="5"/>
    </row>
    <row r="665" spans="3:7" ht="13">
      <c r="C665" s="5"/>
      <c r="D665" s="5"/>
      <c r="E665" s="5"/>
      <c r="F665" s="5"/>
      <c r="G665" s="5"/>
    </row>
    <row r="666" spans="3:7" ht="13">
      <c r="C666" s="5"/>
      <c r="D666" s="5"/>
      <c r="E666" s="5"/>
      <c r="F666" s="5"/>
      <c r="G666" s="5"/>
    </row>
    <row r="667" spans="3:7" ht="13">
      <c r="C667" s="5"/>
      <c r="D667" s="5"/>
      <c r="E667" s="5"/>
      <c r="F667" s="5"/>
      <c r="G667" s="5"/>
    </row>
    <row r="668" spans="3:7" ht="13">
      <c r="C668" s="5"/>
      <c r="D668" s="5"/>
      <c r="E668" s="5"/>
      <c r="F668" s="5"/>
      <c r="G668" s="5"/>
    </row>
    <row r="669" spans="3:7" ht="13">
      <c r="C669" s="5"/>
      <c r="D669" s="5"/>
      <c r="E669" s="5"/>
      <c r="F669" s="5"/>
      <c r="G669" s="5"/>
    </row>
    <row r="670" spans="3:7" ht="13">
      <c r="C670" s="5"/>
      <c r="D670" s="5"/>
      <c r="E670" s="5"/>
      <c r="F670" s="5"/>
      <c r="G670" s="5"/>
    </row>
    <row r="671" spans="3:7" ht="13">
      <c r="C671" s="5"/>
      <c r="D671" s="5"/>
      <c r="E671" s="5"/>
      <c r="F671" s="5"/>
      <c r="G671" s="5"/>
    </row>
    <row r="672" spans="3:7" ht="13">
      <c r="C672" s="5"/>
      <c r="D672" s="5"/>
      <c r="E672" s="5"/>
      <c r="F672" s="5"/>
      <c r="G672" s="5"/>
    </row>
    <row r="673" spans="3:7" ht="13">
      <c r="C673" s="5"/>
      <c r="D673" s="5"/>
      <c r="E673" s="5"/>
      <c r="F673" s="5"/>
      <c r="G673" s="5"/>
    </row>
    <row r="674" spans="3:7" ht="13">
      <c r="C674" s="5"/>
      <c r="D674" s="5"/>
      <c r="E674" s="5"/>
      <c r="F674" s="5"/>
      <c r="G674" s="5"/>
    </row>
    <row r="675" spans="3:7" ht="13">
      <c r="C675" s="5"/>
      <c r="D675" s="5"/>
      <c r="E675" s="5"/>
      <c r="F675" s="5"/>
      <c r="G675" s="5"/>
    </row>
    <row r="676" spans="3:7" ht="13">
      <c r="C676" s="5"/>
      <c r="D676" s="5"/>
      <c r="E676" s="5"/>
      <c r="F676" s="5"/>
      <c r="G676" s="5"/>
    </row>
    <row r="677" spans="3:7" ht="13">
      <c r="C677" s="5"/>
      <c r="D677" s="5"/>
      <c r="E677" s="5"/>
      <c r="F677" s="5"/>
      <c r="G677" s="5"/>
    </row>
    <row r="678" spans="3:7" ht="13">
      <c r="C678" s="5"/>
      <c r="D678" s="5"/>
      <c r="E678" s="5"/>
      <c r="F678" s="5"/>
      <c r="G678" s="5"/>
    </row>
    <row r="679" spans="3:7" ht="13">
      <c r="C679" s="5"/>
      <c r="D679" s="5"/>
      <c r="E679" s="5"/>
      <c r="F679" s="5"/>
      <c r="G679" s="5"/>
    </row>
    <row r="680" spans="3:7" ht="13">
      <c r="C680" s="5"/>
      <c r="D680" s="5"/>
      <c r="E680" s="5"/>
      <c r="F680" s="5"/>
      <c r="G680" s="5"/>
    </row>
    <row r="681" spans="3:7" ht="13">
      <c r="C681" s="5"/>
      <c r="D681" s="5"/>
      <c r="E681" s="5"/>
      <c r="F681" s="5"/>
      <c r="G681" s="5"/>
    </row>
    <row r="682" spans="3:7" ht="13">
      <c r="C682" s="5"/>
      <c r="D682" s="5"/>
      <c r="E682" s="5"/>
      <c r="F682" s="5"/>
      <c r="G682" s="5"/>
    </row>
    <row r="683" spans="3:7" ht="13">
      <c r="C683" s="5"/>
      <c r="D683" s="5"/>
      <c r="E683" s="5"/>
      <c r="F683" s="5"/>
      <c r="G683" s="5"/>
    </row>
    <row r="684" spans="3:7" ht="13">
      <c r="C684" s="5"/>
      <c r="D684" s="5"/>
      <c r="E684" s="5"/>
      <c r="F684" s="5"/>
      <c r="G684" s="5"/>
    </row>
    <row r="685" spans="3:7" ht="13">
      <c r="C685" s="5"/>
      <c r="D685" s="5"/>
      <c r="E685" s="5"/>
      <c r="F685" s="5"/>
      <c r="G685" s="5"/>
    </row>
    <row r="686" spans="3:7" ht="13">
      <c r="C686" s="5"/>
      <c r="D686" s="5"/>
      <c r="E686" s="5"/>
      <c r="F686" s="5"/>
      <c r="G686" s="5"/>
    </row>
    <row r="687" spans="3:7" ht="13">
      <c r="C687" s="5"/>
      <c r="D687" s="5"/>
      <c r="E687" s="5"/>
      <c r="F687" s="5"/>
      <c r="G687" s="5"/>
    </row>
    <row r="688" spans="3:7" ht="13">
      <c r="C688" s="5"/>
      <c r="D688" s="5"/>
      <c r="E688" s="5"/>
      <c r="F688" s="5"/>
      <c r="G688" s="5"/>
    </row>
    <row r="689" spans="3:7" ht="13">
      <c r="C689" s="5"/>
      <c r="D689" s="5"/>
      <c r="E689" s="5"/>
      <c r="F689" s="5"/>
      <c r="G689" s="5"/>
    </row>
    <row r="690" spans="3:7" ht="13">
      <c r="C690" s="5"/>
      <c r="D690" s="5"/>
      <c r="E690" s="5"/>
      <c r="F690" s="5"/>
      <c r="G690" s="5"/>
    </row>
    <row r="691" spans="3:7" ht="13">
      <c r="C691" s="5"/>
      <c r="D691" s="5"/>
      <c r="E691" s="5"/>
      <c r="F691" s="5"/>
      <c r="G691" s="5"/>
    </row>
    <row r="692" spans="3:7" ht="13">
      <c r="C692" s="5"/>
      <c r="D692" s="5"/>
      <c r="E692" s="5"/>
      <c r="F692" s="5"/>
      <c r="G692" s="5"/>
    </row>
    <row r="693" spans="3:7" ht="13">
      <c r="C693" s="5"/>
      <c r="D693" s="5"/>
      <c r="E693" s="5"/>
      <c r="F693" s="5"/>
      <c r="G693" s="5"/>
    </row>
    <row r="694" spans="3:7" ht="13">
      <c r="C694" s="5"/>
      <c r="D694" s="5"/>
      <c r="E694" s="5"/>
      <c r="F694" s="5"/>
      <c r="G694" s="5"/>
    </row>
    <row r="695" spans="3:7" ht="13">
      <c r="C695" s="5"/>
      <c r="D695" s="5"/>
      <c r="E695" s="5"/>
      <c r="F695" s="5"/>
      <c r="G695" s="5"/>
    </row>
    <row r="696" spans="3:7" ht="13">
      <c r="C696" s="5"/>
      <c r="D696" s="5"/>
      <c r="E696" s="5"/>
      <c r="F696" s="5"/>
      <c r="G696" s="5"/>
    </row>
    <row r="697" spans="3:7" ht="13">
      <c r="C697" s="5"/>
      <c r="D697" s="5"/>
      <c r="E697" s="5"/>
      <c r="F697" s="5"/>
      <c r="G697" s="5"/>
    </row>
    <row r="698" spans="3:7" ht="13">
      <c r="C698" s="5"/>
      <c r="D698" s="5"/>
      <c r="E698" s="5"/>
      <c r="F698" s="5"/>
      <c r="G698" s="5"/>
    </row>
    <row r="699" spans="3:7" ht="13">
      <c r="C699" s="5"/>
      <c r="D699" s="5"/>
      <c r="E699" s="5"/>
      <c r="F699" s="5"/>
      <c r="G699" s="5"/>
    </row>
    <row r="700" spans="3:7" ht="13">
      <c r="C700" s="5"/>
      <c r="D700" s="5"/>
      <c r="E700" s="5"/>
      <c r="F700" s="5"/>
      <c r="G700" s="5"/>
    </row>
    <row r="701" spans="3:7" ht="13">
      <c r="C701" s="5"/>
      <c r="D701" s="5"/>
      <c r="E701" s="5"/>
      <c r="F701" s="5"/>
      <c r="G701" s="5"/>
    </row>
    <row r="702" spans="3:7" ht="13">
      <c r="C702" s="5"/>
      <c r="D702" s="5"/>
      <c r="E702" s="5"/>
      <c r="F702" s="5"/>
      <c r="G702" s="5"/>
    </row>
    <row r="703" spans="3:7" ht="13">
      <c r="C703" s="5"/>
      <c r="D703" s="5"/>
      <c r="E703" s="5"/>
      <c r="F703" s="5"/>
      <c r="G703" s="5"/>
    </row>
    <row r="704" spans="3:7" ht="13">
      <c r="C704" s="5"/>
      <c r="D704" s="5"/>
      <c r="E704" s="5"/>
      <c r="F704" s="5"/>
      <c r="G704" s="5"/>
    </row>
    <row r="705" spans="3:7" ht="13">
      <c r="C705" s="5"/>
      <c r="D705" s="5"/>
      <c r="E705" s="5"/>
      <c r="F705" s="5"/>
      <c r="G705" s="5"/>
    </row>
    <row r="706" spans="3:7" ht="13">
      <c r="C706" s="5"/>
      <c r="D706" s="5"/>
      <c r="E706" s="5"/>
      <c r="F706" s="5"/>
      <c r="G706" s="5"/>
    </row>
    <row r="707" spans="3:7" ht="13">
      <c r="C707" s="5"/>
      <c r="D707" s="5"/>
      <c r="E707" s="5"/>
      <c r="F707" s="5"/>
      <c r="G707" s="5"/>
    </row>
    <row r="708" spans="3:7" ht="13">
      <c r="C708" s="5"/>
      <c r="D708" s="5"/>
      <c r="E708" s="5"/>
      <c r="F708" s="5"/>
      <c r="G708" s="5"/>
    </row>
    <row r="709" spans="3:7" ht="13">
      <c r="C709" s="5"/>
      <c r="D709" s="5"/>
      <c r="E709" s="5"/>
      <c r="F709" s="5"/>
      <c r="G709" s="5"/>
    </row>
    <row r="710" spans="3:7" ht="13">
      <c r="C710" s="5"/>
      <c r="D710" s="5"/>
      <c r="E710" s="5"/>
      <c r="F710" s="5"/>
      <c r="G710" s="5"/>
    </row>
    <row r="711" spans="3:7" ht="13">
      <c r="C711" s="5"/>
      <c r="D711" s="5"/>
      <c r="E711" s="5"/>
      <c r="F711" s="5"/>
      <c r="G711" s="5"/>
    </row>
    <row r="712" spans="3:7" ht="13">
      <c r="C712" s="5"/>
      <c r="D712" s="5"/>
      <c r="E712" s="5"/>
      <c r="F712" s="5"/>
      <c r="G712" s="5"/>
    </row>
    <row r="713" spans="3:7" ht="13">
      <c r="C713" s="5"/>
      <c r="D713" s="5"/>
      <c r="E713" s="5"/>
      <c r="F713" s="5"/>
      <c r="G713" s="5"/>
    </row>
    <row r="714" spans="3:7" ht="13">
      <c r="C714" s="5"/>
      <c r="D714" s="5"/>
      <c r="E714" s="5"/>
      <c r="F714" s="5"/>
      <c r="G714" s="5"/>
    </row>
    <row r="715" spans="3:7" ht="13">
      <c r="C715" s="5"/>
      <c r="D715" s="5"/>
      <c r="E715" s="5"/>
      <c r="F715" s="5"/>
      <c r="G715" s="5"/>
    </row>
    <row r="716" spans="3:7" ht="13">
      <c r="C716" s="5"/>
      <c r="D716" s="5"/>
      <c r="E716" s="5"/>
      <c r="F716" s="5"/>
      <c r="G716" s="5"/>
    </row>
    <row r="717" spans="3:7" ht="13">
      <c r="C717" s="5"/>
      <c r="D717" s="5"/>
      <c r="E717" s="5"/>
      <c r="F717" s="5"/>
      <c r="G717" s="5"/>
    </row>
    <row r="718" spans="3:7" ht="13">
      <c r="C718" s="5"/>
      <c r="D718" s="5"/>
      <c r="E718" s="5"/>
      <c r="F718" s="5"/>
      <c r="G718" s="5"/>
    </row>
    <row r="719" spans="3:7" ht="13">
      <c r="C719" s="5"/>
      <c r="D719" s="5"/>
      <c r="E719" s="5"/>
      <c r="F719" s="5"/>
      <c r="G719" s="5"/>
    </row>
    <row r="720" spans="3:7" ht="13">
      <c r="C720" s="5"/>
      <c r="D720" s="5"/>
      <c r="E720" s="5"/>
      <c r="F720" s="5"/>
      <c r="G720" s="5"/>
    </row>
    <row r="721" spans="3:7" ht="13">
      <c r="C721" s="5"/>
      <c r="D721" s="5"/>
      <c r="E721" s="5"/>
      <c r="F721" s="5"/>
      <c r="G721" s="5"/>
    </row>
    <row r="722" spans="3:7" ht="13">
      <c r="C722" s="5"/>
      <c r="D722" s="5"/>
      <c r="E722" s="5"/>
      <c r="F722" s="5"/>
      <c r="G722" s="5"/>
    </row>
    <row r="723" spans="3:7" ht="13">
      <c r="C723" s="5"/>
      <c r="D723" s="5"/>
      <c r="E723" s="5"/>
      <c r="F723" s="5"/>
      <c r="G723" s="5"/>
    </row>
    <row r="724" spans="3:7" ht="13">
      <c r="C724" s="5"/>
      <c r="D724" s="5"/>
      <c r="E724" s="5"/>
      <c r="F724" s="5"/>
      <c r="G724" s="5"/>
    </row>
    <row r="725" spans="3:7" ht="13">
      <c r="C725" s="5"/>
      <c r="D725" s="5"/>
      <c r="E725" s="5"/>
      <c r="F725" s="5"/>
      <c r="G725" s="5"/>
    </row>
    <row r="726" spans="3:7" ht="13">
      <c r="C726" s="5"/>
      <c r="D726" s="5"/>
      <c r="E726" s="5"/>
      <c r="F726" s="5"/>
      <c r="G726" s="5"/>
    </row>
    <row r="727" spans="3:7" ht="13">
      <c r="C727" s="5"/>
      <c r="D727" s="5"/>
      <c r="E727" s="5"/>
      <c r="F727" s="5"/>
      <c r="G727" s="5"/>
    </row>
    <row r="728" spans="3:7" ht="13">
      <c r="C728" s="5"/>
      <c r="D728" s="5"/>
      <c r="E728" s="5"/>
      <c r="F728" s="5"/>
      <c r="G728" s="5"/>
    </row>
    <row r="729" spans="3:7" ht="13">
      <c r="C729" s="5"/>
      <c r="D729" s="5"/>
      <c r="E729" s="5"/>
      <c r="F729" s="5"/>
      <c r="G729" s="5"/>
    </row>
    <row r="730" spans="3:7" ht="13">
      <c r="C730" s="5"/>
      <c r="D730" s="5"/>
      <c r="E730" s="5"/>
      <c r="F730" s="5"/>
      <c r="G730" s="5"/>
    </row>
    <row r="731" spans="3:7" ht="13">
      <c r="C731" s="5"/>
      <c r="D731" s="5"/>
      <c r="E731" s="5"/>
      <c r="F731" s="5"/>
      <c r="G731" s="5"/>
    </row>
    <row r="732" spans="3:7" ht="13">
      <c r="C732" s="5"/>
      <c r="D732" s="5"/>
      <c r="E732" s="5"/>
      <c r="F732" s="5"/>
      <c r="G732" s="5"/>
    </row>
    <row r="733" spans="3:7" ht="13">
      <c r="C733" s="5"/>
      <c r="D733" s="5"/>
      <c r="E733" s="5"/>
      <c r="F733" s="5"/>
      <c r="G733" s="5"/>
    </row>
    <row r="734" spans="3:7" ht="13">
      <c r="C734" s="5"/>
      <c r="D734" s="5"/>
      <c r="E734" s="5"/>
      <c r="F734" s="5"/>
      <c r="G734" s="5"/>
    </row>
    <row r="735" spans="3:7" ht="13">
      <c r="C735" s="5"/>
      <c r="D735" s="5"/>
      <c r="E735" s="5"/>
      <c r="F735" s="5"/>
      <c r="G735" s="5"/>
    </row>
    <row r="736" spans="3:7" ht="13">
      <c r="C736" s="5"/>
      <c r="D736" s="5"/>
      <c r="E736" s="5"/>
      <c r="F736" s="5"/>
      <c r="G736" s="5"/>
    </row>
    <row r="737" spans="3:7" ht="13">
      <c r="C737" s="5"/>
      <c r="D737" s="5"/>
      <c r="E737" s="5"/>
      <c r="F737" s="5"/>
      <c r="G737" s="5"/>
    </row>
    <row r="738" spans="3:7" ht="13">
      <c r="C738" s="5"/>
      <c r="D738" s="5"/>
      <c r="E738" s="5"/>
      <c r="F738" s="5"/>
      <c r="G738" s="5"/>
    </row>
    <row r="739" spans="3:7" ht="13">
      <c r="C739" s="5"/>
      <c r="D739" s="5"/>
      <c r="E739" s="5"/>
      <c r="F739" s="5"/>
      <c r="G739" s="5"/>
    </row>
    <row r="740" spans="3:7" ht="13">
      <c r="C740" s="5"/>
      <c r="D740" s="5"/>
      <c r="E740" s="5"/>
      <c r="F740" s="5"/>
      <c r="G740" s="5"/>
    </row>
    <row r="741" spans="3:7" ht="13">
      <c r="C741" s="5"/>
      <c r="D741" s="5"/>
      <c r="E741" s="5"/>
      <c r="F741" s="5"/>
      <c r="G741" s="5"/>
    </row>
    <row r="742" spans="3:7" ht="13">
      <c r="C742" s="5"/>
      <c r="D742" s="5"/>
      <c r="E742" s="5"/>
      <c r="F742" s="5"/>
      <c r="G742" s="5"/>
    </row>
    <row r="743" spans="3:7" ht="13">
      <c r="C743" s="5"/>
      <c r="D743" s="5"/>
      <c r="E743" s="5"/>
      <c r="F743" s="5"/>
      <c r="G743" s="5"/>
    </row>
    <row r="744" spans="3:7" ht="13">
      <c r="C744" s="5"/>
      <c r="D744" s="5"/>
      <c r="E744" s="5"/>
      <c r="F744" s="5"/>
      <c r="G744" s="5"/>
    </row>
    <row r="745" spans="3:7" ht="13">
      <c r="C745" s="5"/>
      <c r="D745" s="5"/>
      <c r="E745" s="5"/>
      <c r="F745" s="5"/>
      <c r="G745" s="5"/>
    </row>
    <row r="746" spans="3:7" ht="13">
      <c r="C746" s="5"/>
      <c r="D746" s="5"/>
      <c r="E746" s="5"/>
      <c r="F746" s="5"/>
      <c r="G746" s="5"/>
    </row>
    <row r="747" spans="3:7" ht="13">
      <c r="C747" s="5"/>
      <c r="D747" s="5"/>
      <c r="E747" s="5"/>
      <c r="F747" s="5"/>
      <c r="G747" s="5"/>
    </row>
    <row r="748" spans="3:7" ht="13">
      <c r="C748" s="5"/>
      <c r="D748" s="5"/>
      <c r="E748" s="5"/>
      <c r="F748" s="5"/>
      <c r="G748" s="5"/>
    </row>
    <row r="749" spans="3:7" ht="13">
      <c r="C749" s="5"/>
      <c r="D749" s="5"/>
      <c r="E749" s="5"/>
      <c r="F749" s="5"/>
      <c r="G749" s="5"/>
    </row>
    <row r="750" spans="3:7" ht="13">
      <c r="C750" s="5"/>
      <c r="D750" s="5"/>
      <c r="E750" s="5"/>
      <c r="F750" s="5"/>
      <c r="G750" s="5"/>
    </row>
    <row r="751" spans="3:7" ht="13">
      <c r="C751" s="5"/>
      <c r="D751" s="5"/>
      <c r="E751" s="5"/>
      <c r="F751" s="5"/>
      <c r="G751" s="5"/>
    </row>
    <row r="752" spans="3:7" ht="13">
      <c r="C752" s="5"/>
      <c r="D752" s="5"/>
      <c r="E752" s="5"/>
      <c r="F752" s="5"/>
      <c r="G752" s="5"/>
    </row>
    <row r="753" spans="3:7" ht="13">
      <c r="C753" s="5"/>
      <c r="D753" s="5"/>
      <c r="E753" s="5"/>
      <c r="F753" s="5"/>
      <c r="G753" s="5"/>
    </row>
    <row r="754" spans="3:7" ht="13">
      <c r="C754" s="5"/>
      <c r="D754" s="5"/>
      <c r="E754" s="5"/>
      <c r="F754" s="5"/>
      <c r="G754" s="5"/>
    </row>
    <row r="755" spans="3:7" ht="13">
      <c r="C755" s="5"/>
      <c r="D755" s="5"/>
      <c r="E755" s="5"/>
      <c r="F755" s="5"/>
      <c r="G755" s="5"/>
    </row>
    <row r="756" spans="3:7" ht="13">
      <c r="C756" s="5"/>
      <c r="D756" s="5"/>
      <c r="E756" s="5"/>
      <c r="F756" s="5"/>
      <c r="G756" s="5"/>
    </row>
    <row r="757" spans="3:7" ht="13">
      <c r="C757" s="5"/>
      <c r="D757" s="5"/>
      <c r="E757" s="5"/>
      <c r="F757" s="5"/>
      <c r="G757" s="5"/>
    </row>
    <row r="758" spans="3:7" ht="13">
      <c r="C758" s="5"/>
      <c r="D758" s="5"/>
      <c r="E758" s="5"/>
      <c r="F758" s="5"/>
      <c r="G758" s="5"/>
    </row>
    <row r="759" spans="3:7" ht="13">
      <c r="C759" s="5"/>
      <c r="D759" s="5"/>
      <c r="E759" s="5"/>
      <c r="F759" s="5"/>
      <c r="G759" s="5"/>
    </row>
    <row r="760" spans="3:7" ht="13">
      <c r="C760" s="5"/>
      <c r="D760" s="5"/>
      <c r="E760" s="5"/>
      <c r="F760" s="5"/>
      <c r="G760" s="5"/>
    </row>
    <row r="761" spans="3:7" ht="13">
      <c r="C761" s="5"/>
      <c r="D761" s="5"/>
      <c r="E761" s="5"/>
      <c r="F761" s="5"/>
      <c r="G761" s="5"/>
    </row>
    <row r="762" spans="3:7" ht="13">
      <c r="C762" s="5"/>
      <c r="D762" s="5"/>
      <c r="E762" s="5"/>
      <c r="F762" s="5"/>
      <c r="G762" s="5"/>
    </row>
    <row r="763" spans="3:7" ht="13">
      <c r="C763" s="5"/>
      <c r="D763" s="5"/>
      <c r="E763" s="5"/>
      <c r="F763" s="5"/>
      <c r="G763" s="5"/>
    </row>
    <row r="764" spans="3:7" ht="13">
      <c r="C764" s="5"/>
      <c r="D764" s="5"/>
      <c r="E764" s="5"/>
      <c r="F764" s="5"/>
      <c r="G764" s="5"/>
    </row>
    <row r="765" spans="3:7" ht="13">
      <c r="C765" s="5"/>
      <c r="D765" s="5"/>
      <c r="E765" s="5"/>
      <c r="F765" s="5"/>
      <c r="G765" s="5"/>
    </row>
    <row r="766" spans="3:7" ht="13">
      <c r="C766" s="5"/>
      <c r="D766" s="5"/>
      <c r="E766" s="5"/>
      <c r="F766" s="5"/>
      <c r="G766" s="5"/>
    </row>
    <row r="767" spans="3:7" ht="13">
      <c r="C767" s="5"/>
      <c r="D767" s="5"/>
      <c r="E767" s="5"/>
      <c r="F767" s="5"/>
      <c r="G767" s="5"/>
    </row>
    <row r="768" spans="3:7" ht="13">
      <c r="C768" s="5"/>
      <c r="D768" s="5"/>
      <c r="E768" s="5"/>
      <c r="F768" s="5"/>
      <c r="G768" s="5"/>
    </row>
    <row r="769" spans="3:7" ht="13">
      <c r="C769" s="5"/>
      <c r="D769" s="5"/>
      <c r="E769" s="5"/>
      <c r="F769" s="5"/>
      <c r="G769" s="5"/>
    </row>
    <row r="770" spans="3:7" ht="13">
      <c r="C770" s="5"/>
      <c r="D770" s="5"/>
      <c r="E770" s="5"/>
      <c r="F770" s="5"/>
      <c r="G770" s="5"/>
    </row>
    <row r="771" spans="3:7" ht="13">
      <c r="C771" s="5"/>
      <c r="D771" s="5"/>
      <c r="E771" s="5"/>
      <c r="F771" s="5"/>
      <c r="G771" s="5"/>
    </row>
    <row r="772" spans="3:7" ht="13">
      <c r="C772" s="5"/>
      <c r="D772" s="5"/>
      <c r="E772" s="5"/>
      <c r="F772" s="5"/>
      <c r="G772" s="5"/>
    </row>
    <row r="773" spans="3:7" ht="13">
      <c r="C773" s="5"/>
      <c r="D773" s="5"/>
      <c r="E773" s="5"/>
      <c r="F773" s="5"/>
      <c r="G773" s="5"/>
    </row>
    <row r="774" spans="3:7" ht="13">
      <c r="C774" s="5"/>
      <c r="D774" s="5"/>
      <c r="E774" s="5"/>
      <c r="F774" s="5"/>
      <c r="G774" s="5"/>
    </row>
    <row r="775" spans="3:7" ht="13">
      <c r="C775" s="5"/>
      <c r="D775" s="5"/>
      <c r="E775" s="5"/>
      <c r="F775" s="5"/>
      <c r="G775" s="5"/>
    </row>
    <row r="776" spans="3:7" ht="13">
      <c r="C776" s="5"/>
      <c r="D776" s="5"/>
      <c r="E776" s="5"/>
      <c r="F776" s="5"/>
      <c r="G776" s="5"/>
    </row>
    <row r="777" spans="3:7" ht="13">
      <c r="C777" s="5"/>
      <c r="D777" s="5"/>
      <c r="E777" s="5"/>
      <c r="F777" s="5"/>
      <c r="G777" s="5"/>
    </row>
    <row r="778" spans="3:7" ht="13">
      <c r="C778" s="5"/>
      <c r="D778" s="5"/>
      <c r="E778" s="5"/>
      <c r="F778" s="5"/>
      <c r="G778" s="5"/>
    </row>
    <row r="779" spans="3:7" ht="13">
      <c r="C779" s="5"/>
      <c r="D779" s="5"/>
      <c r="E779" s="5"/>
      <c r="F779" s="5"/>
      <c r="G779" s="5"/>
    </row>
    <row r="780" spans="3:7" ht="13">
      <c r="C780" s="5"/>
      <c r="D780" s="5"/>
      <c r="E780" s="5"/>
      <c r="F780" s="5"/>
      <c r="G780" s="5"/>
    </row>
    <row r="781" spans="3:7" ht="13">
      <c r="C781" s="5"/>
      <c r="D781" s="5"/>
      <c r="E781" s="5"/>
      <c r="F781" s="5"/>
      <c r="G781" s="5"/>
    </row>
    <row r="782" spans="3:7" ht="13">
      <c r="C782" s="5"/>
      <c r="D782" s="5"/>
      <c r="E782" s="5"/>
      <c r="F782" s="5"/>
      <c r="G782" s="5"/>
    </row>
    <row r="783" spans="3:7" ht="13">
      <c r="C783" s="5"/>
      <c r="D783" s="5"/>
      <c r="E783" s="5"/>
      <c r="F783" s="5"/>
      <c r="G783" s="5"/>
    </row>
    <row r="784" spans="3:7" ht="13">
      <c r="C784" s="5"/>
      <c r="D784" s="5"/>
      <c r="E784" s="5"/>
      <c r="F784" s="5"/>
      <c r="G784" s="5"/>
    </row>
    <row r="785" spans="3:7" ht="13">
      <c r="C785" s="5"/>
      <c r="D785" s="5"/>
      <c r="E785" s="5"/>
      <c r="F785" s="5"/>
      <c r="G785" s="5"/>
    </row>
    <row r="786" spans="3:7" ht="13">
      <c r="C786" s="5"/>
      <c r="D786" s="5"/>
      <c r="E786" s="5"/>
      <c r="F786" s="5"/>
      <c r="G786" s="5"/>
    </row>
    <row r="787" spans="3:7" ht="13">
      <c r="C787" s="5"/>
      <c r="D787" s="5"/>
      <c r="E787" s="5"/>
      <c r="F787" s="5"/>
      <c r="G787" s="5"/>
    </row>
    <row r="788" spans="3:7" ht="13">
      <c r="C788" s="5"/>
      <c r="D788" s="5"/>
      <c r="E788" s="5"/>
      <c r="F788" s="5"/>
      <c r="G788" s="5"/>
    </row>
    <row r="789" spans="3:7" ht="13">
      <c r="C789" s="5"/>
      <c r="D789" s="5"/>
      <c r="E789" s="5"/>
      <c r="F789" s="5"/>
      <c r="G789" s="5"/>
    </row>
    <row r="790" spans="3:7" ht="13">
      <c r="C790" s="5"/>
      <c r="D790" s="5"/>
      <c r="E790" s="5"/>
      <c r="F790" s="5"/>
      <c r="G790" s="5"/>
    </row>
    <row r="791" spans="3:7" ht="13">
      <c r="C791" s="5"/>
      <c r="D791" s="5"/>
      <c r="E791" s="5"/>
      <c r="F791" s="5"/>
      <c r="G791" s="5"/>
    </row>
    <row r="792" spans="3:7" ht="13">
      <c r="C792" s="5"/>
      <c r="D792" s="5"/>
      <c r="E792" s="5"/>
      <c r="F792" s="5"/>
      <c r="G792" s="5"/>
    </row>
    <row r="793" spans="3:7" ht="13">
      <c r="C793" s="5"/>
      <c r="D793" s="5"/>
      <c r="E793" s="5"/>
      <c r="F793" s="5"/>
      <c r="G793" s="5"/>
    </row>
    <row r="794" spans="3:7" ht="13">
      <c r="C794" s="5"/>
      <c r="D794" s="5"/>
      <c r="E794" s="5"/>
      <c r="F794" s="5"/>
      <c r="G794" s="5"/>
    </row>
    <row r="795" spans="3:7" ht="13">
      <c r="C795" s="5"/>
      <c r="D795" s="5"/>
      <c r="E795" s="5"/>
      <c r="F795" s="5"/>
      <c r="G795" s="5"/>
    </row>
    <row r="796" spans="3:7" ht="13">
      <c r="C796" s="5"/>
      <c r="D796" s="5"/>
      <c r="E796" s="5"/>
      <c r="F796" s="5"/>
      <c r="G796" s="5"/>
    </row>
    <row r="797" spans="3:7" ht="13">
      <c r="C797" s="5"/>
      <c r="D797" s="5"/>
      <c r="E797" s="5"/>
      <c r="F797" s="5"/>
      <c r="G797" s="5"/>
    </row>
    <row r="798" spans="3:7" ht="13">
      <c r="C798" s="5"/>
      <c r="D798" s="5"/>
      <c r="E798" s="5"/>
      <c r="F798" s="5"/>
      <c r="G798" s="5"/>
    </row>
    <row r="799" spans="3:7" ht="13">
      <c r="C799" s="5"/>
      <c r="D799" s="5"/>
      <c r="E799" s="5"/>
      <c r="F799" s="5"/>
      <c r="G799" s="5"/>
    </row>
    <row r="800" spans="3:7" ht="13">
      <c r="C800" s="5"/>
      <c r="D800" s="5"/>
      <c r="E800" s="5"/>
      <c r="F800" s="5"/>
      <c r="G800" s="5"/>
    </row>
    <row r="801" spans="3:7" ht="13">
      <c r="C801" s="5"/>
      <c r="D801" s="5"/>
      <c r="E801" s="5"/>
      <c r="F801" s="5"/>
      <c r="G801" s="5"/>
    </row>
    <row r="802" spans="3:7" ht="13">
      <c r="C802" s="5"/>
      <c r="D802" s="5"/>
      <c r="E802" s="5"/>
      <c r="F802" s="5"/>
      <c r="G802" s="5"/>
    </row>
    <row r="803" spans="3:7" ht="13">
      <c r="C803" s="5"/>
      <c r="D803" s="5"/>
      <c r="E803" s="5"/>
      <c r="F803" s="5"/>
      <c r="G803" s="5"/>
    </row>
    <row r="804" spans="3:7" ht="13">
      <c r="C804" s="5"/>
      <c r="D804" s="5"/>
      <c r="E804" s="5"/>
      <c r="F804" s="5"/>
      <c r="G804" s="5"/>
    </row>
    <row r="805" spans="3:7" ht="13">
      <c r="C805" s="5"/>
      <c r="D805" s="5"/>
      <c r="E805" s="5"/>
      <c r="F805" s="5"/>
      <c r="G805" s="5"/>
    </row>
    <row r="806" spans="3:7" ht="13">
      <c r="C806" s="5"/>
      <c r="D806" s="5"/>
      <c r="E806" s="5"/>
      <c r="F806" s="5"/>
      <c r="G806" s="5"/>
    </row>
    <row r="807" spans="3:7" ht="13">
      <c r="C807" s="5"/>
      <c r="D807" s="5"/>
      <c r="E807" s="5"/>
      <c r="F807" s="5"/>
      <c r="G807" s="5"/>
    </row>
    <row r="808" spans="3:7" ht="13">
      <c r="C808" s="5"/>
      <c r="D808" s="5"/>
      <c r="E808" s="5"/>
      <c r="F808" s="5"/>
      <c r="G808" s="5"/>
    </row>
    <row r="809" spans="3:7" ht="13">
      <c r="C809" s="5"/>
      <c r="D809" s="5"/>
      <c r="E809" s="5"/>
      <c r="F809" s="5"/>
      <c r="G809" s="5"/>
    </row>
    <row r="810" spans="3:7" ht="13">
      <c r="C810" s="5"/>
      <c r="D810" s="5"/>
      <c r="E810" s="5"/>
      <c r="F810" s="5"/>
      <c r="G810" s="5"/>
    </row>
    <row r="811" spans="3:7" ht="13">
      <c r="C811" s="5"/>
      <c r="D811" s="5"/>
      <c r="E811" s="5"/>
      <c r="F811" s="5"/>
      <c r="G811" s="5"/>
    </row>
    <row r="812" spans="3:7" ht="13">
      <c r="C812" s="5"/>
      <c r="D812" s="5"/>
      <c r="E812" s="5"/>
      <c r="F812" s="5"/>
      <c r="G812" s="5"/>
    </row>
    <row r="813" spans="3:7" ht="13">
      <c r="C813" s="5"/>
      <c r="D813" s="5"/>
      <c r="E813" s="5"/>
      <c r="F813" s="5"/>
      <c r="G813" s="5"/>
    </row>
    <row r="814" spans="3:7" ht="13">
      <c r="C814" s="5"/>
      <c r="D814" s="5"/>
      <c r="E814" s="5"/>
      <c r="F814" s="5"/>
      <c r="G814" s="5"/>
    </row>
    <row r="815" spans="3:7" ht="13">
      <c r="C815" s="5"/>
      <c r="D815" s="5"/>
      <c r="E815" s="5"/>
      <c r="F815" s="5"/>
      <c r="G815" s="5"/>
    </row>
    <row r="816" spans="3:7" ht="13">
      <c r="C816" s="5"/>
      <c r="D816" s="5"/>
      <c r="E816" s="5"/>
      <c r="F816" s="5"/>
      <c r="G816" s="5"/>
    </row>
    <row r="817" spans="3:7" ht="13">
      <c r="C817" s="5"/>
      <c r="D817" s="5"/>
      <c r="E817" s="5"/>
      <c r="F817" s="5"/>
      <c r="G817" s="5"/>
    </row>
    <row r="818" spans="3:7" ht="13">
      <c r="C818" s="5"/>
      <c r="D818" s="5"/>
      <c r="E818" s="5"/>
      <c r="F818" s="5"/>
      <c r="G818" s="5"/>
    </row>
    <row r="819" spans="3:7" ht="13">
      <c r="C819" s="5"/>
      <c r="D819" s="5"/>
      <c r="E819" s="5"/>
      <c r="F819" s="5"/>
      <c r="G819" s="5"/>
    </row>
    <row r="820" spans="3:7" ht="13">
      <c r="C820" s="5"/>
      <c r="D820" s="5"/>
      <c r="E820" s="5"/>
      <c r="F820" s="5"/>
      <c r="G820" s="5"/>
    </row>
    <row r="821" spans="3:7" ht="13">
      <c r="C821" s="5"/>
      <c r="D821" s="5"/>
      <c r="E821" s="5"/>
      <c r="F821" s="5"/>
      <c r="G821" s="5"/>
    </row>
    <row r="822" spans="3:7" ht="13">
      <c r="C822" s="5"/>
      <c r="D822" s="5"/>
      <c r="E822" s="5"/>
      <c r="F822" s="5"/>
      <c r="G822" s="5"/>
    </row>
    <row r="823" spans="3:7" ht="13">
      <c r="C823" s="5"/>
      <c r="D823" s="5"/>
      <c r="E823" s="5"/>
      <c r="F823" s="5"/>
      <c r="G823" s="5"/>
    </row>
    <row r="824" spans="3:7" ht="13">
      <c r="C824" s="5"/>
      <c r="D824" s="5"/>
      <c r="E824" s="5"/>
      <c r="F824" s="5"/>
      <c r="G824" s="5"/>
    </row>
    <row r="825" spans="3:7" ht="13">
      <c r="C825" s="5"/>
      <c r="D825" s="5"/>
      <c r="E825" s="5"/>
      <c r="F825" s="5"/>
      <c r="G825" s="5"/>
    </row>
    <row r="826" spans="3:7" ht="13">
      <c r="C826" s="5"/>
      <c r="D826" s="5"/>
      <c r="E826" s="5"/>
      <c r="F826" s="5"/>
      <c r="G826" s="5"/>
    </row>
    <row r="827" spans="3:7" ht="13">
      <c r="C827" s="5"/>
      <c r="D827" s="5"/>
      <c r="E827" s="5"/>
      <c r="F827" s="5"/>
      <c r="G827" s="5"/>
    </row>
    <row r="828" spans="3:7" ht="13">
      <c r="C828" s="5"/>
      <c r="D828" s="5"/>
      <c r="E828" s="5"/>
      <c r="F828" s="5"/>
      <c r="G828" s="5"/>
    </row>
    <row r="829" spans="3:7" ht="13">
      <c r="C829" s="5"/>
      <c r="D829" s="5"/>
      <c r="E829" s="5"/>
      <c r="F829" s="5"/>
      <c r="G829" s="5"/>
    </row>
    <row r="830" spans="3:7" ht="13">
      <c r="C830" s="5"/>
      <c r="D830" s="5"/>
      <c r="E830" s="5"/>
      <c r="F830" s="5"/>
      <c r="G830" s="5"/>
    </row>
    <row r="831" spans="3:7" ht="13">
      <c r="C831" s="5"/>
      <c r="D831" s="5"/>
      <c r="E831" s="5"/>
      <c r="F831" s="5"/>
      <c r="G831" s="5"/>
    </row>
    <row r="832" spans="3:7" ht="13">
      <c r="C832" s="5"/>
      <c r="D832" s="5"/>
      <c r="E832" s="5"/>
      <c r="F832" s="5"/>
      <c r="G832" s="5"/>
    </row>
    <row r="833" spans="3:7" ht="13">
      <c r="C833" s="5"/>
      <c r="D833" s="5"/>
      <c r="E833" s="5"/>
      <c r="F833" s="5"/>
      <c r="G833" s="5"/>
    </row>
    <row r="834" spans="3:7" ht="13">
      <c r="C834" s="5"/>
      <c r="D834" s="5"/>
      <c r="E834" s="5"/>
      <c r="F834" s="5"/>
      <c r="G834" s="5"/>
    </row>
    <row r="835" spans="3:7" ht="13">
      <c r="C835" s="5"/>
      <c r="D835" s="5"/>
      <c r="E835" s="5"/>
      <c r="F835" s="5"/>
      <c r="G835" s="5"/>
    </row>
    <row r="836" spans="3:7" ht="13">
      <c r="C836" s="5"/>
      <c r="D836" s="5"/>
      <c r="E836" s="5"/>
      <c r="F836" s="5"/>
      <c r="G836" s="5"/>
    </row>
    <row r="837" spans="3:7" ht="13">
      <c r="C837" s="5"/>
      <c r="D837" s="5"/>
      <c r="E837" s="5"/>
      <c r="F837" s="5"/>
      <c r="G837" s="5"/>
    </row>
    <row r="838" spans="3:7" ht="13">
      <c r="C838" s="5"/>
      <c r="D838" s="5"/>
      <c r="E838" s="5"/>
      <c r="F838" s="5"/>
      <c r="G838" s="5"/>
    </row>
    <row r="839" spans="3:7" ht="13">
      <c r="C839" s="5"/>
      <c r="D839" s="5"/>
      <c r="E839" s="5"/>
      <c r="F839" s="5"/>
      <c r="G839" s="5"/>
    </row>
    <row r="840" spans="3:7" ht="13">
      <c r="C840" s="5"/>
      <c r="D840" s="5"/>
      <c r="E840" s="5"/>
      <c r="F840" s="5"/>
      <c r="G840" s="5"/>
    </row>
    <row r="841" spans="3:7" ht="13">
      <c r="C841" s="5"/>
      <c r="D841" s="5"/>
      <c r="E841" s="5"/>
      <c r="F841" s="5"/>
      <c r="G841" s="5"/>
    </row>
    <row r="842" spans="3:7" ht="13">
      <c r="C842" s="5"/>
      <c r="D842" s="5"/>
      <c r="E842" s="5"/>
      <c r="F842" s="5"/>
      <c r="G842" s="5"/>
    </row>
    <row r="843" spans="3:7" ht="13">
      <c r="C843" s="5"/>
      <c r="D843" s="5"/>
      <c r="E843" s="5"/>
      <c r="F843" s="5"/>
      <c r="G843" s="5"/>
    </row>
    <row r="844" spans="3:7" ht="13">
      <c r="C844" s="5"/>
      <c r="D844" s="5"/>
      <c r="E844" s="5"/>
      <c r="F844" s="5"/>
      <c r="G844" s="5"/>
    </row>
    <row r="845" spans="3:7" ht="13">
      <c r="C845" s="5"/>
      <c r="D845" s="5"/>
      <c r="E845" s="5"/>
      <c r="F845" s="5"/>
      <c r="G845" s="5"/>
    </row>
    <row r="846" spans="3:7" ht="13">
      <c r="C846" s="5"/>
      <c r="D846" s="5"/>
      <c r="E846" s="5"/>
      <c r="F846" s="5"/>
      <c r="G846" s="5"/>
    </row>
    <row r="847" spans="3:7" ht="13">
      <c r="C847" s="5"/>
      <c r="D847" s="5"/>
      <c r="E847" s="5"/>
      <c r="F847" s="5"/>
      <c r="G847" s="5"/>
    </row>
    <row r="848" spans="3:7" ht="13">
      <c r="C848" s="5"/>
      <c r="D848" s="5"/>
      <c r="E848" s="5"/>
      <c r="F848" s="5"/>
      <c r="G848" s="5"/>
    </row>
    <row r="849" spans="3:7" ht="13">
      <c r="C849" s="5"/>
      <c r="D849" s="5"/>
      <c r="E849" s="5"/>
      <c r="F849" s="5"/>
      <c r="G849" s="5"/>
    </row>
    <row r="850" spans="3:7" ht="13">
      <c r="C850" s="5"/>
      <c r="D850" s="5"/>
      <c r="E850" s="5"/>
      <c r="F850" s="5"/>
      <c r="G850" s="5"/>
    </row>
    <row r="851" spans="3:7" ht="13">
      <c r="C851" s="5"/>
      <c r="D851" s="5"/>
      <c r="E851" s="5"/>
      <c r="F851" s="5"/>
      <c r="G851" s="5"/>
    </row>
    <row r="852" spans="3:7" ht="13">
      <c r="C852" s="5"/>
      <c r="D852" s="5"/>
      <c r="E852" s="5"/>
      <c r="F852" s="5"/>
      <c r="G852" s="5"/>
    </row>
    <row r="853" spans="3:7" ht="13">
      <c r="C853" s="5"/>
      <c r="D853" s="5"/>
      <c r="E853" s="5"/>
      <c r="F853" s="5"/>
      <c r="G853" s="5"/>
    </row>
    <row r="854" spans="3:7" ht="13">
      <c r="C854" s="5"/>
      <c r="D854" s="5"/>
      <c r="E854" s="5"/>
      <c r="F854" s="5"/>
      <c r="G854" s="5"/>
    </row>
    <row r="855" spans="3:7" ht="13">
      <c r="C855" s="5"/>
      <c r="D855" s="5"/>
      <c r="E855" s="5"/>
      <c r="F855" s="5"/>
      <c r="G855" s="5"/>
    </row>
    <row r="856" spans="3:7" ht="13">
      <c r="C856" s="5"/>
      <c r="D856" s="5"/>
      <c r="E856" s="5"/>
      <c r="F856" s="5"/>
      <c r="G856" s="5"/>
    </row>
    <row r="857" spans="3:7" ht="13">
      <c r="C857" s="5"/>
      <c r="D857" s="5"/>
      <c r="E857" s="5"/>
      <c r="F857" s="5"/>
      <c r="G857" s="5"/>
    </row>
    <row r="858" spans="3:7" ht="13">
      <c r="C858" s="5"/>
      <c r="D858" s="5"/>
      <c r="E858" s="5"/>
      <c r="F858" s="5"/>
      <c r="G858" s="5"/>
    </row>
    <row r="859" spans="3:7" ht="13">
      <c r="C859" s="5"/>
      <c r="D859" s="5"/>
      <c r="E859" s="5"/>
      <c r="F859" s="5"/>
      <c r="G859" s="5"/>
    </row>
    <row r="860" spans="3:7" ht="13">
      <c r="C860" s="5"/>
      <c r="D860" s="5"/>
      <c r="E860" s="5"/>
      <c r="F860" s="5"/>
      <c r="G860" s="5"/>
    </row>
    <row r="861" spans="3:7" ht="13">
      <c r="C861" s="5"/>
      <c r="D861" s="5"/>
      <c r="E861" s="5"/>
      <c r="F861" s="5"/>
      <c r="G861" s="5"/>
    </row>
    <row r="862" spans="3:7" ht="13">
      <c r="C862" s="5"/>
      <c r="D862" s="5"/>
      <c r="E862" s="5"/>
      <c r="F862" s="5"/>
      <c r="G862" s="5"/>
    </row>
    <row r="863" spans="3:7" ht="13">
      <c r="C863" s="5"/>
      <c r="D863" s="5"/>
      <c r="E863" s="5"/>
      <c r="F863" s="5"/>
      <c r="G863" s="5"/>
    </row>
    <row r="864" spans="3:7" ht="13">
      <c r="C864" s="5"/>
      <c r="D864" s="5"/>
      <c r="E864" s="5"/>
      <c r="F864" s="5"/>
      <c r="G864" s="5"/>
    </row>
    <row r="865" spans="3:7" ht="13">
      <c r="C865" s="5"/>
      <c r="D865" s="5"/>
      <c r="E865" s="5"/>
      <c r="F865" s="5"/>
      <c r="G865" s="5"/>
    </row>
    <row r="866" spans="3:7" ht="13">
      <c r="C866" s="5"/>
      <c r="D866" s="5"/>
      <c r="E866" s="5"/>
      <c r="F866" s="5"/>
      <c r="G866" s="5"/>
    </row>
    <row r="867" spans="3:7" ht="13">
      <c r="C867" s="5"/>
      <c r="D867" s="5"/>
      <c r="E867" s="5"/>
      <c r="F867" s="5"/>
      <c r="G867" s="5"/>
    </row>
    <row r="868" spans="3:7" ht="13">
      <c r="C868" s="5"/>
      <c r="D868" s="5"/>
      <c r="E868" s="5"/>
      <c r="F868" s="5"/>
      <c r="G868" s="5"/>
    </row>
    <row r="869" spans="3:7" ht="13">
      <c r="C869" s="5"/>
      <c r="D869" s="5"/>
      <c r="E869" s="5"/>
      <c r="F869" s="5"/>
      <c r="G869" s="5"/>
    </row>
    <row r="870" spans="3:7" ht="13">
      <c r="C870" s="5"/>
      <c r="D870" s="5"/>
      <c r="E870" s="5"/>
      <c r="F870" s="5"/>
      <c r="G870" s="5"/>
    </row>
    <row r="871" spans="3:7" ht="13">
      <c r="C871" s="5"/>
      <c r="D871" s="5"/>
      <c r="E871" s="5"/>
      <c r="F871" s="5"/>
      <c r="G871" s="5"/>
    </row>
    <row r="872" spans="3:7" ht="13">
      <c r="C872" s="5"/>
      <c r="D872" s="5"/>
      <c r="E872" s="5"/>
      <c r="F872" s="5"/>
      <c r="G872" s="5"/>
    </row>
    <row r="873" spans="3:7" ht="13">
      <c r="C873" s="5"/>
      <c r="D873" s="5"/>
      <c r="E873" s="5"/>
      <c r="F873" s="5"/>
      <c r="G873" s="5"/>
    </row>
    <row r="874" spans="3:7" ht="13">
      <c r="C874" s="5"/>
      <c r="D874" s="5"/>
      <c r="E874" s="5"/>
      <c r="F874" s="5"/>
      <c r="G874" s="5"/>
    </row>
    <row r="875" spans="3:7" ht="13">
      <c r="C875" s="5"/>
      <c r="D875" s="5"/>
      <c r="E875" s="5"/>
      <c r="F875" s="5"/>
      <c r="G875" s="5"/>
    </row>
    <row r="876" spans="3:7" ht="13">
      <c r="C876" s="5"/>
      <c r="D876" s="5"/>
      <c r="E876" s="5"/>
      <c r="F876" s="5"/>
      <c r="G876" s="5"/>
    </row>
    <row r="877" spans="3:7" ht="13">
      <c r="C877" s="5"/>
      <c r="D877" s="5"/>
      <c r="E877" s="5"/>
      <c r="F877" s="5"/>
      <c r="G877" s="5"/>
    </row>
    <row r="878" spans="3:7" ht="13">
      <c r="C878" s="5"/>
      <c r="D878" s="5"/>
      <c r="E878" s="5"/>
      <c r="F878" s="5"/>
      <c r="G878" s="5"/>
    </row>
    <row r="879" spans="3:7" ht="13">
      <c r="C879" s="5"/>
      <c r="D879" s="5"/>
      <c r="E879" s="5"/>
      <c r="F879" s="5"/>
      <c r="G879" s="5"/>
    </row>
    <row r="880" spans="3:7" ht="13">
      <c r="C880" s="5"/>
      <c r="D880" s="5"/>
      <c r="E880" s="5"/>
      <c r="F880" s="5"/>
      <c r="G880" s="5"/>
    </row>
    <row r="881" spans="3:7" ht="13">
      <c r="C881" s="5"/>
      <c r="D881" s="5"/>
      <c r="E881" s="5"/>
      <c r="F881" s="5"/>
      <c r="G881" s="5"/>
    </row>
    <row r="882" spans="3:7" ht="13">
      <c r="C882" s="5"/>
      <c r="D882" s="5"/>
      <c r="E882" s="5"/>
      <c r="F882" s="5"/>
      <c r="G882" s="5"/>
    </row>
    <row r="883" spans="3:7" ht="13">
      <c r="C883" s="5"/>
      <c r="D883" s="5"/>
      <c r="E883" s="5"/>
      <c r="F883" s="5"/>
      <c r="G883" s="5"/>
    </row>
    <row r="884" spans="3:7" ht="13">
      <c r="C884" s="5"/>
      <c r="D884" s="5"/>
      <c r="E884" s="5"/>
      <c r="F884" s="5"/>
      <c r="G884" s="5"/>
    </row>
    <row r="885" spans="3:7" ht="13">
      <c r="C885" s="5"/>
      <c r="D885" s="5"/>
      <c r="E885" s="5"/>
      <c r="F885" s="5"/>
      <c r="G885" s="5"/>
    </row>
    <row r="886" spans="3:7" ht="13">
      <c r="C886" s="5"/>
      <c r="D886" s="5"/>
      <c r="E886" s="5"/>
      <c r="F886" s="5"/>
      <c r="G886" s="5"/>
    </row>
    <row r="887" spans="3:7" ht="13">
      <c r="C887" s="5"/>
      <c r="D887" s="5"/>
      <c r="E887" s="5"/>
      <c r="F887" s="5"/>
      <c r="G887" s="5"/>
    </row>
    <row r="888" spans="3:7" ht="13">
      <c r="C888" s="5"/>
      <c r="D888" s="5"/>
      <c r="E888" s="5"/>
      <c r="F888" s="5"/>
      <c r="G888" s="5"/>
    </row>
    <row r="889" spans="3:7" ht="13">
      <c r="C889" s="5"/>
      <c r="D889" s="5"/>
      <c r="E889" s="5"/>
      <c r="F889" s="5"/>
      <c r="G889" s="5"/>
    </row>
    <row r="890" spans="3:7" ht="13">
      <c r="C890" s="5"/>
      <c r="D890" s="5"/>
      <c r="E890" s="5"/>
      <c r="F890" s="5"/>
      <c r="G890" s="5"/>
    </row>
    <row r="891" spans="3:7" ht="13">
      <c r="C891" s="5"/>
      <c r="D891" s="5"/>
      <c r="E891" s="5"/>
      <c r="F891" s="5"/>
      <c r="G891" s="5"/>
    </row>
    <row r="892" spans="3:7" ht="13">
      <c r="C892" s="5"/>
      <c r="D892" s="5"/>
      <c r="E892" s="5"/>
      <c r="F892" s="5"/>
      <c r="G892" s="5"/>
    </row>
    <row r="893" spans="3:7" ht="13">
      <c r="C893" s="5"/>
      <c r="D893" s="5"/>
      <c r="E893" s="5"/>
      <c r="F893" s="5"/>
      <c r="G893" s="5"/>
    </row>
    <row r="894" spans="3:7" ht="13">
      <c r="C894" s="5"/>
      <c r="D894" s="5"/>
      <c r="E894" s="5"/>
      <c r="F894" s="5"/>
      <c r="G894" s="5"/>
    </row>
    <row r="895" spans="3:7" ht="13">
      <c r="C895" s="5"/>
      <c r="D895" s="5"/>
      <c r="E895" s="5"/>
      <c r="F895" s="5"/>
      <c r="G895" s="5"/>
    </row>
    <row r="896" spans="3:7" ht="13">
      <c r="C896" s="5"/>
      <c r="D896" s="5"/>
      <c r="E896" s="5"/>
      <c r="F896" s="5"/>
      <c r="G896" s="5"/>
    </row>
    <row r="897" spans="3:7" ht="13">
      <c r="C897" s="5"/>
      <c r="D897" s="5"/>
      <c r="E897" s="5"/>
      <c r="F897" s="5"/>
      <c r="G897" s="5"/>
    </row>
    <row r="898" spans="3:7" ht="13">
      <c r="C898" s="5"/>
      <c r="D898" s="5"/>
      <c r="E898" s="5"/>
      <c r="F898" s="5"/>
      <c r="G898" s="5"/>
    </row>
    <row r="899" spans="3:7" ht="13">
      <c r="C899" s="5"/>
      <c r="D899" s="5"/>
      <c r="E899" s="5"/>
      <c r="F899" s="5"/>
      <c r="G899" s="5"/>
    </row>
    <row r="900" spans="3:7" ht="13">
      <c r="C900" s="5"/>
      <c r="D900" s="5"/>
      <c r="E900" s="5"/>
      <c r="F900" s="5"/>
      <c r="G900" s="5"/>
    </row>
    <row r="901" spans="3:7" ht="13">
      <c r="C901" s="5"/>
      <c r="D901" s="5"/>
      <c r="E901" s="5"/>
      <c r="F901" s="5"/>
      <c r="G901" s="5"/>
    </row>
    <row r="902" spans="3:7" ht="13">
      <c r="C902" s="5"/>
      <c r="D902" s="5"/>
      <c r="E902" s="5"/>
      <c r="F902" s="5"/>
      <c r="G902" s="5"/>
    </row>
    <row r="903" spans="3:7" ht="13">
      <c r="C903" s="5"/>
      <c r="D903" s="5"/>
      <c r="E903" s="5"/>
      <c r="F903" s="5"/>
      <c r="G903" s="5"/>
    </row>
    <row r="904" spans="3:7" ht="13">
      <c r="C904" s="5"/>
      <c r="D904" s="5"/>
      <c r="E904" s="5"/>
      <c r="F904" s="5"/>
      <c r="G904" s="5"/>
    </row>
    <row r="905" spans="3:7" ht="13">
      <c r="C905" s="5"/>
      <c r="D905" s="5"/>
      <c r="E905" s="5"/>
      <c r="F905" s="5"/>
      <c r="G905" s="5"/>
    </row>
    <row r="906" spans="3:7" ht="13">
      <c r="C906" s="5"/>
      <c r="D906" s="5"/>
      <c r="E906" s="5"/>
      <c r="F906" s="5"/>
      <c r="G906" s="5"/>
    </row>
    <row r="907" spans="3:7" ht="13">
      <c r="C907" s="5"/>
      <c r="D907" s="5"/>
      <c r="E907" s="5"/>
      <c r="F907" s="5"/>
      <c r="G907" s="5"/>
    </row>
    <row r="908" spans="3:7" ht="13">
      <c r="C908" s="5"/>
      <c r="D908" s="5"/>
      <c r="E908" s="5"/>
      <c r="F908" s="5"/>
      <c r="G908" s="5"/>
    </row>
    <row r="909" spans="3:7" ht="13">
      <c r="C909" s="5"/>
      <c r="D909" s="5"/>
      <c r="E909" s="5"/>
      <c r="F909" s="5"/>
      <c r="G909" s="5"/>
    </row>
    <row r="910" spans="3:7" ht="13">
      <c r="C910" s="5"/>
      <c r="D910" s="5"/>
      <c r="E910" s="5"/>
      <c r="F910" s="5"/>
      <c r="G910" s="5"/>
    </row>
    <row r="911" spans="3:7" ht="13">
      <c r="C911" s="5"/>
      <c r="D911" s="5"/>
      <c r="E911" s="5"/>
      <c r="F911" s="5"/>
      <c r="G911" s="5"/>
    </row>
    <row r="912" spans="3:7" ht="13">
      <c r="C912" s="5"/>
      <c r="D912" s="5"/>
      <c r="E912" s="5"/>
      <c r="F912" s="5"/>
      <c r="G912" s="5"/>
    </row>
    <row r="913" spans="3:7" ht="13">
      <c r="C913" s="5"/>
      <c r="D913" s="5"/>
      <c r="E913" s="5"/>
      <c r="F913" s="5"/>
      <c r="G913" s="5"/>
    </row>
    <row r="914" spans="3:7" ht="13">
      <c r="C914" s="5"/>
      <c r="D914" s="5"/>
      <c r="E914" s="5"/>
      <c r="F914" s="5"/>
      <c r="G914" s="5"/>
    </row>
    <row r="915" spans="3:7" ht="13">
      <c r="C915" s="5"/>
      <c r="D915" s="5"/>
      <c r="E915" s="5"/>
      <c r="F915" s="5"/>
      <c r="G915" s="5"/>
    </row>
    <row r="916" spans="3:7" ht="13">
      <c r="C916" s="5"/>
      <c r="D916" s="5"/>
      <c r="E916" s="5"/>
      <c r="F916" s="5"/>
      <c r="G916" s="5"/>
    </row>
    <row r="917" spans="3:7" ht="13">
      <c r="C917" s="5"/>
      <c r="D917" s="5"/>
      <c r="E917" s="5"/>
      <c r="F917" s="5"/>
      <c r="G917" s="5"/>
    </row>
    <row r="918" spans="3:7" ht="13">
      <c r="C918" s="5"/>
      <c r="D918" s="5"/>
      <c r="E918" s="5"/>
      <c r="F918" s="5"/>
      <c r="G918" s="5"/>
    </row>
    <row r="919" spans="3:7" ht="13">
      <c r="C919" s="5"/>
      <c r="D919" s="5"/>
      <c r="E919" s="5"/>
      <c r="F919" s="5"/>
      <c r="G919" s="5"/>
    </row>
    <row r="920" spans="3:7" ht="13">
      <c r="C920" s="5"/>
      <c r="D920" s="5"/>
      <c r="E920" s="5"/>
      <c r="F920" s="5"/>
      <c r="G920" s="5"/>
    </row>
    <row r="921" spans="3:7" ht="13">
      <c r="C921" s="5"/>
      <c r="D921" s="5"/>
      <c r="E921" s="5"/>
      <c r="F921" s="5"/>
      <c r="G921" s="5"/>
    </row>
    <row r="922" spans="3:7" ht="13">
      <c r="C922" s="5"/>
      <c r="D922" s="5"/>
      <c r="E922" s="5"/>
      <c r="F922" s="5"/>
      <c r="G922" s="5"/>
    </row>
    <row r="923" spans="3:7" ht="13">
      <c r="C923" s="5"/>
      <c r="D923" s="5"/>
      <c r="E923" s="5"/>
      <c r="F923" s="5"/>
      <c r="G923" s="5"/>
    </row>
    <row r="924" spans="3:7" ht="13">
      <c r="C924" s="5"/>
      <c r="D924" s="5"/>
      <c r="E924" s="5"/>
      <c r="F924" s="5"/>
      <c r="G924" s="5"/>
    </row>
    <row r="925" spans="3:7" ht="13">
      <c r="C925" s="5"/>
      <c r="D925" s="5"/>
      <c r="E925" s="5"/>
      <c r="F925" s="5"/>
      <c r="G925" s="5"/>
    </row>
    <row r="926" spans="3:7" ht="13">
      <c r="C926" s="5"/>
      <c r="D926" s="5"/>
      <c r="E926" s="5"/>
      <c r="F926" s="5"/>
      <c r="G926" s="5"/>
    </row>
    <row r="927" spans="3:7" ht="13">
      <c r="C927" s="5"/>
      <c r="D927" s="5"/>
      <c r="E927" s="5"/>
      <c r="F927" s="5"/>
      <c r="G927" s="5"/>
    </row>
    <row r="928" spans="3:7" ht="13">
      <c r="C928" s="5"/>
      <c r="D928" s="5"/>
      <c r="E928" s="5"/>
      <c r="F928" s="5"/>
      <c r="G928" s="5"/>
    </row>
    <row r="929" spans="3:7" ht="13">
      <c r="C929" s="5"/>
      <c r="D929" s="5"/>
      <c r="E929" s="5"/>
      <c r="F929" s="5"/>
      <c r="G929" s="5"/>
    </row>
    <row r="930" spans="3:7" ht="13">
      <c r="C930" s="5"/>
      <c r="D930" s="5"/>
      <c r="E930" s="5"/>
      <c r="F930" s="5"/>
      <c r="G930" s="5"/>
    </row>
    <row r="931" spans="3:7" ht="13">
      <c r="C931" s="5"/>
      <c r="D931" s="5"/>
      <c r="E931" s="5"/>
      <c r="F931" s="5"/>
      <c r="G931" s="5"/>
    </row>
    <row r="932" spans="3:7" ht="13">
      <c r="C932" s="5"/>
      <c r="D932" s="5"/>
      <c r="E932" s="5"/>
      <c r="F932" s="5"/>
      <c r="G932" s="5"/>
    </row>
    <row r="933" spans="3:7" ht="13">
      <c r="C933" s="5"/>
      <c r="D933" s="5"/>
      <c r="E933" s="5"/>
      <c r="F933" s="5"/>
      <c r="G933" s="5"/>
    </row>
    <row r="934" spans="3:7" ht="13">
      <c r="C934" s="5"/>
      <c r="D934" s="5"/>
      <c r="E934" s="5"/>
      <c r="F934" s="5"/>
      <c r="G934" s="5"/>
    </row>
    <row r="935" spans="3:7" ht="13">
      <c r="C935" s="5"/>
      <c r="D935" s="5"/>
      <c r="E935" s="5"/>
      <c r="F935" s="5"/>
      <c r="G935" s="5"/>
    </row>
    <row r="936" spans="3:7" ht="13">
      <c r="C936" s="5"/>
      <c r="D936" s="5"/>
      <c r="E936" s="5"/>
      <c r="F936" s="5"/>
      <c r="G936" s="5"/>
    </row>
    <row r="937" spans="3:7" ht="13">
      <c r="C937" s="5"/>
      <c r="D937" s="5"/>
      <c r="E937" s="5"/>
      <c r="F937" s="5"/>
      <c r="G937" s="5"/>
    </row>
    <row r="938" spans="3:7" ht="13">
      <c r="C938" s="5"/>
      <c r="D938" s="5"/>
      <c r="E938" s="5"/>
      <c r="F938" s="5"/>
      <c r="G938" s="5"/>
    </row>
    <row r="939" spans="3:7" ht="13">
      <c r="C939" s="5"/>
      <c r="D939" s="5"/>
      <c r="E939" s="5"/>
      <c r="F939" s="5"/>
      <c r="G939" s="5"/>
    </row>
    <row r="940" spans="3:7" ht="13">
      <c r="C940" s="5"/>
      <c r="D940" s="5"/>
      <c r="E940" s="5"/>
      <c r="F940" s="5"/>
      <c r="G940" s="5"/>
    </row>
    <row r="941" spans="3:7" ht="13">
      <c r="C941" s="5"/>
      <c r="D941" s="5"/>
      <c r="E941" s="5"/>
      <c r="F941" s="5"/>
      <c r="G941" s="5"/>
    </row>
    <row r="942" spans="3:7" ht="13">
      <c r="C942" s="5"/>
      <c r="D942" s="5"/>
      <c r="E942" s="5"/>
      <c r="F942" s="5"/>
      <c r="G942" s="5"/>
    </row>
    <row r="943" spans="3:7" ht="13">
      <c r="C943" s="5"/>
      <c r="D943" s="5"/>
      <c r="E943" s="5"/>
      <c r="F943" s="5"/>
      <c r="G943" s="5"/>
    </row>
    <row r="944" spans="3:7" ht="13">
      <c r="C944" s="5"/>
      <c r="D944" s="5"/>
      <c r="E944" s="5"/>
      <c r="F944" s="5"/>
      <c r="G944" s="5"/>
    </row>
    <row r="945" spans="3:7" ht="13">
      <c r="C945" s="5"/>
      <c r="D945" s="5"/>
      <c r="E945" s="5"/>
      <c r="F945" s="5"/>
      <c r="G945" s="5"/>
    </row>
    <row r="946" spans="3:7" ht="13">
      <c r="C946" s="5"/>
      <c r="D946" s="5"/>
      <c r="E946" s="5"/>
      <c r="F946" s="5"/>
      <c r="G946" s="5"/>
    </row>
    <row r="947" spans="3:7" ht="13">
      <c r="C947" s="5"/>
      <c r="D947" s="5"/>
      <c r="E947" s="5"/>
      <c r="F947" s="5"/>
      <c r="G947" s="5"/>
    </row>
    <row r="948" spans="3:7" ht="13">
      <c r="C948" s="5"/>
      <c r="D948" s="5"/>
      <c r="E948" s="5"/>
      <c r="F948" s="5"/>
      <c r="G948" s="5"/>
    </row>
    <row r="949" spans="3:7" ht="13">
      <c r="C949" s="5"/>
      <c r="D949" s="5"/>
      <c r="E949" s="5"/>
      <c r="F949" s="5"/>
      <c r="G949" s="5"/>
    </row>
    <row r="950" spans="3:7" ht="13">
      <c r="C950" s="5"/>
      <c r="D950" s="5"/>
      <c r="E950" s="5"/>
      <c r="F950" s="5"/>
      <c r="G950" s="5"/>
    </row>
    <row r="951" spans="3:7" ht="13">
      <c r="C951" s="5"/>
      <c r="D951" s="5"/>
      <c r="E951" s="5"/>
      <c r="F951" s="5"/>
      <c r="G951" s="5"/>
    </row>
    <row r="952" spans="3:7" ht="13">
      <c r="C952" s="5"/>
      <c r="D952" s="5"/>
      <c r="E952" s="5"/>
      <c r="F952" s="5"/>
      <c r="G952" s="5"/>
    </row>
    <row r="953" spans="3:7" ht="13">
      <c r="C953" s="5"/>
      <c r="D953" s="5"/>
      <c r="E953" s="5"/>
      <c r="F953" s="5"/>
      <c r="G953" s="5"/>
    </row>
    <row r="954" spans="3:7" ht="13">
      <c r="C954" s="5"/>
      <c r="D954" s="5"/>
      <c r="E954" s="5"/>
      <c r="F954" s="5"/>
      <c r="G954" s="5"/>
    </row>
    <row r="955" spans="3:7" ht="13">
      <c r="C955" s="5"/>
      <c r="D955" s="5"/>
      <c r="E955" s="5"/>
      <c r="F955" s="5"/>
      <c r="G955" s="5"/>
    </row>
    <row r="956" spans="3:7" ht="13">
      <c r="C956" s="5"/>
      <c r="D956" s="5"/>
      <c r="E956" s="5"/>
      <c r="F956" s="5"/>
      <c r="G956" s="5"/>
    </row>
    <row r="957" spans="3:7" ht="13">
      <c r="C957" s="5"/>
      <c r="D957" s="5"/>
      <c r="E957" s="5"/>
      <c r="F957" s="5"/>
      <c r="G957" s="5"/>
    </row>
    <row r="958" spans="3:7" ht="13">
      <c r="C958" s="5"/>
      <c r="D958" s="5"/>
      <c r="E958" s="5"/>
      <c r="F958" s="5"/>
      <c r="G958" s="5"/>
    </row>
    <row r="959" spans="3:7" ht="13">
      <c r="C959" s="5"/>
      <c r="D959" s="5"/>
      <c r="E959" s="5"/>
      <c r="F959" s="5"/>
      <c r="G959" s="5"/>
    </row>
    <row r="960" spans="3:7" ht="13">
      <c r="C960" s="5"/>
      <c r="D960" s="5"/>
      <c r="E960" s="5"/>
      <c r="F960" s="5"/>
      <c r="G960" s="5"/>
    </row>
    <row r="961" spans="3:7" ht="13">
      <c r="C961" s="5"/>
      <c r="D961" s="5"/>
      <c r="E961" s="5"/>
      <c r="F961" s="5"/>
      <c r="G961" s="5"/>
    </row>
    <row r="962" spans="3:7" ht="13">
      <c r="C962" s="5"/>
      <c r="D962" s="5"/>
      <c r="E962" s="5"/>
      <c r="F962" s="5"/>
      <c r="G962" s="5"/>
    </row>
    <row r="963" spans="3:7" ht="13">
      <c r="C963" s="5"/>
      <c r="D963" s="5"/>
      <c r="E963" s="5"/>
      <c r="F963" s="5"/>
      <c r="G963" s="5"/>
    </row>
    <row r="964" spans="3:7" ht="13">
      <c r="C964" s="5"/>
      <c r="D964" s="5"/>
      <c r="E964" s="5"/>
      <c r="F964" s="5"/>
      <c r="G964" s="5"/>
    </row>
    <row r="965" spans="3:7" ht="13">
      <c r="C965" s="5"/>
      <c r="D965" s="5"/>
      <c r="E965" s="5"/>
      <c r="F965" s="5"/>
      <c r="G965" s="5"/>
    </row>
    <row r="966" spans="3:7" ht="13">
      <c r="C966" s="5"/>
      <c r="D966" s="5"/>
      <c r="E966" s="5"/>
      <c r="F966" s="5"/>
      <c r="G966" s="5"/>
    </row>
    <row r="967" spans="3:7" ht="13">
      <c r="C967" s="5"/>
      <c r="D967" s="5"/>
      <c r="E967" s="5"/>
      <c r="F967" s="5"/>
      <c r="G967" s="5"/>
    </row>
    <row r="968" spans="3:7" ht="13">
      <c r="C968" s="5"/>
      <c r="D968" s="5"/>
      <c r="E968" s="5"/>
      <c r="F968" s="5"/>
      <c r="G968" s="5"/>
    </row>
    <row r="969" spans="3:7" ht="13">
      <c r="C969" s="5"/>
      <c r="D969" s="5"/>
      <c r="E969" s="5"/>
      <c r="F969" s="5"/>
      <c r="G969" s="5"/>
    </row>
    <row r="970" spans="3:7" ht="13">
      <c r="C970" s="5"/>
      <c r="D970" s="5"/>
      <c r="E970" s="5"/>
      <c r="F970" s="5"/>
      <c r="G970" s="5"/>
    </row>
    <row r="971" spans="3:7" ht="13">
      <c r="C971" s="5"/>
      <c r="D971" s="5"/>
      <c r="E971" s="5"/>
      <c r="F971" s="5"/>
      <c r="G971" s="5"/>
    </row>
    <row r="972" spans="3:7" ht="13">
      <c r="C972" s="5"/>
      <c r="D972" s="5"/>
      <c r="E972" s="5"/>
      <c r="F972" s="5"/>
      <c r="G972" s="5"/>
    </row>
    <row r="973" spans="3:7" ht="13">
      <c r="C973" s="5"/>
      <c r="D973" s="5"/>
      <c r="E973" s="5"/>
      <c r="F973" s="5"/>
      <c r="G973" s="5"/>
    </row>
    <row r="974" spans="3:7" ht="13">
      <c r="C974" s="5"/>
      <c r="D974" s="5"/>
      <c r="E974" s="5"/>
      <c r="F974" s="5"/>
      <c r="G974" s="5"/>
    </row>
    <row r="975" spans="3:7" ht="13">
      <c r="C975" s="5"/>
      <c r="D975" s="5"/>
      <c r="E975" s="5"/>
      <c r="F975" s="5"/>
      <c r="G975" s="5"/>
    </row>
    <row r="976" spans="3:7" ht="13">
      <c r="C976" s="5"/>
      <c r="D976" s="5"/>
      <c r="E976" s="5"/>
      <c r="F976" s="5"/>
      <c r="G976" s="5"/>
    </row>
    <row r="977" spans="3:7" ht="13">
      <c r="C977" s="5"/>
      <c r="D977" s="5"/>
      <c r="E977" s="5"/>
      <c r="F977" s="5"/>
      <c r="G977" s="5"/>
    </row>
    <row r="978" spans="3:7" ht="13">
      <c r="C978" s="5"/>
      <c r="D978" s="5"/>
      <c r="E978" s="5"/>
      <c r="F978" s="5"/>
      <c r="G978" s="5"/>
    </row>
    <row r="979" spans="3:7" ht="13">
      <c r="C979" s="5"/>
      <c r="D979" s="5"/>
      <c r="E979" s="5"/>
      <c r="F979" s="5"/>
      <c r="G979" s="5"/>
    </row>
    <row r="980" spans="3:7" ht="13">
      <c r="C980" s="5"/>
      <c r="D980" s="5"/>
      <c r="E980" s="5"/>
      <c r="F980" s="5"/>
      <c r="G980" s="5"/>
    </row>
    <row r="981" spans="3:7" ht="13">
      <c r="C981" s="5"/>
      <c r="D981" s="5"/>
      <c r="E981" s="5"/>
      <c r="F981" s="5"/>
      <c r="G981" s="5"/>
    </row>
    <row r="982" spans="3:7" ht="13">
      <c r="C982" s="5"/>
      <c r="D982" s="5"/>
      <c r="E982" s="5"/>
      <c r="F982" s="5"/>
      <c r="G982" s="5"/>
    </row>
    <row r="983" spans="3:7" ht="13">
      <c r="C983" s="5"/>
      <c r="D983" s="5"/>
      <c r="E983" s="5"/>
      <c r="F983" s="5"/>
      <c r="G983" s="5"/>
    </row>
    <row r="984" spans="3:7" ht="13">
      <c r="C984" s="5"/>
      <c r="D984" s="5"/>
      <c r="E984" s="5"/>
      <c r="F984" s="5"/>
      <c r="G984" s="5"/>
    </row>
    <row r="985" spans="3:7" ht="13">
      <c r="C985" s="5"/>
      <c r="D985" s="5"/>
      <c r="E985" s="5"/>
      <c r="F985" s="5"/>
      <c r="G985" s="5"/>
    </row>
    <row r="986" spans="3:7" ht="13">
      <c r="C986" s="5"/>
      <c r="D986" s="5"/>
      <c r="E986" s="5"/>
      <c r="F986" s="5"/>
      <c r="G986" s="5"/>
    </row>
    <row r="987" spans="3:7" ht="13">
      <c r="C987" s="5"/>
      <c r="D987" s="5"/>
      <c r="E987" s="5"/>
      <c r="F987" s="5"/>
      <c r="G987" s="5"/>
    </row>
    <row r="988" spans="3:7" ht="13">
      <c r="C988" s="5"/>
      <c r="D988" s="5"/>
      <c r="E988" s="5"/>
      <c r="F988" s="5"/>
      <c r="G988" s="5"/>
    </row>
    <row r="989" spans="3:7" ht="13">
      <c r="C989" s="5"/>
      <c r="D989" s="5"/>
      <c r="E989" s="5"/>
      <c r="F989" s="5"/>
      <c r="G989" s="5"/>
    </row>
    <row r="990" spans="3:7" ht="13">
      <c r="C990" s="5"/>
      <c r="D990" s="5"/>
      <c r="E990" s="5"/>
      <c r="F990" s="5"/>
      <c r="G990" s="5"/>
    </row>
    <row r="991" spans="3:7" ht="13">
      <c r="C991" s="5"/>
      <c r="D991" s="5"/>
      <c r="E991" s="5"/>
      <c r="F991" s="5"/>
      <c r="G991" s="5"/>
    </row>
    <row r="992" spans="3:7" ht="13">
      <c r="C992" s="5"/>
      <c r="D992" s="5"/>
      <c r="E992" s="5"/>
      <c r="F992" s="5"/>
      <c r="G992" s="5"/>
    </row>
    <row r="993" spans="3:7" ht="13">
      <c r="C993" s="5"/>
      <c r="D993" s="5"/>
      <c r="E993" s="5"/>
      <c r="F993" s="5"/>
      <c r="G993" s="5"/>
    </row>
    <row r="994" spans="3:7" ht="13">
      <c r="C994" s="5"/>
      <c r="D994" s="5"/>
      <c r="E994" s="5"/>
      <c r="F994" s="5"/>
      <c r="G994" s="5"/>
    </row>
    <row r="995" spans="3:7" ht="13">
      <c r="C995" s="5"/>
      <c r="D995" s="5"/>
      <c r="E995" s="5"/>
      <c r="F995" s="5"/>
      <c r="G995" s="5"/>
    </row>
    <row r="996" spans="3:7" ht="13">
      <c r="C996" s="5"/>
      <c r="D996" s="5"/>
      <c r="E996" s="5"/>
      <c r="F996" s="5"/>
      <c r="G996" s="5"/>
    </row>
    <row r="997" spans="3:7" ht="13">
      <c r="C997" s="5"/>
      <c r="D997" s="5"/>
      <c r="E997" s="5"/>
      <c r="F997" s="5"/>
      <c r="G997" s="5"/>
    </row>
    <row r="998" spans="3:7" ht="13">
      <c r="C998" s="5"/>
      <c r="D998" s="5"/>
      <c r="E998" s="5"/>
      <c r="F998" s="5"/>
      <c r="G998" s="5"/>
    </row>
    <row r="999" spans="3:7" ht="13">
      <c r="C999" s="5"/>
      <c r="D999" s="5"/>
      <c r="E999" s="5"/>
      <c r="F999" s="5"/>
      <c r="G999" s="5"/>
    </row>
    <row r="1000" spans="3:7" ht="13">
      <c r="C1000" s="5"/>
      <c r="D1000" s="5"/>
      <c r="E1000" s="5"/>
      <c r="F1000" s="5"/>
      <c r="G1000" s="5"/>
    </row>
  </sheetData>
  <hyperlinks>
    <hyperlink ref="B5" r:id="rId1" xr:uid="{00000000-0004-0000-7100-000000000000}"/>
    <hyperlink ref="B6" r:id="rId2" xr:uid="{00000000-0004-0000-7100-000001000000}"/>
    <hyperlink ref="B7" r:id="rId3" xr:uid="{00000000-0004-0000-7100-000002000000}"/>
    <hyperlink ref="B8" r:id="rId4" xr:uid="{00000000-0004-0000-7100-000003000000}"/>
    <hyperlink ref="B9" r:id="rId5" xr:uid="{00000000-0004-0000-7100-000004000000}"/>
    <hyperlink ref="B10" r:id="rId6" xr:uid="{00000000-0004-0000-7100-000005000000}"/>
    <hyperlink ref="B11" r:id="rId7" xr:uid="{00000000-0004-0000-7100-000006000000}"/>
    <hyperlink ref="B12" r:id="rId8" xr:uid="{00000000-0004-0000-7100-000007000000}"/>
    <hyperlink ref="B13" r:id="rId9" xr:uid="{00000000-0004-0000-7100-000008000000}"/>
    <hyperlink ref="B14" r:id="rId10" xr:uid="{00000000-0004-0000-7100-000009000000}"/>
    <hyperlink ref="B15" r:id="rId11" xr:uid="{00000000-0004-0000-7100-00000A000000}"/>
    <hyperlink ref="B16" r:id="rId12" xr:uid="{00000000-0004-0000-7100-00000B000000}"/>
    <hyperlink ref="B17" r:id="rId13" xr:uid="{00000000-0004-0000-7100-00000C000000}"/>
    <hyperlink ref="B18" r:id="rId14" xr:uid="{00000000-0004-0000-7100-00000D000000}"/>
    <hyperlink ref="B19" r:id="rId15" xr:uid="{00000000-0004-0000-7100-00000E000000}"/>
    <hyperlink ref="B20" r:id="rId16" xr:uid="{00000000-0004-0000-7100-00000F000000}"/>
    <hyperlink ref="B21" r:id="rId17" xr:uid="{00000000-0004-0000-7100-000010000000}"/>
    <hyperlink ref="B22" r:id="rId18" xr:uid="{00000000-0004-0000-7100-000011000000}"/>
    <hyperlink ref="B23" r:id="rId19" xr:uid="{00000000-0004-0000-7100-000012000000}"/>
    <hyperlink ref="B24" r:id="rId20" xr:uid="{00000000-0004-0000-7100-000013000000}"/>
    <hyperlink ref="B25" r:id="rId21" xr:uid="{00000000-0004-0000-7100-000014000000}"/>
    <hyperlink ref="B26" r:id="rId22" xr:uid="{00000000-0004-0000-7100-000015000000}"/>
    <hyperlink ref="B27" r:id="rId23" xr:uid="{00000000-0004-0000-7100-000016000000}"/>
    <hyperlink ref="B28" r:id="rId24" xr:uid="{00000000-0004-0000-7100-000017000000}"/>
    <hyperlink ref="B29" r:id="rId25" xr:uid="{00000000-0004-0000-7100-000018000000}"/>
    <hyperlink ref="B30" r:id="rId26" xr:uid="{00000000-0004-0000-7100-000019000000}"/>
    <hyperlink ref="B31" r:id="rId27" xr:uid="{00000000-0004-0000-7100-00001A000000}"/>
    <hyperlink ref="B32" r:id="rId28" xr:uid="{00000000-0004-0000-7100-00001B000000}"/>
    <hyperlink ref="B33" r:id="rId29" xr:uid="{00000000-0004-0000-7100-00001C000000}"/>
    <hyperlink ref="B34" r:id="rId30" xr:uid="{00000000-0004-0000-7100-00001D000000}"/>
    <hyperlink ref="B35" r:id="rId31" xr:uid="{00000000-0004-0000-7100-00001E000000}"/>
    <hyperlink ref="B36" r:id="rId32" xr:uid="{00000000-0004-0000-7100-00001F000000}"/>
    <hyperlink ref="B37" r:id="rId33" xr:uid="{00000000-0004-0000-7100-000020000000}"/>
    <hyperlink ref="B38" r:id="rId34" xr:uid="{00000000-0004-0000-7100-000021000000}"/>
    <hyperlink ref="B39" r:id="rId35" xr:uid="{00000000-0004-0000-7100-000022000000}"/>
    <hyperlink ref="B40" r:id="rId36" xr:uid="{00000000-0004-0000-7100-000023000000}"/>
    <hyperlink ref="B41" r:id="rId37" xr:uid="{00000000-0004-0000-7100-000024000000}"/>
    <hyperlink ref="B42" r:id="rId38" xr:uid="{00000000-0004-0000-7100-000025000000}"/>
    <hyperlink ref="B43" r:id="rId39" xr:uid="{00000000-0004-0000-7100-000026000000}"/>
    <hyperlink ref="B44" r:id="rId40" xr:uid="{00000000-0004-0000-7100-000027000000}"/>
    <hyperlink ref="B45" r:id="rId41" xr:uid="{00000000-0004-0000-7100-000028000000}"/>
    <hyperlink ref="B46" r:id="rId42" xr:uid="{00000000-0004-0000-7100-000029000000}"/>
    <hyperlink ref="B47" r:id="rId43" xr:uid="{00000000-0004-0000-7100-00002A000000}"/>
    <hyperlink ref="B48" r:id="rId44" xr:uid="{00000000-0004-0000-7100-00002B000000}"/>
    <hyperlink ref="B49" r:id="rId45" xr:uid="{00000000-0004-0000-7100-00002C000000}"/>
    <hyperlink ref="B50" r:id="rId46" xr:uid="{00000000-0004-0000-7100-00002D000000}"/>
    <hyperlink ref="B51" r:id="rId47" xr:uid="{00000000-0004-0000-7100-00002E000000}"/>
    <hyperlink ref="B52" r:id="rId48" xr:uid="{00000000-0004-0000-7100-00002F000000}"/>
    <hyperlink ref="B53" r:id="rId49" xr:uid="{00000000-0004-0000-7100-000030000000}"/>
    <hyperlink ref="B54" r:id="rId50" xr:uid="{00000000-0004-0000-7100-000031000000}"/>
    <hyperlink ref="B55" r:id="rId51" xr:uid="{00000000-0004-0000-7100-000032000000}"/>
    <hyperlink ref="B56" r:id="rId52" xr:uid="{00000000-0004-0000-7100-000033000000}"/>
    <hyperlink ref="B57" r:id="rId53" xr:uid="{00000000-0004-0000-7100-000034000000}"/>
    <hyperlink ref="B58" r:id="rId54" xr:uid="{00000000-0004-0000-7100-000035000000}"/>
    <hyperlink ref="B59" r:id="rId55" xr:uid="{00000000-0004-0000-7100-000036000000}"/>
    <hyperlink ref="B60" r:id="rId56" xr:uid="{00000000-0004-0000-7100-000037000000}"/>
    <hyperlink ref="B61" r:id="rId57" xr:uid="{00000000-0004-0000-7100-000038000000}"/>
    <hyperlink ref="B62" r:id="rId58" xr:uid="{00000000-0004-0000-7100-000039000000}"/>
    <hyperlink ref="B63" r:id="rId59" xr:uid="{00000000-0004-0000-7100-00003A000000}"/>
    <hyperlink ref="B64" r:id="rId60" xr:uid="{00000000-0004-0000-7100-00003B000000}"/>
    <hyperlink ref="B65" r:id="rId61" xr:uid="{00000000-0004-0000-7100-00003C000000}"/>
    <hyperlink ref="B66" r:id="rId62" xr:uid="{00000000-0004-0000-7100-00003D000000}"/>
    <hyperlink ref="B67" r:id="rId63" xr:uid="{00000000-0004-0000-7100-00003E000000}"/>
    <hyperlink ref="B68" r:id="rId64" xr:uid="{00000000-0004-0000-7100-00003F000000}"/>
    <hyperlink ref="B69" r:id="rId65" xr:uid="{00000000-0004-0000-7100-000040000000}"/>
    <hyperlink ref="B70" r:id="rId66" xr:uid="{00000000-0004-0000-7100-000041000000}"/>
    <hyperlink ref="B71" r:id="rId67" xr:uid="{00000000-0004-0000-7100-000042000000}"/>
    <hyperlink ref="B72" r:id="rId68" xr:uid="{00000000-0004-0000-7100-000043000000}"/>
    <hyperlink ref="B73" r:id="rId69" xr:uid="{00000000-0004-0000-7100-000044000000}"/>
    <hyperlink ref="B74" r:id="rId70" xr:uid="{00000000-0004-0000-7100-000045000000}"/>
    <hyperlink ref="B75" r:id="rId71" xr:uid="{00000000-0004-0000-7100-000046000000}"/>
    <hyperlink ref="B76" r:id="rId72" xr:uid="{00000000-0004-0000-7100-000047000000}"/>
    <hyperlink ref="B77" r:id="rId73" xr:uid="{00000000-0004-0000-7100-000048000000}"/>
    <hyperlink ref="B78" r:id="rId74" xr:uid="{00000000-0004-0000-7100-000049000000}"/>
    <hyperlink ref="B79" r:id="rId75" xr:uid="{00000000-0004-0000-7100-00004A000000}"/>
    <hyperlink ref="B80" r:id="rId76" xr:uid="{00000000-0004-0000-7100-00004B000000}"/>
    <hyperlink ref="B81" r:id="rId77" xr:uid="{00000000-0004-0000-7100-00004C000000}"/>
    <hyperlink ref="B82" r:id="rId78" xr:uid="{00000000-0004-0000-7100-00004D000000}"/>
    <hyperlink ref="B83" r:id="rId79" xr:uid="{00000000-0004-0000-7100-00004E000000}"/>
    <hyperlink ref="B84" r:id="rId80" xr:uid="{00000000-0004-0000-7100-00004F000000}"/>
    <hyperlink ref="B85" r:id="rId81" xr:uid="{00000000-0004-0000-7100-000050000000}"/>
    <hyperlink ref="B86" r:id="rId82" xr:uid="{00000000-0004-0000-7100-000051000000}"/>
    <hyperlink ref="B87" r:id="rId83" xr:uid="{00000000-0004-0000-7100-000052000000}"/>
    <hyperlink ref="B88" r:id="rId84" xr:uid="{00000000-0004-0000-7100-000053000000}"/>
    <hyperlink ref="B89" r:id="rId85" xr:uid="{00000000-0004-0000-7100-000054000000}"/>
    <hyperlink ref="B90" r:id="rId86" xr:uid="{00000000-0004-0000-7100-000055000000}"/>
    <hyperlink ref="B91" r:id="rId87" xr:uid="{00000000-0004-0000-7100-000056000000}"/>
    <hyperlink ref="B92" r:id="rId88" xr:uid="{00000000-0004-0000-7100-000057000000}"/>
    <hyperlink ref="B93" r:id="rId89" xr:uid="{00000000-0004-0000-7100-000058000000}"/>
    <hyperlink ref="B94" r:id="rId90" xr:uid="{00000000-0004-0000-7100-000059000000}"/>
    <hyperlink ref="B95" r:id="rId91" xr:uid="{00000000-0004-0000-7100-00005A000000}"/>
    <hyperlink ref="B96" r:id="rId92" xr:uid="{00000000-0004-0000-7100-00005B000000}"/>
    <hyperlink ref="B97" r:id="rId93" xr:uid="{00000000-0004-0000-7100-00005C000000}"/>
    <hyperlink ref="B98" r:id="rId94" xr:uid="{00000000-0004-0000-7100-00005D000000}"/>
    <hyperlink ref="B99" r:id="rId95" xr:uid="{00000000-0004-0000-7100-00005E000000}"/>
    <hyperlink ref="B100" r:id="rId96" xr:uid="{00000000-0004-0000-7100-00005F000000}"/>
    <hyperlink ref="B101" r:id="rId97" xr:uid="{00000000-0004-0000-7100-000060000000}"/>
    <hyperlink ref="B102" r:id="rId98" xr:uid="{00000000-0004-0000-7100-000061000000}"/>
    <hyperlink ref="B103" r:id="rId99" xr:uid="{00000000-0004-0000-7100-000062000000}"/>
    <hyperlink ref="B104" r:id="rId100" xr:uid="{00000000-0004-0000-7100-000063000000}"/>
    <hyperlink ref="B105" r:id="rId101" xr:uid="{00000000-0004-0000-7100-000064000000}"/>
    <hyperlink ref="B106" r:id="rId102" xr:uid="{00000000-0004-0000-7100-000065000000}"/>
    <hyperlink ref="B107" r:id="rId103" xr:uid="{00000000-0004-0000-7100-000066000000}"/>
    <hyperlink ref="B108" r:id="rId104" xr:uid="{00000000-0004-0000-7100-000067000000}"/>
    <hyperlink ref="B109" r:id="rId105" xr:uid="{00000000-0004-0000-7100-000068000000}"/>
    <hyperlink ref="B110" r:id="rId106" xr:uid="{00000000-0004-0000-7100-000069000000}"/>
    <hyperlink ref="B111" r:id="rId107" xr:uid="{00000000-0004-0000-7100-00006A000000}"/>
    <hyperlink ref="B112" r:id="rId108" xr:uid="{00000000-0004-0000-7100-00006B000000}"/>
    <hyperlink ref="B113" r:id="rId109" xr:uid="{00000000-0004-0000-7100-00006C000000}"/>
    <hyperlink ref="B114" r:id="rId110" xr:uid="{00000000-0004-0000-7100-00006D000000}"/>
    <hyperlink ref="B115" r:id="rId111" xr:uid="{00000000-0004-0000-7100-00006E000000}"/>
    <hyperlink ref="B116" r:id="rId112" xr:uid="{00000000-0004-0000-7100-00006F000000}"/>
    <hyperlink ref="B117" r:id="rId113" xr:uid="{00000000-0004-0000-7100-000070000000}"/>
    <hyperlink ref="B118" r:id="rId114" xr:uid="{00000000-0004-0000-7100-000071000000}"/>
    <hyperlink ref="B119" r:id="rId115" xr:uid="{00000000-0004-0000-7100-000072000000}"/>
    <hyperlink ref="B120" r:id="rId116" xr:uid="{00000000-0004-0000-7100-000073000000}"/>
    <hyperlink ref="B121" r:id="rId117" xr:uid="{00000000-0004-0000-7100-000074000000}"/>
    <hyperlink ref="B122" r:id="rId118" xr:uid="{00000000-0004-0000-7100-000075000000}"/>
    <hyperlink ref="B123" r:id="rId119" xr:uid="{00000000-0004-0000-7100-000076000000}"/>
    <hyperlink ref="B124" r:id="rId120" xr:uid="{00000000-0004-0000-7100-000077000000}"/>
    <hyperlink ref="B125" r:id="rId121" xr:uid="{00000000-0004-0000-7100-000078000000}"/>
    <hyperlink ref="B126" r:id="rId122" xr:uid="{00000000-0004-0000-7100-000079000000}"/>
    <hyperlink ref="B127" r:id="rId123" xr:uid="{00000000-0004-0000-7100-00007A000000}"/>
    <hyperlink ref="B128" r:id="rId124" xr:uid="{00000000-0004-0000-7100-00007B000000}"/>
    <hyperlink ref="B129" r:id="rId125" xr:uid="{00000000-0004-0000-7100-00007C000000}"/>
    <hyperlink ref="B130" r:id="rId126" xr:uid="{00000000-0004-0000-7100-00007D000000}"/>
    <hyperlink ref="B131" r:id="rId127" xr:uid="{00000000-0004-0000-7100-00007E000000}"/>
    <hyperlink ref="B132" r:id="rId128" xr:uid="{00000000-0004-0000-7100-00007F000000}"/>
    <hyperlink ref="B133" r:id="rId129" xr:uid="{00000000-0004-0000-7100-000080000000}"/>
    <hyperlink ref="B134" r:id="rId130" xr:uid="{00000000-0004-0000-7100-000081000000}"/>
    <hyperlink ref="B135" r:id="rId131" xr:uid="{00000000-0004-0000-7100-000082000000}"/>
    <hyperlink ref="B136" r:id="rId132" xr:uid="{00000000-0004-0000-7100-000083000000}"/>
    <hyperlink ref="B137" r:id="rId133" xr:uid="{00000000-0004-0000-7100-000084000000}"/>
    <hyperlink ref="B138" r:id="rId134" xr:uid="{00000000-0004-0000-7100-000085000000}"/>
    <hyperlink ref="B139" r:id="rId135" xr:uid="{00000000-0004-0000-7100-000086000000}"/>
    <hyperlink ref="B140" r:id="rId136" xr:uid="{00000000-0004-0000-7100-000087000000}"/>
    <hyperlink ref="B141" r:id="rId137" xr:uid="{00000000-0004-0000-7100-000088000000}"/>
    <hyperlink ref="B142" r:id="rId138" xr:uid="{00000000-0004-0000-7100-000089000000}"/>
    <hyperlink ref="B143" r:id="rId139" xr:uid="{00000000-0004-0000-7100-00008A000000}"/>
    <hyperlink ref="B144" r:id="rId140" xr:uid="{00000000-0004-0000-7100-00008B000000}"/>
    <hyperlink ref="B145" r:id="rId141" xr:uid="{00000000-0004-0000-7100-00008C000000}"/>
    <hyperlink ref="B146" r:id="rId142" xr:uid="{00000000-0004-0000-7100-00008D000000}"/>
    <hyperlink ref="B147" r:id="rId143" xr:uid="{00000000-0004-0000-7100-00008E000000}"/>
    <hyperlink ref="B148" r:id="rId144" xr:uid="{00000000-0004-0000-7100-00008F000000}"/>
    <hyperlink ref="B149" r:id="rId145" xr:uid="{00000000-0004-0000-7100-000090000000}"/>
    <hyperlink ref="B150" r:id="rId146" xr:uid="{00000000-0004-0000-7100-000091000000}"/>
    <hyperlink ref="B151" r:id="rId147" xr:uid="{00000000-0004-0000-7100-000092000000}"/>
    <hyperlink ref="B152" r:id="rId148" xr:uid="{00000000-0004-0000-7100-000093000000}"/>
    <hyperlink ref="B153" r:id="rId149" xr:uid="{00000000-0004-0000-7100-000094000000}"/>
    <hyperlink ref="B154" r:id="rId150" xr:uid="{00000000-0004-0000-7100-000095000000}"/>
    <hyperlink ref="B155" r:id="rId151" xr:uid="{00000000-0004-0000-7100-000096000000}"/>
    <hyperlink ref="B156" r:id="rId152" xr:uid="{00000000-0004-0000-7100-000097000000}"/>
    <hyperlink ref="B157" r:id="rId153" xr:uid="{00000000-0004-0000-7100-000098000000}"/>
    <hyperlink ref="B158" r:id="rId154" xr:uid="{00000000-0004-0000-7100-000099000000}"/>
    <hyperlink ref="B159" r:id="rId155" xr:uid="{00000000-0004-0000-7100-00009A000000}"/>
    <hyperlink ref="B160" r:id="rId156" xr:uid="{00000000-0004-0000-7100-00009B000000}"/>
    <hyperlink ref="B161" r:id="rId157" xr:uid="{00000000-0004-0000-7100-00009C000000}"/>
    <hyperlink ref="B162" r:id="rId158" xr:uid="{00000000-0004-0000-7100-00009D000000}"/>
    <hyperlink ref="B163" r:id="rId159" xr:uid="{00000000-0004-0000-7100-00009E000000}"/>
    <hyperlink ref="B164" r:id="rId160" xr:uid="{00000000-0004-0000-7100-00009F000000}"/>
    <hyperlink ref="B165" r:id="rId161" xr:uid="{00000000-0004-0000-7100-0000A0000000}"/>
    <hyperlink ref="B166" r:id="rId162" xr:uid="{00000000-0004-0000-7100-0000A1000000}"/>
    <hyperlink ref="B167" r:id="rId163" xr:uid="{00000000-0004-0000-7100-0000A2000000}"/>
    <hyperlink ref="B168" r:id="rId164" xr:uid="{00000000-0004-0000-7100-0000A3000000}"/>
    <hyperlink ref="B169" r:id="rId165" xr:uid="{00000000-0004-0000-7100-0000A4000000}"/>
    <hyperlink ref="B170" r:id="rId166" xr:uid="{00000000-0004-0000-7100-0000A5000000}"/>
    <hyperlink ref="B171" r:id="rId167" xr:uid="{00000000-0004-0000-7100-0000A6000000}"/>
    <hyperlink ref="B172" r:id="rId168" xr:uid="{00000000-0004-0000-7100-0000A7000000}"/>
    <hyperlink ref="B173" r:id="rId169" xr:uid="{00000000-0004-0000-7100-0000A8000000}"/>
    <hyperlink ref="B174" r:id="rId170" xr:uid="{00000000-0004-0000-7100-0000A9000000}"/>
    <hyperlink ref="B175" r:id="rId171" xr:uid="{00000000-0004-0000-7100-0000AA000000}"/>
    <hyperlink ref="B176" r:id="rId172" xr:uid="{00000000-0004-0000-7100-0000AB000000}"/>
    <hyperlink ref="B177" r:id="rId173" xr:uid="{00000000-0004-0000-7100-0000AC000000}"/>
    <hyperlink ref="B178" r:id="rId174" xr:uid="{00000000-0004-0000-7100-0000AD000000}"/>
    <hyperlink ref="B179" r:id="rId175" xr:uid="{00000000-0004-0000-7100-0000AE000000}"/>
    <hyperlink ref="B180" r:id="rId176" xr:uid="{00000000-0004-0000-7100-0000AF000000}"/>
    <hyperlink ref="B181" r:id="rId177" xr:uid="{00000000-0004-0000-7100-0000B0000000}"/>
    <hyperlink ref="B182" r:id="rId178" xr:uid="{00000000-0004-0000-7100-0000B1000000}"/>
    <hyperlink ref="B183" r:id="rId179" xr:uid="{00000000-0004-0000-7100-0000B2000000}"/>
    <hyperlink ref="B184" r:id="rId180" xr:uid="{00000000-0004-0000-7100-0000B3000000}"/>
    <hyperlink ref="B185" r:id="rId181" xr:uid="{00000000-0004-0000-7100-0000B4000000}"/>
    <hyperlink ref="B186" r:id="rId182" xr:uid="{00000000-0004-0000-7100-0000B5000000}"/>
    <hyperlink ref="B187" r:id="rId183" xr:uid="{00000000-0004-0000-7100-0000B6000000}"/>
    <hyperlink ref="B188" r:id="rId184" xr:uid="{00000000-0004-0000-7100-0000B7000000}"/>
    <hyperlink ref="B189" r:id="rId185" xr:uid="{00000000-0004-0000-7100-0000B8000000}"/>
    <hyperlink ref="B190" r:id="rId186" xr:uid="{00000000-0004-0000-7100-0000B9000000}"/>
    <hyperlink ref="B193" r:id="rId187" xr:uid="{00000000-0004-0000-7100-0000BA000000}"/>
    <hyperlink ref="B194" r:id="rId188" xr:uid="{00000000-0004-0000-7100-0000BB000000}"/>
    <hyperlink ref="B195" r:id="rId189" xr:uid="{00000000-0004-0000-7100-0000BC000000}"/>
    <hyperlink ref="B196" r:id="rId190" xr:uid="{00000000-0004-0000-7100-0000BD000000}"/>
    <hyperlink ref="B197" r:id="rId191" xr:uid="{00000000-0004-0000-7100-0000BE000000}"/>
    <hyperlink ref="B198" r:id="rId192" xr:uid="{00000000-0004-0000-7100-0000BF000000}"/>
    <hyperlink ref="B199" r:id="rId193" xr:uid="{00000000-0004-0000-7100-0000C0000000}"/>
    <hyperlink ref="B200" r:id="rId194" xr:uid="{00000000-0004-0000-7100-0000C1000000}"/>
    <hyperlink ref="B201" r:id="rId195" xr:uid="{00000000-0004-0000-7100-0000C2000000}"/>
    <hyperlink ref="B202" r:id="rId196" xr:uid="{00000000-0004-0000-7100-0000C3000000}"/>
    <hyperlink ref="B203" r:id="rId197" xr:uid="{00000000-0004-0000-7100-0000C4000000}"/>
    <hyperlink ref="B204" r:id="rId198" xr:uid="{00000000-0004-0000-7100-0000C5000000}"/>
    <hyperlink ref="B205" r:id="rId199" xr:uid="{00000000-0004-0000-7100-0000C6000000}"/>
    <hyperlink ref="B206" r:id="rId200" xr:uid="{00000000-0004-0000-7100-0000C7000000}"/>
    <hyperlink ref="B207" r:id="rId201" xr:uid="{00000000-0004-0000-7100-0000C8000000}"/>
    <hyperlink ref="B208" r:id="rId202" xr:uid="{00000000-0004-0000-7100-0000C9000000}"/>
    <hyperlink ref="B209" r:id="rId203" xr:uid="{00000000-0004-0000-7100-0000CA000000}"/>
    <hyperlink ref="B210" r:id="rId204" xr:uid="{00000000-0004-0000-7100-0000CB000000}"/>
    <hyperlink ref="B211" r:id="rId205" xr:uid="{00000000-0004-0000-7100-0000CC000000}"/>
    <hyperlink ref="B212" r:id="rId206" xr:uid="{00000000-0004-0000-7100-0000CD000000}"/>
    <hyperlink ref="B213" r:id="rId207" xr:uid="{00000000-0004-0000-7100-0000CE000000}"/>
    <hyperlink ref="B214" r:id="rId208" xr:uid="{00000000-0004-0000-7100-0000CF000000}"/>
    <hyperlink ref="B215" r:id="rId209" xr:uid="{00000000-0004-0000-7100-0000D0000000}"/>
    <hyperlink ref="B216" r:id="rId210" xr:uid="{00000000-0004-0000-7100-0000D1000000}"/>
    <hyperlink ref="B217" r:id="rId211" xr:uid="{00000000-0004-0000-7100-0000D2000000}"/>
    <hyperlink ref="B218" r:id="rId212" xr:uid="{00000000-0004-0000-7100-0000D3000000}"/>
    <hyperlink ref="B219" r:id="rId213" xr:uid="{00000000-0004-0000-7100-0000D4000000}"/>
    <hyperlink ref="B220" r:id="rId214" xr:uid="{00000000-0004-0000-7100-0000D5000000}"/>
    <hyperlink ref="B221" r:id="rId215" xr:uid="{00000000-0004-0000-7100-0000D6000000}"/>
    <hyperlink ref="B222" r:id="rId216" xr:uid="{00000000-0004-0000-7100-0000D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96</vt:i4>
      </vt:variant>
    </vt:vector>
  </HeadingPairs>
  <TitlesOfParts>
    <vt:vector size="96" baseType="lpstr">
      <vt:lpstr>Overview</vt:lpstr>
      <vt:lpstr>Southern Islands</vt:lpstr>
      <vt:lpstr>Nintendo Black Star Promos</vt:lpstr>
      <vt:lpstr>EX Dragon</vt:lpstr>
      <vt:lpstr>EX Team Magma vs Team Aqua</vt:lpstr>
      <vt:lpstr>EX Trainer Kit</vt:lpstr>
      <vt:lpstr>EX Hidden Legends</vt:lpstr>
      <vt:lpstr>EX FireRed &amp; LeafGreen</vt:lpstr>
      <vt:lpstr>EX Team Rocket Returns</vt:lpstr>
      <vt:lpstr>EX Deoxys</vt:lpstr>
      <vt:lpstr>EX Emerald</vt:lpstr>
      <vt:lpstr>POP Series 2</vt:lpstr>
      <vt:lpstr>EX Unseen Forces</vt:lpstr>
      <vt:lpstr>EX Delta Species</vt:lpstr>
      <vt:lpstr>EX Legend Maker</vt:lpstr>
      <vt:lpstr>EX Trainer Kit 2</vt:lpstr>
      <vt:lpstr>EX Holon Phantoms</vt:lpstr>
      <vt:lpstr>EX Crystal Guardians</vt:lpstr>
      <vt:lpstr>EX Dragon Frontiers</vt:lpstr>
      <vt:lpstr>EX Power Keepers</vt:lpstr>
      <vt:lpstr>POP Series 5</vt:lpstr>
      <vt:lpstr>DP Black Star Promos</vt:lpstr>
      <vt:lpstr>Diamond &amp; Pearl</vt:lpstr>
      <vt:lpstr>Mysterious Treasures</vt:lpstr>
      <vt:lpstr>POP Series 6</vt:lpstr>
      <vt:lpstr>Diamond &amp; Pearl Trainer Kit</vt:lpstr>
      <vt:lpstr>Secret Wonders</vt:lpstr>
      <vt:lpstr>Great Encounters</vt:lpstr>
      <vt:lpstr>Majestic Dawn</vt:lpstr>
      <vt:lpstr>Legends Awakened</vt:lpstr>
      <vt:lpstr>Stormfront</vt:lpstr>
      <vt:lpstr>Platinum</vt:lpstr>
      <vt:lpstr>Rising Rivals</vt:lpstr>
      <vt:lpstr>Arceus</vt:lpstr>
      <vt:lpstr>Unleashed</vt:lpstr>
      <vt:lpstr>Undaunted</vt:lpstr>
      <vt:lpstr>McDonalds Collection</vt:lpstr>
      <vt:lpstr>Noble Victories</vt:lpstr>
      <vt:lpstr>Next Destinies</vt:lpstr>
      <vt:lpstr>Dark Explorers</vt:lpstr>
      <vt:lpstr>McDonalds Collection 2012</vt:lpstr>
      <vt:lpstr>Dragons Exalted</vt:lpstr>
      <vt:lpstr>Boundaries Crossed</vt:lpstr>
      <vt:lpstr>Plasma Storm</vt:lpstr>
      <vt:lpstr>Plasma Blast</vt:lpstr>
      <vt:lpstr>Legendary Treasures</vt:lpstr>
      <vt:lpstr>X and Y Promos</vt:lpstr>
      <vt:lpstr>Kalos Starter Set</vt:lpstr>
      <vt:lpstr>X and Y</vt:lpstr>
      <vt:lpstr>XY Trainer Kit</vt:lpstr>
      <vt:lpstr>Flashfire</vt:lpstr>
      <vt:lpstr>Mcdonalds Collection 2014</vt:lpstr>
      <vt:lpstr>Furious Fists</vt:lpstr>
      <vt:lpstr>Phantom Forces</vt:lpstr>
      <vt:lpstr>Primal Clash</vt:lpstr>
      <vt:lpstr>XY Trainer Kit Latias &amp; Latios</vt:lpstr>
      <vt:lpstr>Roaring Skies</vt:lpstr>
      <vt:lpstr>Ancient Origins</vt:lpstr>
      <vt:lpstr>Mcdonalds Collection 2015</vt:lpstr>
      <vt:lpstr>BREAKthrough</vt:lpstr>
      <vt:lpstr>BREAKpoint</vt:lpstr>
      <vt:lpstr>Generations</vt:lpstr>
      <vt:lpstr>Fates Collide</vt:lpstr>
      <vt:lpstr>Steam Siege</vt:lpstr>
      <vt:lpstr>Evolutions</vt:lpstr>
      <vt:lpstr>Sun and Moon Promos</vt:lpstr>
      <vt:lpstr>Sun and Moon</vt:lpstr>
      <vt:lpstr>Guardians Rising</vt:lpstr>
      <vt:lpstr>Burning Shadows</vt:lpstr>
      <vt:lpstr>Shining Legends</vt:lpstr>
      <vt:lpstr>Crimson Invasion</vt:lpstr>
      <vt:lpstr>Ultra Prism</vt:lpstr>
      <vt:lpstr>Forbidden Light</vt:lpstr>
      <vt:lpstr>Celestial Storm</vt:lpstr>
      <vt:lpstr>Dragon Majesty</vt:lpstr>
      <vt:lpstr>Lost Thunder</vt:lpstr>
      <vt:lpstr>Team Up</vt:lpstr>
      <vt:lpstr>Detective Pikachu</vt:lpstr>
      <vt:lpstr>Unbroken Bonds</vt:lpstr>
      <vt:lpstr>Unified Minds</vt:lpstr>
      <vt:lpstr>Hidden Fates</vt:lpstr>
      <vt:lpstr>Cosmic Eclipse</vt:lpstr>
      <vt:lpstr>Sword and Shield Promos</vt:lpstr>
      <vt:lpstr>Sword and Shield</vt:lpstr>
      <vt:lpstr>Rebel Clash</vt:lpstr>
      <vt:lpstr>Darkness Ablaze</vt:lpstr>
      <vt:lpstr>Champions Path</vt:lpstr>
      <vt:lpstr>Vivid Voltage</vt:lpstr>
      <vt:lpstr>McDonalds Collection 2021</vt:lpstr>
      <vt:lpstr>Shining Fates</vt:lpstr>
      <vt:lpstr>Battle Styles</vt:lpstr>
      <vt:lpstr>Chilling Reign</vt:lpstr>
      <vt:lpstr>Evolving Skies</vt:lpstr>
      <vt:lpstr>Celebrations</vt:lpstr>
      <vt:lpstr>Fusion Strike</vt:lpstr>
      <vt:lpstr>Brilliant Stars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Moran, Aidan Thomas</cp:lastModifiedBy>
  <dcterms:modified xsi:type="dcterms:W3CDTF">2022-04-14T02:34:30Z</dcterms:modified>
</cp:coreProperties>
</file>